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ytics Hub" sheetId="1" r:id="rId4"/>
    <sheet state="visible" name="Wins" sheetId="2" r:id="rId5"/>
    <sheet state="visible" name="Losses" sheetId="3" r:id="rId6"/>
    <sheet state="visible" name="Week 1" sheetId="4" r:id="rId7"/>
    <sheet state="visible" name="Week 2" sheetId="5" r:id="rId8"/>
    <sheet state="visible" name="Week 3" sheetId="6" r:id="rId9"/>
    <sheet state="visible" name="Week 4" sheetId="7" r:id="rId10"/>
    <sheet state="visible" name="Week 5" sheetId="8" r:id="rId11"/>
    <sheet state="visible" name="Week 6" sheetId="9" r:id="rId12"/>
    <sheet state="visible" name="Week 7" sheetId="10" r:id="rId13"/>
    <sheet state="visible" name="Week 8" sheetId="11" r:id="rId14"/>
    <sheet state="visible" name="Week 9" sheetId="12" r:id="rId15"/>
    <sheet state="visible" name="Week 10" sheetId="13" r:id="rId16"/>
    <sheet state="visible" name="Week 11" sheetId="14" r:id="rId17"/>
    <sheet state="visible" name="Week 12" sheetId="15" r:id="rId18"/>
    <sheet state="visible" name="formulas" sheetId="16" r:id="rId19"/>
    <sheet state="visible" name="Stat data" sheetId="17" r:id="rId20"/>
    <sheet state="visible" name="Staging" sheetId="18" r:id="rId21"/>
  </sheets>
  <definedNames/>
  <calcPr/>
</workbook>
</file>

<file path=xl/sharedStrings.xml><?xml version="1.0" encoding="utf-8"?>
<sst xmlns="http://schemas.openxmlformats.org/spreadsheetml/2006/main" count="78595" uniqueCount="753">
  <si>
    <t>%</t>
  </si>
  <si>
    <t>Net Units</t>
  </si>
  <si>
    <t>Net Units U</t>
  </si>
  <si>
    <t>Net Units O</t>
  </si>
  <si>
    <t>Total U %</t>
  </si>
  <si>
    <t>Total O%</t>
  </si>
  <si>
    <t>No Doubters</t>
  </si>
  <si>
    <t>ND/Bet</t>
  </si>
  <si>
    <t>rush_att</t>
  </si>
  <si>
    <t>rush_recv_yd</t>
  </si>
  <si>
    <t>rush_yd</t>
  </si>
  <si>
    <t>recv_yd</t>
  </si>
  <si>
    <t>recv_rec</t>
  </si>
  <si>
    <t>pass_yd</t>
  </si>
  <si>
    <t>pass_td</t>
  </si>
  <si>
    <t>pass_comp</t>
  </si>
  <si>
    <t>pass_att</t>
  </si>
  <si>
    <t>pass_int</t>
  </si>
  <si>
    <t>WR</t>
  </si>
  <si>
    <t>RB</t>
  </si>
  <si>
    <t>TE</t>
  </si>
  <si>
    <t>QB</t>
  </si>
  <si>
    <t>Week 1</t>
  </si>
  <si>
    <t>Week 2</t>
  </si>
  <si>
    <t>Total Bets U</t>
  </si>
  <si>
    <t>Total Bets O</t>
  </si>
  <si>
    <t>Week 3</t>
  </si>
  <si>
    <t>Week 4</t>
  </si>
  <si>
    <t>Week 5</t>
  </si>
  <si>
    <t>propType</t>
  </si>
  <si>
    <t>player</t>
  </si>
  <si>
    <t>position</t>
  </si>
  <si>
    <t>team</t>
  </si>
  <si>
    <t>opponent</t>
  </si>
  <si>
    <t>start</t>
  </si>
  <si>
    <t>line</t>
  </si>
  <si>
    <t>sideOneType</t>
  </si>
  <si>
    <t>sideOneOdds</t>
  </si>
  <si>
    <t>Over Value</t>
  </si>
  <si>
    <t>sideOneCash</t>
  </si>
  <si>
    <t>sideOneTickets</t>
  </si>
  <si>
    <t>sideTwoType</t>
  </si>
  <si>
    <t>sideTwoOdds</t>
  </si>
  <si>
    <t>sideTwoValue</t>
  </si>
  <si>
    <t>sideTwoCash</t>
  </si>
  <si>
    <t>sideTwoTickets</t>
  </si>
  <si>
    <t>Edge</t>
  </si>
  <si>
    <t>Odds</t>
  </si>
  <si>
    <t>O/U</t>
  </si>
  <si>
    <t>Units</t>
  </si>
  <si>
    <t>PlayerFirst</t>
  </si>
  <si>
    <t>PlayerLast</t>
  </si>
  <si>
    <t>Result O/U</t>
  </si>
  <si>
    <t>Win?</t>
  </si>
  <si>
    <t>Implied multiplier</t>
  </si>
  <si>
    <t>Unit Tally:</t>
  </si>
  <si>
    <t>B. Young</t>
  </si>
  <si>
    <t>CAR</t>
  </si>
  <si>
    <t>NO</t>
  </si>
  <si>
    <t>2024-09-08T17:00:00Z</t>
  </si>
  <si>
    <t>over</t>
  </si>
  <si>
    <t>null</t>
  </si>
  <si>
    <t>under</t>
  </si>
  <si>
    <t>B.</t>
  </si>
  <si>
    <t>Young</t>
  </si>
  <si>
    <t>J. Brissett</t>
  </si>
  <si>
    <t>NE</t>
  </si>
  <si>
    <t>CIN</t>
  </si>
  <si>
    <t>J.</t>
  </si>
  <si>
    <t>Brissett</t>
  </si>
  <si>
    <t>K. Granson</t>
  </si>
  <si>
    <t>IND</t>
  </si>
  <si>
    <t>HST</t>
  </si>
  <si>
    <t>K.</t>
  </si>
  <si>
    <t>Granson</t>
  </si>
  <si>
    <t>P. Mahomes</t>
  </si>
  <si>
    <t>KC</t>
  </si>
  <si>
    <t>BLT</t>
  </si>
  <si>
    <t>2024-09-06T00:20:00Z</t>
  </si>
  <si>
    <t>P.</t>
  </si>
  <si>
    <t>Mahomes</t>
  </si>
  <si>
    <t>N. Fant</t>
  </si>
  <si>
    <t>SEA</t>
  </si>
  <si>
    <t>DEN</t>
  </si>
  <si>
    <t>2024-09-08T20:05:00Z</t>
  </si>
  <si>
    <t>N.</t>
  </si>
  <si>
    <t>Fant</t>
  </si>
  <si>
    <t>J. Tolbert</t>
  </si>
  <si>
    <t>DAL</t>
  </si>
  <si>
    <t>CLV</t>
  </si>
  <si>
    <t>2024-09-08T20:25:00Z</t>
  </si>
  <si>
    <t>Tolbert</t>
  </si>
  <si>
    <t>T. Etienne Jr.</t>
  </si>
  <si>
    <t>JAX</t>
  </si>
  <si>
    <t>MIA</t>
  </si>
  <si>
    <t>T.</t>
  </si>
  <si>
    <t>Etienne</t>
  </si>
  <si>
    <t>Jr.</t>
  </si>
  <si>
    <t>D. Swift</t>
  </si>
  <si>
    <t>CHI</t>
  </si>
  <si>
    <t>TEN</t>
  </si>
  <si>
    <t>D.</t>
  </si>
  <si>
    <t>Swift</t>
  </si>
  <si>
    <t>C. Samuel</t>
  </si>
  <si>
    <t>BUF</t>
  </si>
  <si>
    <t>ARZ</t>
  </si>
  <si>
    <t>C.</t>
  </si>
  <si>
    <t>Samuel</t>
  </si>
  <si>
    <t>K. Pitts</t>
  </si>
  <si>
    <t>ATL</t>
  </si>
  <si>
    <t>PIT</t>
  </si>
  <si>
    <t>Pitts</t>
  </si>
  <si>
    <t>C. Otton</t>
  </si>
  <si>
    <t>TB</t>
  </si>
  <si>
    <t>WAS</t>
  </si>
  <si>
    <t>Otton</t>
  </si>
  <si>
    <t>A. Thielen</t>
  </si>
  <si>
    <t>A.</t>
  </si>
  <si>
    <t>Thielen</t>
  </si>
  <si>
    <t>T. Lawrence</t>
  </si>
  <si>
    <t>Lawrence</t>
  </si>
  <si>
    <t>C. Kirk</t>
  </si>
  <si>
    <t>Kirk</t>
  </si>
  <si>
    <t>N. Harris</t>
  </si>
  <si>
    <t>Harris</t>
  </si>
  <si>
    <t>A. Mitchell</t>
  </si>
  <si>
    <t>Mitchell</t>
  </si>
  <si>
    <t>J. Williams</t>
  </si>
  <si>
    <t>Williams</t>
  </si>
  <si>
    <t>T. Dell</t>
  </si>
  <si>
    <t>Dell</t>
  </si>
  <si>
    <t>D. Douglas</t>
  </si>
  <si>
    <t>Douglas</t>
  </si>
  <si>
    <t>Z. White</t>
  </si>
  <si>
    <t>LV</t>
  </si>
  <si>
    <t>LAC</t>
  </si>
  <si>
    <t>Z.</t>
  </si>
  <si>
    <t>White</t>
  </si>
  <si>
    <t>N. Agholor</t>
  </si>
  <si>
    <t>Agholor</t>
  </si>
  <si>
    <t>H. Henry</t>
  </si>
  <si>
    <t>H.</t>
  </si>
  <si>
    <t>Henry</t>
  </si>
  <si>
    <t>K. Herbert</t>
  </si>
  <si>
    <t>Herbert</t>
  </si>
  <si>
    <t>S. Darnold</t>
  </si>
  <si>
    <t>MIN</t>
  </si>
  <si>
    <t>NYG</t>
  </si>
  <si>
    <t>S.</t>
  </si>
  <si>
    <t>Darnold</t>
  </si>
  <si>
    <t>J. Hyatt</t>
  </si>
  <si>
    <t>Hyatt</t>
  </si>
  <si>
    <t>R. Dowdle</t>
  </si>
  <si>
    <t>R.</t>
  </si>
  <si>
    <t>Dowdle</t>
  </si>
  <si>
    <t>S. Barkley</t>
  </si>
  <si>
    <t>PHI</t>
  </si>
  <si>
    <t>GB</t>
  </si>
  <si>
    <t>2024-09-07T00:15:00Z</t>
  </si>
  <si>
    <t>Barkley</t>
  </si>
  <si>
    <t>G. Everett</t>
  </si>
  <si>
    <t>G.</t>
  </si>
  <si>
    <t>Everett</t>
  </si>
  <si>
    <t>K. Juszczyk</t>
  </si>
  <si>
    <t>SF</t>
  </si>
  <si>
    <t>NYJ</t>
  </si>
  <si>
    <t>2024-09-10T00:15:00Z</t>
  </si>
  <si>
    <t>Juszczyk</t>
  </si>
  <si>
    <t>Z. Moss</t>
  </si>
  <si>
    <t>Moss</t>
  </si>
  <si>
    <t>J. Polk</t>
  </si>
  <si>
    <t>Polk</t>
  </si>
  <si>
    <t>L. Musgrave</t>
  </si>
  <si>
    <t>L.</t>
  </si>
  <si>
    <t>Musgrave</t>
  </si>
  <si>
    <t>J. Addison</t>
  </si>
  <si>
    <t>Addison</t>
  </si>
  <si>
    <t>J. Warren</t>
  </si>
  <si>
    <t>Warren</t>
  </si>
  <si>
    <t>I. Pacheco</t>
  </si>
  <si>
    <t>I.</t>
  </si>
  <si>
    <t>Pacheco</t>
  </si>
  <si>
    <t>J. Hill</t>
  </si>
  <si>
    <t>J</t>
  </si>
  <si>
    <t>Hill</t>
  </si>
  <si>
    <t>J. Mundt</t>
  </si>
  <si>
    <t>Mundt</t>
  </si>
  <si>
    <t>J. Jacobs</t>
  </si>
  <si>
    <t>Jacobs</t>
  </si>
  <si>
    <t>K. Shakir</t>
  </si>
  <si>
    <t>Shakir</t>
  </si>
  <si>
    <t>R. Odunze</t>
  </si>
  <si>
    <t>Odunze</t>
  </si>
  <si>
    <t>J. Johnson</t>
  </si>
  <si>
    <t>Johnson</t>
  </si>
  <si>
    <t>B. Corum</t>
  </si>
  <si>
    <t>LA</t>
  </si>
  <si>
    <t>DET</t>
  </si>
  <si>
    <t>2024-09-09T00:20:00Z</t>
  </si>
  <si>
    <t>Corum</t>
  </si>
  <si>
    <t>A. Richardson</t>
  </si>
  <si>
    <t>Richardson</t>
  </si>
  <si>
    <t>T. Allgeier</t>
  </si>
  <si>
    <t>Allgeier</t>
  </si>
  <si>
    <t>K. Murray</t>
  </si>
  <si>
    <t>Murray</t>
  </si>
  <si>
    <t>Over</t>
  </si>
  <si>
    <t>J. Mingo</t>
  </si>
  <si>
    <t>Mingo</t>
  </si>
  <si>
    <t>Under</t>
  </si>
  <si>
    <t>J. Dotson</t>
  </si>
  <si>
    <t>Dotson</t>
  </si>
  <si>
    <t>K. Osborn</t>
  </si>
  <si>
    <t>Osborn</t>
  </si>
  <si>
    <t>R. Wilson</t>
  </si>
  <si>
    <t>Wilson</t>
  </si>
  <si>
    <t>1U</t>
  </si>
  <si>
    <t>A. Pierce</t>
  </si>
  <si>
    <t>Pierce</t>
  </si>
  <si>
    <t>2U</t>
  </si>
  <si>
    <t>J. Smith</t>
  </si>
  <si>
    <t>Smith</t>
  </si>
  <si>
    <t>3U</t>
  </si>
  <si>
    <t>Prop Won</t>
  </si>
  <si>
    <t>Total Prop</t>
  </si>
  <si>
    <t>Prop won/total</t>
  </si>
  <si>
    <t>Units won pp</t>
  </si>
  <si>
    <t>units lost pp</t>
  </si>
  <si>
    <t>net units pp</t>
  </si>
  <si>
    <t>% Over pp</t>
  </si>
  <si>
    <t>% Under pp</t>
  </si>
  <si>
    <t>C. Kmet</t>
  </si>
  <si>
    <t>Kmet</t>
  </si>
  <si>
    <t>M. Wilson</t>
  </si>
  <si>
    <t>M.</t>
  </si>
  <si>
    <t>D. Kincaid</t>
  </si>
  <si>
    <t>Kincaid</t>
  </si>
  <si>
    <t>J. Watson</t>
  </si>
  <si>
    <t>Watson</t>
  </si>
  <si>
    <t>R. Bateman</t>
  </si>
  <si>
    <t>Bateman</t>
  </si>
  <si>
    <t>J. Goff</t>
  </si>
  <si>
    <t>Goff</t>
  </si>
  <si>
    <t>K. Gainwell</t>
  </si>
  <si>
    <t>Gainwell</t>
  </si>
  <si>
    <t>D. Wicks</t>
  </si>
  <si>
    <t>Wicks</t>
  </si>
  <si>
    <t>M. Stafford</t>
  </si>
  <si>
    <t>Stafford</t>
  </si>
  <si>
    <t>T. McLaurin</t>
  </si>
  <si>
    <t>McLaurin</t>
  </si>
  <si>
    <t>D. Prescott</t>
  </si>
  <si>
    <t>Prescott</t>
  </si>
  <si>
    <t>B. Mayfield</t>
  </si>
  <si>
    <t>Mayfield</t>
  </si>
  <si>
    <t>B. Aiyuk</t>
  </si>
  <si>
    <t>Aiyuk</t>
  </si>
  <si>
    <t>X. Gipson</t>
  </si>
  <si>
    <t>X.</t>
  </si>
  <si>
    <t>Gipson</t>
  </si>
  <si>
    <t>D. Jones</t>
  </si>
  <si>
    <t>Jones</t>
  </si>
  <si>
    <t>B. Purdy</t>
  </si>
  <si>
    <t>Purdy</t>
  </si>
  <si>
    <t>B. Robinson</t>
  </si>
  <si>
    <t>Robinson</t>
  </si>
  <si>
    <t>C. Hubbard</t>
  </si>
  <si>
    <t>Hubbard</t>
  </si>
  <si>
    <t>K. Allen</t>
  </si>
  <si>
    <t>Allen</t>
  </si>
  <si>
    <t>D. Singletary</t>
  </si>
  <si>
    <t>Singletary</t>
  </si>
  <si>
    <t>K. Raymond</t>
  </si>
  <si>
    <t>Raymond</t>
  </si>
  <si>
    <t>C. Williams</t>
  </si>
  <si>
    <t>W. Levis</t>
  </si>
  <si>
    <t>W.</t>
  </si>
  <si>
    <t>Levis</t>
  </si>
  <si>
    <t>J. Meyers</t>
  </si>
  <si>
    <t>Meyers</t>
  </si>
  <si>
    <t>R. Mostert</t>
  </si>
  <si>
    <t>Mostert</t>
  </si>
  <si>
    <t>A. Kamara</t>
  </si>
  <si>
    <t>Kamara</t>
  </si>
  <si>
    <t>D. Robinson</t>
  </si>
  <si>
    <t>J. Jennings</t>
  </si>
  <si>
    <t>Jennings</t>
  </si>
  <si>
    <t>D. Carr</t>
  </si>
  <si>
    <t>Carr</t>
  </si>
  <si>
    <t>D. Achane</t>
  </si>
  <si>
    <t>Achane</t>
  </si>
  <si>
    <t>A. Lazard</t>
  </si>
  <si>
    <t>Lazard</t>
  </si>
  <si>
    <t>C. Brown</t>
  </si>
  <si>
    <t>Brown</t>
  </si>
  <si>
    <t>X. Worthy</t>
  </si>
  <si>
    <t>Worthy</t>
  </si>
  <si>
    <t>J. Love</t>
  </si>
  <si>
    <t>Love</t>
  </si>
  <si>
    <t>J. Jeudy</t>
  </si>
  <si>
    <t>Jeudy</t>
  </si>
  <si>
    <t>T. Spears</t>
  </si>
  <si>
    <t>Spears</t>
  </si>
  <si>
    <t>M. Williams</t>
  </si>
  <si>
    <t>A. Jones</t>
  </si>
  <si>
    <t>T. Conklin</t>
  </si>
  <si>
    <t>Conklin</t>
  </si>
  <si>
    <t>J. McMillan</t>
  </si>
  <si>
    <t>McMillan</t>
  </si>
  <si>
    <t>D. Henry</t>
  </si>
  <si>
    <t>S. Diggs</t>
  </si>
  <si>
    <t>Diggs</t>
  </si>
  <si>
    <t>G. Dulcich</t>
  </si>
  <si>
    <t>Dulcich</t>
  </si>
  <si>
    <t>C. Godwin</t>
  </si>
  <si>
    <t>Godwin</t>
  </si>
  <si>
    <t>T. Tagovailoa</t>
  </si>
  <si>
    <t>Tagovailoa</t>
  </si>
  <si>
    <t>J. Burrow</t>
  </si>
  <si>
    <t>Burrow</t>
  </si>
  <si>
    <t>J. Daniels</t>
  </si>
  <si>
    <t>Daniels</t>
  </si>
  <si>
    <t>D. Adams</t>
  </si>
  <si>
    <t>Adams</t>
  </si>
  <si>
    <t>J. Ford</t>
  </si>
  <si>
    <t>Ford</t>
  </si>
  <si>
    <t>T. Kelce</t>
  </si>
  <si>
    <t>Kelce</t>
  </si>
  <si>
    <t>K. Cousins</t>
  </si>
  <si>
    <t>Cousins</t>
  </si>
  <si>
    <t>A. Rodgers</t>
  </si>
  <si>
    <t>Rodgers</t>
  </si>
  <si>
    <t>G. Kittle</t>
  </si>
  <si>
    <t>Kittle</t>
  </si>
  <si>
    <t>J. Smith-Njigba</t>
  </si>
  <si>
    <t>Smith-Njigba</t>
  </si>
  <si>
    <t>B. Hall</t>
  </si>
  <si>
    <t>Hall</t>
  </si>
  <si>
    <t>J. Hurts</t>
  </si>
  <si>
    <t>Hurts</t>
  </si>
  <si>
    <t>T. Pollard</t>
  </si>
  <si>
    <t>Pollard</t>
  </si>
  <si>
    <t>R. Davis</t>
  </si>
  <si>
    <t>Davis</t>
  </si>
  <si>
    <t>C. Watson</t>
  </si>
  <si>
    <t>J. Conner</t>
  </si>
  <si>
    <t>Conner</t>
  </si>
  <si>
    <t>L. Jackson</t>
  </si>
  <si>
    <t>Jackson</t>
  </si>
  <si>
    <t>T. McBride</t>
  </si>
  <si>
    <t>McBride</t>
  </si>
  <si>
    <t>D. Moore</t>
  </si>
  <si>
    <t>Moore</t>
  </si>
  <si>
    <t>D. Johnson</t>
  </si>
  <si>
    <t>W. Robinson</t>
  </si>
  <si>
    <t>D. Mooney</t>
  </si>
  <si>
    <t>Mooney</t>
  </si>
  <si>
    <t>X. Legette</t>
  </si>
  <si>
    <t>Legette</t>
  </si>
  <si>
    <t>J. Mixon</t>
  </si>
  <si>
    <t>Mixon</t>
  </si>
  <si>
    <t>Z. Charbonnet</t>
  </si>
  <si>
    <t>Charbonnet</t>
  </si>
  <si>
    <t>E. Engram</t>
  </si>
  <si>
    <t>E.</t>
  </si>
  <si>
    <t>Engram</t>
  </si>
  <si>
    <t>D. Goedert</t>
  </si>
  <si>
    <t>Goedert</t>
  </si>
  <si>
    <t>K. Williams</t>
  </si>
  <si>
    <t>C. Stroud</t>
  </si>
  <si>
    <t>Stroud</t>
  </si>
  <si>
    <t>T. Thornton</t>
  </si>
  <si>
    <t>Thornton</t>
  </si>
  <si>
    <t>T. Benson</t>
  </si>
  <si>
    <t>Benson</t>
  </si>
  <si>
    <t>E. Elliott</t>
  </si>
  <si>
    <t>Elliott</t>
  </si>
  <si>
    <t>T. Chandler</t>
  </si>
  <si>
    <t>Chandler</t>
  </si>
  <si>
    <t>J. Jefferson</t>
  </si>
  <si>
    <t>Jefferson</t>
  </si>
  <si>
    <t>J. Palmer</t>
  </si>
  <si>
    <t>Palmer</t>
  </si>
  <si>
    <t>A. Gibson</t>
  </si>
  <si>
    <t>Gibson</t>
  </si>
  <si>
    <t>A. St. Brown</t>
  </si>
  <si>
    <t>St.</t>
  </si>
  <si>
    <t>D. Metcalf</t>
  </si>
  <si>
    <t>Metcalf</t>
  </si>
  <si>
    <t>J. Chase</t>
  </si>
  <si>
    <t>Chase</t>
  </si>
  <si>
    <t>M. Pittman Jr.</t>
  </si>
  <si>
    <t>Pittman</t>
  </si>
  <si>
    <t>J. Gibbs</t>
  </si>
  <si>
    <t>Gibbs</t>
  </si>
  <si>
    <t>C. Lamb</t>
  </si>
  <si>
    <t>Lamb</t>
  </si>
  <si>
    <t>P. Nacua</t>
  </si>
  <si>
    <t>Nacua</t>
  </si>
  <si>
    <t>Z. Flowers</t>
  </si>
  <si>
    <t>Flowers</t>
  </si>
  <si>
    <t>C. Sutton</t>
  </si>
  <si>
    <t>Sutton</t>
  </si>
  <si>
    <t>V. Jefferson</t>
  </si>
  <si>
    <t>V.</t>
  </si>
  <si>
    <t>J. Herbert</t>
  </si>
  <si>
    <t>D. Hopkins</t>
  </si>
  <si>
    <t>Hopkins</t>
  </si>
  <si>
    <t>A. Ekeler</t>
  </si>
  <si>
    <t>Ekeler</t>
  </si>
  <si>
    <t>D. Schultz</t>
  </si>
  <si>
    <t>Schultz</t>
  </si>
  <si>
    <t>J. Ferguson</t>
  </si>
  <si>
    <t>Ferguson</t>
  </si>
  <si>
    <t>E. Moore</t>
  </si>
  <si>
    <t>G. Pickens</t>
  </si>
  <si>
    <t>Pickens</t>
  </si>
  <si>
    <t>R. White</t>
  </si>
  <si>
    <t>M. Andrews</t>
  </si>
  <si>
    <t>Andrews</t>
  </si>
  <si>
    <t>C. McCaffrey</t>
  </si>
  <si>
    <t>McCaffrey</t>
  </si>
  <si>
    <t>J. Reynolds</t>
  </si>
  <si>
    <t>Reynolds</t>
  </si>
  <si>
    <t>S. Perine</t>
  </si>
  <si>
    <t>Perine</t>
  </si>
  <si>
    <t>K. Coleman</t>
  </si>
  <si>
    <t>Coleman</t>
  </si>
  <si>
    <t>R. Shaheed</t>
  </si>
  <si>
    <t>Shaheed</t>
  </si>
  <si>
    <t>C. Okonkwo</t>
  </si>
  <si>
    <t>Okonkwo</t>
  </si>
  <si>
    <t>L. McConkey</t>
  </si>
  <si>
    <t>McConkey</t>
  </si>
  <si>
    <t>J. Allen</t>
  </si>
  <si>
    <t>D. Njoku</t>
  </si>
  <si>
    <t>Njoku</t>
  </si>
  <si>
    <t>C. Ridley</t>
  </si>
  <si>
    <t>Ridley</t>
  </si>
  <si>
    <t>G. Edwards</t>
  </si>
  <si>
    <t>Edwards</t>
  </si>
  <si>
    <t>T. Hill</t>
  </si>
  <si>
    <t>A. Cooper</t>
  </si>
  <si>
    <t>Cooper</t>
  </si>
  <si>
    <t>J. Taylor</t>
  </si>
  <si>
    <t>Taylor</t>
  </si>
  <si>
    <t>D. Montgomery</t>
  </si>
  <si>
    <t>Montgomery</t>
  </si>
  <si>
    <t>M. Mims Jr.</t>
  </si>
  <si>
    <t>Mims</t>
  </si>
  <si>
    <t>2024-09-15T20:05:00Z</t>
  </si>
  <si>
    <t>G. Dortch</t>
  </si>
  <si>
    <t>M. Harrison Jr.</t>
  </si>
  <si>
    <t>2024-09-17T00:15:00Z</t>
  </si>
  <si>
    <t>I. Likely</t>
  </si>
  <si>
    <t>2024-09-15T17:00:00Z</t>
  </si>
  <si>
    <t>2024-09-13T00:15:00Z</t>
  </si>
  <si>
    <t>M. Hollins</t>
  </si>
  <si>
    <t>J. Cook</t>
  </si>
  <si>
    <t>D. Knox</t>
  </si>
  <si>
    <t>2024-09-16T00:20:00Z</t>
  </si>
  <si>
    <t>2024-09-15T20:25:00Z</t>
  </si>
  <si>
    <t>D. Watson</t>
  </si>
  <si>
    <t>B. Cooks</t>
  </si>
  <si>
    <t>B. Nix</t>
  </si>
  <si>
    <t>J. McLaughlin</t>
  </si>
  <si>
    <t>B. Thomas Jr.</t>
  </si>
  <si>
    <t>G. Davis</t>
  </si>
  <si>
    <t>N. Gray</t>
  </si>
  <si>
    <t>C. Kupp</t>
  </si>
  <si>
    <t>C. Parkinson</t>
  </si>
  <si>
    <t>W. Dissly</t>
  </si>
  <si>
    <t>M. Mayer</t>
  </si>
  <si>
    <t>A. Mattison</t>
  </si>
  <si>
    <t>G. Minshew</t>
  </si>
  <si>
    <t>J. Waddle</t>
  </si>
  <si>
    <t>R. Stevenson</t>
  </si>
  <si>
    <t>T. Johnson</t>
  </si>
  <si>
    <t>M. Nabers</t>
  </si>
  <si>
    <t>G. Wilson</t>
  </si>
  <si>
    <t>T. Lockett</t>
  </si>
  <si>
    <t>M. Evans</t>
  </si>
  <si>
    <t>R. Doubs</t>
  </si>
  <si>
    <t>D. Slayton</t>
  </si>
  <si>
    <t>M. Hardman Jr.</t>
  </si>
  <si>
    <t>J. Dobbins</t>
  </si>
  <si>
    <t>T. Tucker</t>
  </si>
  <si>
    <t>J. Reed</t>
  </si>
  <si>
    <t>Z. Ertz</t>
  </si>
  <si>
    <t>P. Freiermuth</t>
  </si>
  <si>
    <t>K. Walker III</t>
  </si>
  <si>
    <t>C. Olave</t>
  </si>
  <si>
    <t>A. Brown</t>
  </si>
  <si>
    <t>R. Rice</t>
  </si>
  <si>
    <t>B. Bowers</t>
  </si>
  <si>
    <t>N. Collins</t>
  </si>
  <si>
    <t>D. Samuel</t>
  </si>
  <si>
    <t>J. Mason</t>
  </si>
  <si>
    <t>S. LaPorta</t>
  </si>
  <si>
    <t>D. London</t>
  </si>
  <si>
    <t>G. Smith</t>
  </si>
  <si>
    <t>R. McCloud III</t>
  </si>
  <si>
    <t>C. Tillman</t>
  </si>
  <si>
    <t>J. Ruckert</t>
  </si>
  <si>
    <t>M. Gesicki</t>
  </si>
  <si>
    <t>M. Willis</t>
  </si>
  <si>
    <t>Q. Johnston</t>
  </si>
  <si>
    <t>D. Smith</t>
  </si>
  <si>
    <t>POdds</t>
  </si>
  <si>
    <t>UnitsX</t>
  </si>
  <si>
    <t>stats</t>
  </si>
  <si>
    <t>UnitX Tally</t>
  </si>
  <si>
    <t>Overs</t>
  </si>
  <si>
    <t>Unders</t>
  </si>
  <si>
    <t># No doubters</t>
  </si>
  <si>
    <t>sideOneValue</t>
  </si>
  <si>
    <t>2024-09-22T20:25:00Z</t>
  </si>
  <si>
    <t>2024-09-23T00:20:00Z</t>
  </si>
  <si>
    <t>2024-09-23T23:30:00Z</t>
  </si>
  <si>
    <t>2024-09-22T20:05:00Z</t>
  </si>
  <si>
    <t>T. Tremble</t>
  </si>
  <si>
    <t>M. Sanders</t>
  </si>
  <si>
    <t>A. Dalton</t>
  </si>
  <si>
    <t>J. Sanders</t>
  </si>
  <si>
    <t>V. Jones Jr.</t>
  </si>
  <si>
    <t>2024-09-22T17:00:00Z</t>
  </si>
  <si>
    <t>D. Carter</t>
  </si>
  <si>
    <t>A. Iosivas</t>
  </si>
  <si>
    <t>2024-09-24T00:15:00Z</t>
  </si>
  <si>
    <t>T. Higgins</t>
  </si>
  <si>
    <t>D. Foreman</t>
  </si>
  <si>
    <t>J. Akins</t>
  </si>
  <si>
    <t>L. Humphrey</t>
  </si>
  <si>
    <t>D. Vele</t>
  </si>
  <si>
    <t>T. Patrick</t>
  </si>
  <si>
    <t>T. Kraft</t>
  </si>
  <si>
    <t>E. Wilson</t>
  </si>
  <si>
    <t>D. Ogunbowale</t>
  </si>
  <si>
    <t>C. Akers</t>
  </si>
  <si>
    <t>J. Downs</t>
  </si>
  <si>
    <t>T. Sermon</t>
  </si>
  <si>
    <t>B. Strange</t>
  </si>
  <si>
    <t>C. Steele</t>
  </si>
  <si>
    <t>T. Atwell</t>
  </si>
  <si>
    <t>J. Whittington</t>
  </si>
  <si>
    <t>H. Hurst</t>
  </si>
  <si>
    <t>B. Berrios</t>
  </si>
  <si>
    <t>S. Thompson</t>
  </si>
  <si>
    <t>B. Powell</t>
  </si>
  <si>
    <t>J. Nailor</t>
  </si>
  <si>
    <t>J. Oliver</t>
  </si>
  <si>
    <t>2024-09-20T00:15:00Z</t>
  </si>
  <si>
    <t>A. Hooper</t>
  </si>
  <si>
    <t>F. Moreau</t>
  </si>
  <si>
    <t>B. Allen</t>
  </si>
  <si>
    <t>J. Fields</t>
  </si>
  <si>
    <t>E. Saubert</t>
  </si>
  <si>
    <t>B. Irving</t>
  </si>
  <si>
    <t>T. Burks</t>
  </si>
  <si>
    <t>T. Boyd</t>
  </si>
  <si>
    <t>2024-09-29T20:05:00Z</t>
  </si>
  <si>
    <t>N. Brown</t>
  </si>
  <si>
    <t>2024-09-30T23:30:00Z</t>
  </si>
  <si>
    <t>J. Whyle</t>
  </si>
  <si>
    <t>2024-09-29T17:00:00Z</t>
  </si>
  <si>
    <t>2024-10-01T00:15:00Z</t>
  </si>
  <si>
    <t>S. Miller</t>
  </si>
  <si>
    <t>2024-09-27T00:15:00Z</t>
  </si>
  <si>
    <t>T. Tracy</t>
  </si>
  <si>
    <t>T. Huntley</t>
  </si>
  <si>
    <t>2024-09-29T20:25:00Z</t>
  </si>
  <si>
    <t>K. Turpin</t>
  </si>
  <si>
    <t>J. Brooks</t>
  </si>
  <si>
    <t>2024-09-30T00:20:00Z</t>
  </si>
  <si>
    <t>2024-10-06T20:05:00Z</t>
  </si>
  <si>
    <t>2024-10-04T00:15:00Z</t>
  </si>
  <si>
    <t>2024-10-06T17:00:00Z</t>
  </si>
  <si>
    <t>M. Valdes-Scantling</t>
  </si>
  <si>
    <t>R. Johnson</t>
  </si>
  <si>
    <t>E. All</t>
  </si>
  <si>
    <t>2024-10-07T00:20:00Z</t>
  </si>
  <si>
    <t>B. Melton</t>
  </si>
  <si>
    <t>2024-10-06T20:25:00Z</t>
  </si>
  <si>
    <t>M. Heath</t>
  </si>
  <si>
    <t>T. Goodson</t>
  </si>
  <si>
    <t>M. Alie-Cox</t>
  </si>
  <si>
    <t>J. Flacco</t>
  </si>
  <si>
    <t>L. Farrell</t>
  </si>
  <si>
    <t>T. Bigsby</t>
  </si>
  <si>
    <t>2024-10-08T00:15:00Z</t>
  </si>
  <si>
    <t>J. Smith-Schuster</t>
  </si>
  <si>
    <t>K. Hunt</t>
  </si>
  <si>
    <t>R. Rivers</t>
  </si>
  <si>
    <t>D. Turner</t>
  </si>
  <si>
    <t>H. Bryant</t>
  </si>
  <si>
    <t>O. Beckham Jr.</t>
  </si>
  <si>
    <t>2024-10-06T13:30:00Z</t>
  </si>
  <si>
    <t>K. Bourne</t>
  </si>
  <si>
    <t>M. Tipton</t>
  </si>
  <si>
    <t>E. Gray</t>
  </si>
  <si>
    <t>C. Austin III</t>
  </si>
  <si>
    <t>A. Shampklin</t>
  </si>
  <si>
    <t>D. Washington</t>
  </si>
  <si>
    <t>A. Barner</t>
  </si>
  <si>
    <t>L. McCaffrey</t>
  </si>
  <si>
    <t>D. Brown</t>
  </si>
  <si>
    <t>O. Zaccheaus</t>
  </si>
  <si>
    <t>J. Bates</t>
  </si>
  <si>
    <t>2024-10-13T17:00:00Z</t>
  </si>
  <si>
    <t>E. Higgins</t>
  </si>
  <si>
    <t>2024-10-13T20:25:00Z</t>
  </si>
  <si>
    <t>C. Kolar</t>
  </si>
  <si>
    <t>2024-10-15T00:15:00Z</t>
  </si>
  <si>
    <t>2024-10-13T13:30:00Z</t>
  </si>
  <si>
    <t>2024-10-14T00:20:00Z</t>
  </si>
  <si>
    <t>2024-10-13T20:05:00Z</t>
  </si>
  <si>
    <t>A. Trautman</t>
  </si>
  <si>
    <t>B. Wright</t>
  </si>
  <si>
    <t>B. Sims</t>
  </si>
  <si>
    <t>X. Hutchinson</t>
  </si>
  <si>
    <t>A. O'Connell</t>
  </si>
  <si>
    <t>D. Maye</t>
  </si>
  <si>
    <t>J. Hasty</t>
  </si>
  <si>
    <t>S. Rattler</t>
  </si>
  <si>
    <t>P. Brown</t>
  </si>
  <si>
    <t>2024-10-11T00:15:00Z</t>
  </si>
  <si>
    <t>J. McNichols</t>
  </si>
  <si>
    <t>2024-10-20T13:30:00Z</t>
  </si>
  <si>
    <t>K. Boutte</t>
  </si>
  <si>
    <t>2024-10-20T17:00:00Z</t>
  </si>
  <si>
    <t>P. Strong Jr.</t>
  </si>
  <si>
    <t>M. Rudolph</t>
  </si>
  <si>
    <t>N. Chubb</t>
  </si>
  <si>
    <t>G. Calcaterra</t>
  </si>
  <si>
    <t>J. Metchie III</t>
  </si>
  <si>
    <t>J. Wright</t>
  </si>
  <si>
    <t>2024-10-20T20:25:00Z</t>
  </si>
  <si>
    <t>2024-10-20T20:05:00Z</t>
  </si>
  <si>
    <t>J. Coker</t>
  </si>
  <si>
    <t>R. Pearsall</t>
  </si>
  <si>
    <t>A. Bachman</t>
  </si>
  <si>
    <t>A. Abdullah</t>
  </si>
  <si>
    <t>2024-10-21T00:20:00Z</t>
  </si>
  <si>
    <t>2024-10-22T01:00:00Z</t>
  </si>
  <si>
    <t>2024-10-22T00:15:00Z</t>
  </si>
  <si>
    <t>S. Shepard</t>
  </si>
  <si>
    <t>K. Vidal</t>
  </si>
  <si>
    <t>2024-10-27T17:00:00Z</t>
  </si>
  <si>
    <t>2024-10-27T20:05:00Z</t>
  </si>
  <si>
    <t>2024-10-27T20:25:00Z</t>
  </si>
  <si>
    <t>J. Winston</t>
  </si>
  <si>
    <t>2024-10-28T00:20:00Z</t>
  </si>
  <si>
    <t>T. Franklin</t>
  </si>
  <si>
    <t>2024-10-25T00:15:00Z</t>
  </si>
  <si>
    <t>T. Hockenson</t>
  </si>
  <si>
    <t>2024-10-29T00:15:00Z</t>
  </si>
  <si>
    <t>S. Tucker</t>
  </si>
  <si>
    <t>T. Palmer</t>
  </si>
  <si>
    <t>2024-11-03T18:00:00Z</t>
  </si>
  <si>
    <t>J. Burton</t>
  </si>
  <si>
    <t>T. Irwin</t>
  </si>
  <si>
    <t>L. Krull</t>
  </si>
  <si>
    <t>2024-11-03T21:25:00Z</t>
  </si>
  <si>
    <t>2024-11-01T00:15:00Z</t>
  </si>
  <si>
    <t>R. Woods</t>
  </si>
  <si>
    <t>C. Stover</t>
  </si>
  <si>
    <t>2024-11-04T01:20:00Z</t>
  </si>
  <si>
    <t>C. Wilson Jr.</t>
  </si>
  <si>
    <t>J. Bobo</t>
  </si>
  <si>
    <t>N. Westbrook-Ikhine</t>
  </si>
  <si>
    <t>2024-11-10T18:00:00Z</t>
  </si>
  <si>
    <t>2024-11-10T21:05:00Z</t>
  </si>
  <si>
    <t>R. Miller</t>
  </si>
  <si>
    <t>R. Jarrett</t>
  </si>
  <si>
    <t>2024-11-10T21:25:00Z</t>
  </si>
  <si>
    <t>2024-11-10T14:30:00Z</t>
  </si>
  <si>
    <t>2024-11-12T01:15:00Z</t>
  </si>
  <si>
    <t>M. Jones</t>
  </si>
  <si>
    <t>P. Washington</t>
  </si>
  <si>
    <t>A. Dulin</t>
  </si>
  <si>
    <t>2024-11-11T01:20:00Z</t>
  </si>
  <si>
    <t>C. Rush</t>
  </si>
  <si>
    <t>2024-11-08T01:15:00Z</t>
  </si>
  <si>
    <t>D. Sample</t>
  </si>
  <si>
    <t>T. Hudson</t>
  </si>
  <si>
    <t>K. Mitchell</t>
  </si>
  <si>
    <t>2024-11-17T21:05:00Z</t>
  </si>
  <si>
    <t>2024-11-17T18:00:00Z</t>
  </si>
  <si>
    <t>2024-11-17T21:25:00Z</t>
  </si>
  <si>
    <t>2024-11-18T01:20:00Z</t>
  </si>
  <si>
    <t>2024-11-19T01:15:00Z</t>
  </si>
  <si>
    <t>A. Estime</t>
  </si>
  <si>
    <t>2024-11-15T01:15:00Z</t>
  </si>
  <si>
    <t>2024-11-24T21:25:00Z</t>
  </si>
  <si>
    <t>2024-11-26T01:15:00Z</t>
  </si>
  <si>
    <t>2024-11-24T18:00:00Z</t>
  </si>
  <si>
    <t>2024-11-22T01:15:00Z</t>
  </si>
  <si>
    <t>R. Flournoy</t>
  </si>
  <si>
    <t>L. Schoonmaker</t>
  </si>
  <si>
    <t>2024-11-24T21:05:00Z</t>
  </si>
  <si>
    <t>C. Brooks</t>
  </si>
  <si>
    <t>J. Reagor</t>
  </si>
  <si>
    <t>M. Washington</t>
  </si>
  <si>
    <t>T. DeVito</t>
  </si>
  <si>
    <t>Player</t>
  </si>
  <si>
    <t>Tm</t>
  </si>
  <si>
    <t>Sk</t>
  </si>
  <si>
    <t>Yds</t>
  </si>
  <si>
    <t>Lng</t>
  </si>
  <si>
    <t>Rate</t>
  </si>
  <si>
    <t>TD</t>
  </si>
  <si>
    <t>Tgt</t>
  </si>
  <si>
    <t>Fmb</t>
  </si>
  <si>
    <t>FL</t>
  </si>
  <si>
    <t>Sam Darnold</t>
  </si>
  <si>
    <t>Sam</t>
  </si>
  <si>
    <t>Nick Mullens</t>
  </si>
  <si>
    <t>Nick</t>
  </si>
  <si>
    <t>Mullens</t>
  </si>
  <si>
    <t>Aaron Jones</t>
  </si>
  <si>
    <t>Aaron</t>
  </si>
  <si>
    <t>Cam Akers</t>
  </si>
  <si>
    <t>Cam</t>
  </si>
  <si>
    <t>Akers</t>
  </si>
  <si>
    <t>Jordan Addison</t>
  </si>
  <si>
    <t>Jordan</t>
  </si>
  <si>
    <t>T.J. Hockenson</t>
  </si>
  <si>
    <t>T.J.</t>
  </si>
  <si>
    <t>Hockenson</t>
  </si>
  <si>
    <t>Justin Jefferson</t>
  </si>
  <si>
    <t>Justin</t>
  </si>
  <si>
    <t>Johnny Mundt</t>
  </si>
  <si>
    <t>Johnny</t>
  </si>
  <si>
    <t>Jalen Nailor</t>
  </si>
  <si>
    <t>Jalen</t>
  </si>
  <si>
    <t>Nailor</t>
  </si>
  <si>
    <t>C.J. Ham</t>
  </si>
  <si>
    <t>C.J.</t>
  </si>
  <si>
    <t>Ham</t>
  </si>
  <si>
    <t>Caleb Williams</t>
  </si>
  <si>
    <t>Caleb</t>
  </si>
  <si>
    <t>D.J. Moore</t>
  </si>
  <si>
    <t>D.J.</t>
  </si>
  <si>
    <t>D'Andre Swift</t>
  </si>
  <si>
    <t>D'Andre</t>
  </si>
  <si>
    <t>Roschon Johnson</t>
  </si>
  <si>
    <t>Roschon</t>
  </si>
  <si>
    <t>Keenan Allen</t>
  </si>
  <si>
    <t>Keenan</t>
  </si>
  <si>
    <t>Cole Kmet</t>
  </si>
  <si>
    <t>Cole</t>
  </si>
  <si>
    <t>Rome Odunze</t>
  </si>
  <si>
    <t>Rome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</si>
</sst>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%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1" numFmtId="0" xfId="0" applyFont="1"/>
    <xf borderId="0" fillId="0" fontId="1" numFmtId="10" xfId="0" applyFont="1" applyNumberFormat="1"/>
    <xf borderId="0" fillId="0" fontId="1" numFmtId="3" xfId="0" applyFont="1" applyNumberFormat="1"/>
    <xf borderId="0" fillId="0" fontId="1" numFmtId="10" xfId="0" applyAlignment="1" applyFont="1" applyNumberFormat="1">
      <alignment readingOrder="0"/>
    </xf>
    <xf borderId="0" fillId="0" fontId="1" numFmtId="1" xfId="0" applyFont="1" applyNumberFormat="1"/>
    <xf borderId="0" fillId="2" fontId="2" numFmtId="0" xfId="0" applyFill="1" applyFont="1"/>
    <xf borderId="0" fillId="2" fontId="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>
      <c r="A2" s="1" t="s">
        <v>22</v>
      </c>
      <c r="B2" s="2">
        <f>'Week 1'!AH1</f>
        <v>0.537428023</v>
      </c>
      <c r="C2" s="3">
        <f>'Week 1'!AG1</f>
        <v>-21.15337122</v>
      </c>
      <c r="D2" s="3">
        <f>'Week 1'!AL11</f>
        <v>35.02110415</v>
      </c>
      <c r="E2" s="3">
        <f>'Week 1'!AL12</f>
        <v>-56.17447536</v>
      </c>
      <c r="F2" s="3">
        <f>('Week 1'!AI11+'Week 2'!AI11+'Week 3'!AI11+'Week 4'!AI11+'Week 5'!AI11)/('Week 1'!AJ11+'Week 2'!AJ11+'Week 3'!AJ11+'Week 4'!AJ11+'Week 5'!AJ11)</f>
        <v>0.7360248447</v>
      </c>
      <c r="G2" s="3">
        <f>('Week 1'!AI12+'Week 2'!AI12+'Week 3'!AI12+'Week 4'!AI12+'Week 5'!AI12)/('Week 1'!AJ12+'Week 2'!AJ12+'Week 3'!AJ12+'Week 4'!AJ12+'Week 5'!AJ12)</f>
        <v>0.2428825623</v>
      </c>
      <c r="H2" s="3">
        <f>'Week 1'!AI32</f>
        <v>59</v>
      </c>
      <c r="I2" s="4">
        <f>H2/count('Week 1'!AC:AC)</f>
        <v>0.113243762</v>
      </c>
      <c r="J2" s="5">
        <f>'Week 1'!AQ$19</f>
        <v>-1</v>
      </c>
      <c r="K2" s="5">
        <f>'Week 1'!AQ$20</f>
        <v>-1</v>
      </c>
      <c r="L2" s="5">
        <f>'Week 1'!AQ$21</f>
        <v>0</v>
      </c>
      <c r="M2" s="5">
        <f>'Week 1'!AQ$23</f>
        <v>1</v>
      </c>
      <c r="N2" s="5">
        <f>'Week 1'!AQ$24</f>
        <v>0</v>
      </c>
      <c r="O2" s="5">
        <f>'Week 1'!AQ$26</f>
        <v>0</v>
      </c>
      <c r="P2" s="5">
        <f>'Week 1'!AQ$27</f>
        <v>0</v>
      </c>
      <c r="Q2" s="5">
        <f>'Week 1'!AQ$28</f>
        <v>0</v>
      </c>
      <c r="R2" s="5">
        <f>'Week 1'!AQ$29</f>
        <v>0</v>
      </c>
      <c r="S2" s="5">
        <f>'Week 1'!AQ$30</f>
        <v>-1</v>
      </c>
      <c r="T2" s="3">
        <f>'Week 1'!AK$4</f>
        <v>0.5229885057</v>
      </c>
      <c r="U2" s="3">
        <f>'Week 1'!AK$5</f>
        <v>0.5029585799</v>
      </c>
      <c r="V2" s="3">
        <f>'Week 1'!AK$6</f>
        <v>0.7</v>
      </c>
      <c r="W2" s="3">
        <f>'Week 1'!AK$7</f>
        <v>0.5390625</v>
      </c>
    </row>
    <row r="3">
      <c r="A3" s="1" t="s">
        <v>23</v>
      </c>
      <c r="B3" s="2">
        <f>'Week 2'!AH1</f>
        <v>0.5373961219</v>
      </c>
      <c r="C3" s="3">
        <f>'Week 2'!AG1</f>
        <v>10.76875051</v>
      </c>
      <c r="D3" s="3">
        <f>'Week 2'!AL11</f>
        <v>10.96460382</v>
      </c>
      <c r="E3" s="3">
        <f>'Week 2'!AL12</f>
        <v>-0.1958533019</v>
      </c>
      <c r="F3" s="1" t="s">
        <v>24</v>
      </c>
      <c r="G3" s="1" t="s">
        <v>25</v>
      </c>
      <c r="H3" s="3">
        <f>'Week 2'!AI32</f>
        <v>39</v>
      </c>
      <c r="I3" s="4">
        <f>H3/count('Week 2'!AC:AC)</f>
        <v>0.108033241</v>
      </c>
      <c r="J3" s="5">
        <f>'Week 2'!AQ$19</f>
        <v>0</v>
      </c>
      <c r="K3" s="5">
        <f>'Week 2'!AQ$20</f>
        <v>0</v>
      </c>
      <c r="L3" s="5">
        <f>'Week 2'!AQ$21</f>
        <v>-1</v>
      </c>
      <c r="M3" s="5">
        <f>'Week 2'!AQ$23</f>
        <v>1</v>
      </c>
      <c r="N3" s="5">
        <f>'Week 2'!AQ$24</f>
        <v>0</v>
      </c>
      <c r="O3" s="5">
        <f>'Week 2'!AQ$26</f>
        <v>1</v>
      </c>
      <c r="P3" s="5">
        <f>'Week 2'!AQ$27</f>
        <v>0</v>
      </c>
      <c r="Q3" s="5">
        <f>'Week 2'!AQ$28</f>
        <v>-1</v>
      </c>
      <c r="R3" s="5">
        <f>'Week 2'!AQ$29</f>
        <v>-1</v>
      </c>
      <c r="S3" s="5">
        <f>'Week 2'!AQ$30</f>
        <v>-1</v>
      </c>
      <c r="T3" s="3">
        <f>'Week 2'!AK$4</f>
        <v>0.5922330097</v>
      </c>
      <c r="U3" s="3">
        <f>'Week 2'!AK$5</f>
        <v>0.4574468085</v>
      </c>
      <c r="V3" s="3">
        <f>'Week 2'!AK$6</f>
        <v>0.6341463415</v>
      </c>
      <c r="W3" s="3">
        <f>'Week 2'!AK$7</f>
        <v>0.5203252033</v>
      </c>
    </row>
    <row r="4">
      <c r="A4" s="1" t="s">
        <v>26</v>
      </c>
      <c r="B4" s="2">
        <f>'Week 3'!AH1</f>
        <v>0.5107438017</v>
      </c>
      <c r="C4" s="3">
        <f>'Week 3'!AG$1</f>
        <v>-31.9095227</v>
      </c>
      <c r="D4" s="3">
        <f>'Week 3'!AL$11</f>
        <v>5.500749953</v>
      </c>
      <c r="E4" s="3">
        <f>'Week 3'!AL$12</f>
        <v>-37.41027265</v>
      </c>
      <c r="F4" s="3">
        <f>COUNTIF('Week 1'!AB:AB, "=0")+COUNTIF('Week 2'!AB:AB, "=0")+COUNTIF('Week 3'!AB:AB, "=0")+COUNTIF('Week 4'!AB:AB, "=0")</f>
        <v>1027</v>
      </c>
      <c r="G4" s="3">
        <f>COUNTIF('Week 1'!AB:AB, "=1")+COUNTIF('Week 2'!AB:AB, "=1")+COUNTIF('Week 3'!AB:AB, "=1")+COUNTIF('Week 4'!AB:AB, "=1")</f>
        <v>874</v>
      </c>
      <c r="H4" s="3">
        <f>'Week 3'!AI$32</f>
        <v>62</v>
      </c>
      <c r="I4" s="4">
        <f>H4/count('Week 3'!AC:AC)</f>
        <v>0.1024793388</v>
      </c>
      <c r="J4" s="5">
        <f>'Week 3'!AQ$19</f>
        <v>0</v>
      </c>
      <c r="K4" s="5">
        <f>'Week 3'!AQ$20</f>
        <v>0</v>
      </c>
      <c r="L4" s="5">
        <f>'Week 3'!AQ$21</f>
        <v>0</v>
      </c>
      <c r="M4" s="5">
        <f>'Week 3'!AQ$23</f>
        <v>0</v>
      </c>
      <c r="N4" s="5">
        <f>'Week 3'!AQ$24</f>
        <v>0</v>
      </c>
      <c r="O4" s="5">
        <f>'Week 3'!AQ$26</f>
        <v>1</v>
      </c>
      <c r="P4" s="5">
        <f>'Week 3'!AQ$27</f>
        <v>0</v>
      </c>
      <c r="Q4" s="5">
        <f>'Week 3'!AQ$28</f>
        <v>-1</v>
      </c>
      <c r="R4" s="5">
        <f>'Week 3'!AQ$29</f>
        <v>0</v>
      </c>
      <c r="S4" s="5">
        <f>'Week 3'!AQ$30</f>
        <v>-1</v>
      </c>
      <c r="T4" s="3">
        <f>'Week 3'!AK$4</f>
        <v>0.4489795918</v>
      </c>
      <c r="U4" s="3">
        <f>'Week 3'!AK$5</f>
        <v>0.54</v>
      </c>
      <c r="V4" s="3">
        <f>'Week 3'!AK$6</f>
        <v>0.6</v>
      </c>
      <c r="W4" s="3">
        <f>'Week 3'!AK$7</f>
        <v>0.5138888889</v>
      </c>
    </row>
    <row r="5">
      <c r="A5" s="1" t="s">
        <v>27</v>
      </c>
      <c r="B5" s="2">
        <f>'Week 4'!AH$1</f>
        <v>0.4710144928</v>
      </c>
      <c r="C5" s="3">
        <f>'Week 4'!AG$1</f>
        <v>-26.5107477</v>
      </c>
      <c r="D5" s="3">
        <f>'Week 4'!AL$11</f>
        <v>-10.83982512</v>
      </c>
      <c r="E5" s="3">
        <f>'Week 4'!AL$12</f>
        <v>-15.67092258</v>
      </c>
      <c r="F5" s="3">
        <f>F4/(F4+G4)</f>
        <v>0.5402419779</v>
      </c>
      <c r="G5" s="3">
        <f>G4/(F4+G4)</f>
        <v>0.4597580221</v>
      </c>
      <c r="H5" s="3">
        <f>'Week 4'!AI$32</f>
        <v>37</v>
      </c>
      <c r="I5" s="4">
        <f>H5/count('Week 4'!AC:AC)</f>
        <v>0.08937198068</v>
      </c>
      <c r="J5" s="5">
        <f>'Week 4'!AQ$19</f>
        <v>1</v>
      </c>
      <c r="K5" s="5">
        <f>'Week 4'!AQ$20</f>
        <v>-1</v>
      </c>
      <c r="L5" s="5">
        <f>'Week 4'!AQ$21</f>
        <v>0</v>
      </c>
      <c r="M5" s="5">
        <f>'Week 4'!AQ$23</f>
        <v>0</v>
      </c>
      <c r="N5" s="5">
        <f>'Week 4'!AQ$24</f>
        <v>0</v>
      </c>
      <c r="O5" s="5">
        <f>'Week 4'!AQ$26</f>
        <v>-1</v>
      </c>
      <c r="P5" s="5">
        <f>'Week 4'!AQ$27</f>
        <v>-1</v>
      </c>
      <c r="Q5" s="5">
        <f>'Week 4'!AQ$28</f>
        <v>0</v>
      </c>
      <c r="R5" s="5">
        <f>'Week 4'!AQ$29</f>
        <v>0</v>
      </c>
      <c r="S5" s="5">
        <f>'Week 4'!AQ$30</f>
        <v>-1</v>
      </c>
      <c r="T5" s="3">
        <f>'Week 4'!AK$4</f>
        <v>0.3928571429</v>
      </c>
      <c r="U5" s="3">
        <f>'Week 4'!AK$5</f>
        <v>0.5486725664</v>
      </c>
      <c r="V5" s="3">
        <f>'Week 4'!AK$6</f>
        <v>0.4722222222</v>
      </c>
      <c r="W5" s="3">
        <f>'Week 4'!AK$7</f>
        <v>0.488</v>
      </c>
    </row>
    <row r="6">
      <c r="A6" s="1" t="s">
        <v>28</v>
      </c>
      <c r="B6" s="2">
        <f>'Week 5'!AH$1</f>
        <v>0.4755381605</v>
      </c>
      <c r="C6" s="3">
        <f>'Week 5'!AG$1</f>
        <v>-75.86642013</v>
      </c>
      <c r="D6" s="3">
        <f>'Week 5'!AL$11</f>
        <v>-31.08965484</v>
      </c>
      <c r="E6" s="3">
        <f>'Week 5'!AL$12</f>
        <v>-44.77676529</v>
      </c>
      <c r="H6" s="3">
        <f>'Week 5'!AI$32</f>
        <v>46</v>
      </c>
      <c r="I6" s="4">
        <f>H6/count('Week 5'!AC:AC)</f>
        <v>0.09001956947</v>
      </c>
      <c r="J6" s="5">
        <f>'Week 5'!AQ$19</f>
        <v>0</v>
      </c>
      <c r="K6" s="5">
        <f>'Week 5'!AQ$20</f>
        <v>-1</v>
      </c>
      <c r="L6" s="5">
        <f>'Week 5'!AQ$21</f>
        <v>0</v>
      </c>
      <c r="M6" s="5">
        <f>'Week 5'!AQ$23</f>
        <v>-1</v>
      </c>
      <c r="N6" s="5">
        <f>'Week 5'!AQ$24</f>
        <v>0</v>
      </c>
      <c r="O6" s="5">
        <f>'Week 5'!AQ$26</f>
        <v>0</v>
      </c>
      <c r="P6" s="5">
        <f>'Week 5'!AQ$27</f>
        <v>0</v>
      </c>
      <c r="Q6" s="5">
        <f>'Week 5'!AQ$28</f>
        <v>-1</v>
      </c>
      <c r="R6" s="5">
        <f>'Week 5'!AQ$29</f>
        <v>0</v>
      </c>
      <c r="S6" s="5">
        <f>'Week 5'!AQ$30</f>
        <v>-1</v>
      </c>
      <c r="T6" s="3">
        <f>'Week 5'!AK$4</f>
        <v>0.4846625767</v>
      </c>
      <c r="U6" s="3">
        <f>'Week 5'!AK$5</f>
        <v>0.5161290323</v>
      </c>
      <c r="V6" s="3">
        <f>'Week 5'!AK$6</f>
        <v>0.35</v>
      </c>
      <c r="W6" s="3">
        <f>'Week 5'!AK$7</f>
        <v>0.4736842105</v>
      </c>
    </row>
    <row r="19">
      <c r="B19" s="2">
        <f>AVERAGE(B2:B18)</f>
        <v>0.50642412</v>
      </c>
      <c r="C19" s="3">
        <f t="shared" ref="C19:E19" si="1">sum(C2:C18)</f>
        <v>-144.6713112</v>
      </c>
      <c r="D19" s="3">
        <f t="shared" si="1"/>
        <v>9.556977957</v>
      </c>
      <c r="E19" s="3">
        <f t="shared" si="1"/>
        <v>-154.2282892</v>
      </c>
      <c r="H19" s="3">
        <f>AVERAGE(H2:H18)</f>
        <v>48.6</v>
      </c>
    </row>
  </sheetData>
  <conditionalFormatting sqref="J2:S19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T2:W22">
    <cfRule type="colorScale" priority="2">
      <colorScale>
        <cfvo type="min"/>
        <cfvo type="percentile" val="50"/>
        <cfvo type="max"/>
        <color rgb="FFEA9999"/>
        <color rgb="FFFFFFFF"/>
        <color rgb="FF57BB8A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6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/>
      <c r="U1" s="1" t="s">
        <v>48</v>
      </c>
      <c r="V1" s="1" t="s">
        <v>49</v>
      </c>
      <c r="W1" s="1" t="s">
        <v>50</v>
      </c>
      <c r="X1" s="1" t="s">
        <v>51</v>
      </c>
      <c r="Z1" s="3">
        <f>IFERROR(VLOOKUP(X1,'Stat data'!$C$1:AB9631, MATCH(A1,'Stat data'!$C$1:$Y$1,0), FALSE),0)</f>
        <v>0</v>
      </c>
      <c r="AA1" s="1" t="s">
        <v>52</v>
      </c>
      <c r="AB1" s="1" t="s">
        <v>53</v>
      </c>
      <c r="AC1" s="1" t="s">
        <v>54</v>
      </c>
      <c r="AD1" s="1" t="s">
        <v>55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>
      <c r="A2" s="1" t="s">
        <v>14</v>
      </c>
      <c r="B2" s="1" t="s">
        <v>56</v>
      </c>
      <c r="C2" s="1" t="s">
        <v>21</v>
      </c>
      <c r="D2" s="1" t="s">
        <v>57</v>
      </c>
      <c r="E2" s="1" t="s">
        <v>58</v>
      </c>
      <c r="F2" s="1" t="s">
        <v>59</v>
      </c>
      <c r="G2" s="1">
        <v>0.5</v>
      </c>
      <c r="H2" s="1" t="s">
        <v>60</v>
      </c>
      <c r="I2" s="1">
        <v>-237.0</v>
      </c>
      <c r="J2" s="1">
        <v>-0.213992305519287</v>
      </c>
      <c r="K2" s="1" t="s">
        <v>61</v>
      </c>
      <c r="L2" s="1" t="s">
        <v>61</v>
      </c>
      <c r="M2" s="1" t="s">
        <v>62</v>
      </c>
      <c r="N2" s="1">
        <v>176.0</v>
      </c>
      <c r="O2" s="1">
        <v>0.148415604927536</v>
      </c>
      <c r="P2" s="1" t="s">
        <v>61</v>
      </c>
      <c r="Q2" s="1" t="s">
        <v>61</v>
      </c>
      <c r="R2" s="1">
        <v>0.148415604927536</v>
      </c>
      <c r="S2" s="1">
        <v>176.0</v>
      </c>
      <c r="T2" s="1">
        <f t="shared" ref="T2:T474" si="1">if(S2&gt;0, S2/100, -100/S2) + 1</f>
        <v>2.76</v>
      </c>
      <c r="U2" s="1">
        <v>0.0</v>
      </c>
      <c r="V2" s="3">
        <v>3.0</v>
      </c>
      <c r="W2" s="3" t="s">
        <v>63</v>
      </c>
      <c r="X2" s="3" t="s">
        <v>64</v>
      </c>
      <c r="Z2" s="3">
        <v>0.0</v>
      </c>
      <c r="AA2" s="3">
        <v>0.0</v>
      </c>
      <c r="AB2" s="3">
        <v>1.0</v>
      </c>
      <c r="AC2" s="3">
        <v>5.28</v>
      </c>
      <c r="AD2" s="3">
        <v>5.28</v>
      </c>
    </row>
    <row r="3">
      <c r="A3" s="1" t="s">
        <v>14</v>
      </c>
      <c r="B3" s="1" t="s">
        <v>65</v>
      </c>
      <c r="C3" s="1" t="s">
        <v>21</v>
      </c>
      <c r="D3" s="1" t="s">
        <v>66</v>
      </c>
      <c r="E3" s="1" t="s">
        <v>67</v>
      </c>
      <c r="F3" s="1" t="s">
        <v>59</v>
      </c>
      <c r="G3" s="1">
        <v>0.5</v>
      </c>
      <c r="H3" s="1" t="s">
        <v>60</v>
      </c>
      <c r="I3" s="1">
        <v>-217.0</v>
      </c>
      <c r="J3" s="1">
        <v>-0.284842292151419</v>
      </c>
      <c r="K3" s="1" t="s">
        <v>61</v>
      </c>
      <c r="L3" s="1" t="s">
        <v>61</v>
      </c>
      <c r="M3" s="1" t="s">
        <v>62</v>
      </c>
      <c r="N3" s="1">
        <v>161.0</v>
      </c>
      <c r="O3" s="1">
        <v>0.217157879739463</v>
      </c>
      <c r="P3" s="1" t="s">
        <v>61</v>
      </c>
      <c r="Q3" s="1" t="s">
        <v>61</v>
      </c>
      <c r="R3" s="1">
        <v>0.217157879739463</v>
      </c>
      <c r="S3" s="1">
        <v>161.0</v>
      </c>
      <c r="T3" s="1">
        <f t="shared" si="1"/>
        <v>2.61</v>
      </c>
      <c r="U3" s="1">
        <v>0.0</v>
      </c>
      <c r="V3" s="3">
        <v>3.0</v>
      </c>
      <c r="W3" s="3" t="s">
        <v>68</v>
      </c>
      <c r="X3" s="3" t="s">
        <v>69</v>
      </c>
      <c r="Z3" s="3">
        <v>0.0</v>
      </c>
      <c r="AA3" s="3">
        <v>0.0</v>
      </c>
      <c r="AB3" s="3">
        <v>1.0</v>
      </c>
      <c r="AC3" s="3">
        <v>4.83</v>
      </c>
      <c r="AD3" s="3">
        <v>4.83</v>
      </c>
    </row>
    <row r="4">
      <c r="A4" s="1" t="s">
        <v>12</v>
      </c>
      <c r="B4" s="1" t="s">
        <v>70</v>
      </c>
      <c r="C4" s="1" t="s">
        <v>20</v>
      </c>
      <c r="D4" s="1" t="s">
        <v>71</v>
      </c>
      <c r="E4" s="1" t="s">
        <v>72</v>
      </c>
      <c r="F4" s="1" t="s">
        <v>59</v>
      </c>
      <c r="G4" s="1">
        <v>1.5</v>
      </c>
      <c r="H4" s="1" t="s">
        <v>60</v>
      </c>
      <c r="I4" s="1">
        <v>-200.0</v>
      </c>
      <c r="J4" s="1">
        <v>-0.303093497149999</v>
      </c>
      <c r="K4" s="1" t="s">
        <v>61</v>
      </c>
      <c r="L4" s="1" t="s">
        <v>61</v>
      </c>
      <c r="M4" s="1" t="s">
        <v>62</v>
      </c>
      <c r="N4" s="1">
        <v>150.0</v>
      </c>
      <c r="O4" s="1">
        <v>0.236432196579999</v>
      </c>
      <c r="P4" s="1" t="s">
        <v>61</v>
      </c>
      <c r="Q4" s="1" t="s">
        <v>61</v>
      </c>
      <c r="R4" s="1">
        <v>0.236432196579999</v>
      </c>
      <c r="S4" s="1">
        <v>150.0</v>
      </c>
      <c r="T4" s="1">
        <f t="shared" si="1"/>
        <v>2.5</v>
      </c>
      <c r="U4" s="1">
        <v>0.0</v>
      </c>
      <c r="V4" s="3">
        <v>3.0</v>
      </c>
      <c r="W4" s="3" t="s">
        <v>73</v>
      </c>
      <c r="X4" s="3" t="s">
        <v>74</v>
      </c>
      <c r="Z4" s="3">
        <v>0.0</v>
      </c>
      <c r="AA4" s="3">
        <v>0.0</v>
      </c>
      <c r="AB4" s="3">
        <v>1.0</v>
      </c>
      <c r="AC4" s="3">
        <v>4.5</v>
      </c>
      <c r="AD4" s="3">
        <v>4.5</v>
      </c>
    </row>
    <row r="5">
      <c r="A5" s="1" t="s">
        <v>14</v>
      </c>
      <c r="B5" s="1" t="s">
        <v>75</v>
      </c>
      <c r="C5" s="1" t="s">
        <v>21</v>
      </c>
      <c r="D5" s="1" t="s">
        <v>76</v>
      </c>
      <c r="E5" s="1" t="s">
        <v>77</v>
      </c>
      <c r="F5" s="1" t="s">
        <v>78</v>
      </c>
      <c r="G5" s="1">
        <v>1.5</v>
      </c>
      <c r="H5" s="1" t="s">
        <v>60</v>
      </c>
      <c r="I5" s="1">
        <v>-187.0</v>
      </c>
      <c r="J5" s="6">
        <v>-0.193702787456446</v>
      </c>
      <c r="K5" s="1" t="s">
        <v>61</v>
      </c>
      <c r="L5" s="1" t="s">
        <v>61</v>
      </c>
      <c r="M5" s="1" t="s">
        <v>62</v>
      </c>
      <c r="N5" s="1">
        <v>138.0</v>
      </c>
      <c r="O5" s="6">
        <v>0.121973949579831</v>
      </c>
      <c r="P5" s="1" t="s">
        <v>61</v>
      </c>
      <c r="Q5" s="1" t="s">
        <v>61</v>
      </c>
      <c r="R5" s="6">
        <v>0.121973949579831</v>
      </c>
      <c r="S5" s="1">
        <v>138.0</v>
      </c>
      <c r="T5" s="1">
        <f t="shared" si="1"/>
        <v>2.38</v>
      </c>
      <c r="U5" s="1">
        <v>0.0</v>
      </c>
      <c r="V5" s="3">
        <v>3.0</v>
      </c>
      <c r="W5" s="3" t="s">
        <v>79</v>
      </c>
      <c r="X5" s="3" t="s">
        <v>80</v>
      </c>
      <c r="Z5" s="3">
        <v>1.0</v>
      </c>
      <c r="AA5" s="3">
        <v>0.0</v>
      </c>
      <c r="AB5" s="3">
        <v>1.0</v>
      </c>
      <c r="AC5" s="3">
        <v>4.14</v>
      </c>
      <c r="AD5" s="3">
        <v>4.14</v>
      </c>
    </row>
    <row r="6">
      <c r="A6" s="1" t="s">
        <v>12</v>
      </c>
      <c r="B6" s="1" t="s">
        <v>81</v>
      </c>
      <c r="C6" s="1" t="s">
        <v>20</v>
      </c>
      <c r="D6" s="1" t="s">
        <v>82</v>
      </c>
      <c r="E6" s="1" t="s">
        <v>83</v>
      </c>
      <c r="F6" s="1" t="s">
        <v>84</v>
      </c>
      <c r="G6" s="1">
        <v>2.5</v>
      </c>
      <c r="H6" s="1" t="s">
        <v>60</v>
      </c>
      <c r="I6" s="1">
        <v>-177.0</v>
      </c>
      <c r="J6" s="1">
        <v>-0.269351312599277</v>
      </c>
      <c r="K6" s="1" t="s">
        <v>61</v>
      </c>
      <c r="L6" s="1" t="s">
        <v>61</v>
      </c>
      <c r="M6" s="1" t="s">
        <v>62</v>
      </c>
      <c r="N6" s="1">
        <v>133.0</v>
      </c>
      <c r="O6" s="1">
        <v>0.201170444592274</v>
      </c>
      <c r="P6" s="1" t="s">
        <v>61</v>
      </c>
      <c r="Q6" s="1" t="s">
        <v>61</v>
      </c>
      <c r="R6" s="1">
        <v>0.201170444592274</v>
      </c>
      <c r="S6" s="1">
        <v>133.0</v>
      </c>
      <c r="T6" s="1">
        <f t="shared" si="1"/>
        <v>2.33</v>
      </c>
      <c r="U6" s="1">
        <v>0.0</v>
      </c>
      <c r="V6" s="3">
        <v>3.0</v>
      </c>
      <c r="W6" s="3" t="s">
        <v>85</v>
      </c>
      <c r="X6" s="3" t="s">
        <v>86</v>
      </c>
      <c r="Z6" s="3">
        <v>2.0</v>
      </c>
      <c r="AA6" s="3">
        <v>0.0</v>
      </c>
      <c r="AB6" s="3">
        <v>1.0</v>
      </c>
      <c r="AC6" s="3">
        <v>3.99</v>
      </c>
      <c r="AD6" s="3">
        <v>3.99</v>
      </c>
    </row>
    <row r="7">
      <c r="A7" s="1" t="s">
        <v>12</v>
      </c>
      <c r="B7" s="1" t="s">
        <v>87</v>
      </c>
      <c r="C7" s="1" t="s">
        <v>18</v>
      </c>
      <c r="D7" s="1" t="s">
        <v>88</v>
      </c>
      <c r="E7" s="1" t="s">
        <v>89</v>
      </c>
      <c r="F7" s="1" t="s">
        <v>90</v>
      </c>
      <c r="G7" s="1">
        <v>1.5</v>
      </c>
      <c r="H7" s="1" t="s">
        <v>60</v>
      </c>
      <c r="I7" s="1">
        <v>-173.0</v>
      </c>
      <c r="J7" s="1">
        <v>-0.250335439666666</v>
      </c>
      <c r="K7" s="1" t="s">
        <v>61</v>
      </c>
      <c r="L7" s="1" t="s">
        <v>61</v>
      </c>
      <c r="M7" s="1" t="s">
        <v>62</v>
      </c>
      <c r="N7" s="1">
        <v>130.0</v>
      </c>
      <c r="O7" s="1">
        <v>0.181859891430434</v>
      </c>
      <c r="P7" s="1" t="s">
        <v>61</v>
      </c>
      <c r="Q7" s="1" t="s">
        <v>61</v>
      </c>
      <c r="R7" s="1">
        <v>0.181859891430434</v>
      </c>
      <c r="S7" s="1">
        <v>130.0</v>
      </c>
      <c r="T7" s="1">
        <f t="shared" si="1"/>
        <v>2.3</v>
      </c>
      <c r="U7" s="1">
        <v>0.0</v>
      </c>
      <c r="V7" s="3">
        <v>3.0</v>
      </c>
      <c r="W7" s="3" t="s">
        <v>68</v>
      </c>
      <c r="X7" s="3" t="s">
        <v>91</v>
      </c>
      <c r="Z7" s="3">
        <v>1.0</v>
      </c>
      <c r="AA7" s="3">
        <v>0.0</v>
      </c>
      <c r="AB7" s="3">
        <v>1.0</v>
      </c>
      <c r="AC7" s="3">
        <v>3.9000000000000004</v>
      </c>
      <c r="AD7" s="3">
        <v>3.9000000000000004</v>
      </c>
    </row>
    <row r="8">
      <c r="A8" s="1" t="s">
        <v>12</v>
      </c>
      <c r="B8" s="1" t="s">
        <v>92</v>
      </c>
      <c r="C8" s="1" t="s">
        <v>19</v>
      </c>
      <c r="D8" s="1" t="s">
        <v>93</v>
      </c>
      <c r="E8" s="1" t="s">
        <v>94</v>
      </c>
      <c r="F8" s="1" t="s">
        <v>59</v>
      </c>
      <c r="G8" s="1">
        <v>2.5</v>
      </c>
      <c r="H8" s="1" t="s">
        <v>60</v>
      </c>
      <c r="I8" s="1">
        <v>-169.0</v>
      </c>
      <c r="J8" s="1">
        <v>-0.291614349256505</v>
      </c>
      <c r="K8" s="1" t="s">
        <v>61</v>
      </c>
      <c r="L8" s="1" t="s">
        <v>61</v>
      </c>
      <c r="M8" s="1" t="s">
        <v>62</v>
      </c>
      <c r="N8" s="1">
        <v>126.0</v>
      </c>
      <c r="O8" s="1">
        <v>0.220876371460176</v>
      </c>
      <c r="P8" s="1" t="s">
        <v>61</v>
      </c>
      <c r="Q8" s="1" t="s">
        <v>61</v>
      </c>
      <c r="R8" s="1">
        <v>0.220876371460176</v>
      </c>
      <c r="S8" s="1">
        <v>126.0</v>
      </c>
      <c r="T8" s="1">
        <f t="shared" si="1"/>
        <v>2.26</v>
      </c>
      <c r="U8" s="1">
        <v>0.0</v>
      </c>
      <c r="V8" s="3">
        <v>3.0</v>
      </c>
      <c r="W8" s="3" t="s">
        <v>95</v>
      </c>
      <c r="X8" s="3" t="s">
        <v>96</v>
      </c>
      <c r="Y8" s="3" t="s">
        <v>97</v>
      </c>
      <c r="Z8" s="3">
        <v>2.0</v>
      </c>
      <c r="AA8" s="3">
        <v>0.0</v>
      </c>
      <c r="AB8" s="3">
        <v>1.0</v>
      </c>
      <c r="AC8" s="3">
        <v>3.7800000000000002</v>
      </c>
      <c r="AD8" s="3">
        <v>3.7800000000000002</v>
      </c>
    </row>
    <row r="9">
      <c r="A9" s="1" t="s">
        <v>12</v>
      </c>
      <c r="B9" s="1" t="s">
        <v>98</v>
      </c>
      <c r="C9" s="1" t="s">
        <v>19</v>
      </c>
      <c r="D9" s="1" t="s">
        <v>99</v>
      </c>
      <c r="E9" s="1" t="s">
        <v>100</v>
      </c>
      <c r="F9" s="1" t="s">
        <v>59</v>
      </c>
      <c r="G9" s="1">
        <v>1.5</v>
      </c>
      <c r="H9" s="1" t="s">
        <v>60</v>
      </c>
      <c r="I9" s="1">
        <v>-165.0</v>
      </c>
      <c r="J9" s="1">
        <v>-0.270210571950943</v>
      </c>
      <c r="K9" s="1" t="s">
        <v>61</v>
      </c>
      <c r="L9" s="1" t="s">
        <v>61</v>
      </c>
      <c r="M9" s="1" t="s">
        <v>62</v>
      </c>
      <c r="N9" s="1">
        <v>125.0</v>
      </c>
      <c r="O9" s="1">
        <v>0.203136895853333</v>
      </c>
      <c r="P9" s="1" t="s">
        <v>61</v>
      </c>
      <c r="Q9" s="1" t="s">
        <v>61</v>
      </c>
      <c r="R9" s="1">
        <v>0.203136895853333</v>
      </c>
      <c r="S9" s="1">
        <v>125.0</v>
      </c>
      <c r="T9" s="1">
        <f t="shared" si="1"/>
        <v>2.25</v>
      </c>
      <c r="U9" s="1">
        <v>0.0</v>
      </c>
      <c r="V9" s="3">
        <v>3.0</v>
      </c>
      <c r="W9" s="3" t="s">
        <v>101</v>
      </c>
      <c r="X9" s="3" t="s">
        <v>102</v>
      </c>
      <c r="Z9" s="3">
        <v>0.0</v>
      </c>
      <c r="AA9" s="3">
        <v>0.0</v>
      </c>
      <c r="AB9" s="3">
        <v>1.0</v>
      </c>
      <c r="AC9" s="3">
        <v>3.75</v>
      </c>
      <c r="AD9" s="3">
        <v>3.75</v>
      </c>
    </row>
    <row r="10">
      <c r="A10" s="1" t="s">
        <v>12</v>
      </c>
      <c r="B10" s="1" t="s">
        <v>103</v>
      </c>
      <c r="C10" s="1" t="s">
        <v>18</v>
      </c>
      <c r="D10" s="1" t="s">
        <v>104</v>
      </c>
      <c r="E10" s="1" t="s">
        <v>105</v>
      </c>
      <c r="F10" s="1" t="s">
        <v>59</v>
      </c>
      <c r="G10" s="1">
        <v>2.5</v>
      </c>
      <c r="H10" s="1" t="s">
        <v>60</v>
      </c>
      <c r="I10" s="1">
        <v>-165.0</v>
      </c>
      <c r="J10" s="1">
        <v>-0.202213915698113</v>
      </c>
      <c r="K10" s="1" t="s">
        <v>61</v>
      </c>
      <c r="L10" s="1" t="s">
        <v>61</v>
      </c>
      <c r="M10" s="1" t="s">
        <v>62</v>
      </c>
      <c r="N10" s="1">
        <v>125.0</v>
      </c>
      <c r="O10" s="1">
        <v>0.135140834044444</v>
      </c>
      <c r="P10" s="1" t="s">
        <v>61</v>
      </c>
      <c r="Q10" s="1" t="s">
        <v>61</v>
      </c>
      <c r="R10" s="1">
        <v>0.135140834044444</v>
      </c>
      <c r="S10" s="1">
        <v>125.0</v>
      </c>
      <c r="T10" s="1">
        <f t="shared" si="1"/>
        <v>2.25</v>
      </c>
      <c r="U10" s="1">
        <v>0.0</v>
      </c>
      <c r="V10" s="3">
        <v>3.0</v>
      </c>
      <c r="W10" s="3" t="s">
        <v>106</v>
      </c>
      <c r="X10" s="3" t="s">
        <v>107</v>
      </c>
      <c r="Z10" s="3">
        <v>2.0</v>
      </c>
      <c r="AA10" s="3">
        <v>0.0</v>
      </c>
      <c r="AB10" s="3">
        <v>1.0</v>
      </c>
      <c r="AC10" s="3">
        <v>3.75</v>
      </c>
      <c r="AD10" s="3">
        <v>3.75</v>
      </c>
    </row>
    <row r="11">
      <c r="A11" s="1" t="s">
        <v>12</v>
      </c>
      <c r="B11" s="1" t="s">
        <v>108</v>
      </c>
      <c r="C11" s="1" t="s">
        <v>20</v>
      </c>
      <c r="D11" s="1" t="s">
        <v>109</v>
      </c>
      <c r="E11" s="1" t="s">
        <v>110</v>
      </c>
      <c r="F11" s="1" t="s">
        <v>59</v>
      </c>
      <c r="G11" s="1">
        <v>3.5</v>
      </c>
      <c r="H11" s="1" t="s">
        <v>60</v>
      </c>
      <c r="I11" s="1">
        <v>-165.0</v>
      </c>
      <c r="J11" s="1">
        <v>-0.201603773584905</v>
      </c>
      <c r="K11" s="1" t="s">
        <v>61</v>
      </c>
      <c r="L11" s="1" t="s">
        <v>61</v>
      </c>
      <c r="M11" s="1" t="s">
        <v>62</v>
      </c>
      <c r="N11" s="1">
        <v>123.0</v>
      </c>
      <c r="O11" s="1">
        <v>0.13052466367713</v>
      </c>
      <c r="P11" s="1" t="s">
        <v>61</v>
      </c>
      <c r="Q11" s="1" t="s">
        <v>61</v>
      </c>
      <c r="R11" s="1">
        <v>0.13052466367713</v>
      </c>
      <c r="S11" s="1">
        <v>123.0</v>
      </c>
      <c r="T11" s="1">
        <f t="shared" si="1"/>
        <v>2.23</v>
      </c>
      <c r="U11" s="1">
        <v>0.0</v>
      </c>
      <c r="V11" s="3">
        <v>3.0</v>
      </c>
      <c r="W11" s="3" t="s">
        <v>73</v>
      </c>
      <c r="X11" s="3" t="s">
        <v>111</v>
      </c>
      <c r="Z11" s="3">
        <v>3.0</v>
      </c>
      <c r="AA11" s="3">
        <v>0.0</v>
      </c>
      <c r="AB11" s="3">
        <v>1.0</v>
      </c>
      <c r="AC11" s="3">
        <v>3.69</v>
      </c>
      <c r="AD11" s="3">
        <v>3.69</v>
      </c>
    </row>
    <row r="12">
      <c r="A12" s="1" t="s">
        <v>12</v>
      </c>
      <c r="B12" s="1" t="s">
        <v>112</v>
      </c>
      <c r="C12" s="1" t="s">
        <v>20</v>
      </c>
      <c r="D12" s="1" t="s">
        <v>113</v>
      </c>
      <c r="E12" s="1" t="s">
        <v>114</v>
      </c>
      <c r="F12" s="1" t="s">
        <v>90</v>
      </c>
      <c r="G12" s="1">
        <v>2.5</v>
      </c>
      <c r="H12" s="1" t="s">
        <v>60</v>
      </c>
      <c r="I12" s="1">
        <v>-154.0</v>
      </c>
      <c r="J12" s="1">
        <v>-0.229136510748031</v>
      </c>
      <c r="K12" s="1" t="s">
        <v>61</v>
      </c>
      <c r="L12" s="1" t="s">
        <v>61</v>
      </c>
      <c r="M12" s="1" t="s">
        <v>62</v>
      </c>
      <c r="N12" s="1">
        <v>117.0</v>
      </c>
      <c r="O12" s="1">
        <v>0.162014164654377</v>
      </c>
      <c r="P12" s="1" t="s">
        <v>61</v>
      </c>
      <c r="Q12" s="1" t="s">
        <v>61</v>
      </c>
      <c r="R12" s="1">
        <v>0.162014164654377</v>
      </c>
      <c r="S12" s="1">
        <v>117.0</v>
      </c>
      <c r="T12" s="1">
        <f t="shared" si="1"/>
        <v>2.17</v>
      </c>
      <c r="U12" s="1">
        <v>0.0</v>
      </c>
      <c r="V12" s="3">
        <v>3.0</v>
      </c>
      <c r="W12" s="3" t="s">
        <v>106</v>
      </c>
      <c r="X12" s="3" t="s">
        <v>115</v>
      </c>
      <c r="Z12" s="3">
        <v>1.0</v>
      </c>
      <c r="AA12" s="3">
        <v>0.0</v>
      </c>
      <c r="AB12" s="3">
        <v>1.0</v>
      </c>
      <c r="AC12" s="3">
        <v>3.51</v>
      </c>
      <c r="AD12" s="3">
        <v>3.51</v>
      </c>
    </row>
    <row r="13">
      <c r="A13" s="1" t="s">
        <v>12</v>
      </c>
      <c r="B13" s="1" t="s">
        <v>116</v>
      </c>
      <c r="C13" s="1" t="s">
        <v>18</v>
      </c>
      <c r="D13" s="1" t="s">
        <v>57</v>
      </c>
      <c r="E13" s="1" t="s">
        <v>58</v>
      </c>
      <c r="F13" s="1" t="s">
        <v>59</v>
      </c>
      <c r="G13" s="1">
        <v>3.5</v>
      </c>
      <c r="H13" s="1" t="s">
        <v>60</v>
      </c>
      <c r="I13" s="1">
        <v>-152.0</v>
      </c>
      <c r="J13" s="1">
        <v>-0.276295238095238</v>
      </c>
      <c r="K13" s="1" t="s">
        <v>61</v>
      </c>
      <c r="L13" s="1" t="s">
        <v>61</v>
      </c>
      <c r="M13" s="1" t="s">
        <v>62</v>
      </c>
      <c r="N13" s="1">
        <v>114.0</v>
      </c>
      <c r="O13" s="1">
        <v>0.205816822429906</v>
      </c>
      <c r="P13" s="1" t="s">
        <v>61</v>
      </c>
      <c r="Q13" s="1" t="s">
        <v>61</v>
      </c>
      <c r="R13" s="1">
        <v>0.205816822429906</v>
      </c>
      <c r="S13" s="1">
        <v>114.0</v>
      </c>
      <c r="T13" s="1">
        <f t="shared" si="1"/>
        <v>2.14</v>
      </c>
      <c r="U13" s="1">
        <v>0.0</v>
      </c>
      <c r="V13" s="3">
        <v>3.0</v>
      </c>
      <c r="W13" s="3" t="s">
        <v>117</v>
      </c>
      <c r="X13" s="3" t="s">
        <v>118</v>
      </c>
      <c r="Z13" s="3">
        <v>3.0</v>
      </c>
      <c r="AA13" s="3">
        <v>0.0</v>
      </c>
      <c r="AB13" s="3">
        <v>1.0</v>
      </c>
      <c r="AC13" s="3">
        <v>3.42</v>
      </c>
      <c r="AD13" s="3">
        <v>3.42</v>
      </c>
    </row>
    <row r="14">
      <c r="A14" s="1" t="s">
        <v>8</v>
      </c>
      <c r="B14" s="1" t="s">
        <v>119</v>
      </c>
      <c r="C14" s="1" t="s">
        <v>21</v>
      </c>
      <c r="D14" s="1" t="s">
        <v>93</v>
      </c>
      <c r="E14" s="1" t="s">
        <v>94</v>
      </c>
      <c r="F14" s="1" t="s">
        <v>59</v>
      </c>
      <c r="G14" s="1">
        <v>3.5</v>
      </c>
      <c r="H14" s="1" t="s">
        <v>60</v>
      </c>
      <c r="I14" s="1">
        <v>-146.0</v>
      </c>
      <c r="J14" s="1">
        <v>-0.264850417039518</v>
      </c>
      <c r="K14" s="1" t="s">
        <v>61</v>
      </c>
      <c r="L14" s="1" t="s">
        <v>61</v>
      </c>
      <c r="M14" s="1" t="s">
        <v>62</v>
      </c>
      <c r="N14" s="1">
        <v>111.0</v>
      </c>
      <c r="O14" s="1">
        <v>0.19741328242522</v>
      </c>
      <c r="P14" s="1" t="s">
        <v>61</v>
      </c>
      <c r="Q14" s="1" t="s">
        <v>61</v>
      </c>
      <c r="R14" s="1">
        <v>0.19741328242522</v>
      </c>
      <c r="S14" s="1">
        <v>111.0</v>
      </c>
      <c r="T14" s="1">
        <f t="shared" si="1"/>
        <v>2.11</v>
      </c>
      <c r="U14" s="1">
        <v>0.0</v>
      </c>
      <c r="V14" s="3">
        <v>3.0</v>
      </c>
      <c r="W14" s="3" t="s">
        <v>95</v>
      </c>
      <c r="X14" s="3" t="s">
        <v>120</v>
      </c>
      <c r="Z14" s="3">
        <v>1.0</v>
      </c>
      <c r="AA14" s="3">
        <v>0.0</v>
      </c>
      <c r="AB14" s="3">
        <v>1.0</v>
      </c>
      <c r="AC14" s="3">
        <v>3.33</v>
      </c>
      <c r="AD14" s="3">
        <v>3.33</v>
      </c>
    </row>
    <row r="15">
      <c r="A15" s="1" t="s">
        <v>17</v>
      </c>
      <c r="B15" s="1" t="s">
        <v>65</v>
      </c>
      <c r="C15" s="1" t="s">
        <v>21</v>
      </c>
      <c r="D15" s="1" t="s">
        <v>66</v>
      </c>
      <c r="E15" s="1" t="s">
        <v>67</v>
      </c>
      <c r="F15" s="1" t="s">
        <v>59</v>
      </c>
      <c r="G15" s="1">
        <v>0.5</v>
      </c>
      <c r="H15" s="1" t="s">
        <v>60</v>
      </c>
      <c r="I15" s="1">
        <v>-150.0</v>
      </c>
      <c r="J15" s="1">
        <v>-0.21206</v>
      </c>
      <c r="K15" s="1" t="s">
        <v>61</v>
      </c>
      <c r="L15" s="1" t="s">
        <v>61</v>
      </c>
      <c r="M15" s="1" t="s">
        <v>62</v>
      </c>
      <c r="N15" s="1">
        <v>111.0</v>
      </c>
      <c r="O15" s="1">
        <v>0.138118957345971</v>
      </c>
      <c r="P15" s="1" t="s">
        <v>61</v>
      </c>
      <c r="Q15" s="1" t="s">
        <v>61</v>
      </c>
      <c r="R15" s="1">
        <v>0.138118957345971</v>
      </c>
      <c r="S15" s="1">
        <v>111.0</v>
      </c>
      <c r="T15" s="1">
        <f t="shared" si="1"/>
        <v>2.11</v>
      </c>
      <c r="U15" s="1">
        <v>0.0</v>
      </c>
      <c r="V15" s="3">
        <v>3.0</v>
      </c>
      <c r="W15" s="3" t="s">
        <v>68</v>
      </c>
      <c r="X15" s="3" t="s">
        <v>69</v>
      </c>
      <c r="Z15" s="3">
        <v>0.0</v>
      </c>
      <c r="AA15" s="3">
        <v>0.0</v>
      </c>
      <c r="AB15" s="3">
        <v>1.0</v>
      </c>
      <c r="AC15" s="3">
        <v>3.33</v>
      </c>
      <c r="AD15" s="3">
        <v>3.33</v>
      </c>
    </row>
    <row r="16">
      <c r="A16" s="1" t="s">
        <v>12</v>
      </c>
      <c r="B16" s="1" t="s">
        <v>121</v>
      </c>
      <c r="C16" s="1" t="s">
        <v>18</v>
      </c>
      <c r="D16" s="1" t="s">
        <v>93</v>
      </c>
      <c r="E16" s="1" t="s">
        <v>94</v>
      </c>
      <c r="F16" s="1" t="s">
        <v>59</v>
      </c>
      <c r="G16" s="1">
        <v>4.5</v>
      </c>
      <c r="H16" s="1" t="s">
        <v>60</v>
      </c>
      <c r="I16" s="1">
        <v>-148.0</v>
      </c>
      <c r="J16" s="1">
        <v>-0.196514516129032</v>
      </c>
      <c r="K16" s="1" t="s">
        <v>61</v>
      </c>
      <c r="L16" s="1" t="s">
        <v>61</v>
      </c>
      <c r="M16" s="1" t="s">
        <v>62</v>
      </c>
      <c r="N16" s="1">
        <v>111.0</v>
      </c>
      <c r="O16" s="1">
        <v>0.125813744075829</v>
      </c>
      <c r="P16" s="1" t="s">
        <v>61</v>
      </c>
      <c r="Q16" s="1" t="s">
        <v>61</v>
      </c>
      <c r="R16" s="1">
        <v>0.125813744075829</v>
      </c>
      <c r="S16" s="1">
        <v>111.0</v>
      </c>
      <c r="T16" s="1">
        <f t="shared" si="1"/>
        <v>2.11</v>
      </c>
      <c r="U16" s="1">
        <v>0.0</v>
      </c>
      <c r="V16" s="3">
        <v>3.0</v>
      </c>
      <c r="W16" s="3" t="s">
        <v>106</v>
      </c>
      <c r="X16" s="3" t="s">
        <v>122</v>
      </c>
      <c r="Z16" s="3">
        <v>1.0</v>
      </c>
      <c r="AA16" s="3">
        <v>0.0</v>
      </c>
      <c r="AB16" s="3">
        <v>1.0</v>
      </c>
      <c r="AC16" s="3">
        <v>3.33</v>
      </c>
      <c r="AD16" s="3">
        <v>3.33</v>
      </c>
    </row>
    <row r="17">
      <c r="A17" s="1" t="s">
        <v>12</v>
      </c>
      <c r="B17" s="1" t="s">
        <v>123</v>
      </c>
      <c r="C17" s="1" t="s">
        <v>19</v>
      </c>
      <c r="D17" s="1" t="s">
        <v>110</v>
      </c>
      <c r="E17" s="1" t="s">
        <v>109</v>
      </c>
      <c r="F17" s="1" t="s">
        <v>59</v>
      </c>
      <c r="G17" s="1">
        <v>1.5</v>
      </c>
      <c r="H17" s="1" t="s">
        <v>60</v>
      </c>
      <c r="I17" s="1">
        <v>-140.0</v>
      </c>
      <c r="J17" s="1">
        <v>-0.223867276741666</v>
      </c>
      <c r="K17" s="1" t="s">
        <v>61</v>
      </c>
      <c r="L17" s="1" t="s">
        <v>61</v>
      </c>
      <c r="M17" s="1" t="s">
        <v>62</v>
      </c>
      <c r="N17" s="1">
        <v>110.0</v>
      </c>
      <c r="O17" s="1">
        <v>0.16434831627619</v>
      </c>
      <c r="P17" s="1" t="s">
        <v>61</v>
      </c>
      <c r="Q17" s="1" t="s">
        <v>61</v>
      </c>
      <c r="R17" s="1">
        <v>0.16434831627619</v>
      </c>
      <c r="S17" s="1">
        <v>110.0</v>
      </c>
      <c r="T17" s="1">
        <f t="shared" si="1"/>
        <v>2.1</v>
      </c>
      <c r="U17" s="1">
        <v>0.0</v>
      </c>
      <c r="V17" s="3">
        <v>3.0</v>
      </c>
      <c r="W17" s="3" t="s">
        <v>85</v>
      </c>
      <c r="X17" s="3" t="s">
        <v>124</v>
      </c>
      <c r="Z17" s="3">
        <v>1.0</v>
      </c>
      <c r="AA17" s="3">
        <v>0.0</v>
      </c>
      <c r="AB17" s="3">
        <v>1.0</v>
      </c>
      <c r="AC17" s="3">
        <v>3.3000000000000003</v>
      </c>
      <c r="AD17" s="3">
        <v>3.3000000000000003</v>
      </c>
    </row>
    <row r="18">
      <c r="A18" s="1" t="s">
        <v>12</v>
      </c>
      <c r="B18" s="1" t="s">
        <v>125</v>
      </c>
      <c r="C18" s="1" t="s">
        <v>18</v>
      </c>
      <c r="D18" s="1" t="s">
        <v>71</v>
      </c>
      <c r="E18" s="1" t="s">
        <v>72</v>
      </c>
      <c r="F18" s="1" t="s">
        <v>59</v>
      </c>
      <c r="G18" s="1">
        <v>2.5</v>
      </c>
      <c r="H18" s="1" t="s">
        <v>60</v>
      </c>
      <c r="I18" s="1">
        <v>-143.0</v>
      </c>
      <c r="J18" s="1">
        <v>-0.218775360987654</v>
      </c>
      <c r="K18" s="1" t="s">
        <v>61</v>
      </c>
      <c r="L18" s="1" t="s">
        <v>61</v>
      </c>
      <c r="M18" s="1" t="s">
        <v>62</v>
      </c>
      <c r="N18" s="1">
        <v>110.0</v>
      </c>
      <c r="O18" s="1">
        <v>0.154107203428571</v>
      </c>
      <c r="P18" s="1" t="s">
        <v>61</v>
      </c>
      <c r="Q18" s="1" t="s">
        <v>61</v>
      </c>
      <c r="R18" s="1">
        <v>0.154107203428571</v>
      </c>
      <c r="S18" s="1">
        <v>110.0</v>
      </c>
      <c r="T18" s="1">
        <f t="shared" si="1"/>
        <v>2.1</v>
      </c>
      <c r="U18" s="1">
        <v>0.0</v>
      </c>
      <c r="V18" s="3">
        <v>3.0</v>
      </c>
      <c r="W18" s="3" t="s">
        <v>117</v>
      </c>
      <c r="X18" s="3" t="s">
        <v>126</v>
      </c>
      <c r="Z18" s="3">
        <v>1.0</v>
      </c>
      <c r="AA18" s="3">
        <v>0.0</v>
      </c>
      <c r="AB18" s="3">
        <v>1.0</v>
      </c>
      <c r="AC18" s="3">
        <v>3.3000000000000003</v>
      </c>
      <c r="AD18" s="3">
        <v>3.3000000000000003</v>
      </c>
    </row>
    <row r="19">
      <c r="A19" s="1" t="s">
        <v>12</v>
      </c>
      <c r="B19" s="1" t="s">
        <v>127</v>
      </c>
      <c r="C19" s="1" t="s">
        <v>19</v>
      </c>
      <c r="D19" s="1" t="s">
        <v>83</v>
      </c>
      <c r="E19" s="1" t="s">
        <v>82</v>
      </c>
      <c r="F19" s="1" t="s">
        <v>84</v>
      </c>
      <c r="G19" s="1">
        <v>2.5</v>
      </c>
      <c r="H19" s="1" t="s">
        <v>60</v>
      </c>
      <c r="I19" s="1">
        <v>-144.0</v>
      </c>
      <c r="J19" s="1">
        <v>-0.260321661311475</v>
      </c>
      <c r="K19" s="1" t="s">
        <v>61</v>
      </c>
      <c r="L19" s="1" t="s">
        <v>61</v>
      </c>
      <c r="M19" s="1" t="s">
        <v>62</v>
      </c>
      <c r="N19" s="1">
        <v>109.0</v>
      </c>
      <c r="O19" s="1">
        <v>0.191681748133971</v>
      </c>
      <c r="P19" s="1" t="s">
        <v>61</v>
      </c>
      <c r="Q19" s="1" t="s">
        <v>61</v>
      </c>
      <c r="R19" s="1">
        <v>0.191681748133971</v>
      </c>
      <c r="S19" s="1">
        <v>109.0</v>
      </c>
      <c r="T19" s="1">
        <f t="shared" si="1"/>
        <v>2.09</v>
      </c>
      <c r="U19" s="1">
        <v>0.0</v>
      </c>
      <c r="V19" s="3">
        <v>3.0</v>
      </c>
      <c r="W19" s="3" t="s">
        <v>68</v>
      </c>
      <c r="X19" s="3" t="s">
        <v>128</v>
      </c>
      <c r="Z19" s="3">
        <v>1.0</v>
      </c>
      <c r="AA19" s="3">
        <v>0.0</v>
      </c>
      <c r="AB19" s="3">
        <v>1.0</v>
      </c>
      <c r="AC19" s="3">
        <v>3.2700000000000005</v>
      </c>
      <c r="AD19" s="3">
        <v>3.2700000000000005</v>
      </c>
    </row>
    <row r="20">
      <c r="A20" s="1" t="s">
        <v>12</v>
      </c>
      <c r="B20" s="1" t="s">
        <v>129</v>
      </c>
      <c r="C20" s="1" t="s">
        <v>18</v>
      </c>
      <c r="D20" s="1" t="s">
        <v>72</v>
      </c>
      <c r="E20" s="1" t="s">
        <v>71</v>
      </c>
      <c r="F20" s="1" t="s">
        <v>59</v>
      </c>
      <c r="G20" s="1">
        <v>3.5</v>
      </c>
      <c r="H20" s="1" t="s">
        <v>60</v>
      </c>
      <c r="I20" s="1">
        <v>-143.0</v>
      </c>
      <c r="J20" s="1">
        <v>-0.197418518518518</v>
      </c>
      <c r="K20" s="1" t="s">
        <v>61</v>
      </c>
      <c r="L20" s="1" t="s">
        <v>61</v>
      </c>
      <c r="M20" s="1" t="s">
        <v>62</v>
      </c>
      <c r="N20" s="1">
        <v>109.0</v>
      </c>
      <c r="O20" s="1">
        <v>0.13047894736842</v>
      </c>
      <c r="P20" s="1" t="s">
        <v>61</v>
      </c>
      <c r="Q20" s="1" t="s">
        <v>61</v>
      </c>
      <c r="R20" s="1">
        <v>0.13047894736842</v>
      </c>
      <c r="S20" s="1">
        <v>109.0</v>
      </c>
      <c r="T20" s="1">
        <f t="shared" si="1"/>
        <v>2.09</v>
      </c>
      <c r="U20" s="1">
        <v>0.0</v>
      </c>
      <c r="V20" s="3">
        <v>3.0</v>
      </c>
      <c r="W20" s="3" t="s">
        <v>95</v>
      </c>
      <c r="X20" s="3" t="s">
        <v>130</v>
      </c>
      <c r="Z20" s="3">
        <v>3.0</v>
      </c>
      <c r="AA20" s="3">
        <v>0.0</v>
      </c>
      <c r="AB20" s="3">
        <v>1.0</v>
      </c>
      <c r="AC20" s="3">
        <v>3.2700000000000005</v>
      </c>
      <c r="AD20" s="3">
        <v>3.2700000000000005</v>
      </c>
    </row>
    <row r="21">
      <c r="A21" s="1" t="s">
        <v>12</v>
      </c>
      <c r="B21" s="1" t="s">
        <v>131</v>
      </c>
      <c r="C21" s="1" t="s">
        <v>18</v>
      </c>
      <c r="D21" s="1" t="s">
        <v>66</v>
      </c>
      <c r="E21" s="1" t="s">
        <v>67</v>
      </c>
      <c r="F21" s="1" t="s">
        <v>59</v>
      </c>
      <c r="G21" s="1">
        <v>3.5</v>
      </c>
      <c r="H21" s="1" t="s">
        <v>60</v>
      </c>
      <c r="I21" s="1">
        <v>-141.0</v>
      </c>
      <c r="J21" s="1">
        <v>-0.2303622406639</v>
      </c>
      <c r="K21" s="1" t="s">
        <v>61</v>
      </c>
      <c r="L21" s="1" t="s">
        <v>61</v>
      </c>
      <c r="M21" s="1" t="s">
        <v>62</v>
      </c>
      <c r="N21" s="1">
        <v>108.0</v>
      </c>
      <c r="O21" s="1">
        <v>0.164530769230769</v>
      </c>
      <c r="P21" s="1" t="s">
        <v>61</v>
      </c>
      <c r="Q21" s="1" t="s">
        <v>61</v>
      </c>
      <c r="R21" s="1">
        <v>0.164530769230769</v>
      </c>
      <c r="S21" s="1">
        <v>108.0</v>
      </c>
      <c r="T21" s="1">
        <f t="shared" si="1"/>
        <v>2.08</v>
      </c>
      <c r="U21" s="1">
        <v>0.0</v>
      </c>
      <c r="V21" s="3">
        <v>3.0</v>
      </c>
      <c r="W21" s="3" t="s">
        <v>101</v>
      </c>
      <c r="X21" s="3" t="s">
        <v>132</v>
      </c>
      <c r="Z21" s="3">
        <v>2.0</v>
      </c>
      <c r="AA21" s="3">
        <v>0.0</v>
      </c>
      <c r="AB21" s="3">
        <v>1.0</v>
      </c>
      <c r="AC21" s="3">
        <v>3.24</v>
      </c>
      <c r="AD21" s="3">
        <v>3.24</v>
      </c>
    </row>
    <row r="22">
      <c r="A22" s="1" t="s">
        <v>8</v>
      </c>
      <c r="B22" s="1" t="s">
        <v>133</v>
      </c>
      <c r="C22" s="1" t="s">
        <v>19</v>
      </c>
      <c r="D22" s="1" t="s">
        <v>134</v>
      </c>
      <c r="E22" s="1" t="s">
        <v>135</v>
      </c>
      <c r="F22" s="1" t="s">
        <v>84</v>
      </c>
      <c r="G22" s="1">
        <v>14.5</v>
      </c>
      <c r="H22" s="1" t="s">
        <v>60</v>
      </c>
      <c r="I22" s="1">
        <v>-140.0</v>
      </c>
      <c r="J22" s="1">
        <v>-0.173871003924999</v>
      </c>
      <c r="K22" s="1" t="s">
        <v>61</v>
      </c>
      <c r="L22" s="1" t="s">
        <v>61</v>
      </c>
      <c r="M22" s="1" t="s">
        <v>62</v>
      </c>
      <c r="N22" s="1">
        <v>107.0</v>
      </c>
      <c r="O22" s="1">
        <v>0.107451888608695</v>
      </c>
      <c r="P22" s="1" t="s">
        <v>61</v>
      </c>
      <c r="Q22" s="1" t="s">
        <v>61</v>
      </c>
      <c r="R22" s="1">
        <v>0.107451888608695</v>
      </c>
      <c r="S22" s="1">
        <v>107.0</v>
      </c>
      <c r="T22" s="1">
        <f t="shared" si="1"/>
        <v>2.07</v>
      </c>
      <c r="U22" s="1">
        <v>0.0</v>
      </c>
      <c r="V22" s="3">
        <v>3.0</v>
      </c>
      <c r="W22" s="3" t="s">
        <v>136</v>
      </c>
      <c r="X22" s="3" t="s">
        <v>137</v>
      </c>
      <c r="Z22" s="3">
        <v>13.0</v>
      </c>
      <c r="AA22" s="3">
        <v>0.0</v>
      </c>
      <c r="AB22" s="3">
        <v>1.0</v>
      </c>
      <c r="AC22" s="3">
        <v>3.21</v>
      </c>
      <c r="AD22" s="3">
        <v>3.21</v>
      </c>
    </row>
    <row r="23">
      <c r="A23" s="1" t="s">
        <v>12</v>
      </c>
      <c r="B23" s="1" t="s">
        <v>138</v>
      </c>
      <c r="C23" s="1" t="s">
        <v>18</v>
      </c>
      <c r="D23" s="1" t="s">
        <v>77</v>
      </c>
      <c r="E23" s="1" t="s">
        <v>76</v>
      </c>
      <c r="F23" s="1" t="s">
        <v>78</v>
      </c>
      <c r="G23" s="1">
        <v>1.5</v>
      </c>
      <c r="H23" s="1" t="s">
        <v>60</v>
      </c>
      <c r="I23" s="1">
        <v>-135.0</v>
      </c>
      <c r="J23" s="6">
        <v>-0.22606123114468</v>
      </c>
      <c r="K23" s="1" t="s">
        <v>61</v>
      </c>
      <c r="L23" s="1" t="s">
        <v>61</v>
      </c>
      <c r="M23" s="1" t="s">
        <v>62</v>
      </c>
      <c r="N23" s="1">
        <v>103.0</v>
      </c>
      <c r="O23" s="6">
        <v>0.158981228172413</v>
      </c>
      <c r="P23" s="1" t="s">
        <v>61</v>
      </c>
      <c r="Q23" s="1" t="s">
        <v>61</v>
      </c>
      <c r="R23" s="6">
        <v>0.158981228172413</v>
      </c>
      <c r="S23" s="1">
        <v>103.0</v>
      </c>
      <c r="T23" s="1">
        <f t="shared" si="1"/>
        <v>2.03</v>
      </c>
      <c r="U23" s="1">
        <v>0.0</v>
      </c>
      <c r="V23" s="3">
        <v>3.0</v>
      </c>
      <c r="W23" s="3" t="s">
        <v>85</v>
      </c>
      <c r="X23" s="3" t="s">
        <v>139</v>
      </c>
      <c r="Z23" s="3">
        <v>1.0</v>
      </c>
      <c r="AA23" s="3">
        <v>0.0</v>
      </c>
      <c r="AB23" s="3">
        <v>1.0</v>
      </c>
      <c r="AC23" s="3">
        <v>3.09</v>
      </c>
      <c r="AD23" s="3">
        <v>3.09</v>
      </c>
    </row>
    <row r="24">
      <c r="A24" s="1" t="s">
        <v>12</v>
      </c>
      <c r="B24" s="1" t="s">
        <v>140</v>
      </c>
      <c r="C24" s="1" t="s">
        <v>20</v>
      </c>
      <c r="D24" s="1" t="s">
        <v>66</v>
      </c>
      <c r="E24" s="1" t="s">
        <v>67</v>
      </c>
      <c r="F24" s="1" t="s">
        <v>59</v>
      </c>
      <c r="G24" s="1">
        <v>2.5</v>
      </c>
      <c r="H24" s="1" t="s">
        <v>60</v>
      </c>
      <c r="I24" s="1">
        <v>-134.0</v>
      </c>
      <c r="J24" s="1">
        <v>-0.225147933846154</v>
      </c>
      <c r="K24" s="1" t="s">
        <v>61</v>
      </c>
      <c r="L24" s="1" t="s">
        <v>61</v>
      </c>
      <c r="M24" s="1" t="s">
        <v>62</v>
      </c>
      <c r="N24" s="1">
        <v>101.0</v>
      </c>
      <c r="O24" s="1">
        <v>0.154985654328358</v>
      </c>
      <c r="P24" s="1" t="s">
        <v>61</v>
      </c>
      <c r="Q24" s="1" t="s">
        <v>61</v>
      </c>
      <c r="R24" s="1">
        <v>0.154985654328358</v>
      </c>
      <c r="S24" s="1">
        <v>101.0</v>
      </c>
      <c r="T24" s="1">
        <f t="shared" si="1"/>
        <v>2.01</v>
      </c>
      <c r="U24" s="1">
        <v>0.0</v>
      </c>
      <c r="V24" s="3">
        <v>3.0</v>
      </c>
      <c r="W24" s="3" t="s">
        <v>141</v>
      </c>
      <c r="X24" s="3" t="s">
        <v>142</v>
      </c>
      <c r="Z24" s="3">
        <v>2.0</v>
      </c>
      <c r="AA24" s="3">
        <v>0.0</v>
      </c>
      <c r="AB24" s="3">
        <v>1.0</v>
      </c>
      <c r="AC24" s="3">
        <v>3.0300000000000002</v>
      </c>
      <c r="AD24" s="3">
        <v>3.0300000000000002</v>
      </c>
    </row>
    <row r="25">
      <c r="A25" s="1" t="s">
        <v>8</v>
      </c>
      <c r="B25" s="1" t="s">
        <v>143</v>
      </c>
      <c r="C25" s="1" t="s">
        <v>19</v>
      </c>
      <c r="D25" s="1" t="s">
        <v>99</v>
      </c>
      <c r="E25" s="1" t="s">
        <v>100</v>
      </c>
      <c r="F25" s="1" t="s">
        <v>59</v>
      </c>
      <c r="G25" s="1">
        <v>7.5</v>
      </c>
      <c r="H25" s="1" t="s">
        <v>60</v>
      </c>
      <c r="I25" s="1">
        <v>-130.0</v>
      </c>
      <c r="J25" s="1">
        <v>-0.290016428379844</v>
      </c>
      <c r="K25" s="1" t="s">
        <v>61</v>
      </c>
      <c r="L25" s="1" t="s">
        <v>61</v>
      </c>
      <c r="M25" s="1" t="s">
        <v>62</v>
      </c>
      <c r="N25" s="1">
        <v>100.0</v>
      </c>
      <c r="O25" s="1">
        <v>0.224783892636821</v>
      </c>
      <c r="P25" s="1" t="s">
        <v>61</v>
      </c>
      <c r="Q25" s="1" t="s">
        <v>61</v>
      </c>
      <c r="R25" s="1">
        <v>0.224783892636821</v>
      </c>
      <c r="S25" s="1">
        <v>100.0</v>
      </c>
      <c r="T25" s="1">
        <f t="shared" si="1"/>
        <v>2</v>
      </c>
      <c r="U25" s="1">
        <v>0.0</v>
      </c>
      <c r="V25" s="3">
        <v>3.0</v>
      </c>
      <c r="W25" s="3" t="s">
        <v>73</v>
      </c>
      <c r="X25" s="3" t="s">
        <v>144</v>
      </c>
      <c r="Z25" s="3">
        <v>2.0</v>
      </c>
      <c r="AA25" s="3">
        <v>0.0</v>
      </c>
      <c r="AB25" s="3">
        <v>1.0</v>
      </c>
      <c r="AC25" s="3">
        <v>3.0</v>
      </c>
      <c r="AD25" s="3">
        <v>3.0</v>
      </c>
    </row>
    <row r="26">
      <c r="A26" s="1" t="s">
        <v>8</v>
      </c>
      <c r="B26" s="1" t="s">
        <v>145</v>
      </c>
      <c r="C26" s="1" t="s">
        <v>21</v>
      </c>
      <c r="D26" s="1" t="s">
        <v>146</v>
      </c>
      <c r="E26" s="1" t="s">
        <v>147</v>
      </c>
      <c r="F26" s="1" t="s">
        <v>59</v>
      </c>
      <c r="G26" s="1">
        <v>3.5</v>
      </c>
      <c r="H26" s="1" t="s">
        <v>60</v>
      </c>
      <c r="I26" s="1">
        <v>-130.0</v>
      </c>
      <c r="J26" s="1">
        <v>-0.23821229134982</v>
      </c>
      <c r="K26" s="1" t="s">
        <v>61</v>
      </c>
      <c r="L26" s="1" t="s">
        <v>61</v>
      </c>
      <c r="M26" s="1" t="s">
        <v>62</v>
      </c>
      <c r="N26" s="1">
        <v>100.0</v>
      </c>
      <c r="O26" s="1">
        <v>0.172994135052294</v>
      </c>
      <c r="P26" s="1" t="s">
        <v>61</v>
      </c>
      <c r="Q26" s="1" t="s">
        <v>61</v>
      </c>
      <c r="R26" s="1">
        <v>0.172994135052294</v>
      </c>
      <c r="S26" s="1">
        <v>100.0</v>
      </c>
      <c r="T26" s="1">
        <f t="shared" si="1"/>
        <v>2</v>
      </c>
      <c r="U26" s="1">
        <v>0.0</v>
      </c>
      <c r="V26" s="3">
        <v>3.0</v>
      </c>
      <c r="W26" s="3" t="s">
        <v>148</v>
      </c>
      <c r="X26" s="3" t="s">
        <v>149</v>
      </c>
      <c r="Z26" s="3">
        <v>3.0</v>
      </c>
      <c r="AA26" s="3">
        <v>0.0</v>
      </c>
      <c r="AB26" s="3">
        <v>1.0</v>
      </c>
      <c r="AC26" s="3">
        <v>3.0</v>
      </c>
      <c r="AD26" s="3">
        <v>3.0</v>
      </c>
    </row>
    <row r="27">
      <c r="A27" s="1" t="s">
        <v>12</v>
      </c>
      <c r="B27" s="1" t="s">
        <v>150</v>
      </c>
      <c r="C27" s="1" t="s">
        <v>18</v>
      </c>
      <c r="D27" s="1" t="s">
        <v>147</v>
      </c>
      <c r="E27" s="1" t="s">
        <v>146</v>
      </c>
      <c r="F27" s="1" t="s">
        <v>59</v>
      </c>
      <c r="G27" s="1">
        <v>1.5</v>
      </c>
      <c r="H27" s="1" t="s">
        <v>60</v>
      </c>
      <c r="I27" s="1">
        <v>-130.0</v>
      </c>
      <c r="J27" s="1">
        <v>-0.237203838230434</v>
      </c>
      <c r="K27" s="1" t="s">
        <v>61</v>
      </c>
      <c r="L27" s="1" t="s">
        <v>61</v>
      </c>
      <c r="M27" s="1" t="s">
        <v>62</v>
      </c>
      <c r="N27" s="1">
        <v>100.0</v>
      </c>
      <c r="O27" s="1">
        <v>0.171984413964999</v>
      </c>
      <c r="P27" s="1" t="s">
        <v>61</v>
      </c>
      <c r="Q27" s="1" t="s">
        <v>61</v>
      </c>
      <c r="R27" s="1">
        <v>0.171984413964999</v>
      </c>
      <c r="S27" s="1">
        <v>100.0</v>
      </c>
      <c r="T27" s="1">
        <f t="shared" si="1"/>
        <v>2</v>
      </c>
      <c r="U27" s="1">
        <v>0.0</v>
      </c>
      <c r="V27" s="3">
        <v>3.0</v>
      </c>
      <c r="W27" s="3" t="s">
        <v>68</v>
      </c>
      <c r="X27" s="3" t="s">
        <v>151</v>
      </c>
      <c r="Z27" s="3">
        <v>0.0</v>
      </c>
      <c r="AA27" s="3">
        <v>0.0</v>
      </c>
      <c r="AB27" s="3">
        <v>1.0</v>
      </c>
      <c r="AC27" s="3">
        <v>3.0</v>
      </c>
      <c r="AD27" s="3">
        <v>3.0</v>
      </c>
    </row>
    <row r="28">
      <c r="A28" s="1" t="s">
        <v>12</v>
      </c>
      <c r="B28" s="1" t="s">
        <v>152</v>
      </c>
      <c r="C28" s="1" t="s">
        <v>19</v>
      </c>
      <c r="D28" s="1" t="s">
        <v>88</v>
      </c>
      <c r="E28" s="1" t="s">
        <v>89</v>
      </c>
      <c r="F28" s="1" t="s">
        <v>90</v>
      </c>
      <c r="G28" s="1">
        <v>1.5</v>
      </c>
      <c r="H28" s="1" t="s">
        <v>60</v>
      </c>
      <c r="I28" s="1">
        <v>-133.0</v>
      </c>
      <c r="J28" s="1">
        <v>-0.241816071845493</v>
      </c>
      <c r="K28" s="1" t="s">
        <v>61</v>
      </c>
      <c r="L28" s="1" t="s">
        <v>61</v>
      </c>
      <c r="M28" s="1" t="s">
        <v>62</v>
      </c>
      <c r="N28" s="1">
        <v>100.0</v>
      </c>
      <c r="O28" s="1">
        <v>0.1709842237</v>
      </c>
      <c r="P28" s="1" t="s">
        <v>61</v>
      </c>
      <c r="Q28" s="1" t="s">
        <v>61</v>
      </c>
      <c r="R28" s="1">
        <v>0.1709842237</v>
      </c>
      <c r="S28" s="1">
        <v>100.0</v>
      </c>
      <c r="T28" s="1">
        <f t="shared" si="1"/>
        <v>2</v>
      </c>
      <c r="U28" s="1">
        <v>0.0</v>
      </c>
      <c r="V28" s="3">
        <v>3.0</v>
      </c>
      <c r="W28" s="3" t="s">
        <v>153</v>
      </c>
      <c r="X28" s="3" t="s">
        <v>154</v>
      </c>
      <c r="Z28" s="3">
        <v>1.0</v>
      </c>
      <c r="AA28" s="3">
        <v>0.0</v>
      </c>
      <c r="AB28" s="3">
        <v>1.0</v>
      </c>
      <c r="AC28" s="3">
        <v>3.0</v>
      </c>
      <c r="AD28" s="3">
        <v>3.0</v>
      </c>
    </row>
    <row r="29">
      <c r="A29" s="1" t="s">
        <v>12</v>
      </c>
      <c r="B29" s="1" t="s">
        <v>155</v>
      </c>
      <c r="C29" s="1" t="s">
        <v>19</v>
      </c>
      <c r="D29" s="1" t="s">
        <v>156</v>
      </c>
      <c r="E29" s="1" t="s">
        <v>157</v>
      </c>
      <c r="F29" s="1" t="s">
        <v>158</v>
      </c>
      <c r="G29" s="1">
        <v>2.5</v>
      </c>
      <c r="H29" s="1" t="s">
        <v>60</v>
      </c>
      <c r="I29" s="1">
        <v>-132.0</v>
      </c>
      <c r="J29" s="6">
        <v>-0.209720536120689</v>
      </c>
      <c r="K29" s="1" t="s">
        <v>61</v>
      </c>
      <c r="L29" s="1" t="s">
        <v>61</v>
      </c>
      <c r="M29" s="1" t="s">
        <v>62</v>
      </c>
      <c r="N29" s="1">
        <v>-101.0</v>
      </c>
      <c r="O29" s="6">
        <v>0.138260000118407</v>
      </c>
      <c r="P29" s="1" t="s">
        <v>61</v>
      </c>
      <c r="Q29" s="1" t="s">
        <v>61</v>
      </c>
      <c r="R29" s="6">
        <v>0.138260000118407</v>
      </c>
      <c r="S29" s="1">
        <v>-101.0</v>
      </c>
      <c r="T29" s="1">
        <f t="shared" si="1"/>
        <v>1.99009901</v>
      </c>
      <c r="U29" s="1">
        <v>0.0</v>
      </c>
      <c r="V29" s="3">
        <v>3.0</v>
      </c>
      <c r="W29" s="3" t="s">
        <v>148</v>
      </c>
      <c r="X29" s="3" t="s">
        <v>159</v>
      </c>
      <c r="Z29" s="3">
        <v>2.0</v>
      </c>
      <c r="AA29" s="3">
        <v>0.0</v>
      </c>
      <c r="AB29" s="3">
        <v>1.0</v>
      </c>
      <c r="AC29" s="3">
        <v>2.9702970297029703</v>
      </c>
      <c r="AD29" s="3">
        <v>2.9702970297029703</v>
      </c>
    </row>
    <row r="30">
      <c r="A30" s="1" t="s">
        <v>12</v>
      </c>
      <c r="B30" s="1" t="s">
        <v>160</v>
      </c>
      <c r="C30" s="1" t="s">
        <v>20</v>
      </c>
      <c r="D30" s="1" t="s">
        <v>99</v>
      </c>
      <c r="E30" s="1" t="s">
        <v>100</v>
      </c>
      <c r="F30" s="1" t="s">
        <v>59</v>
      </c>
      <c r="G30" s="1">
        <v>1.5</v>
      </c>
      <c r="H30" s="1" t="s">
        <v>60</v>
      </c>
      <c r="I30" s="1">
        <v>-131.0</v>
      </c>
      <c r="J30" s="1">
        <v>-0.184841896268398</v>
      </c>
      <c r="K30" s="1" t="s">
        <v>61</v>
      </c>
      <c r="L30" s="1" t="s">
        <v>61</v>
      </c>
      <c r="M30" s="1" t="s">
        <v>62</v>
      </c>
      <c r="N30" s="1">
        <v>-101.0</v>
      </c>
      <c r="O30" s="1">
        <v>0.115261571235721</v>
      </c>
      <c r="P30" s="1" t="s">
        <v>61</v>
      </c>
      <c r="Q30" s="1" t="s">
        <v>61</v>
      </c>
      <c r="R30" s="1">
        <v>0.115261571235721</v>
      </c>
      <c r="S30" s="1">
        <v>-101.0</v>
      </c>
      <c r="T30" s="1">
        <f t="shared" si="1"/>
        <v>1.99009901</v>
      </c>
      <c r="U30" s="1">
        <v>0.0</v>
      </c>
      <c r="V30" s="3">
        <v>3.0</v>
      </c>
      <c r="W30" s="3" t="s">
        <v>161</v>
      </c>
      <c r="X30" s="3" t="s">
        <v>162</v>
      </c>
      <c r="Z30" s="3">
        <v>1.0</v>
      </c>
      <c r="AA30" s="3">
        <v>0.0</v>
      </c>
      <c r="AB30" s="3">
        <v>1.0</v>
      </c>
      <c r="AC30" s="3">
        <v>2.9702970297029703</v>
      </c>
      <c r="AD30" s="3">
        <v>2.9702970297029703</v>
      </c>
    </row>
    <row r="31">
      <c r="A31" s="1" t="s">
        <v>11</v>
      </c>
      <c r="B31" s="1" t="s">
        <v>163</v>
      </c>
      <c r="C31" s="1" t="s">
        <v>19</v>
      </c>
      <c r="D31" s="1" t="s">
        <v>164</v>
      </c>
      <c r="E31" s="1" t="s">
        <v>165</v>
      </c>
      <c r="F31" s="1" t="s">
        <v>166</v>
      </c>
      <c r="G31" s="1">
        <v>3.0</v>
      </c>
      <c r="H31" s="1" t="s">
        <v>60</v>
      </c>
      <c r="I31" s="1">
        <v>-103.0</v>
      </c>
      <c r="J31" s="1">
        <v>0.139235983278824</v>
      </c>
      <c r="K31" s="1" t="s">
        <v>61</v>
      </c>
      <c r="L31" s="1" t="s">
        <v>61</v>
      </c>
      <c r="M31" s="1" t="s">
        <v>62</v>
      </c>
      <c r="N31" s="1">
        <v>-124.0</v>
      </c>
      <c r="O31" s="1">
        <v>-0.199135436209579</v>
      </c>
      <c r="P31" s="1" t="s">
        <v>61</v>
      </c>
      <c r="Q31" s="1" t="s">
        <v>61</v>
      </c>
      <c r="R31" s="1">
        <v>0.139235983278824</v>
      </c>
      <c r="S31" s="1">
        <v>-103.0</v>
      </c>
      <c r="T31" s="1">
        <f t="shared" si="1"/>
        <v>1.970873786</v>
      </c>
      <c r="U31" s="1">
        <v>1.0</v>
      </c>
      <c r="V31" s="3">
        <v>3.0</v>
      </c>
      <c r="W31" s="3" t="s">
        <v>73</v>
      </c>
      <c r="X31" s="3" t="s">
        <v>167</v>
      </c>
      <c r="Z31" s="3">
        <v>40.0</v>
      </c>
      <c r="AA31" s="3">
        <v>1.0</v>
      </c>
      <c r="AB31" s="3">
        <v>1.0</v>
      </c>
      <c r="AC31" s="3">
        <v>2.912621359223301</v>
      </c>
      <c r="AD31" s="3">
        <v>2.912621359223301</v>
      </c>
    </row>
    <row r="32">
      <c r="A32" s="1" t="s">
        <v>8</v>
      </c>
      <c r="B32" s="1" t="s">
        <v>168</v>
      </c>
      <c r="C32" s="1" t="s">
        <v>19</v>
      </c>
      <c r="D32" s="1" t="s">
        <v>67</v>
      </c>
      <c r="E32" s="1" t="s">
        <v>66</v>
      </c>
      <c r="F32" s="1" t="s">
        <v>59</v>
      </c>
      <c r="G32" s="1">
        <v>12.5</v>
      </c>
      <c r="H32" s="1" t="s">
        <v>60</v>
      </c>
      <c r="I32" s="1">
        <v>-127.0</v>
      </c>
      <c r="J32" s="1">
        <v>-0.198170995315374</v>
      </c>
      <c r="K32" s="1" t="s">
        <v>61</v>
      </c>
      <c r="L32" s="1" t="s">
        <v>61</v>
      </c>
      <c r="M32" s="1" t="s">
        <v>62</v>
      </c>
      <c r="N32" s="1">
        <v>-104.0</v>
      </c>
      <c r="O32" s="1">
        <v>0.128895649872811</v>
      </c>
      <c r="P32" s="1" t="s">
        <v>61</v>
      </c>
      <c r="Q32" s="1" t="s">
        <v>61</v>
      </c>
      <c r="R32" s="1">
        <v>0.128895649872811</v>
      </c>
      <c r="S32" s="1">
        <v>-104.0</v>
      </c>
      <c r="T32" s="1">
        <f t="shared" si="1"/>
        <v>1.961538462</v>
      </c>
      <c r="U32" s="1">
        <v>0.0</v>
      </c>
      <c r="V32" s="3">
        <v>3.0</v>
      </c>
      <c r="W32" s="3" t="s">
        <v>136</v>
      </c>
      <c r="X32" s="3" t="s">
        <v>169</v>
      </c>
      <c r="Z32" s="3">
        <v>9.0</v>
      </c>
      <c r="AA32" s="3">
        <v>0.0</v>
      </c>
      <c r="AB32" s="3">
        <v>1.0</v>
      </c>
      <c r="AC32" s="3">
        <v>2.8846153846153846</v>
      </c>
      <c r="AD32" s="3">
        <v>2.8846153846153846</v>
      </c>
    </row>
    <row r="33">
      <c r="A33" s="1" t="s">
        <v>12</v>
      </c>
      <c r="B33" s="1" t="s">
        <v>170</v>
      </c>
      <c r="C33" s="1" t="s">
        <v>18</v>
      </c>
      <c r="D33" s="1" t="s">
        <v>66</v>
      </c>
      <c r="E33" s="1" t="s">
        <v>67</v>
      </c>
      <c r="F33" s="1" t="s">
        <v>59</v>
      </c>
      <c r="G33" s="1">
        <v>2.5</v>
      </c>
      <c r="H33" s="1" t="s">
        <v>60</v>
      </c>
      <c r="I33" s="1">
        <v>-125.0</v>
      </c>
      <c r="J33" s="1">
        <v>-0.248050457022222</v>
      </c>
      <c r="K33" s="1" t="s">
        <v>61</v>
      </c>
      <c r="L33" s="1" t="s">
        <v>61</v>
      </c>
      <c r="M33" s="1" t="s">
        <v>62</v>
      </c>
      <c r="N33" s="1">
        <v>-105.0</v>
      </c>
      <c r="O33" s="1">
        <v>0.180299002299999</v>
      </c>
      <c r="P33" s="1" t="s">
        <v>61</v>
      </c>
      <c r="Q33" s="1" t="s">
        <v>61</v>
      </c>
      <c r="R33" s="1">
        <v>0.180299002299999</v>
      </c>
      <c r="S33" s="1">
        <v>-105.0</v>
      </c>
      <c r="T33" s="1">
        <f t="shared" si="1"/>
        <v>1.952380952</v>
      </c>
      <c r="U33" s="1">
        <v>0.0</v>
      </c>
      <c r="V33" s="3">
        <v>3.0</v>
      </c>
      <c r="W33" s="3" t="s">
        <v>68</v>
      </c>
      <c r="X33" s="3" t="s">
        <v>171</v>
      </c>
      <c r="Z33" s="3">
        <v>1.0</v>
      </c>
      <c r="AA33" s="3">
        <v>0.0</v>
      </c>
      <c r="AB33" s="3">
        <v>1.0</v>
      </c>
      <c r="AC33" s="3">
        <v>2.8571428571428568</v>
      </c>
      <c r="AD33" s="3">
        <v>2.8571428571428568</v>
      </c>
    </row>
    <row r="34">
      <c r="A34" s="1" t="s">
        <v>12</v>
      </c>
      <c r="B34" s="1" t="s">
        <v>172</v>
      </c>
      <c r="C34" s="1" t="s">
        <v>20</v>
      </c>
      <c r="D34" s="1" t="s">
        <v>157</v>
      </c>
      <c r="E34" s="1" t="s">
        <v>156</v>
      </c>
      <c r="F34" s="1" t="s">
        <v>158</v>
      </c>
      <c r="G34" s="1">
        <v>2.5</v>
      </c>
      <c r="H34" s="1" t="s">
        <v>60</v>
      </c>
      <c r="I34" s="1">
        <v>-127.0</v>
      </c>
      <c r="J34" s="6">
        <v>-0.188325136211453</v>
      </c>
      <c r="K34" s="1" t="s">
        <v>61</v>
      </c>
      <c r="L34" s="1" t="s">
        <v>61</v>
      </c>
      <c r="M34" s="1" t="s">
        <v>62</v>
      </c>
      <c r="N34" s="1">
        <v>-105.0</v>
      </c>
      <c r="O34" s="6">
        <v>0.116651127882926</v>
      </c>
      <c r="P34" s="1" t="s">
        <v>61</v>
      </c>
      <c r="Q34" s="1" t="s">
        <v>61</v>
      </c>
      <c r="R34" s="6">
        <v>0.116651127882926</v>
      </c>
      <c r="S34" s="1">
        <v>-105.0</v>
      </c>
      <c r="T34" s="1">
        <f t="shared" si="1"/>
        <v>1.952380952</v>
      </c>
      <c r="U34" s="1">
        <v>0.0</v>
      </c>
      <c r="V34" s="3">
        <v>3.0</v>
      </c>
      <c r="W34" s="3" t="s">
        <v>173</v>
      </c>
      <c r="X34" s="3" t="s">
        <v>174</v>
      </c>
      <c r="Z34" s="3">
        <v>0.0</v>
      </c>
      <c r="AA34" s="3">
        <v>0.0</v>
      </c>
      <c r="AB34" s="3">
        <v>1.0</v>
      </c>
      <c r="AC34" s="3">
        <v>2.8571428571428568</v>
      </c>
      <c r="AD34" s="3">
        <v>2.8571428571428568</v>
      </c>
    </row>
    <row r="35">
      <c r="A35" s="1" t="s">
        <v>12</v>
      </c>
      <c r="B35" s="1" t="s">
        <v>175</v>
      </c>
      <c r="C35" s="1" t="s">
        <v>18</v>
      </c>
      <c r="D35" s="1" t="s">
        <v>146</v>
      </c>
      <c r="E35" s="1" t="s">
        <v>147</v>
      </c>
      <c r="F35" s="1" t="s">
        <v>59</v>
      </c>
      <c r="G35" s="1">
        <v>3.5</v>
      </c>
      <c r="H35" s="1" t="s">
        <v>60</v>
      </c>
      <c r="I35" s="1">
        <v>-124.0</v>
      </c>
      <c r="J35" s="1">
        <v>-0.179226785714285</v>
      </c>
      <c r="K35" s="1" t="s">
        <v>61</v>
      </c>
      <c r="L35" s="1" t="s">
        <v>61</v>
      </c>
      <c r="M35" s="1" t="s">
        <v>62</v>
      </c>
      <c r="N35" s="1">
        <v>-107.0</v>
      </c>
      <c r="O35" s="1">
        <v>0.108740096618357</v>
      </c>
      <c r="P35" s="1" t="s">
        <v>61</v>
      </c>
      <c r="Q35" s="1" t="s">
        <v>61</v>
      </c>
      <c r="R35" s="1">
        <v>0.108740096618357</v>
      </c>
      <c r="S35" s="1">
        <v>-107.0</v>
      </c>
      <c r="T35" s="1">
        <f t="shared" si="1"/>
        <v>1.934579439</v>
      </c>
      <c r="U35" s="1">
        <v>0.0</v>
      </c>
      <c r="V35" s="3">
        <v>3.0</v>
      </c>
      <c r="W35" s="3" t="s">
        <v>68</v>
      </c>
      <c r="X35" s="3" t="s">
        <v>176</v>
      </c>
      <c r="Z35" s="3">
        <v>3.0</v>
      </c>
      <c r="AA35" s="3">
        <v>0.0</v>
      </c>
      <c r="AB35" s="3">
        <v>1.0</v>
      </c>
      <c r="AC35" s="3">
        <v>2.803738317757009</v>
      </c>
      <c r="AD35" s="3">
        <v>2.803738317757009</v>
      </c>
    </row>
    <row r="36">
      <c r="A36" s="1" t="s">
        <v>8</v>
      </c>
      <c r="B36" s="1" t="s">
        <v>177</v>
      </c>
      <c r="C36" s="1" t="s">
        <v>19</v>
      </c>
      <c r="D36" s="1" t="s">
        <v>110</v>
      </c>
      <c r="E36" s="1" t="s">
        <v>109</v>
      </c>
      <c r="F36" s="1" t="s">
        <v>59</v>
      </c>
      <c r="G36" s="1">
        <v>6.5</v>
      </c>
      <c r="H36" s="1" t="s">
        <v>60</v>
      </c>
      <c r="I36" s="1">
        <v>-120.0</v>
      </c>
      <c r="J36" s="1">
        <v>-0.193185755955601</v>
      </c>
      <c r="K36" s="1" t="s">
        <v>61</v>
      </c>
      <c r="L36" s="1" t="s">
        <v>61</v>
      </c>
      <c r="M36" s="1" t="s">
        <v>62</v>
      </c>
      <c r="N36" s="1">
        <v>-108.0</v>
      </c>
      <c r="O36" s="1">
        <v>0.128504882764667</v>
      </c>
      <c r="P36" s="1" t="s">
        <v>61</v>
      </c>
      <c r="Q36" s="1" t="s">
        <v>61</v>
      </c>
      <c r="R36" s="1">
        <v>0.128504882764667</v>
      </c>
      <c r="S36" s="1">
        <v>-108.0</v>
      </c>
      <c r="T36" s="1">
        <f t="shared" si="1"/>
        <v>1.925925926</v>
      </c>
      <c r="U36" s="1">
        <v>0.0</v>
      </c>
      <c r="V36" s="3">
        <v>3.0</v>
      </c>
      <c r="W36" s="3" t="s">
        <v>68</v>
      </c>
      <c r="X36" s="3" t="s">
        <v>178</v>
      </c>
      <c r="Z36" s="3">
        <v>2.0</v>
      </c>
      <c r="AA36" s="3">
        <v>0.0</v>
      </c>
      <c r="AB36" s="3">
        <v>1.0</v>
      </c>
      <c r="AC36" s="3">
        <v>2.7777777777777777</v>
      </c>
      <c r="AD36" s="3">
        <v>2.7777777777777777</v>
      </c>
    </row>
    <row r="37">
      <c r="A37" s="1" t="s">
        <v>12</v>
      </c>
      <c r="B37" s="1" t="s">
        <v>179</v>
      </c>
      <c r="C37" s="1" t="s">
        <v>19</v>
      </c>
      <c r="D37" s="1" t="s">
        <v>76</v>
      </c>
      <c r="E37" s="1" t="s">
        <v>77</v>
      </c>
      <c r="F37" s="1" t="s">
        <v>78</v>
      </c>
      <c r="G37" s="1">
        <v>2.5</v>
      </c>
      <c r="H37" s="1" t="s">
        <v>60</v>
      </c>
      <c r="I37" s="1">
        <v>-122.0</v>
      </c>
      <c r="J37" s="6">
        <v>-0.220593189999999</v>
      </c>
      <c r="K37" s="1" t="s">
        <v>61</v>
      </c>
      <c r="L37" s="1" t="s">
        <v>61</v>
      </c>
      <c r="M37" s="1" t="s">
        <v>62</v>
      </c>
      <c r="N37" s="1">
        <v>-109.0</v>
      </c>
      <c r="O37" s="6">
        <v>0.149519426393301</v>
      </c>
      <c r="P37" s="1" t="s">
        <v>61</v>
      </c>
      <c r="Q37" s="1" t="s">
        <v>61</v>
      </c>
      <c r="R37" s="6">
        <v>0.149519426393301</v>
      </c>
      <c r="S37" s="1">
        <v>-109.0</v>
      </c>
      <c r="T37" s="1">
        <f t="shared" si="1"/>
        <v>1.917431193</v>
      </c>
      <c r="U37" s="1">
        <v>0.0</v>
      </c>
      <c r="V37" s="3">
        <v>3.0</v>
      </c>
      <c r="W37" s="3" t="s">
        <v>180</v>
      </c>
      <c r="X37" s="3" t="s">
        <v>181</v>
      </c>
      <c r="Z37" s="3">
        <v>2.0</v>
      </c>
      <c r="AA37" s="3">
        <v>0.0</v>
      </c>
      <c r="AB37" s="3">
        <v>1.0</v>
      </c>
      <c r="AC37" s="3">
        <v>2.7522935779816518</v>
      </c>
      <c r="AD37" s="3">
        <v>2.7522935779816518</v>
      </c>
    </row>
    <row r="38">
      <c r="A38" s="1" t="s">
        <v>8</v>
      </c>
      <c r="B38" s="1" t="s">
        <v>182</v>
      </c>
      <c r="C38" s="1" t="s">
        <v>19</v>
      </c>
      <c r="D38" s="1" t="s">
        <v>77</v>
      </c>
      <c r="E38" s="1" t="s">
        <v>76</v>
      </c>
      <c r="F38" s="1" t="s">
        <v>78</v>
      </c>
      <c r="G38" s="1">
        <v>3.5</v>
      </c>
      <c r="H38" s="1" t="s">
        <v>60</v>
      </c>
      <c r="I38" s="1">
        <v>-120.0</v>
      </c>
      <c r="J38" s="6">
        <v>-0.256196803680994</v>
      </c>
      <c r="K38" s="1" t="s">
        <v>61</v>
      </c>
      <c r="L38" s="1" t="s">
        <v>61</v>
      </c>
      <c r="M38" s="1" t="s">
        <v>62</v>
      </c>
      <c r="N38" s="1">
        <v>-110.0</v>
      </c>
      <c r="O38" s="6">
        <v>0.186939173765717</v>
      </c>
      <c r="P38" s="1" t="s">
        <v>61</v>
      </c>
      <c r="Q38" s="1" t="s">
        <v>61</v>
      </c>
      <c r="R38" s="6">
        <v>0.186939173765717</v>
      </c>
      <c r="S38" s="1">
        <v>-110.0</v>
      </c>
      <c r="T38" s="1">
        <f t="shared" si="1"/>
        <v>1.909090909</v>
      </c>
      <c r="U38" s="1">
        <v>0.0</v>
      </c>
      <c r="V38" s="3">
        <v>3.0</v>
      </c>
      <c r="W38" s="3" t="s">
        <v>183</v>
      </c>
      <c r="X38" s="3" t="s">
        <v>184</v>
      </c>
      <c r="Z38" s="3">
        <v>1.0</v>
      </c>
      <c r="AA38" s="3">
        <v>0.0</v>
      </c>
      <c r="AB38" s="3">
        <v>1.0</v>
      </c>
      <c r="AC38" s="3">
        <v>2.727272727272727</v>
      </c>
      <c r="AD38" s="3">
        <v>2.727272727272727</v>
      </c>
    </row>
    <row r="39">
      <c r="A39" s="1" t="s">
        <v>12</v>
      </c>
      <c r="B39" s="1" t="s">
        <v>185</v>
      </c>
      <c r="C39" s="1" t="s">
        <v>20</v>
      </c>
      <c r="D39" s="1" t="s">
        <v>146</v>
      </c>
      <c r="E39" s="1" t="s">
        <v>147</v>
      </c>
      <c r="F39" s="1" t="s">
        <v>59</v>
      </c>
      <c r="G39" s="1">
        <v>2.5</v>
      </c>
      <c r="H39" s="1" t="s">
        <v>60</v>
      </c>
      <c r="I39" s="1">
        <v>-122.0</v>
      </c>
      <c r="J39" s="1">
        <v>-0.194347671396396</v>
      </c>
      <c r="K39" s="1" t="s">
        <v>61</v>
      </c>
      <c r="L39" s="1" t="s">
        <v>61</v>
      </c>
      <c r="M39" s="1" t="s">
        <v>62</v>
      </c>
      <c r="N39" s="1">
        <v>-110.0</v>
      </c>
      <c r="O39" s="1">
        <v>0.120988292166666</v>
      </c>
      <c r="P39" s="1" t="s">
        <v>61</v>
      </c>
      <c r="Q39" s="1" t="s">
        <v>61</v>
      </c>
      <c r="R39" s="1">
        <v>0.120988292166666</v>
      </c>
      <c r="S39" s="1">
        <v>-110.0</v>
      </c>
      <c r="T39" s="1">
        <f t="shared" si="1"/>
        <v>1.909090909</v>
      </c>
      <c r="U39" s="1">
        <v>0.0</v>
      </c>
      <c r="V39" s="3">
        <v>3.0</v>
      </c>
      <c r="W39" s="3" t="s">
        <v>68</v>
      </c>
      <c r="X39" s="3" t="s">
        <v>186</v>
      </c>
      <c r="Z39" s="3">
        <v>2.0</v>
      </c>
      <c r="AA39" s="3">
        <v>0.0</v>
      </c>
      <c r="AB39" s="3">
        <v>1.0</v>
      </c>
      <c r="AC39" s="3">
        <v>2.727272727272727</v>
      </c>
      <c r="AD39" s="3">
        <v>2.727272727272727</v>
      </c>
    </row>
    <row r="40">
      <c r="A40" s="1" t="s">
        <v>12</v>
      </c>
      <c r="B40" s="1" t="s">
        <v>187</v>
      </c>
      <c r="C40" s="1" t="s">
        <v>19</v>
      </c>
      <c r="D40" s="1" t="s">
        <v>157</v>
      </c>
      <c r="E40" s="1" t="s">
        <v>156</v>
      </c>
      <c r="F40" s="1" t="s">
        <v>158</v>
      </c>
      <c r="G40" s="1">
        <v>2.5</v>
      </c>
      <c r="H40" s="1" t="s">
        <v>60</v>
      </c>
      <c r="I40" s="1">
        <v>-119.0</v>
      </c>
      <c r="J40" s="6">
        <v>-0.209786171004566</v>
      </c>
      <c r="K40" s="1" t="s">
        <v>61</v>
      </c>
      <c r="L40" s="1" t="s">
        <v>61</v>
      </c>
      <c r="M40" s="1" t="s">
        <v>62</v>
      </c>
      <c r="N40" s="1">
        <v>-112.0</v>
      </c>
      <c r="O40" s="6">
        <v>0.138090717094339</v>
      </c>
      <c r="P40" s="1" t="s">
        <v>61</v>
      </c>
      <c r="Q40" s="1" t="s">
        <v>61</v>
      </c>
      <c r="R40" s="6">
        <v>0.138090717094339</v>
      </c>
      <c r="S40" s="1">
        <v>-112.0</v>
      </c>
      <c r="T40" s="1">
        <f t="shared" si="1"/>
        <v>1.892857143</v>
      </c>
      <c r="U40" s="1">
        <v>0.0</v>
      </c>
      <c r="V40" s="3">
        <v>3.0</v>
      </c>
      <c r="W40" s="3" t="s">
        <v>68</v>
      </c>
      <c r="X40" s="3" t="s">
        <v>188</v>
      </c>
      <c r="Z40" s="3">
        <v>2.0</v>
      </c>
      <c r="AA40" s="3">
        <v>0.0</v>
      </c>
      <c r="AB40" s="3">
        <v>1.0</v>
      </c>
      <c r="AC40" s="3">
        <v>2.678571428571429</v>
      </c>
      <c r="AD40" s="3">
        <v>2.678571428571429</v>
      </c>
    </row>
    <row r="41">
      <c r="A41" s="1" t="s">
        <v>12</v>
      </c>
      <c r="B41" s="1" t="s">
        <v>189</v>
      </c>
      <c r="C41" s="1" t="s">
        <v>18</v>
      </c>
      <c r="D41" s="1" t="s">
        <v>104</v>
      </c>
      <c r="E41" s="1" t="s">
        <v>105</v>
      </c>
      <c r="F41" s="1" t="s">
        <v>59</v>
      </c>
      <c r="G41" s="1">
        <v>3.5</v>
      </c>
      <c r="H41" s="1" t="s">
        <v>60</v>
      </c>
      <c r="I41" s="1">
        <v>-118.0</v>
      </c>
      <c r="J41" s="1">
        <v>-0.204238532110091</v>
      </c>
      <c r="K41" s="1" t="s">
        <v>61</v>
      </c>
      <c r="L41" s="1" t="s">
        <v>61</v>
      </c>
      <c r="M41" s="1" t="s">
        <v>62</v>
      </c>
      <c r="N41" s="1">
        <v>-112.0</v>
      </c>
      <c r="O41" s="1">
        <v>0.134645283018868</v>
      </c>
      <c r="P41" s="1" t="s">
        <v>61</v>
      </c>
      <c r="Q41" s="1" t="s">
        <v>61</v>
      </c>
      <c r="R41" s="1">
        <v>0.134645283018868</v>
      </c>
      <c r="S41" s="1">
        <v>-112.0</v>
      </c>
      <c r="T41" s="1">
        <f t="shared" si="1"/>
        <v>1.892857143</v>
      </c>
      <c r="U41" s="1">
        <v>0.0</v>
      </c>
      <c r="V41" s="3">
        <v>3.0</v>
      </c>
      <c r="W41" s="3" t="s">
        <v>73</v>
      </c>
      <c r="X41" s="3" t="s">
        <v>190</v>
      </c>
      <c r="Z41" s="3">
        <v>3.0</v>
      </c>
      <c r="AA41" s="3">
        <v>0.0</v>
      </c>
      <c r="AB41" s="3">
        <v>1.0</v>
      </c>
      <c r="AC41" s="3">
        <v>2.678571428571429</v>
      </c>
      <c r="AD41" s="3">
        <v>2.678571428571429</v>
      </c>
      <c r="AE41" s="1" t="s">
        <v>18</v>
      </c>
      <c r="AF41" s="3">
        <f>COUNTIF(C:C, "=WR")</f>
        <v>152</v>
      </c>
      <c r="AG41" s="3">
        <f>countif('Week 1'!C:C, "="&amp;AE41) + countif('Week 2'!C:C, "=" &amp;AE41)</f>
        <v>277</v>
      </c>
      <c r="AH41" s="3">
        <f t="shared" ref="AH41:AH44" si="2">AF41/AG41</f>
        <v>0.5487364621</v>
      </c>
    </row>
    <row r="42">
      <c r="A42" s="1" t="s">
        <v>12</v>
      </c>
      <c r="B42" s="1" t="s">
        <v>191</v>
      </c>
      <c r="C42" s="1" t="s">
        <v>18</v>
      </c>
      <c r="D42" s="1" t="s">
        <v>99</v>
      </c>
      <c r="E42" s="1" t="s">
        <v>100</v>
      </c>
      <c r="F42" s="1" t="s">
        <v>59</v>
      </c>
      <c r="G42" s="1">
        <v>3.5</v>
      </c>
      <c r="H42" s="1" t="s">
        <v>60</v>
      </c>
      <c r="I42" s="1">
        <v>-118.0</v>
      </c>
      <c r="J42" s="1">
        <v>-0.197922018348623</v>
      </c>
      <c r="K42" s="1" t="s">
        <v>61</v>
      </c>
      <c r="L42" s="1" t="s">
        <v>61</v>
      </c>
      <c r="M42" s="1" t="s">
        <v>62</v>
      </c>
      <c r="N42" s="1">
        <v>-112.0</v>
      </c>
      <c r="O42" s="1">
        <v>0.128356603773584</v>
      </c>
      <c r="P42" s="1" t="s">
        <v>61</v>
      </c>
      <c r="Q42" s="1" t="s">
        <v>61</v>
      </c>
      <c r="R42" s="1">
        <v>0.128356603773584</v>
      </c>
      <c r="S42" s="1">
        <v>-112.0</v>
      </c>
      <c r="T42" s="1">
        <f t="shared" si="1"/>
        <v>1.892857143</v>
      </c>
      <c r="U42" s="1">
        <v>0.0</v>
      </c>
      <c r="V42" s="3">
        <v>3.0</v>
      </c>
      <c r="W42" s="3" t="s">
        <v>153</v>
      </c>
      <c r="X42" s="3" t="s">
        <v>192</v>
      </c>
      <c r="Z42" s="3">
        <v>1.0</v>
      </c>
      <c r="AA42" s="3">
        <v>0.0</v>
      </c>
      <c r="AB42" s="3">
        <v>1.0</v>
      </c>
      <c r="AC42" s="3">
        <v>2.678571428571429</v>
      </c>
      <c r="AD42" s="3">
        <v>2.678571428571429</v>
      </c>
      <c r="AE42" s="1" t="s">
        <v>19</v>
      </c>
      <c r="AF42" s="3">
        <f>COUNTIF(C:C, "=RB")</f>
        <v>127</v>
      </c>
      <c r="AG42" s="3">
        <f>countif('Week 1'!C:C, "="&amp;AE42) + countif('Week 2'!C:C, "=" &amp;AE42)</f>
        <v>263</v>
      </c>
      <c r="AH42" s="3">
        <f t="shared" si="2"/>
        <v>0.4828897338</v>
      </c>
    </row>
    <row r="43">
      <c r="A43" s="1" t="s">
        <v>12</v>
      </c>
      <c r="B43" s="1" t="s">
        <v>193</v>
      </c>
      <c r="C43" s="1" t="s">
        <v>20</v>
      </c>
      <c r="D43" s="1" t="s">
        <v>58</v>
      </c>
      <c r="E43" s="1" t="s">
        <v>57</v>
      </c>
      <c r="F43" s="1" t="s">
        <v>59</v>
      </c>
      <c r="G43" s="1">
        <v>2.5</v>
      </c>
      <c r="H43" s="1" t="s">
        <v>60</v>
      </c>
      <c r="I43" s="1">
        <v>-118.0</v>
      </c>
      <c r="J43" s="1">
        <v>-0.195628549541284</v>
      </c>
      <c r="K43" s="1" t="s">
        <v>61</v>
      </c>
      <c r="L43" s="1" t="s">
        <v>61</v>
      </c>
      <c r="M43" s="1" t="s">
        <v>62</v>
      </c>
      <c r="N43" s="1">
        <v>-112.0</v>
      </c>
      <c r="O43" s="1">
        <v>0.126048955924528</v>
      </c>
      <c r="P43" s="1" t="s">
        <v>61</v>
      </c>
      <c r="Q43" s="1" t="s">
        <v>61</v>
      </c>
      <c r="R43" s="1">
        <v>0.126048955924528</v>
      </c>
      <c r="S43" s="1">
        <v>-112.0</v>
      </c>
      <c r="T43" s="1">
        <f t="shared" si="1"/>
        <v>1.892857143</v>
      </c>
      <c r="U43" s="1">
        <v>0.0</v>
      </c>
      <c r="V43" s="3">
        <v>3.0</v>
      </c>
      <c r="W43" s="3" t="s">
        <v>68</v>
      </c>
      <c r="X43" s="3" t="s">
        <v>194</v>
      </c>
      <c r="Z43" s="3">
        <v>2.0</v>
      </c>
      <c r="AA43" s="3">
        <v>0.0</v>
      </c>
      <c r="AB43" s="3">
        <v>1.0</v>
      </c>
      <c r="AC43" s="3">
        <v>2.678571428571429</v>
      </c>
      <c r="AD43" s="3">
        <v>2.678571428571429</v>
      </c>
      <c r="AE43" s="1" t="s">
        <v>20</v>
      </c>
      <c r="AF43" s="3">
        <f>COUNTIF(C:C, "=TE")</f>
        <v>61</v>
      </c>
      <c r="AG43" s="3">
        <f>countif('Week 1'!C:C, "="&amp;AE43) + countif('Week 2'!C:C, "=" &amp;AE43)</f>
        <v>91</v>
      </c>
      <c r="AH43" s="3">
        <f t="shared" si="2"/>
        <v>0.6703296703</v>
      </c>
    </row>
    <row r="44">
      <c r="A44" s="1" t="s">
        <v>13</v>
      </c>
      <c r="B44" s="1" t="s">
        <v>65</v>
      </c>
      <c r="C44" s="1" t="s">
        <v>21</v>
      </c>
      <c r="D44" s="1" t="s">
        <v>66</v>
      </c>
      <c r="E44" s="1" t="s">
        <v>67</v>
      </c>
      <c r="F44" s="1" t="s">
        <v>59</v>
      </c>
      <c r="G44" s="1">
        <v>205.0</v>
      </c>
      <c r="H44" s="1" t="s">
        <v>60</v>
      </c>
      <c r="I44" s="1">
        <v>-115.0</v>
      </c>
      <c r="J44" s="1">
        <v>-0.298285703347441</v>
      </c>
      <c r="K44" s="1" t="s">
        <v>61</v>
      </c>
      <c r="L44" s="1" t="s">
        <v>61</v>
      </c>
      <c r="M44" s="1" t="s">
        <v>62</v>
      </c>
      <c r="N44" s="1">
        <v>-115.0</v>
      </c>
      <c r="O44" s="1">
        <v>0.228818558849557</v>
      </c>
      <c r="P44" s="1" t="s">
        <v>61</v>
      </c>
      <c r="Q44" s="1" t="s">
        <v>61</v>
      </c>
      <c r="R44" s="1">
        <v>0.228818558849557</v>
      </c>
      <c r="S44" s="1">
        <v>-115.0</v>
      </c>
      <c r="T44" s="1">
        <f t="shared" si="1"/>
        <v>1.869565217</v>
      </c>
      <c r="U44" s="1">
        <v>0.0</v>
      </c>
      <c r="V44" s="3">
        <v>3.0</v>
      </c>
      <c r="W44" s="3" t="s">
        <v>68</v>
      </c>
      <c r="X44" s="3" t="s">
        <v>69</v>
      </c>
      <c r="Z44" s="3">
        <v>121.0</v>
      </c>
      <c r="AA44" s="3">
        <v>0.0</v>
      </c>
      <c r="AB44" s="3">
        <v>1.0</v>
      </c>
      <c r="AC44" s="3">
        <v>2.608695652173913</v>
      </c>
      <c r="AD44" s="3">
        <v>2.608695652173913</v>
      </c>
      <c r="AE44" s="1" t="s">
        <v>21</v>
      </c>
      <c r="AF44" s="3">
        <f>COUNTIF(C:C, "=QB")</f>
        <v>133</v>
      </c>
      <c r="AG44" s="3">
        <f>countif('Week 1'!C:C, "=QB") + countif('Week 2'!C:C, "=QB")</f>
        <v>251</v>
      </c>
      <c r="AH44" s="3">
        <f t="shared" si="2"/>
        <v>0.5298804781</v>
      </c>
    </row>
    <row r="45">
      <c r="A45" s="1" t="s">
        <v>8</v>
      </c>
      <c r="B45" s="1" t="s">
        <v>195</v>
      </c>
      <c r="C45" s="1" t="s">
        <v>19</v>
      </c>
      <c r="D45" s="1" t="s">
        <v>196</v>
      </c>
      <c r="E45" s="1" t="s">
        <v>197</v>
      </c>
      <c r="F45" s="1" t="s">
        <v>198</v>
      </c>
      <c r="G45" s="1">
        <v>6.5</v>
      </c>
      <c r="H45" s="1" t="s">
        <v>60</v>
      </c>
      <c r="I45" s="1">
        <v>-115.0</v>
      </c>
      <c r="J45" s="1">
        <v>-0.247784196654167</v>
      </c>
      <c r="K45" s="1" t="s">
        <v>61</v>
      </c>
      <c r="L45" s="1" t="s">
        <v>61</v>
      </c>
      <c r="M45" s="1" t="s">
        <v>62</v>
      </c>
      <c r="N45" s="1">
        <v>-115.0</v>
      </c>
      <c r="O45" s="1">
        <v>0.178001826152292</v>
      </c>
      <c r="P45" s="1" t="s">
        <v>61</v>
      </c>
      <c r="Q45" s="1" t="s">
        <v>61</v>
      </c>
      <c r="R45" s="1">
        <v>0.178001826152292</v>
      </c>
      <c r="S45" s="1">
        <v>-115.0</v>
      </c>
      <c r="T45" s="1">
        <f t="shared" si="1"/>
        <v>1.869565217</v>
      </c>
      <c r="U45" s="1">
        <v>0.0</v>
      </c>
      <c r="V45" s="3">
        <v>3.0</v>
      </c>
      <c r="W45" s="3" t="s">
        <v>63</v>
      </c>
      <c r="X45" s="3" t="s">
        <v>199</v>
      </c>
      <c r="Z45" s="3">
        <v>0.0</v>
      </c>
      <c r="AA45" s="3">
        <v>0.0</v>
      </c>
      <c r="AB45" s="3">
        <v>1.0</v>
      </c>
      <c r="AC45" s="3">
        <v>2.608695652173913</v>
      </c>
      <c r="AD45" s="3">
        <v>2.608695652173913</v>
      </c>
    </row>
    <row r="46">
      <c r="A46" s="1" t="s">
        <v>8</v>
      </c>
      <c r="B46" s="1" t="s">
        <v>200</v>
      </c>
      <c r="C46" s="1" t="s">
        <v>21</v>
      </c>
      <c r="D46" s="1" t="s">
        <v>71</v>
      </c>
      <c r="E46" s="1" t="s">
        <v>72</v>
      </c>
      <c r="F46" s="1" t="s">
        <v>59</v>
      </c>
      <c r="G46" s="1">
        <v>9.0</v>
      </c>
      <c r="H46" s="1" t="s">
        <v>60</v>
      </c>
      <c r="I46" s="1">
        <v>-118.0</v>
      </c>
      <c r="J46" s="1">
        <v>-0.233989715023118</v>
      </c>
      <c r="K46" s="1" t="s">
        <v>61</v>
      </c>
      <c r="L46" s="1" t="s">
        <v>61</v>
      </c>
      <c r="M46" s="1" t="s">
        <v>62</v>
      </c>
      <c r="N46" s="1">
        <v>-115.0</v>
      </c>
      <c r="O46" s="1">
        <v>0.162421960726957</v>
      </c>
      <c r="P46" s="1" t="s">
        <v>61</v>
      </c>
      <c r="Q46" s="1" t="s">
        <v>61</v>
      </c>
      <c r="R46" s="1">
        <v>0.162421960726957</v>
      </c>
      <c r="S46" s="1">
        <v>-115.0</v>
      </c>
      <c r="T46" s="1">
        <f t="shared" si="1"/>
        <v>1.869565217</v>
      </c>
      <c r="U46" s="1">
        <v>0.0</v>
      </c>
      <c r="V46" s="3">
        <v>3.0</v>
      </c>
      <c r="W46" s="3" t="s">
        <v>117</v>
      </c>
      <c r="X46" s="3" t="s">
        <v>201</v>
      </c>
      <c r="Z46" s="3">
        <v>6.0</v>
      </c>
      <c r="AA46" s="3">
        <v>0.0</v>
      </c>
      <c r="AB46" s="3">
        <v>1.0</v>
      </c>
      <c r="AC46" s="3">
        <v>2.608695652173913</v>
      </c>
      <c r="AD46" s="3">
        <v>2.608695652173913</v>
      </c>
    </row>
    <row r="47">
      <c r="A47" s="1" t="s">
        <v>8</v>
      </c>
      <c r="B47" s="1" t="s">
        <v>202</v>
      </c>
      <c r="C47" s="1" t="s">
        <v>19</v>
      </c>
      <c r="D47" s="1" t="s">
        <v>109</v>
      </c>
      <c r="E47" s="1" t="s">
        <v>110</v>
      </c>
      <c r="F47" s="1" t="s">
        <v>59</v>
      </c>
      <c r="G47" s="1">
        <v>7.5</v>
      </c>
      <c r="H47" s="1" t="s">
        <v>60</v>
      </c>
      <c r="I47" s="1">
        <v>-115.0</v>
      </c>
      <c r="J47" s="1">
        <v>-0.227018864713894</v>
      </c>
      <c r="K47" s="1" t="s">
        <v>61</v>
      </c>
      <c r="L47" s="1" t="s">
        <v>61</v>
      </c>
      <c r="M47" s="1" t="s">
        <v>62</v>
      </c>
      <c r="N47" s="1">
        <v>-115.0</v>
      </c>
      <c r="O47" s="1">
        <v>0.157256694420978</v>
      </c>
      <c r="P47" s="1" t="s">
        <v>61</v>
      </c>
      <c r="Q47" s="1" t="s">
        <v>61</v>
      </c>
      <c r="R47" s="1">
        <v>0.157256694420978</v>
      </c>
      <c r="S47" s="1">
        <v>-115.0</v>
      </c>
      <c r="T47" s="1">
        <f t="shared" si="1"/>
        <v>1.869565217</v>
      </c>
      <c r="U47" s="1">
        <v>0.0</v>
      </c>
      <c r="V47" s="3">
        <v>3.0</v>
      </c>
      <c r="W47" s="3" t="s">
        <v>95</v>
      </c>
      <c r="X47" s="3" t="s">
        <v>203</v>
      </c>
      <c r="Z47" s="3">
        <v>3.0</v>
      </c>
      <c r="AA47" s="3">
        <v>0.0</v>
      </c>
      <c r="AB47" s="3">
        <v>1.0</v>
      </c>
      <c r="AC47" s="3">
        <v>2.608695652173913</v>
      </c>
      <c r="AD47" s="3">
        <v>2.608695652173913</v>
      </c>
    </row>
    <row r="48">
      <c r="A48" s="1" t="s">
        <v>8</v>
      </c>
      <c r="B48" s="1" t="s">
        <v>204</v>
      </c>
      <c r="C48" s="1" t="s">
        <v>21</v>
      </c>
      <c r="D48" s="1" t="s">
        <v>105</v>
      </c>
      <c r="E48" s="1" t="s">
        <v>104</v>
      </c>
      <c r="F48" s="1" t="s">
        <v>59</v>
      </c>
      <c r="G48" s="1">
        <v>5.5</v>
      </c>
      <c r="H48" s="1" t="s">
        <v>60</v>
      </c>
      <c r="I48" s="1">
        <v>-114.0</v>
      </c>
      <c r="J48" s="1">
        <v>-0.218491827327148</v>
      </c>
      <c r="K48" s="1" t="s">
        <v>61</v>
      </c>
      <c r="L48" s="1" t="s">
        <v>61</v>
      </c>
      <c r="M48" s="1" t="s">
        <v>62</v>
      </c>
      <c r="N48" s="1">
        <v>-115.0</v>
      </c>
      <c r="O48" s="1">
        <v>0.150909621884703</v>
      </c>
      <c r="P48" s="1" t="s">
        <v>61</v>
      </c>
      <c r="Q48" s="1" t="s">
        <v>61</v>
      </c>
      <c r="R48" s="1">
        <v>0.150909621884703</v>
      </c>
      <c r="S48" s="1">
        <v>-115.0</v>
      </c>
      <c r="T48" s="1">
        <f t="shared" si="1"/>
        <v>1.869565217</v>
      </c>
      <c r="U48" s="1">
        <v>0.0</v>
      </c>
      <c r="V48" s="3">
        <v>3.0</v>
      </c>
      <c r="W48" s="3" t="s">
        <v>73</v>
      </c>
      <c r="X48" s="3" t="s">
        <v>205</v>
      </c>
      <c r="Z48" s="3">
        <v>5.0</v>
      </c>
      <c r="AA48" s="3">
        <v>0.0</v>
      </c>
      <c r="AB48" s="3">
        <v>1.0</v>
      </c>
      <c r="AC48" s="3">
        <v>2.608695652173913</v>
      </c>
      <c r="AD48" s="3">
        <v>2.608695652173913</v>
      </c>
      <c r="AE48" s="1" t="s">
        <v>206</v>
      </c>
      <c r="AF48" s="3">
        <f>COUNTIF(AA:AA, "=1")</f>
        <v>72</v>
      </c>
      <c r="AG48" s="3">
        <f>countif('Week 1'!AB:AB, "=1") + countif('Week 2'!AB:AB, "=1")</f>
        <v>387</v>
      </c>
      <c r="AH48" s="3">
        <f t="shared" ref="AH48:AH49" si="3">AF48/AG48</f>
        <v>0.1860465116</v>
      </c>
    </row>
    <row r="49">
      <c r="A49" s="1" t="s">
        <v>9</v>
      </c>
      <c r="B49" s="1" t="s">
        <v>207</v>
      </c>
      <c r="C49" s="1" t="s">
        <v>18</v>
      </c>
      <c r="D49" s="1" t="s">
        <v>57</v>
      </c>
      <c r="E49" s="1" t="s">
        <v>58</v>
      </c>
      <c r="F49" s="1" t="s">
        <v>59</v>
      </c>
      <c r="G49" s="1">
        <v>14.5</v>
      </c>
      <c r="H49" s="1" t="s">
        <v>60</v>
      </c>
      <c r="I49" s="1">
        <v>-115.0</v>
      </c>
      <c r="J49" s="1">
        <v>0.142410230038045</v>
      </c>
      <c r="K49" s="1" t="s">
        <v>61</v>
      </c>
      <c r="L49" s="1" t="s">
        <v>61</v>
      </c>
      <c r="M49" s="1" t="s">
        <v>62</v>
      </c>
      <c r="N49" s="1">
        <v>-115.0</v>
      </c>
      <c r="O49" s="1">
        <v>-0.212191764543752</v>
      </c>
      <c r="P49" s="1" t="s">
        <v>61</v>
      </c>
      <c r="Q49" s="1" t="s">
        <v>61</v>
      </c>
      <c r="R49" s="1">
        <v>0.142410230038045</v>
      </c>
      <c r="S49" s="1">
        <v>-115.0</v>
      </c>
      <c r="T49" s="1">
        <f t="shared" si="1"/>
        <v>1.869565217</v>
      </c>
      <c r="U49" s="1">
        <v>1.0</v>
      </c>
      <c r="V49" s="3">
        <v>3.0</v>
      </c>
      <c r="W49" s="3" t="s">
        <v>68</v>
      </c>
      <c r="X49" s="3" t="s">
        <v>208</v>
      </c>
      <c r="Z49" s="3">
        <v>43.0</v>
      </c>
      <c r="AA49" s="3">
        <v>1.0</v>
      </c>
      <c r="AB49" s="3">
        <v>1.0</v>
      </c>
      <c r="AC49" s="3">
        <v>2.608695652173913</v>
      </c>
      <c r="AD49" s="3">
        <v>2.608695652173913</v>
      </c>
      <c r="AE49" s="1" t="s">
        <v>209</v>
      </c>
      <c r="AF49" s="3">
        <f>COUNTIF(AA:AA, "=0")</f>
        <v>401</v>
      </c>
      <c r="AG49" s="3">
        <f>countif('Week 1'!AB:AB, "=0") + countif('Week 2'!AB:AB, "=0")</f>
        <v>495</v>
      </c>
      <c r="AH49" s="3">
        <f t="shared" si="3"/>
        <v>0.8101010101</v>
      </c>
    </row>
    <row r="50">
      <c r="A50" s="1" t="s">
        <v>12</v>
      </c>
      <c r="B50" s="1" t="s">
        <v>210</v>
      </c>
      <c r="C50" s="1" t="s">
        <v>18</v>
      </c>
      <c r="D50" s="1" t="s">
        <v>156</v>
      </c>
      <c r="E50" s="1" t="s">
        <v>157</v>
      </c>
      <c r="F50" s="1" t="s">
        <v>158</v>
      </c>
      <c r="G50" s="1">
        <v>1.5</v>
      </c>
      <c r="H50" s="1" t="s">
        <v>60</v>
      </c>
      <c r="I50" s="1">
        <v>-115.0</v>
      </c>
      <c r="J50" s="6">
        <v>-0.200223965683721</v>
      </c>
      <c r="K50" s="1" t="s">
        <v>61</v>
      </c>
      <c r="L50" s="1" t="s">
        <v>61</v>
      </c>
      <c r="M50" s="1" t="s">
        <v>62</v>
      </c>
      <c r="N50" s="1">
        <v>-115.0</v>
      </c>
      <c r="O50" s="6">
        <v>0.130462560536279</v>
      </c>
      <c r="P50" s="1" t="s">
        <v>61</v>
      </c>
      <c r="Q50" s="1" t="s">
        <v>61</v>
      </c>
      <c r="R50" s="6">
        <v>0.130462560536279</v>
      </c>
      <c r="S50" s="1">
        <v>-115.0</v>
      </c>
      <c r="T50" s="1">
        <f t="shared" si="1"/>
        <v>1.869565217</v>
      </c>
      <c r="U50" s="1">
        <v>0.0</v>
      </c>
      <c r="V50" s="3">
        <v>3.0</v>
      </c>
      <c r="W50" s="3" t="s">
        <v>68</v>
      </c>
      <c r="X50" s="3" t="s">
        <v>211</v>
      </c>
      <c r="Z50" s="3">
        <v>0.0</v>
      </c>
      <c r="AA50" s="3">
        <v>0.0</v>
      </c>
      <c r="AB50" s="3">
        <v>1.0</v>
      </c>
      <c r="AC50" s="3">
        <v>2.608695652173913</v>
      </c>
      <c r="AD50" s="3">
        <v>2.608695652173913</v>
      </c>
    </row>
    <row r="51">
      <c r="A51" s="1" t="s">
        <v>9</v>
      </c>
      <c r="B51" s="1" t="s">
        <v>212</v>
      </c>
      <c r="C51" s="1" t="s">
        <v>18</v>
      </c>
      <c r="D51" s="1" t="s">
        <v>66</v>
      </c>
      <c r="E51" s="1" t="s">
        <v>67</v>
      </c>
      <c r="F51" s="1" t="s">
        <v>59</v>
      </c>
      <c r="G51" s="1">
        <v>18.5</v>
      </c>
      <c r="H51" s="1" t="s">
        <v>60</v>
      </c>
      <c r="I51" s="1">
        <v>-115.0</v>
      </c>
      <c r="J51" s="1">
        <v>0.117219743423234</v>
      </c>
      <c r="K51" s="1" t="s">
        <v>61</v>
      </c>
      <c r="L51" s="1" t="s">
        <v>61</v>
      </c>
      <c r="M51" s="1" t="s">
        <v>62</v>
      </c>
      <c r="N51" s="1">
        <v>-115.0</v>
      </c>
      <c r="O51" s="1">
        <v>-0.186972704936719</v>
      </c>
      <c r="P51" s="1" t="s">
        <v>61</v>
      </c>
      <c r="Q51" s="1" t="s">
        <v>61</v>
      </c>
      <c r="R51" s="1">
        <v>0.117219743423234</v>
      </c>
      <c r="S51" s="1">
        <v>-115.0</v>
      </c>
      <c r="T51" s="1">
        <f t="shared" si="1"/>
        <v>1.869565217</v>
      </c>
      <c r="U51" s="1">
        <v>1.0</v>
      </c>
      <c r="V51" s="3">
        <v>3.0</v>
      </c>
      <c r="W51" s="3" t="s">
        <v>73</v>
      </c>
      <c r="X51" s="3" t="s">
        <v>213</v>
      </c>
      <c r="Z51" s="3">
        <v>21.0</v>
      </c>
      <c r="AA51" s="3">
        <v>1.0</v>
      </c>
      <c r="AB51" s="3">
        <v>1.0</v>
      </c>
      <c r="AC51" s="3">
        <v>2.608695652173913</v>
      </c>
      <c r="AD51" s="3">
        <v>2.608695652173913</v>
      </c>
    </row>
    <row r="52">
      <c r="A52" s="1" t="s">
        <v>15</v>
      </c>
      <c r="B52" s="1" t="s">
        <v>214</v>
      </c>
      <c r="C52" s="1" t="s">
        <v>21</v>
      </c>
      <c r="D52" s="1" t="s">
        <v>110</v>
      </c>
      <c r="E52" s="1" t="s">
        <v>109</v>
      </c>
      <c r="F52" s="1" t="s">
        <v>59</v>
      </c>
      <c r="G52" s="1">
        <v>18.5</v>
      </c>
      <c r="H52" s="1" t="s">
        <v>60</v>
      </c>
      <c r="I52" s="1">
        <v>-119.0</v>
      </c>
      <c r="J52" s="1">
        <v>-0.190006983931506</v>
      </c>
      <c r="K52" s="1" t="s">
        <v>61</v>
      </c>
      <c r="L52" s="1" t="s">
        <v>61</v>
      </c>
      <c r="M52" s="1" t="s">
        <v>62</v>
      </c>
      <c r="N52" s="1">
        <v>-115.0</v>
      </c>
      <c r="O52" s="1">
        <v>0.111783343735581</v>
      </c>
      <c r="P52" s="1" t="s">
        <v>61</v>
      </c>
      <c r="Q52" s="1" t="s">
        <v>61</v>
      </c>
      <c r="R52" s="1">
        <v>0.111783343735581</v>
      </c>
      <c r="S52" s="1">
        <v>-115.0</v>
      </c>
      <c r="T52" s="1">
        <f t="shared" si="1"/>
        <v>1.869565217</v>
      </c>
      <c r="U52" s="1">
        <v>0.0</v>
      </c>
      <c r="V52" s="3">
        <v>3.0</v>
      </c>
      <c r="W52" s="3" t="s">
        <v>153</v>
      </c>
      <c r="X52" s="3" t="s">
        <v>215</v>
      </c>
      <c r="Z52" s="3">
        <v>0.0</v>
      </c>
      <c r="AA52" s="3">
        <v>0.0</v>
      </c>
      <c r="AB52" s="3">
        <v>1.0</v>
      </c>
      <c r="AC52" s="3">
        <v>2.608695652173913</v>
      </c>
      <c r="AD52" s="3">
        <v>2.608695652173913</v>
      </c>
      <c r="AE52" s="1" t="s">
        <v>216</v>
      </c>
      <c r="AF52" s="3">
        <f>COUNTIF(V:V, "=1")/(COUNTIF(V:V, "=1")+COUNTIF(Losses!V:V, "=1"))</f>
        <v>0.5774058577</v>
      </c>
      <c r="AG52" s="3">
        <f>SUMIF('Week 1'!V:V, "=1", 'Week 1'!AE:AE) + SUMIF('Week 2'!V:V, "=1", 'Week 2'!AE:AE)</f>
        <v>38.6536698</v>
      </c>
      <c r="AH52" s="3">
        <f>AVERAGEIF('Week 1'!V:V, "=1",'Week 1'!T:T)</f>
        <v>1.878248622</v>
      </c>
      <c r="AI52" s="3">
        <f t="shared" ref="AI52:AI53" si="4">if(AH52&gt;2, (AH52-1)/100, (-100/(AH52-1)))</f>
        <v>-113.862974</v>
      </c>
    </row>
    <row r="53">
      <c r="A53" s="1" t="s">
        <v>12</v>
      </c>
      <c r="B53" s="1" t="s">
        <v>217</v>
      </c>
      <c r="C53" s="1" t="s">
        <v>18</v>
      </c>
      <c r="D53" s="1" t="s">
        <v>71</v>
      </c>
      <c r="E53" s="1" t="s">
        <v>72</v>
      </c>
      <c r="F53" s="1" t="s">
        <v>59</v>
      </c>
      <c r="G53" s="1">
        <v>2.5</v>
      </c>
      <c r="H53" s="1" t="s">
        <v>60</v>
      </c>
      <c r="I53" s="1">
        <v>-113.0</v>
      </c>
      <c r="J53" s="1">
        <v>-0.219910844178403</v>
      </c>
      <c r="K53" s="1" t="s">
        <v>61</v>
      </c>
      <c r="L53" s="1" t="s">
        <v>61</v>
      </c>
      <c r="M53" s="1" t="s">
        <v>62</v>
      </c>
      <c r="N53" s="1">
        <v>-118.0</v>
      </c>
      <c r="O53" s="1">
        <v>0.148109154017431</v>
      </c>
      <c r="P53" s="1" t="s">
        <v>61</v>
      </c>
      <c r="Q53" s="1" t="s">
        <v>61</v>
      </c>
      <c r="R53" s="1">
        <v>0.148109154017431</v>
      </c>
      <c r="S53" s="1">
        <v>-118.0</v>
      </c>
      <c r="T53" s="1">
        <f t="shared" si="1"/>
        <v>1.847457627</v>
      </c>
      <c r="U53" s="1">
        <v>0.0</v>
      </c>
      <c r="V53" s="3">
        <v>3.0</v>
      </c>
      <c r="W53" s="3" t="s">
        <v>117</v>
      </c>
      <c r="X53" s="3" t="s">
        <v>218</v>
      </c>
      <c r="Z53" s="3">
        <v>0.0</v>
      </c>
      <c r="AA53" s="3">
        <v>0.0</v>
      </c>
      <c r="AB53" s="3">
        <v>1.0</v>
      </c>
      <c r="AC53" s="3">
        <v>2.542372881355932</v>
      </c>
      <c r="AD53" s="3">
        <v>2.542372881355932</v>
      </c>
      <c r="AE53" s="1" t="s">
        <v>219</v>
      </c>
      <c r="AF53" s="3">
        <f>COUNTIF(V:V, "=2")/(COUNTIF(V:V, "=2")+COUNTIF(Losses!V:V, "=2"))</f>
        <v>0.4949494949</v>
      </c>
      <c r="AG53" s="3">
        <f>SUMIF('Week 1'!V:V, "=2", 'Week 1'!AE:AE) + SUMIF('Week 2'!V:V, "=2", 'Week 2'!AE:AE)</f>
        <v>-26.89418516</v>
      </c>
      <c r="AH53" s="3">
        <f>AVERAGEIF('Week 1'!V:V, "=2",'Week 1'!T:T)</f>
        <v>1.881075387</v>
      </c>
      <c r="AI53" s="3">
        <f t="shared" si="4"/>
        <v>-113.4976661</v>
      </c>
    </row>
    <row r="54">
      <c r="A54" s="1" t="s">
        <v>12</v>
      </c>
      <c r="B54" s="1" t="s">
        <v>220</v>
      </c>
      <c r="C54" s="1" t="s">
        <v>20</v>
      </c>
      <c r="D54" s="1" t="s">
        <v>94</v>
      </c>
      <c r="E54" s="1" t="s">
        <v>93</v>
      </c>
      <c r="F54" s="1" t="s">
        <v>59</v>
      </c>
      <c r="G54" s="1">
        <v>2.5</v>
      </c>
      <c r="H54" s="1" t="s">
        <v>60</v>
      </c>
      <c r="I54" s="1">
        <v>-113.0</v>
      </c>
      <c r="J54" s="1">
        <v>-0.17211440370892</v>
      </c>
      <c r="K54" s="1" t="s">
        <v>61</v>
      </c>
      <c r="L54" s="1" t="s">
        <v>61</v>
      </c>
      <c r="M54" s="1" t="s">
        <v>62</v>
      </c>
      <c r="N54" s="1">
        <v>-118.0</v>
      </c>
      <c r="O54" s="1">
        <v>0.100313257927522</v>
      </c>
      <c r="P54" s="1" t="s">
        <v>61</v>
      </c>
      <c r="Q54" s="1" t="s">
        <v>61</v>
      </c>
      <c r="R54" s="1">
        <v>0.100313257927522</v>
      </c>
      <c r="S54" s="1">
        <v>-118.0</v>
      </c>
      <c r="T54" s="1">
        <f t="shared" si="1"/>
        <v>1.847457627</v>
      </c>
      <c r="U54" s="1">
        <v>0.0</v>
      </c>
      <c r="V54" s="3">
        <v>3.0</v>
      </c>
      <c r="W54" s="3" t="s">
        <v>68</v>
      </c>
      <c r="X54" s="3" t="s">
        <v>221</v>
      </c>
      <c r="Z54" s="3">
        <v>1.0</v>
      </c>
      <c r="AA54" s="3">
        <v>0.0</v>
      </c>
      <c r="AB54" s="3">
        <v>1.0</v>
      </c>
      <c r="AC54" s="3">
        <v>2.542372881355932</v>
      </c>
      <c r="AD54" s="3">
        <v>2.542372881355932</v>
      </c>
      <c r="AE54" s="1" t="s">
        <v>222</v>
      </c>
      <c r="AF54" s="3">
        <f>COUNTIF(V:V, "=3")/(COUNTIF(V:V, "=3")+COUNTIF(Losses!V:V, "=3"))</f>
        <v>0.4805825243</v>
      </c>
      <c r="AG54" s="3">
        <f>SUMIF('Week 1'!V:V, "=3", 'Week 1'!AE:AE) + SUMIF('Week 2'!V:V, "=3", 'Week 2'!AE:AE)</f>
        <v>-22.14410534</v>
      </c>
      <c r="AH54" s="3">
        <f>AVERAGEIF('Week 1'!V:V, "=3",'Week 1'!T:T)</f>
        <v>2.010164874</v>
      </c>
      <c r="AI54" s="3">
        <f>if(AH54&gt;2, (AH54-1)*100, (-100/(AH54-1)))</f>
        <v>101.0164874</v>
      </c>
    </row>
    <row r="55">
      <c r="A55" s="1" t="s">
        <v>15</v>
      </c>
      <c r="B55" s="1" t="s">
        <v>65</v>
      </c>
      <c r="C55" s="1" t="s">
        <v>21</v>
      </c>
      <c r="D55" s="1" t="s">
        <v>66</v>
      </c>
      <c r="E55" s="1" t="s">
        <v>67</v>
      </c>
      <c r="F55" s="1" t="s">
        <v>59</v>
      </c>
      <c r="G55" s="1">
        <v>19.5</v>
      </c>
      <c r="H55" s="1" t="s">
        <v>60</v>
      </c>
      <c r="I55" s="1">
        <v>-110.0</v>
      </c>
      <c r="J55" s="1">
        <v>-0.484808725227095</v>
      </c>
      <c r="K55" s="1" t="s">
        <v>61</v>
      </c>
      <c r="L55" s="1" t="s">
        <v>61</v>
      </c>
      <c r="M55" s="1" t="s">
        <v>62</v>
      </c>
      <c r="N55" s="1">
        <v>-120.0</v>
      </c>
      <c r="O55" s="1">
        <v>0.415529994351036</v>
      </c>
      <c r="P55" s="1" t="s">
        <v>61</v>
      </c>
      <c r="Q55" s="1" t="s">
        <v>61</v>
      </c>
      <c r="R55" s="1">
        <v>0.415529994351036</v>
      </c>
      <c r="S55" s="1">
        <v>-120.0</v>
      </c>
      <c r="T55" s="1">
        <f t="shared" si="1"/>
        <v>1.833333333</v>
      </c>
      <c r="U55" s="1">
        <v>0.0</v>
      </c>
      <c r="V55" s="3">
        <v>3.0</v>
      </c>
      <c r="W55" s="3" t="s">
        <v>68</v>
      </c>
      <c r="X55" s="3" t="s">
        <v>69</v>
      </c>
      <c r="Z55" s="3">
        <v>15.0</v>
      </c>
      <c r="AA55" s="3">
        <v>0.0</v>
      </c>
      <c r="AB55" s="3">
        <v>1.0</v>
      </c>
      <c r="AC55" s="3">
        <v>2.5</v>
      </c>
      <c r="AD55" s="3">
        <v>2.5</v>
      </c>
      <c r="AF55" s="1" t="s">
        <v>223</v>
      </c>
      <c r="AG55" s="1" t="s">
        <v>224</v>
      </c>
      <c r="AH55" s="1" t="s">
        <v>225</v>
      </c>
      <c r="AI55" s="1" t="s">
        <v>226</v>
      </c>
      <c r="AJ55" s="1" t="s">
        <v>227</v>
      </c>
      <c r="AK55" s="1" t="s">
        <v>228</v>
      </c>
      <c r="AL55" s="1" t="s">
        <v>229</v>
      </c>
      <c r="AM55" s="1" t="s">
        <v>230</v>
      </c>
    </row>
    <row r="56">
      <c r="A56" s="1" t="s">
        <v>16</v>
      </c>
      <c r="B56" s="1" t="s">
        <v>65</v>
      </c>
      <c r="C56" s="1" t="s">
        <v>21</v>
      </c>
      <c r="D56" s="1" t="s">
        <v>66</v>
      </c>
      <c r="E56" s="1" t="s">
        <v>67</v>
      </c>
      <c r="F56" s="1" t="s">
        <v>59</v>
      </c>
      <c r="G56" s="1">
        <v>32.5</v>
      </c>
      <c r="H56" s="1" t="s">
        <v>60</v>
      </c>
      <c r="I56" s="1">
        <v>-110.0</v>
      </c>
      <c r="J56" s="1">
        <v>-0.474644531798095</v>
      </c>
      <c r="K56" s="1" t="s">
        <v>61</v>
      </c>
      <c r="L56" s="1" t="s">
        <v>61</v>
      </c>
      <c r="M56" s="1" t="s">
        <v>62</v>
      </c>
      <c r="N56" s="1">
        <v>-120.0</v>
      </c>
      <c r="O56" s="1">
        <v>0.405400100059636</v>
      </c>
      <c r="P56" s="1" t="s">
        <v>61</v>
      </c>
      <c r="Q56" s="1" t="s">
        <v>61</v>
      </c>
      <c r="R56" s="1">
        <v>0.405400100059636</v>
      </c>
      <c r="S56" s="1">
        <v>-120.0</v>
      </c>
      <c r="T56" s="1">
        <f t="shared" si="1"/>
        <v>1.833333333</v>
      </c>
      <c r="U56" s="1">
        <v>0.0</v>
      </c>
      <c r="V56" s="3">
        <v>3.0</v>
      </c>
      <c r="W56" s="3" t="s">
        <v>68</v>
      </c>
      <c r="X56" s="3" t="s">
        <v>69</v>
      </c>
      <c r="Z56" s="3">
        <v>24.0</v>
      </c>
      <c r="AA56" s="3">
        <v>0.0</v>
      </c>
      <c r="AB56" s="3">
        <v>1.0</v>
      </c>
      <c r="AC56" s="3">
        <v>2.5</v>
      </c>
      <c r="AD56" s="3">
        <v>2.5</v>
      </c>
      <c r="AE56" s="1" t="s">
        <v>8</v>
      </c>
      <c r="AF56" s="3">
        <f t="shared" ref="AF56:AF58" si="5">COUNTIF(A:A, "=" &amp; AE56)</f>
        <v>57</v>
      </c>
      <c r="AG56" s="3">
        <f>countif('Week 1'!A:A, "=" &amp; AE56)+countif('Week 2'!A:A, "=" &amp; AE56)</f>
        <v>110</v>
      </c>
      <c r="AH56" s="3">
        <f t="shared" ref="AH56:AH58" si="6">AF56/AG56</f>
        <v>0.5181818182</v>
      </c>
      <c r="AI56" s="3">
        <f t="shared" ref="AI56:AI58" si="7">SUMIF(A:A, "=" &amp; AE56,AD:AD)</f>
        <v>111.3669869</v>
      </c>
      <c r="AJ56" s="3">
        <f>sumif(Losses!A:A, "=" &amp;AE56,Losses!AD:AD)</f>
        <v>-123</v>
      </c>
      <c r="AK56" s="3">
        <f t="shared" ref="AK56:AK58" si="8">AI56+AJ56</f>
        <v>-11.63301305</v>
      </c>
      <c r="AL56" s="3">
        <f>IFERROR( countifs(A:A, "="&amp;AE56, U:U, "=1")/(COUNTIFS('Week 1'!A:A, "="&amp;AE56, 'Week 1'!U:U, "=1")+COUNTIFS('Week 2'!A:A, "="&amp;AE56, 'Week 2'!U:U, "=1")), 0)</f>
        <v>0.375</v>
      </c>
      <c r="AM56" s="3">
        <f>iferror(countifs(A:A, "="&amp;AE56, U:U, "=0")/(COUNTIFS('Week 1'!A:A, "="&amp;AE56, 'Week 1'!U:U, "=0")+COUNTIFS('Week 2'!A:A, "="&amp;AE56, 'Week 2'!U:U, "=0")),0)</f>
        <v>0.5294117647</v>
      </c>
    </row>
    <row r="57">
      <c r="A57" s="1" t="s">
        <v>12</v>
      </c>
      <c r="B57" s="1" t="s">
        <v>231</v>
      </c>
      <c r="C57" s="1" t="s">
        <v>20</v>
      </c>
      <c r="D57" s="1" t="s">
        <v>99</v>
      </c>
      <c r="E57" s="1" t="s">
        <v>100</v>
      </c>
      <c r="F57" s="1" t="s">
        <v>59</v>
      </c>
      <c r="G57" s="1">
        <v>2.5</v>
      </c>
      <c r="H57" s="1" t="s">
        <v>60</v>
      </c>
      <c r="I57" s="1">
        <v>-110.0</v>
      </c>
      <c r="J57" s="1">
        <v>-0.222452068380952</v>
      </c>
      <c r="K57" s="1" t="s">
        <v>61</v>
      </c>
      <c r="L57" s="1" t="s">
        <v>61</v>
      </c>
      <c r="M57" s="1" t="s">
        <v>62</v>
      </c>
      <c r="N57" s="1">
        <v>-120.0</v>
      </c>
      <c r="O57" s="1">
        <v>0.153194187418181</v>
      </c>
      <c r="P57" s="1" t="s">
        <v>61</v>
      </c>
      <c r="Q57" s="1" t="s">
        <v>61</v>
      </c>
      <c r="R57" s="1">
        <v>0.153194187418181</v>
      </c>
      <c r="S57" s="1">
        <v>-120.0</v>
      </c>
      <c r="T57" s="1">
        <f t="shared" si="1"/>
        <v>1.833333333</v>
      </c>
      <c r="U57" s="1">
        <v>0.0</v>
      </c>
      <c r="V57" s="3">
        <v>3.0</v>
      </c>
      <c r="W57" s="3" t="s">
        <v>106</v>
      </c>
      <c r="X57" s="3" t="s">
        <v>232</v>
      </c>
      <c r="Z57" s="3">
        <v>1.0</v>
      </c>
      <c r="AA57" s="3">
        <v>0.0</v>
      </c>
      <c r="AB57" s="3">
        <v>1.0</v>
      </c>
      <c r="AC57" s="3">
        <v>2.5</v>
      </c>
      <c r="AD57" s="3">
        <v>2.5</v>
      </c>
      <c r="AE57" s="1" t="s">
        <v>9</v>
      </c>
      <c r="AF57" s="3">
        <f t="shared" si="5"/>
        <v>44</v>
      </c>
      <c r="AG57" s="3">
        <f>countif('Week 1'!A:A, "=" &amp; AE57)+countif('Week 2'!A:A, "=" &amp; AE57)</f>
        <v>102</v>
      </c>
      <c r="AH57" s="3">
        <f t="shared" si="6"/>
        <v>0.431372549</v>
      </c>
      <c r="AI57" s="3">
        <f t="shared" si="7"/>
        <v>49.14713165</v>
      </c>
      <c r="AJ57" s="3">
        <f>sumif(Losses!A:A, "=" &amp;AE57,Losses!AD:AD)</f>
        <v>-86.14529915</v>
      </c>
      <c r="AK57" s="3">
        <f t="shared" si="8"/>
        <v>-36.9981675</v>
      </c>
      <c r="AL57" s="3">
        <f>IFERROR( countifs(A:A, "="&amp;AE57, U:U, "=1")/(COUNTIFS('Week 1'!A:A, "="&amp;AE57, 'Week 1'!U:U, "=1")+COUNTIFS('Week 2'!A:A, "="&amp;AE57, 'Week 2'!U:U, "=1")), 0)</f>
        <v>0.4423076923</v>
      </c>
      <c r="AM57" s="3">
        <f>iferror(countifs(A:A, "="&amp;AE57, U:U, "=0")/(COUNTIFS('Week 1'!A:A, "="&amp;AE57, 'Week 1'!U:U, "=0")+COUNTIFS('Week 2'!A:A, "="&amp;AE57, 'Week 2'!U:U, "=0")),0)</f>
        <v>0.42</v>
      </c>
    </row>
    <row r="58">
      <c r="A58" s="1" t="s">
        <v>12</v>
      </c>
      <c r="B58" s="1" t="s">
        <v>233</v>
      </c>
      <c r="C58" s="1" t="s">
        <v>18</v>
      </c>
      <c r="D58" s="1" t="s">
        <v>105</v>
      </c>
      <c r="E58" s="1" t="s">
        <v>104</v>
      </c>
      <c r="F58" s="1" t="s">
        <v>59</v>
      </c>
      <c r="G58" s="1">
        <v>2.5</v>
      </c>
      <c r="H58" s="1" t="s">
        <v>60</v>
      </c>
      <c r="I58" s="1">
        <v>-110.0</v>
      </c>
      <c r="J58" s="1">
        <v>-0.182460198523809</v>
      </c>
      <c r="K58" s="1" t="s">
        <v>61</v>
      </c>
      <c r="L58" s="1" t="s">
        <v>61</v>
      </c>
      <c r="M58" s="1" t="s">
        <v>62</v>
      </c>
      <c r="N58" s="1">
        <v>-120.0</v>
      </c>
      <c r="O58" s="1">
        <v>0.113188954672727</v>
      </c>
      <c r="P58" s="1" t="s">
        <v>61</v>
      </c>
      <c r="Q58" s="1" t="s">
        <v>61</v>
      </c>
      <c r="R58" s="1">
        <v>0.113188954672727</v>
      </c>
      <c r="S58" s="1">
        <v>-120.0</v>
      </c>
      <c r="T58" s="1">
        <f t="shared" si="1"/>
        <v>1.833333333</v>
      </c>
      <c r="U58" s="1">
        <v>0.0</v>
      </c>
      <c r="V58" s="3">
        <v>3.0</v>
      </c>
      <c r="W58" s="3" t="s">
        <v>234</v>
      </c>
      <c r="X58" s="3" t="s">
        <v>215</v>
      </c>
      <c r="Z58" s="3">
        <v>1.0</v>
      </c>
      <c r="AA58" s="3">
        <v>0.0</v>
      </c>
      <c r="AB58" s="3">
        <v>1.0</v>
      </c>
      <c r="AC58" s="3">
        <v>2.5</v>
      </c>
      <c r="AD58" s="3">
        <v>2.5</v>
      </c>
      <c r="AE58" s="1" t="s">
        <v>10</v>
      </c>
      <c r="AF58" s="3">
        <f t="shared" si="5"/>
        <v>47</v>
      </c>
      <c r="AG58" s="3">
        <f>countif('Week 1'!A:A, "=" &amp; AE58)+countif('Week 2'!A:A, "=" &amp; AE58)</f>
        <v>92</v>
      </c>
      <c r="AH58" s="3">
        <f t="shared" si="6"/>
        <v>0.5108695652</v>
      </c>
      <c r="AI58" s="3">
        <f t="shared" si="7"/>
        <v>48.02138372</v>
      </c>
      <c r="AJ58" s="3">
        <f>sumif(Losses!A:A, "=" &amp;AE58,Losses!AD:AD)</f>
        <v>-59</v>
      </c>
      <c r="AK58" s="3">
        <f t="shared" si="8"/>
        <v>-10.97861628</v>
      </c>
      <c r="AL58" s="3">
        <f>IFERROR( countifs(A:A, "="&amp;AE58, U:U, "=1")/(COUNTIFS('Week 1'!A:A, "="&amp;AE58, 'Week 1'!U:U, "=1")+COUNTIFS('Week 2'!A:A, "="&amp;AE58, 'Week 2'!U:U, "=1")), 0)</f>
        <v>0.3636363636</v>
      </c>
      <c r="AM58" s="3">
        <f>iferror(countifs(A:A, "="&amp;AE58, U:U, "=0")/(COUNTIFS('Week 1'!A:A, "="&amp;AE58, 'Week 1'!U:U, "=0")+COUNTIFS('Week 2'!A:A, "="&amp;AE58, 'Week 2'!U:U, "=0")),0)</f>
        <v>0.5308641975</v>
      </c>
    </row>
    <row r="59">
      <c r="A59" s="1" t="s">
        <v>12</v>
      </c>
      <c r="B59" s="1" t="s">
        <v>235</v>
      </c>
      <c r="C59" s="1" t="s">
        <v>20</v>
      </c>
      <c r="D59" s="1" t="s">
        <v>104</v>
      </c>
      <c r="E59" s="1" t="s">
        <v>105</v>
      </c>
      <c r="F59" s="1" t="s">
        <v>59</v>
      </c>
      <c r="G59" s="1">
        <v>4.5</v>
      </c>
      <c r="H59" s="1" t="s">
        <v>60</v>
      </c>
      <c r="I59" s="1">
        <v>-163.0</v>
      </c>
      <c r="J59" s="1">
        <v>-0.161633840304182</v>
      </c>
      <c r="K59" s="1" t="s">
        <v>61</v>
      </c>
      <c r="L59" s="1" t="s">
        <v>61</v>
      </c>
      <c r="M59" s="1" t="s">
        <v>62</v>
      </c>
      <c r="N59" s="1">
        <v>125.0</v>
      </c>
      <c r="O59" s="1">
        <v>0.0974111111111111</v>
      </c>
      <c r="P59" s="1" t="s">
        <v>61</v>
      </c>
      <c r="Q59" s="1" t="s">
        <v>61</v>
      </c>
      <c r="R59" s="1">
        <v>0.0974111111111111</v>
      </c>
      <c r="S59" s="1">
        <v>125.0</v>
      </c>
      <c r="T59" s="1">
        <f t="shared" si="1"/>
        <v>2.25</v>
      </c>
      <c r="U59" s="1">
        <v>0.0</v>
      </c>
      <c r="V59" s="3">
        <v>2.0</v>
      </c>
      <c r="W59" s="3" t="s">
        <v>101</v>
      </c>
      <c r="X59" s="3" t="s">
        <v>236</v>
      </c>
      <c r="Z59" s="3">
        <v>1.0</v>
      </c>
      <c r="AA59" s="3">
        <v>0.0</v>
      </c>
      <c r="AB59" s="3">
        <v>1.0</v>
      </c>
      <c r="AC59" s="3">
        <v>2.5</v>
      </c>
      <c r="AD59" s="3">
        <v>2.5</v>
      </c>
    </row>
    <row r="60">
      <c r="A60" s="1" t="s">
        <v>9</v>
      </c>
      <c r="B60" s="1" t="s">
        <v>237</v>
      </c>
      <c r="C60" s="1" t="s">
        <v>18</v>
      </c>
      <c r="D60" s="1" t="s">
        <v>76</v>
      </c>
      <c r="E60" s="1" t="s">
        <v>77</v>
      </c>
      <c r="F60" s="1" t="s">
        <v>78</v>
      </c>
      <c r="G60" s="1">
        <v>15.5</v>
      </c>
      <c r="H60" s="1" t="s">
        <v>60</v>
      </c>
      <c r="I60" s="1">
        <v>-121.0</v>
      </c>
      <c r="J60" s="6">
        <v>0.175816027420654</v>
      </c>
      <c r="K60" s="1" t="s">
        <v>61</v>
      </c>
      <c r="L60" s="1" t="s">
        <v>61</v>
      </c>
      <c r="M60" s="1" t="s">
        <v>62</v>
      </c>
      <c r="N60" s="1">
        <v>-111.0</v>
      </c>
      <c r="O60" s="6">
        <v>-0.249349353964743</v>
      </c>
      <c r="P60" s="1" t="s">
        <v>61</v>
      </c>
      <c r="Q60" s="1" t="s">
        <v>61</v>
      </c>
      <c r="R60" s="6">
        <v>0.175816027420654</v>
      </c>
      <c r="S60" s="1">
        <v>-121.0</v>
      </c>
      <c r="T60" s="1">
        <f t="shared" si="1"/>
        <v>1.826446281</v>
      </c>
      <c r="U60" s="1">
        <v>1.0</v>
      </c>
      <c r="V60" s="3">
        <v>3.0</v>
      </c>
      <c r="W60" s="3" t="s">
        <v>183</v>
      </c>
      <c r="X60" s="3" t="s">
        <v>238</v>
      </c>
      <c r="Z60" s="3">
        <v>25.0</v>
      </c>
      <c r="AA60" s="3">
        <v>1.0</v>
      </c>
      <c r="AB60" s="3">
        <v>1.0</v>
      </c>
      <c r="AC60" s="3">
        <v>2.479338842975207</v>
      </c>
      <c r="AD60" s="3">
        <v>2.479338842975207</v>
      </c>
      <c r="AE60" s="1" t="s">
        <v>11</v>
      </c>
      <c r="AF60" s="3">
        <f t="shared" ref="AF60:AF61" si="9">COUNTIF(A:A, "=" &amp; AE60)</f>
        <v>110</v>
      </c>
      <c r="AG60" s="3">
        <f>countif('Week 1'!A:A, "=" &amp; AE60)+countif('Week 2'!A:A, "=" &amp; AE60)</f>
        <v>177</v>
      </c>
      <c r="AH60" s="3">
        <f t="shared" ref="AH60:AH61" si="10">AF60/AG60</f>
        <v>0.6214689266</v>
      </c>
      <c r="AI60" s="3">
        <f t="shared" ref="AI60:AI61" si="11">SUMIF(A:A, "=" &amp; AE60,AD:AD)</f>
        <v>109.6716229</v>
      </c>
      <c r="AJ60" s="3">
        <f>sumif(Losses!A:A, "=" &amp;AE60,Losses!AD:AD)</f>
        <v>-86</v>
      </c>
      <c r="AK60" s="3">
        <f t="shared" ref="AK60:AK61" si="12">AI60+AJ60</f>
        <v>23.67162293</v>
      </c>
      <c r="AL60" s="3">
        <f>IFERROR( countifs(A:A, "="&amp;AE60, U:U, "=1")/(COUNTIFS('Week 1'!A:A, "="&amp;AE60, 'Week 1'!U:U, "=1")+COUNTIFS('Week 2'!A:A, "="&amp;AE60, 'Week 2'!U:U, "=1")), 0)</f>
        <v>0.6842105263</v>
      </c>
      <c r="AM60" s="3">
        <f>iferror(countifs(A:A, "="&amp;AE60, U:U, "=0")/(COUNTIFS('Week 1'!A:A, "="&amp;AE60, 'Week 1'!U:U, "=0")+COUNTIFS('Week 2'!A:A, "="&amp;AE60, 'Week 2'!U:U, "=0")),0)</f>
        <v>0.6043165468</v>
      </c>
    </row>
    <row r="61">
      <c r="A61" s="1" t="s">
        <v>12</v>
      </c>
      <c r="B61" s="1" t="s">
        <v>239</v>
      </c>
      <c r="C61" s="1" t="s">
        <v>18</v>
      </c>
      <c r="D61" s="1" t="s">
        <v>77</v>
      </c>
      <c r="E61" s="1" t="s">
        <v>76</v>
      </c>
      <c r="F61" s="1" t="s">
        <v>78</v>
      </c>
      <c r="G61" s="1">
        <v>2.5</v>
      </c>
      <c r="H61" s="1" t="s">
        <v>60</v>
      </c>
      <c r="I61" s="1">
        <v>-109.0</v>
      </c>
      <c r="J61" s="6">
        <v>-0.19202960014354</v>
      </c>
      <c r="K61" s="1" t="s">
        <v>61</v>
      </c>
      <c r="L61" s="1" t="s">
        <v>61</v>
      </c>
      <c r="M61" s="1" t="s">
        <v>62</v>
      </c>
      <c r="N61" s="1">
        <v>-123.0</v>
      </c>
      <c r="O61" s="6">
        <v>0.11892876371704</v>
      </c>
      <c r="P61" s="1" t="s">
        <v>61</v>
      </c>
      <c r="Q61" s="1" t="s">
        <v>61</v>
      </c>
      <c r="R61" s="6">
        <v>0.11892876371704</v>
      </c>
      <c r="S61" s="1">
        <v>-123.0</v>
      </c>
      <c r="T61" s="1">
        <f t="shared" si="1"/>
        <v>1.81300813</v>
      </c>
      <c r="U61" s="1">
        <v>0.0</v>
      </c>
      <c r="V61" s="3">
        <v>3.0</v>
      </c>
      <c r="W61" s="3" t="s">
        <v>153</v>
      </c>
      <c r="X61" s="3" t="s">
        <v>240</v>
      </c>
      <c r="Z61" s="3">
        <v>2.0</v>
      </c>
      <c r="AA61" s="3">
        <v>0.0</v>
      </c>
      <c r="AB61" s="3">
        <v>1.0</v>
      </c>
      <c r="AC61" s="3">
        <v>2.4390243902439024</v>
      </c>
      <c r="AD61" s="3">
        <v>2.4390243902439024</v>
      </c>
      <c r="AE61" s="1" t="s">
        <v>12</v>
      </c>
      <c r="AF61" s="3">
        <f t="shared" si="9"/>
        <v>124</v>
      </c>
      <c r="AG61" s="3">
        <f>countif('Week 1'!A:A, "=" &amp; AE61)+countif('Week 2'!A:A, "=" &amp; AE61)</f>
        <v>236</v>
      </c>
      <c r="AH61" s="3">
        <f t="shared" si="10"/>
        <v>0.5254237288</v>
      </c>
      <c r="AI61" s="3">
        <f t="shared" si="11"/>
        <v>254.496138</v>
      </c>
      <c r="AJ61" s="3">
        <f>sumif(Losses!A:A, "=" &amp;AE61,Losses!AD:AD)</f>
        <v>-256</v>
      </c>
      <c r="AK61" s="3">
        <f t="shared" si="12"/>
        <v>-1.50386197</v>
      </c>
      <c r="AL61" s="3">
        <f>IFERROR( countifs(A:A, "="&amp;AE61, U:U, "=1")/(COUNTIFS('Week 1'!A:A, "="&amp;AE61, 'Week 1'!U:U, "=1")+COUNTIFS('Week 2'!A:A, "="&amp;AE61, 'Week 2'!U:U, "=1")), 0)</f>
        <v>0.25</v>
      </c>
      <c r="AM61" s="3">
        <f>iferror(countifs(A:A, "="&amp;AE61, U:U, "=0")/(COUNTIFS('Week 1'!A:A, "="&amp;AE61, 'Week 1'!U:U, "=0")+COUNTIFS('Week 2'!A:A, "="&amp;AE61, 'Week 2'!U:U, "=0")),0)</f>
        <v>0.5625</v>
      </c>
    </row>
    <row r="62">
      <c r="A62" s="1" t="s">
        <v>14</v>
      </c>
      <c r="B62" s="1" t="s">
        <v>241</v>
      </c>
      <c r="C62" s="1" t="s">
        <v>21</v>
      </c>
      <c r="D62" s="1" t="s">
        <v>197</v>
      </c>
      <c r="E62" s="1" t="s">
        <v>196</v>
      </c>
      <c r="F62" s="1" t="s">
        <v>198</v>
      </c>
      <c r="G62" s="1">
        <v>1.5</v>
      </c>
      <c r="H62" s="1" t="s">
        <v>60</v>
      </c>
      <c r="I62" s="1">
        <v>-162.0</v>
      </c>
      <c r="J62" s="1">
        <v>-0.128858778625954</v>
      </c>
      <c r="K62" s="1" t="s">
        <v>61</v>
      </c>
      <c r="L62" s="1" t="s">
        <v>61</v>
      </c>
      <c r="M62" s="1" t="s">
        <v>62</v>
      </c>
      <c r="N62" s="1">
        <v>121.0</v>
      </c>
      <c r="O62" s="1">
        <v>0.0580565610859727</v>
      </c>
      <c r="P62" s="1" t="s">
        <v>61</v>
      </c>
      <c r="Q62" s="1" t="s">
        <v>61</v>
      </c>
      <c r="R62" s="1">
        <v>0.0580565610859727</v>
      </c>
      <c r="S62" s="1">
        <v>121.0</v>
      </c>
      <c r="T62" s="1">
        <f t="shared" si="1"/>
        <v>2.21</v>
      </c>
      <c r="U62" s="1">
        <v>0.0</v>
      </c>
      <c r="V62" s="3">
        <v>2.0</v>
      </c>
      <c r="W62" s="3" t="s">
        <v>68</v>
      </c>
      <c r="X62" s="3" t="s">
        <v>242</v>
      </c>
      <c r="Z62" s="3">
        <v>1.0</v>
      </c>
      <c r="AA62" s="3">
        <v>0.0</v>
      </c>
      <c r="AB62" s="3">
        <v>1.0</v>
      </c>
      <c r="AC62" s="3">
        <v>2.42</v>
      </c>
      <c r="AD62" s="3">
        <v>2.42</v>
      </c>
    </row>
    <row r="63">
      <c r="A63" s="1" t="s">
        <v>8</v>
      </c>
      <c r="B63" s="1" t="s">
        <v>243</v>
      </c>
      <c r="C63" s="1" t="s">
        <v>19</v>
      </c>
      <c r="D63" s="1" t="s">
        <v>156</v>
      </c>
      <c r="E63" s="1" t="s">
        <v>157</v>
      </c>
      <c r="F63" s="1" t="s">
        <v>158</v>
      </c>
      <c r="G63" s="1">
        <v>3.5</v>
      </c>
      <c r="H63" s="1" t="s">
        <v>60</v>
      </c>
      <c r="I63" s="1">
        <v>-107.0</v>
      </c>
      <c r="J63" s="6">
        <v>-0.232349957930685</v>
      </c>
      <c r="K63" s="1" t="s">
        <v>61</v>
      </c>
      <c r="L63" s="1" t="s">
        <v>61</v>
      </c>
      <c r="M63" s="1" t="s">
        <v>62</v>
      </c>
      <c r="N63" s="1">
        <v>-125.0</v>
      </c>
      <c r="O63" s="6">
        <v>0.159907451620288</v>
      </c>
      <c r="P63" s="1" t="s">
        <v>61</v>
      </c>
      <c r="Q63" s="1" t="s">
        <v>61</v>
      </c>
      <c r="R63" s="6">
        <v>0.159907451620288</v>
      </c>
      <c r="S63" s="1">
        <v>-125.0</v>
      </c>
      <c r="T63" s="1">
        <f t="shared" si="1"/>
        <v>1.8</v>
      </c>
      <c r="U63" s="1">
        <v>0.0</v>
      </c>
      <c r="V63" s="3">
        <v>3.0</v>
      </c>
      <c r="W63" s="3" t="s">
        <v>73</v>
      </c>
      <c r="X63" s="3" t="s">
        <v>244</v>
      </c>
      <c r="Z63" s="3">
        <v>1.0</v>
      </c>
      <c r="AA63" s="3">
        <v>0.0</v>
      </c>
      <c r="AB63" s="3">
        <v>1.0</v>
      </c>
      <c r="AC63" s="3">
        <v>2.4000000000000004</v>
      </c>
      <c r="AD63" s="3">
        <v>2.4000000000000004</v>
      </c>
      <c r="AE63" s="1" t="s">
        <v>13</v>
      </c>
      <c r="AF63" s="3">
        <f t="shared" ref="AF63:AF67" si="13">COUNTIF(A:A, "=" &amp; AE63)</f>
        <v>11</v>
      </c>
      <c r="AG63" s="3">
        <f>countif('Week 1'!A:A, "=" &amp; AE63)+countif('Week 2'!A:A, "=" &amp; AE63)</f>
        <v>16</v>
      </c>
      <c r="AH63" s="3">
        <f t="shared" ref="AH63:AH67" si="14">AF63/AG63</f>
        <v>0.6875</v>
      </c>
      <c r="AI63" s="3">
        <f t="shared" ref="AI63:AI67" si="15">SUMIF(A:A, "=" &amp; AE63,AD:AD)</f>
        <v>11.25302115</v>
      </c>
      <c r="AJ63" s="3">
        <f>sumif(Losses!A:A, "=" &amp;AE63,Losses!AD:AD)</f>
        <v>-5</v>
      </c>
      <c r="AK63" s="3">
        <f t="shared" ref="AK63:AK67" si="16">AI63+AJ63</f>
        <v>6.253021155</v>
      </c>
      <c r="AL63" s="3">
        <f>IFERROR( countifs(A:A, "="&amp;AE63, U:U, "=1")/(COUNTIFS('Week 1'!A:A, "="&amp;AE63, 'Week 1'!U:U, "=1")+COUNTIFS('Week 2'!A:A, "="&amp;AE63, 'Week 2'!U:U, "=1")), 0)</f>
        <v>0.5714285714</v>
      </c>
      <c r="AM63" s="3">
        <f>iferror(countifs(A:A, "="&amp;AE63, U:U, "=0")/(COUNTIFS('Week 1'!A:A, "="&amp;AE63, 'Week 1'!U:U, "=0")+COUNTIFS('Week 2'!A:A, "="&amp;AE63, 'Week 2'!U:U, "=0")),0)</f>
        <v>0.7777777778</v>
      </c>
    </row>
    <row r="64">
      <c r="A64" s="1" t="s">
        <v>12</v>
      </c>
      <c r="B64" s="1" t="s">
        <v>245</v>
      </c>
      <c r="C64" s="1" t="s">
        <v>18</v>
      </c>
      <c r="D64" s="1" t="s">
        <v>157</v>
      </c>
      <c r="E64" s="1" t="s">
        <v>156</v>
      </c>
      <c r="F64" s="1" t="s">
        <v>158</v>
      </c>
      <c r="G64" s="1">
        <v>2.5</v>
      </c>
      <c r="H64" s="1" t="s">
        <v>60</v>
      </c>
      <c r="I64" s="1">
        <v>-107.0</v>
      </c>
      <c r="J64" s="6">
        <v>-0.188906723381642</v>
      </c>
      <c r="K64" s="1" t="s">
        <v>61</v>
      </c>
      <c r="L64" s="1" t="s">
        <v>61</v>
      </c>
      <c r="M64" s="1" t="s">
        <v>62</v>
      </c>
      <c r="N64" s="1">
        <v>-125.0</v>
      </c>
      <c r="O64" s="6">
        <v>0.116442731888888</v>
      </c>
      <c r="P64" s="1" t="s">
        <v>61</v>
      </c>
      <c r="Q64" s="1" t="s">
        <v>61</v>
      </c>
      <c r="R64" s="6">
        <v>0.116442731888888</v>
      </c>
      <c r="S64" s="1">
        <v>-125.0</v>
      </c>
      <c r="T64" s="1">
        <f t="shared" si="1"/>
        <v>1.8</v>
      </c>
      <c r="U64" s="1">
        <v>0.0</v>
      </c>
      <c r="V64" s="3">
        <v>3.0</v>
      </c>
      <c r="W64" s="3" t="s">
        <v>101</v>
      </c>
      <c r="X64" s="3" t="s">
        <v>246</v>
      </c>
      <c r="Z64" s="3">
        <v>0.0</v>
      </c>
      <c r="AA64" s="3">
        <v>0.0</v>
      </c>
      <c r="AB64" s="3">
        <v>1.0</v>
      </c>
      <c r="AC64" s="3">
        <v>2.4000000000000004</v>
      </c>
      <c r="AD64" s="3">
        <v>2.4000000000000004</v>
      </c>
      <c r="AE64" s="1" t="s">
        <v>14</v>
      </c>
      <c r="AF64" s="3">
        <f t="shared" si="13"/>
        <v>25</v>
      </c>
      <c r="AG64" s="3">
        <f>countif('Week 1'!A:A, "=" &amp; AE64)+countif('Week 2'!A:A, "=" &amp; AE64)</f>
        <v>44</v>
      </c>
      <c r="AH64" s="3">
        <f t="shared" si="14"/>
        <v>0.5681818182</v>
      </c>
      <c r="AI64" s="3">
        <f t="shared" si="15"/>
        <v>47.08336139</v>
      </c>
      <c r="AJ64" s="3">
        <f>sumif(Losses!A:A, "=" &amp;AE64,Losses!AD:AD)</f>
        <v>-32</v>
      </c>
      <c r="AK64" s="3">
        <f t="shared" si="16"/>
        <v>15.08336139</v>
      </c>
      <c r="AL64" s="3">
        <f>IFERROR( countifs(A:A, "="&amp;AE64, U:U, "=1")/(COUNTIFS('Week 1'!A:A, "="&amp;AE64, 'Week 1'!U:U, "=1")+COUNTIFS('Week 2'!A:A, "="&amp;AE64, 'Week 2'!U:U, "=1")), 0)</f>
        <v>0.25</v>
      </c>
      <c r="AM64" s="3">
        <f>iferror(countifs(A:A, "="&amp;AE64, U:U, "=0")/(COUNTIFS('Week 1'!A:A, "="&amp;AE64, 'Week 1'!U:U, "=0")+COUNTIFS('Week 2'!A:A, "="&amp;AE64, 'Week 2'!U:U, "=0")),0)</f>
        <v>0.6875</v>
      </c>
    </row>
    <row r="65">
      <c r="A65" s="1" t="s">
        <v>14</v>
      </c>
      <c r="B65" s="1" t="s">
        <v>247</v>
      </c>
      <c r="C65" s="1" t="s">
        <v>21</v>
      </c>
      <c r="D65" s="1" t="s">
        <v>196</v>
      </c>
      <c r="E65" s="1" t="s">
        <v>197</v>
      </c>
      <c r="F65" s="1" t="s">
        <v>198</v>
      </c>
      <c r="G65" s="1">
        <v>1.5</v>
      </c>
      <c r="H65" s="1" t="s">
        <v>60</v>
      </c>
      <c r="I65" s="1">
        <v>-149.0</v>
      </c>
      <c r="J65" s="1">
        <v>-0.120093574297188</v>
      </c>
      <c r="K65" s="1" t="s">
        <v>61</v>
      </c>
      <c r="L65" s="1" t="s">
        <v>61</v>
      </c>
      <c r="M65" s="1" t="s">
        <v>62</v>
      </c>
      <c r="N65" s="1">
        <v>112.0</v>
      </c>
      <c r="O65" s="1">
        <v>0.0500018867924529</v>
      </c>
      <c r="P65" s="1" t="s">
        <v>61</v>
      </c>
      <c r="Q65" s="1" t="s">
        <v>61</v>
      </c>
      <c r="R65" s="1">
        <v>0.0500018867924529</v>
      </c>
      <c r="S65" s="1">
        <v>112.0</v>
      </c>
      <c r="T65" s="1">
        <f t="shared" si="1"/>
        <v>2.12</v>
      </c>
      <c r="U65" s="1">
        <v>0.0</v>
      </c>
      <c r="V65" s="3">
        <v>2.0</v>
      </c>
      <c r="W65" s="3" t="s">
        <v>234</v>
      </c>
      <c r="X65" s="3" t="s">
        <v>248</v>
      </c>
      <c r="Z65" s="3">
        <v>1.0</v>
      </c>
      <c r="AA65" s="3">
        <v>0.0</v>
      </c>
      <c r="AB65" s="3">
        <v>1.0</v>
      </c>
      <c r="AC65" s="3">
        <v>2.24</v>
      </c>
      <c r="AD65" s="3">
        <v>2.24</v>
      </c>
      <c r="AE65" s="1" t="s">
        <v>15</v>
      </c>
      <c r="AF65" s="3">
        <f t="shared" si="13"/>
        <v>15</v>
      </c>
      <c r="AG65" s="3">
        <f>countif('Week 1'!A:A, "=" &amp; AE65)+countif('Week 2'!A:A, "=" &amp; AE65)</f>
        <v>31</v>
      </c>
      <c r="AH65" s="3">
        <f t="shared" si="14"/>
        <v>0.4838709677</v>
      </c>
      <c r="AI65" s="3">
        <f t="shared" si="15"/>
        <v>24.54007014</v>
      </c>
      <c r="AJ65" s="3">
        <f>sumif(Losses!A:A, "=" &amp;AE65,Losses!AD:AD)</f>
        <v>-22</v>
      </c>
      <c r="AK65" s="3">
        <f t="shared" si="16"/>
        <v>2.540070137</v>
      </c>
      <c r="AL65" s="3">
        <f>IFERROR( countifs(A:A, "="&amp;AE65, U:U, "=1")/(COUNTIFS('Week 1'!A:A, "="&amp;AE65, 'Week 1'!U:U, "=1")+COUNTIFS('Week 2'!A:A, "="&amp;AE65, 'Week 2'!U:U, "=1")), 0)</f>
        <v>0.1428571429</v>
      </c>
      <c r="AM65" s="3">
        <f>iferror(countifs(A:A, "="&amp;AE65, U:U, "=0")/(COUNTIFS('Week 1'!A:A, "="&amp;AE65, 'Week 1'!U:U, "=0")+COUNTIFS('Week 2'!A:A, "="&amp;AE65, 'Week 2'!U:U, "=0")),0)</f>
        <v>0.5833333333</v>
      </c>
    </row>
    <row r="66">
      <c r="A66" s="1" t="s">
        <v>12</v>
      </c>
      <c r="B66" s="1" t="s">
        <v>249</v>
      </c>
      <c r="C66" s="1" t="s">
        <v>18</v>
      </c>
      <c r="D66" s="1" t="s">
        <v>114</v>
      </c>
      <c r="E66" s="1" t="s">
        <v>113</v>
      </c>
      <c r="F66" s="1" t="s">
        <v>90</v>
      </c>
      <c r="G66" s="1">
        <v>4.5</v>
      </c>
      <c r="H66" s="1" t="s">
        <v>60</v>
      </c>
      <c r="I66" s="1">
        <v>-146.0</v>
      </c>
      <c r="J66" s="1">
        <v>-0.167155284552845</v>
      </c>
      <c r="K66" s="1" t="s">
        <v>61</v>
      </c>
      <c r="L66" s="1" t="s">
        <v>61</v>
      </c>
      <c r="M66" s="1" t="s">
        <v>62</v>
      </c>
      <c r="N66" s="1">
        <v>111.0</v>
      </c>
      <c r="O66" s="1">
        <v>0.0997189573459715</v>
      </c>
      <c r="P66" s="1" t="s">
        <v>61</v>
      </c>
      <c r="Q66" s="1" t="s">
        <v>61</v>
      </c>
      <c r="R66" s="1">
        <v>0.0997189573459715</v>
      </c>
      <c r="S66" s="1">
        <v>111.0</v>
      </c>
      <c r="T66" s="1">
        <f t="shared" si="1"/>
        <v>2.11</v>
      </c>
      <c r="U66" s="1">
        <v>0.0</v>
      </c>
      <c r="V66" s="3">
        <v>2.0</v>
      </c>
      <c r="W66" s="3" t="s">
        <v>95</v>
      </c>
      <c r="X66" s="3" t="s">
        <v>250</v>
      </c>
      <c r="Z66" s="3">
        <v>2.0</v>
      </c>
      <c r="AA66" s="3">
        <v>0.0</v>
      </c>
      <c r="AB66" s="3">
        <v>1.0</v>
      </c>
      <c r="AC66" s="3">
        <v>2.22</v>
      </c>
      <c r="AD66" s="3">
        <v>2.22</v>
      </c>
      <c r="AE66" s="1" t="s">
        <v>16</v>
      </c>
      <c r="AF66" s="3">
        <f t="shared" si="13"/>
        <v>15</v>
      </c>
      <c r="AG66" s="3">
        <f>countif('Week 1'!A:A, "=" &amp; AE66)+countif('Week 2'!A:A, "=" &amp; AE66)</f>
        <v>23</v>
      </c>
      <c r="AH66" s="3">
        <f t="shared" si="14"/>
        <v>0.652173913</v>
      </c>
      <c r="AI66" s="3">
        <f t="shared" si="15"/>
        <v>17.47053016</v>
      </c>
      <c r="AJ66" s="3">
        <f>sumif(Losses!A:A, "=" &amp;AE66,Losses!AD:AD)</f>
        <v>-10</v>
      </c>
      <c r="AK66" s="3">
        <f t="shared" si="16"/>
        <v>7.470530156</v>
      </c>
      <c r="AL66" s="3">
        <f>IFERROR( countifs(A:A, "="&amp;AE66, U:U, "=1")/(COUNTIFS('Week 1'!A:A, "="&amp;AE66, 'Week 1'!U:U, "=1")+COUNTIFS('Week 2'!A:A, "="&amp;AE66, 'Week 2'!U:U, "=1")), 0)</f>
        <v>0.5</v>
      </c>
      <c r="AM66" s="3">
        <f>iferror(countifs(A:A, "="&amp;AE66, U:U, "=0")/(COUNTIFS('Week 1'!A:A, "="&amp;AE66, 'Week 1'!U:U, "=0")+COUNTIFS('Week 2'!A:A, "="&amp;AE66, 'Week 2'!U:U, "=0")),0)</f>
        <v>0.6666666667</v>
      </c>
    </row>
    <row r="67">
      <c r="A67" s="1" t="s">
        <v>17</v>
      </c>
      <c r="B67" s="1" t="s">
        <v>251</v>
      </c>
      <c r="C67" s="1" t="s">
        <v>21</v>
      </c>
      <c r="D67" s="1" t="s">
        <v>88</v>
      </c>
      <c r="E67" s="1" t="s">
        <v>89</v>
      </c>
      <c r="F67" s="1" t="s">
        <v>90</v>
      </c>
      <c r="G67" s="1">
        <v>0.5</v>
      </c>
      <c r="H67" s="1" t="s">
        <v>60</v>
      </c>
      <c r="I67" s="1">
        <v>-152.0</v>
      </c>
      <c r="J67" s="1">
        <v>-0.160774603174603</v>
      </c>
      <c r="K67" s="1" t="s">
        <v>61</v>
      </c>
      <c r="L67" s="1" t="s">
        <v>61</v>
      </c>
      <c r="M67" s="1" t="s">
        <v>62</v>
      </c>
      <c r="N67" s="1">
        <v>111.0</v>
      </c>
      <c r="O67" s="1">
        <v>0.0836663507109005</v>
      </c>
      <c r="P67" s="1" t="s">
        <v>61</v>
      </c>
      <c r="Q67" s="1" t="s">
        <v>61</v>
      </c>
      <c r="R67" s="1">
        <v>0.0836663507109005</v>
      </c>
      <c r="S67" s="1">
        <v>111.0</v>
      </c>
      <c r="T67" s="1">
        <f t="shared" si="1"/>
        <v>2.11</v>
      </c>
      <c r="U67" s="1">
        <v>0.0</v>
      </c>
      <c r="V67" s="3">
        <v>2.0</v>
      </c>
      <c r="W67" s="3" t="s">
        <v>101</v>
      </c>
      <c r="X67" s="3" t="s">
        <v>252</v>
      </c>
      <c r="Z67" s="3">
        <v>0.0</v>
      </c>
      <c r="AA67" s="3">
        <v>0.0</v>
      </c>
      <c r="AB67" s="3">
        <v>1.0</v>
      </c>
      <c r="AC67" s="3">
        <v>2.22</v>
      </c>
      <c r="AD67" s="3">
        <v>2.22</v>
      </c>
      <c r="AE67" s="1" t="s">
        <v>17</v>
      </c>
      <c r="AF67" s="3">
        <f t="shared" si="13"/>
        <v>25</v>
      </c>
      <c r="AG67" s="3">
        <f>countif('Week 1'!A:A, "=" &amp; AE67)+countif('Week 2'!A:A, "=" &amp; AE67)</f>
        <v>51</v>
      </c>
      <c r="AH67" s="3">
        <f t="shared" si="14"/>
        <v>0.4901960784</v>
      </c>
      <c r="AI67" s="3">
        <f t="shared" si="15"/>
        <v>37.71043233</v>
      </c>
      <c r="AJ67" s="3">
        <f>sumif(Losses!A:A, "=" &amp;AE67,Losses!AD:AD)</f>
        <v>-42</v>
      </c>
      <c r="AK67" s="3">
        <f t="shared" si="16"/>
        <v>-4.28956767</v>
      </c>
      <c r="AL67" s="3">
        <f>IFERROR( countifs(A:A, "="&amp;AE67, U:U, "=1")/(COUNTIFS('Week 1'!A:A, "="&amp;AE67, 'Week 1'!U:U, "=1")+COUNTIFS('Week 2'!A:A, "="&amp;AE67, 'Week 2'!U:U, "=1")), 0)</f>
        <v>0</v>
      </c>
      <c r="AM67" s="3">
        <f>iferror(countifs(A:A, "="&amp;AE67, U:U, "=0")/(COUNTIFS('Week 1'!A:A, "="&amp;AE67, 'Week 1'!U:U, "=0")+COUNTIFS('Week 2'!A:A, "="&amp;AE67, 'Week 2'!U:U, "=0")),0)</f>
        <v>0.4901960784</v>
      </c>
    </row>
    <row r="68">
      <c r="A68" s="1" t="s">
        <v>17</v>
      </c>
      <c r="B68" s="1" t="s">
        <v>119</v>
      </c>
      <c r="C68" s="1" t="s">
        <v>21</v>
      </c>
      <c r="D68" s="1" t="s">
        <v>93</v>
      </c>
      <c r="E68" s="1" t="s">
        <v>94</v>
      </c>
      <c r="F68" s="1" t="s">
        <v>59</v>
      </c>
      <c r="G68" s="1">
        <v>0.5</v>
      </c>
      <c r="H68" s="1" t="s">
        <v>60</v>
      </c>
      <c r="I68" s="1">
        <v>-149.0</v>
      </c>
      <c r="J68" s="1">
        <v>-0.143093574297188</v>
      </c>
      <c r="K68" s="1" t="s">
        <v>61</v>
      </c>
      <c r="L68" s="1" t="s">
        <v>61</v>
      </c>
      <c r="M68" s="1" t="s">
        <v>62</v>
      </c>
      <c r="N68" s="1">
        <v>111.0</v>
      </c>
      <c r="O68" s="1">
        <v>0.0707663507109004</v>
      </c>
      <c r="P68" s="1" t="s">
        <v>61</v>
      </c>
      <c r="Q68" s="1" t="s">
        <v>61</v>
      </c>
      <c r="R68" s="1">
        <v>0.0707663507109004</v>
      </c>
      <c r="S68" s="1">
        <v>111.0</v>
      </c>
      <c r="T68" s="1">
        <f t="shared" si="1"/>
        <v>2.11</v>
      </c>
      <c r="U68" s="1">
        <v>0.0</v>
      </c>
      <c r="V68" s="3">
        <v>2.0</v>
      </c>
      <c r="W68" s="3" t="s">
        <v>95</v>
      </c>
      <c r="X68" s="3" t="s">
        <v>120</v>
      </c>
      <c r="Z68" s="3">
        <v>0.0</v>
      </c>
      <c r="AA68" s="3">
        <v>0.0</v>
      </c>
      <c r="AB68" s="3">
        <v>1.0</v>
      </c>
      <c r="AC68" s="3">
        <v>2.22</v>
      </c>
      <c r="AD68" s="3">
        <v>2.22</v>
      </c>
    </row>
    <row r="69">
      <c r="A69" s="1" t="s">
        <v>17</v>
      </c>
      <c r="B69" s="1" t="s">
        <v>204</v>
      </c>
      <c r="C69" s="1" t="s">
        <v>21</v>
      </c>
      <c r="D69" s="1" t="s">
        <v>105</v>
      </c>
      <c r="E69" s="1" t="s">
        <v>104</v>
      </c>
      <c r="F69" s="1" t="s">
        <v>59</v>
      </c>
      <c r="G69" s="1">
        <v>0.5</v>
      </c>
      <c r="H69" s="1" t="s">
        <v>60</v>
      </c>
      <c r="I69" s="1">
        <v>-139.0</v>
      </c>
      <c r="J69" s="1">
        <v>-0.12813179916318</v>
      </c>
      <c r="K69" s="1" t="s">
        <v>61</v>
      </c>
      <c r="L69" s="1" t="s">
        <v>61</v>
      </c>
      <c r="M69" s="1" t="s">
        <v>62</v>
      </c>
      <c r="N69" s="1">
        <v>104.0</v>
      </c>
      <c r="O69" s="1">
        <v>0.0563529411764706</v>
      </c>
      <c r="P69" s="1" t="s">
        <v>61</v>
      </c>
      <c r="Q69" s="1" t="s">
        <v>61</v>
      </c>
      <c r="R69" s="1">
        <v>0.0563529411764706</v>
      </c>
      <c r="S69" s="1">
        <v>104.0</v>
      </c>
      <c r="T69" s="1">
        <f t="shared" si="1"/>
        <v>2.04</v>
      </c>
      <c r="U69" s="1">
        <v>0.0</v>
      </c>
      <c r="V69" s="3">
        <v>2.0</v>
      </c>
      <c r="W69" s="3" t="s">
        <v>73</v>
      </c>
      <c r="X69" s="3" t="s">
        <v>205</v>
      </c>
      <c r="Z69" s="3">
        <v>0.0</v>
      </c>
      <c r="AA69" s="3">
        <v>0.0</v>
      </c>
      <c r="AB69" s="3">
        <v>1.0</v>
      </c>
      <c r="AC69" s="3">
        <v>2.08</v>
      </c>
      <c r="AD69" s="3">
        <v>2.08</v>
      </c>
    </row>
    <row r="70">
      <c r="A70" s="1" t="s">
        <v>17</v>
      </c>
      <c r="B70" s="1" t="s">
        <v>253</v>
      </c>
      <c r="C70" s="1" t="s">
        <v>21</v>
      </c>
      <c r="D70" s="1" t="s">
        <v>113</v>
      </c>
      <c r="E70" s="1" t="s">
        <v>114</v>
      </c>
      <c r="F70" s="1" t="s">
        <v>90</v>
      </c>
      <c r="G70" s="1">
        <v>0.5</v>
      </c>
      <c r="H70" s="1" t="s">
        <v>60</v>
      </c>
      <c r="I70" s="1">
        <v>-137.0</v>
      </c>
      <c r="J70" s="1">
        <v>-0.125801265822784</v>
      </c>
      <c r="K70" s="1" t="s">
        <v>61</v>
      </c>
      <c r="L70" s="1" t="s">
        <v>61</v>
      </c>
      <c r="M70" s="1" t="s">
        <v>62</v>
      </c>
      <c r="N70" s="1">
        <v>101.0</v>
      </c>
      <c r="O70" s="1">
        <v>0.0502373134328357</v>
      </c>
      <c r="P70" s="1" t="s">
        <v>61</v>
      </c>
      <c r="Q70" s="1" t="s">
        <v>61</v>
      </c>
      <c r="R70" s="1">
        <v>0.0502373134328357</v>
      </c>
      <c r="S70" s="1">
        <v>101.0</v>
      </c>
      <c r="T70" s="1">
        <f t="shared" si="1"/>
        <v>2.01</v>
      </c>
      <c r="U70" s="1">
        <v>0.0</v>
      </c>
      <c r="V70" s="3">
        <v>2.0</v>
      </c>
      <c r="W70" s="3" t="s">
        <v>63</v>
      </c>
      <c r="X70" s="3" t="s">
        <v>254</v>
      </c>
      <c r="Z70" s="3">
        <v>0.0</v>
      </c>
      <c r="AA70" s="3">
        <v>0.0</v>
      </c>
      <c r="AB70" s="3">
        <v>1.0</v>
      </c>
      <c r="AC70" s="3">
        <v>2.02</v>
      </c>
      <c r="AD70" s="3">
        <v>2.02</v>
      </c>
    </row>
    <row r="71">
      <c r="A71" s="1" t="s">
        <v>12</v>
      </c>
      <c r="B71" s="1" t="s">
        <v>255</v>
      </c>
      <c r="C71" s="1" t="s">
        <v>18</v>
      </c>
      <c r="D71" s="1" t="s">
        <v>164</v>
      </c>
      <c r="E71" s="1" t="s">
        <v>165</v>
      </c>
      <c r="F71" s="1" t="s">
        <v>166</v>
      </c>
      <c r="G71" s="1">
        <v>3.5</v>
      </c>
      <c r="H71" s="1" t="s">
        <v>60</v>
      </c>
      <c r="I71" s="1">
        <v>-136.0</v>
      </c>
      <c r="J71" s="1">
        <v>-0.153371186440678</v>
      </c>
      <c r="K71" s="1" t="s">
        <v>61</v>
      </c>
      <c r="L71" s="1" t="s">
        <v>61</v>
      </c>
      <c r="M71" s="1" t="s">
        <v>62</v>
      </c>
      <c r="N71" s="1">
        <v>101.0</v>
      </c>
      <c r="O71" s="1">
        <v>0.0795875621890546</v>
      </c>
      <c r="P71" s="1" t="s">
        <v>61</v>
      </c>
      <c r="Q71" s="1" t="s">
        <v>61</v>
      </c>
      <c r="R71" s="1">
        <v>0.0795875621890546</v>
      </c>
      <c r="S71" s="1">
        <v>101.0</v>
      </c>
      <c r="T71" s="1">
        <f t="shared" si="1"/>
        <v>2.01</v>
      </c>
      <c r="U71" s="1">
        <v>0.0</v>
      </c>
      <c r="V71" s="3">
        <v>2.0</v>
      </c>
      <c r="W71" s="3" t="s">
        <v>63</v>
      </c>
      <c r="X71" s="3" t="s">
        <v>256</v>
      </c>
      <c r="Z71" s="3">
        <v>2.0</v>
      </c>
      <c r="AA71" s="3">
        <v>0.0</v>
      </c>
      <c r="AB71" s="3">
        <v>1.0</v>
      </c>
      <c r="AC71" s="3">
        <v>2.02</v>
      </c>
      <c r="AD71" s="3">
        <v>2.02</v>
      </c>
    </row>
    <row r="72">
      <c r="A72" s="1" t="s">
        <v>12</v>
      </c>
      <c r="B72" s="1" t="s">
        <v>257</v>
      </c>
      <c r="C72" s="1" t="s">
        <v>18</v>
      </c>
      <c r="D72" s="1" t="s">
        <v>165</v>
      </c>
      <c r="E72" s="1" t="s">
        <v>164</v>
      </c>
      <c r="F72" s="1" t="s">
        <v>166</v>
      </c>
      <c r="G72" s="1">
        <v>1.5</v>
      </c>
      <c r="H72" s="1" t="s">
        <v>60</v>
      </c>
      <c r="I72" s="1">
        <v>112.0</v>
      </c>
      <c r="J72" s="1">
        <v>-0.18129417795849</v>
      </c>
      <c r="K72" s="1" t="s">
        <v>61</v>
      </c>
      <c r="L72" s="1" t="s">
        <v>61</v>
      </c>
      <c r="M72" s="1" t="s">
        <v>62</v>
      </c>
      <c r="N72" s="1">
        <v>-149.0</v>
      </c>
      <c r="O72" s="1">
        <v>0.111215235705421</v>
      </c>
      <c r="P72" s="1" t="s">
        <v>61</v>
      </c>
      <c r="Q72" s="1" t="s">
        <v>61</v>
      </c>
      <c r="R72" s="1">
        <v>0.111215235705421</v>
      </c>
      <c r="S72" s="1">
        <v>-149.0</v>
      </c>
      <c r="T72" s="1">
        <f t="shared" si="1"/>
        <v>1.67114094</v>
      </c>
      <c r="U72" s="1">
        <v>0.0</v>
      </c>
      <c r="V72" s="3">
        <v>3.0</v>
      </c>
      <c r="W72" s="3" t="s">
        <v>258</v>
      </c>
      <c r="X72" s="3" t="s">
        <v>259</v>
      </c>
      <c r="Z72" s="3">
        <v>0.0</v>
      </c>
      <c r="AA72" s="3">
        <v>0.0</v>
      </c>
      <c r="AB72" s="3">
        <v>1.0</v>
      </c>
      <c r="AC72" s="3">
        <v>2.0134228187919465</v>
      </c>
      <c r="AD72" s="3">
        <v>2.0134228187919465</v>
      </c>
    </row>
    <row r="73">
      <c r="A73" s="1" t="s">
        <v>8</v>
      </c>
      <c r="B73" s="1" t="s">
        <v>92</v>
      </c>
      <c r="C73" s="1" t="s">
        <v>19</v>
      </c>
      <c r="D73" s="1" t="s">
        <v>93</v>
      </c>
      <c r="E73" s="1" t="s">
        <v>94</v>
      </c>
      <c r="F73" s="1" t="s">
        <v>59</v>
      </c>
      <c r="G73" s="1">
        <v>14.5</v>
      </c>
      <c r="H73" s="1" t="s">
        <v>60</v>
      </c>
      <c r="I73" s="1">
        <v>-130.0</v>
      </c>
      <c r="J73" s="1">
        <v>-0.142817313208695</v>
      </c>
      <c r="K73" s="1" t="s">
        <v>61</v>
      </c>
      <c r="L73" s="1" t="s">
        <v>61</v>
      </c>
      <c r="M73" s="1" t="s">
        <v>62</v>
      </c>
      <c r="N73" s="1">
        <v>100.0</v>
      </c>
      <c r="O73" s="1">
        <v>0.07759991019</v>
      </c>
      <c r="P73" s="1" t="s">
        <v>61</v>
      </c>
      <c r="Q73" s="1" t="s">
        <v>61</v>
      </c>
      <c r="R73" s="1">
        <v>0.07759991019</v>
      </c>
      <c r="S73" s="1">
        <v>100.0</v>
      </c>
      <c r="T73" s="1">
        <f t="shared" si="1"/>
        <v>2</v>
      </c>
      <c r="U73" s="1">
        <v>0.0</v>
      </c>
      <c r="V73" s="3">
        <v>2.0</v>
      </c>
      <c r="W73" s="3" t="s">
        <v>95</v>
      </c>
      <c r="X73" s="3" t="s">
        <v>96</v>
      </c>
      <c r="Y73" s="3" t="s">
        <v>97</v>
      </c>
      <c r="Z73" s="3">
        <v>12.0</v>
      </c>
      <c r="AA73" s="3">
        <v>0.0</v>
      </c>
      <c r="AB73" s="3">
        <v>1.0</v>
      </c>
      <c r="AC73" s="3">
        <v>2.0</v>
      </c>
      <c r="AD73" s="3">
        <v>2.0</v>
      </c>
    </row>
    <row r="74">
      <c r="A74" s="1" t="s">
        <v>15</v>
      </c>
      <c r="B74" s="1" t="s">
        <v>260</v>
      </c>
      <c r="C74" s="1" t="s">
        <v>21</v>
      </c>
      <c r="D74" s="1" t="s">
        <v>147</v>
      </c>
      <c r="E74" s="1" t="s">
        <v>146</v>
      </c>
      <c r="F74" s="1" t="s">
        <v>59</v>
      </c>
      <c r="G74" s="1">
        <v>20.5</v>
      </c>
      <c r="H74" s="1" t="s">
        <v>60</v>
      </c>
      <c r="I74" s="1">
        <v>-136.0</v>
      </c>
      <c r="J74" s="1">
        <v>-0.153184665169491</v>
      </c>
      <c r="K74" s="1" t="s">
        <v>61</v>
      </c>
      <c r="L74" s="1" t="s">
        <v>61</v>
      </c>
      <c r="M74" s="1" t="s">
        <v>62</v>
      </c>
      <c r="N74" s="1">
        <v>100.0</v>
      </c>
      <c r="O74" s="1">
        <v>0.0768979049</v>
      </c>
      <c r="P74" s="1" t="s">
        <v>61</v>
      </c>
      <c r="Q74" s="1" t="s">
        <v>61</v>
      </c>
      <c r="R74" s="1">
        <v>0.0768979049</v>
      </c>
      <c r="S74" s="1">
        <v>100.0</v>
      </c>
      <c r="T74" s="1">
        <f t="shared" si="1"/>
        <v>2</v>
      </c>
      <c r="U74" s="1">
        <v>0.0</v>
      </c>
      <c r="V74" s="3">
        <v>2.0</v>
      </c>
      <c r="W74" s="3" t="s">
        <v>101</v>
      </c>
      <c r="X74" s="3" t="s">
        <v>261</v>
      </c>
      <c r="Z74" s="3">
        <v>0.0</v>
      </c>
      <c r="AA74" s="3">
        <v>0.0</v>
      </c>
      <c r="AB74" s="3">
        <v>1.0</v>
      </c>
      <c r="AC74" s="3">
        <v>2.0</v>
      </c>
      <c r="AD74" s="3">
        <v>2.0</v>
      </c>
    </row>
    <row r="75">
      <c r="A75" s="1" t="s">
        <v>15</v>
      </c>
      <c r="B75" s="1" t="s">
        <v>262</v>
      </c>
      <c r="C75" s="1" t="s">
        <v>21</v>
      </c>
      <c r="D75" s="1" t="s">
        <v>164</v>
      </c>
      <c r="E75" s="1" t="s">
        <v>165</v>
      </c>
      <c r="F75" s="1" t="s">
        <v>166</v>
      </c>
      <c r="G75" s="1">
        <v>20.5</v>
      </c>
      <c r="H75" s="1" t="s">
        <v>60</v>
      </c>
      <c r="I75" s="1">
        <v>-136.0</v>
      </c>
      <c r="J75" s="1">
        <v>-0.134811441398305</v>
      </c>
      <c r="K75" s="1" t="s">
        <v>61</v>
      </c>
      <c r="L75" s="1" t="s">
        <v>61</v>
      </c>
      <c r="M75" s="1" t="s">
        <v>62</v>
      </c>
      <c r="N75" s="1">
        <v>100.0</v>
      </c>
      <c r="O75" s="1">
        <v>0.0585475008499999</v>
      </c>
      <c r="P75" s="1" t="s">
        <v>61</v>
      </c>
      <c r="Q75" s="1" t="s">
        <v>61</v>
      </c>
      <c r="R75" s="1">
        <v>0.0585475008499999</v>
      </c>
      <c r="S75" s="1">
        <v>100.0</v>
      </c>
      <c r="T75" s="1">
        <f t="shared" si="1"/>
        <v>2</v>
      </c>
      <c r="U75" s="1">
        <v>0.0</v>
      </c>
      <c r="V75" s="3">
        <v>2.0</v>
      </c>
      <c r="W75" s="3" t="s">
        <v>63</v>
      </c>
      <c r="X75" s="3" t="s">
        <v>263</v>
      </c>
      <c r="Z75" s="3">
        <v>19.0</v>
      </c>
      <c r="AA75" s="3">
        <v>0.0</v>
      </c>
      <c r="AB75" s="3">
        <v>1.0</v>
      </c>
      <c r="AC75" s="3">
        <v>2.0</v>
      </c>
      <c r="AD75" s="3">
        <v>2.0</v>
      </c>
    </row>
    <row r="76">
      <c r="A76" s="1" t="s">
        <v>8</v>
      </c>
      <c r="B76" s="1" t="s">
        <v>264</v>
      </c>
      <c r="C76" s="1" t="s">
        <v>19</v>
      </c>
      <c r="D76" s="1" t="s">
        <v>109</v>
      </c>
      <c r="E76" s="1" t="s">
        <v>110</v>
      </c>
      <c r="F76" s="1" t="s">
        <v>59</v>
      </c>
      <c r="G76" s="1">
        <v>15.5</v>
      </c>
      <c r="H76" s="1" t="s">
        <v>60</v>
      </c>
      <c r="I76" s="1">
        <v>-102.0</v>
      </c>
      <c r="J76" s="1">
        <v>0.0501021113861386</v>
      </c>
      <c r="K76" s="1" t="s">
        <v>61</v>
      </c>
      <c r="L76" s="1" t="s">
        <v>61</v>
      </c>
      <c r="M76" s="1" t="s">
        <v>62</v>
      </c>
      <c r="N76" s="1">
        <v>-130.0</v>
      </c>
      <c r="O76" s="1">
        <v>-0.120249106304347</v>
      </c>
      <c r="P76" s="1" t="s">
        <v>61</v>
      </c>
      <c r="Q76" s="1" t="s">
        <v>61</v>
      </c>
      <c r="R76" s="1">
        <v>0.0501021113861386</v>
      </c>
      <c r="S76" s="1">
        <v>-102.0</v>
      </c>
      <c r="T76" s="1">
        <f t="shared" si="1"/>
        <v>1.980392157</v>
      </c>
      <c r="U76" s="1">
        <v>1.0</v>
      </c>
      <c r="V76" s="3">
        <v>2.0</v>
      </c>
      <c r="W76" s="3" t="s">
        <v>63</v>
      </c>
      <c r="X76" s="3" t="s">
        <v>265</v>
      </c>
      <c r="Z76" s="3">
        <v>18.0</v>
      </c>
      <c r="AA76" s="3">
        <v>1.0</v>
      </c>
      <c r="AB76" s="3">
        <v>1.0</v>
      </c>
      <c r="AC76" s="3">
        <v>1.9607843137254901</v>
      </c>
      <c r="AD76" s="3">
        <v>1.9607843137254901</v>
      </c>
    </row>
    <row r="77">
      <c r="A77" s="1" t="s">
        <v>8</v>
      </c>
      <c r="B77" s="1" t="s">
        <v>266</v>
      </c>
      <c r="C77" s="1" t="s">
        <v>19</v>
      </c>
      <c r="D77" s="1" t="s">
        <v>57</v>
      </c>
      <c r="E77" s="1" t="s">
        <v>58</v>
      </c>
      <c r="F77" s="1" t="s">
        <v>59</v>
      </c>
      <c r="G77" s="1">
        <v>14.5</v>
      </c>
      <c r="H77" s="1" t="s">
        <v>60</v>
      </c>
      <c r="I77" s="1">
        <v>-126.0</v>
      </c>
      <c r="J77" s="1">
        <v>-0.12481052669469</v>
      </c>
      <c r="K77" s="1" t="s">
        <v>61</v>
      </c>
      <c r="L77" s="1" t="s">
        <v>61</v>
      </c>
      <c r="M77" s="1" t="s">
        <v>62</v>
      </c>
      <c r="N77" s="1">
        <v>-103.0</v>
      </c>
      <c r="O77" s="1">
        <v>0.0599122088866501</v>
      </c>
      <c r="P77" s="1" t="s">
        <v>61</v>
      </c>
      <c r="Q77" s="1" t="s">
        <v>61</v>
      </c>
      <c r="R77" s="1">
        <v>0.0599122088866501</v>
      </c>
      <c r="S77" s="1">
        <v>-103.0</v>
      </c>
      <c r="T77" s="1">
        <f t="shared" si="1"/>
        <v>1.970873786</v>
      </c>
      <c r="U77" s="1">
        <v>0.0</v>
      </c>
      <c r="V77" s="3">
        <v>2.0</v>
      </c>
      <c r="W77" s="3" t="s">
        <v>106</v>
      </c>
      <c r="X77" s="3" t="s">
        <v>267</v>
      </c>
      <c r="Z77" s="3">
        <v>6.0</v>
      </c>
      <c r="AA77" s="3">
        <v>0.0</v>
      </c>
      <c r="AB77" s="3">
        <v>1.0</v>
      </c>
      <c r="AC77" s="3">
        <v>1.941747572815534</v>
      </c>
      <c r="AD77" s="3">
        <v>1.941747572815534</v>
      </c>
    </row>
    <row r="78">
      <c r="A78" s="1" t="s">
        <v>12</v>
      </c>
      <c r="B78" s="1" t="s">
        <v>268</v>
      </c>
      <c r="C78" s="1" t="s">
        <v>18</v>
      </c>
      <c r="D78" s="1" t="s">
        <v>99</v>
      </c>
      <c r="E78" s="1" t="s">
        <v>100</v>
      </c>
      <c r="F78" s="1" t="s">
        <v>59</v>
      </c>
      <c r="G78" s="1">
        <v>4.5</v>
      </c>
      <c r="H78" s="1" t="s">
        <v>60</v>
      </c>
      <c r="I78" s="1">
        <v>-125.0</v>
      </c>
      <c r="J78" s="1">
        <v>-0.148055555555555</v>
      </c>
      <c r="K78" s="1" t="s">
        <v>61</v>
      </c>
      <c r="L78" s="1" t="s">
        <v>61</v>
      </c>
      <c r="M78" s="1" t="s">
        <v>62</v>
      </c>
      <c r="N78" s="1">
        <v>-105.0</v>
      </c>
      <c r="O78" s="1">
        <v>0.0803048780487805</v>
      </c>
      <c r="P78" s="1" t="s">
        <v>61</v>
      </c>
      <c r="Q78" s="1" t="s">
        <v>61</v>
      </c>
      <c r="R78" s="1">
        <v>0.0803048780487805</v>
      </c>
      <c r="S78" s="1">
        <v>-105.0</v>
      </c>
      <c r="T78" s="1">
        <f t="shared" si="1"/>
        <v>1.952380952</v>
      </c>
      <c r="U78" s="1">
        <v>0.0</v>
      </c>
      <c r="V78" s="3">
        <v>2.0</v>
      </c>
      <c r="W78" s="3" t="s">
        <v>73</v>
      </c>
      <c r="X78" s="3" t="s">
        <v>269</v>
      </c>
      <c r="Z78" s="3">
        <v>4.0</v>
      </c>
      <c r="AA78" s="3">
        <v>0.0</v>
      </c>
      <c r="AB78" s="3">
        <v>1.0</v>
      </c>
      <c r="AC78" s="3">
        <v>1.9047619047619047</v>
      </c>
      <c r="AD78" s="3">
        <v>1.9047619047619047</v>
      </c>
    </row>
    <row r="79">
      <c r="A79" s="1" t="s">
        <v>8</v>
      </c>
      <c r="B79" s="1" t="s">
        <v>270</v>
      </c>
      <c r="C79" s="1" t="s">
        <v>19</v>
      </c>
      <c r="D79" s="1" t="s">
        <v>147</v>
      </c>
      <c r="E79" s="1" t="s">
        <v>146</v>
      </c>
      <c r="F79" s="1" t="s">
        <v>59</v>
      </c>
      <c r="G79" s="1">
        <v>14.5</v>
      </c>
      <c r="H79" s="1" t="s">
        <v>60</v>
      </c>
      <c r="I79" s="1">
        <v>-123.0</v>
      </c>
      <c r="J79" s="1">
        <v>-0.137220110538116</v>
      </c>
      <c r="K79" s="1" t="s">
        <v>61</v>
      </c>
      <c r="L79" s="1" t="s">
        <v>61</v>
      </c>
      <c r="M79" s="1" t="s">
        <v>62</v>
      </c>
      <c r="N79" s="1">
        <v>-107.0</v>
      </c>
      <c r="O79" s="1">
        <v>0.0687348481908213</v>
      </c>
      <c r="P79" s="1" t="s">
        <v>61</v>
      </c>
      <c r="Q79" s="1" t="s">
        <v>61</v>
      </c>
      <c r="R79" s="1">
        <v>0.0687348481908213</v>
      </c>
      <c r="S79" s="1">
        <v>-107.0</v>
      </c>
      <c r="T79" s="1">
        <f t="shared" si="1"/>
        <v>1.934579439</v>
      </c>
      <c r="U79" s="1">
        <v>0.0</v>
      </c>
      <c r="V79" s="3">
        <v>2.0</v>
      </c>
      <c r="W79" s="3" t="s">
        <v>101</v>
      </c>
      <c r="X79" s="3" t="s">
        <v>271</v>
      </c>
      <c r="Z79" s="3">
        <v>10.0</v>
      </c>
      <c r="AA79" s="3">
        <v>0.0</v>
      </c>
      <c r="AB79" s="3">
        <v>1.0</v>
      </c>
      <c r="AC79" s="3">
        <v>1.8691588785046729</v>
      </c>
      <c r="AD79" s="3">
        <v>1.8691588785046729</v>
      </c>
    </row>
    <row r="80">
      <c r="A80" s="1" t="s">
        <v>12</v>
      </c>
      <c r="B80" s="1" t="s">
        <v>272</v>
      </c>
      <c r="C80" s="1" t="s">
        <v>18</v>
      </c>
      <c r="D80" s="1" t="s">
        <v>197</v>
      </c>
      <c r="E80" s="1" t="s">
        <v>196</v>
      </c>
      <c r="F80" s="1" t="s">
        <v>198</v>
      </c>
      <c r="G80" s="1">
        <v>1.5</v>
      </c>
      <c r="H80" s="1" t="s">
        <v>60</v>
      </c>
      <c r="I80" s="1">
        <v>-123.0</v>
      </c>
      <c r="J80" s="1">
        <v>-0.171568541605381</v>
      </c>
      <c r="K80" s="1" t="s">
        <v>61</v>
      </c>
      <c r="L80" s="1" t="s">
        <v>61</v>
      </c>
      <c r="M80" s="1" t="s">
        <v>62</v>
      </c>
      <c r="N80" s="1">
        <v>-109.0</v>
      </c>
      <c r="O80" s="1">
        <v>0.098467777071866</v>
      </c>
      <c r="P80" s="1" t="s">
        <v>61</v>
      </c>
      <c r="Q80" s="1" t="s">
        <v>61</v>
      </c>
      <c r="R80" s="1">
        <v>0.098467777071866</v>
      </c>
      <c r="S80" s="1">
        <v>-109.0</v>
      </c>
      <c r="T80" s="1">
        <f t="shared" si="1"/>
        <v>1.917431193</v>
      </c>
      <c r="U80" s="1">
        <v>0.0</v>
      </c>
      <c r="V80" s="3">
        <v>2.0</v>
      </c>
      <c r="W80" s="3" t="s">
        <v>73</v>
      </c>
      <c r="X80" s="3" t="s">
        <v>273</v>
      </c>
      <c r="Z80" s="3">
        <v>0.0</v>
      </c>
      <c r="AA80" s="3">
        <v>0.0</v>
      </c>
      <c r="AB80" s="3">
        <v>1.0</v>
      </c>
      <c r="AC80" s="3">
        <v>1.834862385321101</v>
      </c>
      <c r="AD80" s="3">
        <v>1.834862385321101</v>
      </c>
    </row>
    <row r="81">
      <c r="A81" s="1" t="s">
        <v>16</v>
      </c>
      <c r="B81" s="1" t="s">
        <v>274</v>
      </c>
      <c r="C81" s="1" t="s">
        <v>21</v>
      </c>
      <c r="D81" s="1" t="s">
        <v>99</v>
      </c>
      <c r="E81" s="1" t="s">
        <v>100</v>
      </c>
      <c r="F81" s="1" t="s">
        <v>59</v>
      </c>
      <c r="G81" s="1">
        <v>33.5</v>
      </c>
      <c r="H81" s="1" t="s">
        <v>60</v>
      </c>
      <c r="I81" s="1">
        <v>-122.0</v>
      </c>
      <c r="J81" s="1">
        <v>-0.125908791485585</v>
      </c>
      <c r="K81" s="1" t="s">
        <v>61</v>
      </c>
      <c r="L81" s="1" t="s">
        <v>61</v>
      </c>
      <c r="M81" s="1" t="s">
        <v>62</v>
      </c>
      <c r="N81" s="1">
        <v>-110.0</v>
      </c>
      <c r="O81" s="1">
        <v>0.0525418099523807</v>
      </c>
      <c r="P81" s="1" t="s">
        <v>61</v>
      </c>
      <c r="Q81" s="1" t="s">
        <v>61</v>
      </c>
      <c r="R81" s="1">
        <v>0.0525418099523807</v>
      </c>
      <c r="S81" s="1">
        <v>-110.0</v>
      </c>
      <c r="T81" s="1">
        <f t="shared" si="1"/>
        <v>1.909090909</v>
      </c>
      <c r="U81" s="1">
        <v>0.0</v>
      </c>
      <c r="V81" s="3">
        <v>2.0</v>
      </c>
      <c r="W81" s="3" t="s">
        <v>106</v>
      </c>
      <c r="X81" s="3" t="s">
        <v>128</v>
      </c>
      <c r="Z81" s="3">
        <v>29.0</v>
      </c>
      <c r="AA81" s="3">
        <v>0.0</v>
      </c>
      <c r="AB81" s="3">
        <v>1.0</v>
      </c>
      <c r="AC81" s="3">
        <v>1.8181818181818181</v>
      </c>
      <c r="AD81" s="3">
        <v>1.8181818181818181</v>
      </c>
    </row>
    <row r="82">
      <c r="A82" s="1" t="s">
        <v>16</v>
      </c>
      <c r="B82" s="1" t="s">
        <v>56</v>
      </c>
      <c r="C82" s="1" t="s">
        <v>21</v>
      </c>
      <c r="D82" s="1" t="s">
        <v>57</v>
      </c>
      <c r="E82" s="1" t="s">
        <v>58</v>
      </c>
      <c r="F82" s="1" t="s">
        <v>59</v>
      </c>
      <c r="G82" s="1">
        <v>30.5</v>
      </c>
      <c r="H82" s="1" t="s">
        <v>60</v>
      </c>
      <c r="I82" s="1">
        <v>-122.0</v>
      </c>
      <c r="J82" s="1">
        <v>-0.138312322207206</v>
      </c>
      <c r="K82" s="1" t="s">
        <v>61</v>
      </c>
      <c r="L82" s="1" t="s">
        <v>61</v>
      </c>
      <c r="M82" s="1" t="s">
        <v>62</v>
      </c>
      <c r="N82" s="1">
        <v>-111.0</v>
      </c>
      <c r="O82" s="1">
        <v>0.062673385963507</v>
      </c>
      <c r="P82" s="1" t="s">
        <v>61</v>
      </c>
      <c r="Q82" s="1" t="s">
        <v>61</v>
      </c>
      <c r="R82" s="1">
        <v>0.062673385963507</v>
      </c>
      <c r="S82" s="1">
        <v>-111.0</v>
      </c>
      <c r="T82" s="1">
        <f t="shared" si="1"/>
        <v>1.900900901</v>
      </c>
      <c r="U82" s="1">
        <v>0.0</v>
      </c>
      <c r="V82" s="3">
        <v>2.0</v>
      </c>
      <c r="W82" s="3" t="s">
        <v>63</v>
      </c>
      <c r="X82" s="3" t="s">
        <v>64</v>
      </c>
      <c r="Z82" s="3">
        <v>30.0</v>
      </c>
      <c r="AA82" s="3">
        <v>0.0</v>
      </c>
      <c r="AB82" s="3">
        <v>1.0</v>
      </c>
      <c r="AC82" s="3">
        <v>1.8018018018018018</v>
      </c>
      <c r="AD82" s="3">
        <v>1.8018018018018018</v>
      </c>
    </row>
    <row r="83">
      <c r="A83" s="1" t="s">
        <v>10</v>
      </c>
      <c r="B83" s="1" t="s">
        <v>182</v>
      </c>
      <c r="C83" s="1" t="s">
        <v>19</v>
      </c>
      <c r="D83" s="1" t="s">
        <v>77</v>
      </c>
      <c r="E83" s="1" t="s">
        <v>76</v>
      </c>
      <c r="F83" s="1" t="s">
        <v>78</v>
      </c>
      <c r="G83" s="1">
        <v>14.5</v>
      </c>
      <c r="H83" s="1" t="s">
        <v>60</v>
      </c>
      <c r="I83" s="1">
        <v>-115.0</v>
      </c>
      <c r="J83" s="6">
        <v>-0.133193956907792</v>
      </c>
      <c r="K83" s="1" t="s">
        <v>61</v>
      </c>
      <c r="L83" s="1" t="s">
        <v>61</v>
      </c>
      <c r="M83" s="1" t="s">
        <v>62</v>
      </c>
      <c r="N83" s="1">
        <v>-112.0</v>
      </c>
      <c r="O83" s="6">
        <v>0.0700640793556438</v>
      </c>
      <c r="P83" s="1" t="s">
        <v>61</v>
      </c>
      <c r="Q83" s="1" t="s">
        <v>61</v>
      </c>
      <c r="R83" s="6">
        <v>0.0700640793556438</v>
      </c>
      <c r="S83" s="1">
        <v>-112.0</v>
      </c>
      <c r="T83" s="1">
        <f t="shared" si="1"/>
        <v>1.892857143</v>
      </c>
      <c r="U83" s="1">
        <v>0.0</v>
      </c>
      <c r="V83" s="3">
        <v>2.0</v>
      </c>
      <c r="W83" s="3" t="s">
        <v>68</v>
      </c>
      <c r="X83" s="3" t="s">
        <v>184</v>
      </c>
      <c r="Z83" s="3">
        <v>3.0</v>
      </c>
      <c r="AA83" s="3">
        <v>0.0</v>
      </c>
      <c r="AB83" s="3">
        <v>1.0</v>
      </c>
      <c r="AC83" s="3">
        <v>1.7857142857142858</v>
      </c>
      <c r="AD83" s="3">
        <v>1.7857142857142858</v>
      </c>
    </row>
    <row r="84">
      <c r="A84" s="1" t="s">
        <v>16</v>
      </c>
      <c r="B84" s="1" t="s">
        <v>275</v>
      </c>
      <c r="C84" s="1" t="s">
        <v>21</v>
      </c>
      <c r="D84" s="1" t="s">
        <v>100</v>
      </c>
      <c r="E84" s="1" t="s">
        <v>99</v>
      </c>
      <c r="F84" s="1" t="s">
        <v>59</v>
      </c>
      <c r="G84" s="1">
        <v>33.5</v>
      </c>
      <c r="H84" s="1" t="s">
        <v>60</v>
      </c>
      <c r="I84" s="1">
        <v>-120.0</v>
      </c>
      <c r="J84" s="1">
        <v>-0.1282319332</v>
      </c>
      <c r="K84" s="1" t="s">
        <v>61</v>
      </c>
      <c r="L84" s="1" t="s">
        <v>61</v>
      </c>
      <c r="M84" s="1" t="s">
        <v>62</v>
      </c>
      <c r="N84" s="1">
        <v>-112.0</v>
      </c>
      <c r="O84" s="1">
        <v>0.0544379925471697</v>
      </c>
      <c r="P84" s="1" t="s">
        <v>61</v>
      </c>
      <c r="Q84" s="1" t="s">
        <v>61</v>
      </c>
      <c r="R84" s="1">
        <v>0.0544379925471697</v>
      </c>
      <c r="S84" s="1">
        <v>-112.0</v>
      </c>
      <c r="T84" s="1">
        <f t="shared" si="1"/>
        <v>1.892857143</v>
      </c>
      <c r="U84" s="1">
        <v>0.0</v>
      </c>
      <c r="V84" s="3">
        <v>2.0</v>
      </c>
      <c r="W84" s="3" t="s">
        <v>276</v>
      </c>
      <c r="X84" s="3" t="s">
        <v>277</v>
      </c>
      <c r="Z84" s="3">
        <v>32.0</v>
      </c>
      <c r="AA84" s="3">
        <v>0.0</v>
      </c>
      <c r="AB84" s="3">
        <v>1.0</v>
      </c>
      <c r="AC84" s="3">
        <v>1.7857142857142858</v>
      </c>
      <c r="AD84" s="3">
        <v>1.7857142857142858</v>
      </c>
    </row>
    <row r="85">
      <c r="A85" s="1" t="s">
        <v>10</v>
      </c>
      <c r="B85" s="1" t="s">
        <v>241</v>
      </c>
      <c r="C85" s="1" t="s">
        <v>21</v>
      </c>
      <c r="D85" s="1" t="s">
        <v>197</v>
      </c>
      <c r="E85" s="1" t="s">
        <v>196</v>
      </c>
      <c r="F85" s="1" t="s">
        <v>198</v>
      </c>
      <c r="G85" s="1">
        <v>0.5</v>
      </c>
      <c r="H85" s="1" t="s">
        <v>60</v>
      </c>
      <c r="I85" s="1">
        <v>-113.0</v>
      </c>
      <c r="J85" s="1">
        <v>0.0957794920282796</v>
      </c>
      <c r="K85" s="1" t="s">
        <v>61</v>
      </c>
      <c r="L85" s="1" t="s">
        <v>61</v>
      </c>
      <c r="M85" s="1" t="s">
        <v>62</v>
      </c>
      <c r="N85" s="1">
        <v>-118.0</v>
      </c>
      <c r="O85" s="1">
        <v>-0.167518929115237</v>
      </c>
      <c r="P85" s="1" t="s">
        <v>61</v>
      </c>
      <c r="Q85" s="1" t="s">
        <v>61</v>
      </c>
      <c r="R85" s="1">
        <v>0.0957794920282796</v>
      </c>
      <c r="S85" s="1">
        <v>-113.0</v>
      </c>
      <c r="T85" s="1">
        <f t="shared" si="1"/>
        <v>1.884955752</v>
      </c>
      <c r="U85" s="1">
        <v>1.0</v>
      </c>
      <c r="V85" s="3">
        <v>2.0</v>
      </c>
      <c r="W85" s="3" t="s">
        <v>68</v>
      </c>
      <c r="X85" s="3" t="s">
        <v>242</v>
      </c>
      <c r="Z85" s="3">
        <v>7.0</v>
      </c>
      <c r="AA85" s="3">
        <v>1.0</v>
      </c>
      <c r="AB85" s="3">
        <v>1.0</v>
      </c>
      <c r="AC85" s="3">
        <v>1.7699115044247788</v>
      </c>
      <c r="AD85" s="3">
        <v>1.7699115044247788</v>
      </c>
    </row>
    <row r="86">
      <c r="A86" s="1" t="s">
        <v>12</v>
      </c>
      <c r="B86" s="1" t="s">
        <v>278</v>
      </c>
      <c r="C86" s="1" t="s">
        <v>18</v>
      </c>
      <c r="D86" s="1" t="s">
        <v>134</v>
      </c>
      <c r="E86" s="1" t="s">
        <v>135</v>
      </c>
      <c r="F86" s="1" t="s">
        <v>84</v>
      </c>
      <c r="G86" s="1">
        <v>3.5</v>
      </c>
      <c r="H86" s="1" t="s">
        <v>60</v>
      </c>
      <c r="I86" s="1">
        <v>-118.0</v>
      </c>
      <c r="J86" s="1">
        <v>-0.157030275229357</v>
      </c>
      <c r="K86" s="1" t="s">
        <v>61</v>
      </c>
      <c r="L86" s="1" t="s">
        <v>61</v>
      </c>
      <c r="M86" s="1" t="s">
        <v>62</v>
      </c>
      <c r="N86" s="1">
        <v>-113.0</v>
      </c>
      <c r="O86" s="1">
        <v>0.0852366197183097</v>
      </c>
      <c r="P86" s="1" t="s">
        <v>61</v>
      </c>
      <c r="Q86" s="1" t="s">
        <v>61</v>
      </c>
      <c r="R86" s="1">
        <v>0.0852366197183097</v>
      </c>
      <c r="S86" s="1">
        <v>-113.0</v>
      </c>
      <c r="T86" s="1">
        <f t="shared" si="1"/>
        <v>1.884955752</v>
      </c>
      <c r="U86" s="1">
        <v>0.0</v>
      </c>
      <c r="V86" s="3">
        <v>2.0</v>
      </c>
      <c r="W86" s="3" t="s">
        <v>68</v>
      </c>
      <c r="X86" s="3" t="s">
        <v>279</v>
      </c>
      <c r="Z86" s="3">
        <v>3.0</v>
      </c>
      <c r="AA86" s="3">
        <v>0.0</v>
      </c>
      <c r="AB86" s="3">
        <v>1.0</v>
      </c>
      <c r="AC86" s="3">
        <v>1.7699115044247788</v>
      </c>
      <c r="AD86" s="3">
        <v>1.7699115044247788</v>
      </c>
    </row>
    <row r="87">
      <c r="A87" s="1" t="s">
        <v>11</v>
      </c>
      <c r="B87" s="1" t="s">
        <v>280</v>
      </c>
      <c r="C87" s="1" t="s">
        <v>19</v>
      </c>
      <c r="D87" s="1" t="s">
        <v>94</v>
      </c>
      <c r="E87" s="1" t="s">
        <v>93</v>
      </c>
      <c r="F87" s="1" t="s">
        <v>59</v>
      </c>
      <c r="G87" s="1">
        <v>7.5</v>
      </c>
      <c r="H87" s="1" t="s">
        <v>60</v>
      </c>
      <c r="I87" s="1">
        <v>-113.0</v>
      </c>
      <c r="J87" s="1">
        <v>0.0802330346828322</v>
      </c>
      <c r="K87" s="1" t="s">
        <v>61</v>
      </c>
      <c r="L87" s="1" t="s">
        <v>61</v>
      </c>
      <c r="M87" s="1" t="s">
        <v>62</v>
      </c>
      <c r="N87" s="1">
        <v>-118.0</v>
      </c>
      <c r="O87" s="1">
        <v>-0.15199555475772</v>
      </c>
      <c r="P87" s="1" t="s">
        <v>61</v>
      </c>
      <c r="Q87" s="1" t="s">
        <v>61</v>
      </c>
      <c r="R87" s="1">
        <v>0.0802330346828322</v>
      </c>
      <c r="S87" s="1">
        <v>-113.0</v>
      </c>
      <c r="T87" s="1">
        <f t="shared" si="1"/>
        <v>1.884955752</v>
      </c>
      <c r="U87" s="1">
        <v>1.0</v>
      </c>
      <c r="V87" s="3">
        <v>2.0</v>
      </c>
      <c r="W87" s="3" t="s">
        <v>153</v>
      </c>
      <c r="X87" s="3" t="s">
        <v>281</v>
      </c>
      <c r="Z87" s="3">
        <v>10.0</v>
      </c>
      <c r="AA87" s="3">
        <v>1.0</v>
      </c>
      <c r="AB87" s="3">
        <v>1.0</v>
      </c>
      <c r="AC87" s="3">
        <v>1.7699115044247788</v>
      </c>
      <c r="AD87" s="3">
        <v>1.7699115044247788</v>
      </c>
    </row>
    <row r="88">
      <c r="A88" s="1" t="s">
        <v>11</v>
      </c>
      <c r="B88" s="1" t="s">
        <v>243</v>
      </c>
      <c r="C88" s="1" t="s">
        <v>19</v>
      </c>
      <c r="D88" s="1" t="s">
        <v>156</v>
      </c>
      <c r="E88" s="1" t="s">
        <v>157</v>
      </c>
      <c r="F88" s="1" t="s">
        <v>158</v>
      </c>
      <c r="G88" s="1">
        <v>5.5</v>
      </c>
      <c r="H88" s="1" t="s">
        <v>60</v>
      </c>
      <c r="I88" s="1">
        <v>-113.0</v>
      </c>
      <c r="J88" s="6">
        <v>0.0800604409554539</v>
      </c>
      <c r="K88" s="1" t="s">
        <v>61</v>
      </c>
      <c r="L88" s="1" t="s">
        <v>61</v>
      </c>
      <c r="M88" s="1" t="s">
        <v>62</v>
      </c>
      <c r="N88" s="1">
        <v>-113.0</v>
      </c>
      <c r="O88" s="6">
        <v>-0.141077298279662</v>
      </c>
      <c r="P88" s="1" t="s">
        <v>61</v>
      </c>
      <c r="Q88" s="1" t="s">
        <v>61</v>
      </c>
      <c r="R88" s="6">
        <v>0.0800604409554539</v>
      </c>
      <c r="S88" s="1">
        <v>-113.0</v>
      </c>
      <c r="T88" s="1">
        <f t="shared" si="1"/>
        <v>1.884955752</v>
      </c>
      <c r="U88" s="1">
        <v>1.0</v>
      </c>
      <c r="V88" s="3">
        <v>2.0</v>
      </c>
      <c r="W88" s="3" t="s">
        <v>73</v>
      </c>
      <c r="X88" s="3" t="s">
        <v>244</v>
      </c>
      <c r="Z88" s="3">
        <v>10.0</v>
      </c>
      <c r="AA88" s="3">
        <v>1.0</v>
      </c>
      <c r="AB88" s="3">
        <v>1.0</v>
      </c>
      <c r="AC88" s="3">
        <v>1.7699115044247788</v>
      </c>
      <c r="AD88" s="3">
        <v>1.7699115044247788</v>
      </c>
    </row>
    <row r="89">
      <c r="A89" s="1" t="s">
        <v>14</v>
      </c>
      <c r="B89" s="1" t="s">
        <v>274</v>
      </c>
      <c r="C89" s="1" t="s">
        <v>21</v>
      </c>
      <c r="D89" s="1" t="s">
        <v>99</v>
      </c>
      <c r="E89" s="1" t="s">
        <v>100</v>
      </c>
      <c r="F89" s="1" t="s">
        <v>59</v>
      </c>
      <c r="G89" s="1">
        <v>1.5</v>
      </c>
      <c r="H89" s="1" t="s">
        <v>60</v>
      </c>
      <c r="I89" s="1">
        <v>-120.0</v>
      </c>
      <c r="J89" s="1">
        <v>-0.1497</v>
      </c>
      <c r="K89" s="1" t="s">
        <v>61</v>
      </c>
      <c r="L89" s="1" t="s">
        <v>61</v>
      </c>
      <c r="M89" s="1" t="s">
        <v>62</v>
      </c>
      <c r="N89" s="1">
        <v>-113.0</v>
      </c>
      <c r="O89" s="1">
        <v>0.0737366197183099</v>
      </c>
      <c r="P89" s="1" t="s">
        <v>61</v>
      </c>
      <c r="Q89" s="1" t="s">
        <v>61</v>
      </c>
      <c r="R89" s="1">
        <v>0.0737366197183099</v>
      </c>
      <c r="S89" s="1">
        <v>-113.0</v>
      </c>
      <c r="T89" s="1">
        <f t="shared" si="1"/>
        <v>1.884955752</v>
      </c>
      <c r="U89" s="1">
        <v>0.0</v>
      </c>
      <c r="V89" s="3">
        <v>2.0</v>
      </c>
      <c r="W89" s="3" t="s">
        <v>106</v>
      </c>
      <c r="X89" s="3" t="s">
        <v>128</v>
      </c>
      <c r="Z89" s="3">
        <v>0.0</v>
      </c>
      <c r="AA89" s="3">
        <v>0.0</v>
      </c>
      <c r="AB89" s="3">
        <v>1.0</v>
      </c>
      <c r="AC89" s="3">
        <v>1.7699115044247788</v>
      </c>
      <c r="AD89" s="3">
        <v>1.7699115044247788</v>
      </c>
    </row>
    <row r="90">
      <c r="A90" s="1" t="s">
        <v>15</v>
      </c>
      <c r="B90" s="1" t="s">
        <v>275</v>
      </c>
      <c r="C90" s="1" t="s">
        <v>21</v>
      </c>
      <c r="D90" s="1" t="s">
        <v>100</v>
      </c>
      <c r="E90" s="1" t="s">
        <v>99</v>
      </c>
      <c r="F90" s="1" t="s">
        <v>59</v>
      </c>
      <c r="G90" s="1">
        <v>20.5</v>
      </c>
      <c r="H90" s="1" t="s">
        <v>60</v>
      </c>
      <c r="I90" s="1">
        <v>-118.0</v>
      </c>
      <c r="J90" s="1">
        <v>-0.155628954770642</v>
      </c>
      <c r="K90" s="1" t="s">
        <v>61</v>
      </c>
      <c r="L90" s="1" t="s">
        <v>61</v>
      </c>
      <c r="M90" s="1" t="s">
        <v>62</v>
      </c>
      <c r="N90" s="1">
        <v>-114.0</v>
      </c>
      <c r="O90" s="1">
        <v>0.0816414571943926</v>
      </c>
      <c r="P90" s="1" t="s">
        <v>61</v>
      </c>
      <c r="Q90" s="1" t="s">
        <v>61</v>
      </c>
      <c r="R90" s="1">
        <v>0.0816414571943926</v>
      </c>
      <c r="S90" s="1">
        <v>-114.0</v>
      </c>
      <c r="T90" s="1">
        <f t="shared" si="1"/>
        <v>1.877192982</v>
      </c>
      <c r="U90" s="1">
        <v>0.0</v>
      </c>
      <c r="V90" s="3">
        <v>2.0</v>
      </c>
      <c r="W90" s="3" t="s">
        <v>276</v>
      </c>
      <c r="X90" s="3" t="s">
        <v>277</v>
      </c>
      <c r="Z90" s="3">
        <v>19.0</v>
      </c>
      <c r="AA90" s="3">
        <v>0.0</v>
      </c>
      <c r="AB90" s="3">
        <v>1.0</v>
      </c>
      <c r="AC90" s="3">
        <v>1.7543859649122806</v>
      </c>
      <c r="AD90" s="3">
        <v>1.7543859649122806</v>
      </c>
    </row>
    <row r="91">
      <c r="A91" s="1" t="s">
        <v>11</v>
      </c>
      <c r="B91" s="1" t="s">
        <v>123</v>
      </c>
      <c r="C91" s="1" t="s">
        <v>19</v>
      </c>
      <c r="D91" s="1" t="s">
        <v>110</v>
      </c>
      <c r="E91" s="1" t="s">
        <v>109</v>
      </c>
      <c r="F91" s="1" t="s">
        <v>59</v>
      </c>
      <c r="G91" s="1">
        <v>7.0</v>
      </c>
      <c r="H91" s="1" t="s">
        <v>60</v>
      </c>
      <c r="I91" s="1">
        <v>-115.0</v>
      </c>
      <c r="J91" s="1">
        <v>0.072799515331457</v>
      </c>
      <c r="K91" s="1" t="s">
        <v>61</v>
      </c>
      <c r="L91" s="1" t="s">
        <v>61</v>
      </c>
      <c r="M91" s="1" t="s">
        <v>62</v>
      </c>
      <c r="N91" s="1">
        <v>-113.0</v>
      </c>
      <c r="O91" s="1">
        <v>-0.136608414318204</v>
      </c>
      <c r="P91" s="1" t="s">
        <v>61</v>
      </c>
      <c r="Q91" s="1" t="s">
        <v>61</v>
      </c>
      <c r="R91" s="1">
        <v>0.072799515331457</v>
      </c>
      <c r="S91" s="1">
        <v>-115.0</v>
      </c>
      <c r="T91" s="1">
        <f t="shared" si="1"/>
        <v>1.869565217</v>
      </c>
      <c r="U91" s="1">
        <v>1.0</v>
      </c>
      <c r="V91" s="3">
        <v>2.0</v>
      </c>
      <c r="W91" s="3" t="s">
        <v>85</v>
      </c>
      <c r="X91" s="3" t="s">
        <v>124</v>
      </c>
      <c r="Z91" s="3">
        <v>9.0</v>
      </c>
      <c r="AA91" s="3">
        <v>1.0</v>
      </c>
      <c r="AB91" s="3">
        <v>1.0</v>
      </c>
      <c r="AC91" s="3">
        <v>1.7391304347826086</v>
      </c>
      <c r="AD91" s="3">
        <v>1.7391304347826086</v>
      </c>
    </row>
    <row r="92">
      <c r="A92" s="1" t="s">
        <v>11</v>
      </c>
      <c r="B92" s="1" t="s">
        <v>282</v>
      </c>
      <c r="C92" s="1" t="s">
        <v>19</v>
      </c>
      <c r="D92" s="1" t="s">
        <v>58</v>
      </c>
      <c r="E92" s="1" t="s">
        <v>57</v>
      </c>
      <c r="F92" s="1" t="s">
        <v>59</v>
      </c>
      <c r="G92" s="1">
        <v>29.5</v>
      </c>
      <c r="H92" s="1" t="s">
        <v>60</v>
      </c>
      <c r="I92" s="1">
        <v>-115.0</v>
      </c>
      <c r="J92" s="1">
        <v>-0.129181495247023</v>
      </c>
      <c r="K92" s="1" t="s">
        <v>61</v>
      </c>
      <c r="L92" s="1" t="s">
        <v>61</v>
      </c>
      <c r="M92" s="1" t="s">
        <v>62</v>
      </c>
      <c r="N92" s="1">
        <v>-115.0</v>
      </c>
      <c r="O92" s="1">
        <v>0.0594587195340766</v>
      </c>
      <c r="P92" s="1" t="s">
        <v>61</v>
      </c>
      <c r="Q92" s="1" t="s">
        <v>61</v>
      </c>
      <c r="R92" s="1">
        <v>0.0594587195340766</v>
      </c>
      <c r="S92" s="1">
        <v>-115.0</v>
      </c>
      <c r="T92" s="1">
        <f t="shared" si="1"/>
        <v>1.869565217</v>
      </c>
      <c r="U92" s="1">
        <v>0.0</v>
      </c>
      <c r="V92" s="3">
        <v>2.0</v>
      </c>
      <c r="W92" s="3" t="s">
        <v>117</v>
      </c>
      <c r="X92" s="3" t="s">
        <v>283</v>
      </c>
      <c r="Z92" s="3">
        <v>27.0</v>
      </c>
      <c r="AA92" s="3">
        <v>0.0</v>
      </c>
      <c r="AB92" s="3">
        <v>1.0</v>
      </c>
      <c r="AC92" s="3">
        <v>1.7391304347826086</v>
      </c>
      <c r="AD92" s="3">
        <v>1.7391304347826086</v>
      </c>
    </row>
    <row r="93">
      <c r="A93" s="1" t="s">
        <v>9</v>
      </c>
      <c r="B93" s="1" t="s">
        <v>284</v>
      </c>
      <c r="C93" s="1" t="s">
        <v>18</v>
      </c>
      <c r="D93" s="1" t="s">
        <v>196</v>
      </c>
      <c r="E93" s="1" t="s">
        <v>197</v>
      </c>
      <c r="F93" s="1" t="s">
        <v>198</v>
      </c>
      <c r="G93" s="1">
        <v>28.0</v>
      </c>
      <c r="H93" s="1" t="s">
        <v>60</v>
      </c>
      <c r="I93" s="1">
        <v>-115.0</v>
      </c>
      <c r="J93" s="1">
        <v>0.0580046171046129</v>
      </c>
      <c r="K93" s="1" t="s">
        <v>61</v>
      </c>
      <c r="L93" s="1" t="s">
        <v>61</v>
      </c>
      <c r="M93" s="1" t="s">
        <v>62</v>
      </c>
      <c r="N93" s="1">
        <v>-117.0</v>
      </c>
      <c r="O93" s="1">
        <v>-0.130719568814126</v>
      </c>
      <c r="P93" s="1" t="s">
        <v>61</v>
      </c>
      <c r="Q93" s="1" t="s">
        <v>61</v>
      </c>
      <c r="R93" s="1">
        <v>0.0580046171046129</v>
      </c>
      <c r="S93" s="1">
        <v>-115.0</v>
      </c>
      <c r="T93" s="1">
        <f t="shared" si="1"/>
        <v>1.869565217</v>
      </c>
      <c r="U93" s="1">
        <v>1.0</v>
      </c>
      <c r="V93" s="3">
        <v>2.0</v>
      </c>
      <c r="W93" s="3" t="s">
        <v>101</v>
      </c>
      <c r="X93" s="3" t="s">
        <v>265</v>
      </c>
      <c r="Z93" s="3">
        <v>42.0</v>
      </c>
      <c r="AA93" s="3">
        <v>1.0</v>
      </c>
      <c r="AB93" s="3">
        <v>1.0</v>
      </c>
      <c r="AC93" s="3">
        <v>1.7391304347826086</v>
      </c>
      <c r="AD93" s="3">
        <v>1.7391304347826086</v>
      </c>
    </row>
    <row r="94">
      <c r="A94" s="1" t="s">
        <v>8</v>
      </c>
      <c r="B94" s="1" t="s">
        <v>262</v>
      </c>
      <c r="C94" s="1" t="s">
        <v>21</v>
      </c>
      <c r="D94" s="1" t="s">
        <v>164</v>
      </c>
      <c r="E94" s="1" t="s">
        <v>165</v>
      </c>
      <c r="F94" s="1" t="s">
        <v>166</v>
      </c>
      <c r="G94" s="1">
        <v>2.5</v>
      </c>
      <c r="H94" s="1" t="s">
        <v>60</v>
      </c>
      <c r="I94" s="1">
        <v>-115.0</v>
      </c>
      <c r="J94" s="1">
        <v>-0.160066991415574</v>
      </c>
      <c r="K94" s="1" t="s">
        <v>61</v>
      </c>
      <c r="L94" s="1" t="s">
        <v>61</v>
      </c>
      <c r="M94" s="1" t="s">
        <v>62</v>
      </c>
      <c r="N94" s="1">
        <v>-115.0</v>
      </c>
      <c r="O94" s="1">
        <v>0.0903120401279108</v>
      </c>
      <c r="P94" s="1" t="s">
        <v>61</v>
      </c>
      <c r="Q94" s="1" t="s">
        <v>61</v>
      </c>
      <c r="R94" s="1">
        <v>0.0903120401279108</v>
      </c>
      <c r="S94" s="1">
        <v>-115.0</v>
      </c>
      <c r="T94" s="1">
        <f t="shared" si="1"/>
        <v>1.869565217</v>
      </c>
      <c r="U94" s="1">
        <v>0.0</v>
      </c>
      <c r="V94" s="3">
        <v>2.0</v>
      </c>
      <c r="W94" s="3" t="s">
        <v>63</v>
      </c>
      <c r="X94" s="3" t="s">
        <v>263</v>
      </c>
      <c r="Z94" s="3">
        <v>1.0</v>
      </c>
      <c r="AA94" s="3">
        <v>0.0</v>
      </c>
      <c r="AB94" s="3">
        <v>1.0</v>
      </c>
      <c r="AC94" s="3">
        <v>1.7391304347826086</v>
      </c>
      <c r="AD94" s="3">
        <v>1.7391304347826086</v>
      </c>
    </row>
    <row r="95">
      <c r="A95" s="1" t="s">
        <v>9</v>
      </c>
      <c r="B95" s="1" t="s">
        <v>285</v>
      </c>
      <c r="C95" s="1" t="s">
        <v>18</v>
      </c>
      <c r="D95" s="1" t="s">
        <v>164</v>
      </c>
      <c r="E95" s="1" t="s">
        <v>165</v>
      </c>
      <c r="F95" s="1" t="s">
        <v>166</v>
      </c>
      <c r="G95" s="1">
        <v>21.5</v>
      </c>
      <c r="H95" s="1" t="s">
        <v>60</v>
      </c>
      <c r="I95" s="1">
        <v>-115.0</v>
      </c>
      <c r="J95" s="1">
        <v>0.05908447857982</v>
      </c>
      <c r="K95" s="1" t="s">
        <v>61</v>
      </c>
      <c r="L95" s="1" t="s">
        <v>61</v>
      </c>
      <c r="M95" s="1" t="s">
        <v>62</v>
      </c>
      <c r="N95" s="1">
        <v>-115.0</v>
      </c>
      <c r="O95" s="1">
        <v>-0.128802150366793</v>
      </c>
      <c r="P95" s="1" t="s">
        <v>61</v>
      </c>
      <c r="Q95" s="1" t="s">
        <v>61</v>
      </c>
      <c r="R95" s="1">
        <v>0.05908447857982</v>
      </c>
      <c r="S95" s="1">
        <v>-115.0</v>
      </c>
      <c r="T95" s="1">
        <f t="shared" si="1"/>
        <v>1.869565217</v>
      </c>
      <c r="U95" s="1">
        <v>1.0</v>
      </c>
      <c r="V95" s="3">
        <v>2.0</v>
      </c>
      <c r="W95" s="3" t="s">
        <v>68</v>
      </c>
      <c r="X95" s="3" t="s">
        <v>286</v>
      </c>
      <c r="Z95" s="3">
        <v>64.0</v>
      </c>
      <c r="AA95" s="3">
        <v>1.0</v>
      </c>
      <c r="AB95" s="3">
        <v>1.0</v>
      </c>
      <c r="AC95" s="3">
        <v>1.7391304347826086</v>
      </c>
      <c r="AD95" s="3">
        <v>1.7391304347826086</v>
      </c>
    </row>
    <row r="96">
      <c r="A96" s="1" t="s">
        <v>10</v>
      </c>
      <c r="B96" s="1" t="s">
        <v>287</v>
      </c>
      <c r="C96" s="1" t="s">
        <v>21</v>
      </c>
      <c r="D96" s="1" t="s">
        <v>58</v>
      </c>
      <c r="E96" s="1" t="s">
        <v>57</v>
      </c>
      <c r="F96" s="1" t="s">
        <v>59</v>
      </c>
      <c r="G96" s="1">
        <v>1.5</v>
      </c>
      <c r="H96" s="1" t="s">
        <v>60</v>
      </c>
      <c r="I96" s="1">
        <v>-117.0</v>
      </c>
      <c r="J96" s="1">
        <v>0.0727610222505633</v>
      </c>
      <c r="K96" s="1" t="s">
        <v>61</v>
      </c>
      <c r="L96" s="1" t="s">
        <v>61</v>
      </c>
      <c r="M96" s="1" t="s">
        <v>62</v>
      </c>
      <c r="N96" s="1">
        <v>-115.0</v>
      </c>
      <c r="O96" s="1">
        <v>-0.14683638652486</v>
      </c>
      <c r="P96" s="1" t="s">
        <v>61</v>
      </c>
      <c r="Q96" s="1" t="s">
        <v>61</v>
      </c>
      <c r="R96" s="1">
        <v>0.0727610222505633</v>
      </c>
      <c r="S96" s="1">
        <v>-117.0</v>
      </c>
      <c r="T96" s="1">
        <f t="shared" si="1"/>
        <v>1.854700855</v>
      </c>
      <c r="U96" s="1">
        <v>1.0</v>
      </c>
      <c r="V96" s="3">
        <v>2.0</v>
      </c>
      <c r="W96" s="3" t="s">
        <v>101</v>
      </c>
      <c r="X96" s="3" t="s">
        <v>288</v>
      </c>
      <c r="Z96" s="3">
        <v>13.0</v>
      </c>
      <c r="AA96" s="3">
        <v>1.0</v>
      </c>
      <c r="AB96" s="3">
        <v>1.0</v>
      </c>
      <c r="AC96" s="3">
        <v>1.7094017094017093</v>
      </c>
      <c r="AD96" s="3">
        <v>1.7094017094017093</v>
      </c>
    </row>
    <row r="97">
      <c r="A97" s="1" t="s">
        <v>11</v>
      </c>
      <c r="B97" s="1" t="s">
        <v>127</v>
      </c>
      <c r="C97" s="1" t="s">
        <v>19</v>
      </c>
      <c r="D97" s="1" t="s">
        <v>58</v>
      </c>
      <c r="E97" s="1" t="s">
        <v>57</v>
      </c>
      <c r="F97" s="1" t="s">
        <v>59</v>
      </c>
      <c r="G97" s="1">
        <v>3.5</v>
      </c>
      <c r="H97" s="1" t="s">
        <v>60</v>
      </c>
      <c r="I97" s="1">
        <v>-120.0</v>
      </c>
      <c r="J97" s="1">
        <v>0.0983662726526243</v>
      </c>
      <c r="K97" s="1" t="s">
        <v>61</v>
      </c>
      <c r="L97" s="1" t="s">
        <v>61</v>
      </c>
      <c r="M97" s="1" t="s">
        <v>62</v>
      </c>
      <c r="N97" s="1">
        <v>-110.0</v>
      </c>
      <c r="O97" s="1">
        <v>-0.167603038009214</v>
      </c>
      <c r="P97" s="1" t="s">
        <v>61</v>
      </c>
      <c r="Q97" s="1" t="s">
        <v>61</v>
      </c>
      <c r="R97" s="1">
        <v>0.0983662726526243</v>
      </c>
      <c r="S97" s="1">
        <v>-120.0</v>
      </c>
      <c r="T97" s="1">
        <f t="shared" si="1"/>
        <v>1.833333333</v>
      </c>
      <c r="U97" s="1">
        <v>1.0</v>
      </c>
      <c r="V97" s="3">
        <v>2.0</v>
      </c>
      <c r="W97" s="3" t="s">
        <v>68</v>
      </c>
      <c r="X97" s="3" t="s">
        <v>128</v>
      </c>
      <c r="Z97" s="3">
        <v>13.0</v>
      </c>
      <c r="AA97" s="3">
        <v>1.0</v>
      </c>
      <c r="AB97" s="3">
        <v>1.0</v>
      </c>
      <c r="AC97" s="3">
        <v>1.6666666666666667</v>
      </c>
      <c r="AD97" s="3">
        <v>1.6666666666666667</v>
      </c>
    </row>
    <row r="98">
      <c r="A98" s="1" t="s">
        <v>8</v>
      </c>
      <c r="B98" s="1" t="s">
        <v>289</v>
      </c>
      <c r="C98" s="1" t="s">
        <v>19</v>
      </c>
      <c r="D98" s="1" t="s">
        <v>94</v>
      </c>
      <c r="E98" s="1" t="s">
        <v>93</v>
      </c>
      <c r="F98" s="1" t="s">
        <v>59</v>
      </c>
      <c r="G98" s="1">
        <v>11.5</v>
      </c>
      <c r="H98" s="1" t="s">
        <v>60</v>
      </c>
      <c r="I98" s="1">
        <v>-110.0</v>
      </c>
      <c r="J98" s="1">
        <v>-0.157466520376904</v>
      </c>
      <c r="K98" s="1" t="s">
        <v>61</v>
      </c>
      <c r="L98" s="1" t="s">
        <v>61</v>
      </c>
      <c r="M98" s="1" t="s">
        <v>62</v>
      </c>
      <c r="N98" s="1">
        <v>-120.0</v>
      </c>
      <c r="O98" s="1">
        <v>0.0881816506135455</v>
      </c>
      <c r="P98" s="1" t="s">
        <v>61</v>
      </c>
      <c r="Q98" s="1" t="s">
        <v>61</v>
      </c>
      <c r="R98" s="1">
        <v>0.0881816506135455</v>
      </c>
      <c r="S98" s="1">
        <v>-120.0</v>
      </c>
      <c r="T98" s="1">
        <f t="shared" si="1"/>
        <v>1.833333333</v>
      </c>
      <c r="U98" s="1">
        <v>0.0</v>
      </c>
      <c r="V98" s="3">
        <v>2.0</v>
      </c>
      <c r="W98" s="3" t="s">
        <v>101</v>
      </c>
      <c r="X98" s="3" t="s">
        <v>290</v>
      </c>
      <c r="Z98" s="3">
        <v>10.0</v>
      </c>
      <c r="AA98" s="3">
        <v>0.0</v>
      </c>
      <c r="AB98" s="3">
        <v>1.0</v>
      </c>
      <c r="AC98" s="3">
        <v>1.6666666666666667</v>
      </c>
      <c r="AD98" s="3">
        <v>1.6666666666666667</v>
      </c>
    </row>
    <row r="99">
      <c r="A99" s="1" t="s">
        <v>8</v>
      </c>
      <c r="B99" s="1" t="s">
        <v>127</v>
      </c>
      <c r="C99" s="1" t="s">
        <v>19</v>
      </c>
      <c r="D99" s="1" t="s">
        <v>83</v>
      </c>
      <c r="E99" s="1" t="s">
        <v>82</v>
      </c>
      <c r="F99" s="1" t="s">
        <v>84</v>
      </c>
      <c r="G99" s="1">
        <v>12.5</v>
      </c>
      <c r="H99" s="1" t="s">
        <v>60</v>
      </c>
      <c r="I99" s="1">
        <v>-110.0</v>
      </c>
      <c r="J99" s="1">
        <v>-0.144961403203047</v>
      </c>
      <c r="K99" s="1" t="s">
        <v>61</v>
      </c>
      <c r="L99" s="1" t="s">
        <v>61</v>
      </c>
      <c r="M99" s="1" t="s">
        <v>62</v>
      </c>
      <c r="N99" s="1">
        <v>-120.0</v>
      </c>
      <c r="O99" s="1">
        <v>0.0756903345780364</v>
      </c>
      <c r="P99" s="1" t="s">
        <v>61</v>
      </c>
      <c r="Q99" s="1" t="s">
        <v>61</v>
      </c>
      <c r="R99" s="1">
        <v>0.0756903345780364</v>
      </c>
      <c r="S99" s="1">
        <v>-120.0</v>
      </c>
      <c r="T99" s="1">
        <f t="shared" si="1"/>
        <v>1.833333333</v>
      </c>
      <c r="U99" s="1">
        <v>0.0</v>
      </c>
      <c r="V99" s="3">
        <v>2.0</v>
      </c>
      <c r="W99" s="3" t="s">
        <v>68</v>
      </c>
      <c r="X99" s="3" t="s">
        <v>128</v>
      </c>
      <c r="Z99" s="3">
        <v>8.0</v>
      </c>
      <c r="AA99" s="3">
        <v>0.0</v>
      </c>
      <c r="AB99" s="3">
        <v>1.0</v>
      </c>
      <c r="AC99" s="3">
        <v>1.6666666666666667</v>
      </c>
      <c r="AD99" s="3">
        <v>1.6666666666666667</v>
      </c>
    </row>
    <row r="100">
      <c r="A100" s="1" t="s">
        <v>9</v>
      </c>
      <c r="B100" s="1" t="s">
        <v>291</v>
      </c>
      <c r="C100" s="1" t="s">
        <v>18</v>
      </c>
      <c r="D100" s="1" t="s">
        <v>165</v>
      </c>
      <c r="E100" s="1" t="s">
        <v>164</v>
      </c>
      <c r="F100" s="1" t="s">
        <v>166</v>
      </c>
      <c r="G100" s="1">
        <v>18.5</v>
      </c>
      <c r="H100" s="1" t="s">
        <v>60</v>
      </c>
      <c r="I100" s="1">
        <v>-120.0</v>
      </c>
      <c r="J100" s="1">
        <v>0.0556956767563415</v>
      </c>
      <c r="K100" s="1" t="s">
        <v>61</v>
      </c>
      <c r="L100" s="1" t="s">
        <v>61</v>
      </c>
      <c r="M100" s="1" t="s">
        <v>62</v>
      </c>
      <c r="N100" s="1">
        <v>-113.0</v>
      </c>
      <c r="O100" s="1">
        <v>-0.131675048082753</v>
      </c>
      <c r="P100" s="1" t="s">
        <v>61</v>
      </c>
      <c r="Q100" s="1" t="s">
        <v>61</v>
      </c>
      <c r="R100" s="1">
        <v>0.0556956767563415</v>
      </c>
      <c r="S100" s="1">
        <v>-120.0</v>
      </c>
      <c r="T100" s="1">
        <f t="shared" si="1"/>
        <v>1.833333333</v>
      </c>
      <c r="U100" s="1">
        <v>1.0</v>
      </c>
      <c r="V100" s="3">
        <v>2.0</v>
      </c>
      <c r="W100" s="3" t="s">
        <v>117</v>
      </c>
      <c r="X100" s="3" t="s">
        <v>292</v>
      </c>
      <c r="Z100" s="3">
        <v>89.0</v>
      </c>
      <c r="AA100" s="3">
        <v>1.0</v>
      </c>
      <c r="AB100" s="3">
        <v>1.0</v>
      </c>
      <c r="AC100" s="3">
        <v>1.6666666666666667</v>
      </c>
      <c r="AD100" s="3">
        <v>1.6666666666666667</v>
      </c>
    </row>
    <row r="101">
      <c r="A101" s="1" t="s">
        <v>8</v>
      </c>
      <c r="B101" s="1" t="s">
        <v>293</v>
      </c>
      <c r="C101" s="1" t="s">
        <v>19</v>
      </c>
      <c r="D101" s="1" t="s">
        <v>67</v>
      </c>
      <c r="E101" s="1" t="s">
        <v>66</v>
      </c>
      <c r="F101" s="1" t="s">
        <v>59</v>
      </c>
      <c r="G101" s="1">
        <v>9.5</v>
      </c>
      <c r="H101" s="1" t="s">
        <v>60</v>
      </c>
      <c r="I101" s="1">
        <v>100.0</v>
      </c>
      <c r="J101" s="1">
        <v>-0.119745901483235</v>
      </c>
      <c r="K101" s="1" t="s">
        <v>61</v>
      </c>
      <c r="L101" s="1" t="s">
        <v>61</v>
      </c>
      <c r="M101" s="1" t="s">
        <v>62</v>
      </c>
      <c r="N101" s="1">
        <v>-130.0</v>
      </c>
      <c r="O101" s="1">
        <v>0.0545344973288742</v>
      </c>
      <c r="P101" s="1" t="s">
        <v>61</v>
      </c>
      <c r="Q101" s="1" t="s">
        <v>61</v>
      </c>
      <c r="R101" s="1">
        <v>0.0545344973288742</v>
      </c>
      <c r="S101" s="1">
        <v>-130.0</v>
      </c>
      <c r="T101" s="1">
        <f t="shared" si="1"/>
        <v>1.769230769</v>
      </c>
      <c r="U101" s="1">
        <v>0.0</v>
      </c>
      <c r="V101" s="3">
        <v>2.0</v>
      </c>
      <c r="W101" s="3" t="s">
        <v>106</v>
      </c>
      <c r="X101" s="3" t="s">
        <v>294</v>
      </c>
      <c r="Z101" s="3">
        <v>3.0</v>
      </c>
      <c r="AA101" s="3">
        <v>0.0</v>
      </c>
      <c r="AB101" s="3">
        <v>1.0</v>
      </c>
      <c r="AC101" s="3">
        <v>1.5384615384615385</v>
      </c>
      <c r="AD101" s="3">
        <v>1.5384615384615385</v>
      </c>
    </row>
    <row r="102">
      <c r="A102" s="1" t="s">
        <v>15</v>
      </c>
      <c r="B102" s="1" t="s">
        <v>56</v>
      </c>
      <c r="C102" s="1" t="s">
        <v>21</v>
      </c>
      <c r="D102" s="1" t="s">
        <v>57</v>
      </c>
      <c r="E102" s="1" t="s">
        <v>58</v>
      </c>
      <c r="F102" s="1" t="s">
        <v>59</v>
      </c>
      <c r="G102" s="1">
        <v>19.5</v>
      </c>
      <c r="H102" s="1" t="s">
        <v>60</v>
      </c>
      <c r="I102" s="1">
        <v>-102.0</v>
      </c>
      <c r="J102" s="1">
        <v>-0.147349860495049</v>
      </c>
      <c r="K102" s="1" t="s">
        <v>61</v>
      </c>
      <c r="L102" s="1" t="s">
        <v>61</v>
      </c>
      <c r="M102" s="1" t="s">
        <v>62</v>
      </c>
      <c r="N102" s="1">
        <v>-131.0</v>
      </c>
      <c r="O102" s="1">
        <v>0.0752997059922078</v>
      </c>
      <c r="P102" s="1" t="s">
        <v>61</v>
      </c>
      <c r="Q102" s="1" t="s">
        <v>61</v>
      </c>
      <c r="R102" s="1">
        <v>0.0752997059922078</v>
      </c>
      <c r="S102" s="1">
        <v>-131.0</v>
      </c>
      <c r="T102" s="1">
        <f t="shared" si="1"/>
        <v>1.763358779</v>
      </c>
      <c r="U102" s="1">
        <v>0.0</v>
      </c>
      <c r="V102" s="3">
        <v>2.0</v>
      </c>
      <c r="W102" s="3" t="s">
        <v>63</v>
      </c>
      <c r="X102" s="3" t="s">
        <v>64</v>
      </c>
      <c r="Z102" s="3">
        <v>13.0</v>
      </c>
      <c r="AA102" s="3">
        <v>0.0</v>
      </c>
      <c r="AB102" s="3">
        <v>1.0</v>
      </c>
      <c r="AC102" s="3">
        <v>1.5267175572519085</v>
      </c>
      <c r="AD102" s="3">
        <v>1.5267175572519085</v>
      </c>
    </row>
    <row r="103">
      <c r="A103" s="1" t="s">
        <v>8</v>
      </c>
      <c r="B103" s="1" t="s">
        <v>280</v>
      </c>
      <c r="C103" s="1" t="s">
        <v>19</v>
      </c>
      <c r="D103" s="1" t="s">
        <v>94</v>
      </c>
      <c r="E103" s="1" t="s">
        <v>93</v>
      </c>
      <c r="F103" s="1" t="s">
        <v>59</v>
      </c>
      <c r="G103" s="1">
        <v>10.5</v>
      </c>
      <c r="H103" s="1" t="s">
        <v>60</v>
      </c>
      <c r="I103" s="1">
        <v>100.0</v>
      </c>
      <c r="J103" s="1">
        <v>-0.142849956968204</v>
      </c>
      <c r="K103" s="1" t="s">
        <v>61</v>
      </c>
      <c r="L103" s="1" t="s">
        <v>61</v>
      </c>
      <c r="M103" s="1" t="s">
        <v>62</v>
      </c>
      <c r="N103" s="1">
        <v>-133.0</v>
      </c>
      <c r="O103" s="1">
        <v>0.0720132555946031</v>
      </c>
      <c r="P103" s="1" t="s">
        <v>61</v>
      </c>
      <c r="Q103" s="1" t="s">
        <v>61</v>
      </c>
      <c r="R103" s="1">
        <v>0.0720132555946031</v>
      </c>
      <c r="S103" s="1">
        <v>-133.0</v>
      </c>
      <c r="T103" s="1">
        <f t="shared" si="1"/>
        <v>1.751879699</v>
      </c>
      <c r="U103" s="1">
        <v>0.0</v>
      </c>
      <c r="V103" s="3">
        <v>2.0</v>
      </c>
      <c r="W103" s="3" t="s">
        <v>153</v>
      </c>
      <c r="X103" s="3" t="s">
        <v>281</v>
      </c>
      <c r="Z103" s="3">
        <v>6.0</v>
      </c>
      <c r="AA103" s="3">
        <v>0.0</v>
      </c>
      <c r="AB103" s="3">
        <v>1.0</v>
      </c>
      <c r="AC103" s="3">
        <v>1.5037593984962405</v>
      </c>
      <c r="AD103" s="3">
        <v>1.5037593984962405</v>
      </c>
    </row>
    <row r="104">
      <c r="A104" s="1" t="s">
        <v>12</v>
      </c>
      <c r="B104" s="1" t="s">
        <v>295</v>
      </c>
      <c r="C104" s="1" t="s">
        <v>18</v>
      </c>
      <c r="D104" s="1" t="s">
        <v>76</v>
      </c>
      <c r="E104" s="1" t="s">
        <v>77</v>
      </c>
      <c r="F104" s="1" t="s">
        <v>78</v>
      </c>
      <c r="G104" s="1">
        <v>3.5</v>
      </c>
      <c r="H104" s="1" t="s">
        <v>60</v>
      </c>
      <c r="I104" s="1">
        <v>-101.0</v>
      </c>
      <c r="J104" s="6">
        <v>-0.140637313432835</v>
      </c>
      <c r="K104" s="1" t="s">
        <v>61</v>
      </c>
      <c r="L104" s="1" t="s">
        <v>61</v>
      </c>
      <c r="M104" s="1" t="s">
        <v>62</v>
      </c>
      <c r="N104" s="1">
        <v>-133.0</v>
      </c>
      <c r="O104" s="6">
        <v>0.0673416309012876</v>
      </c>
      <c r="P104" s="1" t="s">
        <v>61</v>
      </c>
      <c r="Q104" s="1" t="s">
        <v>61</v>
      </c>
      <c r="R104" s="6">
        <v>0.0673416309012876</v>
      </c>
      <c r="S104" s="1">
        <v>-133.0</v>
      </c>
      <c r="T104" s="1">
        <f t="shared" si="1"/>
        <v>1.751879699</v>
      </c>
      <c r="U104" s="1">
        <v>0.0</v>
      </c>
      <c r="V104" s="3">
        <v>2.0</v>
      </c>
      <c r="W104" s="3" t="s">
        <v>258</v>
      </c>
      <c r="X104" s="3" t="s">
        <v>296</v>
      </c>
      <c r="Z104" s="3">
        <v>2.0</v>
      </c>
      <c r="AA104" s="3">
        <v>0.0</v>
      </c>
      <c r="AB104" s="3">
        <v>1.0</v>
      </c>
      <c r="AC104" s="3">
        <v>1.5037593984962405</v>
      </c>
      <c r="AD104" s="3">
        <v>1.5037593984962405</v>
      </c>
    </row>
    <row r="105">
      <c r="A105" s="1" t="s">
        <v>8</v>
      </c>
      <c r="B105" s="1" t="s">
        <v>297</v>
      </c>
      <c r="C105" s="1" t="s">
        <v>21</v>
      </c>
      <c r="D105" s="1" t="s">
        <v>157</v>
      </c>
      <c r="E105" s="1" t="s">
        <v>156</v>
      </c>
      <c r="F105" s="1" t="s">
        <v>158</v>
      </c>
      <c r="G105" s="1">
        <v>2.5</v>
      </c>
      <c r="H105" s="1" t="s">
        <v>60</v>
      </c>
      <c r="I105" s="1">
        <v>101.0</v>
      </c>
      <c r="J105" s="6">
        <v>-0.133053405696769</v>
      </c>
      <c r="K105" s="1" t="s">
        <v>61</v>
      </c>
      <c r="L105" s="1" t="s">
        <v>61</v>
      </c>
      <c r="M105" s="1" t="s">
        <v>62</v>
      </c>
      <c r="N105" s="1">
        <v>-133.0</v>
      </c>
      <c r="O105" s="6">
        <v>0.064731088024975</v>
      </c>
      <c r="P105" s="1" t="s">
        <v>61</v>
      </c>
      <c r="Q105" s="1" t="s">
        <v>61</v>
      </c>
      <c r="R105" s="6">
        <v>0.064731088024975</v>
      </c>
      <c r="S105" s="1">
        <v>-133.0</v>
      </c>
      <c r="T105" s="1">
        <f t="shared" si="1"/>
        <v>1.751879699</v>
      </c>
      <c r="U105" s="1">
        <v>0.0</v>
      </c>
      <c r="V105" s="3">
        <v>2.0</v>
      </c>
      <c r="W105" s="3" t="s">
        <v>68</v>
      </c>
      <c r="X105" s="3" t="s">
        <v>298</v>
      </c>
      <c r="Z105" s="3">
        <v>0.0</v>
      </c>
      <c r="AA105" s="3">
        <v>0.0</v>
      </c>
      <c r="AB105" s="3">
        <v>1.0</v>
      </c>
      <c r="AC105" s="3">
        <v>1.5037593984962405</v>
      </c>
      <c r="AD105" s="3">
        <v>1.5037593984962405</v>
      </c>
    </row>
    <row r="106">
      <c r="A106" s="1" t="s">
        <v>12</v>
      </c>
      <c r="B106" s="1" t="s">
        <v>299</v>
      </c>
      <c r="C106" s="1" t="s">
        <v>18</v>
      </c>
      <c r="D106" s="1" t="s">
        <v>89</v>
      </c>
      <c r="E106" s="1" t="s">
        <v>88</v>
      </c>
      <c r="F106" s="1" t="s">
        <v>90</v>
      </c>
      <c r="G106" s="1">
        <v>3.5</v>
      </c>
      <c r="H106" s="1" t="s">
        <v>60</v>
      </c>
      <c r="I106" s="1">
        <v>102.0</v>
      </c>
      <c r="J106" s="1">
        <v>-0.14819900990099</v>
      </c>
      <c r="K106" s="1" t="s">
        <v>61</v>
      </c>
      <c r="L106" s="1" t="s">
        <v>61</v>
      </c>
      <c r="M106" s="1" t="s">
        <v>62</v>
      </c>
      <c r="N106" s="1">
        <v>-135.0</v>
      </c>
      <c r="O106" s="1">
        <v>0.0786744680851063</v>
      </c>
      <c r="P106" s="1" t="s">
        <v>61</v>
      </c>
      <c r="Q106" s="1" t="s">
        <v>61</v>
      </c>
      <c r="R106" s="1">
        <v>0.0786744680851063</v>
      </c>
      <c r="S106" s="1">
        <v>-135.0</v>
      </c>
      <c r="T106" s="1">
        <f t="shared" si="1"/>
        <v>1.740740741</v>
      </c>
      <c r="U106" s="1">
        <v>0.0</v>
      </c>
      <c r="V106" s="3">
        <v>2.0</v>
      </c>
      <c r="W106" s="3" t="s">
        <v>68</v>
      </c>
      <c r="X106" s="3" t="s">
        <v>300</v>
      </c>
      <c r="Z106" s="3">
        <v>3.0</v>
      </c>
      <c r="AA106" s="3">
        <v>0.0</v>
      </c>
      <c r="AB106" s="3">
        <v>1.0</v>
      </c>
      <c r="AC106" s="3">
        <v>1.4814814814814814</v>
      </c>
      <c r="AD106" s="3">
        <v>1.4814814814814814</v>
      </c>
    </row>
    <row r="107">
      <c r="A107" s="1" t="s">
        <v>8</v>
      </c>
      <c r="B107" s="1" t="s">
        <v>301</v>
      </c>
      <c r="C107" s="1" t="s">
        <v>19</v>
      </c>
      <c r="D107" s="1" t="s">
        <v>100</v>
      </c>
      <c r="E107" s="1" t="s">
        <v>99</v>
      </c>
      <c r="F107" s="1" t="s">
        <v>59</v>
      </c>
      <c r="G107" s="1">
        <v>8.5</v>
      </c>
      <c r="H107" s="1" t="s">
        <v>60</v>
      </c>
      <c r="I107" s="1">
        <v>102.0</v>
      </c>
      <c r="J107" s="1">
        <v>-0.130697301462462</v>
      </c>
      <c r="K107" s="1" t="s">
        <v>61</v>
      </c>
      <c r="L107" s="1" t="s">
        <v>61</v>
      </c>
      <c r="M107" s="1" t="s">
        <v>62</v>
      </c>
      <c r="N107" s="1">
        <v>-135.0</v>
      </c>
      <c r="O107" s="1">
        <v>0.0611725244422755</v>
      </c>
      <c r="P107" s="1" t="s">
        <v>61</v>
      </c>
      <c r="Q107" s="1" t="s">
        <v>61</v>
      </c>
      <c r="R107" s="1">
        <v>0.0611725244422755</v>
      </c>
      <c r="S107" s="1">
        <v>-135.0</v>
      </c>
      <c r="T107" s="1">
        <f t="shared" si="1"/>
        <v>1.740740741</v>
      </c>
      <c r="U107" s="1">
        <v>0.0</v>
      </c>
      <c r="V107" s="3">
        <v>2.0</v>
      </c>
      <c r="W107" s="3" t="s">
        <v>95</v>
      </c>
      <c r="X107" s="3" t="s">
        <v>302</v>
      </c>
      <c r="Z107" s="3">
        <v>4.0</v>
      </c>
      <c r="AA107" s="3">
        <v>0.0</v>
      </c>
      <c r="AB107" s="3">
        <v>1.0</v>
      </c>
      <c r="AC107" s="3">
        <v>1.4814814814814814</v>
      </c>
      <c r="AD107" s="3">
        <v>1.4814814814814814</v>
      </c>
    </row>
    <row r="108">
      <c r="A108" s="1" t="s">
        <v>12</v>
      </c>
      <c r="B108" s="1" t="s">
        <v>303</v>
      </c>
      <c r="C108" s="1" t="s">
        <v>18</v>
      </c>
      <c r="D108" s="1" t="s">
        <v>165</v>
      </c>
      <c r="E108" s="1" t="s">
        <v>164</v>
      </c>
      <c r="F108" s="1" t="s">
        <v>166</v>
      </c>
      <c r="G108" s="1">
        <v>2.5</v>
      </c>
      <c r="H108" s="1" t="s">
        <v>60</v>
      </c>
      <c r="I108" s="1">
        <v>105.0</v>
      </c>
      <c r="J108" s="1">
        <v>-0.115951108009756</v>
      </c>
      <c r="K108" s="1" t="s">
        <v>61</v>
      </c>
      <c r="L108" s="1" t="s">
        <v>61</v>
      </c>
      <c r="M108" s="1" t="s">
        <v>62</v>
      </c>
      <c r="N108" s="1">
        <v>-136.0</v>
      </c>
      <c r="O108" s="1">
        <v>0.0518683168406778</v>
      </c>
      <c r="P108" s="1" t="s">
        <v>61</v>
      </c>
      <c r="Q108" s="1" t="s">
        <v>61</v>
      </c>
      <c r="R108" s="1">
        <v>0.0518683168406778</v>
      </c>
      <c r="S108" s="1">
        <v>-136.0</v>
      </c>
      <c r="T108" s="1">
        <f t="shared" si="1"/>
        <v>1.735294118</v>
      </c>
      <c r="U108" s="1">
        <v>0.0</v>
      </c>
      <c r="V108" s="3">
        <v>2.0</v>
      </c>
      <c r="W108" s="3" t="s">
        <v>234</v>
      </c>
      <c r="X108" s="3" t="s">
        <v>128</v>
      </c>
      <c r="Z108" s="3">
        <v>0.0</v>
      </c>
      <c r="AA108" s="3">
        <v>0.0</v>
      </c>
      <c r="AB108" s="3">
        <v>1.0</v>
      </c>
      <c r="AC108" s="3">
        <v>1.4705882352941178</v>
      </c>
      <c r="AD108" s="3">
        <v>1.4705882352941178</v>
      </c>
    </row>
    <row r="109">
      <c r="A109" s="1" t="s">
        <v>12</v>
      </c>
      <c r="B109" s="1" t="s">
        <v>304</v>
      </c>
      <c r="C109" s="1" t="s">
        <v>19</v>
      </c>
      <c r="D109" s="1" t="s">
        <v>146</v>
      </c>
      <c r="E109" s="1" t="s">
        <v>147</v>
      </c>
      <c r="F109" s="1" t="s">
        <v>59</v>
      </c>
      <c r="G109" s="1">
        <v>2.5</v>
      </c>
      <c r="H109" s="1" t="s">
        <v>60</v>
      </c>
      <c r="I109" s="1">
        <v>107.0</v>
      </c>
      <c r="J109" s="1">
        <v>-0.144341676680676</v>
      </c>
      <c r="K109" s="1" t="s">
        <v>61</v>
      </c>
      <c r="L109" s="1" t="s">
        <v>61</v>
      </c>
      <c r="M109" s="1" t="s">
        <v>62</v>
      </c>
      <c r="N109" s="1">
        <v>-140.0</v>
      </c>
      <c r="O109" s="1">
        <v>0.0779229669083333</v>
      </c>
      <c r="P109" s="1" t="s">
        <v>61</v>
      </c>
      <c r="Q109" s="1" t="s">
        <v>61</v>
      </c>
      <c r="R109" s="1">
        <v>0.0779229669083333</v>
      </c>
      <c r="S109" s="1">
        <v>-140.0</v>
      </c>
      <c r="T109" s="1">
        <f t="shared" si="1"/>
        <v>1.714285714</v>
      </c>
      <c r="U109" s="1">
        <v>0.0</v>
      </c>
      <c r="V109" s="3">
        <v>2.0</v>
      </c>
      <c r="W109" s="3" t="s">
        <v>117</v>
      </c>
      <c r="X109" s="3" t="s">
        <v>261</v>
      </c>
      <c r="Z109" s="3">
        <v>2.0</v>
      </c>
      <c r="AA109" s="3">
        <v>0.0</v>
      </c>
      <c r="AB109" s="3">
        <v>1.0</v>
      </c>
      <c r="AC109" s="3">
        <v>1.4285714285714286</v>
      </c>
      <c r="AD109" s="3">
        <v>1.4285714285714286</v>
      </c>
    </row>
    <row r="110">
      <c r="A110" s="1" t="s">
        <v>8</v>
      </c>
      <c r="B110" s="1" t="s">
        <v>214</v>
      </c>
      <c r="C110" s="1" t="s">
        <v>21</v>
      </c>
      <c r="D110" s="1" t="s">
        <v>110</v>
      </c>
      <c r="E110" s="1" t="s">
        <v>109</v>
      </c>
      <c r="F110" s="1" t="s">
        <v>59</v>
      </c>
      <c r="G110" s="1">
        <v>4.5</v>
      </c>
      <c r="H110" s="1" t="s">
        <v>60</v>
      </c>
      <c r="I110" s="1">
        <v>105.0</v>
      </c>
      <c r="J110" s="1">
        <v>-0.13229287110147</v>
      </c>
      <c r="K110" s="1" t="s">
        <v>61</v>
      </c>
      <c r="L110" s="1" t="s">
        <v>61</v>
      </c>
      <c r="M110" s="1" t="s">
        <v>62</v>
      </c>
      <c r="N110" s="1">
        <v>-140.0</v>
      </c>
      <c r="O110" s="1">
        <v>0.0611391031988967</v>
      </c>
      <c r="P110" s="1" t="s">
        <v>61</v>
      </c>
      <c r="Q110" s="1" t="s">
        <v>61</v>
      </c>
      <c r="R110" s="1">
        <v>0.0611391031988967</v>
      </c>
      <c r="S110" s="1">
        <v>-140.0</v>
      </c>
      <c r="T110" s="1">
        <f t="shared" si="1"/>
        <v>1.714285714</v>
      </c>
      <c r="U110" s="1">
        <v>0.0</v>
      </c>
      <c r="V110" s="3">
        <v>2.0</v>
      </c>
      <c r="W110" s="3" t="s">
        <v>153</v>
      </c>
      <c r="X110" s="3" t="s">
        <v>215</v>
      </c>
      <c r="Z110" s="3">
        <v>0.0</v>
      </c>
      <c r="AA110" s="3">
        <v>0.0</v>
      </c>
      <c r="AB110" s="3">
        <v>1.0</v>
      </c>
      <c r="AC110" s="3">
        <v>1.4285714285714286</v>
      </c>
      <c r="AD110" s="3">
        <v>1.4285714285714286</v>
      </c>
    </row>
    <row r="111">
      <c r="A111" s="1" t="s">
        <v>12</v>
      </c>
      <c r="B111" s="1" t="s">
        <v>305</v>
      </c>
      <c r="C111" s="1" t="s">
        <v>20</v>
      </c>
      <c r="D111" s="1" t="s">
        <v>165</v>
      </c>
      <c r="E111" s="1" t="s">
        <v>164</v>
      </c>
      <c r="F111" s="1" t="s">
        <v>166</v>
      </c>
      <c r="G111" s="1">
        <v>3.5</v>
      </c>
      <c r="H111" s="1" t="s">
        <v>60</v>
      </c>
      <c r="I111" s="1">
        <v>109.0</v>
      </c>
      <c r="J111" s="1">
        <v>-0.146616746411483</v>
      </c>
      <c r="K111" s="1" t="s">
        <v>61</v>
      </c>
      <c r="L111" s="1" t="s">
        <v>61</v>
      </c>
      <c r="M111" s="1" t="s">
        <v>62</v>
      </c>
      <c r="N111" s="1">
        <v>-143.0</v>
      </c>
      <c r="O111" s="1">
        <v>0.0796637860082302</v>
      </c>
      <c r="P111" s="1" t="s">
        <v>61</v>
      </c>
      <c r="Q111" s="1" t="s">
        <v>61</v>
      </c>
      <c r="R111" s="1">
        <v>0.0796637860082302</v>
      </c>
      <c r="S111" s="1">
        <v>-143.0</v>
      </c>
      <c r="T111" s="1">
        <f t="shared" si="1"/>
        <v>1.699300699</v>
      </c>
      <c r="U111" s="1">
        <v>0.0</v>
      </c>
      <c r="V111" s="3">
        <v>2.0</v>
      </c>
      <c r="W111" s="3" t="s">
        <v>95</v>
      </c>
      <c r="X111" s="3" t="s">
        <v>306</v>
      </c>
      <c r="Z111" s="3">
        <v>1.0</v>
      </c>
      <c r="AA111" s="3">
        <v>0.0</v>
      </c>
      <c r="AB111" s="3">
        <v>1.0</v>
      </c>
      <c r="AC111" s="3">
        <v>1.3986013986013985</v>
      </c>
      <c r="AD111" s="3">
        <v>1.3986013986013985</v>
      </c>
    </row>
    <row r="112">
      <c r="A112" s="1" t="s">
        <v>8</v>
      </c>
      <c r="B112" s="1" t="s">
        <v>75</v>
      </c>
      <c r="C112" s="1" t="s">
        <v>21</v>
      </c>
      <c r="D112" s="1" t="s">
        <v>76</v>
      </c>
      <c r="E112" s="1" t="s">
        <v>77</v>
      </c>
      <c r="F112" s="1" t="s">
        <v>78</v>
      </c>
      <c r="G112" s="1">
        <v>4.5</v>
      </c>
      <c r="H112" s="1" t="s">
        <v>60</v>
      </c>
      <c r="I112" s="1">
        <v>108.0</v>
      </c>
      <c r="J112" s="6">
        <v>-0.130564018471276</v>
      </c>
      <c r="K112" s="1" t="s">
        <v>61</v>
      </c>
      <c r="L112" s="1" t="s">
        <v>61</v>
      </c>
      <c r="M112" s="1" t="s">
        <v>62</v>
      </c>
      <c r="N112" s="1">
        <v>-144.0</v>
      </c>
      <c r="O112" s="6">
        <v>0.0596438024154403</v>
      </c>
      <c r="P112" s="1" t="s">
        <v>61</v>
      </c>
      <c r="Q112" s="1" t="s">
        <v>61</v>
      </c>
      <c r="R112" s="6">
        <v>0.0596438024154403</v>
      </c>
      <c r="S112" s="1">
        <v>-144.0</v>
      </c>
      <c r="T112" s="1">
        <f t="shared" si="1"/>
        <v>1.694444444</v>
      </c>
      <c r="U112" s="1">
        <v>0.0</v>
      </c>
      <c r="V112" s="3">
        <v>2.0</v>
      </c>
      <c r="W112" s="3" t="s">
        <v>79</v>
      </c>
      <c r="X112" s="3" t="s">
        <v>80</v>
      </c>
      <c r="Z112" s="3">
        <v>2.0</v>
      </c>
      <c r="AA112" s="3">
        <v>0.0</v>
      </c>
      <c r="AB112" s="3">
        <v>1.0</v>
      </c>
      <c r="AC112" s="3">
        <v>1.3888888888888888</v>
      </c>
      <c r="AD112" s="3">
        <v>1.3888888888888888</v>
      </c>
    </row>
    <row r="113">
      <c r="A113" s="1" t="s">
        <v>12</v>
      </c>
      <c r="B113" s="1" t="s">
        <v>307</v>
      </c>
      <c r="C113" s="1" t="s">
        <v>18</v>
      </c>
      <c r="D113" s="1" t="s">
        <v>113</v>
      </c>
      <c r="E113" s="1" t="s">
        <v>114</v>
      </c>
      <c r="F113" s="1" t="s">
        <v>90</v>
      </c>
      <c r="G113" s="1">
        <v>2.5</v>
      </c>
      <c r="H113" s="1" t="s">
        <v>60</v>
      </c>
      <c r="I113" s="1">
        <v>115.0</v>
      </c>
      <c r="J113" s="1">
        <v>-0.133914569474418</v>
      </c>
      <c r="K113" s="1" t="s">
        <v>61</v>
      </c>
      <c r="L113" s="1" t="s">
        <v>61</v>
      </c>
      <c r="M113" s="1" t="s">
        <v>62</v>
      </c>
      <c r="N113" s="1">
        <v>-148.0</v>
      </c>
      <c r="O113" s="1">
        <v>0.0720238990419354</v>
      </c>
      <c r="P113" s="1" t="s">
        <v>61</v>
      </c>
      <c r="Q113" s="1" t="s">
        <v>61</v>
      </c>
      <c r="R113" s="1">
        <v>0.0720238990419354</v>
      </c>
      <c r="S113" s="1">
        <v>-148.0</v>
      </c>
      <c r="T113" s="1">
        <f t="shared" si="1"/>
        <v>1.675675676</v>
      </c>
      <c r="U113" s="1">
        <v>0.0</v>
      </c>
      <c r="V113" s="3">
        <v>2.0</v>
      </c>
      <c r="W113" s="3" t="s">
        <v>68</v>
      </c>
      <c r="X113" s="3" t="s">
        <v>308</v>
      </c>
      <c r="Z113" s="3">
        <v>1.0</v>
      </c>
      <c r="AA113" s="3">
        <v>0.0</v>
      </c>
      <c r="AB113" s="3">
        <v>1.0</v>
      </c>
      <c r="AC113" s="3">
        <v>1.3513513513513513</v>
      </c>
      <c r="AD113" s="3">
        <v>1.3513513513513513</v>
      </c>
    </row>
    <row r="114">
      <c r="A114" s="1" t="s">
        <v>12</v>
      </c>
      <c r="B114" s="1" t="s">
        <v>309</v>
      </c>
      <c r="C114" s="1" t="s">
        <v>19</v>
      </c>
      <c r="D114" s="1" t="s">
        <v>77</v>
      </c>
      <c r="E114" s="1" t="s">
        <v>76</v>
      </c>
      <c r="F114" s="1" t="s">
        <v>78</v>
      </c>
      <c r="G114" s="1">
        <v>1.5</v>
      </c>
      <c r="H114" s="1" t="s">
        <v>60</v>
      </c>
      <c r="I114" s="1">
        <v>116.0</v>
      </c>
      <c r="J114" s="6">
        <v>-0.129943186717222</v>
      </c>
      <c r="K114" s="1" t="s">
        <v>61</v>
      </c>
      <c r="L114" s="1" t="s">
        <v>61</v>
      </c>
      <c r="M114" s="1" t="s">
        <v>62</v>
      </c>
      <c r="N114" s="1">
        <v>-154.0</v>
      </c>
      <c r="O114" s="6">
        <v>0.0606655634999212</v>
      </c>
      <c r="P114" s="1" t="s">
        <v>61</v>
      </c>
      <c r="Q114" s="1" t="s">
        <v>61</v>
      </c>
      <c r="R114" s="6">
        <v>0.0606655634999212</v>
      </c>
      <c r="S114" s="1">
        <v>-154.0</v>
      </c>
      <c r="T114" s="1">
        <f t="shared" si="1"/>
        <v>1.649350649</v>
      </c>
      <c r="U114" s="1">
        <v>0.0</v>
      </c>
      <c r="V114" s="3">
        <v>2.0</v>
      </c>
      <c r="W114" s="3" t="s">
        <v>101</v>
      </c>
      <c r="X114" s="3" t="s">
        <v>142</v>
      </c>
      <c r="Z114" s="3">
        <v>0.0</v>
      </c>
      <c r="AA114" s="3">
        <v>0.0</v>
      </c>
      <c r="AB114" s="3">
        <v>1.0</v>
      </c>
      <c r="AC114" s="3">
        <v>1.2987012987012987</v>
      </c>
      <c r="AD114" s="3">
        <v>1.2987012987012987</v>
      </c>
    </row>
    <row r="115">
      <c r="A115" s="1" t="s">
        <v>8</v>
      </c>
      <c r="B115" s="1" t="s">
        <v>251</v>
      </c>
      <c r="C115" s="1" t="s">
        <v>21</v>
      </c>
      <c r="D115" s="1" t="s">
        <v>88</v>
      </c>
      <c r="E115" s="1" t="s">
        <v>89</v>
      </c>
      <c r="F115" s="1" t="s">
        <v>90</v>
      </c>
      <c r="G115" s="1">
        <v>3.5</v>
      </c>
      <c r="H115" s="1" t="s">
        <v>60</v>
      </c>
      <c r="I115" s="1">
        <v>120.0</v>
      </c>
      <c r="J115" s="1">
        <v>-0.129248292739276</v>
      </c>
      <c r="K115" s="1" t="s">
        <v>61</v>
      </c>
      <c r="L115" s="1" t="s">
        <v>61</v>
      </c>
      <c r="M115" s="1" t="s">
        <v>62</v>
      </c>
      <c r="N115" s="1">
        <v>-160.0</v>
      </c>
      <c r="O115" s="1">
        <v>0.05933140719303</v>
      </c>
      <c r="P115" s="1" t="s">
        <v>61</v>
      </c>
      <c r="Q115" s="1" t="s">
        <v>61</v>
      </c>
      <c r="R115" s="1">
        <v>0.05933140719303</v>
      </c>
      <c r="S115" s="1">
        <v>-160.0</v>
      </c>
      <c r="T115" s="1">
        <f t="shared" si="1"/>
        <v>1.625</v>
      </c>
      <c r="U115" s="1">
        <v>0.0</v>
      </c>
      <c r="V115" s="3">
        <v>2.0</v>
      </c>
      <c r="W115" s="3" t="s">
        <v>101</v>
      </c>
      <c r="X115" s="3" t="s">
        <v>252</v>
      </c>
      <c r="Z115" s="3">
        <v>1.0</v>
      </c>
      <c r="AA115" s="3">
        <v>0.0</v>
      </c>
      <c r="AB115" s="3">
        <v>1.0</v>
      </c>
      <c r="AC115" s="3">
        <v>1.25</v>
      </c>
      <c r="AD115" s="3">
        <v>1.25</v>
      </c>
    </row>
    <row r="116">
      <c r="A116" s="1" t="s">
        <v>12</v>
      </c>
      <c r="B116" s="1" t="s">
        <v>310</v>
      </c>
      <c r="C116" s="1" t="s">
        <v>18</v>
      </c>
      <c r="D116" s="1" t="s">
        <v>72</v>
      </c>
      <c r="E116" s="1" t="s">
        <v>71</v>
      </c>
      <c r="F116" s="1" t="s">
        <v>59</v>
      </c>
      <c r="G116" s="1">
        <v>5.5</v>
      </c>
      <c r="H116" s="1" t="s">
        <v>60</v>
      </c>
      <c r="I116" s="1">
        <v>119.0</v>
      </c>
      <c r="J116" s="1">
        <v>0.00802465753424652</v>
      </c>
      <c r="K116" s="1" t="s">
        <v>61</v>
      </c>
      <c r="L116" s="1" t="s">
        <v>61</v>
      </c>
      <c r="M116" s="1" t="s">
        <v>62</v>
      </c>
      <c r="N116" s="1">
        <v>-160.0</v>
      </c>
      <c r="O116" s="1">
        <v>-0.0800230769230769</v>
      </c>
      <c r="P116" s="1" t="s">
        <v>61</v>
      </c>
      <c r="Q116" s="1" t="s">
        <v>61</v>
      </c>
      <c r="R116" s="1">
        <v>0.00802465753424652</v>
      </c>
      <c r="S116" s="1">
        <v>119.0</v>
      </c>
      <c r="T116" s="1">
        <f t="shared" si="1"/>
        <v>2.19</v>
      </c>
      <c r="U116" s="1">
        <v>1.0</v>
      </c>
      <c r="V116" s="3">
        <v>1.0</v>
      </c>
      <c r="W116" s="3" t="s">
        <v>148</v>
      </c>
      <c r="X116" s="3" t="s">
        <v>311</v>
      </c>
      <c r="Z116" s="3">
        <v>6.0</v>
      </c>
      <c r="AA116" s="3">
        <v>1.0</v>
      </c>
      <c r="AB116" s="3">
        <v>1.0</v>
      </c>
      <c r="AC116" s="3">
        <v>1.19</v>
      </c>
      <c r="AD116" s="3">
        <v>1.19</v>
      </c>
    </row>
    <row r="117">
      <c r="A117" s="1" t="s">
        <v>12</v>
      </c>
      <c r="B117" s="1" t="s">
        <v>312</v>
      </c>
      <c r="C117" s="1" t="s">
        <v>20</v>
      </c>
      <c r="D117" s="1" t="s">
        <v>83</v>
      </c>
      <c r="E117" s="1" t="s">
        <v>82</v>
      </c>
      <c r="F117" s="1" t="s">
        <v>84</v>
      </c>
      <c r="G117" s="1">
        <v>2.5</v>
      </c>
      <c r="H117" s="1" t="s">
        <v>60</v>
      </c>
      <c r="I117" s="1">
        <v>130.0</v>
      </c>
      <c r="J117" s="1">
        <v>-0.119718991104347</v>
      </c>
      <c r="K117" s="1" t="s">
        <v>61</v>
      </c>
      <c r="L117" s="1" t="s">
        <v>61</v>
      </c>
      <c r="M117" s="1" t="s">
        <v>62</v>
      </c>
      <c r="N117" s="1">
        <v>-173.0</v>
      </c>
      <c r="O117" s="1">
        <v>0.0512290407450549</v>
      </c>
      <c r="P117" s="1" t="s">
        <v>61</v>
      </c>
      <c r="Q117" s="1" t="s">
        <v>61</v>
      </c>
      <c r="R117" s="1">
        <v>0.0512290407450549</v>
      </c>
      <c r="S117" s="1">
        <v>-173.0</v>
      </c>
      <c r="T117" s="1">
        <f t="shared" si="1"/>
        <v>1.578034682</v>
      </c>
      <c r="U117" s="1">
        <v>0.0</v>
      </c>
      <c r="V117" s="3">
        <v>2.0</v>
      </c>
      <c r="W117" s="3" t="s">
        <v>161</v>
      </c>
      <c r="X117" s="3" t="s">
        <v>313</v>
      </c>
      <c r="Z117" s="3">
        <v>2.0</v>
      </c>
      <c r="AA117" s="3">
        <v>0.0</v>
      </c>
      <c r="AB117" s="3">
        <v>1.0</v>
      </c>
      <c r="AC117" s="3">
        <v>1.1560693641618498</v>
      </c>
      <c r="AD117" s="3">
        <v>1.1560693641618498</v>
      </c>
    </row>
    <row r="118">
      <c r="A118" s="1" t="s">
        <v>12</v>
      </c>
      <c r="B118" s="1" t="s">
        <v>314</v>
      </c>
      <c r="C118" s="1" t="s">
        <v>18</v>
      </c>
      <c r="D118" s="1" t="s">
        <v>113</v>
      </c>
      <c r="E118" s="1" t="s">
        <v>114</v>
      </c>
      <c r="F118" s="1" t="s">
        <v>90</v>
      </c>
      <c r="G118" s="1">
        <v>5.5</v>
      </c>
      <c r="H118" s="1" t="s">
        <v>60</v>
      </c>
      <c r="I118" s="1">
        <v>110.0</v>
      </c>
      <c r="J118" s="1">
        <v>0.00376190476190485</v>
      </c>
      <c r="K118" s="1" t="s">
        <v>61</v>
      </c>
      <c r="L118" s="1" t="s">
        <v>61</v>
      </c>
      <c r="M118" s="1" t="s">
        <v>62</v>
      </c>
      <c r="N118" s="1">
        <v>-148.0</v>
      </c>
      <c r="O118" s="1">
        <v>-0.0767338709677419</v>
      </c>
      <c r="P118" s="1" t="s">
        <v>61</v>
      </c>
      <c r="Q118" s="1" t="s">
        <v>61</v>
      </c>
      <c r="R118" s="1">
        <v>0.00376190476190485</v>
      </c>
      <c r="S118" s="1">
        <v>110.0</v>
      </c>
      <c r="T118" s="1">
        <f t="shared" si="1"/>
        <v>2.1</v>
      </c>
      <c r="U118" s="1">
        <v>1.0</v>
      </c>
      <c r="V118" s="3">
        <v>1.0</v>
      </c>
      <c r="W118" s="3" t="s">
        <v>106</v>
      </c>
      <c r="X118" s="3" t="s">
        <v>315</v>
      </c>
      <c r="Z118" s="3">
        <v>8.0</v>
      </c>
      <c r="AA118" s="3">
        <v>1.0</v>
      </c>
      <c r="AB118" s="3">
        <v>1.0</v>
      </c>
      <c r="AC118" s="3">
        <v>1.1</v>
      </c>
      <c r="AD118" s="3">
        <v>1.1</v>
      </c>
    </row>
    <row r="119">
      <c r="A119" s="1" t="s">
        <v>14</v>
      </c>
      <c r="B119" s="1" t="s">
        <v>316</v>
      </c>
      <c r="C119" s="1" t="s">
        <v>21</v>
      </c>
      <c r="D119" s="1" t="s">
        <v>94</v>
      </c>
      <c r="E119" s="1" t="s">
        <v>93</v>
      </c>
      <c r="F119" s="1" t="s">
        <v>59</v>
      </c>
      <c r="G119" s="1">
        <v>1.5</v>
      </c>
      <c r="H119" s="1" t="s">
        <v>60</v>
      </c>
      <c r="I119" s="1">
        <v>-145.0</v>
      </c>
      <c r="J119" s="1">
        <v>-0.0976367346938775</v>
      </c>
      <c r="K119" s="1" t="s">
        <v>61</v>
      </c>
      <c r="L119" s="1" t="s">
        <v>61</v>
      </c>
      <c r="M119" s="1" t="s">
        <v>62</v>
      </c>
      <c r="N119" s="1">
        <v>109.0</v>
      </c>
      <c r="O119" s="1">
        <v>0.0273311004784688</v>
      </c>
      <c r="P119" s="1" t="s">
        <v>61</v>
      </c>
      <c r="Q119" s="1" t="s">
        <v>61</v>
      </c>
      <c r="R119" s="1">
        <v>0.0273311004784688</v>
      </c>
      <c r="S119" s="1">
        <v>109.0</v>
      </c>
      <c r="T119" s="1">
        <f t="shared" si="1"/>
        <v>2.09</v>
      </c>
      <c r="U119" s="1">
        <v>0.0</v>
      </c>
      <c r="V119" s="3">
        <v>1.0</v>
      </c>
      <c r="W119" s="3" t="s">
        <v>95</v>
      </c>
      <c r="X119" s="3" t="s">
        <v>317</v>
      </c>
      <c r="Z119" s="3">
        <v>1.0</v>
      </c>
      <c r="AA119" s="3">
        <v>0.0</v>
      </c>
      <c r="AB119" s="3">
        <v>1.0</v>
      </c>
      <c r="AC119" s="3">
        <v>1.09</v>
      </c>
      <c r="AD119" s="3">
        <v>1.09</v>
      </c>
    </row>
    <row r="120">
      <c r="A120" s="1" t="s">
        <v>14</v>
      </c>
      <c r="B120" s="1" t="s">
        <v>318</v>
      </c>
      <c r="C120" s="1" t="s">
        <v>21</v>
      </c>
      <c r="D120" s="1" t="s">
        <v>67</v>
      </c>
      <c r="E120" s="1" t="s">
        <v>66</v>
      </c>
      <c r="F120" s="1" t="s">
        <v>59</v>
      </c>
      <c r="G120" s="1">
        <v>1.5</v>
      </c>
      <c r="H120" s="1" t="s">
        <v>60</v>
      </c>
      <c r="I120" s="1">
        <v>-145.0</v>
      </c>
      <c r="J120" s="1">
        <v>-0.0882775510204081</v>
      </c>
      <c r="K120" s="1" t="s">
        <v>61</v>
      </c>
      <c r="L120" s="1" t="s">
        <v>61</v>
      </c>
      <c r="M120" s="1" t="s">
        <v>62</v>
      </c>
      <c r="N120" s="1">
        <v>108.0</v>
      </c>
      <c r="O120" s="1">
        <v>0.0156788461538461</v>
      </c>
      <c r="P120" s="1" t="s">
        <v>61</v>
      </c>
      <c r="Q120" s="1" t="s">
        <v>61</v>
      </c>
      <c r="R120" s="1">
        <v>0.0156788461538461</v>
      </c>
      <c r="S120" s="1">
        <v>108.0</v>
      </c>
      <c r="T120" s="1">
        <f t="shared" si="1"/>
        <v>2.08</v>
      </c>
      <c r="U120" s="1">
        <v>0.0</v>
      </c>
      <c r="V120" s="3">
        <v>1.0</v>
      </c>
      <c r="W120" s="3" t="s">
        <v>68</v>
      </c>
      <c r="X120" s="3" t="s">
        <v>319</v>
      </c>
      <c r="Z120" s="3">
        <v>0.0</v>
      </c>
      <c r="AA120" s="3">
        <v>0.0</v>
      </c>
      <c r="AB120" s="3">
        <v>1.0</v>
      </c>
      <c r="AC120" s="3">
        <v>1.08</v>
      </c>
      <c r="AD120" s="3">
        <v>1.08</v>
      </c>
    </row>
    <row r="121">
      <c r="A121" s="1" t="s">
        <v>12</v>
      </c>
      <c r="B121" s="1" t="s">
        <v>266</v>
      </c>
      <c r="C121" s="1" t="s">
        <v>19</v>
      </c>
      <c r="D121" s="1" t="s">
        <v>57</v>
      </c>
      <c r="E121" s="1" t="s">
        <v>58</v>
      </c>
      <c r="F121" s="1" t="s">
        <v>59</v>
      </c>
      <c r="G121" s="1">
        <v>2.5</v>
      </c>
      <c r="H121" s="1" t="s">
        <v>60</v>
      </c>
      <c r="I121" s="1">
        <v>138.0</v>
      </c>
      <c r="J121" s="1">
        <v>-0.131820798766386</v>
      </c>
      <c r="K121" s="1" t="s">
        <v>61</v>
      </c>
      <c r="L121" s="1" t="s">
        <v>61</v>
      </c>
      <c r="M121" s="1" t="s">
        <v>62</v>
      </c>
      <c r="N121" s="1">
        <v>-186.0</v>
      </c>
      <c r="O121" s="1">
        <v>0.0613094942685314</v>
      </c>
      <c r="P121" s="1" t="s">
        <v>61</v>
      </c>
      <c r="Q121" s="1" t="s">
        <v>61</v>
      </c>
      <c r="R121" s="1">
        <v>0.0613094942685314</v>
      </c>
      <c r="S121" s="1">
        <v>-186.0</v>
      </c>
      <c r="T121" s="1">
        <f t="shared" si="1"/>
        <v>1.537634409</v>
      </c>
      <c r="U121" s="1">
        <v>0.0</v>
      </c>
      <c r="V121" s="3">
        <v>2.0</v>
      </c>
      <c r="W121" s="3" t="s">
        <v>106</v>
      </c>
      <c r="X121" s="3" t="s">
        <v>267</v>
      </c>
      <c r="Z121" s="3">
        <v>0.0</v>
      </c>
      <c r="AA121" s="3">
        <v>0.0</v>
      </c>
      <c r="AB121" s="3">
        <v>1.0</v>
      </c>
      <c r="AC121" s="3">
        <v>1.075268817204301</v>
      </c>
      <c r="AD121" s="3">
        <v>1.075268817204301</v>
      </c>
    </row>
    <row r="122">
      <c r="A122" s="1" t="s">
        <v>17</v>
      </c>
      <c r="B122" s="1" t="s">
        <v>320</v>
      </c>
      <c r="C122" s="1" t="s">
        <v>21</v>
      </c>
      <c r="D122" s="1" t="s">
        <v>114</v>
      </c>
      <c r="E122" s="1" t="s">
        <v>113</v>
      </c>
      <c r="F122" s="1" t="s">
        <v>90</v>
      </c>
      <c r="G122" s="1">
        <v>0.5</v>
      </c>
      <c r="H122" s="1" t="s">
        <v>60</v>
      </c>
      <c r="I122" s="1">
        <v>-143.0</v>
      </c>
      <c r="J122" s="1">
        <v>-0.120277366255144</v>
      </c>
      <c r="K122" s="1" t="s">
        <v>61</v>
      </c>
      <c r="L122" s="1" t="s">
        <v>61</v>
      </c>
      <c r="M122" s="1" t="s">
        <v>62</v>
      </c>
      <c r="N122" s="1">
        <v>104.0</v>
      </c>
      <c r="O122" s="1">
        <v>0.0416039215686275</v>
      </c>
      <c r="P122" s="1" t="s">
        <v>61</v>
      </c>
      <c r="Q122" s="1" t="s">
        <v>61</v>
      </c>
      <c r="R122" s="1">
        <v>0.0416039215686275</v>
      </c>
      <c r="S122" s="1">
        <v>104.0</v>
      </c>
      <c r="T122" s="1">
        <f t="shared" si="1"/>
        <v>2.04</v>
      </c>
      <c r="U122" s="1">
        <v>0.0</v>
      </c>
      <c r="V122" s="3">
        <v>1.0</v>
      </c>
      <c r="W122" s="3" t="s">
        <v>68</v>
      </c>
      <c r="X122" s="3" t="s">
        <v>321</v>
      </c>
      <c r="Z122" s="3">
        <v>0.0</v>
      </c>
      <c r="AA122" s="3">
        <v>0.0</v>
      </c>
      <c r="AB122" s="3">
        <v>1.0</v>
      </c>
      <c r="AC122" s="3">
        <v>1.04</v>
      </c>
      <c r="AD122" s="3">
        <v>1.04</v>
      </c>
    </row>
    <row r="123">
      <c r="A123" s="1" t="s">
        <v>9</v>
      </c>
      <c r="B123" s="1" t="s">
        <v>322</v>
      </c>
      <c r="C123" s="1" t="s">
        <v>18</v>
      </c>
      <c r="D123" s="1" t="s">
        <v>134</v>
      </c>
      <c r="E123" s="1" t="s">
        <v>135</v>
      </c>
      <c r="F123" s="1" t="s">
        <v>84</v>
      </c>
      <c r="G123" s="1">
        <v>70.0</v>
      </c>
      <c r="H123" s="1" t="s">
        <v>60</v>
      </c>
      <c r="I123" s="1">
        <v>-140.0</v>
      </c>
      <c r="J123" s="1">
        <v>-0.116929902255123</v>
      </c>
      <c r="K123" s="1" t="s">
        <v>61</v>
      </c>
      <c r="L123" s="1" t="s">
        <v>61</v>
      </c>
      <c r="M123" s="1" t="s">
        <v>62</v>
      </c>
      <c r="N123" s="1">
        <v>103.0</v>
      </c>
      <c r="O123" s="1">
        <v>0.0418782095627082</v>
      </c>
      <c r="P123" s="1" t="s">
        <v>61</v>
      </c>
      <c r="Q123" s="1" t="s">
        <v>61</v>
      </c>
      <c r="R123" s="1">
        <v>0.0418782095627082</v>
      </c>
      <c r="S123" s="1">
        <v>103.0</v>
      </c>
      <c r="T123" s="1">
        <f t="shared" si="1"/>
        <v>2.03</v>
      </c>
      <c r="U123" s="1">
        <v>0.0</v>
      </c>
      <c r="V123" s="3">
        <v>1.0</v>
      </c>
      <c r="W123" s="3" t="s">
        <v>101</v>
      </c>
      <c r="X123" s="3" t="s">
        <v>323</v>
      </c>
      <c r="Z123" s="3">
        <v>59.0</v>
      </c>
      <c r="AA123" s="3">
        <v>0.0</v>
      </c>
      <c r="AB123" s="3">
        <v>1.0</v>
      </c>
      <c r="AC123" s="3">
        <v>1.03</v>
      </c>
      <c r="AD123" s="3">
        <v>1.03</v>
      </c>
    </row>
    <row r="124">
      <c r="A124" s="1" t="s">
        <v>8</v>
      </c>
      <c r="B124" s="1" t="s">
        <v>324</v>
      </c>
      <c r="C124" s="1" t="s">
        <v>19</v>
      </c>
      <c r="D124" s="1" t="s">
        <v>89</v>
      </c>
      <c r="E124" s="1" t="s">
        <v>88</v>
      </c>
      <c r="F124" s="1" t="s">
        <v>90</v>
      </c>
      <c r="G124" s="1">
        <v>12.5</v>
      </c>
      <c r="H124" s="1" t="s">
        <v>60</v>
      </c>
      <c r="I124" s="1">
        <v>-133.0</v>
      </c>
      <c r="J124" s="1">
        <v>-0.0767707424695278</v>
      </c>
      <c r="K124" s="1" t="s">
        <v>61</v>
      </c>
      <c r="L124" s="1" t="s">
        <v>61</v>
      </c>
      <c r="M124" s="1" t="s">
        <v>62</v>
      </c>
      <c r="N124" s="1">
        <v>102.0</v>
      </c>
      <c r="O124" s="1">
        <v>0.0108989257198019</v>
      </c>
      <c r="P124" s="1" t="s">
        <v>61</v>
      </c>
      <c r="Q124" s="1" t="s">
        <v>61</v>
      </c>
      <c r="R124" s="1">
        <v>0.0108989257198019</v>
      </c>
      <c r="S124" s="1">
        <v>102.0</v>
      </c>
      <c r="T124" s="1">
        <f t="shared" si="1"/>
        <v>2.02</v>
      </c>
      <c r="U124" s="1">
        <v>0.0</v>
      </c>
      <c r="V124" s="3">
        <v>1.0</v>
      </c>
      <c r="W124" s="3" t="s">
        <v>68</v>
      </c>
      <c r="X124" s="3" t="s">
        <v>325</v>
      </c>
      <c r="Z124" s="3">
        <v>12.0</v>
      </c>
      <c r="AA124" s="3">
        <v>0.0</v>
      </c>
      <c r="AB124" s="3">
        <v>1.0</v>
      </c>
      <c r="AC124" s="3">
        <v>1.02</v>
      </c>
      <c r="AD124" s="3">
        <v>1.02</v>
      </c>
    </row>
    <row r="125">
      <c r="A125" s="1" t="s">
        <v>12</v>
      </c>
      <c r="B125" s="1" t="s">
        <v>326</v>
      </c>
      <c r="C125" s="1" t="s">
        <v>20</v>
      </c>
      <c r="D125" s="1" t="s">
        <v>76</v>
      </c>
      <c r="E125" s="1" t="s">
        <v>77</v>
      </c>
      <c r="F125" s="1" t="s">
        <v>78</v>
      </c>
      <c r="G125" s="1">
        <v>5.5</v>
      </c>
      <c r="H125" s="1" t="s">
        <v>60</v>
      </c>
      <c r="I125" s="1">
        <v>-136.0</v>
      </c>
      <c r="J125" s="6">
        <v>-0.0868711864406779</v>
      </c>
      <c r="K125" s="1" t="s">
        <v>61</v>
      </c>
      <c r="L125" s="1" t="s">
        <v>61</v>
      </c>
      <c r="M125" s="1" t="s">
        <v>62</v>
      </c>
      <c r="N125" s="1">
        <v>101.0</v>
      </c>
      <c r="O125" s="6">
        <v>0.0130875621890547</v>
      </c>
      <c r="P125" s="1" t="s">
        <v>61</v>
      </c>
      <c r="Q125" s="1" t="s">
        <v>61</v>
      </c>
      <c r="R125" s="6">
        <v>0.0130875621890547</v>
      </c>
      <c r="S125" s="1">
        <v>101.0</v>
      </c>
      <c r="T125" s="1">
        <f t="shared" si="1"/>
        <v>2.01</v>
      </c>
      <c r="U125" s="1">
        <v>0.0</v>
      </c>
      <c r="V125" s="3">
        <v>1.0</v>
      </c>
      <c r="W125" s="3" t="s">
        <v>95</v>
      </c>
      <c r="X125" s="3" t="s">
        <v>327</v>
      </c>
      <c r="Z125" s="3">
        <v>3.0</v>
      </c>
      <c r="AA125" s="3">
        <v>0.0</v>
      </c>
      <c r="AB125" s="3">
        <v>1.0</v>
      </c>
      <c r="AC125" s="3">
        <v>1.01</v>
      </c>
      <c r="AD125" s="3">
        <v>1.01</v>
      </c>
    </row>
    <row r="126">
      <c r="A126" s="1" t="s">
        <v>11</v>
      </c>
      <c r="B126" s="1" t="s">
        <v>322</v>
      </c>
      <c r="C126" s="1" t="s">
        <v>18</v>
      </c>
      <c r="D126" s="1" t="s">
        <v>134</v>
      </c>
      <c r="E126" s="1" t="s">
        <v>135</v>
      </c>
      <c r="F126" s="1" t="s">
        <v>84</v>
      </c>
      <c r="G126" s="1">
        <v>70.5</v>
      </c>
      <c r="H126" s="1" t="s">
        <v>60</v>
      </c>
      <c r="I126" s="1">
        <v>-133.0</v>
      </c>
      <c r="J126" s="1">
        <v>-0.0875280980699703</v>
      </c>
      <c r="K126" s="1" t="s">
        <v>61</v>
      </c>
      <c r="L126" s="1" t="s">
        <v>61</v>
      </c>
      <c r="M126" s="1" t="s">
        <v>62</v>
      </c>
      <c r="N126" s="1">
        <v>100.0</v>
      </c>
      <c r="O126" s="1">
        <v>0.0167474610458405</v>
      </c>
      <c r="P126" s="1" t="s">
        <v>61</v>
      </c>
      <c r="Q126" s="1" t="s">
        <v>61</v>
      </c>
      <c r="R126" s="1">
        <v>0.0167474610458405</v>
      </c>
      <c r="S126" s="1">
        <v>100.0</v>
      </c>
      <c r="T126" s="1">
        <f t="shared" si="1"/>
        <v>2</v>
      </c>
      <c r="U126" s="1">
        <v>0.0</v>
      </c>
      <c r="V126" s="3">
        <v>1.0</v>
      </c>
      <c r="W126" s="3" t="s">
        <v>101</v>
      </c>
      <c r="X126" s="3" t="s">
        <v>323</v>
      </c>
      <c r="Z126" s="3">
        <v>59.0</v>
      </c>
      <c r="AA126" s="3">
        <v>0.0</v>
      </c>
      <c r="AB126" s="3">
        <v>1.0</v>
      </c>
      <c r="AC126" s="3">
        <v>1.0</v>
      </c>
      <c r="AD126" s="3">
        <v>1.0</v>
      </c>
    </row>
    <row r="127">
      <c r="A127" s="1" t="s">
        <v>15</v>
      </c>
      <c r="B127" s="1" t="s">
        <v>328</v>
      </c>
      <c r="C127" s="1" t="s">
        <v>21</v>
      </c>
      <c r="D127" s="1" t="s">
        <v>109</v>
      </c>
      <c r="E127" s="1" t="s">
        <v>110</v>
      </c>
      <c r="F127" s="1" t="s">
        <v>59</v>
      </c>
      <c r="G127" s="1">
        <v>21.5</v>
      </c>
      <c r="H127" s="1" t="s">
        <v>60</v>
      </c>
      <c r="I127" s="1">
        <v>-132.0</v>
      </c>
      <c r="J127" s="1">
        <v>-0.0900362068965517</v>
      </c>
      <c r="K127" s="1" t="s">
        <v>61</v>
      </c>
      <c r="L127" s="1" t="s">
        <v>61</v>
      </c>
      <c r="M127" s="1" t="s">
        <v>62</v>
      </c>
      <c r="N127" s="1">
        <v>-102.0</v>
      </c>
      <c r="O127" s="1">
        <v>0.0160980198019802</v>
      </c>
      <c r="P127" s="1" t="s">
        <v>61</v>
      </c>
      <c r="Q127" s="1" t="s">
        <v>61</v>
      </c>
      <c r="R127" s="1">
        <v>0.0160980198019802</v>
      </c>
      <c r="S127" s="1">
        <v>-102.0</v>
      </c>
      <c r="T127" s="1">
        <f t="shared" si="1"/>
        <v>1.980392157</v>
      </c>
      <c r="U127" s="1">
        <v>0.0</v>
      </c>
      <c r="V127" s="3">
        <v>1.0</v>
      </c>
      <c r="W127" s="3" t="s">
        <v>73</v>
      </c>
      <c r="X127" s="3" t="s">
        <v>329</v>
      </c>
      <c r="Z127" s="3">
        <v>16.0</v>
      </c>
      <c r="AA127" s="3">
        <v>0.0</v>
      </c>
      <c r="AB127" s="3">
        <v>1.0</v>
      </c>
      <c r="AC127" s="3">
        <v>0.9803921568627451</v>
      </c>
      <c r="AD127" s="3">
        <v>0.9803921568627451</v>
      </c>
    </row>
    <row r="128">
      <c r="A128" s="1" t="s">
        <v>16</v>
      </c>
      <c r="B128" s="1" t="s">
        <v>328</v>
      </c>
      <c r="C128" s="1" t="s">
        <v>21</v>
      </c>
      <c r="D128" s="1" t="s">
        <v>109</v>
      </c>
      <c r="E128" s="1" t="s">
        <v>110</v>
      </c>
      <c r="F128" s="1" t="s">
        <v>59</v>
      </c>
      <c r="G128" s="1">
        <v>33.5</v>
      </c>
      <c r="H128" s="1" t="s">
        <v>60</v>
      </c>
      <c r="I128" s="1">
        <v>-125.0</v>
      </c>
      <c r="J128" s="1">
        <v>-0.0838132457777777</v>
      </c>
      <c r="K128" s="1" t="s">
        <v>61</v>
      </c>
      <c r="L128" s="1" t="s">
        <v>61</v>
      </c>
      <c r="M128" s="1" t="s">
        <v>62</v>
      </c>
      <c r="N128" s="1">
        <v>-105.0</v>
      </c>
      <c r="O128" s="1">
        <v>0.0160555328780487</v>
      </c>
      <c r="P128" s="1" t="s">
        <v>61</v>
      </c>
      <c r="Q128" s="1" t="s">
        <v>61</v>
      </c>
      <c r="R128" s="1">
        <v>0.0160555328780487</v>
      </c>
      <c r="S128" s="1">
        <v>-105.0</v>
      </c>
      <c r="T128" s="1">
        <f t="shared" si="1"/>
        <v>1.952380952</v>
      </c>
      <c r="U128" s="1">
        <v>0.0</v>
      </c>
      <c r="V128" s="3">
        <v>1.0</v>
      </c>
      <c r="W128" s="3" t="s">
        <v>73</v>
      </c>
      <c r="X128" s="3" t="s">
        <v>329</v>
      </c>
      <c r="Z128" s="3">
        <v>26.0</v>
      </c>
      <c r="AA128" s="3">
        <v>0.0</v>
      </c>
      <c r="AB128" s="3">
        <v>1.0</v>
      </c>
      <c r="AC128" s="3">
        <v>0.9523809523809523</v>
      </c>
      <c r="AD128" s="3">
        <v>0.9523809523809523</v>
      </c>
    </row>
    <row r="129">
      <c r="A129" s="1" t="s">
        <v>15</v>
      </c>
      <c r="B129" s="1" t="s">
        <v>330</v>
      </c>
      <c r="C129" s="1" t="s">
        <v>21</v>
      </c>
      <c r="D129" s="1" t="s">
        <v>165</v>
      </c>
      <c r="E129" s="1" t="s">
        <v>164</v>
      </c>
      <c r="F129" s="1" t="s">
        <v>166</v>
      </c>
      <c r="G129" s="1">
        <v>21.5</v>
      </c>
      <c r="H129" s="1" t="s">
        <v>60</v>
      </c>
      <c r="I129" s="1">
        <v>-127.0</v>
      </c>
      <c r="J129" s="1">
        <v>-0.0999035242290748</v>
      </c>
      <c r="K129" s="1" t="s">
        <v>61</v>
      </c>
      <c r="L129" s="1" t="s">
        <v>61</v>
      </c>
      <c r="M129" s="1" t="s">
        <v>62</v>
      </c>
      <c r="N129" s="1">
        <v>-105.0</v>
      </c>
      <c r="O129" s="1">
        <v>0.0282585365853659</v>
      </c>
      <c r="P129" s="1" t="s">
        <v>61</v>
      </c>
      <c r="Q129" s="1" t="s">
        <v>61</v>
      </c>
      <c r="R129" s="1">
        <v>0.0282585365853659</v>
      </c>
      <c r="S129" s="1">
        <v>-105.0</v>
      </c>
      <c r="T129" s="1">
        <f t="shared" si="1"/>
        <v>1.952380952</v>
      </c>
      <c r="U129" s="1">
        <v>0.0</v>
      </c>
      <c r="V129" s="3">
        <v>1.0</v>
      </c>
      <c r="W129" s="3" t="s">
        <v>117</v>
      </c>
      <c r="X129" s="3" t="s">
        <v>331</v>
      </c>
      <c r="Z129" s="3">
        <v>13.0</v>
      </c>
      <c r="AA129" s="3">
        <v>0.0</v>
      </c>
      <c r="AB129" s="3">
        <v>1.0</v>
      </c>
      <c r="AC129" s="3">
        <v>0.9523809523809523</v>
      </c>
      <c r="AD129" s="3">
        <v>0.9523809523809523</v>
      </c>
    </row>
    <row r="130">
      <c r="A130" s="1" t="s">
        <v>11</v>
      </c>
      <c r="B130" s="1" t="s">
        <v>332</v>
      </c>
      <c r="C130" s="1" t="s">
        <v>20</v>
      </c>
      <c r="D130" s="1" t="s">
        <v>164</v>
      </c>
      <c r="E130" s="1" t="s">
        <v>165</v>
      </c>
      <c r="F130" s="1" t="s">
        <v>166</v>
      </c>
      <c r="G130" s="1">
        <v>45.0</v>
      </c>
      <c r="H130" s="1" t="s">
        <v>60</v>
      </c>
      <c r="I130" s="1">
        <v>-129.0</v>
      </c>
      <c r="J130" s="1">
        <v>-0.113508499386244</v>
      </c>
      <c r="K130" s="1" t="s">
        <v>61</v>
      </c>
      <c r="L130" s="1" t="s">
        <v>61</v>
      </c>
      <c r="M130" s="1" t="s">
        <v>62</v>
      </c>
      <c r="N130" s="1">
        <v>-106.0</v>
      </c>
      <c r="O130" s="1">
        <v>0.0363191910220972</v>
      </c>
      <c r="P130" s="1" t="s">
        <v>61</v>
      </c>
      <c r="Q130" s="1" t="s">
        <v>61</v>
      </c>
      <c r="R130" s="1">
        <v>0.0363191910220972</v>
      </c>
      <c r="S130" s="1">
        <v>-106.0</v>
      </c>
      <c r="T130" s="1">
        <f t="shared" si="1"/>
        <v>1.943396226</v>
      </c>
      <c r="U130" s="1">
        <v>0.0</v>
      </c>
      <c r="V130" s="3">
        <v>1.0</v>
      </c>
      <c r="W130" s="3" t="s">
        <v>161</v>
      </c>
      <c r="X130" s="3" t="s">
        <v>333</v>
      </c>
      <c r="Z130" s="3">
        <v>40.0</v>
      </c>
      <c r="AA130" s="3">
        <v>0.0</v>
      </c>
      <c r="AB130" s="3">
        <v>1.0</v>
      </c>
      <c r="AC130" s="3">
        <v>0.9433962264150944</v>
      </c>
      <c r="AD130" s="3">
        <v>0.9433962264150944</v>
      </c>
    </row>
    <row r="131">
      <c r="A131" s="1" t="s">
        <v>17</v>
      </c>
      <c r="B131" s="1" t="s">
        <v>274</v>
      </c>
      <c r="C131" s="1" t="s">
        <v>21</v>
      </c>
      <c r="D131" s="1" t="s">
        <v>99</v>
      </c>
      <c r="E131" s="1" t="s">
        <v>100</v>
      </c>
      <c r="F131" s="1" t="s">
        <v>59</v>
      </c>
      <c r="G131" s="1">
        <v>0.5</v>
      </c>
      <c r="H131" s="1" t="s">
        <v>60</v>
      </c>
      <c r="I131" s="1">
        <v>-126.0</v>
      </c>
      <c r="J131" s="1">
        <v>-0.102722123893805</v>
      </c>
      <c r="K131" s="1" t="s">
        <v>61</v>
      </c>
      <c r="L131" s="1" t="s">
        <v>61</v>
      </c>
      <c r="M131" s="1" t="s">
        <v>62</v>
      </c>
      <c r="N131" s="1">
        <v>-107.0</v>
      </c>
      <c r="O131" s="1">
        <v>0.0282917874396135</v>
      </c>
      <c r="P131" s="1" t="s">
        <v>61</v>
      </c>
      <c r="Q131" s="1" t="s">
        <v>61</v>
      </c>
      <c r="R131" s="1">
        <v>0.0282917874396135</v>
      </c>
      <c r="S131" s="1">
        <v>-107.0</v>
      </c>
      <c r="T131" s="1">
        <f t="shared" si="1"/>
        <v>1.934579439</v>
      </c>
      <c r="U131" s="1">
        <v>0.0</v>
      </c>
      <c r="V131" s="3">
        <v>1.0</v>
      </c>
      <c r="W131" s="3" t="s">
        <v>106</v>
      </c>
      <c r="X131" s="3" t="s">
        <v>128</v>
      </c>
      <c r="Z131" s="3">
        <v>0.0</v>
      </c>
      <c r="AA131" s="3">
        <v>0.0</v>
      </c>
      <c r="AB131" s="3">
        <v>1.0</v>
      </c>
      <c r="AC131" s="3">
        <v>0.9345794392523364</v>
      </c>
      <c r="AD131" s="3">
        <v>0.9345794392523364</v>
      </c>
    </row>
    <row r="132">
      <c r="A132" s="1" t="s">
        <v>10</v>
      </c>
      <c r="B132" s="1" t="s">
        <v>179</v>
      </c>
      <c r="C132" s="1" t="s">
        <v>19</v>
      </c>
      <c r="D132" s="1" t="s">
        <v>76</v>
      </c>
      <c r="E132" s="1" t="s">
        <v>77</v>
      </c>
      <c r="F132" s="1" t="s">
        <v>78</v>
      </c>
      <c r="G132" s="1">
        <v>59.5</v>
      </c>
      <c r="H132" s="1" t="s">
        <v>60</v>
      </c>
      <c r="I132" s="1">
        <v>-126.0</v>
      </c>
      <c r="J132" s="6">
        <v>-0.076503336933633</v>
      </c>
      <c r="K132" s="1" t="s">
        <v>61</v>
      </c>
      <c r="L132" s="1" t="s">
        <v>61</v>
      </c>
      <c r="M132" s="1" t="s">
        <v>62</v>
      </c>
      <c r="N132" s="1">
        <v>-107.0</v>
      </c>
      <c r="O132" s="6">
        <v>0.00208598978116214</v>
      </c>
      <c r="P132" s="1" t="s">
        <v>61</v>
      </c>
      <c r="Q132" s="1" t="s">
        <v>61</v>
      </c>
      <c r="R132" s="6">
        <v>0.00208598978116214</v>
      </c>
      <c r="S132" s="1">
        <v>-107.0</v>
      </c>
      <c r="T132" s="1">
        <f t="shared" si="1"/>
        <v>1.934579439</v>
      </c>
      <c r="U132" s="1">
        <v>0.0</v>
      </c>
      <c r="V132" s="3">
        <v>1.0</v>
      </c>
      <c r="W132" s="3" t="s">
        <v>180</v>
      </c>
      <c r="X132" s="3" t="s">
        <v>181</v>
      </c>
      <c r="Z132" s="3">
        <v>45.0</v>
      </c>
      <c r="AA132" s="3">
        <v>0.0</v>
      </c>
      <c r="AB132" s="3">
        <v>1.0</v>
      </c>
      <c r="AC132" s="3">
        <v>0.9345794392523364</v>
      </c>
      <c r="AD132" s="3">
        <v>0.9345794392523364</v>
      </c>
    </row>
    <row r="133">
      <c r="A133" s="1" t="s">
        <v>11</v>
      </c>
      <c r="B133" s="1" t="s">
        <v>334</v>
      </c>
      <c r="C133" s="1" t="s">
        <v>18</v>
      </c>
      <c r="D133" s="1" t="s">
        <v>82</v>
      </c>
      <c r="E133" s="1" t="s">
        <v>83</v>
      </c>
      <c r="F133" s="1" t="s">
        <v>84</v>
      </c>
      <c r="G133" s="1">
        <v>43.5</v>
      </c>
      <c r="H133" s="1" t="s">
        <v>60</v>
      </c>
      <c r="I133" s="1">
        <v>-123.0</v>
      </c>
      <c r="J133" s="1">
        <v>-0.10953950646852</v>
      </c>
      <c r="K133" s="1" t="s">
        <v>61</v>
      </c>
      <c r="L133" s="1" t="s">
        <v>61</v>
      </c>
      <c r="M133" s="1" t="s">
        <v>62</v>
      </c>
      <c r="N133" s="1">
        <v>-108.0</v>
      </c>
      <c r="O133" s="1">
        <v>0.0387804610653079</v>
      </c>
      <c r="P133" s="1" t="s">
        <v>61</v>
      </c>
      <c r="Q133" s="1" t="s">
        <v>61</v>
      </c>
      <c r="R133" s="1">
        <v>0.0387804610653079</v>
      </c>
      <c r="S133" s="1">
        <v>-108.0</v>
      </c>
      <c r="T133" s="1">
        <f t="shared" si="1"/>
        <v>1.925925926</v>
      </c>
      <c r="U133" s="1">
        <v>0.0</v>
      </c>
      <c r="V133" s="3">
        <v>1.0</v>
      </c>
      <c r="W133" s="3" t="s">
        <v>68</v>
      </c>
      <c r="X133" s="3" t="s">
        <v>335</v>
      </c>
      <c r="Z133" s="3">
        <v>19.0</v>
      </c>
      <c r="AA133" s="3">
        <v>0.0</v>
      </c>
      <c r="AB133" s="3">
        <v>1.0</v>
      </c>
      <c r="AC133" s="3">
        <v>0.9259259259259259</v>
      </c>
      <c r="AD133" s="3">
        <v>0.9259259259259259</v>
      </c>
    </row>
    <row r="134">
      <c r="A134" s="1" t="s">
        <v>16</v>
      </c>
      <c r="B134" s="1" t="s">
        <v>251</v>
      </c>
      <c r="C134" s="1" t="s">
        <v>21</v>
      </c>
      <c r="D134" s="1" t="s">
        <v>88</v>
      </c>
      <c r="E134" s="1" t="s">
        <v>89</v>
      </c>
      <c r="F134" s="1" t="s">
        <v>90</v>
      </c>
      <c r="G134" s="1">
        <v>35.5</v>
      </c>
      <c r="H134" s="1" t="s">
        <v>60</v>
      </c>
      <c r="I134" s="1">
        <v>-123.0</v>
      </c>
      <c r="J134" s="1">
        <v>-0.0914148713399104</v>
      </c>
      <c r="K134" s="1" t="s">
        <v>61</v>
      </c>
      <c r="L134" s="1" t="s">
        <v>61</v>
      </c>
      <c r="M134" s="1" t="s">
        <v>62</v>
      </c>
      <c r="N134" s="1">
        <v>-108.0</v>
      </c>
      <c r="O134" s="1">
        <v>0.0206216084615386</v>
      </c>
      <c r="P134" s="1" t="s">
        <v>61</v>
      </c>
      <c r="Q134" s="1" t="s">
        <v>61</v>
      </c>
      <c r="R134" s="1">
        <v>0.0206216084615386</v>
      </c>
      <c r="S134" s="1">
        <v>-108.0</v>
      </c>
      <c r="T134" s="1">
        <f t="shared" si="1"/>
        <v>1.925925926</v>
      </c>
      <c r="U134" s="1">
        <v>0.0</v>
      </c>
      <c r="V134" s="3">
        <v>1.0</v>
      </c>
      <c r="W134" s="3" t="s">
        <v>101</v>
      </c>
      <c r="X134" s="3" t="s">
        <v>252</v>
      </c>
      <c r="Z134" s="3">
        <v>32.0</v>
      </c>
      <c r="AA134" s="3">
        <v>0.0</v>
      </c>
      <c r="AB134" s="3">
        <v>1.0</v>
      </c>
      <c r="AC134" s="3">
        <v>0.9259259259259259</v>
      </c>
      <c r="AD134" s="3">
        <v>0.9259259259259259</v>
      </c>
    </row>
    <row r="135">
      <c r="A135" s="1" t="s">
        <v>10</v>
      </c>
      <c r="B135" s="1" t="s">
        <v>336</v>
      </c>
      <c r="C135" s="1" t="s">
        <v>19</v>
      </c>
      <c r="D135" s="1" t="s">
        <v>165</v>
      </c>
      <c r="E135" s="1" t="s">
        <v>164</v>
      </c>
      <c r="F135" s="1" t="s">
        <v>166</v>
      </c>
      <c r="G135" s="1">
        <v>64.5</v>
      </c>
      <c r="H135" s="1" t="s">
        <v>60</v>
      </c>
      <c r="I135" s="1">
        <v>-120.0</v>
      </c>
      <c r="J135" s="1">
        <v>-0.108594200894002</v>
      </c>
      <c r="K135" s="1" t="s">
        <v>61</v>
      </c>
      <c r="L135" s="1" t="s">
        <v>61</v>
      </c>
      <c r="M135" s="1" t="s">
        <v>62</v>
      </c>
      <c r="N135" s="1">
        <v>-108.0</v>
      </c>
      <c r="O135" s="1">
        <v>0.0439141548962729</v>
      </c>
      <c r="P135" s="1" t="s">
        <v>61</v>
      </c>
      <c r="Q135" s="1" t="s">
        <v>61</v>
      </c>
      <c r="R135" s="1">
        <v>0.0439141548962729</v>
      </c>
      <c r="S135" s="1">
        <v>-108.0</v>
      </c>
      <c r="T135" s="1">
        <f t="shared" si="1"/>
        <v>1.925925926</v>
      </c>
      <c r="U135" s="1">
        <v>0.0</v>
      </c>
      <c r="V135" s="3">
        <v>1.0</v>
      </c>
      <c r="W135" s="3" t="s">
        <v>63</v>
      </c>
      <c r="X135" s="3" t="s">
        <v>337</v>
      </c>
      <c r="Z135" s="3">
        <v>54.0</v>
      </c>
      <c r="AA135" s="3">
        <v>0.0</v>
      </c>
      <c r="AB135" s="3">
        <v>1.0</v>
      </c>
      <c r="AC135" s="3">
        <v>0.9259259259259259</v>
      </c>
      <c r="AD135" s="3">
        <v>0.9259259259259259</v>
      </c>
    </row>
    <row r="136">
      <c r="A136" s="1" t="s">
        <v>10</v>
      </c>
      <c r="B136" s="1" t="s">
        <v>75</v>
      </c>
      <c r="C136" s="1" t="s">
        <v>21</v>
      </c>
      <c r="D136" s="1" t="s">
        <v>76</v>
      </c>
      <c r="E136" s="1" t="s">
        <v>77</v>
      </c>
      <c r="F136" s="1" t="s">
        <v>78</v>
      </c>
      <c r="G136" s="1">
        <v>20.5</v>
      </c>
      <c r="H136" s="1" t="s">
        <v>60</v>
      </c>
      <c r="I136" s="1">
        <v>-121.0</v>
      </c>
      <c r="J136" s="6">
        <v>-0.108418025312255</v>
      </c>
      <c r="K136" s="1" t="s">
        <v>61</v>
      </c>
      <c r="L136" s="1" t="s">
        <v>61</v>
      </c>
      <c r="M136" s="1" t="s">
        <v>62</v>
      </c>
      <c r="N136" s="1">
        <v>-109.0</v>
      </c>
      <c r="O136" s="6">
        <v>0.0394071536721021</v>
      </c>
      <c r="P136" s="1" t="s">
        <v>61</v>
      </c>
      <c r="Q136" s="1" t="s">
        <v>61</v>
      </c>
      <c r="R136" s="6">
        <v>0.0394071536721021</v>
      </c>
      <c r="S136" s="1">
        <v>-109.0</v>
      </c>
      <c r="T136" s="1">
        <f t="shared" si="1"/>
        <v>1.917431193</v>
      </c>
      <c r="U136" s="1">
        <v>0.0</v>
      </c>
      <c r="V136" s="3">
        <v>1.0</v>
      </c>
      <c r="W136" s="3" t="s">
        <v>79</v>
      </c>
      <c r="X136" s="3" t="s">
        <v>80</v>
      </c>
      <c r="Z136" s="3">
        <v>3.0</v>
      </c>
      <c r="AA136" s="3">
        <v>0.0</v>
      </c>
      <c r="AB136" s="3">
        <v>1.0</v>
      </c>
      <c r="AC136" s="3">
        <v>0.9174311926605505</v>
      </c>
      <c r="AD136" s="3">
        <v>0.9174311926605505</v>
      </c>
    </row>
    <row r="137">
      <c r="A137" s="1" t="s">
        <v>10</v>
      </c>
      <c r="B137" s="1" t="s">
        <v>338</v>
      </c>
      <c r="C137" s="1" t="s">
        <v>21</v>
      </c>
      <c r="D137" s="1" t="s">
        <v>156</v>
      </c>
      <c r="E137" s="1" t="s">
        <v>157</v>
      </c>
      <c r="F137" s="1" t="s">
        <v>158</v>
      </c>
      <c r="G137" s="1">
        <v>40.5</v>
      </c>
      <c r="H137" s="1" t="s">
        <v>60</v>
      </c>
      <c r="I137" s="1">
        <v>-110.0</v>
      </c>
      <c r="J137" s="6">
        <v>-0.0829405677452713</v>
      </c>
      <c r="K137" s="1" t="s">
        <v>61</v>
      </c>
      <c r="L137" s="1" t="s">
        <v>61</v>
      </c>
      <c r="M137" s="1" t="s">
        <v>62</v>
      </c>
      <c r="N137" s="1">
        <v>-110.0</v>
      </c>
      <c r="O137" s="6">
        <v>0.0353442942597984</v>
      </c>
      <c r="P137" s="1" t="s">
        <v>61</v>
      </c>
      <c r="Q137" s="1" t="s">
        <v>61</v>
      </c>
      <c r="R137" s="6">
        <v>0.0353442942597984</v>
      </c>
      <c r="S137" s="1">
        <v>-110.0</v>
      </c>
      <c r="T137" s="1">
        <f t="shared" si="1"/>
        <v>1.909090909</v>
      </c>
      <c r="U137" s="1">
        <v>0.0</v>
      </c>
      <c r="V137" s="3">
        <v>1.0</v>
      </c>
      <c r="W137" s="3" t="s">
        <v>68</v>
      </c>
      <c r="X137" s="3" t="s">
        <v>339</v>
      </c>
      <c r="Z137" s="3">
        <v>33.0</v>
      </c>
      <c r="AA137" s="3">
        <v>0.0</v>
      </c>
      <c r="AB137" s="3">
        <v>1.0</v>
      </c>
      <c r="AC137" s="3">
        <v>0.9090909090909091</v>
      </c>
      <c r="AD137" s="3">
        <v>0.9090909090909091</v>
      </c>
    </row>
    <row r="138">
      <c r="A138" s="1" t="s">
        <v>11</v>
      </c>
      <c r="B138" s="1" t="s">
        <v>170</v>
      </c>
      <c r="C138" s="1" t="s">
        <v>18</v>
      </c>
      <c r="D138" s="1" t="s">
        <v>66</v>
      </c>
      <c r="E138" s="1" t="s">
        <v>67</v>
      </c>
      <c r="F138" s="1" t="s">
        <v>59</v>
      </c>
      <c r="G138" s="1">
        <v>28.5</v>
      </c>
      <c r="H138" s="1" t="s">
        <v>60</v>
      </c>
      <c r="I138" s="1">
        <v>-120.0</v>
      </c>
      <c r="J138" s="1">
        <v>-0.104477229642454</v>
      </c>
      <c r="K138" s="1" t="s">
        <v>61</v>
      </c>
      <c r="L138" s="1" t="s">
        <v>61</v>
      </c>
      <c r="M138" s="1" t="s">
        <v>62</v>
      </c>
      <c r="N138" s="1">
        <v>-110.0</v>
      </c>
      <c r="O138" s="1">
        <v>0.0352775693974952</v>
      </c>
      <c r="P138" s="1" t="s">
        <v>61</v>
      </c>
      <c r="Q138" s="1" t="s">
        <v>61</v>
      </c>
      <c r="R138" s="1">
        <v>0.0352775693974952</v>
      </c>
      <c r="S138" s="1">
        <v>-110.0</v>
      </c>
      <c r="T138" s="1">
        <f t="shared" si="1"/>
        <v>1.909090909</v>
      </c>
      <c r="U138" s="1">
        <v>0.0</v>
      </c>
      <c r="V138" s="3">
        <v>1.0</v>
      </c>
      <c r="W138" s="3" t="s">
        <v>68</v>
      </c>
      <c r="X138" s="3" t="s">
        <v>171</v>
      </c>
      <c r="Z138" s="3">
        <v>6.0</v>
      </c>
      <c r="AA138" s="3">
        <v>0.0</v>
      </c>
      <c r="AB138" s="3">
        <v>1.0</v>
      </c>
      <c r="AC138" s="3">
        <v>0.9090909090909091</v>
      </c>
      <c r="AD138" s="3">
        <v>0.9090909090909091</v>
      </c>
    </row>
    <row r="139">
      <c r="A139" s="1" t="s">
        <v>10</v>
      </c>
      <c r="B139" s="1" t="s">
        <v>133</v>
      </c>
      <c r="C139" s="1" t="s">
        <v>19</v>
      </c>
      <c r="D139" s="1" t="s">
        <v>134</v>
      </c>
      <c r="E139" s="1" t="s">
        <v>135</v>
      </c>
      <c r="F139" s="1" t="s">
        <v>84</v>
      </c>
      <c r="G139" s="1">
        <v>54.5</v>
      </c>
      <c r="H139" s="1" t="s">
        <v>60</v>
      </c>
      <c r="I139" s="1">
        <v>-120.0</v>
      </c>
      <c r="J139" s="1">
        <v>-0.0959941445203059</v>
      </c>
      <c r="K139" s="1" t="s">
        <v>61</v>
      </c>
      <c r="L139" s="1" t="s">
        <v>61</v>
      </c>
      <c r="M139" s="1" t="s">
        <v>62</v>
      </c>
      <c r="N139" s="1">
        <v>-110.0</v>
      </c>
      <c r="O139" s="1">
        <v>0.0267493509264478</v>
      </c>
      <c r="P139" s="1" t="s">
        <v>61</v>
      </c>
      <c r="Q139" s="1" t="s">
        <v>61</v>
      </c>
      <c r="R139" s="1">
        <v>0.0267493509264478</v>
      </c>
      <c r="S139" s="1">
        <v>-110.0</v>
      </c>
      <c r="T139" s="1">
        <f t="shared" si="1"/>
        <v>1.909090909</v>
      </c>
      <c r="U139" s="1">
        <v>0.0</v>
      </c>
      <c r="V139" s="3">
        <v>1.0</v>
      </c>
      <c r="W139" s="3" t="s">
        <v>136</v>
      </c>
      <c r="X139" s="3" t="s">
        <v>137</v>
      </c>
      <c r="Z139" s="3">
        <v>44.0</v>
      </c>
      <c r="AA139" s="3">
        <v>0.0</v>
      </c>
      <c r="AB139" s="3">
        <v>1.0</v>
      </c>
      <c r="AC139" s="3">
        <v>0.9090909090909091</v>
      </c>
      <c r="AD139" s="3">
        <v>0.9090909090909091</v>
      </c>
    </row>
    <row r="140">
      <c r="A140" s="1" t="s">
        <v>11</v>
      </c>
      <c r="B140" s="1" t="s">
        <v>326</v>
      </c>
      <c r="C140" s="1" t="s">
        <v>20</v>
      </c>
      <c r="D140" s="1" t="s">
        <v>76</v>
      </c>
      <c r="E140" s="1" t="s">
        <v>77</v>
      </c>
      <c r="F140" s="1" t="s">
        <v>78</v>
      </c>
      <c r="G140" s="1">
        <v>56.5</v>
      </c>
      <c r="H140" s="1" t="s">
        <v>60</v>
      </c>
      <c r="I140" s="1">
        <v>-123.0</v>
      </c>
      <c r="J140" s="6">
        <v>-0.0984335340196858</v>
      </c>
      <c r="K140" s="1" t="s">
        <v>61</v>
      </c>
      <c r="L140" s="1" t="s">
        <v>61</v>
      </c>
      <c r="M140" s="1" t="s">
        <v>62</v>
      </c>
      <c r="N140" s="1">
        <v>-110.0</v>
      </c>
      <c r="O140" s="6">
        <v>0.0230314617219041</v>
      </c>
      <c r="P140" s="1" t="s">
        <v>61</v>
      </c>
      <c r="Q140" s="1" t="s">
        <v>61</v>
      </c>
      <c r="R140" s="6">
        <v>0.0230314617219041</v>
      </c>
      <c r="S140" s="1">
        <v>-110.0</v>
      </c>
      <c r="T140" s="1">
        <f t="shared" si="1"/>
        <v>1.909090909</v>
      </c>
      <c r="U140" s="1">
        <v>0.0</v>
      </c>
      <c r="V140" s="3">
        <v>1.0</v>
      </c>
      <c r="W140" s="3" t="s">
        <v>95</v>
      </c>
      <c r="X140" s="3" t="s">
        <v>327</v>
      </c>
      <c r="Z140" s="3">
        <v>34.0</v>
      </c>
      <c r="AA140" s="3">
        <v>0.0</v>
      </c>
      <c r="AB140" s="3">
        <v>1.0</v>
      </c>
      <c r="AC140" s="3">
        <v>0.9090909090909091</v>
      </c>
      <c r="AD140" s="3">
        <v>0.9090909090909091</v>
      </c>
    </row>
    <row r="141">
      <c r="A141" s="1" t="s">
        <v>11</v>
      </c>
      <c r="B141" s="1" t="s">
        <v>233</v>
      </c>
      <c r="C141" s="1" t="s">
        <v>18</v>
      </c>
      <c r="D141" s="1" t="s">
        <v>105</v>
      </c>
      <c r="E141" s="1" t="s">
        <v>104</v>
      </c>
      <c r="F141" s="1" t="s">
        <v>59</v>
      </c>
      <c r="G141" s="1">
        <v>28.5</v>
      </c>
      <c r="H141" s="1" t="s">
        <v>60</v>
      </c>
      <c r="I141" s="1">
        <v>-120.0</v>
      </c>
      <c r="J141" s="1">
        <v>-0.0916514606723182</v>
      </c>
      <c r="K141" s="1" t="s">
        <v>61</v>
      </c>
      <c r="L141" s="1" t="s">
        <v>61</v>
      </c>
      <c r="M141" s="1" t="s">
        <v>62</v>
      </c>
      <c r="N141" s="1">
        <v>-110.0</v>
      </c>
      <c r="O141" s="1">
        <v>0.0224159031976238</v>
      </c>
      <c r="P141" s="1" t="s">
        <v>61</v>
      </c>
      <c r="Q141" s="1" t="s">
        <v>61</v>
      </c>
      <c r="R141" s="1">
        <v>0.0224159031976238</v>
      </c>
      <c r="S141" s="1">
        <v>-110.0</v>
      </c>
      <c r="T141" s="1">
        <f t="shared" si="1"/>
        <v>1.909090909</v>
      </c>
      <c r="U141" s="1">
        <v>0.0</v>
      </c>
      <c r="V141" s="3">
        <v>1.0</v>
      </c>
      <c r="W141" s="3" t="s">
        <v>234</v>
      </c>
      <c r="X141" s="3" t="s">
        <v>215</v>
      </c>
      <c r="Z141" s="3">
        <v>5.0</v>
      </c>
      <c r="AA141" s="3">
        <v>0.0</v>
      </c>
      <c r="AB141" s="3">
        <v>1.0</v>
      </c>
      <c r="AC141" s="3">
        <v>0.9090909090909091</v>
      </c>
      <c r="AD141" s="3">
        <v>0.9090909090909091</v>
      </c>
    </row>
    <row r="142">
      <c r="A142" s="1" t="s">
        <v>11</v>
      </c>
      <c r="B142" s="1" t="s">
        <v>340</v>
      </c>
      <c r="C142" s="1" t="s">
        <v>19</v>
      </c>
      <c r="D142" s="1" t="s">
        <v>100</v>
      </c>
      <c r="E142" s="1" t="s">
        <v>99</v>
      </c>
      <c r="F142" s="1" t="s">
        <v>59</v>
      </c>
      <c r="G142" s="1">
        <v>10.5</v>
      </c>
      <c r="H142" s="1" t="s">
        <v>60</v>
      </c>
      <c r="I142" s="1">
        <v>-110.0</v>
      </c>
      <c r="J142" s="1">
        <v>0.0114938713812478</v>
      </c>
      <c r="K142" s="1" t="s">
        <v>61</v>
      </c>
      <c r="L142" s="1" t="s">
        <v>61</v>
      </c>
      <c r="M142" s="1" t="s">
        <v>62</v>
      </c>
      <c r="N142" s="1">
        <v>-120.0</v>
      </c>
      <c r="O142" s="1">
        <v>-0.0807002526730656</v>
      </c>
      <c r="P142" s="1" t="s">
        <v>61</v>
      </c>
      <c r="Q142" s="1" t="s">
        <v>61</v>
      </c>
      <c r="R142" s="1">
        <v>0.0114938713812478</v>
      </c>
      <c r="S142" s="1">
        <v>-110.0</v>
      </c>
      <c r="T142" s="1">
        <f t="shared" si="1"/>
        <v>1.909090909</v>
      </c>
      <c r="U142" s="1">
        <v>1.0</v>
      </c>
      <c r="V142" s="3">
        <v>1.0</v>
      </c>
      <c r="W142" s="3" t="s">
        <v>95</v>
      </c>
      <c r="X142" s="3" t="s">
        <v>341</v>
      </c>
      <c r="Z142" s="3">
        <v>12.0</v>
      </c>
      <c r="AA142" s="3">
        <v>1.0</v>
      </c>
      <c r="AB142" s="3">
        <v>1.0</v>
      </c>
      <c r="AC142" s="3">
        <v>0.9090909090909091</v>
      </c>
      <c r="AD142" s="3">
        <v>0.9090909090909091</v>
      </c>
    </row>
    <row r="143">
      <c r="A143" s="1" t="s">
        <v>10</v>
      </c>
      <c r="B143" s="1" t="s">
        <v>342</v>
      </c>
      <c r="C143" s="1" t="s">
        <v>19</v>
      </c>
      <c r="D143" s="1" t="s">
        <v>104</v>
      </c>
      <c r="E143" s="1" t="s">
        <v>105</v>
      </c>
      <c r="F143" s="1" t="s">
        <v>59</v>
      </c>
      <c r="G143" s="1">
        <v>16.5</v>
      </c>
      <c r="H143" s="1" t="s">
        <v>60</v>
      </c>
      <c r="I143" s="1">
        <v>-120.0</v>
      </c>
      <c r="J143" s="1">
        <v>-0.0767321278622548</v>
      </c>
      <c r="K143" s="1" t="s">
        <v>61</v>
      </c>
      <c r="L143" s="1" t="s">
        <v>61</v>
      </c>
      <c r="M143" s="1" t="s">
        <v>62</v>
      </c>
      <c r="N143" s="1">
        <v>-110.0</v>
      </c>
      <c r="O143" s="1">
        <v>0.00749511877459829</v>
      </c>
      <c r="P143" s="1" t="s">
        <v>61</v>
      </c>
      <c r="Q143" s="1" t="s">
        <v>61</v>
      </c>
      <c r="R143" s="1">
        <v>0.00749511877459829</v>
      </c>
      <c r="S143" s="1">
        <v>-110.0</v>
      </c>
      <c r="T143" s="1">
        <f t="shared" si="1"/>
        <v>1.909090909</v>
      </c>
      <c r="U143" s="1">
        <v>0.0</v>
      </c>
      <c r="V143" s="3">
        <v>1.0</v>
      </c>
      <c r="W143" s="3" t="s">
        <v>153</v>
      </c>
      <c r="X143" s="3" t="s">
        <v>343</v>
      </c>
      <c r="Z143" s="3">
        <v>13.0</v>
      </c>
      <c r="AA143" s="3">
        <v>0.0</v>
      </c>
      <c r="AB143" s="3">
        <v>1.0</v>
      </c>
      <c r="AC143" s="3">
        <v>0.9090909090909091</v>
      </c>
      <c r="AD143" s="3">
        <v>0.9090909090909091</v>
      </c>
    </row>
    <row r="144">
      <c r="A144" s="1" t="s">
        <v>11</v>
      </c>
      <c r="B144" s="1" t="s">
        <v>344</v>
      </c>
      <c r="C144" s="1" t="s">
        <v>18</v>
      </c>
      <c r="D144" s="1" t="s">
        <v>157</v>
      </c>
      <c r="E144" s="1" t="s">
        <v>156</v>
      </c>
      <c r="F144" s="1" t="s">
        <v>158</v>
      </c>
      <c r="G144" s="1">
        <v>39.5</v>
      </c>
      <c r="H144" s="1" t="s">
        <v>60</v>
      </c>
      <c r="I144" s="1">
        <v>-110.0</v>
      </c>
      <c r="J144" s="6">
        <v>-0.0547030645709524</v>
      </c>
      <c r="K144" s="1" t="s">
        <v>61</v>
      </c>
      <c r="L144" s="1" t="s">
        <v>61</v>
      </c>
      <c r="M144" s="1" t="s">
        <v>62</v>
      </c>
      <c r="N144" s="1">
        <v>-110.0</v>
      </c>
      <c r="O144" s="6">
        <v>0.00710216198004753</v>
      </c>
      <c r="P144" s="1" t="s">
        <v>61</v>
      </c>
      <c r="Q144" s="1" t="s">
        <v>61</v>
      </c>
      <c r="R144" s="6">
        <v>0.00710216198004753</v>
      </c>
      <c r="S144" s="1">
        <v>-110.0</v>
      </c>
      <c r="T144" s="1">
        <f t="shared" si="1"/>
        <v>1.909090909</v>
      </c>
      <c r="U144" s="1">
        <v>0.0</v>
      </c>
      <c r="V144" s="3">
        <v>1.0</v>
      </c>
      <c r="W144" s="3" t="s">
        <v>106</v>
      </c>
      <c r="X144" s="3" t="s">
        <v>238</v>
      </c>
      <c r="Z144" s="3">
        <v>25.0</v>
      </c>
      <c r="AA144" s="3">
        <v>0.0</v>
      </c>
      <c r="AB144" s="3">
        <v>1.0</v>
      </c>
      <c r="AC144" s="3">
        <v>0.9090909090909091</v>
      </c>
      <c r="AD144" s="3">
        <v>0.9090909090909091</v>
      </c>
    </row>
    <row r="145">
      <c r="A145" s="1" t="s">
        <v>11</v>
      </c>
      <c r="B145" s="1" t="s">
        <v>150</v>
      </c>
      <c r="C145" s="1" t="s">
        <v>18</v>
      </c>
      <c r="D145" s="1" t="s">
        <v>147</v>
      </c>
      <c r="E145" s="1" t="s">
        <v>146</v>
      </c>
      <c r="F145" s="1" t="s">
        <v>59</v>
      </c>
      <c r="G145" s="1">
        <v>17.5</v>
      </c>
      <c r="H145" s="1" t="s">
        <v>60</v>
      </c>
      <c r="I145" s="1">
        <v>-120.0</v>
      </c>
      <c r="J145" s="1">
        <v>-0.0755566536397316</v>
      </c>
      <c r="K145" s="1" t="s">
        <v>61</v>
      </c>
      <c r="L145" s="1" t="s">
        <v>61</v>
      </c>
      <c r="M145" s="1" t="s">
        <v>62</v>
      </c>
      <c r="N145" s="1">
        <v>-110.0</v>
      </c>
      <c r="O145" s="1">
        <v>0.00633861990864326</v>
      </c>
      <c r="P145" s="1" t="s">
        <v>61</v>
      </c>
      <c r="Q145" s="1" t="s">
        <v>61</v>
      </c>
      <c r="R145" s="1">
        <v>0.00633861990864326</v>
      </c>
      <c r="S145" s="1">
        <v>-110.0</v>
      </c>
      <c r="T145" s="1">
        <f t="shared" si="1"/>
        <v>1.909090909</v>
      </c>
      <c r="U145" s="1">
        <v>0.0</v>
      </c>
      <c r="V145" s="3">
        <v>1.0</v>
      </c>
      <c r="W145" s="3" t="s">
        <v>68</v>
      </c>
      <c r="X145" s="3" t="s">
        <v>151</v>
      </c>
      <c r="Z145" s="3">
        <v>0.0</v>
      </c>
      <c r="AA145" s="3">
        <v>0.0</v>
      </c>
      <c r="AB145" s="3">
        <v>1.0</v>
      </c>
      <c r="AC145" s="3">
        <v>0.9090909090909091</v>
      </c>
      <c r="AD145" s="3">
        <v>0.9090909090909091</v>
      </c>
    </row>
    <row r="146">
      <c r="A146" s="1" t="s">
        <v>10</v>
      </c>
      <c r="B146" s="1" t="s">
        <v>345</v>
      </c>
      <c r="C146" s="1" t="s">
        <v>19</v>
      </c>
      <c r="D146" s="1" t="s">
        <v>105</v>
      </c>
      <c r="E146" s="1" t="s">
        <v>104</v>
      </c>
      <c r="F146" s="1" t="s">
        <v>59</v>
      </c>
      <c r="G146" s="1">
        <v>53.0</v>
      </c>
      <c r="H146" s="1" t="s">
        <v>60</v>
      </c>
      <c r="I146" s="1">
        <v>-121.0</v>
      </c>
      <c r="J146" s="1">
        <v>-0.07291367768148</v>
      </c>
      <c r="K146" s="1" t="s">
        <v>61</v>
      </c>
      <c r="L146" s="1" t="s">
        <v>61</v>
      </c>
      <c r="M146" s="1" t="s">
        <v>62</v>
      </c>
      <c r="N146" s="1">
        <v>-110.0</v>
      </c>
      <c r="O146" s="1">
        <v>0.00286795514003701</v>
      </c>
      <c r="P146" s="1" t="s">
        <v>61</v>
      </c>
      <c r="Q146" s="1" t="s">
        <v>61</v>
      </c>
      <c r="R146" s="1">
        <v>0.00286795514003701</v>
      </c>
      <c r="S146" s="1">
        <v>-110.0</v>
      </c>
      <c r="T146" s="1">
        <f t="shared" si="1"/>
        <v>1.909090909</v>
      </c>
      <c r="U146" s="1">
        <v>0.0</v>
      </c>
      <c r="V146" s="3">
        <v>1.0</v>
      </c>
      <c r="W146" s="3" t="s">
        <v>68</v>
      </c>
      <c r="X146" s="3" t="s">
        <v>346</v>
      </c>
      <c r="Z146" s="3">
        <v>50.0</v>
      </c>
      <c r="AA146" s="3">
        <v>0.0</v>
      </c>
      <c r="AB146" s="3">
        <v>1.0</v>
      </c>
      <c r="AC146" s="3">
        <v>0.9090909090909091</v>
      </c>
      <c r="AD146" s="3">
        <v>0.9090909090909091</v>
      </c>
    </row>
    <row r="147">
      <c r="A147" s="1" t="s">
        <v>17</v>
      </c>
      <c r="B147" s="1" t="s">
        <v>347</v>
      </c>
      <c r="C147" s="1" t="s">
        <v>21</v>
      </c>
      <c r="D147" s="1" t="s">
        <v>77</v>
      </c>
      <c r="E147" s="1" t="s">
        <v>76</v>
      </c>
      <c r="F147" s="1" t="s">
        <v>78</v>
      </c>
      <c r="G147" s="1">
        <v>0.5</v>
      </c>
      <c r="H147" s="1" t="s">
        <v>60</v>
      </c>
      <c r="I147" s="1">
        <v>-122.0</v>
      </c>
      <c r="J147" s="6">
        <v>-0.106149549549549</v>
      </c>
      <c r="K147" s="1" t="s">
        <v>61</v>
      </c>
      <c r="L147" s="1" t="s">
        <v>61</v>
      </c>
      <c r="M147" s="1" t="s">
        <v>62</v>
      </c>
      <c r="N147" s="1">
        <v>-111.0</v>
      </c>
      <c r="O147" s="6">
        <v>0.0305336492890995</v>
      </c>
      <c r="P147" s="1" t="s">
        <v>61</v>
      </c>
      <c r="Q147" s="1" t="s">
        <v>61</v>
      </c>
      <c r="R147" s="6">
        <v>0.0305336492890995</v>
      </c>
      <c r="S147" s="1">
        <v>-111.0</v>
      </c>
      <c r="T147" s="1">
        <f t="shared" si="1"/>
        <v>1.900900901</v>
      </c>
      <c r="U147" s="1">
        <v>0.0</v>
      </c>
      <c r="V147" s="3">
        <v>1.0</v>
      </c>
      <c r="W147" s="3" t="s">
        <v>173</v>
      </c>
      <c r="X147" s="3" t="s">
        <v>348</v>
      </c>
      <c r="Z147" s="3">
        <v>0.0</v>
      </c>
      <c r="AA147" s="3">
        <v>0.0</v>
      </c>
      <c r="AB147" s="3">
        <v>1.0</v>
      </c>
      <c r="AC147" s="3">
        <v>0.9009009009009009</v>
      </c>
      <c r="AD147" s="3">
        <v>0.9009009009009009</v>
      </c>
    </row>
    <row r="148">
      <c r="A148" s="1" t="s">
        <v>17</v>
      </c>
      <c r="B148" s="1" t="s">
        <v>260</v>
      </c>
      <c r="C148" s="1" t="s">
        <v>21</v>
      </c>
      <c r="D148" s="1" t="s">
        <v>147</v>
      </c>
      <c r="E148" s="1" t="s">
        <v>146</v>
      </c>
      <c r="F148" s="1" t="s">
        <v>59</v>
      </c>
      <c r="G148" s="1">
        <v>0.5</v>
      </c>
      <c r="H148" s="1" t="s">
        <v>60</v>
      </c>
      <c r="I148" s="1">
        <v>-121.0</v>
      </c>
      <c r="J148" s="1">
        <v>-0.119766063348416</v>
      </c>
      <c r="K148" s="1" t="s">
        <v>61</v>
      </c>
      <c r="L148" s="1" t="s">
        <v>61</v>
      </c>
      <c r="M148" s="1" t="s">
        <v>62</v>
      </c>
      <c r="N148" s="1">
        <v>-112.0</v>
      </c>
      <c r="O148" s="1">
        <v>0.043945283018868</v>
      </c>
      <c r="P148" s="1" t="s">
        <v>61</v>
      </c>
      <c r="Q148" s="1" t="s">
        <v>61</v>
      </c>
      <c r="R148" s="1">
        <v>0.043945283018868</v>
      </c>
      <c r="S148" s="1">
        <v>-112.0</v>
      </c>
      <c r="T148" s="1">
        <f t="shared" si="1"/>
        <v>1.892857143</v>
      </c>
      <c r="U148" s="1">
        <v>0.0</v>
      </c>
      <c r="V148" s="3">
        <v>1.0</v>
      </c>
      <c r="W148" s="3" t="s">
        <v>101</v>
      </c>
      <c r="X148" s="3" t="s">
        <v>261</v>
      </c>
      <c r="Z148" s="3">
        <v>0.0</v>
      </c>
      <c r="AA148" s="3">
        <v>0.0</v>
      </c>
      <c r="AB148" s="3">
        <v>1.0</v>
      </c>
      <c r="AC148" s="3">
        <v>0.8928571428571429</v>
      </c>
      <c r="AD148" s="3">
        <v>0.8928571428571429</v>
      </c>
    </row>
    <row r="149">
      <c r="A149" s="1" t="s">
        <v>11</v>
      </c>
      <c r="B149" s="1" t="s">
        <v>349</v>
      </c>
      <c r="C149" s="1" t="s">
        <v>20</v>
      </c>
      <c r="D149" s="1" t="s">
        <v>105</v>
      </c>
      <c r="E149" s="1" t="s">
        <v>104</v>
      </c>
      <c r="F149" s="1" t="s">
        <v>59</v>
      </c>
      <c r="G149" s="1">
        <v>50.5</v>
      </c>
      <c r="H149" s="1" t="s">
        <v>60</v>
      </c>
      <c r="I149" s="1">
        <v>-117.0</v>
      </c>
      <c r="J149" s="1">
        <v>-0.0811552022388294</v>
      </c>
      <c r="K149" s="1" t="s">
        <v>61</v>
      </c>
      <c r="L149" s="1" t="s">
        <v>61</v>
      </c>
      <c r="M149" s="1" t="s">
        <v>62</v>
      </c>
      <c r="N149" s="1">
        <v>-112.0</v>
      </c>
      <c r="O149" s="1">
        <v>0.0137094807005659</v>
      </c>
      <c r="P149" s="1" t="s">
        <v>61</v>
      </c>
      <c r="Q149" s="1" t="s">
        <v>61</v>
      </c>
      <c r="R149" s="1">
        <v>0.0137094807005659</v>
      </c>
      <c r="S149" s="1">
        <v>-112.0</v>
      </c>
      <c r="T149" s="1">
        <f t="shared" si="1"/>
        <v>1.892857143</v>
      </c>
      <c r="U149" s="1">
        <v>0.0</v>
      </c>
      <c r="V149" s="3">
        <v>1.0</v>
      </c>
      <c r="W149" s="3" t="s">
        <v>95</v>
      </c>
      <c r="X149" s="3" t="s">
        <v>350</v>
      </c>
      <c r="Z149" s="3">
        <v>30.0</v>
      </c>
      <c r="AA149" s="3">
        <v>0.0</v>
      </c>
      <c r="AB149" s="3">
        <v>1.0</v>
      </c>
      <c r="AC149" s="3">
        <v>0.8928571428571429</v>
      </c>
      <c r="AD149" s="3">
        <v>0.8928571428571429</v>
      </c>
    </row>
    <row r="150">
      <c r="A150" s="1" t="s">
        <v>11</v>
      </c>
      <c r="B150" s="1" t="s">
        <v>351</v>
      </c>
      <c r="C150" s="1" t="s">
        <v>18</v>
      </c>
      <c r="D150" s="1" t="s">
        <v>99</v>
      </c>
      <c r="E150" s="1" t="s">
        <v>100</v>
      </c>
      <c r="F150" s="1" t="s">
        <v>59</v>
      </c>
      <c r="G150" s="1">
        <v>60.5</v>
      </c>
      <c r="H150" s="1" t="s">
        <v>60</v>
      </c>
      <c r="I150" s="1">
        <v>-117.0</v>
      </c>
      <c r="J150" s="1">
        <v>-0.0808482315977601</v>
      </c>
      <c r="K150" s="1" t="s">
        <v>61</v>
      </c>
      <c r="L150" s="1" t="s">
        <v>61</v>
      </c>
      <c r="M150" s="1" t="s">
        <v>62</v>
      </c>
      <c r="N150" s="1">
        <v>-112.0</v>
      </c>
      <c r="O150" s="1">
        <v>0.0133276106359887</v>
      </c>
      <c r="P150" s="1" t="s">
        <v>61</v>
      </c>
      <c r="Q150" s="1" t="s">
        <v>61</v>
      </c>
      <c r="R150" s="1">
        <v>0.0133276106359887</v>
      </c>
      <c r="S150" s="1">
        <v>-112.0</v>
      </c>
      <c r="T150" s="1">
        <f t="shared" si="1"/>
        <v>1.892857143</v>
      </c>
      <c r="U150" s="1">
        <v>0.0</v>
      </c>
      <c r="V150" s="3">
        <v>1.0</v>
      </c>
      <c r="W150" s="3" t="s">
        <v>101</v>
      </c>
      <c r="X150" s="3" t="s">
        <v>352</v>
      </c>
      <c r="Z150" s="3">
        <v>36.0</v>
      </c>
      <c r="AA150" s="3">
        <v>0.0</v>
      </c>
      <c r="AB150" s="3">
        <v>1.0</v>
      </c>
      <c r="AC150" s="3">
        <v>0.8928571428571429</v>
      </c>
      <c r="AD150" s="3">
        <v>0.8928571428571429</v>
      </c>
    </row>
    <row r="151">
      <c r="A151" s="1" t="s">
        <v>11</v>
      </c>
      <c r="B151" s="1" t="s">
        <v>127</v>
      </c>
      <c r="C151" s="1" t="s">
        <v>19</v>
      </c>
      <c r="D151" s="1" t="s">
        <v>83</v>
      </c>
      <c r="E151" s="1" t="s">
        <v>82</v>
      </c>
      <c r="F151" s="1" t="s">
        <v>84</v>
      </c>
      <c r="G151" s="1">
        <v>16.5</v>
      </c>
      <c r="H151" s="1" t="s">
        <v>60</v>
      </c>
      <c r="I151" s="1">
        <v>-118.0</v>
      </c>
      <c r="J151" s="1">
        <v>-0.0806857003137733</v>
      </c>
      <c r="K151" s="1" t="s">
        <v>61</v>
      </c>
      <c r="L151" s="1" t="s">
        <v>61</v>
      </c>
      <c r="M151" s="1" t="s">
        <v>62</v>
      </c>
      <c r="N151" s="1">
        <v>-112.0</v>
      </c>
      <c r="O151" s="1">
        <v>0.0111299461726928</v>
      </c>
      <c r="P151" s="1" t="s">
        <v>61</v>
      </c>
      <c r="Q151" s="1" t="s">
        <v>61</v>
      </c>
      <c r="R151" s="1">
        <v>0.0111299461726928</v>
      </c>
      <c r="S151" s="1">
        <v>-112.0</v>
      </c>
      <c r="T151" s="1">
        <f t="shared" si="1"/>
        <v>1.892857143</v>
      </c>
      <c r="U151" s="1">
        <v>0.0</v>
      </c>
      <c r="V151" s="3">
        <v>1.0</v>
      </c>
      <c r="W151" s="3" t="s">
        <v>68</v>
      </c>
      <c r="X151" s="3" t="s">
        <v>128</v>
      </c>
      <c r="Z151" s="3">
        <v>0.0</v>
      </c>
      <c r="AA151" s="3">
        <v>0.0</v>
      </c>
      <c r="AB151" s="3">
        <v>1.0</v>
      </c>
      <c r="AC151" s="3">
        <v>0.8928571428571429</v>
      </c>
      <c r="AD151" s="3">
        <v>0.8928571428571429</v>
      </c>
    </row>
    <row r="152">
      <c r="A152" s="1" t="s">
        <v>11</v>
      </c>
      <c r="B152" s="1" t="s">
        <v>177</v>
      </c>
      <c r="C152" s="1" t="s">
        <v>19</v>
      </c>
      <c r="D152" s="1" t="s">
        <v>110</v>
      </c>
      <c r="E152" s="1" t="s">
        <v>109</v>
      </c>
      <c r="F152" s="1" t="s">
        <v>59</v>
      </c>
      <c r="G152" s="1">
        <v>13.0</v>
      </c>
      <c r="H152" s="1" t="s">
        <v>60</v>
      </c>
      <c r="I152" s="1">
        <v>-112.0</v>
      </c>
      <c r="J152" s="1">
        <v>0.00452550024096132</v>
      </c>
      <c r="K152" s="1" t="s">
        <v>61</v>
      </c>
      <c r="L152" s="1" t="s">
        <v>61</v>
      </c>
      <c r="M152" s="1" t="s">
        <v>62</v>
      </c>
      <c r="N152" s="1">
        <v>-117.0</v>
      </c>
      <c r="O152" s="1">
        <v>-0.0708145671878711</v>
      </c>
      <c r="P152" s="1" t="s">
        <v>61</v>
      </c>
      <c r="Q152" s="1" t="s">
        <v>61</v>
      </c>
      <c r="R152" s="1">
        <v>0.00452550024096132</v>
      </c>
      <c r="S152" s="1">
        <v>-112.0</v>
      </c>
      <c r="T152" s="1">
        <f t="shared" si="1"/>
        <v>1.892857143</v>
      </c>
      <c r="U152" s="1">
        <v>1.0</v>
      </c>
      <c r="V152" s="3">
        <v>1.0</v>
      </c>
      <c r="W152" s="3" t="s">
        <v>68</v>
      </c>
      <c r="X152" s="3" t="s">
        <v>178</v>
      </c>
      <c r="Z152" s="3">
        <v>13.0</v>
      </c>
      <c r="AA152" s="3">
        <v>1.0</v>
      </c>
      <c r="AB152" s="3">
        <v>1.0</v>
      </c>
      <c r="AC152" s="3">
        <v>0.8928571428571429</v>
      </c>
      <c r="AD152" s="3">
        <v>0.8928571428571429</v>
      </c>
    </row>
    <row r="153">
      <c r="A153" s="1" t="s">
        <v>16</v>
      </c>
      <c r="B153" s="1" t="s">
        <v>320</v>
      </c>
      <c r="C153" s="1" t="s">
        <v>21</v>
      </c>
      <c r="D153" s="1" t="s">
        <v>114</v>
      </c>
      <c r="E153" s="1" t="s">
        <v>113</v>
      </c>
      <c r="F153" s="1" t="s">
        <v>90</v>
      </c>
      <c r="G153" s="1">
        <v>32.5</v>
      </c>
      <c r="H153" s="1" t="s">
        <v>60</v>
      </c>
      <c r="I153" s="1">
        <v>-118.0</v>
      </c>
      <c r="J153" s="1">
        <v>-0.0713177852678899</v>
      </c>
      <c r="K153" s="1" t="s">
        <v>61</v>
      </c>
      <c r="L153" s="1" t="s">
        <v>61</v>
      </c>
      <c r="M153" s="1" t="s">
        <v>62</v>
      </c>
      <c r="N153" s="1">
        <v>-112.0</v>
      </c>
      <c r="O153" s="1">
        <v>0.00176577066037741</v>
      </c>
      <c r="P153" s="1" t="s">
        <v>61</v>
      </c>
      <c r="Q153" s="1" t="s">
        <v>61</v>
      </c>
      <c r="R153" s="1">
        <v>0.00176577066037741</v>
      </c>
      <c r="S153" s="1">
        <v>-112.0</v>
      </c>
      <c r="T153" s="1">
        <f t="shared" si="1"/>
        <v>1.892857143</v>
      </c>
      <c r="U153" s="1">
        <v>0.0</v>
      </c>
      <c r="V153" s="3">
        <v>1.0</v>
      </c>
      <c r="W153" s="3" t="s">
        <v>68</v>
      </c>
      <c r="X153" s="3" t="s">
        <v>321</v>
      </c>
      <c r="Z153" s="3">
        <v>24.0</v>
      </c>
      <c r="AA153" s="3">
        <v>0.0</v>
      </c>
      <c r="AB153" s="3">
        <v>1.0</v>
      </c>
      <c r="AC153" s="3">
        <v>0.8928571428571429</v>
      </c>
      <c r="AD153" s="3">
        <v>0.8928571428571429</v>
      </c>
    </row>
    <row r="154">
      <c r="A154" s="1" t="s">
        <v>11</v>
      </c>
      <c r="B154" s="1" t="s">
        <v>305</v>
      </c>
      <c r="C154" s="1" t="s">
        <v>20</v>
      </c>
      <c r="D154" s="1" t="s">
        <v>165</v>
      </c>
      <c r="E154" s="1" t="s">
        <v>164</v>
      </c>
      <c r="F154" s="1" t="s">
        <v>166</v>
      </c>
      <c r="G154" s="1">
        <v>28.5</v>
      </c>
      <c r="H154" s="1" t="s">
        <v>60</v>
      </c>
      <c r="I154" s="1">
        <v>-116.0</v>
      </c>
      <c r="J154" s="1">
        <v>-0.100476120353657</v>
      </c>
      <c r="K154" s="1" t="s">
        <v>61</v>
      </c>
      <c r="L154" s="1" t="s">
        <v>61</v>
      </c>
      <c r="M154" s="1" t="s">
        <v>62</v>
      </c>
      <c r="N154" s="1">
        <v>-112.0</v>
      </c>
      <c r="O154" s="1">
        <v>0.0351850520564001</v>
      </c>
      <c r="P154" s="1" t="s">
        <v>61</v>
      </c>
      <c r="Q154" s="1" t="s">
        <v>61</v>
      </c>
      <c r="R154" s="1">
        <v>0.0351850520564001</v>
      </c>
      <c r="S154" s="1">
        <v>-112.0</v>
      </c>
      <c r="T154" s="1">
        <f t="shared" si="1"/>
        <v>1.892857143</v>
      </c>
      <c r="U154" s="1">
        <v>0.0</v>
      </c>
      <c r="V154" s="3">
        <v>1.0</v>
      </c>
      <c r="W154" s="3" t="s">
        <v>95</v>
      </c>
      <c r="X154" s="3" t="s">
        <v>306</v>
      </c>
      <c r="Z154" s="3">
        <v>6.0</v>
      </c>
      <c r="AA154" s="3">
        <v>0.0</v>
      </c>
      <c r="AB154" s="3">
        <v>1.0</v>
      </c>
      <c r="AC154" s="3">
        <v>0.8928571428571429</v>
      </c>
      <c r="AD154" s="3">
        <v>0.8928571428571429</v>
      </c>
    </row>
    <row r="155">
      <c r="A155" s="1" t="s">
        <v>10</v>
      </c>
      <c r="B155" s="1" t="s">
        <v>316</v>
      </c>
      <c r="C155" s="1" t="s">
        <v>21</v>
      </c>
      <c r="D155" s="1" t="s">
        <v>94</v>
      </c>
      <c r="E155" s="1" t="s">
        <v>93</v>
      </c>
      <c r="F155" s="1" t="s">
        <v>59</v>
      </c>
      <c r="G155" s="1">
        <v>3.5</v>
      </c>
      <c r="H155" s="1" t="s">
        <v>60</v>
      </c>
      <c r="I155" s="1">
        <v>-113.0</v>
      </c>
      <c r="J155" s="1">
        <v>0.0472362156420999</v>
      </c>
      <c r="K155" s="1" t="s">
        <v>61</v>
      </c>
      <c r="L155" s="1" t="s">
        <v>61</v>
      </c>
      <c r="M155" s="1" t="s">
        <v>62</v>
      </c>
      <c r="N155" s="1">
        <v>-118.0</v>
      </c>
      <c r="O155" s="1">
        <v>-0.119045102933419</v>
      </c>
      <c r="P155" s="1" t="s">
        <v>61</v>
      </c>
      <c r="Q155" s="1" t="s">
        <v>61</v>
      </c>
      <c r="R155" s="1">
        <v>0.0472362156420999</v>
      </c>
      <c r="S155" s="1">
        <v>-113.0</v>
      </c>
      <c r="T155" s="1">
        <f t="shared" si="1"/>
        <v>1.884955752</v>
      </c>
      <c r="U155" s="1">
        <v>1.0</v>
      </c>
      <c r="V155" s="3">
        <v>1.0</v>
      </c>
      <c r="W155" s="3" t="s">
        <v>95</v>
      </c>
      <c r="X155" s="3" t="s">
        <v>317</v>
      </c>
      <c r="Z155" s="3">
        <v>11.0</v>
      </c>
      <c r="AA155" s="3">
        <v>1.0</v>
      </c>
      <c r="AB155" s="3">
        <v>1.0</v>
      </c>
      <c r="AC155" s="3">
        <v>0.8849557522123894</v>
      </c>
      <c r="AD155" s="3">
        <v>0.8849557522123894</v>
      </c>
    </row>
    <row r="156">
      <c r="A156" s="1" t="s">
        <v>11</v>
      </c>
      <c r="B156" s="1" t="s">
        <v>268</v>
      </c>
      <c r="C156" s="1" t="s">
        <v>18</v>
      </c>
      <c r="D156" s="1" t="s">
        <v>99</v>
      </c>
      <c r="E156" s="1" t="s">
        <v>100</v>
      </c>
      <c r="F156" s="1" t="s">
        <v>59</v>
      </c>
      <c r="G156" s="1">
        <v>50.5</v>
      </c>
      <c r="H156" s="1" t="s">
        <v>60</v>
      </c>
      <c r="I156" s="1">
        <v>-118.0</v>
      </c>
      <c r="J156" s="1">
        <v>-0.118694192503027</v>
      </c>
      <c r="K156" s="1" t="s">
        <v>61</v>
      </c>
      <c r="L156" s="1" t="s">
        <v>61</v>
      </c>
      <c r="M156" s="1" t="s">
        <v>62</v>
      </c>
      <c r="N156" s="1">
        <v>-113.0</v>
      </c>
      <c r="O156" s="1">
        <v>0.0468786074353755</v>
      </c>
      <c r="P156" s="1" t="s">
        <v>61</v>
      </c>
      <c r="Q156" s="1" t="s">
        <v>61</v>
      </c>
      <c r="R156" s="1">
        <v>0.0468786074353755</v>
      </c>
      <c r="S156" s="1">
        <v>-113.0</v>
      </c>
      <c r="T156" s="1">
        <f t="shared" si="1"/>
        <v>1.884955752</v>
      </c>
      <c r="U156" s="1">
        <v>0.0</v>
      </c>
      <c r="V156" s="3">
        <v>1.0</v>
      </c>
      <c r="W156" s="3" t="s">
        <v>73</v>
      </c>
      <c r="X156" s="3" t="s">
        <v>269</v>
      </c>
      <c r="Z156" s="3">
        <v>29.0</v>
      </c>
      <c r="AA156" s="3">
        <v>0.0</v>
      </c>
      <c r="AB156" s="3">
        <v>1.0</v>
      </c>
      <c r="AC156" s="3">
        <v>0.8849557522123894</v>
      </c>
      <c r="AD156" s="3">
        <v>0.8849557522123894</v>
      </c>
    </row>
    <row r="157">
      <c r="A157" s="1" t="s">
        <v>17</v>
      </c>
      <c r="B157" s="1" t="s">
        <v>287</v>
      </c>
      <c r="C157" s="1" t="s">
        <v>21</v>
      </c>
      <c r="D157" s="1" t="s">
        <v>58</v>
      </c>
      <c r="E157" s="1" t="s">
        <v>57</v>
      </c>
      <c r="F157" s="1" t="s">
        <v>59</v>
      </c>
      <c r="G157" s="1">
        <v>0.5</v>
      </c>
      <c r="H157" s="1" t="s">
        <v>60</v>
      </c>
      <c r="I157" s="1">
        <v>-119.0</v>
      </c>
      <c r="J157" s="1">
        <v>-0.117978995433789</v>
      </c>
      <c r="K157" s="1" t="s">
        <v>61</v>
      </c>
      <c r="L157" s="1" t="s">
        <v>61</v>
      </c>
      <c r="M157" s="1" t="s">
        <v>62</v>
      </c>
      <c r="N157" s="1">
        <v>-113.0</v>
      </c>
      <c r="O157" s="1">
        <v>0.0440835680751173</v>
      </c>
      <c r="P157" s="1" t="s">
        <v>61</v>
      </c>
      <c r="Q157" s="1" t="s">
        <v>61</v>
      </c>
      <c r="R157" s="1">
        <v>0.0440835680751173</v>
      </c>
      <c r="S157" s="1">
        <v>-113.0</v>
      </c>
      <c r="T157" s="1">
        <f t="shared" si="1"/>
        <v>1.884955752</v>
      </c>
      <c r="U157" s="1">
        <v>0.0</v>
      </c>
      <c r="V157" s="3">
        <v>1.0</v>
      </c>
      <c r="W157" s="3" t="s">
        <v>101</v>
      </c>
      <c r="X157" s="3" t="s">
        <v>288</v>
      </c>
      <c r="Z157" s="3">
        <v>0.0</v>
      </c>
      <c r="AA157" s="3">
        <v>0.0</v>
      </c>
      <c r="AB157" s="3">
        <v>1.0</v>
      </c>
      <c r="AC157" s="3">
        <v>0.8849557522123894</v>
      </c>
      <c r="AD157" s="3">
        <v>0.8849557522123894</v>
      </c>
    </row>
    <row r="158">
      <c r="A158" s="1" t="s">
        <v>11</v>
      </c>
      <c r="B158" s="1" t="s">
        <v>175</v>
      </c>
      <c r="C158" s="1" t="s">
        <v>18</v>
      </c>
      <c r="D158" s="1" t="s">
        <v>146</v>
      </c>
      <c r="E158" s="1" t="s">
        <v>147</v>
      </c>
      <c r="F158" s="1" t="s">
        <v>59</v>
      </c>
      <c r="G158" s="1">
        <v>45.5</v>
      </c>
      <c r="H158" s="1" t="s">
        <v>60</v>
      </c>
      <c r="I158" s="1">
        <v>-117.0</v>
      </c>
      <c r="J158" s="1">
        <v>-0.101569479309401</v>
      </c>
      <c r="K158" s="1" t="s">
        <v>61</v>
      </c>
      <c r="L158" s="1" t="s">
        <v>61</v>
      </c>
      <c r="M158" s="1" t="s">
        <v>62</v>
      </c>
      <c r="N158" s="1">
        <v>-113.0</v>
      </c>
      <c r="O158" s="1">
        <v>0.0318813169120095</v>
      </c>
      <c r="P158" s="1" t="s">
        <v>61</v>
      </c>
      <c r="Q158" s="1" t="s">
        <v>61</v>
      </c>
      <c r="R158" s="1">
        <v>0.0318813169120095</v>
      </c>
      <c r="S158" s="1">
        <v>-113.0</v>
      </c>
      <c r="T158" s="1">
        <f t="shared" si="1"/>
        <v>1.884955752</v>
      </c>
      <c r="U158" s="1">
        <v>0.0</v>
      </c>
      <c r="V158" s="3">
        <v>1.0</v>
      </c>
      <c r="W158" s="3" t="s">
        <v>68</v>
      </c>
      <c r="X158" s="3" t="s">
        <v>176</v>
      </c>
      <c r="Z158" s="3">
        <v>35.0</v>
      </c>
      <c r="AA158" s="3">
        <v>0.0</v>
      </c>
      <c r="AB158" s="3">
        <v>1.0</v>
      </c>
      <c r="AC158" s="3">
        <v>0.8849557522123894</v>
      </c>
      <c r="AD158" s="3">
        <v>0.8849557522123894</v>
      </c>
    </row>
    <row r="159">
      <c r="A159" s="1" t="s">
        <v>11</v>
      </c>
      <c r="B159" s="1" t="s">
        <v>353</v>
      </c>
      <c r="C159" s="1" t="s">
        <v>18</v>
      </c>
      <c r="D159" s="1" t="s">
        <v>57</v>
      </c>
      <c r="E159" s="1" t="s">
        <v>58</v>
      </c>
      <c r="F159" s="1" t="s">
        <v>59</v>
      </c>
      <c r="G159" s="1">
        <v>52.5</v>
      </c>
      <c r="H159" s="1" t="s">
        <v>60</v>
      </c>
      <c r="I159" s="1">
        <v>-118.0</v>
      </c>
      <c r="J159" s="1">
        <v>-0.103292935536119</v>
      </c>
      <c r="K159" s="1" t="s">
        <v>61</v>
      </c>
      <c r="L159" s="1" t="s">
        <v>61</v>
      </c>
      <c r="M159" s="1" t="s">
        <v>62</v>
      </c>
      <c r="N159" s="1">
        <v>-113.0</v>
      </c>
      <c r="O159" s="1">
        <v>0.0314774040018779</v>
      </c>
      <c r="P159" s="1" t="s">
        <v>61</v>
      </c>
      <c r="Q159" s="1" t="s">
        <v>61</v>
      </c>
      <c r="R159" s="1">
        <v>0.0314774040018779</v>
      </c>
      <c r="S159" s="1">
        <v>-113.0</v>
      </c>
      <c r="T159" s="1">
        <f t="shared" si="1"/>
        <v>1.884955752</v>
      </c>
      <c r="U159" s="1">
        <v>0.0</v>
      </c>
      <c r="V159" s="3">
        <v>1.0</v>
      </c>
      <c r="W159" s="3" t="s">
        <v>101</v>
      </c>
      <c r="X159" s="3" t="s">
        <v>194</v>
      </c>
      <c r="Z159" s="3">
        <v>19.0</v>
      </c>
      <c r="AA159" s="3">
        <v>0.0</v>
      </c>
      <c r="AB159" s="3">
        <v>1.0</v>
      </c>
      <c r="AC159" s="3">
        <v>0.8849557522123894</v>
      </c>
      <c r="AD159" s="3">
        <v>0.8849557522123894</v>
      </c>
    </row>
    <row r="160">
      <c r="A160" s="1" t="s">
        <v>9</v>
      </c>
      <c r="B160" s="1" t="s">
        <v>354</v>
      </c>
      <c r="C160" s="1" t="s">
        <v>18</v>
      </c>
      <c r="D160" s="1" t="s">
        <v>147</v>
      </c>
      <c r="E160" s="1" t="s">
        <v>146</v>
      </c>
      <c r="F160" s="1" t="s">
        <v>59</v>
      </c>
      <c r="G160" s="1">
        <v>30.5</v>
      </c>
      <c r="H160" s="1" t="s">
        <v>60</v>
      </c>
      <c r="I160" s="1">
        <v>-113.0</v>
      </c>
      <c r="J160" s="1">
        <v>0.0249075776066535</v>
      </c>
      <c r="K160" s="1" t="s">
        <v>61</v>
      </c>
      <c r="L160" s="1" t="s">
        <v>61</v>
      </c>
      <c r="M160" s="1" t="s">
        <v>62</v>
      </c>
      <c r="N160" s="1">
        <v>-120.0</v>
      </c>
      <c r="O160" s="1">
        <v>-0.100833894710275</v>
      </c>
      <c r="P160" s="1" t="s">
        <v>61</v>
      </c>
      <c r="Q160" s="1" t="s">
        <v>61</v>
      </c>
      <c r="R160" s="1">
        <v>0.0249075776066535</v>
      </c>
      <c r="S160" s="1">
        <v>-113.0</v>
      </c>
      <c r="T160" s="1">
        <f t="shared" si="1"/>
        <v>1.884955752</v>
      </c>
      <c r="U160" s="1">
        <v>1.0</v>
      </c>
      <c r="V160" s="3">
        <v>1.0</v>
      </c>
      <c r="W160" s="3" t="s">
        <v>276</v>
      </c>
      <c r="X160" s="3" t="s">
        <v>265</v>
      </c>
      <c r="Z160" s="3">
        <v>58.0</v>
      </c>
      <c r="AA160" s="3">
        <v>1.0</v>
      </c>
      <c r="AB160" s="3">
        <v>1.0</v>
      </c>
      <c r="AC160" s="3">
        <v>0.8849557522123894</v>
      </c>
      <c r="AD160" s="3">
        <v>0.8849557522123894</v>
      </c>
    </row>
    <row r="161">
      <c r="A161" s="1" t="s">
        <v>11</v>
      </c>
      <c r="B161" s="1" t="s">
        <v>355</v>
      </c>
      <c r="C161" s="1" t="s">
        <v>18</v>
      </c>
      <c r="D161" s="1" t="s">
        <v>109</v>
      </c>
      <c r="E161" s="1" t="s">
        <v>110</v>
      </c>
      <c r="F161" s="1" t="s">
        <v>59</v>
      </c>
      <c r="G161" s="1">
        <v>35.5</v>
      </c>
      <c r="H161" s="1" t="s">
        <v>60</v>
      </c>
      <c r="I161" s="1">
        <v>-116.0</v>
      </c>
      <c r="J161" s="1">
        <v>-0.0834213666482871</v>
      </c>
      <c r="K161" s="1" t="s">
        <v>61</v>
      </c>
      <c r="L161" s="1" t="s">
        <v>61</v>
      </c>
      <c r="M161" s="1" t="s">
        <v>62</v>
      </c>
      <c r="N161" s="1">
        <v>-113.0</v>
      </c>
      <c r="O161" s="1">
        <v>0.0158645450169105</v>
      </c>
      <c r="P161" s="1" t="s">
        <v>61</v>
      </c>
      <c r="Q161" s="1" t="s">
        <v>61</v>
      </c>
      <c r="R161" s="1">
        <v>0.0158645450169105</v>
      </c>
      <c r="S161" s="1">
        <v>-113.0</v>
      </c>
      <c r="T161" s="1">
        <f t="shared" si="1"/>
        <v>1.884955752</v>
      </c>
      <c r="U161" s="1">
        <v>0.0</v>
      </c>
      <c r="V161" s="3">
        <v>1.0</v>
      </c>
      <c r="W161" s="3" t="s">
        <v>101</v>
      </c>
      <c r="X161" s="3" t="s">
        <v>356</v>
      </c>
      <c r="Z161" s="3">
        <v>15.0</v>
      </c>
      <c r="AA161" s="3">
        <v>0.0</v>
      </c>
      <c r="AB161" s="3">
        <v>1.0</v>
      </c>
      <c r="AC161" s="3">
        <v>0.8849557522123894</v>
      </c>
      <c r="AD161" s="3">
        <v>0.8849557522123894</v>
      </c>
    </row>
    <row r="162">
      <c r="A162" s="1" t="s">
        <v>11</v>
      </c>
      <c r="B162" s="1" t="s">
        <v>357</v>
      </c>
      <c r="C162" s="1" t="s">
        <v>18</v>
      </c>
      <c r="D162" s="1" t="s">
        <v>57</v>
      </c>
      <c r="E162" s="1" t="s">
        <v>58</v>
      </c>
      <c r="F162" s="1" t="s">
        <v>59</v>
      </c>
      <c r="G162" s="1">
        <v>15.5</v>
      </c>
      <c r="H162" s="1" t="s">
        <v>60</v>
      </c>
      <c r="I162" s="1">
        <v>-113.0</v>
      </c>
      <c r="J162" s="1">
        <v>0.00992965112841304</v>
      </c>
      <c r="K162" s="1" t="s">
        <v>61</v>
      </c>
      <c r="L162" s="1" t="s">
        <v>61</v>
      </c>
      <c r="M162" s="1" t="s">
        <v>62</v>
      </c>
      <c r="N162" s="1">
        <v>-118.0</v>
      </c>
      <c r="O162" s="1">
        <v>-0.0817222408927309</v>
      </c>
      <c r="P162" s="1" t="s">
        <v>61</v>
      </c>
      <c r="Q162" s="1" t="s">
        <v>61</v>
      </c>
      <c r="R162" s="1">
        <v>0.00992965112841304</v>
      </c>
      <c r="S162" s="1">
        <v>-113.0</v>
      </c>
      <c r="T162" s="1">
        <f t="shared" si="1"/>
        <v>1.884955752</v>
      </c>
      <c r="U162" s="1">
        <v>1.0</v>
      </c>
      <c r="V162" s="3">
        <v>1.0</v>
      </c>
      <c r="W162" s="3" t="s">
        <v>258</v>
      </c>
      <c r="X162" s="3" t="s">
        <v>358</v>
      </c>
      <c r="Z162" s="3">
        <v>35.0</v>
      </c>
      <c r="AA162" s="3">
        <v>1.0</v>
      </c>
      <c r="AB162" s="3">
        <v>1.0</v>
      </c>
      <c r="AC162" s="3">
        <v>0.8849557522123894</v>
      </c>
      <c r="AD162" s="3">
        <v>0.8849557522123894</v>
      </c>
    </row>
    <row r="163">
      <c r="A163" s="1" t="s">
        <v>8</v>
      </c>
      <c r="B163" s="1" t="s">
        <v>359</v>
      </c>
      <c r="C163" s="1" t="s">
        <v>19</v>
      </c>
      <c r="D163" s="1" t="s">
        <v>72</v>
      </c>
      <c r="E163" s="1" t="s">
        <v>71</v>
      </c>
      <c r="F163" s="1" t="s">
        <v>59</v>
      </c>
      <c r="G163" s="1">
        <v>15.5</v>
      </c>
      <c r="H163" s="1" t="s">
        <v>60</v>
      </c>
      <c r="I163" s="1">
        <v>-113.0</v>
      </c>
      <c r="J163" s="1">
        <v>0.00547829915492958</v>
      </c>
      <c r="K163" s="1" t="s">
        <v>61</v>
      </c>
      <c r="L163" s="1" t="s">
        <v>61</v>
      </c>
      <c r="M163" s="1" t="s">
        <v>62</v>
      </c>
      <c r="N163" s="1">
        <v>-117.0</v>
      </c>
      <c r="O163" s="1">
        <v>-0.0751792992276498</v>
      </c>
      <c r="P163" s="1" t="s">
        <v>61</v>
      </c>
      <c r="Q163" s="1" t="s">
        <v>61</v>
      </c>
      <c r="R163" s="1">
        <v>0.00547829915492958</v>
      </c>
      <c r="S163" s="1">
        <v>-113.0</v>
      </c>
      <c r="T163" s="1">
        <f t="shared" si="1"/>
        <v>1.884955752</v>
      </c>
      <c r="U163" s="1">
        <v>1.0</v>
      </c>
      <c r="V163" s="3">
        <v>1.0</v>
      </c>
      <c r="W163" s="3" t="s">
        <v>68</v>
      </c>
      <c r="X163" s="3" t="s">
        <v>360</v>
      </c>
      <c r="Z163" s="3">
        <v>30.0</v>
      </c>
      <c r="AA163" s="3">
        <v>1.0</v>
      </c>
      <c r="AB163" s="3">
        <v>1.0</v>
      </c>
      <c r="AC163" s="3">
        <v>0.8849557522123894</v>
      </c>
      <c r="AD163" s="3">
        <v>0.8849557522123894</v>
      </c>
    </row>
    <row r="164">
      <c r="A164" s="1" t="s">
        <v>10</v>
      </c>
      <c r="B164" s="1" t="s">
        <v>361</v>
      </c>
      <c r="C164" s="1" t="s">
        <v>19</v>
      </c>
      <c r="D164" s="1" t="s">
        <v>82</v>
      </c>
      <c r="E164" s="1" t="s">
        <v>83</v>
      </c>
      <c r="F164" s="1" t="s">
        <v>84</v>
      </c>
      <c r="G164" s="1">
        <v>24.5</v>
      </c>
      <c r="H164" s="1" t="s">
        <v>60</v>
      </c>
      <c r="I164" s="1">
        <v>-117.0</v>
      </c>
      <c r="J164" s="1">
        <v>-0.0749538062947933</v>
      </c>
      <c r="K164" s="1" t="s">
        <v>61</v>
      </c>
      <c r="L164" s="1" t="s">
        <v>61</v>
      </c>
      <c r="M164" s="1" t="s">
        <v>62</v>
      </c>
      <c r="N164" s="1">
        <v>-113.0</v>
      </c>
      <c r="O164" s="1">
        <v>0.00527946404481816</v>
      </c>
      <c r="P164" s="1" t="s">
        <v>61</v>
      </c>
      <c r="Q164" s="1" t="s">
        <v>61</v>
      </c>
      <c r="R164" s="1">
        <v>0.00527946404481816</v>
      </c>
      <c r="S164" s="1">
        <v>-113.0</v>
      </c>
      <c r="T164" s="1">
        <f t="shared" si="1"/>
        <v>1.884955752</v>
      </c>
      <c r="U164" s="1">
        <v>0.0</v>
      </c>
      <c r="V164" s="3">
        <v>1.0</v>
      </c>
      <c r="W164" s="3" t="s">
        <v>136</v>
      </c>
      <c r="X164" s="3" t="s">
        <v>362</v>
      </c>
      <c r="Z164" s="3">
        <v>12.0</v>
      </c>
      <c r="AA164" s="3">
        <v>0.0</v>
      </c>
      <c r="AB164" s="3">
        <v>1.0</v>
      </c>
      <c r="AC164" s="3">
        <v>0.8849557522123894</v>
      </c>
      <c r="AD164" s="3">
        <v>0.8849557522123894</v>
      </c>
    </row>
    <row r="165">
      <c r="A165" s="1" t="s">
        <v>11</v>
      </c>
      <c r="B165" s="1" t="s">
        <v>131</v>
      </c>
      <c r="C165" s="1" t="s">
        <v>18</v>
      </c>
      <c r="D165" s="1" t="s">
        <v>66</v>
      </c>
      <c r="E165" s="1" t="s">
        <v>67</v>
      </c>
      <c r="F165" s="1" t="s">
        <v>59</v>
      </c>
      <c r="G165" s="1">
        <v>36.5</v>
      </c>
      <c r="H165" s="1" t="s">
        <v>60</v>
      </c>
      <c r="I165" s="1">
        <v>-116.0</v>
      </c>
      <c r="J165" s="1">
        <v>-0.105408426970324</v>
      </c>
      <c r="K165" s="1" t="s">
        <v>61</v>
      </c>
      <c r="L165" s="1" t="s">
        <v>61</v>
      </c>
      <c r="M165" s="1" t="s">
        <v>62</v>
      </c>
      <c r="N165" s="1">
        <v>-114.0</v>
      </c>
      <c r="O165" s="1">
        <v>0.0356856866889562</v>
      </c>
      <c r="P165" s="1" t="s">
        <v>61</v>
      </c>
      <c r="Q165" s="1" t="s">
        <v>61</v>
      </c>
      <c r="R165" s="1">
        <v>0.0356856866889562</v>
      </c>
      <c r="S165" s="1">
        <v>-114.0</v>
      </c>
      <c r="T165" s="1">
        <f t="shared" si="1"/>
        <v>1.877192982</v>
      </c>
      <c r="U165" s="1">
        <v>0.0</v>
      </c>
      <c r="V165" s="3">
        <v>1.0</v>
      </c>
      <c r="W165" s="3" t="s">
        <v>101</v>
      </c>
      <c r="X165" s="3" t="s">
        <v>132</v>
      </c>
      <c r="Z165" s="3">
        <v>12.0</v>
      </c>
      <c r="AA165" s="3">
        <v>0.0</v>
      </c>
      <c r="AB165" s="3">
        <v>1.0</v>
      </c>
      <c r="AC165" s="3">
        <v>0.8771929824561403</v>
      </c>
      <c r="AD165" s="3">
        <v>0.8771929824561403</v>
      </c>
    </row>
    <row r="166">
      <c r="A166" s="1" t="s">
        <v>10</v>
      </c>
      <c r="B166" s="1" t="s">
        <v>127</v>
      </c>
      <c r="C166" s="1" t="s">
        <v>19</v>
      </c>
      <c r="D166" s="1" t="s">
        <v>83</v>
      </c>
      <c r="E166" s="1" t="s">
        <v>82</v>
      </c>
      <c r="F166" s="1" t="s">
        <v>84</v>
      </c>
      <c r="G166" s="1">
        <v>50.5</v>
      </c>
      <c r="H166" s="1" t="s">
        <v>60</v>
      </c>
      <c r="I166" s="1">
        <v>-118.0</v>
      </c>
      <c r="J166" s="1">
        <v>-0.103039095918529</v>
      </c>
      <c r="K166" s="1" t="s">
        <v>61</v>
      </c>
      <c r="L166" s="1" t="s">
        <v>61</v>
      </c>
      <c r="M166" s="1" t="s">
        <v>62</v>
      </c>
      <c r="N166" s="1">
        <v>-114.0</v>
      </c>
      <c r="O166" s="1">
        <v>0.0290047809484302</v>
      </c>
      <c r="P166" s="1" t="s">
        <v>61</v>
      </c>
      <c r="Q166" s="1" t="s">
        <v>61</v>
      </c>
      <c r="R166" s="1">
        <v>0.0290047809484302</v>
      </c>
      <c r="S166" s="1">
        <v>-114.0</v>
      </c>
      <c r="T166" s="1">
        <f t="shared" si="1"/>
        <v>1.877192982</v>
      </c>
      <c r="U166" s="1">
        <v>0.0</v>
      </c>
      <c r="V166" s="3">
        <v>1.0</v>
      </c>
      <c r="W166" s="3" t="s">
        <v>68</v>
      </c>
      <c r="X166" s="3" t="s">
        <v>128</v>
      </c>
      <c r="Z166" s="3">
        <v>23.0</v>
      </c>
      <c r="AA166" s="3">
        <v>0.0</v>
      </c>
      <c r="AB166" s="3">
        <v>1.0</v>
      </c>
      <c r="AC166" s="3">
        <v>0.8771929824561403</v>
      </c>
      <c r="AD166" s="3">
        <v>0.8771929824561403</v>
      </c>
    </row>
    <row r="167">
      <c r="A167" s="1" t="s">
        <v>11</v>
      </c>
      <c r="B167" s="1" t="s">
        <v>363</v>
      </c>
      <c r="C167" s="1" t="s">
        <v>20</v>
      </c>
      <c r="D167" s="1" t="s">
        <v>93</v>
      </c>
      <c r="E167" s="1" t="s">
        <v>94</v>
      </c>
      <c r="F167" s="1" t="s">
        <v>59</v>
      </c>
      <c r="G167" s="1">
        <v>43.5</v>
      </c>
      <c r="H167" s="1" t="s">
        <v>60</v>
      </c>
      <c r="I167" s="1">
        <v>-114.0</v>
      </c>
      <c r="J167" s="1">
        <v>-0.0899248501029906</v>
      </c>
      <c r="K167" s="1" t="s">
        <v>61</v>
      </c>
      <c r="L167" s="1" t="s">
        <v>61</v>
      </c>
      <c r="M167" s="1" t="s">
        <v>62</v>
      </c>
      <c r="N167" s="1">
        <v>-114.0</v>
      </c>
      <c r="O167" s="1">
        <v>0.0245750982010095</v>
      </c>
      <c r="P167" s="1" t="s">
        <v>61</v>
      </c>
      <c r="Q167" s="1" t="s">
        <v>61</v>
      </c>
      <c r="R167" s="1">
        <v>0.0245750982010095</v>
      </c>
      <c r="S167" s="1">
        <v>-114.0</v>
      </c>
      <c r="T167" s="1">
        <f t="shared" si="1"/>
        <v>1.877192982</v>
      </c>
      <c r="U167" s="1">
        <v>0.0</v>
      </c>
      <c r="V167" s="3">
        <v>1.0</v>
      </c>
      <c r="W167" s="3" t="s">
        <v>364</v>
      </c>
      <c r="X167" s="3" t="s">
        <v>365</v>
      </c>
      <c r="Z167" s="3">
        <v>5.0</v>
      </c>
      <c r="AA167" s="3">
        <v>0.0</v>
      </c>
      <c r="AB167" s="3">
        <v>1.0</v>
      </c>
      <c r="AC167" s="3">
        <v>0.8771929824561403</v>
      </c>
      <c r="AD167" s="3">
        <v>0.8771929824561403</v>
      </c>
    </row>
    <row r="168">
      <c r="A168" s="1" t="s">
        <v>13</v>
      </c>
      <c r="B168" s="1" t="s">
        <v>275</v>
      </c>
      <c r="C168" s="1" t="s">
        <v>21</v>
      </c>
      <c r="D168" s="1" t="s">
        <v>100</v>
      </c>
      <c r="E168" s="1" t="s">
        <v>99</v>
      </c>
      <c r="F168" s="1" t="s">
        <v>59</v>
      </c>
      <c r="G168" s="1">
        <v>234.0</v>
      </c>
      <c r="H168" s="1" t="s">
        <v>60</v>
      </c>
      <c r="I168" s="1">
        <v>-117.0</v>
      </c>
      <c r="J168" s="1">
        <v>-0.0952147465437789</v>
      </c>
      <c r="K168" s="1" t="s">
        <v>61</v>
      </c>
      <c r="L168" s="1" t="s">
        <v>61</v>
      </c>
      <c r="M168" s="1" t="s">
        <v>62</v>
      </c>
      <c r="N168" s="1">
        <v>-114.0</v>
      </c>
      <c r="O168" s="1">
        <v>0.0235280373831778</v>
      </c>
      <c r="P168" s="1" t="s">
        <v>61</v>
      </c>
      <c r="Q168" s="1" t="s">
        <v>61</v>
      </c>
      <c r="R168" s="1">
        <v>0.0235280373831778</v>
      </c>
      <c r="S168" s="1">
        <v>-114.0</v>
      </c>
      <c r="T168" s="1">
        <f t="shared" si="1"/>
        <v>1.877192982</v>
      </c>
      <c r="U168" s="1">
        <v>0.0</v>
      </c>
      <c r="V168" s="3">
        <v>1.0</v>
      </c>
      <c r="W168" s="3" t="s">
        <v>276</v>
      </c>
      <c r="X168" s="3" t="s">
        <v>277</v>
      </c>
      <c r="Z168" s="3">
        <v>127.0</v>
      </c>
      <c r="AA168" s="3">
        <v>0.0</v>
      </c>
      <c r="AB168" s="3">
        <v>1.0</v>
      </c>
      <c r="AC168" s="3">
        <v>0.8771929824561403</v>
      </c>
      <c r="AD168" s="3">
        <v>0.8771929824561403</v>
      </c>
    </row>
    <row r="169">
      <c r="A169" s="1" t="s">
        <v>11</v>
      </c>
      <c r="B169" s="1" t="s">
        <v>366</v>
      </c>
      <c r="C169" s="1" t="s">
        <v>20</v>
      </c>
      <c r="D169" s="1" t="s">
        <v>156</v>
      </c>
      <c r="E169" s="1" t="s">
        <v>157</v>
      </c>
      <c r="F169" s="1" t="s">
        <v>158</v>
      </c>
      <c r="G169" s="1">
        <v>38.5</v>
      </c>
      <c r="H169" s="1" t="s">
        <v>60</v>
      </c>
      <c r="I169" s="1">
        <v>-114.0</v>
      </c>
      <c r="J169" s="6">
        <v>-0.0855296047602804</v>
      </c>
      <c r="K169" s="1" t="s">
        <v>61</v>
      </c>
      <c r="L169" s="1" t="s">
        <v>61</v>
      </c>
      <c r="M169" s="1" t="s">
        <v>62</v>
      </c>
      <c r="N169" s="1">
        <v>-114.0</v>
      </c>
      <c r="O169" s="6">
        <v>0.0200551260907195</v>
      </c>
      <c r="P169" s="1" t="s">
        <v>61</v>
      </c>
      <c r="Q169" s="1" t="s">
        <v>61</v>
      </c>
      <c r="R169" s="6">
        <v>0.0200551260907195</v>
      </c>
      <c r="S169" s="1">
        <v>-114.0</v>
      </c>
      <c r="T169" s="1">
        <f t="shared" si="1"/>
        <v>1.877192982</v>
      </c>
      <c r="U169" s="1">
        <v>0.0</v>
      </c>
      <c r="V169" s="3">
        <v>1.0</v>
      </c>
      <c r="W169" s="3" t="s">
        <v>101</v>
      </c>
      <c r="X169" s="3" t="s">
        <v>367</v>
      </c>
      <c r="Z169" s="3">
        <v>31.0</v>
      </c>
      <c r="AA169" s="3">
        <v>0.0</v>
      </c>
      <c r="AB169" s="3">
        <v>1.0</v>
      </c>
      <c r="AC169" s="3">
        <v>0.8771929824561403</v>
      </c>
      <c r="AD169" s="3">
        <v>0.8771929824561403</v>
      </c>
    </row>
    <row r="170">
      <c r="A170" s="1" t="s">
        <v>10</v>
      </c>
      <c r="B170" s="1" t="s">
        <v>266</v>
      </c>
      <c r="C170" s="1" t="s">
        <v>19</v>
      </c>
      <c r="D170" s="1" t="s">
        <v>57</v>
      </c>
      <c r="E170" s="1" t="s">
        <v>58</v>
      </c>
      <c r="F170" s="1" t="s">
        <v>59</v>
      </c>
      <c r="G170" s="1">
        <v>54.5</v>
      </c>
      <c r="H170" s="1" t="s">
        <v>60</v>
      </c>
      <c r="I170" s="1">
        <v>-118.0</v>
      </c>
      <c r="J170" s="1">
        <v>-0.0877034855910413</v>
      </c>
      <c r="K170" s="1" t="s">
        <v>61</v>
      </c>
      <c r="L170" s="1" t="s">
        <v>61</v>
      </c>
      <c r="M170" s="1" t="s">
        <v>62</v>
      </c>
      <c r="N170" s="1">
        <v>-114.0</v>
      </c>
      <c r="O170" s="1">
        <v>0.0136776213851195</v>
      </c>
      <c r="P170" s="1" t="s">
        <v>61</v>
      </c>
      <c r="Q170" s="1" t="s">
        <v>61</v>
      </c>
      <c r="R170" s="1">
        <v>0.0136776213851195</v>
      </c>
      <c r="S170" s="1">
        <v>-114.0</v>
      </c>
      <c r="T170" s="1">
        <f t="shared" si="1"/>
        <v>1.877192982</v>
      </c>
      <c r="U170" s="1">
        <v>0.0</v>
      </c>
      <c r="V170" s="3">
        <v>1.0</v>
      </c>
      <c r="W170" s="3" t="s">
        <v>106</v>
      </c>
      <c r="X170" s="3" t="s">
        <v>267</v>
      </c>
      <c r="Z170" s="3">
        <v>14.0</v>
      </c>
      <c r="AA170" s="3">
        <v>0.0</v>
      </c>
      <c r="AB170" s="3">
        <v>1.0</v>
      </c>
      <c r="AC170" s="3">
        <v>0.8771929824561403</v>
      </c>
      <c r="AD170" s="3">
        <v>0.8771929824561403</v>
      </c>
    </row>
    <row r="171">
      <c r="A171" s="1" t="s">
        <v>9</v>
      </c>
      <c r="B171" s="1" t="s">
        <v>368</v>
      </c>
      <c r="C171" s="1" t="s">
        <v>19</v>
      </c>
      <c r="D171" s="1" t="s">
        <v>196</v>
      </c>
      <c r="E171" s="1" t="s">
        <v>197</v>
      </c>
      <c r="F171" s="1" t="s">
        <v>198</v>
      </c>
      <c r="G171" s="1">
        <v>79.5</v>
      </c>
      <c r="H171" s="1" t="s">
        <v>60</v>
      </c>
      <c r="I171" s="1">
        <v>-117.0</v>
      </c>
      <c r="J171" s="1">
        <v>-0.0845808718230478</v>
      </c>
      <c r="K171" s="1" t="s">
        <v>61</v>
      </c>
      <c r="L171" s="1" t="s">
        <v>61</v>
      </c>
      <c r="M171" s="1" t="s">
        <v>62</v>
      </c>
      <c r="N171" s="1">
        <v>-114.0</v>
      </c>
      <c r="O171" s="1">
        <v>0.0127328975307735</v>
      </c>
      <c r="P171" s="1" t="s">
        <v>61</v>
      </c>
      <c r="Q171" s="1" t="s">
        <v>61</v>
      </c>
      <c r="R171" s="1">
        <v>0.0127328975307735</v>
      </c>
      <c r="S171" s="1">
        <v>-114.0</v>
      </c>
      <c r="T171" s="1">
        <f t="shared" si="1"/>
        <v>1.877192982</v>
      </c>
      <c r="U171" s="1">
        <v>0.0</v>
      </c>
      <c r="V171" s="3">
        <v>1.0</v>
      </c>
      <c r="W171" s="3" t="s">
        <v>73</v>
      </c>
      <c r="X171" s="3" t="s">
        <v>128</v>
      </c>
      <c r="Z171" s="3">
        <v>54.0</v>
      </c>
      <c r="AA171" s="3">
        <v>0.0</v>
      </c>
      <c r="AB171" s="3">
        <v>1.0</v>
      </c>
      <c r="AC171" s="3">
        <v>0.8771929824561403</v>
      </c>
      <c r="AD171" s="3">
        <v>0.8771929824561403</v>
      </c>
    </row>
    <row r="172">
      <c r="A172" s="1" t="s">
        <v>11</v>
      </c>
      <c r="B172" s="1" t="s">
        <v>140</v>
      </c>
      <c r="C172" s="1" t="s">
        <v>20</v>
      </c>
      <c r="D172" s="1" t="s">
        <v>66</v>
      </c>
      <c r="E172" s="1" t="s">
        <v>67</v>
      </c>
      <c r="F172" s="1" t="s">
        <v>59</v>
      </c>
      <c r="G172" s="1">
        <v>27.0</v>
      </c>
      <c r="H172" s="1" t="s">
        <v>60</v>
      </c>
      <c r="I172" s="1">
        <v>-117.0</v>
      </c>
      <c r="J172" s="1">
        <v>-0.0808679066247926</v>
      </c>
      <c r="K172" s="1" t="s">
        <v>61</v>
      </c>
      <c r="L172" s="1" t="s">
        <v>61</v>
      </c>
      <c r="M172" s="1" t="s">
        <v>62</v>
      </c>
      <c r="N172" s="1">
        <v>-114.0</v>
      </c>
      <c r="O172" s="1">
        <v>0.0100317885086038</v>
      </c>
      <c r="P172" s="1" t="s">
        <v>61</v>
      </c>
      <c r="Q172" s="1" t="s">
        <v>61</v>
      </c>
      <c r="R172" s="1">
        <v>0.0100317885086038</v>
      </c>
      <c r="S172" s="1">
        <v>-114.0</v>
      </c>
      <c r="T172" s="1">
        <f t="shared" si="1"/>
        <v>1.877192982</v>
      </c>
      <c r="U172" s="1">
        <v>0.0</v>
      </c>
      <c r="V172" s="3">
        <v>1.0</v>
      </c>
      <c r="W172" s="3" t="s">
        <v>141</v>
      </c>
      <c r="X172" s="3" t="s">
        <v>142</v>
      </c>
      <c r="Z172" s="3">
        <v>18.0</v>
      </c>
      <c r="AA172" s="3">
        <v>0.0</v>
      </c>
      <c r="AB172" s="3">
        <v>1.0</v>
      </c>
      <c r="AC172" s="3">
        <v>0.8771929824561403</v>
      </c>
      <c r="AD172" s="3">
        <v>0.8771929824561403</v>
      </c>
    </row>
    <row r="173">
      <c r="A173" s="1" t="s">
        <v>14</v>
      </c>
      <c r="B173" s="1" t="s">
        <v>262</v>
      </c>
      <c r="C173" s="1" t="s">
        <v>21</v>
      </c>
      <c r="D173" s="1" t="s">
        <v>164</v>
      </c>
      <c r="E173" s="1" t="s">
        <v>165</v>
      </c>
      <c r="F173" s="1" t="s">
        <v>166</v>
      </c>
      <c r="G173" s="1">
        <v>1.5</v>
      </c>
      <c r="H173" s="1" t="s">
        <v>60</v>
      </c>
      <c r="I173" s="1">
        <v>-118.0</v>
      </c>
      <c r="J173" s="1">
        <v>-0.0988844036697246</v>
      </c>
      <c r="K173" s="1" t="s">
        <v>61</v>
      </c>
      <c r="L173" s="1" t="s">
        <v>61</v>
      </c>
      <c r="M173" s="1" t="s">
        <v>62</v>
      </c>
      <c r="N173" s="1">
        <v>-114.0</v>
      </c>
      <c r="O173" s="1">
        <v>0.0248897196261683</v>
      </c>
      <c r="P173" s="1" t="s">
        <v>61</v>
      </c>
      <c r="Q173" s="1" t="s">
        <v>61</v>
      </c>
      <c r="R173" s="1">
        <v>0.0248897196261683</v>
      </c>
      <c r="S173" s="1">
        <v>-114.0</v>
      </c>
      <c r="T173" s="1">
        <f t="shared" si="1"/>
        <v>1.877192982</v>
      </c>
      <c r="U173" s="1">
        <v>0.0</v>
      </c>
      <c r="V173" s="3">
        <v>1.0</v>
      </c>
      <c r="W173" s="3" t="s">
        <v>63</v>
      </c>
      <c r="X173" s="3" t="s">
        <v>263</v>
      </c>
      <c r="Z173" s="3">
        <v>0.0</v>
      </c>
      <c r="AA173" s="3">
        <v>0.0</v>
      </c>
      <c r="AB173" s="3">
        <v>1.0</v>
      </c>
      <c r="AC173" s="3">
        <v>0.8771929824561403</v>
      </c>
      <c r="AD173" s="3">
        <v>0.8771929824561403</v>
      </c>
    </row>
    <row r="174">
      <c r="A174" s="1" t="s">
        <v>11</v>
      </c>
      <c r="B174" s="1" t="s">
        <v>189</v>
      </c>
      <c r="C174" s="1" t="s">
        <v>18</v>
      </c>
      <c r="D174" s="1" t="s">
        <v>104</v>
      </c>
      <c r="E174" s="1" t="s">
        <v>105</v>
      </c>
      <c r="F174" s="1" t="s">
        <v>59</v>
      </c>
      <c r="G174" s="1">
        <v>45.0</v>
      </c>
      <c r="H174" s="1" t="s">
        <v>60</v>
      </c>
      <c r="I174" s="1">
        <v>-113.0</v>
      </c>
      <c r="J174" s="1">
        <v>-0.11339001418845</v>
      </c>
      <c r="K174" s="1" t="s">
        <v>61</v>
      </c>
      <c r="L174" s="1" t="s">
        <v>61</v>
      </c>
      <c r="M174" s="1" t="s">
        <v>62</v>
      </c>
      <c r="N174" s="1">
        <v>-115.0</v>
      </c>
      <c r="O174" s="1">
        <v>0.0485838337011628</v>
      </c>
      <c r="P174" s="1" t="s">
        <v>61</v>
      </c>
      <c r="Q174" s="1" t="s">
        <v>61</v>
      </c>
      <c r="R174" s="1">
        <v>0.0485838337011628</v>
      </c>
      <c r="S174" s="1">
        <v>-115.0</v>
      </c>
      <c r="T174" s="1">
        <f t="shared" si="1"/>
        <v>1.869565217</v>
      </c>
      <c r="U174" s="1">
        <v>0.0</v>
      </c>
      <c r="V174" s="3">
        <v>1.0</v>
      </c>
      <c r="W174" s="3" t="s">
        <v>73</v>
      </c>
      <c r="X174" s="3" t="s">
        <v>190</v>
      </c>
      <c r="Z174" s="3">
        <v>42.0</v>
      </c>
      <c r="AA174" s="3">
        <v>0.0</v>
      </c>
      <c r="AB174" s="3">
        <v>1.0</v>
      </c>
      <c r="AC174" s="3">
        <v>0.8695652173913043</v>
      </c>
      <c r="AD174" s="3">
        <v>0.8695652173913043</v>
      </c>
    </row>
    <row r="175">
      <c r="A175" s="1" t="s">
        <v>10</v>
      </c>
      <c r="B175" s="1" t="s">
        <v>243</v>
      </c>
      <c r="C175" s="1" t="s">
        <v>19</v>
      </c>
      <c r="D175" s="1" t="s">
        <v>156</v>
      </c>
      <c r="E175" s="1" t="s">
        <v>157</v>
      </c>
      <c r="F175" s="1" t="s">
        <v>158</v>
      </c>
      <c r="G175" s="1">
        <v>12.5</v>
      </c>
      <c r="H175" s="1" t="s">
        <v>60</v>
      </c>
      <c r="I175" s="1">
        <v>-115.0</v>
      </c>
      <c r="J175" s="6">
        <v>-0.118267529239853</v>
      </c>
      <c r="K175" s="1" t="s">
        <v>61</v>
      </c>
      <c r="L175" s="1" t="s">
        <v>61</v>
      </c>
      <c r="M175" s="1" t="s">
        <v>62</v>
      </c>
      <c r="N175" s="1">
        <v>-115.0</v>
      </c>
      <c r="O175" s="6">
        <v>0.0485126586258313</v>
      </c>
      <c r="P175" s="1" t="s">
        <v>61</v>
      </c>
      <c r="Q175" s="1" t="s">
        <v>61</v>
      </c>
      <c r="R175" s="6">
        <v>0.0485126586258313</v>
      </c>
      <c r="S175" s="1">
        <v>-115.0</v>
      </c>
      <c r="T175" s="1">
        <f t="shared" si="1"/>
        <v>1.869565217</v>
      </c>
      <c r="U175" s="1">
        <v>0.0</v>
      </c>
      <c r="V175" s="3">
        <v>1.0</v>
      </c>
      <c r="W175" s="3" t="s">
        <v>73</v>
      </c>
      <c r="X175" s="3" t="s">
        <v>244</v>
      </c>
      <c r="Z175" s="3">
        <v>2.0</v>
      </c>
      <c r="AA175" s="3">
        <v>0.0</v>
      </c>
      <c r="AB175" s="3">
        <v>1.0</v>
      </c>
      <c r="AC175" s="3">
        <v>0.8695652173913043</v>
      </c>
      <c r="AD175" s="3">
        <v>0.8695652173913043</v>
      </c>
    </row>
    <row r="176">
      <c r="A176" s="1" t="s">
        <v>17</v>
      </c>
      <c r="B176" s="1" t="s">
        <v>369</v>
      </c>
      <c r="C176" s="1" t="s">
        <v>21</v>
      </c>
      <c r="D176" s="1" t="s">
        <v>72</v>
      </c>
      <c r="E176" s="1" t="s">
        <v>71</v>
      </c>
      <c r="F176" s="1" t="s">
        <v>59</v>
      </c>
      <c r="G176" s="1">
        <v>0.5</v>
      </c>
      <c r="H176" s="1" t="s">
        <v>60</v>
      </c>
      <c r="I176" s="1">
        <v>-118.0</v>
      </c>
      <c r="J176" s="1">
        <v>-0.118884403669724</v>
      </c>
      <c r="K176" s="1" t="s">
        <v>61</v>
      </c>
      <c r="L176" s="1" t="s">
        <v>61</v>
      </c>
      <c r="M176" s="1" t="s">
        <v>62</v>
      </c>
      <c r="N176" s="1">
        <v>-115.0</v>
      </c>
      <c r="O176" s="1">
        <v>0.0427162790697673</v>
      </c>
      <c r="P176" s="1" t="s">
        <v>61</v>
      </c>
      <c r="Q176" s="1" t="s">
        <v>61</v>
      </c>
      <c r="R176" s="1">
        <v>0.0427162790697673</v>
      </c>
      <c r="S176" s="1">
        <v>-115.0</v>
      </c>
      <c r="T176" s="1">
        <f t="shared" si="1"/>
        <v>1.869565217</v>
      </c>
      <c r="U176" s="1">
        <v>0.0</v>
      </c>
      <c r="V176" s="3">
        <v>1.0</v>
      </c>
      <c r="W176" s="3" t="s">
        <v>106</v>
      </c>
      <c r="X176" s="3" t="s">
        <v>370</v>
      </c>
      <c r="Z176" s="3">
        <v>0.0</v>
      </c>
      <c r="AA176" s="3">
        <v>0.0</v>
      </c>
      <c r="AB176" s="3">
        <v>1.0</v>
      </c>
      <c r="AC176" s="3">
        <v>0.8695652173913043</v>
      </c>
      <c r="AD176" s="3">
        <v>0.8695652173913043</v>
      </c>
    </row>
    <row r="177">
      <c r="A177" s="1" t="s">
        <v>11</v>
      </c>
      <c r="B177" s="1" t="s">
        <v>121</v>
      </c>
      <c r="C177" s="1" t="s">
        <v>18</v>
      </c>
      <c r="D177" s="1" t="s">
        <v>93</v>
      </c>
      <c r="E177" s="1" t="s">
        <v>94</v>
      </c>
      <c r="F177" s="1" t="s">
        <v>59</v>
      </c>
      <c r="G177" s="1">
        <v>55.5</v>
      </c>
      <c r="H177" s="1" t="s">
        <v>60</v>
      </c>
      <c r="I177" s="1">
        <v>-115.0</v>
      </c>
      <c r="J177" s="1">
        <v>-0.110843820818767</v>
      </c>
      <c r="K177" s="1" t="s">
        <v>61</v>
      </c>
      <c r="L177" s="1" t="s">
        <v>61</v>
      </c>
      <c r="M177" s="1" t="s">
        <v>62</v>
      </c>
      <c r="N177" s="1">
        <v>-115.0</v>
      </c>
      <c r="O177" s="1">
        <v>0.0410551180902324</v>
      </c>
      <c r="P177" s="1" t="s">
        <v>61</v>
      </c>
      <c r="Q177" s="1" t="s">
        <v>61</v>
      </c>
      <c r="R177" s="1">
        <v>0.0410551180902324</v>
      </c>
      <c r="S177" s="1">
        <v>-115.0</v>
      </c>
      <c r="T177" s="1">
        <f t="shared" si="1"/>
        <v>1.869565217</v>
      </c>
      <c r="U177" s="1">
        <v>0.0</v>
      </c>
      <c r="V177" s="3">
        <v>1.0</v>
      </c>
      <c r="W177" s="3" t="s">
        <v>106</v>
      </c>
      <c r="X177" s="3" t="s">
        <v>122</v>
      </c>
      <c r="Z177" s="3">
        <v>30.0</v>
      </c>
      <c r="AA177" s="3">
        <v>0.0</v>
      </c>
      <c r="AB177" s="3">
        <v>1.0</v>
      </c>
      <c r="AC177" s="3">
        <v>0.8695652173913043</v>
      </c>
      <c r="AD177" s="3">
        <v>0.8695652173913043</v>
      </c>
    </row>
    <row r="178">
      <c r="A178" s="1" t="s">
        <v>12</v>
      </c>
      <c r="B178" s="1" t="s">
        <v>353</v>
      </c>
      <c r="C178" s="1" t="s">
        <v>18</v>
      </c>
      <c r="D178" s="1" t="s">
        <v>57</v>
      </c>
      <c r="E178" s="1" t="s">
        <v>58</v>
      </c>
      <c r="F178" s="1" t="s">
        <v>59</v>
      </c>
      <c r="G178" s="1">
        <v>4.5</v>
      </c>
      <c r="H178" s="1" t="s">
        <v>60</v>
      </c>
      <c r="I178" s="1">
        <v>-119.0</v>
      </c>
      <c r="J178" s="1">
        <v>-0.117633333333333</v>
      </c>
      <c r="K178" s="1" t="s">
        <v>61</v>
      </c>
      <c r="L178" s="1" t="s">
        <v>61</v>
      </c>
      <c r="M178" s="1" t="s">
        <v>62</v>
      </c>
      <c r="N178" s="1">
        <v>-115.0</v>
      </c>
      <c r="O178" s="1">
        <v>0.0393627906976743</v>
      </c>
      <c r="P178" s="1" t="s">
        <v>61</v>
      </c>
      <c r="Q178" s="1" t="s">
        <v>61</v>
      </c>
      <c r="R178" s="1">
        <v>0.0393627906976743</v>
      </c>
      <c r="S178" s="1">
        <v>-115.0</v>
      </c>
      <c r="T178" s="1">
        <f t="shared" si="1"/>
        <v>1.869565217</v>
      </c>
      <c r="U178" s="1">
        <v>0.0</v>
      </c>
      <c r="V178" s="3">
        <v>1.0</v>
      </c>
      <c r="W178" s="3" t="s">
        <v>101</v>
      </c>
      <c r="X178" s="3" t="s">
        <v>194</v>
      </c>
      <c r="Z178" s="3">
        <v>2.0</v>
      </c>
      <c r="AA178" s="3">
        <v>0.0</v>
      </c>
      <c r="AB178" s="3">
        <v>1.0</v>
      </c>
      <c r="AC178" s="3">
        <v>0.8695652173913043</v>
      </c>
      <c r="AD178" s="3">
        <v>0.8695652173913043</v>
      </c>
    </row>
    <row r="179">
      <c r="A179" s="1" t="s">
        <v>11</v>
      </c>
      <c r="B179" s="1" t="s">
        <v>371</v>
      </c>
      <c r="C179" s="1" t="s">
        <v>18</v>
      </c>
      <c r="D179" s="1" t="s">
        <v>66</v>
      </c>
      <c r="E179" s="1" t="s">
        <v>67</v>
      </c>
      <c r="F179" s="1" t="s">
        <v>59</v>
      </c>
      <c r="G179" s="1">
        <v>9.5</v>
      </c>
      <c r="H179" s="1" t="s">
        <v>60</v>
      </c>
      <c r="I179" s="1">
        <v>-115.0</v>
      </c>
      <c r="J179" s="1">
        <v>0.0345963391443171</v>
      </c>
      <c r="K179" s="1" t="s">
        <v>61</v>
      </c>
      <c r="L179" s="1" t="s">
        <v>61</v>
      </c>
      <c r="M179" s="1" t="s">
        <v>62</v>
      </c>
      <c r="N179" s="1">
        <v>-115.0</v>
      </c>
      <c r="O179" s="1">
        <v>-0.104375790015965</v>
      </c>
      <c r="P179" s="1" t="s">
        <v>61</v>
      </c>
      <c r="Q179" s="1" t="s">
        <v>61</v>
      </c>
      <c r="R179" s="1">
        <v>0.0345963391443171</v>
      </c>
      <c r="S179" s="1">
        <v>-115.0</v>
      </c>
      <c r="T179" s="1">
        <f t="shared" si="1"/>
        <v>1.869565217</v>
      </c>
      <c r="U179" s="1">
        <v>1.0</v>
      </c>
      <c r="V179" s="3">
        <v>1.0</v>
      </c>
      <c r="W179" s="3" t="s">
        <v>95</v>
      </c>
      <c r="X179" s="3" t="s">
        <v>372</v>
      </c>
      <c r="Z179" s="3">
        <v>27.0</v>
      </c>
      <c r="AA179" s="3">
        <v>1.0</v>
      </c>
      <c r="AB179" s="3">
        <v>1.0</v>
      </c>
      <c r="AC179" s="3">
        <v>0.8695652173913043</v>
      </c>
      <c r="AD179" s="3">
        <v>0.8695652173913043</v>
      </c>
    </row>
    <row r="180">
      <c r="A180" s="1" t="s">
        <v>10</v>
      </c>
      <c r="B180" s="1" t="s">
        <v>373</v>
      </c>
      <c r="C180" s="1" t="s">
        <v>19</v>
      </c>
      <c r="D180" s="1" t="s">
        <v>105</v>
      </c>
      <c r="E180" s="1" t="s">
        <v>104</v>
      </c>
      <c r="F180" s="1" t="s">
        <v>59</v>
      </c>
      <c r="G180" s="1">
        <v>20.5</v>
      </c>
      <c r="H180" s="1" t="s">
        <v>60</v>
      </c>
      <c r="I180" s="1">
        <v>-115.0</v>
      </c>
      <c r="J180" s="1">
        <v>-0.101231492396803</v>
      </c>
      <c r="K180" s="1" t="s">
        <v>61</v>
      </c>
      <c r="L180" s="1" t="s">
        <v>61</v>
      </c>
      <c r="M180" s="1" t="s">
        <v>62</v>
      </c>
      <c r="N180" s="1">
        <v>-115.0</v>
      </c>
      <c r="O180" s="1">
        <v>0.0315312162563238</v>
      </c>
      <c r="P180" s="1" t="s">
        <v>61</v>
      </c>
      <c r="Q180" s="1" t="s">
        <v>61</v>
      </c>
      <c r="R180" s="1">
        <v>0.0315312162563238</v>
      </c>
      <c r="S180" s="1">
        <v>-115.0</v>
      </c>
      <c r="T180" s="1">
        <f t="shared" si="1"/>
        <v>1.869565217</v>
      </c>
      <c r="U180" s="1">
        <v>0.0</v>
      </c>
      <c r="V180" s="3">
        <v>1.0</v>
      </c>
      <c r="W180" s="3" t="s">
        <v>95</v>
      </c>
      <c r="X180" s="3" t="s">
        <v>374</v>
      </c>
      <c r="Z180" s="3">
        <v>13.0</v>
      </c>
      <c r="AA180" s="3">
        <v>0.0</v>
      </c>
      <c r="AB180" s="3">
        <v>1.0</v>
      </c>
      <c r="AC180" s="3">
        <v>0.8695652173913043</v>
      </c>
      <c r="AD180" s="3">
        <v>0.8695652173913043</v>
      </c>
    </row>
    <row r="181">
      <c r="A181" s="1" t="s">
        <v>11</v>
      </c>
      <c r="B181" s="1" t="s">
        <v>375</v>
      </c>
      <c r="C181" s="1" t="s">
        <v>19</v>
      </c>
      <c r="D181" s="1" t="s">
        <v>88</v>
      </c>
      <c r="E181" s="1" t="s">
        <v>89</v>
      </c>
      <c r="F181" s="1" t="s">
        <v>90</v>
      </c>
      <c r="G181" s="1">
        <v>8.5</v>
      </c>
      <c r="H181" s="1" t="s">
        <v>60</v>
      </c>
      <c r="I181" s="1">
        <v>-115.0</v>
      </c>
      <c r="J181" s="1">
        <v>0.0313055769916297</v>
      </c>
      <c r="K181" s="1" t="s">
        <v>61</v>
      </c>
      <c r="L181" s="1" t="s">
        <v>61</v>
      </c>
      <c r="M181" s="1" t="s">
        <v>62</v>
      </c>
      <c r="N181" s="1">
        <v>-115.0</v>
      </c>
      <c r="O181" s="1">
        <v>-0.101041413540374</v>
      </c>
      <c r="P181" s="1" t="s">
        <v>61</v>
      </c>
      <c r="Q181" s="1" t="s">
        <v>61</v>
      </c>
      <c r="R181" s="1">
        <v>0.0313055769916297</v>
      </c>
      <c r="S181" s="1">
        <v>-115.0</v>
      </c>
      <c r="T181" s="1">
        <f t="shared" si="1"/>
        <v>1.869565217</v>
      </c>
      <c r="U181" s="1">
        <v>1.0</v>
      </c>
      <c r="V181" s="3">
        <v>1.0</v>
      </c>
      <c r="W181" s="3" t="s">
        <v>364</v>
      </c>
      <c r="X181" s="3" t="s">
        <v>376</v>
      </c>
      <c r="Z181" s="3">
        <v>9.0</v>
      </c>
      <c r="AA181" s="3">
        <v>1.0</v>
      </c>
      <c r="AB181" s="3">
        <v>1.0</v>
      </c>
      <c r="AC181" s="3">
        <v>0.8695652173913043</v>
      </c>
      <c r="AD181" s="3">
        <v>0.8695652173913043</v>
      </c>
    </row>
    <row r="182">
      <c r="A182" s="1" t="s">
        <v>10</v>
      </c>
      <c r="B182" s="1" t="s">
        <v>280</v>
      </c>
      <c r="C182" s="1" t="s">
        <v>19</v>
      </c>
      <c r="D182" s="1" t="s">
        <v>94</v>
      </c>
      <c r="E182" s="1" t="s">
        <v>93</v>
      </c>
      <c r="F182" s="1" t="s">
        <v>59</v>
      </c>
      <c r="G182" s="1">
        <v>45.0</v>
      </c>
      <c r="H182" s="1" t="s">
        <v>60</v>
      </c>
      <c r="I182" s="1">
        <v>-116.0</v>
      </c>
      <c r="J182" s="1">
        <v>-0.101878542557198</v>
      </c>
      <c r="K182" s="1" t="s">
        <v>61</v>
      </c>
      <c r="L182" s="1" t="s">
        <v>61</v>
      </c>
      <c r="M182" s="1" t="s">
        <v>62</v>
      </c>
      <c r="N182" s="1">
        <v>-115.0</v>
      </c>
      <c r="O182" s="1">
        <v>0.0311135909716653</v>
      </c>
      <c r="P182" s="1" t="s">
        <v>61</v>
      </c>
      <c r="Q182" s="1" t="s">
        <v>61</v>
      </c>
      <c r="R182" s="1">
        <v>0.0311135909716653</v>
      </c>
      <c r="S182" s="1">
        <v>-115.0</v>
      </c>
      <c r="T182" s="1">
        <f t="shared" si="1"/>
        <v>1.869565217</v>
      </c>
      <c r="U182" s="1">
        <v>0.0</v>
      </c>
      <c r="V182" s="3">
        <v>1.0</v>
      </c>
      <c r="W182" s="3" t="s">
        <v>153</v>
      </c>
      <c r="X182" s="3" t="s">
        <v>281</v>
      </c>
      <c r="Z182" s="3">
        <v>9.0</v>
      </c>
      <c r="AA182" s="3">
        <v>0.0</v>
      </c>
      <c r="AB182" s="3">
        <v>1.0</v>
      </c>
      <c r="AC182" s="3">
        <v>0.8695652173913043</v>
      </c>
      <c r="AD182" s="3">
        <v>0.8695652173913043</v>
      </c>
    </row>
    <row r="183">
      <c r="A183" s="1" t="s">
        <v>10</v>
      </c>
      <c r="B183" s="1" t="s">
        <v>377</v>
      </c>
      <c r="C183" s="1" t="s">
        <v>19</v>
      </c>
      <c r="D183" s="1" t="s">
        <v>146</v>
      </c>
      <c r="E183" s="1" t="s">
        <v>147</v>
      </c>
      <c r="F183" s="1" t="s">
        <v>59</v>
      </c>
      <c r="G183" s="1">
        <v>28.5</v>
      </c>
      <c r="H183" s="1" t="s">
        <v>60</v>
      </c>
      <c r="I183" s="1">
        <v>-115.0</v>
      </c>
      <c r="J183" s="1">
        <v>-0.100460111723868</v>
      </c>
      <c r="K183" s="1" t="s">
        <v>61</v>
      </c>
      <c r="L183" s="1" t="s">
        <v>61</v>
      </c>
      <c r="M183" s="1" t="s">
        <v>62</v>
      </c>
      <c r="N183" s="1">
        <v>-115.0</v>
      </c>
      <c r="O183" s="1">
        <v>0.030734128482449</v>
      </c>
      <c r="P183" s="1" t="s">
        <v>61</v>
      </c>
      <c r="Q183" s="1" t="s">
        <v>61</v>
      </c>
      <c r="R183" s="1">
        <v>0.030734128482449</v>
      </c>
      <c r="S183" s="1">
        <v>-115.0</v>
      </c>
      <c r="T183" s="1">
        <f t="shared" si="1"/>
        <v>1.869565217</v>
      </c>
      <c r="U183" s="1">
        <v>0.0</v>
      </c>
      <c r="V183" s="3">
        <v>1.0</v>
      </c>
      <c r="W183" s="3" t="s">
        <v>95</v>
      </c>
      <c r="X183" s="3" t="s">
        <v>378</v>
      </c>
      <c r="Z183" s="3">
        <v>17.0</v>
      </c>
      <c r="AA183" s="3">
        <v>0.0</v>
      </c>
      <c r="AB183" s="3">
        <v>1.0</v>
      </c>
      <c r="AC183" s="3">
        <v>0.8695652173913043</v>
      </c>
      <c r="AD183" s="3">
        <v>0.8695652173913043</v>
      </c>
    </row>
    <row r="184">
      <c r="A184" s="1" t="s">
        <v>11</v>
      </c>
      <c r="B184" s="1" t="s">
        <v>377</v>
      </c>
      <c r="C184" s="1" t="s">
        <v>19</v>
      </c>
      <c r="D184" s="1" t="s">
        <v>146</v>
      </c>
      <c r="E184" s="1" t="s">
        <v>147</v>
      </c>
      <c r="F184" s="1" t="s">
        <v>59</v>
      </c>
      <c r="G184" s="1">
        <v>7.5</v>
      </c>
      <c r="H184" s="1" t="s">
        <v>60</v>
      </c>
      <c r="I184" s="1">
        <v>-115.0</v>
      </c>
      <c r="J184" s="1">
        <v>0.0295521520288095</v>
      </c>
      <c r="K184" s="1" t="s">
        <v>61</v>
      </c>
      <c r="L184" s="1" t="s">
        <v>61</v>
      </c>
      <c r="M184" s="1" t="s">
        <v>62</v>
      </c>
      <c r="N184" s="1">
        <v>-115.0</v>
      </c>
      <c r="O184" s="1">
        <v>-0.0992949748331311</v>
      </c>
      <c r="P184" s="1" t="s">
        <v>61</v>
      </c>
      <c r="Q184" s="1" t="s">
        <v>61</v>
      </c>
      <c r="R184" s="1">
        <v>0.0295521520288095</v>
      </c>
      <c r="S184" s="1">
        <v>-115.0</v>
      </c>
      <c r="T184" s="1">
        <f t="shared" si="1"/>
        <v>1.869565217</v>
      </c>
      <c r="U184" s="1">
        <v>1.0</v>
      </c>
      <c r="V184" s="3">
        <v>1.0</v>
      </c>
      <c r="W184" s="3" t="s">
        <v>95</v>
      </c>
      <c r="X184" s="3" t="s">
        <v>378</v>
      </c>
      <c r="Z184" s="3">
        <v>25.0</v>
      </c>
      <c r="AA184" s="3">
        <v>1.0</v>
      </c>
      <c r="AB184" s="3">
        <v>1.0</v>
      </c>
      <c r="AC184" s="3">
        <v>0.8695652173913043</v>
      </c>
      <c r="AD184" s="3">
        <v>0.8695652173913043</v>
      </c>
    </row>
    <row r="185">
      <c r="A185" s="1" t="s">
        <v>10</v>
      </c>
      <c r="B185" s="1" t="s">
        <v>202</v>
      </c>
      <c r="C185" s="1" t="s">
        <v>19</v>
      </c>
      <c r="D185" s="1" t="s">
        <v>109</v>
      </c>
      <c r="E185" s="1" t="s">
        <v>110</v>
      </c>
      <c r="F185" s="1" t="s">
        <v>59</v>
      </c>
      <c r="G185" s="1">
        <v>28.5</v>
      </c>
      <c r="H185" s="1" t="s">
        <v>60</v>
      </c>
      <c r="I185" s="1">
        <v>-115.0</v>
      </c>
      <c r="J185" s="1">
        <v>-0.0985198751278889</v>
      </c>
      <c r="K185" s="1" t="s">
        <v>61</v>
      </c>
      <c r="L185" s="1" t="s">
        <v>61</v>
      </c>
      <c r="M185" s="1" t="s">
        <v>62</v>
      </c>
      <c r="N185" s="1">
        <v>-115.0</v>
      </c>
      <c r="O185" s="1">
        <v>0.0287728563970721</v>
      </c>
      <c r="P185" s="1" t="s">
        <v>61</v>
      </c>
      <c r="Q185" s="1" t="s">
        <v>61</v>
      </c>
      <c r="R185" s="1">
        <v>0.0287728563970721</v>
      </c>
      <c r="S185" s="1">
        <v>-115.0</v>
      </c>
      <c r="T185" s="1">
        <f t="shared" si="1"/>
        <v>1.869565217</v>
      </c>
      <c r="U185" s="1">
        <v>0.0</v>
      </c>
      <c r="V185" s="3">
        <v>1.0</v>
      </c>
      <c r="W185" s="3" t="s">
        <v>95</v>
      </c>
      <c r="X185" s="3" t="s">
        <v>203</v>
      </c>
      <c r="Z185" s="3">
        <v>21.0</v>
      </c>
      <c r="AA185" s="3">
        <v>0.0</v>
      </c>
      <c r="AB185" s="3">
        <v>1.0</v>
      </c>
      <c r="AC185" s="3">
        <v>0.8695652173913043</v>
      </c>
      <c r="AD185" s="3">
        <v>0.8695652173913043</v>
      </c>
    </row>
    <row r="186">
      <c r="A186" s="1" t="s">
        <v>11</v>
      </c>
      <c r="B186" s="1" t="s">
        <v>299</v>
      </c>
      <c r="C186" s="1" t="s">
        <v>18</v>
      </c>
      <c r="D186" s="1" t="s">
        <v>89</v>
      </c>
      <c r="E186" s="1" t="s">
        <v>88</v>
      </c>
      <c r="F186" s="1" t="s">
        <v>90</v>
      </c>
      <c r="G186" s="1">
        <v>39.5</v>
      </c>
      <c r="H186" s="1" t="s">
        <v>60</v>
      </c>
      <c r="I186" s="1">
        <v>-115.0</v>
      </c>
      <c r="J186" s="1">
        <v>-0.0983229797893024</v>
      </c>
      <c r="K186" s="1" t="s">
        <v>61</v>
      </c>
      <c r="L186" s="1" t="s">
        <v>61</v>
      </c>
      <c r="M186" s="1" t="s">
        <v>62</v>
      </c>
      <c r="N186" s="1">
        <v>-115.0</v>
      </c>
      <c r="O186" s="1">
        <v>0.0285607977926976</v>
      </c>
      <c r="P186" s="1" t="s">
        <v>61</v>
      </c>
      <c r="Q186" s="1" t="s">
        <v>61</v>
      </c>
      <c r="R186" s="1">
        <v>0.0285607977926976</v>
      </c>
      <c r="S186" s="1">
        <v>-115.0</v>
      </c>
      <c r="T186" s="1">
        <f t="shared" si="1"/>
        <v>1.869565217</v>
      </c>
      <c r="U186" s="1">
        <v>0.0</v>
      </c>
      <c r="V186" s="3">
        <v>1.0</v>
      </c>
      <c r="W186" s="3" t="s">
        <v>68</v>
      </c>
      <c r="X186" s="3" t="s">
        <v>300</v>
      </c>
      <c r="Z186" s="3">
        <v>25.0</v>
      </c>
      <c r="AA186" s="3">
        <v>0.0</v>
      </c>
      <c r="AB186" s="3">
        <v>1.0</v>
      </c>
      <c r="AC186" s="3">
        <v>0.8695652173913043</v>
      </c>
      <c r="AD186" s="3">
        <v>0.8695652173913043</v>
      </c>
    </row>
    <row r="187">
      <c r="A187" s="1" t="s">
        <v>9</v>
      </c>
      <c r="B187" s="1" t="s">
        <v>379</v>
      </c>
      <c r="C187" s="1" t="s">
        <v>18</v>
      </c>
      <c r="D187" s="1" t="s">
        <v>146</v>
      </c>
      <c r="E187" s="1" t="s">
        <v>147</v>
      </c>
      <c r="F187" s="1" t="s">
        <v>59</v>
      </c>
      <c r="G187" s="1">
        <v>83.0</v>
      </c>
      <c r="H187" s="1" t="s">
        <v>60</v>
      </c>
      <c r="I187" s="1">
        <v>-120.0</v>
      </c>
      <c r="J187" s="1">
        <v>-0.107054194796186</v>
      </c>
      <c r="K187" s="1" t="s">
        <v>61</v>
      </c>
      <c r="L187" s="1" t="s">
        <v>61</v>
      </c>
      <c r="M187" s="1" t="s">
        <v>62</v>
      </c>
      <c r="N187" s="1">
        <v>-115.0</v>
      </c>
      <c r="O187" s="1">
        <v>0.0273167966671407</v>
      </c>
      <c r="P187" s="1" t="s">
        <v>61</v>
      </c>
      <c r="Q187" s="1" t="s">
        <v>61</v>
      </c>
      <c r="R187" s="1">
        <v>0.0273167966671407</v>
      </c>
      <c r="S187" s="1">
        <v>-115.0</v>
      </c>
      <c r="T187" s="1">
        <f t="shared" si="1"/>
        <v>1.869565217</v>
      </c>
      <c r="U187" s="1">
        <v>0.0</v>
      </c>
      <c r="V187" s="3">
        <v>1.0</v>
      </c>
      <c r="W187" s="3" t="s">
        <v>68</v>
      </c>
      <c r="X187" s="3" t="s">
        <v>380</v>
      </c>
      <c r="Z187" s="3">
        <v>59.0</v>
      </c>
      <c r="AA187" s="3">
        <v>0.0</v>
      </c>
      <c r="AB187" s="3">
        <v>1.0</v>
      </c>
      <c r="AC187" s="3">
        <v>0.8695652173913043</v>
      </c>
      <c r="AD187" s="3">
        <v>0.8695652173913043</v>
      </c>
    </row>
    <row r="188">
      <c r="A188" s="1" t="s">
        <v>10</v>
      </c>
      <c r="B188" s="1" t="s">
        <v>289</v>
      </c>
      <c r="C188" s="1" t="s">
        <v>19</v>
      </c>
      <c r="D188" s="1" t="s">
        <v>94</v>
      </c>
      <c r="E188" s="1" t="s">
        <v>93</v>
      </c>
      <c r="F188" s="1" t="s">
        <v>59</v>
      </c>
      <c r="G188" s="1">
        <v>54.5</v>
      </c>
      <c r="H188" s="1" t="s">
        <v>60</v>
      </c>
      <c r="I188" s="1">
        <v>-115.0</v>
      </c>
      <c r="J188" s="1">
        <v>-0.0958951378329671</v>
      </c>
      <c r="K188" s="1" t="s">
        <v>61</v>
      </c>
      <c r="L188" s="1" t="s">
        <v>61</v>
      </c>
      <c r="M188" s="1" t="s">
        <v>62</v>
      </c>
      <c r="N188" s="1">
        <v>-115.0</v>
      </c>
      <c r="O188" s="1">
        <v>0.026112157351412</v>
      </c>
      <c r="P188" s="1" t="s">
        <v>61</v>
      </c>
      <c r="Q188" s="1" t="s">
        <v>61</v>
      </c>
      <c r="R188" s="1">
        <v>0.026112157351412</v>
      </c>
      <c r="S188" s="1">
        <v>-115.0</v>
      </c>
      <c r="T188" s="1">
        <f t="shared" si="1"/>
        <v>1.869565217</v>
      </c>
      <c r="U188" s="1">
        <v>0.0</v>
      </c>
      <c r="V188" s="3">
        <v>1.0</v>
      </c>
      <c r="W188" s="3" t="s">
        <v>101</v>
      </c>
      <c r="X188" s="3" t="s">
        <v>290</v>
      </c>
      <c r="Z188" s="3">
        <v>24.0</v>
      </c>
      <c r="AA188" s="3">
        <v>0.0</v>
      </c>
      <c r="AB188" s="3">
        <v>1.0</v>
      </c>
      <c r="AC188" s="3">
        <v>0.8695652173913043</v>
      </c>
      <c r="AD188" s="3">
        <v>0.8695652173913043</v>
      </c>
    </row>
    <row r="189">
      <c r="A189" s="1" t="s">
        <v>13</v>
      </c>
      <c r="B189" s="1" t="s">
        <v>274</v>
      </c>
      <c r="C189" s="1" t="s">
        <v>21</v>
      </c>
      <c r="D189" s="1" t="s">
        <v>99</v>
      </c>
      <c r="E189" s="1" t="s">
        <v>100</v>
      </c>
      <c r="F189" s="1" t="s">
        <v>59</v>
      </c>
      <c r="G189" s="1">
        <v>242.0</v>
      </c>
      <c r="H189" s="1" t="s">
        <v>60</v>
      </c>
      <c r="I189" s="1">
        <v>-115.0</v>
      </c>
      <c r="J189" s="1">
        <v>-0.0933837209302326</v>
      </c>
      <c r="K189" s="1" t="s">
        <v>61</v>
      </c>
      <c r="L189" s="1" t="s">
        <v>61</v>
      </c>
      <c r="M189" s="1" t="s">
        <v>62</v>
      </c>
      <c r="N189" s="1">
        <v>-115.0</v>
      </c>
      <c r="O189" s="1">
        <v>0.0239162790697673</v>
      </c>
      <c r="P189" s="1" t="s">
        <v>61</v>
      </c>
      <c r="Q189" s="1" t="s">
        <v>61</v>
      </c>
      <c r="R189" s="1">
        <v>0.0239162790697673</v>
      </c>
      <c r="S189" s="1">
        <v>-115.0</v>
      </c>
      <c r="T189" s="1">
        <f t="shared" si="1"/>
        <v>1.869565217</v>
      </c>
      <c r="U189" s="1">
        <v>0.0</v>
      </c>
      <c r="V189" s="3">
        <v>1.0</v>
      </c>
      <c r="W189" s="3" t="s">
        <v>106</v>
      </c>
      <c r="X189" s="3" t="s">
        <v>128</v>
      </c>
      <c r="Z189" s="3">
        <v>93.0</v>
      </c>
      <c r="AA189" s="3">
        <v>0.0</v>
      </c>
      <c r="AB189" s="3">
        <v>1.0</v>
      </c>
      <c r="AC189" s="3">
        <v>0.8695652173913043</v>
      </c>
      <c r="AD189" s="3">
        <v>0.8695652173913043</v>
      </c>
    </row>
    <row r="190">
      <c r="A190" s="1" t="s">
        <v>11</v>
      </c>
      <c r="B190" s="1" t="s">
        <v>231</v>
      </c>
      <c r="C190" s="1" t="s">
        <v>20</v>
      </c>
      <c r="D190" s="1" t="s">
        <v>99</v>
      </c>
      <c r="E190" s="1" t="s">
        <v>100</v>
      </c>
      <c r="F190" s="1" t="s">
        <v>59</v>
      </c>
      <c r="G190" s="1">
        <v>22.5</v>
      </c>
      <c r="H190" s="1" t="s">
        <v>60</v>
      </c>
      <c r="I190" s="1">
        <v>-116.0</v>
      </c>
      <c r="J190" s="1">
        <v>-0.0950597092684075</v>
      </c>
      <c r="K190" s="1" t="s">
        <v>61</v>
      </c>
      <c r="L190" s="1" t="s">
        <v>61</v>
      </c>
      <c r="M190" s="1" t="s">
        <v>62</v>
      </c>
      <c r="N190" s="1">
        <v>-115.0</v>
      </c>
      <c r="O190" s="1">
        <v>0.023142473405918</v>
      </c>
      <c r="P190" s="1" t="s">
        <v>61</v>
      </c>
      <c r="Q190" s="1" t="s">
        <v>61</v>
      </c>
      <c r="R190" s="1">
        <v>0.023142473405918</v>
      </c>
      <c r="S190" s="1">
        <v>-115.0</v>
      </c>
      <c r="T190" s="1">
        <f t="shared" si="1"/>
        <v>1.869565217</v>
      </c>
      <c r="U190" s="1">
        <v>0.0</v>
      </c>
      <c r="V190" s="3">
        <v>1.0</v>
      </c>
      <c r="W190" s="3" t="s">
        <v>106</v>
      </c>
      <c r="X190" s="3" t="s">
        <v>232</v>
      </c>
      <c r="Z190" s="3">
        <v>4.0</v>
      </c>
      <c r="AA190" s="3">
        <v>0.0</v>
      </c>
      <c r="AB190" s="3">
        <v>1.0</v>
      </c>
      <c r="AC190" s="3">
        <v>0.8695652173913043</v>
      </c>
      <c r="AD190" s="3">
        <v>0.8695652173913043</v>
      </c>
    </row>
    <row r="191">
      <c r="A191" s="1" t="s">
        <v>11</v>
      </c>
      <c r="B191" s="1" t="s">
        <v>381</v>
      </c>
      <c r="C191" s="1" t="s">
        <v>18</v>
      </c>
      <c r="D191" s="1" t="s">
        <v>135</v>
      </c>
      <c r="E191" s="1" t="s">
        <v>134</v>
      </c>
      <c r="F191" s="1" t="s">
        <v>84</v>
      </c>
      <c r="G191" s="1">
        <v>49.0</v>
      </c>
      <c r="H191" s="1" t="s">
        <v>60</v>
      </c>
      <c r="I191" s="1">
        <v>-115.0</v>
      </c>
      <c r="J191" s="1">
        <v>-0.0920270026137209</v>
      </c>
      <c r="K191" s="1" t="s">
        <v>61</v>
      </c>
      <c r="L191" s="1" t="s">
        <v>61</v>
      </c>
      <c r="M191" s="1" t="s">
        <v>62</v>
      </c>
      <c r="N191" s="1">
        <v>-115.0</v>
      </c>
      <c r="O191" s="1">
        <v>0.023075466588279</v>
      </c>
      <c r="P191" s="1" t="s">
        <v>61</v>
      </c>
      <c r="Q191" s="1" t="s">
        <v>61</v>
      </c>
      <c r="R191" s="1">
        <v>0.023075466588279</v>
      </c>
      <c r="S191" s="1">
        <v>-115.0</v>
      </c>
      <c r="T191" s="1">
        <f t="shared" si="1"/>
        <v>1.869565217</v>
      </c>
      <c r="U191" s="1">
        <v>0.0</v>
      </c>
      <c r="V191" s="3">
        <v>1.0</v>
      </c>
      <c r="W191" s="3" t="s">
        <v>68</v>
      </c>
      <c r="X191" s="3" t="s">
        <v>382</v>
      </c>
      <c r="Z191" s="3">
        <v>15.0</v>
      </c>
      <c r="AA191" s="3">
        <v>0.0</v>
      </c>
      <c r="AB191" s="3">
        <v>1.0</v>
      </c>
      <c r="AC191" s="3">
        <v>0.8695652173913043</v>
      </c>
      <c r="AD191" s="3">
        <v>0.8695652173913043</v>
      </c>
    </row>
    <row r="192">
      <c r="A192" s="1" t="s">
        <v>10</v>
      </c>
      <c r="B192" s="1" t="s">
        <v>383</v>
      </c>
      <c r="C192" s="1" t="s">
        <v>19</v>
      </c>
      <c r="D192" s="1" t="s">
        <v>66</v>
      </c>
      <c r="E192" s="1" t="s">
        <v>67</v>
      </c>
      <c r="F192" s="1" t="s">
        <v>59</v>
      </c>
      <c r="G192" s="1">
        <v>20.5</v>
      </c>
      <c r="H192" s="1" t="s">
        <v>60</v>
      </c>
      <c r="I192" s="1">
        <v>-115.0</v>
      </c>
      <c r="J192" s="1">
        <v>-0.0909727873703552</v>
      </c>
      <c r="K192" s="1" t="s">
        <v>61</v>
      </c>
      <c r="L192" s="1" t="s">
        <v>61</v>
      </c>
      <c r="M192" s="1" t="s">
        <v>62</v>
      </c>
      <c r="N192" s="1">
        <v>-115.0</v>
      </c>
      <c r="O192" s="1">
        <v>0.0212787054759083</v>
      </c>
      <c r="P192" s="1" t="s">
        <v>61</v>
      </c>
      <c r="Q192" s="1" t="s">
        <v>61</v>
      </c>
      <c r="R192" s="1">
        <v>0.0212787054759083</v>
      </c>
      <c r="S192" s="1">
        <v>-115.0</v>
      </c>
      <c r="T192" s="1">
        <f t="shared" si="1"/>
        <v>1.869565217</v>
      </c>
      <c r="U192" s="1">
        <v>0.0</v>
      </c>
      <c r="V192" s="3">
        <v>1.0</v>
      </c>
      <c r="W192" s="3" t="s">
        <v>117</v>
      </c>
      <c r="X192" s="3" t="s">
        <v>384</v>
      </c>
      <c r="Z192" s="3">
        <v>18.0</v>
      </c>
      <c r="AA192" s="3">
        <v>0.0</v>
      </c>
      <c r="AB192" s="3">
        <v>1.0</v>
      </c>
      <c r="AC192" s="3">
        <v>0.8695652173913043</v>
      </c>
      <c r="AD192" s="3">
        <v>0.8695652173913043</v>
      </c>
    </row>
    <row r="193">
      <c r="A193" s="1" t="s">
        <v>11</v>
      </c>
      <c r="B193" s="1" t="s">
        <v>182</v>
      </c>
      <c r="C193" s="1" t="s">
        <v>19</v>
      </c>
      <c r="D193" s="1" t="s">
        <v>77</v>
      </c>
      <c r="E193" s="1" t="s">
        <v>76</v>
      </c>
      <c r="F193" s="1" t="s">
        <v>78</v>
      </c>
      <c r="G193" s="1">
        <v>9.5</v>
      </c>
      <c r="H193" s="1" t="s">
        <v>60</v>
      </c>
      <c r="I193" s="1">
        <v>-115.0</v>
      </c>
      <c r="J193" s="6">
        <v>0.0208155442913681</v>
      </c>
      <c r="K193" s="1" t="s">
        <v>61</v>
      </c>
      <c r="L193" s="1" t="s">
        <v>61</v>
      </c>
      <c r="M193" s="1" t="s">
        <v>62</v>
      </c>
      <c r="N193" s="1">
        <v>-110.0</v>
      </c>
      <c r="O193" s="6">
        <v>-0.0794834582138503</v>
      </c>
      <c r="P193" s="1" t="s">
        <v>61</v>
      </c>
      <c r="Q193" s="1" t="s">
        <v>61</v>
      </c>
      <c r="R193" s="6">
        <v>0.0208155442913681</v>
      </c>
      <c r="S193" s="1">
        <v>-115.0</v>
      </c>
      <c r="T193" s="1">
        <f t="shared" si="1"/>
        <v>1.869565217</v>
      </c>
      <c r="U193" s="1">
        <v>1.0</v>
      </c>
      <c r="V193" s="3">
        <v>1.0</v>
      </c>
      <c r="W193" s="3" t="s">
        <v>68</v>
      </c>
      <c r="X193" s="3" t="s">
        <v>184</v>
      </c>
      <c r="Z193" s="3">
        <v>52.0</v>
      </c>
      <c r="AA193" s="3">
        <v>1.0</v>
      </c>
      <c r="AB193" s="3">
        <v>1.0</v>
      </c>
      <c r="AC193" s="3">
        <v>0.8695652173913043</v>
      </c>
      <c r="AD193" s="3">
        <v>0.8695652173913043</v>
      </c>
    </row>
    <row r="194">
      <c r="A194" s="1" t="s">
        <v>9</v>
      </c>
      <c r="B194" s="1" t="s">
        <v>385</v>
      </c>
      <c r="C194" s="1" t="s">
        <v>18</v>
      </c>
      <c r="D194" s="1" t="s">
        <v>197</v>
      </c>
      <c r="E194" s="1" t="s">
        <v>196</v>
      </c>
      <c r="F194" s="1" t="s">
        <v>198</v>
      </c>
      <c r="G194" s="1">
        <v>86.0</v>
      </c>
      <c r="H194" s="1" t="s">
        <v>60</v>
      </c>
      <c r="I194" s="1">
        <v>-117.0</v>
      </c>
      <c r="J194" s="1">
        <v>-0.0927627903722275</v>
      </c>
      <c r="K194" s="1" t="s">
        <v>61</v>
      </c>
      <c r="L194" s="1" t="s">
        <v>61</v>
      </c>
      <c r="M194" s="1" t="s">
        <v>62</v>
      </c>
      <c r="N194" s="1">
        <v>-115.0</v>
      </c>
      <c r="O194" s="1">
        <v>0.0193648105743227</v>
      </c>
      <c r="P194" s="1" t="s">
        <v>61</v>
      </c>
      <c r="Q194" s="1" t="s">
        <v>61</v>
      </c>
      <c r="R194" s="1">
        <v>0.0193648105743227</v>
      </c>
      <c r="S194" s="1">
        <v>-115.0</v>
      </c>
      <c r="T194" s="1">
        <f t="shared" si="1"/>
        <v>1.869565217</v>
      </c>
      <c r="U194" s="1">
        <v>0.0</v>
      </c>
      <c r="V194" s="3">
        <v>1.0</v>
      </c>
      <c r="W194" s="3" t="s">
        <v>117</v>
      </c>
      <c r="X194" s="3" t="s">
        <v>386</v>
      </c>
      <c r="Y194" s="3" t="s">
        <v>294</v>
      </c>
      <c r="Z194" s="3">
        <v>13.0</v>
      </c>
      <c r="AA194" s="3">
        <v>0.0</v>
      </c>
      <c r="AB194" s="3">
        <v>1.0</v>
      </c>
      <c r="AC194" s="3">
        <v>0.8695652173913043</v>
      </c>
      <c r="AD194" s="3">
        <v>0.8695652173913043</v>
      </c>
    </row>
    <row r="195">
      <c r="A195" s="1" t="s">
        <v>11</v>
      </c>
      <c r="B195" s="1" t="s">
        <v>361</v>
      </c>
      <c r="C195" s="1" t="s">
        <v>19</v>
      </c>
      <c r="D195" s="1" t="s">
        <v>82</v>
      </c>
      <c r="E195" s="1" t="s">
        <v>83</v>
      </c>
      <c r="F195" s="1" t="s">
        <v>84</v>
      </c>
      <c r="G195" s="1">
        <v>9.5</v>
      </c>
      <c r="H195" s="1" t="s">
        <v>60</v>
      </c>
      <c r="I195" s="1">
        <v>-115.0</v>
      </c>
      <c r="J195" s="1">
        <v>0.0166633902035154</v>
      </c>
      <c r="K195" s="1" t="s">
        <v>61</v>
      </c>
      <c r="L195" s="1" t="s">
        <v>61</v>
      </c>
      <c r="M195" s="1" t="s">
        <v>62</v>
      </c>
      <c r="N195" s="1">
        <v>-115.0</v>
      </c>
      <c r="O195" s="1">
        <v>-0.086407898734043</v>
      </c>
      <c r="P195" s="1" t="s">
        <v>61</v>
      </c>
      <c r="Q195" s="1" t="s">
        <v>61</v>
      </c>
      <c r="R195" s="1">
        <v>0.0166633902035154</v>
      </c>
      <c r="S195" s="1">
        <v>-115.0</v>
      </c>
      <c r="T195" s="1">
        <f t="shared" si="1"/>
        <v>1.869565217</v>
      </c>
      <c r="U195" s="1">
        <v>1.0</v>
      </c>
      <c r="V195" s="3">
        <v>1.0</v>
      </c>
      <c r="W195" s="3" t="s">
        <v>136</v>
      </c>
      <c r="X195" s="3" t="s">
        <v>362</v>
      </c>
      <c r="Z195" s="3">
        <v>29.0</v>
      </c>
      <c r="AA195" s="3">
        <v>1.0</v>
      </c>
      <c r="AB195" s="3">
        <v>1.0</v>
      </c>
      <c r="AC195" s="3">
        <v>0.8695652173913043</v>
      </c>
      <c r="AD195" s="3">
        <v>0.8695652173913043</v>
      </c>
    </row>
    <row r="196">
      <c r="A196" s="1" t="s">
        <v>11</v>
      </c>
      <c r="B196" s="1" t="s">
        <v>237</v>
      </c>
      <c r="C196" s="1" t="s">
        <v>18</v>
      </c>
      <c r="D196" s="1" t="s">
        <v>76</v>
      </c>
      <c r="E196" s="1" t="s">
        <v>77</v>
      </c>
      <c r="F196" s="1" t="s">
        <v>78</v>
      </c>
      <c r="G196" s="1">
        <v>16.5</v>
      </c>
      <c r="H196" s="1" t="s">
        <v>60</v>
      </c>
      <c r="I196" s="1">
        <v>-115.0</v>
      </c>
      <c r="J196" s="6">
        <v>0.0165930099139021</v>
      </c>
      <c r="K196" s="1" t="s">
        <v>61</v>
      </c>
      <c r="L196" s="1" t="s">
        <v>61</v>
      </c>
      <c r="M196" s="1" t="s">
        <v>62</v>
      </c>
      <c r="N196" s="1">
        <v>-110.0</v>
      </c>
      <c r="O196" s="6">
        <v>-0.0752706992601803</v>
      </c>
      <c r="P196" s="1" t="s">
        <v>61</v>
      </c>
      <c r="Q196" s="1" t="s">
        <v>61</v>
      </c>
      <c r="R196" s="6">
        <v>0.0165930099139021</v>
      </c>
      <c r="S196" s="1">
        <v>-115.0</v>
      </c>
      <c r="T196" s="1">
        <f t="shared" si="1"/>
        <v>1.869565217</v>
      </c>
      <c r="U196" s="1">
        <v>1.0</v>
      </c>
      <c r="V196" s="3">
        <v>1.0</v>
      </c>
      <c r="W196" s="3" t="s">
        <v>68</v>
      </c>
      <c r="X196" s="3" t="s">
        <v>238</v>
      </c>
      <c r="Z196" s="3">
        <v>25.0</v>
      </c>
      <c r="AA196" s="3">
        <v>1.0</v>
      </c>
      <c r="AB196" s="3">
        <v>1.0</v>
      </c>
      <c r="AC196" s="3">
        <v>0.8695652173913043</v>
      </c>
      <c r="AD196" s="3">
        <v>0.8695652173913043</v>
      </c>
    </row>
    <row r="197">
      <c r="A197" s="1" t="s">
        <v>12</v>
      </c>
      <c r="B197" s="1" t="s">
        <v>387</v>
      </c>
      <c r="C197" s="1" t="s">
        <v>18</v>
      </c>
      <c r="D197" s="1" t="s">
        <v>82</v>
      </c>
      <c r="E197" s="1" t="s">
        <v>83</v>
      </c>
      <c r="F197" s="1" t="s">
        <v>84</v>
      </c>
      <c r="G197" s="1">
        <v>4.5</v>
      </c>
      <c r="H197" s="1" t="s">
        <v>60</v>
      </c>
      <c r="I197" s="1">
        <v>-115.0</v>
      </c>
      <c r="J197" s="1">
        <v>-0.0861837209302326</v>
      </c>
      <c r="K197" s="1" t="s">
        <v>61</v>
      </c>
      <c r="L197" s="1" t="s">
        <v>61</v>
      </c>
      <c r="M197" s="1" t="s">
        <v>62</v>
      </c>
      <c r="N197" s="1">
        <v>-115.0</v>
      </c>
      <c r="O197" s="1">
        <v>0.0164162790697673</v>
      </c>
      <c r="P197" s="1" t="s">
        <v>61</v>
      </c>
      <c r="Q197" s="1" t="s">
        <v>61</v>
      </c>
      <c r="R197" s="1">
        <v>0.0164162790697673</v>
      </c>
      <c r="S197" s="1">
        <v>-115.0</v>
      </c>
      <c r="T197" s="1">
        <f t="shared" si="1"/>
        <v>1.869565217</v>
      </c>
      <c r="U197" s="1">
        <v>0.0</v>
      </c>
      <c r="V197" s="3">
        <v>1.0</v>
      </c>
      <c r="W197" s="3" t="s">
        <v>101</v>
      </c>
      <c r="X197" s="3" t="s">
        <v>388</v>
      </c>
      <c r="Z197" s="3">
        <v>3.0</v>
      </c>
      <c r="AA197" s="3">
        <v>0.0</v>
      </c>
      <c r="AB197" s="3">
        <v>1.0</v>
      </c>
      <c r="AC197" s="3">
        <v>0.8695652173913043</v>
      </c>
      <c r="AD197" s="3">
        <v>0.8695652173913043</v>
      </c>
    </row>
    <row r="198">
      <c r="A198" s="1" t="s">
        <v>11</v>
      </c>
      <c r="B198" s="1" t="s">
        <v>389</v>
      </c>
      <c r="C198" s="1" t="s">
        <v>18</v>
      </c>
      <c r="D198" s="1" t="s">
        <v>67</v>
      </c>
      <c r="E198" s="1" t="s">
        <v>66</v>
      </c>
      <c r="F198" s="1" t="s">
        <v>59</v>
      </c>
      <c r="G198" s="1">
        <v>59.5</v>
      </c>
      <c r="H198" s="1" t="s">
        <v>60</v>
      </c>
      <c r="I198" s="1">
        <v>-115.0</v>
      </c>
      <c r="J198" s="1">
        <v>0.0134907319980128</v>
      </c>
      <c r="K198" s="1" t="s">
        <v>61</v>
      </c>
      <c r="L198" s="1" t="s">
        <v>61</v>
      </c>
      <c r="M198" s="1" t="s">
        <v>62</v>
      </c>
      <c r="N198" s="1">
        <v>-115.0</v>
      </c>
      <c r="O198" s="1">
        <v>-0.0832097852765398</v>
      </c>
      <c r="P198" s="1" t="s">
        <v>61</v>
      </c>
      <c r="Q198" s="1" t="s">
        <v>61</v>
      </c>
      <c r="R198" s="1">
        <v>0.0134907319980128</v>
      </c>
      <c r="S198" s="1">
        <v>-115.0</v>
      </c>
      <c r="T198" s="1">
        <f t="shared" si="1"/>
        <v>1.869565217</v>
      </c>
      <c r="U198" s="1">
        <v>1.0</v>
      </c>
      <c r="V198" s="3">
        <v>1.0</v>
      </c>
      <c r="W198" s="3" t="s">
        <v>68</v>
      </c>
      <c r="X198" s="3" t="s">
        <v>390</v>
      </c>
      <c r="Z198" s="3">
        <v>62.0</v>
      </c>
      <c r="AA198" s="3">
        <v>1.0</v>
      </c>
      <c r="AB198" s="3">
        <v>1.0</v>
      </c>
      <c r="AC198" s="3">
        <v>0.8695652173913043</v>
      </c>
      <c r="AD198" s="3">
        <v>0.8695652173913043</v>
      </c>
    </row>
    <row r="199">
      <c r="A199" s="1" t="s">
        <v>16</v>
      </c>
      <c r="B199" s="1" t="s">
        <v>369</v>
      </c>
      <c r="C199" s="1" t="s">
        <v>21</v>
      </c>
      <c r="D199" s="1" t="s">
        <v>72</v>
      </c>
      <c r="E199" s="1" t="s">
        <v>71</v>
      </c>
      <c r="F199" s="1" t="s">
        <v>59</v>
      </c>
      <c r="G199" s="1">
        <v>35.5</v>
      </c>
      <c r="H199" s="1" t="s">
        <v>60</v>
      </c>
      <c r="I199" s="1">
        <v>-116.0</v>
      </c>
      <c r="J199" s="1">
        <v>-0.0816301831</v>
      </c>
      <c r="K199" s="1" t="s">
        <v>61</v>
      </c>
      <c r="L199" s="1" t="s">
        <v>61</v>
      </c>
      <c r="M199" s="1" t="s">
        <v>62</v>
      </c>
      <c r="N199" s="1">
        <v>-115.0</v>
      </c>
      <c r="O199" s="1">
        <v>0.00972373516279057</v>
      </c>
      <c r="P199" s="1" t="s">
        <v>61</v>
      </c>
      <c r="Q199" s="1" t="s">
        <v>61</v>
      </c>
      <c r="R199" s="1">
        <v>0.00972373516279057</v>
      </c>
      <c r="S199" s="1">
        <v>-115.0</v>
      </c>
      <c r="T199" s="1">
        <f t="shared" si="1"/>
        <v>1.869565217</v>
      </c>
      <c r="U199" s="1">
        <v>0.0</v>
      </c>
      <c r="V199" s="3">
        <v>1.0</v>
      </c>
      <c r="W199" s="3" t="s">
        <v>106</v>
      </c>
      <c r="X199" s="3" t="s">
        <v>370</v>
      </c>
      <c r="Z199" s="3">
        <v>32.0</v>
      </c>
      <c r="AA199" s="3">
        <v>0.0</v>
      </c>
      <c r="AB199" s="3">
        <v>1.0</v>
      </c>
      <c r="AC199" s="3">
        <v>0.8695652173913043</v>
      </c>
      <c r="AD199" s="3">
        <v>0.8695652173913043</v>
      </c>
    </row>
    <row r="200">
      <c r="A200" s="1" t="s">
        <v>11</v>
      </c>
      <c r="B200" s="1" t="s">
        <v>70</v>
      </c>
      <c r="C200" s="1" t="s">
        <v>20</v>
      </c>
      <c r="D200" s="1" t="s">
        <v>71</v>
      </c>
      <c r="E200" s="1" t="s">
        <v>72</v>
      </c>
      <c r="F200" s="1" t="s">
        <v>59</v>
      </c>
      <c r="G200" s="1">
        <v>19.5</v>
      </c>
      <c r="H200" s="1" t="s">
        <v>60</v>
      </c>
      <c r="I200" s="1">
        <v>-115.0</v>
      </c>
      <c r="J200" s="1">
        <v>-0.0792073591574978</v>
      </c>
      <c r="K200" s="1" t="s">
        <v>61</v>
      </c>
      <c r="L200" s="1" t="s">
        <v>61</v>
      </c>
      <c r="M200" s="1" t="s">
        <v>62</v>
      </c>
      <c r="N200" s="1">
        <v>-115.0</v>
      </c>
      <c r="O200" s="1">
        <v>0.00947346303112239</v>
      </c>
      <c r="P200" s="1" t="s">
        <v>61</v>
      </c>
      <c r="Q200" s="1" t="s">
        <v>61</v>
      </c>
      <c r="R200" s="1">
        <v>0.00947346303112239</v>
      </c>
      <c r="S200" s="1">
        <v>-115.0</v>
      </c>
      <c r="T200" s="1">
        <f t="shared" si="1"/>
        <v>1.869565217</v>
      </c>
      <c r="U200" s="1">
        <v>0.0</v>
      </c>
      <c r="V200" s="3">
        <v>1.0</v>
      </c>
      <c r="W200" s="3" t="s">
        <v>73</v>
      </c>
      <c r="X200" s="3" t="s">
        <v>74</v>
      </c>
      <c r="Z200" s="3">
        <v>0.0</v>
      </c>
      <c r="AA200" s="3">
        <v>0.0</v>
      </c>
      <c r="AB200" s="3">
        <v>1.0</v>
      </c>
      <c r="AC200" s="3">
        <v>0.8695652173913043</v>
      </c>
      <c r="AD200" s="3">
        <v>0.8695652173913043</v>
      </c>
    </row>
    <row r="201">
      <c r="A201" s="1" t="s">
        <v>10</v>
      </c>
      <c r="B201" s="1" t="s">
        <v>92</v>
      </c>
      <c r="C201" s="1" t="s">
        <v>19</v>
      </c>
      <c r="D201" s="1" t="s">
        <v>93</v>
      </c>
      <c r="E201" s="1" t="s">
        <v>94</v>
      </c>
      <c r="F201" s="1" t="s">
        <v>59</v>
      </c>
      <c r="G201" s="1">
        <v>57.5</v>
      </c>
      <c r="H201" s="1" t="s">
        <v>60</v>
      </c>
      <c r="I201" s="1">
        <v>-115.0</v>
      </c>
      <c r="J201" s="1">
        <v>-0.0791214583448981</v>
      </c>
      <c r="K201" s="1" t="s">
        <v>61</v>
      </c>
      <c r="L201" s="1" t="s">
        <v>61</v>
      </c>
      <c r="M201" s="1" t="s">
        <v>62</v>
      </c>
      <c r="N201" s="1">
        <v>-115.0</v>
      </c>
      <c r="O201" s="1">
        <v>0.00937349997193282</v>
      </c>
      <c r="P201" s="1" t="s">
        <v>61</v>
      </c>
      <c r="Q201" s="1" t="s">
        <v>61</v>
      </c>
      <c r="R201" s="1">
        <v>0.00937349997193282</v>
      </c>
      <c r="S201" s="1">
        <v>-115.0</v>
      </c>
      <c r="T201" s="1">
        <f t="shared" si="1"/>
        <v>1.869565217</v>
      </c>
      <c r="U201" s="1">
        <v>0.0</v>
      </c>
      <c r="V201" s="3">
        <v>1.0</v>
      </c>
      <c r="W201" s="3" t="s">
        <v>95</v>
      </c>
      <c r="X201" s="3" t="s">
        <v>96</v>
      </c>
      <c r="Y201" s="3" t="s">
        <v>97</v>
      </c>
      <c r="Z201" s="3">
        <v>44.0</v>
      </c>
      <c r="AA201" s="3">
        <v>0.0</v>
      </c>
      <c r="AB201" s="3">
        <v>1.0</v>
      </c>
      <c r="AC201" s="3">
        <v>0.8695652173913043</v>
      </c>
      <c r="AD201" s="3">
        <v>0.8695652173913043</v>
      </c>
    </row>
    <row r="202">
      <c r="A202" s="1" t="s">
        <v>9</v>
      </c>
      <c r="B202" s="1" t="s">
        <v>361</v>
      </c>
      <c r="C202" s="1" t="s">
        <v>19</v>
      </c>
      <c r="D202" s="1" t="s">
        <v>82</v>
      </c>
      <c r="E202" s="1" t="s">
        <v>83</v>
      </c>
      <c r="F202" s="1" t="s">
        <v>84</v>
      </c>
      <c r="G202" s="1">
        <v>37.5</v>
      </c>
      <c r="H202" s="1" t="s">
        <v>60</v>
      </c>
      <c r="I202" s="1">
        <v>-115.0</v>
      </c>
      <c r="J202" s="1">
        <v>0.00824511452106668</v>
      </c>
      <c r="K202" s="1" t="s">
        <v>61</v>
      </c>
      <c r="L202" s="1" t="s">
        <v>61</v>
      </c>
      <c r="M202" s="1" t="s">
        <v>62</v>
      </c>
      <c r="N202" s="1">
        <v>-115.0</v>
      </c>
      <c r="O202" s="1">
        <v>-0.0780168816992268</v>
      </c>
      <c r="P202" s="1" t="s">
        <v>61</v>
      </c>
      <c r="Q202" s="1" t="s">
        <v>61</v>
      </c>
      <c r="R202" s="1">
        <v>0.00824511452106668</v>
      </c>
      <c r="S202" s="1">
        <v>-115.0</v>
      </c>
      <c r="T202" s="1">
        <f t="shared" si="1"/>
        <v>1.869565217</v>
      </c>
      <c r="U202" s="1">
        <v>1.0</v>
      </c>
      <c r="V202" s="3">
        <v>1.0</v>
      </c>
      <c r="W202" s="3" t="s">
        <v>136</v>
      </c>
      <c r="X202" s="3" t="s">
        <v>362</v>
      </c>
      <c r="Z202" s="3">
        <v>41.0</v>
      </c>
      <c r="AA202" s="3">
        <v>1.0</v>
      </c>
      <c r="AB202" s="3">
        <v>1.0</v>
      </c>
      <c r="AC202" s="3">
        <v>0.8695652173913043</v>
      </c>
      <c r="AD202" s="3">
        <v>0.8695652173913043</v>
      </c>
    </row>
    <row r="203">
      <c r="A203" s="1" t="s">
        <v>11</v>
      </c>
      <c r="B203" s="1" t="s">
        <v>391</v>
      </c>
      <c r="C203" s="1" t="s">
        <v>18</v>
      </c>
      <c r="D203" s="1" t="s">
        <v>71</v>
      </c>
      <c r="E203" s="1" t="s">
        <v>72</v>
      </c>
      <c r="F203" s="1" t="s">
        <v>59</v>
      </c>
      <c r="G203" s="1">
        <v>64.0</v>
      </c>
      <c r="H203" s="1" t="s">
        <v>60</v>
      </c>
      <c r="I203" s="1">
        <v>-116.0</v>
      </c>
      <c r="J203" s="1">
        <v>-0.0786052312250808</v>
      </c>
      <c r="K203" s="1" t="s">
        <v>61</v>
      </c>
      <c r="L203" s="1" t="s">
        <v>61</v>
      </c>
      <c r="M203" s="1" t="s">
        <v>62</v>
      </c>
      <c r="N203" s="1">
        <v>-115.0</v>
      </c>
      <c r="O203" s="1">
        <v>0.00733128167455077</v>
      </c>
      <c r="P203" s="1" t="s">
        <v>61</v>
      </c>
      <c r="Q203" s="1" t="s">
        <v>61</v>
      </c>
      <c r="R203" s="1">
        <v>0.00733128167455077</v>
      </c>
      <c r="S203" s="1">
        <v>-115.0</v>
      </c>
      <c r="T203" s="1">
        <f t="shared" si="1"/>
        <v>1.869565217</v>
      </c>
      <c r="U203" s="1">
        <v>0.0</v>
      </c>
      <c r="V203" s="3">
        <v>1.0</v>
      </c>
      <c r="W203" s="3" t="s">
        <v>234</v>
      </c>
      <c r="X203" s="3" t="s">
        <v>392</v>
      </c>
      <c r="Y203" s="3" t="s">
        <v>97</v>
      </c>
      <c r="Z203" s="3">
        <v>31.0</v>
      </c>
      <c r="AA203" s="3">
        <v>0.0</v>
      </c>
      <c r="AB203" s="3">
        <v>1.0</v>
      </c>
      <c r="AC203" s="3">
        <v>0.8695652173913043</v>
      </c>
      <c r="AD203" s="3">
        <v>0.8695652173913043</v>
      </c>
    </row>
    <row r="204">
      <c r="A204" s="1" t="s">
        <v>9</v>
      </c>
      <c r="B204" s="1" t="s">
        <v>393</v>
      </c>
      <c r="C204" s="1" t="s">
        <v>19</v>
      </c>
      <c r="D204" s="1" t="s">
        <v>197</v>
      </c>
      <c r="E204" s="1" t="s">
        <v>196</v>
      </c>
      <c r="F204" s="1" t="s">
        <v>198</v>
      </c>
      <c r="G204" s="1">
        <v>78.5</v>
      </c>
      <c r="H204" s="1" t="s">
        <v>60</v>
      </c>
      <c r="I204" s="1">
        <v>-115.0</v>
      </c>
      <c r="J204" s="1">
        <v>-0.0757176418609229</v>
      </c>
      <c r="K204" s="1" t="s">
        <v>61</v>
      </c>
      <c r="L204" s="1" t="s">
        <v>61</v>
      </c>
      <c r="M204" s="1" t="s">
        <v>62</v>
      </c>
      <c r="N204" s="1">
        <v>-115.0</v>
      </c>
      <c r="O204" s="1">
        <v>0.00594028814006109</v>
      </c>
      <c r="P204" s="1" t="s">
        <v>61</v>
      </c>
      <c r="Q204" s="1" t="s">
        <v>61</v>
      </c>
      <c r="R204" s="1">
        <v>0.00594028814006109</v>
      </c>
      <c r="S204" s="1">
        <v>-115.0</v>
      </c>
      <c r="T204" s="1">
        <f t="shared" si="1"/>
        <v>1.869565217</v>
      </c>
      <c r="U204" s="1">
        <v>0.0</v>
      </c>
      <c r="V204" s="3">
        <v>1.0</v>
      </c>
      <c r="W204" s="3" t="s">
        <v>68</v>
      </c>
      <c r="X204" s="3" t="s">
        <v>394</v>
      </c>
      <c r="Z204" s="3">
        <v>74.0</v>
      </c>
      <c r="AA204" s="3">
        <v>0.0</v>
      </c>
      <c r="AB204" s="3">
        <v>1.0</v>
      </c>
      <c r="AC204" s="3">
        <v>0.8695652173913043</v>
      </c>
      <c r="AD204" s="3">
        <v>0.8695652173913043</v>
      </c>
    </row>
    <row r="205">
      <c r="A205" s="1" t="s">
        <v>11</v>
      </c>
      <c r="B205" s="1" t="s">
        <v>249</v>
      </c>
      <c r="C205" s="1" t="s">
        <v>18</v>
      </c>
      <c r="D205" s="1" t="s">
        <v>114</v>
      </c>
      <c r="E205" s="1" t="s">
        <v>113</v>
      </c>
      <c r="F205" s="1" t="s">
        <v>90</v>
      </c>
      <c r="G205" s="1">
        <v>59.5</v>
      </c>
      <c r="H205" s="1" t="s">
        <v>60</v>
      </c>
      <c r="I205" s="1">
        <v>-115.0</v>
      </c>
      <c r="J205" s="1">
        <v>-0.0745985301950501</v>
      </c>
      <c r="K205" s="1" t="s">
        <v>61</v>
      </c>
      <c r="L205" s="1" t="s">
        <v>61</v>
      </c>
      <c r="M205" s="1" t="s">
        <v>62</v>
      </c>
      <c r="N205" s="1">
        <v>-115.0</v>
      </c>
      <c r="O205" s="1">
        <v>0.00480215531134731</v>
      </c>
      <c r="P205" s="1" t="s">
        <v>61</v>
      </c>
      <c r="Q205" s="1" t="s">
        <v>61</v>
      </c>
      <c r="R205" s="1">
        <v>0.00480215531134731</v>
      </c>
      <c r="S205" s="1">
        <v>-115.0</v>
      </c>
      <c r="T205" s="1">
        <f t="shared" si="1"/>
        <v>1.869565217</v>
      </c>
      <c r="U205" s="1">
        <v>0.0</v>
      </c>
      <c r="V205" s="3">
        <v>1.0</v>
      </c>
      <c r="W205" s="3" t="s">
        <v>95</v>
      </c>
      <c r="X205" s="3" t="s">
        <v>250</v>
      </c>
      <c r="Z205" s="3">
        <v>17.0</v>
      </c>
      <c r="AA205" s="3">
        <v>0.0</v>
      </c>
      <c r="AB205" s="3">
        <v>1.0</v>
      </c>
      <c r="AC205" s="3">
        <v>0.8695652173913043</v>
      </c>
      <c r="AD205" s="3">
        <v>0.8695652173913043</v>
      </c>
    </row>
    <row r="206">
      <c r="A206" s="1" t="s">
        <v>11</v>
      </c>
      <c r="B206" s="1" t="s">
        <v>81</v>
      </c>
      <c r="C206" s="1" t="s">
        <v>20</v>
      </c>
      <c r="D206" s="1" t="s">
        <v>82</v>
      </c>
      <c r="E206" s="1" t="s">
        <v>83</v>
      </c>
      <c r="F206" s="1" t="s">
        <v>84</v>
      </c>
      <c r="G206" s="1">
        <v>28.0</v>
      </c>
      <c r="H206" s="1" t="s">
        <v>60</v>
      </c>
      <c r="I206" s="1">
        <v>-115.0</v>
      </c>
      <c r="J206" s="1">
        <v>-0.070700686411349</v>
      </c>
      <c r="K206" s="1" t="s">
        <v>61</v>
      </c>
      <c r="L206" s="1" t="s">
        <v>61</v>
      </c>
      <c r="M206" s="1" t="s">
        <v>62</v>
      </c>
      <c r="N206" s="1">
        <v>-115.0</v>
      </c>
      <c r="O206" s="1">
        <v>0.00202935409805105</v>
      </c>
      <c r="P206" s="1" t="s">
        <v>61</v>
      </c>
      <c r="Q206" s="1" t="s">
        <v>61</v>
      </c>
      <c r="R206" s="1">
        <v>0.00202935409805105</v>
      </c>
      <c r="S206" s="1">
        <v>-115.0</v>
      </c>
      <c r="T206" s="1">
        <f t="shared" si="1"/>
        <v>1.869565217</v>
      </c>
      <c r="U206" s="1">
        <v>0.0</v>
      </c>
      <c r="V206" s="3">
        <v>1.0</v>
      </c>
      <c r="W206" s="3" t="s">
        <v>85</v>
      </c>
      <c r="X206" s="3" t="s">
        <v>86</v>
      </c>
      <c r="Z206" s="3">
        <v>11.0</v>
      </c>
      <c r="AA206" s="3">
        <v>0.0</v>
      </c>
      <c r="AB206" s="3">
        <v>1.0</v>
      </c>
      <c r="AC206" s="3">
        <v>0.8695652173913043</v>
      </c>
      <c r="AD206" s="3">
        <v>0.8695652173913043</v>
      </c>
    </row>
    <row r="207">
      <c r="A207" s="1" t="s">
        <v>11</v>
      </c>
      <c r="B207" s="1" t="s">
        <v>112</v>
      </c>
      <c r="C207" s="1" t="s">
        <v>20</v>
      </c>
      <c r="D207" s="1" t="s">
        <v>113</v>
      </c>
      <c r="E207" s="1" t="s">
        <v>114</v>
      </c>
      <c r="F207" s="1" t="s">
        <v>90</v>
      </c>
      <c r="G207" s="1">
        <v>25.5</v>
      </c>
      <c r="H207" s="1" t="s">
        <v>60</v>
      </c>
      <c r="I207" s="1">
        <v>-115.0</v>
      </c>
      <c r="J207" s="1">
        <v>-0.0702681221662001</v>
      </c>
      <c r="K207" s="1" t="s">
        <v>61</v>
      </c>
      <c r="L207" s="1" t="s">
        <v>61</v>
      </c>
      <c r="M207" s="1" t="s">
        <v>62</v>
      </c>
      <c r="N207" s="1">
        <v>-115.0</v>
      </c>
      <c r="O207" s="1">
        <v>5.73340491130003E-4</v>
      </c>
      <c r="P207" s="1" t="s">
        <v>61</v>
      </c>
      <c r="Q207" s="1" t="s">
        <v>61</v>
      </c>
      <c r="R207" s="1">
        <v>5.73340491130003E-4</v>
      </c>
      <c r="S207" s="1">
        <v>-115.0</v>
      </c>
      <c r="T207" s="1">
        <f t="shared" si="1"/>
        <v>1.869565217</v>
      </c>
      <c r="U207" s="1">
        <v>0.0</v>
      </c>
      <c r="V207" s="3">
        <v>1.0</v>
      </c>
      <c r="W207" s="3" t="s">
        <v>106</v>
      </c>
      <c r="X207" s="3" t="s">
        <v>115</v>
      </c>
      <c r="Z207" s="3">
        <v>5.0</v>
      </c>
      <c r="AA207" s="3">
        <v>0.0</v>
      </c>
      <c r="AB207" s="3">
        <v>1.0</v>
      </c>
      <c r="AC207" s="3">
        <v>0.8695652173913043</v>
      </c>
      <c r="AD207" s="3">
        <v>0.8695652173913043</v>
      </c>
    </row>
    <row r="208">
      <c r="A208" s="1" t="s">
        <v>10</v>
      </c>
      <c r="B208" s="1" t="s">
        <v>143</v>
      </c>
      <c r="C208" s="1" t="s">
        <v>19</v>
      </c>
      <c r="D208" s="1" t="s">
        <v>99</v>
      </c>
      <c r="E208" s="1" t="s">
        <v>100</v>
      </c>
      <c r="F208" s="1" t="s">
        <v>59</v>
      </c>
      <c r="G208" s="1">
        <v>29.5</v>
      </c>
      <c r="H208" s="1" t="s">
        <v>60</v>
      </c>
      <c r="I208" s="1">
        <v>-113.0</v>
      </c>
      <c r="J208" s="1">
        <v>-0.111042370210197</v>
      </c>
      <c r="K208" s="1" t="s">
        <v>61</v>
      </c>
      <c r="L208" s="1" t="s">
        <v>61</v>
      </c>
      <c r="M208" s="1" t="s">
        <v>62</v>
      </c>
      <c r="N208" s="1">
        <v>-116.0</v>
      </c>
      <c r="O208" s="1">
        <v>0.0435358001459976</v>
      </c>
      <c r="P208" s="1" t="s">
        <v>61</v>
      </c>
      <c r="Q208" s="1" t="s">
        <v>61</v>
      </c>
      <c r="R208" s="1">
        <v>0.0435358001459976</v>
      </c>
      <c r="S208" s="1">
        <v>-116.0</v>
      </c>
      <c r="T208" s="1">
        <f t="shared" si="1"/>
        <v>1.862068966</v>
      </c>
      <c r="U208" s="1">
        <v>0.0</v>
      </c>
      <c r="V208" s="3">
        <v>1.0</v>
      </c>
      <c r="W208" s="3" t="s">
        <v>73</v>
      </c>
      <c r="X208" s="3" t="s">
        <v>144</v>
      </c>
      <c r="Z208" s="3">
        <v>4.0</v>
      </c>
      <c r="AA208" s="3">
        <v>0.0</v>
      </c>
      <c r="AB208" s="3">
        <v>1.0</v>
      </c>
      <c r="AC208" s="3">
        <v>0.8620689655172413</v>
      </c>
      <c r="AD208" s="3">
        <v>0.8620689655172413</v>
      </c>
    </row>
    <row r="209">
      <c r="A209" s="1" t="s">
        <v>9</v>
      </c>
      <c r="B209" s="1" t="s">
        <v>127</v>
      </c>
      <c r="C209" s="1" t="s">
        <v>19</v>
      </c>
      <c r="D209" s="1" t="s">
        <v>83</v>
      </c>
      <c r="E209" s="1" t="s">
        <v>82</v>
      </c>
      <c r="F209" s="1" t="s">
        <v>84</v>
      </c>
      <c r="G209" s="1">
        <v>70.5</v>
      </c>
      <c r="H209" s="1" t="s">
        <v>60</v>
      </c>
      <c r="I209" s="1">
        <v>-116.0</v>
      </c>
      <c r="J209" s="1">
        <v>-0.111980559769901</v>
      </c>
      <c r="K209" s="1" t="s">
        <v>61</v>
      </c>
      <c r="L209" s="1" t="s">
        <v>61</v>
      </c>
      <c r="M209" s="1" t="s">
        <v>62</v>
      </c>
      <c r="N209" s="1">
        <v>-116.0</v>
      </c>
      <c r="O209" s="1">
        <v>0.0378654493330858</v>
      </c>
      <c r="P209" s="1" t="s">
        <v>61</v>
      </c>
      <c r="Q209" s="1" t="s">
        <v>61</v>
      </c>
      <c r="R209" s="1">
        <v>0.0378654493330858</v>
      </c>
      <c r="S209" s="1">
        <v>-116.0</v>
      </c>
      <c r="T209" s="1">
        <f t="shared" si="1"/>
        <v>1.862068966</v>
      </c>
      <c r="U209" s="1">
        <v>0.0</v>
      </c>
      <c r="V209" s="3">
        <v>1.0</v>
      </c>
      <c r="W209" s="3" t="s">
        <v>68</v>
      </c>
      <c r="X209" s="3" t="s">
        <v>128</v>
      </c>
      <c r="Z209" s="3">
        <v>23.0</v>
      </c>
      <c r="AA209" s="3">
        <v>0.0</v>
      </c>
      <c r="AB209" s="3">
        <v>1.0</v>
      </c>
      <c r="AC209" s="3">
        <v>0.8620689655172413</v>
      </c>
      <c r="AD209" s="3">
        <v>0.8620689655172413</v>
      </c>
    </row>
    <row r="210">
      <c r="A210" s="1" t="s">
        <v>9</v>
      </c>
      <c r="B210" s="1" t="s">
        <v>395</v>
      </c>
      <c r="C210" s="1" t="s">
        <v>18</v>
      </c>
      <c r="D210" s="1" t="s">
        <v>88</v>
      </c>
      <c r="E210" s="1" t="s">
        <v>89</v>
      </c>
      <c r="F210" s="1" t="s">
        <v>90</v>
      </c>
      <c r="G210" s="1">
        <v>86.5</v>
      </c>
      <c r="H210" s="1" t="s">
        <v>60</v>
      </c>
      <c r="I210" s="1">
        <v>-116.0</v>
      </c>
      <c r="J210" s="1">
        <v>-0.107771525616566</v>
      </c>
      <c r="K210" s="1" t="s">
        <v>61</v>
      </c>
      <c r="L210" s="1" t="s">
        <v>61</v>
      </c>
      <c r="M210" s="1" t="s">
        <v>62</v>
      </c>
      <c r="N210" s="1">
        <v>-116.0</v>
      </c>
      <c r="O210" s="1">
        <v>0.0337029697152165</v>
      </c>
      <c r="P210" s="1" t="s">
        <v>61</v>
      </c>
      <c r="Q210" s="1" t="s">
        <v>61</v>
      </c>
      <c r="R210" s="1">
        <v>0.0337029697152165</v>
      </c>
      <c r="S210" s="1">
        <v>-116.0</v>
      </c>
      <c r="T210" s="1">
        <f t="shared" si="1"/>
        <v>1.862068966</v>
      </c>
      <c r="U210" s="1">
        <v>0.0</v>
      </c>
      <c r="V210" s="3">
        <v>1.0</v>
      </c>
      <c r="W210" s="3" t="s">
        <v>106</v>
      </c>
      <c r="X210" s="3" t="s">
        <v>396</v>
      </c>
      <c r="Z210" s="3">
        <v>86.0</v>
      </c>
      <c r="AA210" s="3">
        <v>0.0</v>
      </c>
      <c r="AB210" s="3">
        <v>1.0</v>
      </c>
      <c r="AC210" s="3">
        <v>0.8620689655172413</v>
      </c>
      <c r="AD210" s="3">
        <v>0.8620689655172413</v>
      </c>
    </row>
    <row r="211">
      <c r="A211" s="1" t="s">
        <v>9</v>
      </c>
      <c r="B211" s="1" t="s">
        <v>266</v>
      </c>
      <c r="C211" s="1" t="s">
        <v>19</v>
      </c>
      <c r="D211" s="1" t="s">
        <v>57</v>
      </c>
      <c r="E211" s="1" t="s">
        <v>58</v>
      </c>
      <c r="F211" s="1" t="s">
        <v>59</v>
      </c>
      <c r="G211" s="1">
        <v>72.5</v>
      </c>
      <c r="H211" s="1" t="s">
        <v>60</v>
      </c>
      <c r="I211" s="1">
        <v>-116.0</v>
      </c>
      <c r="J211" s="1">
        <v>-0.107153942782845</v>
      </c>
      <c r="K211" s="1" t="s">
        <v>61</v>
      </c>
      <c r="L211" s="1" t="s">
        <v>61</v>
      </c>
      <c r="M211" s="1" t="s">
        <v>62</v>
      </c>
      <c r="N211" s="1">
        <v>-116.0</v>
      </c>
      <c r="O211" s="1">
        <v>0.0330825736281009</v>
      </c>
      <c r="P211" s="1" t="s">
        <v>61</v>
      </c>
      <c r="Q211" s="1" t="s">
        <v>61</v>
      </c>
      <c r="R211" s="1">
        <v>0.0330825736281009</v>
      </c>
      <c r="S211" s="1">
        <v>-116.0</v>
      </c>
      <c r="T211" s="1">
        <f t="shared" si="1"/>
        <v>1.862068966</v>
      </c>
      <c r="U211" s="1">
        <v>0.0</v>
      </c>
      <c r="V211" s="3">
        <v>1.0</v>
      </c>
      <c r="W211" s="3" t="s">
        <v>106</v>
      </c>
      <c r="X211" s="3" t="s">
        <v>267</v>
      </c>
      <c r="Z211" s="3">
        <v>14.0</v>
      </c>
      <c r="AA211" s="3">
        <v>0.0</v>
      </c>
      <c r="AB211" s="3">
        <v>1.0</v>
      </c>
      <c r="AC211" s="3">
        <v>0.8620689655172413</v>
      </c>
      <c r="AD211" s="3">
        <v>0.8620689655172413</v>
      </c>
    </row>
    <row r="212">
      <c r="A212" s="1" t="s">
        <v>10</v>
      </c>
      <c r="B212" s="1" t="s">
        <v>119</v>
      </c>
      <c r="C212" s="1" t="s">
        <v>21</v>
      </c>
      <c r="D212" s="1" t="s">
        <v>93</v>
      </c>
      <c r="E212" s="1" t="s">
        <v>94</v>
      </c>
      <c r="F212" s="1" t="s">
        <v>59</v>
      </c>
      <c r="G212" s="1">
        <v>16.5</v>
      </c>
      <c r="H212" s="1" t="s">
        <v>60</v>
      </c>
      <c r="I212" s="1">
        <v>-113.0</v>
      </c>
      <c r="J212" s="1">
        <v>-0.098097088793026</v>
      </c>
      <c r="K212" s="1" t="s">
        <v>61</v>
      </c>
      <c r="L212" s="1" t="s">
        <v>61</v>
      </c>
      <c r="M212" s="1" t="s">
        <v>62</v>
      </c>
      <c r="N212" s="1">
        <v>-116.0</v>
      </c>
      <c r="O212" s="1">
        <v>0.0305552254582447</v>
      </c>
      <c r="P212" s="1" t="s">
        <v>61</v>
      </c>
      <c r="Q212" s="1" t="s">
        <v>61</v>
      </c>
      <c r="R212" s="1">
        <v>0.0305552254582447</v>
      </c>
      <c r="S212" s="1">
        <v>-116.0</v>
      </c>
      <c r="T212" s="1">
        <f t="shared" si="1"/>
        <v>1.862068966</v>
      </c>
      <c r="U212" s="1">
        <v>0.0</v>
      </c>
      <c r="V212" s="3">
        <v>1.0</v>
      </c>
      <c r="W212" s="3" t="s">
        <v>95</v>
      </c>
      <c r="X212" s="3" t="s">
        <v>120</v>
      </c>
      <c r="Z212" s="3">
        <v>8.0</v>
      </c>
      <c r="AA212" s="3">
        <v>0.0</v>
      </c>
      <c r="AB212" s="3">
        <v>1.0</v>
      </c>
      <c r="AC212" s="3">
        <v>0.8620689655172413</v>
      </c>
      <c r="AD212" s="3">
        <v>0.8620689655172413</v>
      </c>
    </row>
    <row r="213">
      <c r="A213" s="1" t="s">
        <v>11</v>
      </c>
      <c r="B213" s="1" t="s">
        <v>191</v>
      </c>
      <c r="C213" s="1" t="s">
        <v>18</v>
      </c>
      <c r="D213" s="1" t="s">
        <v>99</v>
      </c>
      <c r="E213" s="1" t="s">
        <v>100</v>
      </c>
      <c r="F213" s="1" t="s">
        <v>59</v>
      </c>
      <c r="G213" s="1">
        <v>43.5</v>
      </c>
      <c r="H213" s="1" t="s">
        <v>60</v>
      </c>
      <c r="I213" s="1">
        <v>-113.0</v>
      </c>
      <c r="J213" s="1">
        <v>-0.0956585672061033</v>
      </c>
      <c r="K213" s="1" t="s">
        <v>61</v>
      </c>
      <c r="L213" s="1" t="s">
        <v>61</v>
      </c>
      <c r="M213" s="1" t="s">
        <v>62</v>
      </c>
      <c r="N213" s="1">
        <v>-116.0</v>
      </c>
      <c r="O213" s="1">
        <v>0.028124156555037</v>
      </c>
      <c r="P213" s="1" t="s">
        <v>61</v>
      </c>
      <c r="Q213" s="1" t="s">
        <v>61</v>
      </c>
      <c r="R213" s="1">
        <v>0.028124156555037</v>
      </c>
      <c r="S213" s="1">
        <v>-116.0</v>
      </c>
      <c r="T213" s="1">
        <f t="shared" si="1"/>
        <v>1.862068966</v>
      </c>
      <c r="U213" s="1">
        <v>0.0</v>
      </c>
      <c r="V213" s="3">
        <v>1.0</v>
      </c>
      <c r="W213" s="3" t="s">
        <v>153</v>
      </c>
      <c r="X213" s="3" t="s">
        <v>192</v>
      </c>
      <c r="Z213" s="3">
        <v>11.0</v>
      </c>
      <c r="AA213" s="3">
        <v>0.0</v>
      </c>
      <c r="AB213" s="3">
        <v>1.0</v>
      </c>
      <c r="AC213" s="3">
        <v>0.8620689655172413</v>
      </c>
      <c r="AD213" s="3">
        <v>0.8620689655172413</v>
      </c>
    </row>
    <row r="214">
      <c r="A214" s="1" t="s">
        <v>14</v>
      </c>
      <c r="B214" s="1" t="s">
        <v>119</v>
      </c>
      <c r="C214" s="1" t="s">
        <v>21</v>
      </c>
      <c r="D214" s="1" t="s">
        <v>93</v>
      </c>
      <c r="E214" s="1" t="s">
        <v>94</v>
      </c>
      <c r="F214" s="1" t="s">
        <v>59</v>
      </c>
      <c r="G214" s="1">
        <v>1.5</v>
      </c>
      <c r="H214" s="1" t="s">
        <v>60</v>
      </c>
      <c r="I214" s="1">
        <v>-116.0</v>
      </c>
      <c r="J214" s="1">
        <v>-0.100237037037037</v>
      </c>
      <c r="K214" s="1" t="s">
        <v>61</v>
      </c>
      <c r="L214" s="1" t="s">
        <v>61</v>
      </c>
      <c r="M214" s="1" t="s">
        <v>62</v>
      </c>
      <c r="N214" s="1">
        <v>-116.0</v>
      </c>
      <c r="O214" s="1">
        <v>0.0261629629629629</v>
      </c>
      <c r="P214" s="1" t="s">
        <v>61</v>
      </c>
      <c r="Q214" s="1" t="s">
        <v>61</v>
      </c>
      <c r="R214" s="1">
        <v>0.0261629629629629</v>
      </c>
      <c r="S214" s="1">
        <v>-116.0</v>
      </c>
      <c r="T214" s="1">
        <f t="shared" si="1"/>
        <v>1.862068966</v>
      </c>
      <c r="U214" s="1">
        <v>0.0</v>
      </c>
      <c r="V214" s="3">
        <v>1.0</v>
      </c>
      <c r="W214" s="3" t="s">
        <v>95</v>
      </c>
      <c r="X214" s="3" t="s">
        <v>120</v>
      </c>
      <c r="Z214" s="3">
        <v>1.0</v>
      </c>
      <c r="AA214" s="3">
        <v>0.0</v>
      </c>
      <c r="AB214" s="3">
        <v>1.0</v>
      </c>
      <c r="AC214" s="3">
        <v>0.8620689655172413</v>
      </c>
      <c r="AD214" s="3">
        <v>0.8620689655172413</v>
      </c>
    </row>
    <row r="215">
      <c r="A215" s="1" t="s">
        <v>9</v>
      </c>
      <c r="B215" s="1" t="s">
        <v>179</v>
      </c>
      <c r="C215" s="1" t="s">
        <v>19</v>
      </c>
      <c r="D215" s="1" t="s">
        <v>76</v>
      </c>
      <c r="E215" s="1" t="s">
        <v>77</v>
      </c>
      <c r="F215" s="1" t="s">
        <v>78</v>
      </c>
      <c r="G215" s="1">
        <v>79.0</v>
      </c>
      <c r="H215" s="1" t="s">
        <v>60</v>
      </c>
      <c r="I215" s="1">
        <v>-115.0</v>
      </c>
      <c r="J215" s="6">
        <v>-0.0898365872586228</v>
      </c>
      <c r="K215" s="1" t="s">
        <v>61</v>
      </c>
      <c r="L215" s="1" t="s">
        <v>61</v>
      </c>
      <c r="M215" s="1" t="s">
        <v>62</v>
      </c>
      <c r="N215" s="1">
        <v>-116.0</v>
      </c>
      <c r="O215" s="6">
        <v>0.0184806706587986</v>
      </c>
      <c r="P215" s="1" t="s">
        <v>61</v>
      </c>
      <c r="Q215" s="1" t="s">
        <v>61</v>
      </c>
      <c r="R215" s="6">
        <v>0.0184806706587986</v>
      </c>
      <c r="S215" s="1">
        <v>-116.0</v>
      </c>
      <c r="T215" s="1">
        <f t="shared" si="1"/>
        <v>1.862068966</v>
      </c>
      <c r="U215" s="1">
        <v>0.0</v>
      </c>
      <c r="V215" s="3">
        <v>1.0</v>
      </c>
      <c r="W215" s="3" t="s">
        <v>180</v>
      </c>
      <c r="X215" s="3" t="s">
        <v>181</v>
      </c>
      <c r="Z215" s="3">
        <v>78.0</v>
      </c>
      <c r="AA215" s="3">
        <v>0.0</v>
      </c>
      <c r="AB215" s="3">
        <v>1.0</v>
      </c>
      <c r="AC215" s="3">
        <v>0.8620689655172413</v>
      </c>
      <c r="AD215" s="3">
        <v>0.8620689655172413</v>
      </c>
    </row>
    <row r="216">
      <c r="A216" s="1" t="s">
        <v>11</v>
      </c>
      <c r="B216" s="1" t="s">
        <v>310</v>
      </c>
      <c r="C216" s="1" t="s">
        <v>18</v>
      </c>
      <c r="D216" s="1" t="s">
        <v>72</v>
      </c>
      <c r="E216" s="1" t="s">
        <v>71</v>
      </c>
      <c r="F216" s="1" t="s">
        <v>59</v>
      </c>
      <c r="G216" s="1">
        <v>60.5</v>
      </c>
      <c r="H216" s="1" t="s">
        <v>60</v>
      </c>
      <c r="I216" s="1">
        <v>-116.0</v>
      </c>
      <c r="J216" s="1">
        <v>-0.0893992819357248</v>
      </c>
      <c r="K216" s="1" t="s">
        <v>61</v>
      </c>
      <c r="L216" s="1" t="s">
        <v>61</v>
      </c>
      <c r="M216" s="1" t="s">
        <v>62</v>
      </c>
      <c r="N216" s="1">
        <v>-116.0</v>
      </c>
      <c r="O216" s="1">
        <v>0.0153018960990728</v>
      </c>
      <c r="P216" s="1" t="s">
        <v>61</v>
      </c>
      <c r="Q216" s="1" t="s">
        <v>61</v>
      </c>
      <c r="R216" s="1">
        <v>0.0153018960990728</v>
      </c>
      <c r="S216" s="1">
        <v>-116.0</v>
      </c>
      <c r="T216" s="1">
        <f t="shared" si="1"/>
        <v>1.862068966</v>
      </c>
      <c r="U216" s="1">
        <v>0.0</v>
      </c>
      <c r="V216" s="3">
        <v>1.0</v>
      </c>
      <c r="W216" s="3" t="s">
        <v>148</v>
      </c>
      <c r="X216" s="3" t="s">
        <v>311</v>
      </c>
      <c r="Z216" s="3">
        <v>33.0</v>
      </c>
      <c r="AA216" s="3">
        <v>0.0</v>
      </c>
      <c r="AB216" s="3">
        <v>1.0</v>
      </c>
      <c r="AC216" s="3">
        <v>0.8620689655172413</v>
      </c>
      <c r="AD216" s="3">
        <v>0.8620689655172413</v>
      </c>
    </row>
    <row r="217">
      <c r="A217" s="1" t="s">
        <v>11</v>
      </c>
      <c r="B217" s="1" t="s">
        <v>127</v>
      </c>
      <c r="C217" s="1" t="s">
        <v>18</v>
      </c>
      <c r="D217" s="1" t="s">
        <v>197</v>
      </c>
      <c r="E217" s="1" t="s">
        <v>196</v>
      </c>
      <c r="F217" s="1" t="s">
        <v>198</v>
      </c>
      <c r="G217" s="1">
        <v>40.5</v>
      </c>
      <c r="H217" s="1" t="s">
        <v>60</v>
      </c>
      <c r="I217" s="1">
        <v>-118.0</v>
      </c>
      <c r="J217" s="1">
        <v>-0.09079955732</v>
      </c>
      <c r="K217" s="1" t="s">
        <v>61</v>
      </c>
      <c r="L217" s="1" t="s">
        <v>61</v>
      </c>
      <c r="M217" s="1" t="s">
        <v>62</v>
      </c>
      <c r="N217" s="1">
        <v>-116.0</v>
      </c>
      <c r="O217" s="1">
        <v>0.0125314643921111</v>
      </c>
      <c r="P217" s="1" t="s">
        <v>61</v>
      </c>
      <c r="Q217" s="1" t="s">
        <v>61</v>
      </c>
      <c r="R217" s="1">
        <v>0.0125314643921111</v>
      </c>
      <c r="S217" s="1">
        <v>-116.0</v>
      </c>
      <c r="T217" s="1">
        <f t="shared" si="1"/>
        <v>1.862068966</v>
      </c>
      <c r="U217" s="1">
        <v>0.0</v>
      </c>
      <c r="V217" s="3">
        <v>1.0</v>
      </c>
      <c r="W217" s="3" t="s">
        <v>68</v>
      </c>
      <c r="X217" s="3" t="s">
        <v>128</v>
      </c>
      <c r="Z217" s="3">
        <v>4.0</v>
      </c>
      <c r="AA217" s="3">
        <v>0.0</v>
      </c>
      <c r="AB217" s="3">
        <v>1.0</v>
      </c>
      <c r="AC217" s="3">
        <v>0.8620689655172413</v>
      </c>
      <c r="AD217" s="3">
        <v>0.8620689655172413</v>
      </c>
    </row>
    <row r="218">
      <c r="A218" s="1" t="s">
        <v>9</v>
      </c>
      <c r="B218" s="1" t="s">
        <v>133</v>
      </c>
      <c r="C218" s="1" t="s">
        <v>19</v>
      </c>
      <c r="D218" s="1" t="s">
        <v>134</v>
      </c>
      <c r="E218" s="1" t="s">
        <v>135</v>
      </c>
      <c r="F218" s="1" t="s">
        <v>84</v>
      </c>
      <c r="G218" s="1">
        <v>67.5</v>
      </c>
      <c r="H218" s="1" t="s">
        <v>60</v>
      </c>
      <c r="I218" s="1">
        <v>-115.0</v>
      </c>
      <c r="J218" s="1">
        <v>-0.0836038613514378</v>
      </c>
      <c r="K218" s="1" t="s">
        <v>61</v>
      </c>
      <c r="L218" s="1" t="s">
        <v>61</v>
      </c>
      <c r="M218" s="1" t="s">
        <v>62</v>
      </c>
      <c r="N218" s="1">
        <v>-116.0</v>
      </c>
      <c r="O218" s="1">
        <v>0.0116862176900396</v>
      </c>
      <c r="P218" s="1" t="s">
        <v>61</v>
      </c>
      <c r="Q218" s="1" t="s">
        <v>61</v>
      </c>
      <c r="R218" s="1">
        <v>0.0116862176900396</v>
      </c>
      <c r="S218" s="1">
        <v>-116.0</v>
      </c>
      <c r="T218" s="1">
        <f t="shared" si="1"/>
        <v>1.862068966</v>
      </c>
      <c r="U218" s="1">
        <v>0.0</v>
      </c>
      <c r="V218" s="3">
        <v>1.0</v>
      </c>
      <c r="W218" s="3" t="s">
        <v>136</v>
      </c>
      <c r="X218" s="3" t="s">
        <v>137</v>
      </c>
      <c r="Z218" s="3">
        <v>46.0</v>
      </c>
      <c r="AA218" s="3">
        <v>0.0</v>
      </c>
      <c r="AB218" s="3">
        <v>1.0</v>
      </c>
      <c r="AC218" s="3">
        <v>0.8620689655172413</v>
      </c>
      <c r="AD218" s="3">
        <v>0.8620689655172413</v>
      </c>
    </row>
    <row r="219">
      <c r="A219" s="1" t="s">
        <v>13</v>
      </c>
      <c r="B219" s="1" t="s">
        <v>369</v>
      </c>
      <c r="C219" s="1" t="s">
        <v>21</v>
      </c>
      <c r="D219" s="1" t="s">
        <v>72</v>
      </c>
      <c r="E219" s="1" t="s">
        <v>71</v>
      </c>
      <c r="F219" s="1" t="s">
        <v>59</v>
      </c>
      <c r="G219" s="1">
        <v>273.5</v>
      </c>
      <c r="H219" s="1" t="s">
        <v>60</v>
      </c>
      <c r="I219" s="1">
        <v>-116.0</v>
      </c>
      <c r="J219" s="1">
        <v>-0.0841244721388889</v>
      </c>
      <c r="K219" s="1" t="s">
        <v>61</v>
      </c>
      <c r="L219" s="1" t="s">
        <v>61</v>
      </c>
      <c r="M219" s="1" t="s">
        <v>62</v>
      </c>
      <c r="N219" s="1">
        <v>-116.0</v>
      </c>
      <c r="O219" s="1">
        <v>0.0100797173611109</v>
      </c>
      <c r="P219" s="1" t="s">
        <v>61</v>
      </c>
      <c r="Q219" s="1" t="s">
        <v>61</v>
      </c>
      <c r="R219" s="1">
        <v>0.0100797173611109</v>
      </c>
      <c r="S219" s="1">
        <v>-116.0</v>
      </c>
      <c r="T219" s="1">
        <f t="shared" si="1"/>
        <v>1.862068966</v>
      </c>
      <c r="U219" s="1">
        <v>0.0</v>
      </c>
      <c r="V219" s="3">
        <v>1.0</v>
      </c>
      <c r="W219" s="3" t="s">
        <v>106</v>
      </c>
      <c r="X219" s="3" t="s">
        <v>370</v>
      </c>
      <c r="Z219" s="3">
        <v>234.0</v>
      </c>
      <c r="AA219" s="3">
        <v>0.0</v>
      </c>
      <c r="AB219" s="3">
        <v>1.0</v>
      </c>
      <c r="AC219" s="3">
        <v>0.8620689655172413</v>
      </c>
      <c r="AD219" s="3">
        <v>0.8620689655172413</v>
      </c>
    </row>
    <row r="220">
      <c r="A220" s="1" t="s">
        <v>11</v>
      </c>
      <c r="B220" s="1" t="s">
        <v>185</v>
      </c>
      <c r="C220" s="1" t="s">
        <v>20</v>
      </c>
      <c r="D220" s="1" t="s">
        <v>146</v>
      </c>
      <c r="E220" s="1" t="s">
        <v>147</v>
      </c>
      <c r="F220" s="1" t="s">
        <v>59</v>
      </c>
      <c r="G220" s="1">
        <v>20.5</v>
      </c>
      <c r="H220" s="1" t="s">
        <v>60</v>
      </c>
      <c r="I220" s="1">
        <v>-113.0</v>
      </c>
      <c r="J220" s="1">
        <v>-0.074628707940033</v>
      </c>
      <c r="K220" s="1" t="s">
        <v>61</v>
      </c>
      <c r="L220" s="1" t="s">
        <v>61</v>
      </c>
      <c r="M220" s="1" t="s">
        <v>62</v>
      </c>
      <c r="N220" s="1">
        <v>-116.0</v>
      </c>
      <c r="O220" s="1">
        <v>0.0070770053602932</v>
      </c>
      <c r="P220" s="1" t="s">
        <v>61</v>
      </c>
      <c r="Q220" s="1" t="s">
        <v>61</v>
      </c>
      <c r="R220" s="1">
        <v>0.0070770053602932</v>
      </c>
      <c r="S220" s="1">
        <v>-116.0</v>
      </c>
      <c r="T220" s="1">
        <f t="shared" si="1"/>
        <v>1.862068966</v>
      </c>
      <c r="U220" s="1">
        <v>0.0</v>
      </c>
      <c r="V220" s="3">
        <v>1.0</v>
      </c>
      <c r="W220" s="3" t="s">
        <v>68</v>
      </c>
      <c r="X220" s="3" t="s">
        <v>186</v>
      </c>
      <c r="Z220" s="3">
        <v>15.0</v>
      </c>
      <c r="AA220" s="3">
        <v>0.0</v>
      </c>
      <c r="AB220" s="3">
        <v>1.0</v>
      </c>
      <c r="AC220" s="3">
        <v>0.8620689655172413</v>
      </c>
      <c r="AD220" s="3">
        <v>0.8620689655172413</v>
      </c>
    </row>
    <row r="221">
      <c r="A221" s="1" t="s">
        <v>11</v>
      </c>
      <c r="B221" s="1" t="s">
        <v>220</v>
      </c>
      <c r="C221" s="1" t="s">
        <v>20</v>
      </c>
      <c r="D221" s="1" t="s">
        <v>94</v>
      </c>
      <c r="E221" s="1" t="s">
        <v>93</v>
      </c>
      <c r="F221" s="1" t="s">
        <v>59</v>
      </c>
      <c r="G221" s="1">
        <v>24.5</v>
      </c>
      <c r="H221" s="1" t="s">
        <v>60</v>
      </c>
      <c r="I221" s="1">
        <v>-113.0</v>
      </c>
      <c r="J221" s="1">
        <v>-0.0736042790848638</v>
      </c>
      <c r="K221" s="1" t="s">
        <v>61</v>
      </c>
      <c r="L221" s="1" t="s">
        <v>61</v>
      </c>
      <c r="M221" s="1" t="s">
        <v>62</v>
      </c>
      <c r="N221" s="1">
        <v>-116.0</v>
      </c>
      <c r="O221" s="1">
        <v>0.00613539479763047</v>
      </c>
      <c r="P221" s="1" t="s">
        <v>61</v>
      </c>
      <c r="Q221" s="1" t="s">
        <v>61</v>
      </c>
      <c r="R221" s="1">
        <v>0.00613539479763047</v>
      </c>
      <c r="S221" s="1">
        <v>-116.0</v>
      </c>
      <c r="T221" s="1">
        <f t="shared" si="1"/>
        <v>1.862068966</v>
      </c>
      <c r="U221" s="1">
        <v>0.0</v>
      </c>
      <c r="V221" s="3">
        <v>1.0</v>
      </c>
      <c r="W221" s="3" t="s">
        <v>68</v>
      </c>
      <c r="X221" s="3" t="s">
        <v>221</v>
      </c>
      <c r="Z221" s="3">
        <v>7.0</v>
      </c>
      <c r="AA221" s="3">
        <v>0.0</v>
      </c>
      <c r="AB221" s="3">
        <v>1.0</v>
      </c>
      <c r="AC221" s="3">
        <v>0.8620689655172413</v>
      </c>
      <c r="AD221" s="3">
        <v>0.8620689655172413</v>
      </c>
    </row>
    <row r="222">
      <c r="A222" s="1" t="s">
        <v>9</v>
      </c>
      <c r="B222" s="1" t="s">
        <v>397</v>
      </c>
      <c r="C222" s="1" t="s">
        <v>18</v>
      </c>
      <c r="D222" s="1" t="s">
        <v>196</v>
      </c>
      <c r="E222" s="1" t="s">
        <v>197</v>
      </c>
      <c r="F222" s="1" t="s">
        <v>198</v>
      </c>
      <c r="G222" s="1">
        <v>78.5</v>
      </c>
      <c r="H222" s="1" t="s">
        <v>60</v>
      </c>
      <c r="I222" s="1">
        <v>-116.0</v>
      </c>
      <c r="J222" s="1">
        <v>-0.0771562810890509</v>
      </c>
      <c r="K222" s="1" t="s">
        <v>61</v>
      </c>
      <c r="L222" s="1" t="s">
        <v>61</v>
      </c>
      <c r="M222" s="1" t="s">
        <v>62</v>
      </c>
      <c r="N222" s="1">
        <v>-116.0</v>
      </c>
      <c r="O222" s="1">
        <v>0.00310128606329884</v>
      </c>
      <c r="P222" s="1" t="s">
        <v>61</v>
      </c>
      <c r="Q222" s="1" t="s">
        <v>61</v>
      </c>
      <c r="R222" s="1">
        <v>0.00310128606329884</v>
      </c>
      <c r="S222" s="1">
        <v>-116.0</v>
      </c>
      <c r="T222" s="1">
        <f t="shared" si="1"/>
        <v>1.862068966</v>
      </c>
      <c r="U222" s="1">
        <v>0.0</v>
      </c>
      <c r="V222" s="3">
        <v>1.0</v>
      </c>
      <c r="W222" s="3" t="s">
        <v>79</v>
      </c>
      <c r="X222" s="3" t="s">
        <v>398</v>
      </c>
      <c r="Z222" s="3">
        <v>42.0</v>
      </c>
      <c r="AA222" s="3">
        <v>0.0</v>
      </c>
      <c r="AB222" s="3">
        <v>1.0</v>
      </c>
      <c r="AC222" s="3">
        <v>0.8620689655172413</v>
      </c>
      <c r="AD222" s="3">
        <v>0.8620689655172413</v>
      </c>
    </row>
    <row r="223">
      <c r="A223" s="1" t="s">
        <v>13</v>
      </c>
      <c r="B223" s="1" t="s">
        <v>251</v>
      </c>
      <c r="C223" s="1" t="s">
        <v>21</v>
      </c>
      <c r="D223" s="1" t="s">
        <v>88</v>
      </c>
      <c r="E223" s="1" t="s">
        <v>89</v>
      </c>
      <c r="F223" s="1" t="s">
        <v>90</v>
      </c>
      <c r="G223" s="1">
        <v>249.5</v>
      </c>
      <c r="H223" s="1" t="s">
        <v>60</v>
      </c>
      <c r="I223" s="1">
        <v>-116.0</v>
      </c>
      <c r="J223" s="1">
        <v>-0.0767296296296297</v>
      </c>
      <c r="K223" s="1" t="s">
        <v>61</v>
      </c>
      <c r="L223" s="1" t="s">
        <v>61</v>
      </c>
      <c r="M223" s="1" t="s">
        <v>62</v>
      </c>
      <c r="N223" s="1">
        <v>-116.0</v>
      </c>
      <c r="O223" s="1">
        <v>0.00267037037037043</v>
      </c>
      <c r="P223" s="1" t="s">
        <v>61</v>
      </c>
      <c r="Q223" s="1" t="s">
        <v>61</v>
      </c>
      <c r="R223" s="1">
        <v>0.00267037037037043</v>
      </c>
      <c r="S223" s="1">
        <v>-116.0</v>
      </c>
      <c r="T223" s="1">
        <f t="shared" si="1"/>
        <v>1.862068966</v>
      </c>
      <c r="U223" s="1">
        <v>0.0</v>
      </c>
      <c r="V223" s="3">
        <v>1.0</v>
      </c>
      <c r="W223" s="3" t="s">
        <v>101</v>
      </c>
      <c r="X223" s="3" t="s">
        <v>252</v>
      </c>
      <c r="Z223" s="3">
        <v>179.0</v>
      </c>
      <c r="AA223" s="3">
        <v>0.0</v>
      </c>
      <c r="AB223" s="3">
        <v>1.0</v>
      </c>
      <c r="AC223" s="3">
        <v>0.8620689655172413</v>
      </c>
      <c r="AD223" s="3">
        <v>0.8620689655172413</v>
      </c>
    </row>
    <row r="224">
      <c r="A224" s="1" t="s">
        <v>9</v>
      </c>
      <c r="B224" s="1" t="s">
        <v>336</v>
      </c>
      <c r="C224" s="1" t="s">
        <v>19</v>
      </c>
      <c r="D224" s="1" t="s">
        <v>165</v>
      </c>
      <c r="E224" s="1" t="s">
        <v>164</v>
      </c>
      <c r="F224" s="1" t="s">
        <v>166</v>
      </c>
      <c r="G224" s="1">
        <v>96.0</v>
      </c>
      <c r="H224" s="1" t="s">
        <v>60</v>
      </c>
      <c r="I224" s="1">
        <v>-115.0</v>
      </c>
      <c r="J224" s="1">
        <v>-0.0982076413287619</v>
      </c>
      <c r="K224" s="1" t="s">
        <v>61</v>
      </c>
      <c r="L224" s="1" t="s">
        <v>61</v>
      </c>
      <c r="M224" s="1" t="s">
        <v>62</v>
      </c>
      <c r="N224" s="1">
        <v>-116.0</v>
      </c>
      <c r="O224" s="1">
        <v>0.0270632462284872</v>
      </c>
      <c r="P224" s="1" t="s">
        <v>61</v>
      </c>
      <c r="Q224" s="1" t="s">
        <v>61</v>
      </c>
      <c r="R224" s="1">
        <v>0.0270632462284872</v>
      </c>
      <c r="S224" s="1">
        <v>-116.0</v>
      </c>
      <c r="T224" s="1">
        <f t="shared" si="1"/>
        <v>1.862068966</v>
      </c>
      <c r="U224" s="1">
        <v>0.0</v>
      </c>
      <c r="V224" s="3">
        <v>1.0</v>
      </c>
      <c r="W224" s="3" t="s">
        <v>63</v>
      </c>
      <c r="X224" s="3" t="s">
        <v>337</v>
      </c>
      <c r="Z224" s="3">
        <v>93.0</v>
      </c>
      <c r="AA224" s="3">
        <v>0.0</v>
      </c>
      <c r="AB224" s="3">
        <v>1.0</v>
      </c>
      <c r="AC224" s="3">
        <v>0.8620689655172413</v>
      </c>
      <c r="AD224" s="3">
        <v>0.8620689655172413</v>
      </c>
    </row>
    <row r="225">
      <c r="A225" s="1" t="s">
        <v>9</v>
      </c>
      <c r="B225" s="1" t="s">
        <v>92</v>
      </c>
      <c r="C225" s="1" t="s">
        <v>19</v>
      </c>
      <c r="D225" s="1" t="s">
        <v>93</v>
      </c>
      <c r="E225" s="1" t="s">
        <v>94</v>
      </c>
      <c r="F225" s="1" t="s">
        <v>59</v>
      </c>
      <c r="G225" s="1">
        <v>80.0</v>
      </c>
      <c r="H225" s="1" t="s">
        <v>60</v>
      </c>
      <c r="I225" s="1">
        <v>-116.0</v>
      </c>
      <c r="J225" s="1">
        <v>-0.106846623228723</v>
      </c>
      <c r="K225" s="1" t="s">
        <v>61</v>
      </c>
      <c r="L225" s="1" t="s">
        <v>61</v>
      </c>
      <c r="M225" s="1" t="s">
        <v>62</v>
      </c>
      <c r="N225" s="1">
        <v>-117.0</v>
      </c>
      <c r="O225" s="1">
        <v>0.0313978554025941</v>
      </c>
      <c r="P225" s="1" t="s">
        <v>61</v>
      </c>
      <c r="Q225" s="1" t="s">
        <v>61</v>
      </c>
      <c r="R225" s="1">
        <v>0.0313978554025941</v>
      </c>
      <c r="S225" s="1">
        <v>-117.0</v>
      </c>
      <c r="T225" s="1">
        <f t="shared" si="1"/>
        <v>1.854700855</v>
      </c>
      <c r="U225" s="1">
        <v>0.0</v>
      </c>
      <c r="V225" s="3">
        <v>1.0</v>
      </c>
      <c r="W225" s="3" t="s">
        <v>95</v>
      </c>
      <c r="X225" s="3" t="s">
        <v>96</v>
      </c>
      <c r="Y225" s="3" t="s">
        <v>97</v>
      </c>
      <c r="Z225" s="3">
        <v>0.0</v>
      </c>
      <c r="AA225" s="3">
        <v>0.0</v>
      </c>
      <c r="AB225" s="3">
        <v>1.0</v>
      </c>
      <c r="AC225" s="3">
        <v>0.8547008547008547</v>
      </c>
      <c r="AD225" s="3">
        <v>0.8547008547008547</v>
      </c>
    </row>
    <row r="226">
      <c r="A226" s="1" t="s">
        <v>9</v>
      </c>
      <c r="B226" s="1" t="s">
        <v>239</v>
      </c>
      <c r="C226" s="1" t="s">
        <v>18</v>
      </c>
      <c r="D226" s="1" t="s">
        <v>77</v>
      </c>
      <c r="E226" s="1" t="s">
        <v>76</v>
      </c>
      <c r="F226" s="1" t="s">
        <v>78</v>
      </c>
      <c r="G226" s="1">
        <v>29.5</v>
      </c>
      <c r="H226" s="1" t="s">
        <v>60</v>
      </c>
      <c r="I226" s="1">
        <v>-117.0</v>
      </c>
      <c r="J226" s="6">
        <v>0.0275040745448187</v>
      </c>
      <c r="K226" s="1" t="s">
        <v>61</v>
      </c>
      <c r="L226" s="1" t="s">
        <v>61</v>
      </c>
      <c r="M226" s="1" t="s">
        <v>62</v>
      </c>
      <c r="N226" s="1">
        <v>-118.0</v>
      </c>
      <c r="O226" s="6">
        <v>-0.107919629944707</v>
      </c>
      <c r="P226" s="1" t="s">
        <v>61</v>
      </c>
      <c r="Q226" s="1" t="s">
        <v>61</v>
      </c>
      <c r="R226" s="6">
        <v>0.0275040745448187</v>
      </c>
      <c r="S226" s="1">
        <v>-117.0</v>
      </c>
      <c r="T226" s="1">
        <f t="shared" si="1"/>
        <v>1.854700855</v>
      </c>
      <c r="U226" s="1">
        <v>1.0</v>
      </c>
      <c r="V226" s="3">
        <v>1.0</v>
      </c>
      <c r="W226" s="3" t="s">
        <v>153</v>
      </c>
      <c r="X226" s="3" t="s">
        <v>240</v>
      </c>
      <c r="Z226" s="3">
        <v>53.0</v>
      </c>
      <c r="AA226" s="3">
        <v>1.0</v>
      </c>
      <c r="AB226" s="3">
        <v>1.0</v>
      </c>
      <c r="AC226" s="3">
        <v>0.8547008547008547</v>
      </c>
      <c r="AD226" s="3">
        <v>0.8547008547008547</v>
      </c>
    </row>
    <row r="227">
      <c r="A227" s="1" t="s">
        <v>11</v>
      </c>
      <c r="B227" s="1" t="s">
        <v>399</v>
      </c>
      <c r="C227" s="1" t="s">
        <v>18</v>
      </c>
      <c r="D227" s="1" t="s">
        <v>77</v>
      </c>
      <c r="E227" s="1" t="s">
        <v>76</v>
      </c>
      <c r="F227" s="1" t="s">
        <v>78</v>
      </c>
      <c r="G227" s="1">
        <v>52.5</v>
      </c>
      <c r="H227" s="1" t="s">
        <v>60</v>
      </c>
      <c r="I227" s="1">
        <v>-112.0</v>
      </c>
      <c r="J227" s="6">
        <v>-0.0859019719853961</v>
      </c>
      <c r="K227" s="1" t="s">
        <v>61</v>
      </c>
      <c r="L227" s="1" t="s">
        <v>61</v>
      </c>
      <c r="M227" s="1" t="s">
        <v>62</v>
      </c>
      <c r="N227" s="1">
        <v>-117.0</v>
      </c>
      <c r="O227" s="6">
        <v>0.0184292635965437</v>
      </c>
      <c r="P227" s="1" t="s">
        <v>61</v>
      </c>
      <c r="Q227" s="1" t="s">
        <v>61</v>
      </c>
      <c r="R227" s="6">
        <v>0.0184292635965437</v>
      </c>
      <c r="S227" s="1">
        <v>-117.0</v>
      </c>
      <c r="T227" s="1">
        <f t="shared" si="1"/>
        <v>1.854700855</v>
      </c>
      <c r="U227" s="1">
        <v>0.0</v>
      </c>
      <c r="V227" s="3">
        <v>1.0</v>
      </c>
      <c r="W227" s="3" t="s">
        <v>136</v>
      </c>
      <c r="X227" s="3" t="s">
        <v>400</v>
      </c>
      <c r="Z227" s="3">
        <v>37.0</v>
      </c>
      <c r="AA227" s="3">
        <v>0.0</v>
      </c>
      <c r="AB227" s="3">
        <v>1.0</v>
      </c>
      <c r="AC227" s="3">
        <v>0.8547008547008547</v>
      </c>
      <c r="AD227" s="3">
        <v>0.8547008547008547</v>
      </c>
    </row>
    <row r="228">
      <c r="A228" s="1" t="s">
        <v>11</v>
      </c>
      <c r="B228" s="1" t="s">
        <v>401</v>
      </c>
      <c r="C228" s="1" t="s">
        <v>18</v>
      </c>
      <c r="D228" s="1" t="s">
        <v>83</v>
      </c>
      <c r="E228" s="1" t="s">
        <v>82</v>
      </c>
      <c r="F228" s="1" t="s">
        <v>84</v>
      </c>
      <c r="G228" s="1">
        <v>48.5</v>
      </c>
      <c r="H228" s="1" t="s">
        <v>60</v>
      </c>
      <c r="I228" s="1">
        <v>-115.0</v>
      </c>
      <c r="J228" s="1">
        <v>-0.088231708502093</v>
      </c>
      <c r="K228" s="1" t="s">
        <v>61</v>
      </c>
      <c r="L228" s="1" t="s">
        <v>61</v>
      </c>
      <c r="M228" s="1" t="s">
        <v>62</v>
      </c>
      <c r="N228" s="1">
        <v>-117.0</v>
      </c>
      <c r="O228" s="1">
        <v>0.0141844860750321</v>
      </c>
      <c r="P228" s="1" t="s">
        <v>61</v>
      </c>
      <c r="Q228" s="1" t="s">
        <v>61</v>
      </c>
      <c r="R228" s="1">
        <v>0.0141844860750321</v>
      </c>
      <c r="S228" s="1">
        <v>-117.0</v>
      </c>
      <c r="T228" s="1">
        <f t="shared" si="1"/>
        <v>1.854700855</v>
      </c>
      <c r="U228" s="1">
        <v>0.0</v>
      </c>
      <c r="V228" s="3">
        <v>1.0</v>
      </c>
      <c r="W228" s="3" t="s">
        <v>106</v>
      </c>
      <c r="X228" s="3" t="s">
        <v>402</v>
      </c>
      <c r="Z228" s="3">
        <v>38.0</v>
      </c>
      <c r="AA228" s="3">
        <v>0.0</v>
      </c>
      <c r="AB228" s="3">
        <v>1.0</v>
      </c>
      <c r="AC228" s="3">
        <v>0.8547008547008547</v>
      </c>
      <c r="AD228" s="3">
        <v>0.8547008547008547</v>
      </c>
    </row>
    <row r="229">
      <c r="A229" s="1" t="s">
        <v>11</v>
      </c>
      <c r="B229" s="1" t="s">
        <v>403</v>
      </c>
      <c r="C229" s="1" t="s">
        <v>18</v>
      </c>
      <c r="D229" s="1" t="s">
        <v>110</v>
      </c>
      <c r="E229" s="1" t="s">
        <v>109</v>
      </c>
      <c r="F229" s="1" t="s">
        <v>59</v>
      </c>
      <c r="G229" s="1">
        <v>18.5</v>
      </c>
      <c r="H229" s="1" t="s">
        <v>60</v>
      </c>
      <c r="I229" s="1">
        <v>-112.0</v>
      </c>
      <c r="J229" s="1">
        <v>-0.079169222726981</v>
      </c>
      <c r="K229" s="1" t="s">
        <v>61</v>
      </c>
      <c r="L229" s="1" t="s">
        <v>61</v>
      </c>
      <c r="M229" s="1" t="s">
        <v>62</v>
      </c>
      <c r="N229" s="1">
        <v>-117.0</v>
      </c>
      <c r="O229" s="1">
        <v>0.0117350691483888</v>
      </c>
      <c r="P229" s="1" t="s">
        <v>61</v>
      </c>
      <c r="Q229" s="1" t="s">
        <v>61</v>
      </c>
      <c r="R229" s="1">
        <v>0.0117350691483888</v>
      </c>
      <c r="S229" s="1">
        <v>-117.0</v>
      </c>
      <c r="T229" s="1">
        <f t="shared" si="1"/>
        <v>1.854700855</v>
      </c>
      <c r="U229" s="1">
        <v>0.0</v>
      </c>
      <c r="V229" s="3">
        <v>1.0</v>
      </c>
      <c r="W229" s="3" t="s">
        <v>404</v>
      </c>
      <c r="X229" s="3" t="s">
        <v>380</v>
      </c>
      <c r="Z229" s="3">
        <v>1.0</v>
      </c>
      <c r="AA229" s="3">
        <v>0.0</v>
      </c>
      <c r="AB229" s="3">
        <v>1.0</v>
      </c>
      <c r="AC229" s="3">
        <v>0.8547008547008547</v>
      </c>
      <c r="AD229" s="3">
        <v>0.8547008547008547</v>
      </c>
    </row>
    <row r="230">
      <c r="A230" s="1" t="s">
        <v>10</v>
      </c>
      <c r="B230" s="1" t="s">
        <v>152</v>
      </c>
      <c r="C230" s="1" t="s">
        <v>19</v>
      </c>
      <c r="D230" s="1" t="s">
        <v>88</v>
      </c>
      <c r="E230" s="1" t="s">
        <v>89</v>
      </c>
      <c r="F230" s="1" t="s">
        <v>90</v>
      </c>
      <c r="G230" s="1">
        <v>31.0</v>
      </c>
      <c r="H230" s="1" t="s">
        <v>60</v>
      </c>
      <c r="I230" s="1">
        <v>-112.0</v>
      </c>
      <c r="J230" s="1">
        <v>-0.0764662615241438</v>
      </c>
      <c r="K230" s="1" t="s">
        <v>61</v>
      </c>
      <c r="L230" s="1" t="s">
        <v>61</v>
      </c>
      <c r="M230" s="1" t="s">
        <v>62</v>
      </c>
      <c r="N230" s="1">
        <v>-117.0</v>
      </c>
      <c r="O230" s="1">
        <v>0.00980410833386469</v>
      </c>
      <c r="P230" s="1" t="s">
        <v>61</v>
      </c>
      <c r="Q230" s="1" t="s">
        <v>61</v>
      </c>
      <c r="R230" s="1">
        <v>0.00980410833386469</v>
      </c>
      <c r="S230" s="1">
        <v>-117.0</v>
      </c>
      <c r="T230" s="1">
        <f t="shared" si="1"/>
        <v>1.854700855</v>
      </c>
      <c r="U230" s="1">
        <v>0.0</v>
      </c>
      <c r="V230" s="3">
        <v>1.0</v>
      </c>
      <c r="W230" s="3" t="s">
        <v>153</v>
      </c>
      <c r="X230" s="3" t="s">
        <v>154</v>
      </c>
      <c r="Z230" s="3">
        <v>26.0</v>
      </c>
      <c r="AA230" s="3">
        <v>0.0</v>
      </c>
      <c r="AB230" s="3">
        <v>1.0</v>
      </c>
      <c r="AC230" s="3">
        <v>0.8547008547008547</v>
      </c>
      <c r="AD230" s="3">
        <v>0.8547008547008547</v>
      </c>
    </row>
    <row r="231">
      <c r="A231" s="1" t="s">
        <v>10</v>
      </c>
      <c r="B231" s="1" t="s">
        <v>195</v>
      </c>
      <c r="C231" s="1" t="s">
        <v>19</v>
      </c>
      <c r="D231" s="1" t="s">
        <v>196</v>
      </c>
      <c r="E231" s="1" t="s">
        <v>197</v>
      </c>
      <c r="F231" s="1" t="s">
        <v>198</v>
      </c>
      <c r="G231" s="1">
        <v>24.5</v>
      </c>
      <c r="H231" s="1" t="s">
        <v>60</v>
      </c>
      <c r="I231" s="1">
        <v>-113.0</v>
      </c>
      <c r="J231" s="1">
        <v>-0.10775999467689</v>
      </c>
      <c r="K231" s="1" t="s">
        <v>61</v>
      </c>
      <c r="L231" s="1" t="s">
        <v>61</v>
      </c>
      <c r="M231" s="1" t="s">
        <v>62</v>
      </c>
      <c r="N231" s="1">
        <v>-118.0</v>
      </c>
      <c r="O231" s="1">
        <v>0.0359505278077513</v>
      </c>
      <c r="P231" s="1" t="s">
        <v>61</v>
      </c>
      <c r="Q231" s="1" t="s">
        <v>61</v>
      </c>
      <c r="R231" s="1">
        <v>0.0359505278077513</v>
      </c>
      <c r="S231" s="1">
        <v>-118.0</v>
      </c>
      <c r="T231" s="1">
        <f t="shared" si="1"/>
        <v>1.847457627</v>
      </c>
      <c r="U231" s="1">
        <v>0.0</v>
      </c>
      <c r="V231" s="3">
        <v>1.0</v>
      </c>
      <c r="W231" s="3" t="s">
        <v>63</v>
      </c>
      <c r="X231" s="3" t="s">
        <v>199</v>
      </c>
      <c r="Z231" s="3">
        <v>0.0</v>
      </c>
      <c r="AA231" s="3">
        <v>0.0</v>
      </c>
      <c r="AB231" s="3">
        <v>1.0</v>
      </c>
      <c r="AC231" s="3">
        <v>0.847457627118644</v>
      </c>
      <c r="AD231" s="3">
        <v>0.847457627118644</v>
      </c>
    </row>
    <row r="232">
      <c r="A232" s="1" t="s">
        <v>10</v>
      </c>
      <c r="B232" s="1" t="s">
        <v>405</v>
      </c>
      <c r="C232" s="1" t="s">
        <v>21</v>
      </c>
      <c r="D232" s="1" t="s">
        <v>135</v>
      </c>
      <c r="E232" s="1" t="s">
        <v>134</v>
      </c>
      <c r="F232" s="1" t="s">
        <v>84</v>
      </c>
      <c r="G232" s="1">
        <v>13.5</v>
      </c>
      <c r="H232" s="1" t="s">
        <v>60</v>
      </c>
      <c r="I232" s="1">
        <v>-113.0</v>
      </c>
      <c r="J232" s="1">
        <v>-0.105094686895034</v>
      </c>
      <c r="K232" s="1" t="s">
        <v>61</v>
      </c>
      <c r="L232" s="1" t="s">
        <v>61</v>
      </c>
      <c r="M232" s="1" t="s">
        <v>62</v>
      </c>
      <c r="N232" s="1">
        <v>-118.0</v>
      </c>
      <c r="O232" s="1">
        <v>0.0333211128632938</v>
      </c>
      <c r="P232" s="1" t="s">
        <v>61</v>
      </c>
      <c r="Q232" s="1" t="s">
        <v>61</v>
      </c>
      <c r="R232" s="1">
        <v>0.0333211128632938</v>
      </c>
      <c r="S232" s="1">
        <v>-118.0</v>
      </c>
      <c r="T232" s="1">
        <f t="shared" si="1"/>
        <v>1.847457627</v>
      </c>
      <c r="U232" s="1">
        <v>0.0</v>
      </c>
      <c r="V232" s="3">
        <v>1.0</v>
      </c>
      <c r="W232" s="3" t="s">
        <v>68</v>
      </c>
      <c r="X232" s="3" t="s">
        <v>144</v>
      </c>
      <c r="Z232" s="3">
        <v>6.0</v>
      </c>
      <c r="AA232" s="3">
        <v>0.0</v>
      </c>
      <c r="AB232" s="3">
        <v>1.0</v>
      </c>
      <c r="AC232" s="3">
        <v>0.847457627118644</v>
      </c>
      <c r="AD232" s="3">
        <v>0.847457627118644</v>
      </c>
    </row>
    <row r="233">
      <c r="A233" s="1" t="s">
        <v>11</v>
      </c>
      <c r="B233" s="1" t="s">
        <v>406</v>
      </c>
      <c r="C233" s="1" t="s">
        <v>18</v>
      </c>
      <c r="D233" s="1" t="s">
        <v>100</v>
      </c>
      <c r="E233" s="1" t="s">
        <v>99</v>
      </c>
      <c r="F233" s="1" t="s">
        <v>59</v>
      </c>
      <c r="G233" s="1">
        <v>47.5</v>
      </c>
      <c r="H233" s="1" t="s">
        <v>60</v>
      </c>
      <c r="I233" s="1">
        <v>-113.0</v>
      </c>
      <c r="J233" s="1">
        <v>-0.100200765703614</v>
      </c>
      <c r="K233" s="1" t="s">
        <v>61</v>
      </c>
      <c r="L233" s="1" t="s">
        <v>61</v>
      </c>
      <c r="M233" s="1" t="s">
        <v>62</v>
      </c>
      <c r="N233" s="1">
        <v>-118.0</v>
      </c>
      <c r="O233" s="1">
        <v>0.0284425204891008</v>
      </c>
      <c r="P233" s="1" t="s">
        <v>61</v>
      </c>
      <c r="Q233" s="1" t="s">
        <v>61</v>
      </c>
      <c r="R233" s="1">
        <v>0.0284425204891008</v>
      </c>
      <c r="S233" s="1">
        <v>-118.0</v>
      </c>
      <c r="T233" s="1">
        <f t="shared" si="1"/>
        <v>1.847457627</v>
      </c>
      <c r="U233" s="1">
        <v>0.0</v>
      </c>
      <c r="V233" s="3">
        <v>1.0</v>
      </c>
      <c r="W233" s="3" t="s">
        <v>101</v>
      </c>
      <c r="X233" s="3" t="s">
        <v>407</v>
      </c>
      <c r="Z233" s="3">
        <v>8.0</v>
      </c>
      <c r="AA233" s="3">
        <v>0.0</v>
      </c>
      <c r="AB233" s="3">
        <v>1.0</v>
      </c>
      <c r="AC233" s="3">
        <v>0.847457627118644</v>
      </c>
      <c r="AD233" s="3">
        <v>0.847457627118644</v>
      </c>
    </row>
    <row r="234">
      <c r="A234" s="1" t="s">
        <v>10</v>
      </c>
      <c r="B234" s="1" t="s">
        <v>408</v>
      </c>
      <c r="C234" s="1" t="s">
        <v>19</v>
      </c>
      <c r="D234" s="1" t="s">
        <v>114</v>
      </c>
      <c r="E234" s="1" t="s">
        <v>113</v>
      </c>
      <c r="F234" s="1" t="s">
        <v>90</v>
      </c>
      <c r="G234" s="1">
        <v>25.5</v>
      </c>
      <c r="H234" s="1" t="s">
        <v>60</v>
      </c>
      <c r="I234" s="1">
        <v>-113.0</v>
      </c>
      <c r="J234" s="1">
        <v>-0.0995866588517503</v>
      </c>
      <c r="K234" s="1" t="s">
        <v>61</v>
      </c>
      <c r="L234" s="1" t="s">
        <v>61</v>
      </c>
      <c r="M234" s="1" t="s">
        <v>62</v>
      </c>
      <c r="N234" s="1">
        <v>-118.0</v>
      </c>
      <c r="O234" s="1">
        <v>0.0278271506229309</v>
      </c>
      <c r="P234" s="1" t="s">
        <v>61</v>
      </c>
      <c r="Q234" s="1" t="s">
        <v>61</v>
      </c>
      <c r="R234" s="1">
        <v>0.0278271506229309</v>
      </c>
      <c r="S234" s="1">
        <v>-118.0</v>
      </c>
      <c r="T234" s="1">
        <f t="shared" si="1"/>
        <v>1.847457627</v>
      </c>
      <c r="U234" s="1">
        <v>0.0</v>
      </c>
      <c r="V234" s="3">
        <v>1.0</v>
      </c>
      <c r="W234" s="3" t="s">
        <v>117</v>
      </c>
      <c r="X234" s="3" t="s">
        <v>409</v>
      </c>
      <c r="Z234" s="3">
        <v>10.0</v>
      </c>
      <c r="AA234" s="3">
        <v>0.0</v>
      </c>
      <c r="AB234" s="3">
        <v>1.0</v>
      </c>
      <c r="AC234" s="3">
        <v>0.847457627118644</v>
      </c>
      <c r="AD234" s="3">
        <v>0.847457627118644</v>
      </c>
    </row>
    <row r="235">
      <c r="A235" s="1" t="s">
        <v>11</v>
      </c>
      <c r="B235" s="1" t="s">
        <v>235</v>
      </c>
      <c r="C235" s="1" t="s">
        <v>20</v>
      </c>
      <c r="D235" s="1" t="s">
        <v>104</v>
      </c>
      <c r="E235" s="1" t="s">
        <v>105</v>
      </c>
      <c r="F235" s="1" t="s">
        <v>59</v>
      </c>
      <c r="G235" s="1">
        <v>51.5</v>
      </c>
      <c r="H235" s="1" t="s">
        <v>60</v>
      </c>
      <c r="I235" s="1">
        <v>-113.0</v>
      </c>
      <c r="J235" s="1">
        <v>-0.0980927772272627</v>
      </c>
      <c r="K235" s="1" t="s">
        <v>61</v>
      </c>
      <c r="L235" s="1" t="s">
        <v>61</v>
      </c>
      <c r="M235" s="1" t="s">
        <v>62</v>
      </c>
      <c r="N235" s="1">
        <v>-118.0</v>
      </c>
      <c r="O235" s="1">
        <v>0.0263490328289449</v>
      </c>
      <c r="P235" s="1" t="s">
        <v>61</v>
      </c>
      <c r="Q235" s="1" t="s">
        <v>61</v>
      </c>
      <c r="R235" s="1">
        <v>0.0263490328289449</v>
      </c>
      <c r="S235" s="1">
        <v>-118.0</v>
      </c>
      <c r="T235" s="1">
        <f t="shared" si="1"/>
        <v>1.847457627</v>
      </c>
      <c r="U235" s="1">
        <v>0.0</v>
      </c>
      <c r="V235" s="3">
        <v>1.0</v>
      </c>
      <c r="W235" s="3" t="s">
        <v>101</v>
      </c>
      <c r="X235" s="3" t="s">
        <v>236</v>
      </c>
      <c r="Z235" s="3">
        <v>11.0</v>
      </c>
      <c r="AA235" s="3">
        <v>0.0</v>
      </c>
      <c r="AB235" s="3">
        <v>1.0</v>
      </c>
      <c r="AC235" s="3">
        <v>0.847457627118644</v>
      </c>
      <c r="AD235" s="3">
        <v>0.847457627118644</v>
      </c>
    </row>
    <row r="236">
      <c r="A236" s="1" t="s">
        <v>11</v>
      </c>
      <c r="B236" s="1" t="s">
        <v>410</v>
      </c>
      <c r="C236" s="1" t="s">
        <v>20</v>
      </c>
      <c r="D236" s="1" t="s">
        <v>72</v>
      </c>
      <c r="E236" s="1" t="s">
        <v>71</v>
      </c>
      <c r="F236" s="1" t="s">
        <v>59</v>
      </c>
      <c r="G236" s="1">
        <v>33.5</v>
      </c>
      <c r="H236" s="1" t="s">
        <v>60</v>
      </c>
      <c r="I236" s="1">
        <v>-113.0</v>
      </c>
      <c r="J236" s="1">
        <v>-0.0952483517875118</v>
      </c>
      <c r="K236" s="1" t="s">
        <v>61</v>
      </c>
      <c r="L236" s="1" t="s">
        <v>61</v>
      </c>
      <c r="M236" s="1" t="s">
        <v>62</v>
      </c>
      <c r="N236" s="1">
        <v>-118.0</v>
      </c>
      <c r="O236" s="1">
        <v>0.0234502871999965</v>
      </c>
      <c r="P236" s="1" t="s">
        <v>61</v>
      </c>
      <c r="Q236" s="1" t="s">
        <v>61</v>
      </c>
      <c r="R236" s="1">
        <v>0.0234502871999965</v>
      </c>
      <c r="S236" s="1">
        <v>-118.0</v>
      </c>
      <c r="T236" s="1">
        <f t="shared" si="1"/>
        <v>1.847457627</v>
      </c>
      <c r="U236" s="1">
        <v>0.0</v>
      </c>
      <c r="V236" s="3">
        <v>1.0</v>
      </c>
      <c r="W236" s="3" t="s">
        <v>101</v>
      </c>
      <c r="X236" s="3" t="s">
        <v>411</v>
      </c>
      <c r="Z236" s="3">
        <v>16.0</v>
      </c>
      <c r="AA236" s="3">
        <v>0.0</v>
      </c>
      <c r="AB236" s="3">
        <v>1.0</v>
      </c>
      <c r="AC236" s="3">
        <v>0.847457627118644</v>
      </c>
      <c r="AD236" s="3">
        <v>0.847457627118644</v>
      </c>
    </row>
    <row r="237">
      <c r="A237" s="1" t="s">
        <v>11</v>
      </c>
      <c r="B237" s="1" t="s">
        <v>264</v>
      </c>
      <c r="C237" s="1" t="s">
        <v>19</v>
      </c>
      <c r="D237" s="1" t="s">
        <v>114</v>
      </c>
      <c r="E237" s="1" t="s">
        <v>113</v>
      </c>
      <c r="F237" s="1" t="s">
        <v>90</v>
      </c>
      <c r="G237" s="1">
        <v>8.5</v>
      </c>
      <c r="H237" s="1" t="s">
        <v>60</v>
      </c>
      <c r="I237" s="1">
        <v>-118.0</v>
      </c>
      <c r="J237" s="1">
        <v>0.023419503763859</v>
      </c>
      <c r="K237" s="1" t="s">
        <v>61</v>
      </c>
      <c r="L237" s="1" t="s">
        <v>61</v>
      </c>
      <c r="M237" s="1" t="s">
        <v>62</v>
      </c>
      <c r="N237" s="1">
        <v>-112.0</v>
      </c>
      <c r="O237" s="1">
        <v>-0.0929608775423764</v>
      </c>
      <c r="P237" s="1" t="s">
        <v>61</v>
      </c>
      <c r="Q237" s="1" t="s">
        <v>61</v>
      </c>
      <c r="R237" s="1">
        <v>0.023419503763859</v>
      </c>
      <c r="S237" s="1">
        <v>-118.0</v>
      </c>
      <c r="T237" s="1">
        <f t="shared" si="1"/>
        <v>1.847457627</v>
      </c>
      <c r="U237" s="1">
        <v>1.0</v>
      </c>
      <c r="V237" s="3">
        <v>1.0</v>
      </c>
      <c r="W237" s="3" t="s">
        <v>63</v>
      </c>
      <c r="X237" s="3" t="s">
        <v>265</v>
      </c>
      <c r="Z237" s="3">
        <v>49.0</v>
      </c>
      <c r="AA237" s="3">
        <v>1.0</v>
      </c>
      <c r="AB237" s="3">
        <v>1.0</v>
      </c>
      <c r="AC237" s="3">
        <v>0.847457627118644</v>
      </c>
      <c r="AD237" s="3">
        <v>0.847457627118644</v>
      </c>
    </row>
    <row r="238">
      <c r="A238" s="1" t="s">
        <v>11</v>
      </c>
      <c r="B238" s="1" t="s">
        <v>412</v>
      </c>
      <c r="C238" s="1" t="s">
        <v>20</v>
      </c>
      <c r="D238" s="1" t="s">
        <v>88</v>
      </c>
      <c r="E238" s="1" t="s">
        <v>89</v>
      </c>
      <c r="F238" s="1" t="s">
        <v>90</v>
      </c>
      <c r="G238" s="1">
        <v>41.5</v>
      </c>
      <c r="H238" s="1" t="s">
        <v>60</v>
      </c>
      <c r="I238" s="1">
        <v>-113.0</v>
      </c>
      <c r="J238" s="1">
        <v>-0.0946405412230986</v>
      </c>
      <c r="K238" s="1" t="s">
        <v>61</v>
      </c>
      <c r="L238" s="1" t="s">
        <v>61</v>
      </c>
      <c r="M238" s="1" t="s">
        <v>62</v>
      </c>
      <c r="N238" s="1">
        <v>-118.0</v>
      </c>
      <c r="O238" s="1">
        <v>0.0228735548523669</v>
      </c>
      <c r="P238" s="1" t="s">
        <v>61</v>
      </c>
      <c r="Q238" s="1" t="s">
        <v>61</v>
      </c>
      <c r="R238" s="1">
        <v>0.0228735548523669</v>
      </c>
      <c r="S238" s="1">
        <v>-118.0</v>
      </c>
      <c r="T238" s="1">
        <f t="shared" si="1"/>
        <v>1.847457627</v>
      </c>
      <c r="U238" s="1">
        <v>0.0</v>
      </c>
      <c r="V238" s="3">
        <v>1.0</v>
      </c>
      <c r="W238" s="3" t="s">
        <v>68</v>
      </c>
      <c r="X238" s="3" t="s">
        <v>413</v>
      </c>
      <c r="Z238" s="3">
        <v>15.0</v>
      </c>
      <c r="AA238" s="3">
        <v>0.0</v>
      </c>
      <c r="AB238" s="3">
        <v>1.0</v>
      </c>
      <c r="AC238" s="3">
        <v>0.847457627118644</v>
      </c>
      <c r="AD238" s="3">
        <v>0.847457627118644</v>
      </c>
    </row>
    <row r="239">
      <c r="A239" s="1" t="s">
        <v>11</v>
      </c>
      <c r="B239" s="1" t="s">
        <v>414</v>
      </c>
      <c r="C239" s="1" t="s">
        <v>18</v>
      </c>
      <c r="D239" s="1" t="s">
        <v>89</v>
      </c>
      <c r="E239" s="1" t="s">
        <v>88</v>
      </c>
      <c r="F239" s="1" t="s">
        <v>90</v>
      </c>
      <c r="G239" s="1">
        <v>20.5</v>
      </c>
      <c r="H239" s="1" t="s">
        <v>60</v>
      </c>
      <c r="I239" s="1">
        <v>-113.0</v>
      </c>
      <c r="J239" s="1">
        <v>-0.0823625654484413</v>
      </c>
      <c r="K239" s="1" t="s">
        <v>61</v>
      </c>
      <c r="L239" s="1" t="s">
        <v>61</v>
      </c>
      <c r="M239" s="1" t="s">
        <v>62</v>
      </c>
      <c r="N239" s="1">
        <v>-118.0</v>
      </c>
      <c r="O239" s="1">
        <v>0.0105840788982167</v>
      </c>
      <c r="P239" s="1" t="s">
        <v>61</v>
      </c>
      <c r="Q239" s="1" t="s">
        <v>61</v>
      </c>
      <c r="R239" s="1">
        <v>0.0105840788982167</v>
      </c>
      <c r="S239" s="1">
        <v>-118.0</v>
      </c>
      <c r="T239" s="1">
        <f t="shared" si="1"/>
        <v>1.847457627</v>
      </c>
      <c r="U239" s="1">
        <v>0.0</v>
      </c>
      <c r="V239" s="3">
        <v>1.0</v>
      </c>
      <c r="W239" s="3" t="s">
        <v>364</v>
      </c>
      <c r="X239" s="3" t="s">
        <v>352</v>
      </c>
      <c r="Z239" s="3">
        <v>9.0</v>
      </c>
      <c r="AA239" s="3">
        <v>0.0</v>
      </c>
      <c r="AB239" s="3">
        <v>1.0</v>
      </c>
      <c r="AC239" s="3">
        <v>0.847457627118644</v>
      </c>
      <c r="AD239" s="3">
        <v>0.847457627118644</v>
      </c>
    </row>
    <row r="240">
      <c r="A240" s="1" t="s">
        <v>9</v>
      </c>
      <c r="B240" s="1" t="s">
        <v>415</v>
      </c>
      <c r="C240" s="1" t="s">
        <v>18</v>
      </c>
      <c r="D240" s="1" t="s">
        <v>110</v>
      </c>
      <c r="E240" s="1" t="s">
        <v>109</v>
      </c>
      <c r="F240" s="1" t="s">
        <v>59</v>
      </c>
      <c r="G240" s="1">
        <v>55.0</v>
      </c>
      <c r="H240" s="1" t="s">
        <v>60</v>
      </c>
      <c r="I240" s="1">
        <v>-118.0</v>
      </c>
      <c r="J240" s="1">
        <v>0.00691859987222265</v>
      </c>
      <c r="K240" s="1" t="s">
        <v>61</v>
      </c>
      <c r="L240" s="1" t="s">
        <v>61</v>
      </c>
      <c r="M240" s="1" t="s">
        <v>62</v>
      </c>
      <c r="N240" s="1">
        <v>-117.0</v>
      </c>
      <c r="O240" s="1">
        <v>-0.086233991167784</v>
      </c>
      <c r="P240" s="1" t="s">
        <v>61</v>
      </c>
      <c r="Q240" s="1" t="s">
        <v>61</v>
      </c>
      <c r="R240" s="1">
        <v>0.00691859987222265</v>
      </c>
      <c r="S240" s="1">
        <v>-118.0</v>
      </c>
      <c r="T240" s="1">
        <f t="shared" si="1"/>
        <v>1.847457627</v>
      </c>
      <c r="U240" s="1">
        <v>1.0</v>
      </c>
      <c r="V240" s="3">
        <v>1.0</v>
      </c>
      <c r="W240" s="3" t="s">
        <v>161</v>
      </c>
      <c r="X240" s="3" t="s">
        <v>416</v>
      </c>
      <c r="Z240" s="3">
        <v>75.0</v>
      </c>
      <c r="AA240" s="3">
        <v>1.0</v>
      </c>
      <c r="AB240" s="3">
        <v>1.0</v>
      </c>
      <c r="AC240" s="3">
        <v>0.847457627118644</v>
      </c>
      <c r="AD240" s="3">
        <v>0.847457627118644</v>
      </c>
    </row>
    <row r="241">
      <c r="A241" s="1" t="s">
        <v>10</v>
      </c>
      <c r="B241" s="1" t="s">
        <v>417</v>
      </c>
      <c r="C241" s="1" t="s">
        <v>19</v>
      </c>
      <c r="D241" s="1" t="s">
        <v>113</v>
      </c>
      <c r="E241" s="1" t="s">
        <v>114</v>
      </c>
      <c r="F241" s="1" t="s">
        <v>90</v>
      </c>
      <c r="G241" s="1">
        <v>59.5</v>
      </c>
      <c r="H241" s="1" t="s">
        <v>60</v>
      </c>
      <c r="I241" s="1">
        <v>-113.0</v>
      </c>
      <c r="J241" s="1">
        <v>-0.072799283746414</v>
      </c>
      <c r="K241" s="1" t="s">
        <v>61</v>
      </c>
      <c r="L241" s="1" t="s">
        <v>61</v>
      </c>
      <c r="M241" s="1" t="s">
        <v>62</v>
      </c>
      <c r="N241" s="1">
        <v>-118.0</v>
      </c>
      <c r="O241" s="1">
        <v>0.0010255637769867</v>
      </c>
      <c r="P241" s="1" t="s">
        <v>61</v>
      </c>
      <c r="Q241" s="1" t="s">
        <v>61</v>
      </c>
      <c r="R241" s="1">
        <v>0.0010255637769867</v>
      </c>
      <c r="S241" s="1">
        <v>-118.0</v>
      </c>
      <c r="T241" s="1">
        <f t="shared" si="1"/>
        <v>1.847457627</v>
      </c>
      <c r="U241" s="1">
        <v>0.0</v>
      </c>
      <c r="V241" s="3">
        <v>1.0</v>
      </c>
      <c r="W241" s="3" t="s">
        <v>153</v>
      </c>
      <c r="X241" s="3" t="s">
        <v>137</v>
      </c>
      <c r="Z241" s="3">
        <v>31.0</v>
      </c>
      <c r="AA241" s="3">
        <v>0.0</v>
      </c>
      <c r="AB241" s="3">
        <v>1.0</v>
      </c>
      <c r="AC241" s="3">
        <v>0.847457627118644</v>
      </c>
      <c r="AD241" s="3">
        <v>0.847457627118644</v>
      </c>
    </row>
    <row r="242">
      <c r="A242" s="1" t="s">
        <v>16</v>
      </c>
      <c r="B242" s="1" t="s">
        <v>262</v>
      </c>
      <c r="C242" s="1" t="s">
        <v>21</v>
      </c>
      <c r="D242" s="1" t="s">
        <v>164</v>
      </c>
      <c r="E242" s="1" t="s">
        <v>165</v>
      </c>
      <c r="F242" s="1" t="s">
        <v>166</v>
      </c>
      <c r="G242" s="1">
        <v>31.0</v>
      </c>
      <c r="H242" s="1" t="s">
        <v>60</v>
      </c>
      <c r="I242" s="1">
        <v>-117.0</v>
      </c>
      <c r="J242" s="1">
        <v>-0.101804374423963</v>
      </c>
      <c r="K242" s="1" t="s">
        <v>61</v>
      </c>
      <c r="L242" s="1" t="s">
        <v>61</v>
      </c>
      <c r="M242" s="1" t="s">
        <v>62</v>
      </c>
      <c r="N242" s="1">
        <v>-118.0</v>
      </c>
      <c r="O242" s="1">
        <v>0.0249693308027522</v>
      </c>
      <c r="P242" s="1" t="s">
        <v>61</v>
      </c>
      <c r="Q242" s="1" t="s">
        <v>61</v>
      </c>
      <c r="R242" s="1">
        <v>0.0249693308027522</v>
      </c>
      <c r="S242" s="1">
        <v>-118.0</v>
      </c>
      <c r="T242" s="1">
        <f t="shared" si="1"/>
        <v>1.847457627</v>
      </c>
      <c r="U242" s="1">
        <v>0.0</v>
      </c>
      <c r="V242" s="3">
        <v>1.0</v>
      </c>
      <c r="W242" s="3" t="s">
        <v>63</v>
      </c>
      <c r="X242" s="3" t="s">
        <v>263</v>
      </c>
      <c r="Z242" s="3">
        <v>29.0</v>
      </c>
      <c r="AA242" s="3">
        <v>0.0</v>
      </c>
      <c r="AB242" s="3">
        <v>1.0</v>
      </c>
      <c r="AC242" s="3">
        <v>0.847457627118644</v>
      </c>
      <c r="AD242" s="3">
        <v>0.847457627118644</v>
      </c>
    </row>
    <row r="243">
      <c r="A243" s="1" t="s">
        <v>11</v>
      </c>
      <c r="B243" s="1" t="s">
        <v>418</v>
      </c>
      <c r="C243" s="1" t="s">
        <v>20</v>
      </c>
      <c r="D243" s="1" t="s">
        <v>77</v>
      </c>
      <c r="E243" s="1" t="s">
        <v>76</v>
      </c>
      <c r="F243" s="1" t="s">
        <v>78</v>
      </c>
      <c r="G243" s="1">
        <v>48.5</v>
      </c>
      <c r="H243" s="1" t="s">
        <v>60</v>
      </c>
      <c r="I243" s="1">
        <v>-113.0</v>
      </c>
      <c r="J243" s="6">
        <v>-0.0762176281230186</v>
      </c>
      <c r="K243" s="1" t="s">
        <v>61</v>
      </c>
      <c r="L243" s="1" t="s">
        <v>61</v>
      </c>
      <c r="M243" s="1" t="s">
        <v>62</v>
      </c>
      <c r="N243" s="1">
        <v>-119.0</v>
      </c>
      <c r="O243" s="6">
        <v>0.00232181859862568</v>
      </c>
      <c r="P243" s="1" t="s">
        <v>61</v>
      </c>
      <c r="Q243" s="1" t="s">
        <v>61</v>
      </c>
      <c r="R243" s="6">
        <v>0.00232181859862568</v>
      </c>
      <c r="S243" s="1">
        <v>-119.0</v>
      </c>
      <c r="T243" s="1">
        <f t="shared" si="1"/>
        <v>1.840336134</v>
      </c>
      <c r="U243" s="1">
        <v>0.0</v>
      </c>
      <c r="V243" s="3">
        <v>1.0</v>
      </c>
      <c r="W243" s="3" t="s">
        <v>234</v>
      </c>
      <c r="X243" s="3" t="s">
        <v>419</v>
      </c>
      <c r="Z243" s="3">
        <v>14.0</v>
      </c>
      <c r="AA243" s="3">
        <v>0.0</v>
      </c>
      <c r="AB243" s="3">
        <v>1.0</v>
      </c>
      <c r="AC243" s="3">
        <v>0.8403361344537815</v>
      </c>
      <c r="AD243" s="3">
        <v>0.8403361344537815</v>
      </c>
    </row>
    <row r="244">
      <c r="A244" s="1" t="s">
        <v>11</v>
      </c>
      <c r="B244" s="1" t="s">
        <v>420</v>
      </c>
      <c r="C244" s="1" t="s">
        <v>19</v>
      </c>
      <c r="D244" s="1" t="s">
        <v>164</v>
      </c>
      <c r="E244" s="1" t="s">
        <v>165</v>
      </c>
      <c r="F244" s="1" t="s">
        <v>166</v>
      </c>
      <c r="G244" s="1">
        <v>33.5</v>
      </c>
      <c r="H244" s="1" t="s">
        <v>60</v>
      </c>
      <c r="I244" s="1">
        <v>-115.0</v>
      </c>
      <c r="J244" s="1">
        <v>-0.0968936535035348</v>
      </c>
      <c r="K244" s="1" t="s">
        <v>61</v>
      </c>
      <c r="L244" s="1" t="s">
        <v>61</v>
      </c>
      <c r="M244" s="1" t="s">
        <v>62</v>
      </c>
      <c r="N244" s="1">
        <v>-119.0</v>
      </c>
      <c r="O244" s="1">
        <v>0.0186808650317552</v>
      </c>
      <c r="P244" s="1" t="s">
        <v>61</v>
      </c>
      <c r="Q244" s="1" t="s">
        <v>61</v>
      </c>
      <c r="R244" s="1">
        <v>0.0186808650317552</v>
      </c>
      <c r="S244" s="1">
        <v>-119.0</v>
      </c>
      <c r="T244" s="1">
        <f t="shared" si="1"/>
        <v>1.840336134</v>
      </c>
      <c r="U244" s="1">
        <v>0.0</v>
      </c>
      <c r="V244" s="3">
        <v>1.0</v>
      </c>
      <c r="W244" s="3" t="s">
        <v>106</v>
      </c>
      <c r="X244" s="3" t="s">
        <v>421</v>
      </c>
      <c r="Z244" s="3">
        <v>0.0</v>
      </c>
      <c r="AA244" s="3">
        <v>0.0</v>
      </c>
      <c r="AB244" s="3">
        <v>1.0</v>
      </c>
      <c r="AC244" s="3">
        <v>0.8403361344537815</v>
      </c>
      <c r="AD244" s="3">
        <v>0.8403361344537815</v>
      </c>
    </row>
    <row r="245">
      <c r="A245" s="1" t="s">
        <v>9</v>
      </c>
      <c r="B245" s="1" t="s">
        <v>422</v>
      </c>
      <c r="C245" s="1" t="s">
        <v>18</v>
      </c>
      <c r="D245" s="1" t="s">
        <v>83</v>
      </c>
      <c r="E245" s="1" t="s">
        <v>82</v>
      </c>
      <c r="F245" s="1" t="s">
        <v>84</v>
      </c>
      <c r="G245" s="1">
        <v>27.5</v>
      </c>
      <c r="H245" s="1" t="s">
        <v>60</v>
      </c>
      <c r="I245" s="1">
        <v>-120.0</v>
      </c>
      <c r="J245" s="1">
        <v>0.0472474627567632</v>
      </c>
      <c r="K245" s="1" t="s">
        <v>61</v>
      </c>
      <c r="L245" s="1" t="s">
        <v>61</v>
      </c>
      <c r="M245" s="1" t="s">
        <v>62</v>
      </c>
      <c r="N245" s="1">
        <v>-110.0</v>
      </c>
      <c r="O245" s="1">
        <v>-0.116511838033984</v>
      </c>
      <c r="P245" s="1" t="s">
        <v>61</v>
      </c>
      <c r="Q245" s="1" t="s">
        <v>61</v>
      </c>
      <c r="R245" s="1">
        <v>0.0472474627567632</v>
      </c>
      <c r="S245" s="1">
        <v>-120.0</v>
      </c>
      <c r="T245" s="1">
        <f t="shared" si="1"/>
        <v>1.833333333</v>
      </c>
      <c r="U245" s="1">
        <v>1.0</v>
      </c>
      <c r="V245" s="3">
        <v>1.0</v>
      </c>
      <c r="W245" s="3" t="s">
        <v>68</v>
      </c>
      <c r="X245" s="3" t="s">
        <v>423</v>
      </c>
      <c r="Z245" s="3">
        <v>45.0</v>
      </c>
      <c r="AA245" s="3">
        <v>1.0</v>
      </c>
      <c r="AB245" s="3">
        <v>1.0</v>
      </c>
      <c r="AC245" s="3">
        <v>0.8333333333333334</v>
      </c>
      <c r="AD245" s="3">
        <v>0.8333333333333334</v>
      </c>
    </row>
    <row r="246">
      <c r="A246" s="1" t="s">
        <v>11</v>
      </c>
      <c r="B246" s="1" t="s">
        <v>424</v>
      </c>
      <c r="C246" s="1" t="s">
        <v>19</v>
      </c>
      <c r="D246" s="1" t="s">
        <v>76</v>
      </c>
      <c r="E246" s="1" t="s">
        <v>77</v>
      </c>
      <c r="F246" s="1" t="s">
        <v>78</v>
      </c>
      <c r="G246" s="1">
        <v>7.5</v>
      </c>
      <c r="H246" s="1" t="s">
        <v>60</v>
      </c>
      <c r="I246" s="1">
        <v>-120.0</v>
      </c>
      <c r="J246" s="6">
        <v>0.0469294799880658</v>
      </c>
      <c r="K246" s="1" t="s">
        <v>61</v>
      </c>
      <c r="L246" s="1" t="s">
        <v>61</v>
      </c>
      <c r="M246" s="1" t="s">
        <v>62</v>
      </c>
      <c r="N246" s="1">
        <v>-110.0</v>
      </c>
      <c r="O246" s="6">
        <v>-0.116191115033866</v>
      </c>
      <c r="P246" s="1" t="s">
        <v>61</v>
      </c>
      <c r="Q246" s="1" t="s">
        <v>61</v>
      </c>
      <c r="R246" s="6">
        <v>0.0469294799880658</v>
      </c>
      <c r="S246" s="1">
        <v>-120.0</v>
      </c>
      <c r="T246" s="1">
        <f t="shared" si="1"/>
        <v>1.833333333</v>
      </c>
      <c r="U246" s="1">
        <v>1.0</v>
      </c>
      <c r="V246" s="3">
        <v>1.0</v>
      </c>
      <c r="W246" s="3" t="s">
        <v>148</v>
      </c>
      <c r="X246" s="3" t="s">
        <v>425</v>
      </c>
      <c r="Z246" s="3">
        <v>10.0</v>
      </c>
      <c r="AA246" s="3">
        <v>1.0</v>
      </c>
      <c r="AB246" s="3">
        <v>1.0</v>
      </c>
      <c r="AC246" s="3">
        <v>0.8333333333333334</v>
      </c>
      <c r="AD246" s="3">
        <v>0.8333333333333334</v>
      </c>
    </row>
    <row r="247">
      <c r="A247" s="1" t="s">
        <v>9</v>
      </c>
      <c r="B247" s="1" t="s">
        <v>426</v>
      </c>
      <c r="C247" s="1" t="s">
        <v>18</v>
      </c>
      <c r="D247" s="1" t="s">
        <v>104</v>
      </c>
      <c r="E247" s="1" t="s">
        <v>105</v>
      </c>
      <c r="F247" s="1" t="s">
        <v>59</v>
      </c>
      <c r="G247" s="1">
        <v>33.5</v>
      </c>
      <c r="H247" s="1" t="s">
        <v>60</v>
      </c>
      <c r="I247" s="1">
        <v>-120.0</v>
      </c>
      <c r="J247" s="1">
        <v>0.0448749237668875</v>
      </c>
      <c r="K247" s="1" t="s">
        <v>61</v>
      </c>
      <c r="L247" s="1" t="s">
        <v>61</v>
      </c>
      <c r="M247" s="1" t="s">
        <v>62</v>
      </c>
      <c r="N247" s="1">
        <v>-115.0</v>
      </c>
      <c r="O247" s="1">
        <v>-0.125236073083825</v>
      </c>
      <c r="P247" s="1" t="s">
        <v>61</v>
      </c>
      <c r="Q247" s="1" t="s">
        <v>61</v>
      </c>
      <c r="R247" s="1">
        <v>0.0448749237668875</v>
      </c>
      <c r="S247" s="1">
        <v>-120.0</v>
      </c>
      <c r="T247" s="1">
        <f t="shared" si="1"/>
        <v>1.833333333</v>
      </c>
      <c r="U247" s="1">
        <v>1.0</v>
      </c>
      <c r="V247" s="3">
        <v>1.0</v>
      </c>
      <c r="W247" s="3" t="s">
        <v>73</v>
      </c>
      <c r="X247" s="3" t="s">
        <v>427</v>
      </c>
      <c r="Z247" s="3">
        <v>51.0</v>
      </c>
      <c r="AA247" s="3">
        <v>1.0</v>
      </c>
      <c r="AB247" s="3">
        <v>1.0</v>
      </c>
      <c r="AC247" s="3">
        <v>0.8333333333333334</v>
      </c>
      <c r="AD247" s="3">
        <v>0.8333333333333334</v>
      </c>
    </row>
    <row r="248">
      <c r="A248" s="1" t="s">
        <v>10</v>
      </c>
      <c r="B248" s="1" t="s">
        <v>274</v>
      </c>
      <c r="C248" s="1" t="s">
        <v>21</v>
      </c>
      <c r="D248" s="1" t="s">
        <v>99</v>
      </c>
      <c r="E248" s="1" t="s">
        <v>100</v>
      </c>
      <c r="F248" s="1" t="s">
        <v>59</v>
      </c>
      <c r="G248" s="1">
        <v>19.5</v>
      </c>
      <c r="H248" s="1" t="s">
        <v>60</v>
      </c>
      <c r="I248" s="1">
        <v>-110.0</v>
      </c>
      <c r="J248" s="1">
        <v>-0.110147987650315</v>
      </c>
      <c r="K248" s="1" t="s">
        <v>61</v>
      </c>
      <c r="L248" s="1" t="s">
        <v>61</v>
      </c>
      <c r="M248" s="1" t="s">
        <v>62</v>
      </c>
      <c r="N248" s="1">
        <v>-120.0</v>
      </c>
      <c r="O248" s="1">
        <v>0.0409040585812704</v>
      </c>
      <c r="P248" s="1" t="s">
        <v>61</v>
      </c>
      <c r="Q248" s="1" t="s">
        <v>61</v>
      </c>
      <c r="R248" s="1">
        <v>0.0409040585812704</v>
      </c>
      <c r="S248" s="1">
        <v>-120.0</v>
      </c>
      <c r="T248" s="1">
        <f t="shared" si="1"/>
        <v>1.833333333</v>
      </c>
      <c r="U248" s="1">
        <v>0.0</v>
      </c>
      <c r="V248" s="3">
        <v>1.0</v>
      </c>
      <c r="W248" s="3" t="s">
        <v>106</v>
      </c>
      <c r="X248" s="3" t="s">
        <v>128</v>
      </c>
      <c r="Z248" s="3">
        <v>15.0</v>
      </c>
      <c r="AA248" s="3">
        <v>0.0</v>
      </c>
      <c r="AB248" s="3">
        <v>1.0</v>
      </c>
      <c r="AC248" s="3">
        <v>0.8333333333333334</v>
      </c>
      <c r="AD248" s="3">
        <v>0.8333333333333334</v>
      </c>
    </row>
    <row r="249">
      <c r="A249" s="1" t="s">
        <v>10</v>
      </c>
      <c r="B249" s="1" t="s">
        <v>168</v>
      </c>
      <c r="C249" s="1" t="s">
        <v>19</v>
      </c>
      <c r="D249" s="1" t="s">
        <v>67</v>
      </c>
      <c r="E249" s="1" t="s">
        <v>66</v>
      </c>
      <c r="F249" s="1" t="s">
        <v>59</v>
      </c>
      <c r="G249" s="1">
        <v>47.5</v>
      </c>
      <c r="H249" s="1" t="s">
        <v>60</v>
      </c>
      <c r="I249" s="1">
        <v>-110.0</v>
      </c>
      <c r="J249" s="1">
        <v>-0.0935839218957702</v>
      </c>
      <c r="K249" s="1" t="s">
        <v>61</v>
      </c>
      <c r="L249" s="1" t="s">
        <v>61</v>
      </c>
      <c r="M249" s="1" t="s">
        <v>62</v>
      </c>
      <c r="N249" s="1">
        <v>-120.0</v>
      </c>
      <c r="O249" s="1">
        <v>0.0243596494995187</v>
      </c>
      <c r="P249" s="1" t="s">
        <v>61</v>
      </c>
      <c r="Q249" s="1" t="s">
        <v>61</v>
      </c>
      <c r="R249" s="1">
        <v>0.0243596494995187</v>
      </c>
      <c r="S249" s="1">
        <v>-120.0</v>
      </c>
      <c r="T249" s="1">
        <f t="shared" si="1"/>
        <v>1.833333333</v>
      </c>
      <c r="U249" s="1">
        <v>0.0</v>
      </c>
      <c r="V249" s="3">
        <v>1.0</v>
      </c>
      <c r="W249" s="3" t="s">
        <v>136</v>
      </c>
      <c r="X249" s="3" t="s">
        <v>169</v>
      </c>
      <c r="Z249" s="3">
        <v>44.0</v>
      </c>
      <c r="AA249" s="3">
        <v>0.0</v>
      </c>
      <c r="AB249" s="3">
        <v>1.0</v>
      </c>
      <c r="AC249" s="3">
        <v>0.8333333333333334</v>
      </c>
      <c r="AD249" s="3">
        <v>0.8333333333333334</v>
      </c>
    </row>
    <row r="250">
      <c r="A250" s="1" t="s">
        <v>11</v>
      </c>
      <c r="B250" s="1" t="s">
        <v>217</v>
      </c>
      <c r="C250" s="1" t="s">
        <v>18</v>
      </c>
      <c r="D250" s="1" t="s">
        <v>71</v>
      </c>
      <c r="E250" s="1" t="s">
        <v>72</v>
      </c>
      <c r="F250" s="1" t="s">
        <v>59</v>
      </c>
      <c r="G250" s="1">
        <v>33.5</v>
      </c>
      <c r="H250" s="1" t="s">
        <v>60</v>
      </c>
      <c r="I250" s="1">
        <v>-115.0</v>
      </c>
      <c r="J250" s="1">
        <v>-0.103906609445814</v>
      </c>
      <c r="K250" s="1" t="s">
        <v>61</v>
      </c>
      <c r="L250" s="1" t="s">
        <v>61</v>
      </c>
      <c r="M250" s="1" t="s">
        <v>62</v>
      </c>
      <c r="N250" s="1">
        <v>-120.0</v>
      </c>
      <c r="O250" s="1">
        <v>0.0235715703173639</v>
      </c>
      <c r="P250" s="1" t="s">
        <v>61</v>
      </c>
      <c r="Q250" s="1" t="s">
        <v>61</v>
      </c>
      <c r="R250" s="1">
        <v>0.0235715703173639</v>
      </c>
      <c r="S250" s="1">
        <v>-120.0</v>
      </c>
      <c r="T250" s="1">
        <f t="shared" si="1"/>
        <v>1.833333333</v>
      </c>
      <c r="U250" s="1">
        <v>0.0</v>
      </c>
      <c r="V250" s="3">
        <v>1.0</v>
      </c>
      <c r="W250" s="3" t="s">
        <v>117</v>
      </c>
      <c r="X250" s="3" t="s">
        <v>218</v>
      </c>
      <c r="Z250" s="3">
        <v>0.0</v>
      </c>
      <c r="AA250" s="3">
        <v>0.0</v>
      </c>
      <c r="AB250" s="3">
        <v>1.0</v>
      </c>
      <c r="AC250" s="3">
        <v>0.8333333333333334</v>
      </c>
      <c r="AD250" s="3">
        <v>0.8333333333333334</v>
      </c>
    </row>
    <row r="251">
      <c r="A251" s="1" t="s">
        <v>9</v>
      </c>
      <c r="B251" s="1" t="s">
        <v>428</v>
      </c>
      <c r="C251" s="1" t="s">
        <v>18</v>
      </c>
      <c r="D251" s="1" t="s">
        <v>58</v>
      </c>
      <c r="E251" s="1" t="s">
        <v>57</v>
      </c>
      <c r="F251" s="1" t="s">
        <v>59</v>
      </c>
      <c r="G251" s="1">
        <v>38.5</v>
      </c>
      <c r="H251" s="1" t="s">
        <v>60</v>
      </c>
      <c r="I251" s="1">
        <v>-120.0</v>
      </c>
      <c r="J251" s="1">
        <v>0.0226649756758738</v>
      </c>
      <c r="K251" s="1" t="s">
        <v>61</v>
      </c>
      <c r="L251" s="1" t="s">
        <v>61</v>
      </c>
      <c r="M251" s="1" t="s">
        <v>62</v>
      </c>
      <c r="N251" s="1">
        <v>-110.0</v>
      </c>
      <c r="O251" s="1">
        <v>-0.0918710672074355</v>
      </c>
      <c r="P251" s="1" t="s">
        <v>61</v>
      </c>
      <c r="Q251" s="1" t="s">
        <v>61</v>
      </c>
      <c r="R251" s="1">
        <v>0.0226649756758738</v>
      </c>
      <c r="S251" s="1">
        <v>-120.0</v>
      </c>
      <c r="T251" s="1">
        <f t="shared" si="1"/>
        <v>1.833333333</v>
      </c>
      <c r="U251" s="1">
        <v>1.0</v>
      </c>
      <c r="V251" s="3">
        <v>1.0</v>
      </c>
      <c r="W251" s="3" t="s">
        <v>153</v>
      </c>
      <c r="X251" s="3" t="s">
        <v>429</v>
      </c>
      <c r="Z251" s="3">
        <v>73.0</v>
      </c>
      <c r="AA251" s="3">
        <v>1.0</v>
      </c>
      <c r="AB251" s="3">
        <v>1.0</v>
      </c>
      <c r="AC251" s="3">
        <v>0.8333333333333334</v>
      </c>
      <c r="AD251" s="3">
        <v>0.8333333333333334</v>
      </c>
    </row>
    <row r="252">
      <c r="A252" s="1" t="s">
        <v>11</v>
      </c>
      <c r="B252" s="1" t="s">
        <v>430</v>
      </c>
      <c r="C252" s="1" t="s">
        <v>20</v>
      </c>
      <c r="D252" s="1" t="s">
        <v>100</v>
      </c>
      <c r="E252" s="1" t="s">
        <v>99</v>
      </c>
      <c r="F252" s="1" t="s">
        <v>59</v>
      </c>
      <c r="G252" s="1">
        <v>31.5</v>
      </c>
      <c r="H252" s="1" t="s">
        <v>60</v>
      </c>
      <c r="I252" s="1">
        <v>-110.0</v>
      </c>
      <c r="J252" s="1">
        <v>-0.0891255383120001</v>
      </c>
      <c r="K252" s="1" t="s">
        <v>61</v>
      </c>
      <c r="L252" s="1" t="s">
        <v>61</v>
      </c>
      <c r="M252" s="1" t="s">
        <v>62</v>
      </c>
      <c r="N252" s="1">
        <v>-120.0</v>
      </c>
      <c r="O252" s="1">
        <v>0.0198774041610183</v>
      </c>
      <c r="P252" s="1" t="s">
        <v>61</v>
      </c>
      <c r="Q252" s="1" t="s">
        <v>61</v>
      </c>
      <c r="R252" s="1">
        <v>0.0198774041610183</v>
      </c>
      <c r="S252" s="1">
        <v>-120.0</v>
      </c>
      <c r="T252" s="1">
        <f t="shared" si="1"/>
        <v>1.833333333</v>
      </c>
      <c r="U252" s="1">
        <v>0.0</v>
      </c>
      <c r="V252" s="3">
        <v>1.0</v>
      </c>
      <c r="W252" s="3" t="s">
        <v>106</v>
      </c>
      <c r="X252" s="3" t="s">
        <v>431</v>
      </c>
      <c r="Z252" s="3">
        <v>15.0</v>
      </c>
      <c r="AA252" s="3">
        <v>0.0</v>
      </c>
      <c r="AB252" s="3">
        <v>1.0</v>
      </c>
      <c r="AC252" s="3">
        <v>0.8333333333333334</v>
      </c>
      <c r="AD252" s="3">
        <v>0.8333333333333334</v>
      </c>
    </row>
    <row r="253">
      <c r="A253" s="1" t="s">
        <v>9</v>
      </c>
      <c r="B253" s="1" t="s">
        <v>432</v>
      </c>
      <c r="C253" s="1" t="s">
        <v>18</v>
      </c>
      <c r="D253" s="1" t="s">
        <v>135</v>
      </c>
      <c r="E253" s="1" t="s">
        <v>134</v>
      </c>
      <c r="F253" s="1" t="s">
        <v>84</v>
      </c>
      <c r="G253" s="1">
        <v>37.5</v>
      </c>
      <c r="H253" s="1" t="s">
        <v>60</v>
      </c>
      <c r="I253" s="1">
        <v>-120.0</v>
      </c>
      <c r="J253" s="1">
        <v>0.018612028842854</v>
      </c>
      <c r="K253" s="1" t="s">
        <v>61</v>
      </c>
      <c r="L253" s="1" t="s">
        <v>61</v>
      </c>
      <c r="M253" s="1" t="s">
        <v>62</v>
      </c>
      <c r="N253" s="1">
        <v>-110.0</v>
      </c>
      <c r="O253" s="1">
        <v>-0.0878252903808126</v>
      </c>
      <c r="P253" s="1" t="s">
        <v>61</v>
      </c>
      <c r="Q253" s="1" t="s">
        <v>61</v>
      </c>
      <c r="R253" s="1">
        <v>0.018612028842854</v>
      </c>
      <c r="S253" s="1">
        <v>-120.0</v>
      </c>
      <c r="T253" s="1">
        <f t="shared" si="1"/>
        <v>1.833333333</v>
      </c>
      <c r="U253" s="1">
        <v>1.0</v>
      </c>
      <c r="V253" s="3">
        <v>1.0</v>
      </c>
      <c r="W253" s="3" t="s">
        <v>173</v>
      </c>
      <c r="X253" s="3" t="s">
        <v>433</v>
      </c>
      <c r="Z253" s="3">
        <v>39.0</v>
      </c>
      <c r="AA253" s="3">
        <v>1.0</v>
      </c>
      <c r="AB253" s="3">
        <v>1.0</v>
      </c>
      <c r="AC253" s="3">
        <v>0.8333333333333334</v>
      </c>
      <c r="AD253" s="3">
        <v>0.8333333333333334</v>
      </c>
    </row>
    <row r="254">
      <c r="A254" s="1" t="s">
        <v>11</v>
      </c>
      <c r="B254" s="1" t="s">
        <v>168</v>
      </c>
      <c r="C254" s="1" t="s">
        <v>19</v>
      </c>
      <c r="D254" s="1" t="s">
        <v>67</v>
      </c>
      <c r="E254" s="1" t="s">
        <v>66</v>
      </c>
      <c r="F254" s="1" t="s">
        <v>59</v>
      </c>
      <c r="G254" s="1">
        <v>9.5</v>
      </c>
      <c r="H254" s="1" t="s">
        <v>60</v>
      </c>
      <c r="I254" s="1">
        <v>-120.0</v>
      </c>
      <c r="J254" s="1">
        <v>0.016245044053154</v>
      </c>
      <c r="K254" s="1" t="s">
        <v>61</v>
      </c>
      <c r="L254" s="1" t="s">
        <v>61</v>
      </c>
      <c r="M254" s="1" t="s">
        <v>62</v>
      </c>
      <c r="N254" s="1">
        <v>-110.0</v>
      </c>
      <c r="O254" s="1">
        <v>-0.0854938126707774</v>
      </c>
      <c r="P254" s="1" t="s">
        <v>61</v>
      </c>
      <c r="Q254" s="1" t="s">
        <v>61</v>
      </c>
      <c r="R254" s="1">
        <v>0.016245044053154</v>
      </c>
      <c r="S254" s="1">
        <v>-120.0</v>
      </c>
      <c r="T254" s="1">
        <f t="shared" si="1"/>
        <v>1.833333333</v>
      </c>
      <c r="U254" s="1">
        <v>1.0</v>
      </c>
      <c r="V254" s="3">
        <v>1.0</v>
      </c>
      <c r="W254" s="3" t="s">
        <v>136</v>
      </c>
      <c r="X254" s="3" t="s">
        <v>169</v>
      </c>
      <c r="Z254" s="3">
        <v>17.0</v>
      </c>
      <c r="AA254" s="3">
        <v>1.0</v>
      </c>
      <c r="AB254" s="3">
        <v>1.0</v>
      </c>
      <c r="AC254" s="3">
        <v>0.8333333333333334</v>
      </c>
      <c r="AD254" s="3">
        <v>0.8333333333333334</v>
      </c>
    </row>
    <row r="255">
      <c r="A255" s="1" t="s">
        <v>9</v>
      </c>
      <c r="B255" s="1" t="s">
        <v>182</v>
      </c>
      <c r="C255" s="1" t="s">
        <v>19</v>
      </c>
      <c r="D255" s="1" t="s">
        <v>77</v>
      </c>
      <c r="E255" s="1" t="s">
        <v>76</v>
      </c>
      <c r="F255" s="1" t="s">
        <v>78</v>
      </c>
      <c r="G255" s="1">
        <v>27.0</v>
      </c>
      <c r="H255" s="1" t="s">
        <v>60</v>
      </c>
      <c r="I255" s="1">
        <v>-120.0</v>
      </c>
      <c r="J255" s="6">
        <v>0.0146472965678625</v>
      </c>
      <c r="K255" s="1" t="s">
        <v>61</v>
      </c>
      <c r="L255" s="1" t="s">
        <v>61</v>
      </c>
      <c r="M255" s="1" t="s">
        <v>62</v>
      </c>
      <c r="N255" s="1">
        <v>-110.0</v>
      </c>
      <c r="O255" s="6">
        <v>-0.0832106941401082</v>
      </c>
      <c r="P255" s="1" t="s">
        <v>61</v>
      </c>
      <c r="Q255" s="1" t="s">
        <v>61</v>
      </c>
      <c r="R255" s="6">
        <v>0.0146472965678625</v>
      </c>
      <c r="S255" s="1">
        <v>-120.0</v>
      </c>
      <c r="T255" s="1">
        <f t="shared" si="1"/>
        <v>1.833333333</v>
      </c>
      <c r="U255" s="1">
        <v>1.0</v>
      </c>
      <c r="V255" s="3">
        <v>1.0</v>
      </c>
      <c r="W255" s="3" t="s">
        <v>68</v>
      </c>
      <c r="X255" s="3" t="s">
        <v>184</v>
      </c>
      <c r="Z255" s="3">
        <v>55.0</v>
      </c>
      <c r="AA255" s="3">
        <v>1.0</v>
      </c>
      <c r="AB255" s="3">
        <v>1.0</v>
      </c>
      <c r="AC255" s="3">
        <v>0.8333333333333334</v>
      </c>
      <c r="AD255" s="3">
        <v>0.8333333333333334</v>
      </c>
    </row>
    <row r="256">
      <c r="A256" s="1" t="s">
        <v>14</v>
      </c>
      <c r="B256" s="1" t="s">
        <v>328</v>
      </c>
      <c r="C256" s="1" t="s">
        <v>21</v>
      </c>
      <c r="D256" s="1" t="s">
        <v>109</v>
      </c>
      <c r="E256" s="1" t="s">
        <v>110</v>
      </c>
      <c r="F256" s="1" t="s">
        <v>59</v>
      </c>
      <c r="G256" s="1">
        <v>1.5</v>
      </c>
      <c r="H256" s="1" t="s">
        <v>60</v>
      </c>
      <c r="I256" s="1">
        <v>-111.0</v>
      </c>
      <c r="J256" s="1">
        <v>-0.0784663507109004</v>
      </c>
      <c r="K256" s="1" t="s">
        <v>61</v>
      </c>
      <c r="L256" s="1" t="s">
        <v>61</v>
      </c>
      <c r="M256" s="1" t="s">
        <v>62</v>
      </c>
      <c r="N256" s="1">
        <v>-120.0</v>
      </c>
      <c r="O256" s="1">
        <v>0.00694545454545458</v>
      </c>
      <c r="P256" s="1" t="s">
        <v>61</v>
      </c>
      <c r="Q256" s="1" t="s">
        <v>61</v>
      </c>
      <c r="R256" s="1">
        <v>0.00694545454545458</v>
      </c>
      <c r="S256" s="1">
        <v>-120.0</v>
      </c>
      <c r="T256" s="1">
        <f t="shared" si="1"/>
        <v>1.833333333</v>
      </c>
      <c r="U256" s="1">
        <v>0.0</v>
      </c>
      <c r="V256" s="3">
        <v>1.0</v>
      </c>
      <c r="W256" s="3" t="s">
        <v>73</v>
      </c>
      <c r="X256" s="3" t="s">
        <v>329</v>
      </c>
      <c r="Z256" s="3">
        <v>1.0</v>
      </c>
      <c r="AA256" s="3">
        <v>0.0</v>
      </c>
      <c r="AB256" s="3">
        <v>1.0</v>
      </c>
      <c r="AC256" s="3">
        <v>0.8333333333333334</v>
      </c>
      <c r="AD256" s="3">
        <v>0.8333333333333334</v>
      </c>
    </row>
    <row r="257">
      <c r="A257" s="1" t="s">
        <v>17</v>
      </c>
      <c r="B257" s="1" t="s">
        <v>434</v>
      </c>
      <c r="C257" s="1" t="s">
        <v>21</v>
      </c>
      <c r="D257" s="1" t="s">
        <v>104</v>
      </c>
      <c r="E257" s="1" t="s">
        <v>105</v>
      </c>
      <c r="F257" s="1" t="s">
        <v>59</v>
      </c>
      <c r="G257" s="1">
        <v>0.5</v>
      </c>
      <c r="H257" s="1" t="s">
        <v>60</v>
      </c>
      <c r="I257" s="1">
        <v>-111.0</v>
      </c>
      <c r="J257" s="1">
        <v>-0.0781189573459715</v>
      </c>
      <c r="K257" s="1" t="s">
        <v>61</v>
      </c>
      <c r="L257" s="1" t="s">
        <v>61</v>
      </c>
      <c r="M257" s="1" t="s">
        <v>62</v>
      </c>
      <c r="N257" s="1">
        <v>-121.0</v>
      </c>
      <c r="O257" s="1">
        <v>0.00453393665158374</v>
      </c>
      <c r="P257" s="1" t="s">
        <v>61</v>
      </c>
      <c r="Q257" s="1" t="s">
        <v>61</v>
      </c>
      <c r="R257" s="1">
        <v>0.00453393665158374</v>
      </c>
      <c r="S257" s="1">
        <v>-121.0</v>
      </c>
      <c r="T257" s="1">
        <f t="shared" si="1"/>
        <v>1.826446281</v>
      </c>
      <c r="U257" s="1">
        <v>0.0</v>
      </c>
      <c r="V257" s="3">
        <v>1.0</v>
      </c>
      <c r="W257" s="3" t="s">
        <v>68</v>
      </c>
      <c r="X257" s="3" t="s">
        <v>269</v>
      </c>
      <c r="Z257" s="3">
        <v>0.0</v>
      </c>
      <c r="AA257" s="3">
        <v>0.0</v>
      </c>
      <c r="AB257" s="3">
        <v>1.0</v>
      </c>
      <c r="AC257" s="3">
        <v>0.8264462809917356</v>
      </c>
      <c r="AD257" s="3">
        <v>0.8264462809917356</v>
      </c>
    </row>
    <row r="258">
      <c r="A258" s="1" t="s">
        <v>17</v>
      </c>
      <c r="B258" s="1" t="s">
        <v>316</v>
      </c>
      <c r="C258" s="1" t="s">
        <v>21</v>
      </c>
      <c r="D258" s="1" t="s">
        <v>94</v>
      </c>
      <c r="E258" s="1" t="s">
        <v>93</v>
      </c>
      <c r="F258" s="1" t="s">
        <v>59</v>
      </c>
      <c r="G258" s="1">
        <v>0.5</v>
      </c>
      <c r="H258" s="1" t="s">
        <v>60</v>
      </c>
      <c r="I258" s="1">
        <v>-112.0</v>
      </c>
      <c r="J258" s="1">
        <v>-0.0799490566037735</v>
      </c>
      <c r="K258" s="1" t="s">
        <v>61</v>
      </c>
      <c r="L258" s="1" t="s">
        <v>61</v>
      </c>
      <c r="M258" s="1" t="s">
        <v>62</v>
      </c>
      <c r="N258" s="1">
        <v>-121.0</v>
      </c>
      <c r="O258" s="1">
        <v>0.00414343891402713</v>
      </c>
      <c r="P258" s="1" t="s">
        <v>61</v>
      </c>
      <c r="Q258" s="1" t="s">
        <v>61</v>
      </c>
      <c r="R258" s="1">
        <v>0.00414343891402713</v>
      </c>
      <c r="S258" s="1">
        <v>-121.0</v>
      </c>
      <c r="T258" s="1">
        <f t="shared" si="1"/>
        <v>1.826446281</v>
      </c>
      <c r="U258" s="1">
        <v>0.0</v>
      </c>
      <c r="V258" s="3">
        <v>1.0</v>
      </c>
      <c r="W258" s="3" t="s">
        <v>95</v>
      </c>
      <c r="X258" s="3" t="s">
        <v>317</v>
      </c>
      <c r="Z258" s="3">
        <v>0.0</v>
      </c>
      <c r="AA258" s="3">
        <v>0.0</v>
      </c>
      <c r="AB258" s="3">
        <v>1.0</v>
      </c>
      <c r="AC258" s="3">
        <v>0.8264462809917356</v>
      </c>
      <c r="AD258" s="3">
        <v>0.8264462809917356</v>
      </c>
    </row>
    <row r="259">
      <c r="A259" s="1" t="s">
        <v>12</v>
      </c>
      <c r="B259" s="1" t="s">
        <v>381</v>
      </c>
      <c r="C259" s="1" t="s">
        <v>18</v>
      </c>
      <c r="D259" s="1" t="s">
        <v>135</v>
      </c>
      <c r="E259" s="1" t="s">
        <v>134</v>
      </c>
      <c r="F259" s="1" t="s">
        <v>84</v>
      </c>
      <c r="G259" s="1">
        <v>4.5</v>
      </c>
      <c r="H259" s="1" t="s">
        <v>60</v>
      </c>
      <c r="I259" s="1">
        <v>-106.0</v>
      </c>
      <c r="J259" s="1">
        <v>-0.114260194174757</v>
      </c>
      <c r="K259" s="1" t="s">
        <v>61</v>
      </c>
      <c r="L259" s="1" t="s">
        <v>61</v>
      </c>
      <c r="M259" s="1" t="s">
        <v>62</v>
      </c>
      <c r="N259" s="1">
        <v>-124.0</v>
      </c>
      <c r="O259" s="1">
        <v>0.0461392857142857</v>
      </c>
      <c r="P259" s="1" t="s">
        <v>61</v>
      </c>
      <c r="Q259" s="1" t="s">
        <v>61</v>
      </c>
      <c r="R259" s="1">
        <v>0.0461392857142857</v>
      </c>
      <c r="S259" s="1">
        <v>-124.0</v>
      </c>
      <c r="T259" s="1">
        <f t="shared" si="1"/>
        <v>1.806451613</v>
      </c>
      <c r="U259" s="1">
        <v>0.0</v>
      </c>
      <c r="V259" s="3">
        <v>1.0</v>
      </c>
      <c r="W259" s="3" t="s">
        <v>68</v>
      </c>
      <c r="X259" s="3" t="s">
        <v>382</v>
      </c>
      <c r="Z259" s="3">
        <v>2.0</v>
      </c>
      <c r="AA259" s="3">
        <v>0.0</v>
      </c>
      <c r="AB259" s="3">
        <v>1.0</v>
      </c>
      <c r="AC259" s="3">
        <v>0.8064516129032258</v>
      </c>
      <c r="AD259" s="3">
        <v>0.8064516129032258</v>
      </c>
    </row>
    <row r="260">
      <c r="A260" s="1" t="s">
        <v>12</v>
      </c>
      <c r="B260" s="1" t="s">
        <v>435</v>
      </c>
      <c r="C260" s="1" t="s">
        <v>20</v>
      </c>
      <c r="D260" s="1" t="s">
        <v>89</v>
      </c>
      <c r="E260" s="1" t="s">
        <v>88</v>
      </c>
      <c r="F260" s="1" t="s">
        <v>90</v>
      </c>
      <c r="G260" s="1">
        <v>4.5</v>
      </c>
      <c r="H260" s="1" t="s">
        <v>60</v>
      </c>
      <c r="I260" s="1">
        <v>-108.0</v>
      </c>
      <c r="J260" s="1">
        <v>-0.114682692307692</v>
      </c>
      <c r="K260" s="1" t="s">
        <v>61</v>
      </c>
      <c r="L260" s="1" t="s">
        <v>61</v>
      </c>
      <c r="M260" s="1" t="s">
        <v>62</v>
      </c>
      <c r="N260" s="1">
        <v>-126.0</v>
      </c>
      <c r="O260" s="1">
        <v>0.0379221238938052</v>
      </c>
      <c r="P260" s="1" t="s">
        <v>61</v>
      </c>
      <c r="Q260" s="1" t="s">
        <v>61</v>
      </c>
      <c r="R260" s="1">
        <v>0.0379221238938052</v>
      </c>
      <c r="S260" s="1">
        <v>-126.0</v>
      </c>
      <c r="T260" s="1">
        <f t="shared" si="1"/>
        <v>1.793650794</v>
      </c>
      <c r="U260" s="1">
        <v>0.0</v>
      </c>
      <c r="V260" s="3">
        <v>1.0</v>
      </c>
      <c r="W260" s="3" t="s">
        <v>101</v>
      </c>
      <c r="X260" s="3" t="s">
        <v>436</v>
      </c>
      <c r="Z260" s="3">
        <v>4.0</v>
      </c>
      <c r="AA260" s="3">
        <v>0.0</v>
      </c>
      <c r="AB260" s="3">
        <v>1.0</v>
      </c>
      <c r="AC260" s="3">
        <v>0.7936507936507936</v>
      </c>
      <c r="AD260" s="3">
        <v>0.7936507936507936</v>
      </c>
    </row>
    <row r="261">
      <c r="A261" s="1" t="s">
        <v>15</v>
      </c>
      <c r="B261" s="1" t="s">
        <v>274</v>
      </c>
      <c r="C261" s="1" t="s">
        <v>21</v>
      </c>
      <c r="D261" s="1" t="s">
        <v>99</v>
      </c>
      <c r="E261" s="1" t="s">
        <v>100</v>
      </c>
      <c r="F261" s="1" t="s">
        <v>59</v>
      </c>
      <c r="G261" s="1">
        <v>22.5</v>
      </c>
      <c r="H261" s="1" t="s">
        <v>60</v>
      </c>
      <c r="I261" s="1">
        <v>-106.0</v>
      </c>
      <c r="J261" s="1">
        <v>-0.0939145631067962</v>
      </c>
      <c r="K261" s="1" t="s">
        <v>61</v>
      </c>
      <c r="L261" s="1" t="s">
        <v>61</v>
      </c>
      <c r="M261" s="1" t="s">
        <v>62</v>
      </c>
      <c r="N261" s="1">
        <v>-126.0</v>
      </c>
      <c r="O261" s="1">
        <v>0.0218221238938052</v>
      </c>
      <c r="P261" s="1" t="s">
        <v>61</v>
      </c>
      <c r="Q261" s="1" t="s">
        <v>61</v>
      </c>
      <c r="R261" s="1">
        <v>0.0218221238938052</v>
      </c>
      <c r="S261" s="1">
        <v>-126.0</v>
      </c>
      <c r="T261" s="1">
        <f t="shared" si="1"/>
        <v>1.793650794</v>
      </c>
      <c r="U261" s="1">
        <v>0.0</v>
      </c>
      <c r="V261" s="3">
        <v>1.0</v>
      </c>
      <c r="W261" s="3" t="s">
        <v>106</v>
      </c>
      <c r="X261" s="3" t="s">
        <v>128</v>
      </c>
      <c r="Z261" s="3">
        <v>14.0</v>
      </c>
      <c r="AA261" s="3">
        <v>0.0</v>
      </c>
      <c r="AB261" s="3">
        <v>1.0</v>
      </c>
      <c r="AC261" s="3">
        <v>0.7936507936507936</v>
      </c>
      <c r="AD261" s="3">
        <v>0.7936507936507936</v>
      </c>
    </row>
    <row r="262">
      <c r="A262" s="1" t="s">
        <v>16</v>
      </c>
      <c r="B262" s="1" t="s">
        <v>214</v>
      </c>
      <c r="C262" s="1" t="s">
        <v>21</v>
      </c>
      <c r="D262" s="1" t="s">
        <v>110</v>
      </c>
      <c r="E262" s="1" t="s">
        <v>109</v>
      </c>
      <c r="F262" s="1" t="s">
        <v>59</v>
      </c>
      <c r="G262" s="1">
        <v>29.5</v>
      </c>
      <c r="H262" s="1" t="s">
        <v>60</v>
      </c>
      <c r="I262" s="1">
        <v>-108.0</v>
      </c>
      <c r="J262" s="1">
        <v>-0.0981773192307693</v>
      </c>
      <c r="K262" s="1" t="s">
        <v>61</v>
      </c>
      <c r="L262" s="1" t="s">
        <v>61</v>
      </c>
      <c r="M262" s="1" t="s">
        <v>62</v>
      </c>
      <c r="N262" s="1">
        <v>-127.0</v>
      </c>
      <c r="O262" s="1">
        <v>0.0194828046167402</v>
      </c>
      <c r="P262" s="1" t="s">
        <v>61</v>
      </c>
      <c r="Q262" s="1" t="s">
        <v>61</v>
      </c>
      <c r="R262" s="1">
        <v>0.0194828046167402</v>
      </c>
      <c r="S262" s="1">
        <v>-127.0</v>
      </c>
      <c r="T262" s="1">
        <f t="shared" si="1"/>
        <v>1.787401575</v>
      </c>
      <c r="U262" s="1">
        <v>0.0</v>
      </c>
      <c r="V262" s="3">
        <v>1.0</v>
      </c>
      <c r="W262" s="3" t="s">
        <v>153</v>
      </c>
      <c r="X262" s="3" t="s">
        <v>215</v>
      </c>
      <c r="Z262" s="3">
        <v>0.0</v>
      </c>
      <c r="AA262" s="3">
        <v>0.0</v>
      </c>
      <c r="AB262" s="3">
        <v>1.0</v>
      </c>
      <c r="AC262" s="3">
        <v>0.7874015748031497</v>
      </c>
      <c r="AD262" s="3">
        <v>0.7874015748031497</v>
      </c>
    </row>
    <row r="263">
      <c r="A263" s="1" t="s">
        <v>11</v>
      </c>
      <c r="B263" s="1" t="s">
        <v>437</v>
      </c>
      <c r="C263" s="1" t="s">
        <v>18</v>
      </c>
      <c r="D263" s="1" t="s">
        <v>100</v>
      </c>
      <c r="E263" s="1" t="s">
        <v>99</v>
      </c>
      <c r="F263" s="1" t="s">
        <v>59</v>
      </c>
      <c r="G263" s="1">
        <v>55.5</v>
      </c>
      <c r="H263" s="1" t="s">
        <v>60</v>
      </c>
      <c r="I263" s="1">
        <v>-141.0</v>
      </c>
      <c r="J263" s="1">
        <v>-0.158354565212364</v>
      </c>
      <c r="K263" s="1" t="s">
        <v>61</v>
      </c>
      <c r="L263" s="1" t="s">
        <v>61</v>
      </c>
      <c r="M263" s="1" t="s">
        <v>62</v>
      </c>
      <c r="N263" s="1">
        <v>-127.0</v>
      </c>
      <c r="O263" s="1">
        <v>0.0137480025771804</v>
      </c>
      <c r="P263" s="1" t="s">
        <v>61</v>
      </c>
      <c r="Q263" s="1" t="s">
        <v>61</v>
      </c>
      <c r="R263" s="1">
        <v>0.0137480025771804</v>
      </c>
      <c r="S263" s="1">
        <v>-127.0</v>
      </c>
      <c r="T263" s="1">
        <f t="shared" si="1"/>
        <v>1.787401575</v>
      </c>
      <c r="U263" s="1">
        <v>0.0</v>
      </c>
      <c r="V263" s="3">
        <v>1.0</v>
      </c>
      <c r="W263" s="3" t="s">
        <v>106</v>
      </c>
      <c r="X263" s="3" t="s">
        <v>438</v>
      </c>
      <c r="Z263" s="3">
        <v>50.0</v>
      </c>
      <c r="AA263" s="3">
        <v>0.0</v>
      </c>
      <c r="AB263" s="3">
        <v>1.0</v>
      </c>
      <c r="AC263" s="3">
        <v>0.7874015748031497</v>
      </c>
      <c r="AD263" s="3">
        <v>0.7874015748031497</v>
      </c>
    </row>
    <row r="264">
      <c r="A264" s="1" t="s">
        <v>16</v>
      </c>
      <c r="B264" s="1" t="s">
        <v>260</v>
      </c>
      <c r="C264" s="1" t="s">
        <v>21</v>
      </c>
      <c r="D264" s="1" t="s">
        <v>147</v>
      </c>
      <c r="E264" s="1" t="s">
        <v>146</v>
      </c>
      <c r="F264" s="1" t="s">
        <v>59</v>
      </c>
      <c r="G264" s="1">
        <v>31.5</v>
      </c>
      <c r="H264" s="1" t="s">
        <v>60</v>
      </c>
      <c r="I264" s="1">
        <v>-103.0</v>
      </c>
      <c r="J264" s="1">
        <v>-0.0812864104433497</v>
      </c>
      <c r="K264" s="1" t="s">
        <v>61</v>
      </c>
      <c r="L264" s="1" t="s">
        <v>61</v>
      </c>
      <c r="M264" s="1" t="s">
        <v>62</v>
      </c>
      <c r="N264" s="1">
        <v>-130.0</v>
      </c>
      <c r="O264" s="1">
        <v>0.00866471180869543</v>
      </c>
      <c r="P264" s="1" t="s">
        <v>61</v>
      </c>
      <c r="Q264" s="1" t="s">
        <v>61</v>
      </c>
      <c r="R264" s="1">
        <v>0.00866471180869543</v>
      </c>
      <c r="S264" s="1">
        <v>-130.0</v>
      </c>
      <c r="T264" s="1">
        <f t="shared" si="1"/>
        <v>1.769230769</v>
      </c>
      <c r="U264" s="1">
        <v>0.0</v>
      </c>
      <c r="V264" s="3">
        <v>1.0</v>
      </c>
      <c r="W264" s="3" t="s">
        <v>101</v>
      </c>
      <c r="X264" s="3" t="s">
        <v>261</v>
      </c>
      <c r="Z264" s="3">
        <v>0.0</v>
      </c>
      <c r="AA264" s="3">
        <v>0.0</v>
      </c>
      <c r="AB264" s="3">
        <v>1.0</v>
      </c>
      <c r="AC264" s="3">
        <v>0.7692307692307693</v>
      </c>
      <c r="AD264" s="3">
        <v>0.7692307692307693</v>
      </c>
    </row>
    <row r="265">
      <c r="A265" s="1" t="s">
        <v>8</v>
      </c>
      <c r="B265" s="1" t="s">
        <v>439</v>
      </c>
      <c r="C265" s="1" t="s">
        <v>19</v>
      </c>
      <c r="D265" s="1" t="s">
        <v>135</v>
      </c>
      <c r="E265" s="1" t="s">
        <v>134</v>
      </c>
      <c r="F265" s="1" t="s">
        <v>84</v>
      </c>
      <c r="G265" s="1">
        <v>11.5</v>
      </c>
      <c r="H265" s="1" t="s">
        <v>60</v>
      </c>
      <c r="I265" s="1">
        <v>102.0</v>
      </c>
      <c r="J265" s="1">
        <v>-0.076350178568096</v>
      </c>
      <c r="K265" s="1" t="s">
        <v>61</v>
      </c>
      <c r="L265" s="1" t="s">
        <v>61</v>
      </c>
      <c r="M265" s="1" t="s">
        <v>62</v>
      </c>
      <c r="N265" s="1">
        <v>-136.0</v>
      </c>
      <c r="O265" s="1">
        <v>0.00504370661443731</v>
      </c>
      <c r="P265" s="1" t="s">
        <v>61</v>
      </c>
      <c r="Q265" s="1" t="s">
        <v>61</v>
      </c>
      <c r="R265" s="1">
        <v>0.00504370661443731</v>
      </c>
      <c r="S265" s="1">
        <v>-136.0</v>
      </c>
      <c r="T265" s="1">
        <f t="shared" si="1"/>
        <v>1.735294118</v>
      </c>
      <c r="U265" s="1">
        <v>0.0</v>
      </c>
      <c r="V265" s="3">
        <v>1.0</v>
      </c>
      <c r="W265" s="3" t="s">
        <v>161</v>
      </c>
      <c r="X265" s="3" t="s">
        <v>440</v>
      </c>
      <c r="Z265" s="3">
        <v>11.0</v>
      </c>
      <c r="AA265" s="3">
        <v>0.0</v>
      </c>
      <c r="AB265" s="3">
        <v>1.0</v>
      </c>
      <c r="AC265" s="3">
        <v>0.7352941176470589</v>
      </c>
      <c r="AD265" s="3">
        <v>0.7352941176470589</v>
      </c>
    </row>
    <row r="266">
      <c r="A266" s="1" t="s">
        <v>8</v>
      </c>
      <c r="B266" s="1" t="s">
        <v>393</v>
      </c>
      <c r="C266" s="1" t="s">
        <v>19</v>
      </c>
      <c r="D266" s="1" t="s">
        <v>197</v>
      </c>
      <c r="E266" s="1" t="s">
        <v>196</v>
      </c>
      <c r="F266" s="1" t="s">
        <v>198</v>
      </c>
      <c r="G266" s="1">
        <v>11.5</v>
      </c>
      <c r="H266" s="1" t="s">
        <v>60</v>
      </c>
      <c r="I266" s="1">
        <v>105.0</v>
      </c>
      <c r="J266" s="1">
        <v>-0.0800533811821585</v>
      </c>
      <c r="K266" s="1" t="s">
        <v>61</v>
      </c>
      <c r="L266" s="1" t="s">
        <v>61</v>
      </c>
      <c r="M266" s="1" t="s">
        <v>62</v>
      </c>
      <c r="N266" s="1">
        <v>-138.0</v>
      </c>
      <c r="O266" s="1">
        <v>0.0124097700537522</v>
      </c>
      <c r="P266" s="1" t="s">
        <v>61</v>
      </c>
      <c r="Q266" s="1" t="s">
        <v>61</v>
      </c>
      <c r="R266" s="1">
        <v>0.0124097700537522</v>
      </c>
      <c r="S266" s="1">
        <v>-138.0</v>
      </c>
      <c r="T266" s="1">
        <f t="shared" si="1"/>
        <v>1.724637681</v>
      </c>
      <c r="U266" s="1">
        <v>0.0</v>
      </c>
      <c r="V266" s="3">
        <v>1.0</v>
      </c>
      <c r="W266" s="3" t="s">
        <v>68</v>
      </c>
      <c r="X266" s="3" t="s">
        <v>394</v>
      </c>
      <c r="Z266" s="3">
        <v>11.0</v>
      </c>
      <c r="AA266" s="3">
        <v>0.0</v>
      </c>
      <c r="AB266" s="3">
        <v>1.0</v>
      </c>
      <c r="AC266" s="3">
        <v>0.7246376811594203</v>
      </c>
      <c r="AD266" s="3">
        <v>0.7246376811594203</v>
      </c>
    </row>
    <row r="267">
      <c r="A267" s="1" t="s">
        <v>12</v>
      </c>
      <c r="B267" s="1" t="s">
        <v>441</v>
      </c>
      <c r="C267" s="1" t="s">
        <v>18</v>
      </c>
      <c r="D267" s="1" t="s">
        <v>94</v>
      </c>
      <c r="E267" s="1" t="s">
        <v>93</v>
      </c>
      <c r="F267" s="1" t="s">
        <v>59</v>
      </c>
      <c r="G267" s="1">
        <v>6.5</v>
      </c>
      <c r="H267" s="1" t="s">
        <v>60</v>
      </c>
      <c r="I267" s="1">
        <v>-140.0</v>
      </c>
      <c r="J267" s="1">
        <v>0.028125</v>
      </c>
      <c r="K267" s="1" t="s">
        <v>61</v>
      </c>
      <c r="L267" s="1" t="s">
        <v>61</v>
      </c>
      <c r="M267" s="1" t="s">
        <v>62</v>
      </c>
      <c r="N267" s="1">
        <v>107.0</v>
      </c>
      <c r="O267" s="1">
        <v>-0.0945434782608695</v>
      </c>
      <c r="P267" s="1" t="s">
        <v>61</v>
      </c>
      <c r="Q267" s="1" t="s">
        <v>61</v>
      </c>
      <c r="R267" s="1">
        <v>0.028125</v>
      </c>
      <c r="S267" s="1">
        <v>-140.0</v>
      </c>
      <c r="T267" s="1">
        <f t="shared" si="1"/>
        <v>1.714285714</v>
      </c>
      <c r="U267" s="1">
        <v>1.0</v>
      </c>
      <c r="V267" s="3">
        <v>1.0</v>
      </c>
      <c r="W267" s="3" t="s">
        <v>95</v>
      </c>
      <c r="X267" s="3" t="s">
        <v>184</v>
      </c>
      <c r="Z267" s="3">
        <v>7.0</v>
      </c>
      <c r="AA267" s="3">
        <v>1.0</v>
      </c>
      <c r="AB267" s="3">
        <v>1.0</v>
      </c>
      <c r="AC267" s="3">
        <v>0.7142857142857143</v>
      </c>
      <c r="AD267" s="3">
        <v>0.7142857142857143</v>
      </c>
    </row>
    <row r="268">
      <c r="A268" s="1" t="s">
        <v>12</v>
      </c>
      <c r="B268" s="1" t="s">
        <v>355</v>
      </c>
      <c r="C268" s="1" t="s">
        <v>18</v>
      </c>
      <c r="D268" s="1" t="s">
        <v>109</v>
      </c>
      <c r="E268" s="1" t="s">
        <v>110</v>
      </c>
      <c r="F268" s="1" t="s">
        <v>59</v>
      </c>
      <c r="G268" s="1">
        <v>3.5</v>
      </c>
      <c r="H268" s="1" t="s">
        <v>60</v>
      </c>
      <c r="I268" s="1">
        <v>112.0</v>
      </c>
      <c r="J268" s="1">
        <v>-0.108350943396226</v>
      </c>
      <c r="K268" s="1" t="s">
        <v>61</v>
      </c>
      <c r="L268" s="1" t="s">
        <v>61</v>
      </c>
      <c r="M268" s="1" t="s">
        <v>62</v>
      </c>
      <c r="N268" s="1">
        <v>-145.0</v>
      </c>
      <c r="O268" s="1">
        <v>0.0448224489795917</v>
      </c>
      <c r="P268" s="1" t="s">
        <v>61</v>
      </c>
      <c r="Q268" s="1" t="s">
        <v>61</v>
      </c>
      <c r="R268" s="1">
        <v>0.0448224489795917</v>
      </c>
      <c r="S268" s="1">
        <v>-145.0</v>
      </c>
      <c r="T268" s="1">
        <f t="shared" si="1"/>
        <v>1.689655172</v>
      </c>
      <c r="U268" s="1">
        <v>0.0</v>
      </c>
      <c r="V268" s="3">
        <v>1.0</v>
      </c>
      <c r="W268" s="3" t="s">
        <v>101</v>
      </c>
      <c r="X268" s="3" t="s">
        <v>356</v>
      </c>
      <c r="Z268" s="3">
        <v>1.0</v>
      </c>
      <c r="AA268" s="3">
        <v>0.0</v>
      </c>
      <c r="AB268" s="3">
        <v>1.0</v>
      </c>
      <c r="AC268" s="3">
        <v>0.6896551724137931</v>
      </c>
      <c r="AD268" s="3">
        <v>0.6896551724137931</v>
      </c>
    </row>
    <row r="269">
      <c r="A269" s="1" t="s">
        <v>12</v>
      </c>
      <c r="B269" s="1" t="s">
        <v>442</v>
      </c>
      <c r="C269" s="1" t="s">
        <v>18</v>
      </c>
      <c r="D269" s="1" t="s">
        <v>89</v>
      </c>
      <c r="E269" s="1" t="s">
        <v>88</v>
      </c>
      <c r="F269" s="1" t="s">
        <v>90</v>
      </c>
      <c r="G269" s="1">
        <v>4.5</v>
      </c>
      <c r="H269" s="1" t="s">
        <v>60</v>
      </c>
      <c r="I269" s="1">
        <v>108.0</v>
      </c>
      <c r="J269" s="1">
        <v>-0.0748173076923075</v>
      </c>
      <c r="K269" s="1" t="s">
        <v>61</v>
      </c>
      <c r="L269" s="1" t="s">
        <v>61</v>
      </c>
      <c r="M269" s="1" t="s">
        <v>62</v>
      </c>
      <c r="N269" s="1">
        <v>-145.0</v>
      </c>
      <c r="O269" s="1">
        <v>0.00220408163265317</v>
      </c>
      <c r="P269" s="1" t="s">
        <v>61</v>
      </c>
      <c r="Q269" s="1" t="s">
        <v>61</v>
      </c>
      <c r="R269" s="1">
        <v>0.00220408163265317</v>
      </c>
      <c r="S269" s="1">
        <v>-145.0</v>
      </c>
      <c r="T269" s="1">
        <f t="shared" si="1"/>
        <v>1.689655172</v>
      </c>
      <c r="U269" s="1">
        <v>0.0</v>
      </c>
      <c r="V269" s="3">
        <v>1.0</v>
      </c>
      <c r="W269" s="3" t="s">
        <v>117</v>
      </c>
      <c r="X269" s="3" t="s">
        <v>443</v>
      </c>
      <c r="Z269" s="3">
        <v>2.0</v>
      </c>
      <c r="AA269" s="3">
        <v>0.0</v>
      </c>
      <c r="AB269" s="3">
        <v>1.0</v>
      </c>
      <c r="AC269" s="3">
        <v>0.6896551724137931</v>
      </c>
      <c r="AD269" s="3">
        <v>0.6896551724137931</v>
      </c>
    </row>
    <row r="270">
      <c r="A270" s="1" t="s">
        <v>12</v>
      </c>
      <c r="B270" s="1" t="s">
        <v>237</v>
      </c>
      <c r="C270" s="1" t="s">
        <v>18</v>
      </c>
      <c r="D270" s="1" t="s">
        <v>76</v>
      </c>
      <c r="E270" s="1" t="s">
        <v>77</v>
      </c>
      <c r="F270" s="1" t="s">
        <v>78</v>
      </c>
      <c r="G270" s="1">
        <v>1.5</v>
      </c>
      <c r="H270" s="1" t="s">
        <v>60</v>
      </c>
      <c r="I270" s="1">
        <v>112.0</v>
      </c>
      <c r="J270" s="6">
        <v>-0.0966970495615093</v>
      </c>
      <c r="K270" s="1" t="s">
        <v>61</v>
      </c>
      <c r="L270" s="1" t="s">
        <v>61</v>
      </c>
      <c r="M270" s="1" t="s">
        <v>62</v>
      </c>
      <c r="N270" s="1">
        <v>-150.0</v>
      </c>
      <c r="O270" s="6">
        <v>0.0249987920019998</v>
      </c>
      <c r="P270" s="1" t="s">
        <v>61</v>
      </c>
      <c r="Q270" s="1" t="s">
        <v>61</v>
      </c>
      <c r="R270" s="6">
        <v>0.0249987920019998</v>
      </c>
      <c r="S270" s="1">
        <v>-150.0</v>
      </c>
      <c r="T270" s="1">
        <f t="shared" si="1"/>
        <v>1.666666667</v>
      </c>
      <c r="U270" s="1">
        <v>0.0</v>
      </c>
      <c r="V270" s="3">
        <v>1.0</v>
      </c>
      <c r="W270" s="3" t="s">
        <v>68</v>
      </c>
      <c r="X270" s="3" t="s">
        <v>238</v>
      </c>
      <c r="Z270" s="3">
        <v>1.0</v>
      </c>
      <c r="AA270" s="3">
        <v>0.0</v>
      </c>
      <c r="AB270" s="3">
        <v>1.0</v>
      </c>
      <c r="AC270" s="3">
        <v>0.6666666666666666</v>
      </c>
      <c r="AD270" s="3">
        <v>0.6666666666666666</v>
      </c>
    </row>
    <row r="271">
      <c r="A271" s="1" t="s">
        <v>14</v>
      </c>
      <c r="B271" s="1" t="s">
        <v>330</v>
      </c>
      <c r="C271" s="1" t="s">
        <v>21</v>
      </c>
      <c r="D271" s="1" t="s">
        <v>165</v>
      </c>
      <c r="E271" s="1" t="s">
        <v>164</v>
      </c>
      <c r="F271" s="1" t="s">
        <v>166</v>
      </c>
      <c r="G271" s="1">
        <v>1.5</v>
      </c>
      <c r="H271" s="1" t="s">
        <v>60</v>
      </c>
      <c r="I271" s="1">
        <v>110.0</v>
      </c>
      <c r="J271" s="1">
        <v>-0.112190476190476</v>
      </c>
      <c r="K271" s="1" t="s">
        <v>61</v>
      </c>
      <c r="L271" s="1" t="s">
        <v>61</v>
      </c>
      <c r="M271" s="1" t="s">
        <v>62</v>
      </c>
      <c r="N271" s="1">
        <v>-151.0</v>
      </c>
      <c r="O271" s="1">
        <v>0.034406374501992</v>
      </c>
      <c r="P271" s="1" t="s">
        <v>61</v>
      </c>
      <c r="Q271" s="1" t="s">
        <v>61</v>
      </c>
      <c r="R271" s="1">
        <v>0.034406374501992</v>
      </c>
      <c r="S271" s="1">
        <v>-151.0</v>
      </c>
      <c r="T271" s="1">
        <f t="shared" si="1"/>
        <v>1.662251656</v>
      </c>
      <c r="U271" s="1">
        <v>0.0</v>
      </c>
      <c r="V271" s="3">
        <v>1.0</v>
      </c>
      <c r="W271" s="3" t="s">
        <v>117</v>
      </c>
      <c r="X271" s="3" t="s">
        <v>331</v>
      </c>
      <c r="Z271" s="3">
        <v>1.0</v>
      </c>
      <c r="AA271" s="3">
        <v>0.0</v>
      </c>
      <c r="AB271" s="3">
        <v>1.0</v>
      </c>
      <c r="AC271" s="3">
        <v>0.6622516556291391</v>
      </c>
      <c r="AD271" s="3">
        <v>0.6622516556291391</v>
      </c>
    </row>
    <row r="272">
      <c r="A272" s="1" t="s">
        <v>12</v>
      </c>
      <c r="B272" s="1" t="s">
        <v>410</v>
      </c>
      <c r="C272" s="1" t="s">
        <v>20</v>
      </c>
      <c r="D272" s="1" t="s">
        <v>72</v>
      </c>
      <c r="E272" s="1" t="s">
        <v>71</v>
      </c>
      <c r="F272" s="1" t="s">
        <v>59</v>
      </c>
      <c r="G272" s="1">
        <v>3.5</v>
      </c>
      <c r="H272" s="1" t="s">
        <v>60</v>
      </c>
      <c r="I272" s="1">
        <v>115.0</v>
      </c>
      <c r="J272" s="1">
        <v>-0.11736976744186</v>
      </c>
      <c r="K272" s="1" t="s">
        <v>61</v>
      </c>
      <c r="L272" s="1" t="s">
        <v>61</v>
      </c>
      <c r="M272" s="1" t="s">
        <v>62</v>
      </c>
      <c r="N272" s="1">
        <v>-155.0</v>
      </c>
      <c r="O272" s="1">
        <v>0.0444176470588234</v>
      </c>
      <c r="P272" s="1" t="s">
        <v>61</v>
      </c>
      <c r="Q272" s="1" t="s">
        <v>61</v>
      </c>
      <c r="R272" s="1">
        <v>0.0444176470588234</v>
      </c>
      <c r="S272" s="1">
        <v>-155.0</v>
      </c>
      <c r="T272" s="1">
        <f t="shared" si="1"/>
        <v>1.64516129</v>
      </c>
      <c r="U272" s="1">
        <v>0.0</v>
      </c>
      <c r="V272" s="3">
        <v>1.0</v>
      </c>
      <c r="W272" s="3" t="s">
        <v>101</v>
      </c>
      <c r="X272" s="3" t="s">
        <v>411</v>
      </c>
      <c r="Z272" s="3">
        <v>3.0</v>
      </c>
      <c r="AA272" s="3">
        <v>0.0</v>
      </c>
      <c r="AB272" s="3">
        <v>1.0</v>
      </c>
      <c r="AC272" s="3">
        <v>0.6451612903225806</v>
      </c>
      <c r="AD272" s="3">
        <v>0.6451612903225806</v>
      </c>
    </row>
    <row r="273">
      <c r="A273" s="1" t="s">
        <v>8</v>
      </c>
      <c r="B273" s="1" t="s">
        <v>316</v>
      </c>
      <c r="C273" s="1" t="s">
        <v>21</v>
      </c>
      <c r="D273" s="1" t="s">
        <v>94</v>
      </c>
      <c r="E273" s="1" t="s">
        <v>93</v>
      </c>
      <c r="F273" s="1" t="s">
        <v>59</v>
      </c>
      <c r="G273" s="1">
        <v>2.5</v>
      </c>
      <c r="H273" s="1" t="s">
        <v>60</v>
      </c>
      <c r="I273" s="1">
        <v>115.0</v>
      </c>
      <c r="J273" s="1">
        <v>-0.0985596277096646</v>
      </c>
      <c r="K273" s="1" t="s">
        <v>61</v>
      </c>
      <c r="L273" s="1" t="s">
        <v>61</v>
      </c>
      <c r="M273" s="1" t="s">
        <v>62</v>
      </c>
      <c r="N273" s="1">
        <v>-155.0</v>
      </c>
      <c r="O273" s="1">
        <v>0.0256061242429521</v>
      </c>
      <c r="P273" s="1" t="s">
        <v>61</v>
      </c>
      <c r="Q273" s="1" t="s">
        <v>61</v>
      </c>
      <c r="R273" s="1">
        <v>0.0256061242429521</v>
      </c>
      <c r="S273" s="1">
        <v>-155.0</v>
      </c>
      <c r="T273" s="1">
        <f t="shared" si="1"/>
        <v>1.64516129</v>
      </c>
      <c r="U273" s="1">
        <v>0.0</v>
      </c>
      <c r="V273" s="3">
        <v>1.0</v>
      </c>
      <c r="W273" s="3" t="s">
        <v>95</v>
      </c>
      <c r="X273" s="3" t="s">
        <v>317</v>
      </c>
      <c r="Z273" s="3">
        <v>1.0</v>
      </c>
      <c r="AA273" s="3">
        <v>0.0</v>
      </c>
      <c r="AB273" s="3">
        <v>1.0</v>
      </c>
      <c r="AC273" s="3">
        <v>0.6451612903225806</v>
      </c>
      <c r="AD273" s="3">
        <v>0.6451612903225806</v>
      </c>
    </row>
    <row r="274">
      <c r="A274" s="1" t="s">
        <v>14</v>
      </c>
      <c r="B274" s="1" t="s">
        <v>204</v>
      </c>
      <c r="C274" s="1" t="s">
        <v>21</v>
      </c>
      <c r="D274" s="1" t="s">
        <v>105</v>
      </c>
      <c r="E274" s="1" t="s">
        <v>104</v>
      </c>
      <c r="F274" s="1" t="s">
        <v>59</v>
      </c>
      <c r="G274" s="1">
        <v>1.5</v>
      </c>
      <c r="H274" s="1" t="s">
        <v>60</v>
      </c>
      <c r="I274" s="1">
        <v>120.0</v>
      </c>
      <c r="J274" s="1">
        <v>-0.082090909090909</v>
      </c>
      <c r="K274" s="1" t="s">
        <v>61</v>
      </c>
      <c r="L274" s="1" t="s">
        <v>61</v>
      </c>
      <c r="M274" s="1" t="s">
        <v>62</v>
      </c>
      <c r="N274" s="1">
        <v>-159.0</v>
      </c>
      <c r="O274" s="1">
        <v>0.0136389961389961</v>
      </c>
      <c r="P274" s="1" t="s">
        <v>61</v>
      </c>
      <c r="Q274" s="1" t="s">
        <v>61</v>
      </c>
      <c r="R274" s="1">
        <v>0.0136389961389961</v>
      </c>
      <c r="S274" s="1">
        <v>-159.0</v>
      </c>
      <c r="T274" s="1">
        <f t="shared" si="1"/>
        <v>1.628930818</v>
      </c>
      <c r="U274" s="1">
        <v>0.0</v>
      </c>
      <c r="V274" s="3">
        <v>1.0</v>
      </c>
      <c r="W274" s="3" t="s">
        <v>73</v>
      </c>
      <c r="X274" s="3" t="s">
        <v>205</v>
      </c>
      <c r="Z274" s="3">
        <v>1.0</v>
      </c>
      <c r="AA274" s="3">
        <v>0.0</v>
      </c>
      <c r="AB274" s="3">
        <v>1.0</v>
      </c>
      <c r="AC274" s="3">
        <v>0.6289308176100629</v>
      </c>
      <c r="AD274" s="3">
        <v>0.6289308176100629</v>
      </c>
    </row>
    <row r="275">
      <c r="A275" s="1" t="s">
        <v>12</v>
      </c>
      <c r="B275" s="1" t="s">
        <v>444</v>
      </c>
      <c r="C275" s="1" t="s">
        <v>19</v>
      </c>
      <c r="D275" s="1" t="s">
        <v>71</v>
      </c>
      <c r="E275" s="1" t="s">
        <v>72</v>
      </c>
      <c r="F275" s="1" t="s">
        <v>59</v>
      </c>
      <c r="G275" s="1">
        <v>2.5</v>
      </c>
      <c r="H275" s="1" t="s">
        <v>60</v>
      </c>
      <c r="I275" s="1">
        <v>123.0</v>
      </c>
      <c r="J275" s="1">
        <v>-0.0811830326959641</v>
      </c>
      <c r="K275" s="1" t="s">
        <v>61</v>
      </c>
      <c r="L275" s="1" t="s">
        <v>61</v>
      </c>
      <c r="M275" s="1" t="s">
        <v>62</v>
      </c>
      <c r="N275" s="1">
        <v>-163.0</v>
      </c>
      <c r="O275" s="1">
        <v>0.0129871728790874</v>
      </c>
      <c r="P275" s="1" t="s">
        <v>61</v>
      </c>
      <c r="Q275" s="1" t="s">
        <v>61</v>
      </c>
      <c r="R275" s="1">
        <v>0.0129871728790874</v>
      </c>
      <c r="S275" s="1">
        <v>-163.0</v>
      </c>
      <c r="T275" s="1">
        <f t="shared" si="1"/>
        <v>1.613496933</v>
      </c>
      <c r="U275" s="1">
        <v>0.0</v>
      </c>
      <c r="V275" s="3">
        <v>1.0</v>
      </c>
      <c r="W275" s="3" t="s">
        <v>68</v>
      </c>
      <c r="X275" s="3" t="s">
        <v>445</v>
      </c>
      <c r="Z275" s="3">
        <v>0.0</v>
      </c>
      <c r="AA275" s="3">
        <v>0.0</v>
      </c>
      <c r="AB275" s="3">
        <v>1.0</v>
      </c>
      <c r="AC275" s="3">
        <v>0.6134969325153374</v>
      </c>
      <c r="AD275" s="3">
        <v>0.6134969325153374</v>
      </c>
    </row>
    <row r="276">
      <c r="A276" s="1" t="s">
        <v>12</v>
      </c>
      <c r="B276" s="1" t="s">
        <v>401</v>
      </c>
      <c r="C276" s="1" t="s">
        <v>18</v>
      </c>
      <c r="D276" s="1" t="s">
        <v>83</v>
      </c>
      <c r="E276" s="1" t="s">
        <v>82</v>
      </c>
      <c r="F276" s="1" t="s">
        <v>84</v>
      </c>
      <c r="G276" s="1">
        <v>4.5</v>
      </c>
      <c r="H276" s="1" t="s">
        <v>60</v>
      </c>
      <c r="I276" s="1">
        <v>121.0</v>
      </c>
      <c r="J276" s="1">
        <v>-0.0763339366515837</v>
      </c>
      <c r="K276" s="1" t="s">
        <v>61</v>
      </c>
      <c r="L276" s="1" t="s">
        <v>61</v>
      </c>
      <c r="M276" s="1" t="s">
        <v>62</v>
      </c>
      <c r="N276" s="1">
        <v>-163.0</v>
      </c>
      <c r="O276" s="1">
        <v>0.00406615969581736</v>
      </c>
      <c r="P276" s="1" t="s">
        <v>61</v>
      </c>
      <c r="Q276" s="1" t="s">
        <v>61</v>
      </c>
      <c r="R276" s="1">
        <v>0.00406615969581736</v>
      </c>
      <c r="S276" s="1">
        <v>-163.0</v>
      </c>
      <c r="T276" s="1">
        <f t="shared" si="1"/>
        <v>1.613496933</v>
      </c>
      <c r="U276" s="1">
        <v>0.0</v>
      </c>
      <c r="V276" s="3">
        <v>1.0</v>
      </c>
      <c r="W276" s="3" t="s">
        <v>106</v>
      </c>
      <c r="X276" s="3" t="s">
        <v>402</v>
      </c>
      <c r="Z276" s="3">
        <v>4.0</v>
      </c>
      <c r="AA276" s="3">
        <v>0.0</v>
      </c>
      <c r="AB276" s="3">
        <v>1.0</v>
      </c>
      <c r="AC276" s="3">
        <v>0.6134969325153374</v>
      </c>
      <c r="AD276" s="3">
        <v>0.6134969325153374</v>
      </c>
    </row>
    <row r="277">
      <c r="A277" s="1" t="s">
        <v>12</v>
      </c>
      <c r="B277" s="1" t="s">
        <v>446</v>
      </c>
      <c r="C277" s="1" t="s">
        <v>19</v>
      </c>
      <c r="D277" s="1" t="s">
        <v>197</v>
      </c>
      <c r="E277" s="1" t="s">
        <v>196</v>
      </c>
      <c r="F277" s="1" t="s">
        <v>198</v>
      </c>
      <c r="G277" s="1">
        <v>1.5</v>
      </c>
      <c r="H277" s="1" t="s">
        <v>60</v>
      </c>
      <c r="I277" s="1">
        <v>129.0</v>
      </c>
      <c r="J277" s="1">
        <v>-0.0769707442627511</v>
      </c>
      <c r="K277" s="1" t="s">
        <v>61</v>
      </c>
      <c r="L277" s="1" t="s">
        <v>61</v>
      </c>
      <c r="M277" s="1" t="s">
        <v>62</v>
      </c>
      <c r="N277" s="1">
        <v>-170.0</v>
      </c>
      <c r="O277" s="1">
        <v>0.0106586584596297</v>
      </c>
      <c r="P277" s="1" t="s">
        <v>61</v>
      </c>
      <c r="Q277" s="1" t="s">
        <v>61</v>
      </c>
      <c r="R277" s="1">
        <v>0.0106586584596297</v>
      </c>
      <c r="S277" s="1">
        <v>-170.0</v>
      </c>
      <c r="T277" s="1">
        <f t="shared" si="1"/>
        <v>1.588235294</v>
      </c>
      <c r="U277" s="1">
        <v>0.0</v>
      </c>
      <c r="V277" s="3">
        <v>1.0</v>
      </c>
      <c r="W277" s="3" t="s">
        <v>101</v>
      </c>
      <c r="X277" s="3" t="s">
        <v>447</v>
      </c>
      <c r="Z277" s="3">
        <v>1.0</v>
      </c>
      <c r="AA277" s="3">
        <v>0.0</v>
      </c>
      <c r="AB277" s="3">
        <v>1.0</v>
      </c>
      <c r="AC277" s="3">
        <v>0.5882352941176471</v>
      </c>
      <c r="AD277" s="3">
        <v>0.5882352941176471</v>
      </c>
    </row>
    <row r="278">
      <c r="A278" s="1" t="s">
        <v>12</v>
      </c>
      <c r="B278" s="1" t="s">
        <v>127</v>
      </c>
      <c r="C278" s="1" t="s">
        <v>18</v>
      </c>
      <c r="D278" s="1" t="s">
        <v>197</v>
      </c>
      <c r="E278" s="1" t="s">
        <v>196</v>
      </c>
      <c r="F278" s="1" t="s">
        <v>198</v>
      </c>
      <c r="G278" s="1">
        <v>3.5</v>
      </c>
      <c r="H278" s="1" t="s">
        <v>60</v>
      </c>
      <c r="I278" s="1">
        <v>127.0</v>
      </c>
      <c r="J278" s="1">
        <v>-0.110228634361233</v>
      </c>
      <c r="K278" s="1" t="s">
        <v>61</v>
      </c>
      <c r="L278" s="1" t="s">
        <v>61</v>
      </c>
      <c r="M278" s="1" t="s">
        <v>62</v>
      </c>
      <c r="N278" s="1">
        <v>-171.0</v>
      </c>
      <c r="O278" s="1">
        <v>0.0387036900369003</v>
      </c>
      <c r="P278" s="1" t="s">
        <v>61</v>
      </c>
      <c r="Q278" s="1" t="s">
        <v>61</v>
      </c>
      <c r="R278" s="1">
        <v>0.0387036900369003</v>
      </c>
      <c r="S278" s="1">
        <v>-171.0</v>
      </c>
      <c r="T278" s="1">
        <f t="shared" si="1"/>
        <v>1.584795322</v>
      </c>
      <c r="U278" s="1">
        <v>0.0</v>
      </c>
      <c r="V278" s="3">
        <v>1.0</v>
      </c>
      <c r="W278" s="3" t="s">
        <v>68</v>
      </c>
      <c r="X278" s="3" t="s">
        <v>128</v>
      </c>
      <c r="Z278" s="3">
        <v>3.0</v>
      </c>
      <c r="AA278" s="3">
        <v>0.0</v>
      </c>
      <c r="AB278" s="3">
        <v>1.0</v>
      </c>
      <c r="AC278" s="3">
        <v>0.5847953216374269</v>
      </c>
      <c r="AD278" s="3">
        <v>0.5847953216374269</v>
      </c>
    </row>
    <row r="279">
      <c r="A279" s="1" t="s">
        <v>12</v>
      </c>
      <c r="B279" s="1" t="s">
        <v>344</v>
      </c>
      <c r="C279" s="1" t="s">
        <v>18</v>
      </c>
      <c r="D279" s="1" t="s">
        <v>157</v>
      </c>
      <c r="E279" s="1" t="s">
        <v>156</v>
      </c>
      <c r="F279" s="1" t="s">
        <v>158</v>
      </c>
      <c r="G279" s="1">
        <v>3.5</v>
      </c>
      <c r="H279" s="1" t="s">
        <v>60</v>
      </c>
      <c r="I279" s="1">
        <v>130.0</v>
      </c>
      <c r="J279" s="6">
        <v>-0.0750826086956522</v>
      </c>
      <c r="K279" s="1" t="s">
        <v>61</v>
      </c>
      <c r="L279" s="1" t="s">
        <v>61</v>
      </c>
      <c r="M279" s="1" t="s">
        <v>62</v>
      </c>
      <c r="N279" s="1">
        <v>-175.0</v>
      </c>
      <c r="O279" s="6">
        <v>0.00393636363636362</v>
      </c>
      <c r="P279" s="1" t="s">
        <v>61</v>
      </c>
      <c r="Q279" s="1" t="s">
        <v>61</v>
      </c>
      <c r="R279" s="6">
        <v>0.00393636363636362</v>
      </c>
      <c r="S279" s="1">
        <v>-175.0</v>
      </c>
      <c r="T279" s="1">
        <f t="shared" si="1"/>
        <v>1.571428571</v>
      </c>
      <c r="U279" s="1">
        <v>0.0</v>
      </c>
      <c r="V279" s="3">
        <v>1.0</v>
      </c>
      <c r="W279" s="3" t="s">
        <v>106</v>
      </c>
      <c r="X279" s="3" t="s">
        <v>238</v>
      </c>
      <c r="Z279" s="3">
        <v>1.0</v>
      </c>
      <c r="AA279" s="3">
        <v>0.0</v>
      </c>
      <c r="AB279" s="3">
        <v>1.0</v>
      </c>
      <c r="AC279" s="3">
        <v>0.5714285714285714</v>
      </c>
      <c r="AD279" s="3">
        <v>0.5714285714285714</v>
      </c>
    </row>
    <row r="280">
      <c r="A280" s="1" t="s">
        <v>12</v>
      </c>
      <c r="B280" s="1" t="s">
        <v>448</v>
      </c>
      <c r="C280" s="1" t="s">
        <v>18</v>
      </c>
      <c r="D280" s="1" t="s">
        <v>83</v>
      </c>
      <c r="E280" s="1" t="s">
        <v>82</v>
      </c>
      <c r="F280" s="1" t="s">
        <v>84</v>
      </c>
      <c r="G280" s="1">
        <v>2.5</v>
      </c>
      <c r="H280" s="1" t="s">
        <v>60</v>
      </c>
      <c r="I280" s="1">
        <v>143.0</v>
      </c>
      <c r="J280" s="1">
        <v>-0.0948621957658437</v>
      </c>
      <c r="K280" s="1" t="s">
        <v>61</v>
      </c>
      <c r="L280" s="1" t="s">
        <v>61</v>
      </c>
      <c r="M280" s="1" t="s">
        <v>62</v>
      </c>
      <c r="N280" s="1">
        <v>-189.0</v>
      </c>
      <c r="O280" s="1">
        <v>0.0293535960737024</v>
      </c>
      <c r="P280" s="1" t="s">
        <v>61</v>
      </c>
      <c r="Q280" s="1" t="s">
        <v>61</v>
      </c>
      <c r="R280" s="1">
        <v>0.0293535960737024</v>
      </c>
      <c r="S280" s="1">
        <v>-189.0</v>
      </c>
      <c r="T280" s="1">
        <f t="shared" si="1"/>
        <v>1.529100529</v>
      </c>
      <c r="U280" s="1">
        <v>0.0</v>
      </c>
      <c r="V280" s="3">
        <v>1.0</v>
      </c>
      <c r="W280" s="3" t="s">
        <v>234</v>
      </c>
      <c r="X280" s="3" t="s">
        <v>449</v>
      </c>
      <c r="Y280" s="3" t="s">
        <v>97</v>
      </c>
      <c r="Z280" s="3">
        <v>0.0</v>
      </c>
      <c r="AA280" s="3">
        <v>0.0</v>
      </c>
      <c r="AB280" s="3">
        <v>1.0</v>
      </c>
      <c r="AC280" s="3">
        <v>0.5291005291005291</v>
      </c>
      <c r="AD280" s="3">
        <v>0.5291005291005291</v>
      </c>
    </row>
    <row r="281">
      <c r="A281" s="1" t="s">
        <v>12</v>
      </c>
      <c r="B281" s="1" t="s">
        <v>127</v>
      </c>
      <c r="C281" s="1" t="s">
        <v>19</v>
      </c>
      <c r="D281" s="1" t="s">
        <v>58</v>
      </c>
      <c r="E281" s="1" t="s">
        <v>57</v>
      </c>
      <c r="F281" s="1" t="s">
        <v>59</v>
      </c>
      <c r="G281" s="1">
        <v>1.5</v>
      </c>
      <c r="H281" s="1" t="s">
        <v>60</v>
      </c>
      <c r="I281" s="1">
        <v>170.0</v>
      </c>
      <c r="J281" s="1">
        <v>-0.0786216724855555</v>
      </c>
      <c r="K281" s="1" t="s">
        <v>61</v>
      </c>
      <c r="L281" s="1" t="s">
        <v>61</v>
      </c>
      <c r="M281" s="1" t="s">
        <v>62</v>
      </c>
      <c r="N281" s="1">
        <v>-237.0</v>
      </c>
      <c r="O281" s="1">
        <v>0.00499320688341242</v>
      </c>
      <c r="P281" s="1" t="s">
        <v>61</v>
      </c>
      <c r="Q281" s="1" t="s">
        <v>61</v>
      </c>
      <c r="R281" s="1">
        <v>0.00499320688341242</v>
      </c>
      <c r="S281" s="1">
        <v>-237.0</v>
      </c>
      <c r="T281" s="1">
        <f t="shared" si="1"/>
        <v>1.421940928</v>
      </c>
      <c r="U281" s="1">
        <v>0.0</v>
      </c>
      <c r="V281" s="3">
        <v>1.0</v>
      </c>
      <c r="W281" s="3" t="s">
        <v>68</v>
      </c>
      <c r="X281" s="3" t="s">
        <v>128</v>
      </c>
      <c r="Z281" s="3">
        <v>1.0</v>
      </c>
      <c r="AA281" s="3">
        <v>0.0</v>
      </c>
      <c r="AB281" s="3">
        <v>1.0</v>
      </c>
      <c r="AC281" s="3">
        <v>0.4219409282700422</v>
      </c>
      <c r="AD281" s="3">
        <v>0.4219409282700422</v>
      </c>
    </row>
    <row r="282">
      <c r="A282" s="1" t="s">
        <v>12</v>
      </c>
      <c r="B282" s="1" t="s">
        <v>345</v>
      </c>
      <c r="C282" s="1" t="s">
        <v>19</v>
      </c>
      <c r="D282" s="1" t="s">
        <v>105</v>
      </c>
      <c r="E282" s="1" t="s">
        <v>196</v>
      </c>
      <c r="F282" s="1" t="s">
        <v>450</v>
      </c>
      <c r="G282" s="1">
        <v>2.5</v>
      </c>
      <c r="H282" s="1" t="s">
        <v>60</v>
      </c>
      <c r="I282" s="1">
        <v>-119.0</v>
      </c>
      <c r="J282" s="1">
        <v>-0.241319753835616</v>
      </c>
      <c r="K282" s="1" t="s">
        <v>61</v>
      </c>
      <c r="L282" s="1" t="s">
        <v>61</v>
      </c>
      <c r="M282" s="1" t="s">
        <v>62</v>
      </c>
      <c r="N282" s="1">
        <v>-111.0</v>
      </c>
      <c r="O282" s="1">
        <v>0.171880606445023</v>
      </c>
      <c r="P282" s="1" t="s">
        <v>61</v>
      </c>
      <c r="Q282" s="1" t="s">
        <v>61</v>
      </c>
      <c r="R282" s="1">
        <f t="shared" ref="R282:R474" si="17">if(O282&gt;0, O282, J282)</f>
        <v>0.1718806064</v>
      </c>
      <c r="S282" s="1">
        <f t="shared" ref="S282:S474" si="18">if(O282&gt;0,N282,I282)</f>
        <v>-111</v>
      </c>
      <c r="T282" s="1">
        <f t="shared" si="1"/>
        <v>1.900900901</v>
      </c>
      <c r="U282" s="1">
        <f t="shared" ref="U282:U474" si="19">if(and(M282="under", O282&gt;0),0,1)</f>
        <v>0</v>
      </c>
      <c r="V282" s="3">
        <f t="shared" ref="V282:V474" si="20">IF(R282&lt;0.05, 1,if(R282&gt;0.1,3,2))</f>
        <v>3</v>
      </c>
      <c r="W282" s="3" t="str">
        <f>IFERROR(__xludf.DUMMYFUNCTION("split(B282,"" "")"),"J.")</f>
        <v>J.</v>
      </c>
      <c r="X282" s="3" t="str">
        <f>IFERROR(__xludf.DUMMYFUNCTION("""COMPUTED_VALUE"""),"Conner")</f>
        <v>Conner</v>
      </c>
      <c r="Z282" s="3">
        <v>1.0</v>
      </c>
      <c r="AA282" s="3">
        <f t="shared" ref="AA282:AA474" si="21">if(Z282&lt;G282,0,1)</f>
        <v>0</v>
      </c>
      <c r="AB282" s="3">
        <f t="shared" ref="AB282:AB474" si="22">if(AA282=U282,1,0)</f>
        <v>1</v>
      </c>
      <c r="AC282" s="3">
        <f t="shared" ref="AC282:AC474" si="23">if(S282&lt;0, (100/(-S282))*V282, (S282/100)*V282)</f>
        <v>2.702702703</v>
      </c>
      <c r="AD282" s="3">
        <f t="shared" ref="AD282:AD474" si="24">if(AB282=1,AC282,-V282)</f>
        <v>2.702702703</v>
      </c>
    </row>
    <row r="283">
      <c r="A283" s="1" t="s">
        <v>12</v>
      </c>
      <c r="B283" s="1" t="s">
        <v>233</v>
      </c>
      <c r="C283" s="1" t="s">
        <v>18</v>
      </c>
      <c r="D283" s="1" t="s">
        <v>105</v>
      </c>
      <c r="E283" s="1" t="s">
        <v>196</v>
      </c>
      <c r="F283" s="1" t="s">
        <v>450</v>
      </c>
      <c r="G283" s="1">
        <v>2.5</v>
      </c>
      <c r="H283" s="1" t="s">
        <v>60</v>
      </c>
      <c r="I283" s="1">
        <v>-122.0</v>
      </c>
      <c r="J283" s="1">
        <v>-0.19004758009009</v>
      </c>
      <c r="K283" s="1" t="s">
        <v>61</v>
      </c>
      <c r="L283" s="1" t="s">
        <v>61</v>
      </c>
      <c r="M283" s="1" t="s">
        <v>62</v>
      </c>
      <c r="N283" s="1">
        <v>-107.0</v>
      </c>
      <c r="O283" s="1">
        <v>0.123589527413526</v>
      </c>
      <c r="P283" s="1" t="s">
        <v>61</v>
      </c>
      <c r="Q283" s="1" t="s">
        <v>61</v>
      </c>
      <c r="R283" s="1">
        <f t="shared" si="17"/>
        <v>0.1235895274</v>
      </c>
      <c r="S283" s="1">
        <f t="shared" si="18"/>
        <v>-107</v>
      </c>
      <c r="T283" s="1">
        <f t="shared" si="1"/>
        <v>1.934579439</v>
      </c>
      <c r="U283" s="1">
        <f t="shared" si="19"/>
        <v>0</v>
      </c>
      <c r="V283" s="3">
        <f t="shared" si="20"/>
        <v>3</v>
      </c>
      <c r="W283" s="3" t="str">
        <f>IFERROR(__xludf.DUMMYFUNCTION("split(B283,"" "")"),"M.")</f>
        <v>M.</v>
      </c>
      <c r="X283" s="3" t="str">
        <f>IFERROR(__xludf.DUMMYFUNCTION("""COMPUTED_VALUE"""),"Wilson")</f>
        <v>Wilson</v>
      </c>
      <c r="Z283" s="3">
        <v>2.0</v>
      </c>
      <c r="AA283" s="3">
        <f t="shared" si="21"/>
        <v>0</v>
      </c>
      <c r="AB283" s="3">
        <f t="shared" si="22"/>
        <v>1</v>
      </c>
      <c r="AC283" s="3">
        <f t="shared" si="23"/>
        <v>2.803738318</v>
      </c>
      <c r="AD283" s="3">
        <f t="shared" si="24"/>
        <v>2.803738318</v>
      </c>
    </row>
    <row r="284">
      <c r="A284" s="1" t="s">
        <v>8</v>
      </c>
      <c r="B284" s="1" t="s">
        <v>204</v>
      </c>
      <c r="C284" s="1" t="s">
        <v>21</v>
      </c>
      <c r="D284" s="1" t="s">
        <v>105</v>
      </c>
      <c r="E284" s="1" t="s">
        <v>196</v>
      </c>
      <c r="F284" s="1" t="s">
        <v>450</v>
      </c>
      <c r="G284" s="1">
        <v>6.5</v>
      </c>
      <c r="H284" s="1" t="s">
        <v>60</v>
      </c>
      <c r="I284" s="1">
        <v>117.0</v>
      </c>
      <c r="J284" s="1">
        <v>-0.178830281470615</v>
      </c>
      <c r="K284" s="1" t="s">
        <v>61</v>
      </c>
      <c r="L284" s="1" t="s">
        <v>61</v>
      </c>
      <c r="M284" s="1" t="s">
        <v>62</v>
      </c>
      <c r="N284" s="1">
        <v>-153.0</v>
      </c>
      <c r="O284" s="1">
        <v>0.113269963011584</v>
      </c>
      <c r="P284" s="1" t="s">
        <v>61</v>
      </c>
      <c r="Q284" s="1" t="s">
        <v>61</v>
      </c>
      <c r="R284" s="1">
        <f t="shared" si="17"/>
        <v>0.113269963</v>
      </c>
      <c r="S284" s="1">
        <f t="shared" si="18"/>
        <v>-153</v>
      </c>
      <c r="T284" s="1">
        <f t="shared" si="1"/>
        <v>1.653594771</v>
      </c>
      <c r="U284" s="1">
        <f t="shared" si="19"/>
        <v>0</v>
      </c>
      <c r="V284" s="3">
        <f t="shared" si="20"/>
        <v>3</v>
      </c>
      <c r="W284" s="3" t="str">
        <f>IFERROR(__xludf.DUMMYFUNCTION("split(B284,"" "")"),"K.")</f>
        <v>K.</v>
      </c>
      <c r="X284" s="3" t="str">
        <f>IFERROR(__xludf.DUMMYFUNCTION("""COMPUTED_VALUE"""),"Murray")</f>
        <v>Murray</v>
      </c>
      <c r="Z284" s="3">
        <v>5.0</v>
      </c>
      <c r="AA284" s="3">
        <f t="shared" si="21"/>
        <v>0</v>
      </c>
      <c r="AB284" s="3">
        <f t="shared" si="22"/>
        <v>1</v>
      </c>
      <c r="AC284" s="3">
        <f t="shared" si="23"/>
        <v>1.960784314</v>
      </c>
      <c r="AD284" s="3">
        <f t="shared" si="24"/>
        <v>1.960784314</v>
      </c>
    </row>
    <row r="285">
      <c r="A285" s="1" t="s">
        <v>12</v>
      </c>
      <c r="B285" s="1" t="s">
        <v>451</v>
      </c>
      <c r="C285" s="1" t="s">
        <v>18</v>
      </c>
      <c r="D285" s="1" t="s">
        <v>105</v>
      </c>
      <c r="E285" s="1" t="s">
        <v>196</v>
      </c>
      <c r="F285" s="1" t="s">
        <v>450</v>
      </c>
      <c r="G285" s="1">
        <v>3.5</v>
      </c>
      <c r="H285" s="1" t="s">
        <v>60</v>
      </c>
      <c r="I285" s="1">
        <v>125.0</v>
      </c>
      <c r="J285" s="1">
        <v>-0.174544444444444</v>
      </c>
      <c r="K285" s="1" t="s">
        <v>61</v>
      </c>
      <c r="L285" s="1" t="s">
        <v>61</v>
      </c>
      <c r="M285" s="1" t="s">
        <v>62</v>
      </c>
      <c r="N285" s="1">
        <v>-165.0</v>
      </c>
      <c r="O285" s="1">
        <v>0.107458490566037</v>
      </c>
      <c r="P285" s="1" t="s">
        <v>61</v>
      </c>
      <c r="Q285" s="1" t="s">
        <v>61</v>
      </c>
      <c r="R285" s="1">
        <f t="shared" si="17"/>
        <v>0.1074584906</v>
      </c>
      <c r="S285" s="1">
        <f t="shared" si="18"/>
        <v>-165</v>
      </c>
      <c r="T285" s="1">
        <f t="shared" si="1"/>
        <v>1.606060606</v>
      </c>
      <c r="U285" s="1">
        <f t="shared" si="19"/>
        <v>0</v>
      </c>
      <c r="V285" s="3">
        <f t="shared" si="20"/>
        <v>3</v>
      </c>
      <c r="W285" s="3" t="str">
        <f>IFERROR(__xludf.DUMMYFUNCTION("split(B285,"" "")"),"G.")</f>
        <v>G.</v>
      </c>
      <c r="X285" s="3" t="str">
        <f>IFERROR(__xludf.DUMMYFUNCTION("""COMPUTED_VALUE"""),"Dortch")</f>
        <v>Dortch</v>
      </c>
      <c r="Z285" s="3">
        <v>2.0</v>
      </c>
      <c r="AA285" s="3">
        <f t="shared" si="21"/>
        <v>0</v>
      </c>
      <c r="AB285" s="3">
        <f t="shared" si="22"/>
        <v>1</v>
      </c>
      <c r="AC285" s="3">
        <f t="shared" si="23"/>
        <v>1.818181818</v>
      </c>
      <c r="AD285" s="3">
        <f t="shared" si="24"/>
        <v>1.818181818</v>
      </c>
    </row>
    <row r="286">
      <c r="A286" s="1" t="s">
        <v>12</v>
      </c>
      <c r="B286" s="1" t="s">
        <v>349</v>
      </c>
      <c r="C286" s="1" t="s">
        <v>20</v>
      </c>
      <c r="D286" s="1" t="s">
        <v>105</v>
      </c>
      <c r="E286" s="1" t="s">
        <v>196</v>
      </c>
      <c r="F286" s="1" t="s">
        <v>450</v>
      </c>
      <c r="G286" s="1">
        <v>5.5</v>
      </c>
      <c r="H286" s="1" t="s">
        <v>60</v>
      </c>
      <c r="I286" s="1">
        <v>117.0</v>
      </c>
      <c r="J286" s="1">
        <v>0.104270506912442</v>
      </c>
      <c r="K286" s="1" t="s">
        <v>61</v>
      </c>
      <c r="L286" s="1" t="s">
        <v>61</v>
      </c>
      <c r="M286" s="1" t="s">
        <v>62</v>
      </c>
      <c r="N286" s="1">
        <v>-153.0</v>
      </c>
      <c r="O286" s="1">
        <v>-0.169843083003952</v>
      </c>
      <c r="P286" s="1" t="s">
        <v>61</v>
      </c>
      <c r="Q286" s="1" t="s">
        <v>61</v>
      </c>
      <c r="R286" s="1">
        <f t="shared" si="17"/>
        <v>0.1042705069</v>
      </c>
      <c r="S286" s="1">
        <f t="shared" si="18"/>
        <v>117</v>
      </c>
      <c r="T286" s="1">
        <f t="shared" si="1"/>
        <v>2.17</v>
      </c>
      <c r="U286" s="1">
        <f t="shared" si="19"/>
        <v>1</v>
      </c>
      <c r="V286" s="3">
        <f t="shared" si="20"/>
        <v>3</v>
      </c>
      <c r="W286" s="3" t="str">
        <f>IFERROR(__xludf.DUMMYFUNCTION("split(B286,"" "")"),"T.")</f>
        <v>T.</v>
      </c>
      <c r="X286" s="3" t="str">
        <f>IFERROR(__xludf.DUMMYFUNCTION("""COMPUTED_VALUE"""),"McBride")</f>
        <v>McBride</v>
      </c>
      <c r="Z286" s="3">
        <v>6.0</v>
      </c>
      <c r="AA286" s="3">
        <f t="shared" si="21"/>
        <v>1</v>
      </c>
      <c r="AB286" s="3">
        <f t="shared" si="22"/>
        <v>1</v>
      </c>
      <c r="AC286" s="3">
        <f t="shared" si="23"/>
        <v>3.51</v>
      </c>
      <c r="AD286" s="3">
        <f t="shared" si="24"/>
        <v>3.51</v>
      </c>
    </row>
    <row r="287">
      <c r="A287" s="1" t="s">
        <v>11</v>
      </c>
      <c r="B287" s="1" t="s">
        <v>451</v>
      </c>
      <c r="C287" s="1" t="s">
        <v>18</v>
      </c>
      <c r="D287" s="1" t="s">
        <v>105</v>
      </c>
      <c r="E287" s="1" t="s">
        <v>196</v>
      </c>
      <c r="F287" s="1" t="s">
        <v>450</v>
      </c>
      <c r="G287" s="1">
        <v>30.5</v>
      </c>
      <c r="H287" s="1" t="s">
        <v>60</v>
      </c>
      <c r="I287" s="1">
        <v>-118.0</v>
      </c>
      <c r="J287" s="1">
        <v>-0.157954997717082</v>
      </c>
      <c r="K287" s="1" t="s">
        <v>61</v>
      </c>
      <c r="L287" s="1" t="s">
        <v>61</v>
      </c>
      <c r="M287" s="1" t="s">
        <v>62</v>
      </c>
      <c r="N287" s="1">
        <v>-112.0</v>
      </c>
      <c r="O287" s="1">
        <v>0.0884552652952966</v>
      </c>
      <c r="P287" s="1" t="s">
        <v>61</v>
      </c>
      <c r="Q287" s="1" t="s">
        <v>61</v>
      </c>
      <c r="R287" s="1">
        <f t="shared" si="17"/>
        <v>0.0884552653</v>
      </c>
      <c r="S287" s="1">
        <f t="shared" si="18"/>
        <v>-112</v>
      </c>
      <c r="T287" s="1">
        <f t="shared" si="1"/>
        <v>1.892857143</v>
      </c>
      <c r="U287" s="1">
        <f t="shared" si="19"/>
        <v>0</v>
      </c>
      <c r="V287" s="3">
        <f t="shared" si="20"/>
        <v>2</v>
      </c>
      <c r="W287" s="3" t="str">
        <f>IFERROR(__xludf.DUMMYFUNCTION("split(B287,"" "")"),"G.")</f>
        <v>G.</v>
      </c>
      <c r="X287" s="3" t="str">
        <f>IFERROR(__xludf.DUMMYFUNCTION("""COMPUTED_VALUE"""),"Dortch")</f>
        <v>Dortch</v>
      </c>
      <c r="Z287" s="3">
        <v>11.0</v>
      </c>
      <c r="AA287" s="3">
        <f t="shared" si="21"/>
        <v>0</v>
      </c>
      <c r="AB287" s="3">
        <f t="shared" si="22"/>
        <v>1</v>
      </c>
      <c r="AC287" s="3">
        <f t="shared" si="23"/>
        <v>1.785714286</v>
      </c>
      <c r="AD287" s="3">
        <f t="shared" si="24"/>
        <v>1.785714286</v>
      </c>
    </row>
    <row r="288">
      <c r="A288" s="1" t="s">
        <v>9</v>
      </c>
      <c r="B288" s="1" t="s">
        <v>233</v>
      </c>
      <c r="C288" s="1" t="s">
        <v>18</v>
      </c>
      <c r="D288" s="1" t="s">
        <v>105</v>
      </c>
      <c r="E288" s="1" t="s">
        <v>196</v>
      </c>
      <c r="F288" s="1" t="s">
        <v>450</v>
      </c>
      <c r="G288" s="1">
        <v>30.5</v>
      </c>
      <c r="H288" s="1" t="s">
        <v>60</v>
      </c>
      <c r="I288" s="1">
        <v>-115.0</v>
      </c>
      <c r="J288" s="1">
        <v>0.0387016340007979</v>
      </c>
      <c r="K288" s="1" t="s">
        <v>61</v>
      </c>
      <c r="L288" s="1" t="s">
        <v>61</v>
      </c>
      <c r="M288" s="1" t="s">
        <v>62</v>
      </c>
      <c r="N288" s="1">
        <v>-117.0</v>
      </c>
      <c r="O288" s="1">
        <v>-0.112801295082491</v>
      </c>
      <c r="P288" s="1" t="s">
        <v>61</v>
      </c>
      <c r="Q288" s="1" t="s">
        <v>61</v>
      </c>
      <c r="R288" s="1">
        <f t="shared" si="17"/>
        <v>0.038701634</v>
      </c>
      <c r="S288" s="1">
        <f t="shared" si="18"/>
        <v>-115</v>
      </c>
      <c r="T288" s="1">
        <f t="shared" si="1"/>
        <v>1.869565217</v>
      </c>
      <c r="U288" s="1">
        <f t="shared" si="19"/>
        <v>1</v>
      </c>
      <c r="V288" s="3">
        <f t="shared" si="20"/>
        <v>1</v>
      </c>
      <c r="W288" s="3" t="str">
        <f>IFERROR(__xludf.DUMMYFUNCTION("split(B288,"" "")"),"M.")</f>
        <v>M.</v>
      </c>
      <c r="X288" s="3" t="str">
        <f>IFERROR(__xludf.DUMMYFUNCTION("""COMPUTED_VALUE"""),"Wilson")</f>
        <v>Wilson</v>
      </c>
      <c r="Z288" s="3">
        <v>31.0</v>
      </c>
      <c r="AA288" s="3">
        <f t="shared" si="21"/>
        <v>1</v>
      </c>
      <c r="AB288" s="3">
        <f t="shared" si="22"/>
        <v>1</v>
      </c>
      <c r="AC288" s="3">
        <f t="shared" si="23"/>
        <v>0.8695652174</v>
      </c>
      <c r="AD288" s="3">
        <f t="shared" si="24"/>
        <v>0.8695652174</v>
      </c>
    </row>
    <row r="289">
      <c r="A289" s="1" t="s">
        <v>11</v>
      </c>
      <c r="B289" s="1" t="s">
        <v>452</v>
      </c>
      <c r="C289" s="1" t="s">
        <v>18</v>
      </c>
      <c r="D289" s="1" t="s">
        <v>105</v>
      </c>
      <c r="E289" s="1" t="s">
        <v>196</v>
      </c>
      <c r="F289" s="1" t="s">
        <v>450</v>
      </c>
      <c r="G289" s="1">
        <v>58.5</v>
      </c>
      <c r="H289" s="1" t="s">
        <v>60</v>
      </c>
      <c r="I289" s="1">
        <v>-113.0</v>
      </c>
      <c r="J289" s="1">
        <v>0.0111361245022668</v>
      </c>
      <c r="K289" s="1" t="s">
        <v>61</v>
      </c>
      <c r="L289" s="1" t="s">
        <v>61</v>
      </c>
      <c r="M289" s="1" t="s">
        <v>62</v>
      </c>
      <c r="N289" s="1">
        <v>-116.0</v>
      </c>
      <c r="O289" s="1">
        <v>-0.0786832668190914</v>
      </c>
      <c r="P289" s="1" t="s">
        <v>61</v>
      </c>
      <c r="Q289" s="1" t="s">
        <v>61</v>
      </c>
      <c r="R289" s="1">
        <f t="shared" si="17"/>
        <v>0.0111361245</v>
      </c>
      <c r="S289" s="1">
        <f t="shared" si="18"/>
        <v>-113</v>
      </c>
      <c r="T289" s="1">
        <f t="shared" si="1"/>
        <v>1.884955752</v>
      </c>
      <c r="U289" s="1">
        <f t="shared" si="19"/>
        <v>1</v>
      </c>
      <c r="V289" s="3">
        <f t="shared" si="20"/>
        <v>1</v>
      </c>
      <c r="W289" s="3" t="str">
        <f>IFERROR(__xludf.DUMMYFUNCTION("split(B289,"" "")"),"M.")</f>
        <v>M.</v>
      </c>
      <c r="X289" s="3" t="str">
        <f>IFERROR(__xludf.DUMMYFUNCTION("""COMPUTED_VALUE"""),"Harrison")</f>
        <v>Harrison</v>
      </c>
      <c r="Y289" s="3" t="str">
        <f>IFERROR(__xludf.DUMMYFUNCTION("""COMPUTED_VALUE"""),"Jr.")</f>
        <v>Jr.</v>
      </c>
      <c r="Z289" s="3">
        <v>130.0</v>
      </c>
      <c r="AA289" s="3">
        <f t="shared" si="21"/>
        <v>1</v>
      </c>
      <c r="AB289" s="3">
        <f t="shared" si="22"/>
        <v>1</v>
      </c>
      <c r="AC289" s="3">
        <f t="shared" si="23"/>
        <v>0.8849557522</v>
      </c>
      <c r="AD289" s="3">
        <f t="shared" si="24"/>
        <v>0.8849557522</v>
      </c>
    </row>
    <row r="290">
      <c r="A290" s="1" t="s">
        <v>17</v>
      </c>
      <c r="B290" s="1" t="s">
        <v>204</v>
      </c>
      <c r="C290" s="1" t="s">
        <v>21</v>
      </c>
      <c r="D290" s="1" t="s">
        <v>105</v>
      </c>
      <c r="E290" s="1" t="s">
        <v>196</v>
      </c>
      <c r="F290" s="1" t="s">
        <v>450</v>
      </c>
      <c r="G290" s="1">
        <v>0.5</v>
      </c>
      <c r="H290" s="1" t="s">
        <v>60</v>
      </c>
      <c r="I290" s="1">
        <v>-102.0</v>
      </c>
      <c r="J290" s="1">
        <v>-0.0648504950495048</v>
      </c>
      <c r="K290" s="1" t="s">
        <v>61</v>
      </c>
      <c r="L290" s="1" t="s">
        <v>61</v>
      </c>
      <c r="M290" s="1" t="s">
        <v>62</v>
      </c>
      <c r="N290" s="1">
        <v>-127.0</v>
      </c>
      <c r="O290" s="1">
        <v>4.28634361233526E-4</v>
      </c>
      <c r="P290" s="1" t="s">
        <v>61</v>
      </c>
      <c r="Q290" s="1" t="s">
        <v>61</v>
      </c>
      <c r="R290" s="1">
        <f t="shared" si="17"/>
        <v>0.0004286343612</v>
      </c>
      <c r="S290" s="1">
        <f t="shared" si="18"/>
        <v>-127</v>
      </c>
      <c r="T290" s="1">
        <f t="shared" si="1"/>
        <v>1.787401575</v>
      </c>
      <c r="U290" s="1">
        <f t="shared" si="19"/>
        <v>0</v>
      </c>
      <c r="V290" s="3">
        <f t="shared" si="20"/>
        <v>1</v>
      </c>
      <c r="W290" s="3" t="str">
        <f>IFERROR(__xludf.DUMMYFUNCTION("split(B290,"" "")"),"K.")</f>
        <v>K.</v>
      </c>
      <c r="X290" s="3" t="str">
        <f>IFERROR(__xludf.DUMMYFUNCTION("""COMPUTED_VALUE"""),"Murray")</f>
        <v>Murray</v>
      </c>
      <c r="Z290" s="3">
        <v>0.0</v>
      </c>
      <c r="AA290" s="3">
        <f t="shared" si="21"/>
        <v>0</v>
      </c>
      <c r="AB290" s="3">
        <f t="shared" si="22"/>
        <v>1</v>
      </c>
      <c r="AC290" s="3">
        <f t="shared" si="23"/>
        <v>0.7874015748</v>
      </c>
      <c r="AD290" s="3">
        <f t="shared" si="24"/>
        <v>0.7874015748</v>
      </c>
    </row>
    <row r="291">
      <c r="A291" s="1" t="s">
        <v>17</v>
      </c>
      <c r="B291" s="1" t="s">
        <v>328</v>
      </c>
      <c r="C291" s="1" t="s">
        <v>21</v>
      </c>
      <c r="D291" s="1" t="s">
        <v>109</v>
      </c>
      <c r="E291" s="1" t="s">
        <v>156</v>
      </c>
      <c r="F291" s="1" t="s">
        <v>453</v>
      </c>
      <c r="G291" s="1">
        <v>0.5</v>
      </c>
      <c r="H291" s="1" t="s">
        <v>60</v>
      </c>
      <c r="I291" s="1">
        <v>-192.0</v>
      </c>
      <c r="J291" s="1">
        <v>-0.205134246575342</v>
      </c>
      <c r="K291" s="1" t="s">
        <v>61</v>
      </c>
      <c r="L291" s="1" t="s">
        <v>61</v>
      </c>
      <c r="M291" s="1" t="s">
        <v>62</v>
      </c>
      <c r="N291" s="1">
        <v>139.0</v>
      </c>
      <c r="O291" s="1">
        <v>0.129189958158995</v>
      </c>
      <c r="P291" s="1" t="s">
        <v>61</v>
      </c>
      <c r="Q291" s="1" t="s">
        <v>61</v>
      </c>
      <c r="R291" s="1">
        <f t="shared" si="17"/>
        <v>0.1291899582</v>
      </c>
      <c r="S291" s="1">
        <f t="shared" si="18"/>
        <v>139</v>
      </c>
      <c r="T291" s="1">
        <f t="shared" si="1"/>
        <v>2.39</v>
      </c>
      <c r="U291" s="1">
        <f t="shared" si="19"/>
        <v>0</v>
      </c>
      <c r="V291" s="3">
        <f t="shared" si="20"/>
        <v>3</v>
      </c>
      <c r="W291" s="3" t="str">
        <f>IFERROR(__xludf.DUMMYFUNCTION("split(B291,"" "")"),"K.")</f>
        <v>K.</v>
      </c>
      <c r="X291" s="3" t="str">
        <f>IFERROR(__xludf.DUMMYFUNCTION("""COMPUTED_VALUE"""),"Cousins")</f>
        <v>Cousins</v>
      </c>
      <c r="Z291" s="3">
        <v>0.0</v>
      </c>
      <c r="AA291" s="3">
        <f t="shared" si="21"/>
        <v>0</v>
      </c>
      <c r="AB291" s="3">
        <f t="shared" si="22"/>
        <v>1</v>
      </c>
      <c r="AC291" s="3">
        <f t="shared" si="23"/>
        <v>4.17</v>
      </c>
      <c r="AD291" s="3">
        <f t="shared" si="24"/>
        <v>4.17</v>
      </c>
    </row>
    <row r="292">
      <c r="A292" s="1" t="s">
        <v>12</v>
      </c>
      <c r="B292" s="1" t="s">
        <v>108</v>
      </c>
      <c r="C292" s="1" t="s">
        <v>20</v>
      </c>
      <c r="D292" s="1" t="s">
        <v>109</v>
      </c>
      <c r="E292" s="1" t="s">
        <v>156</v>
      </c>
      <c r="F292" s="1" t="s">
        <v>453</v>
      </c>
      <c r="G292" s="1">
        <v>3.5</v>
      </c>
      <c r="H292" s="1" t="s">
        <v>60</v>
      </c>
      <c r="I292" s="1">
        <v>-123.0</v>
      </c>
      <c r="J292" s="1">
        <v>-0.131469506726457</v>
      </c>
      <c r="K292" s="1" t="s">
        <v>61</v>
      </c>
      <c r="L292" s="1" t="s">
        <v>61</v>
      </c>
      <c r="M292" s="1" t="s">
        <v>62</v>
      </c>
      <c r="N292" s="1">
        <v>-108.0</v>
      </c>
      <c r="O292" s="1">
        <v>0.0606692307692309</v>
      </c>
      <c r="P292" s="1" t="s">
        <v>61</v>
      </c>
      <c r="Q292" s="1" t="s">
        <v>61</v>
      </c>
      <c r="R292" s="1">
        <f t="shared" si="17"/>
        <v>0.06066923077</v>
      </c>
      <c r="S292" s="1">
        <f t="shared" si="18"/>
        <v>-108</v>
      </c>
      <c r="T292" s="1">
        <f t="shared" si="1"/>
        <v>1.925925926</v>
      </c>
      <c r="U292" s="1">
        <f t="shared" si="19"/>
        <v>0</v>
      </c>
      <c r="V292" s="3">
        <f t="shared" si="20"/>
        <v>2</v>
      </c>
      <c r="W292" s="3" t="str">
        <f>IFERROR(__xludf.DUMMYFUNCTION("split(B292,"" "")"),"K.")</f>
        <v>K.</v>
      </c>
      <c r="X292" s="3" t="str">
        <f>IFERROR(__xludf.DUMMYFUNCTION("""COMPUTED_VALUE"""),"Pitts")</f>
        <v>Pitts</v>
      </c>
      <c r="Z292" s="3">
        <v>3.0</v>
      </c>
      <c r="AA292" s="3">
        <f t="shared" si="21"/>
        <v>0</v>
      </c>
      <c r="AB292" s="3">
        <f t="shared" si="22"/>
        <v>1</v>
      </c>
      <c r="AC292" s="3">
        <f t="shared" si="23"/>
        <v>1.851851852</v>
      </c>
      <c r="AD292" s="3">
        <f t="shared" si="24"/>
        <v>1.851851852</v>
      </c>
    </row>
    <row r="293">
      <c r="A293" s="1" t="s">
        <v>12</v>
      </c>
      <c r="B293" s="1" t="s">
        <v>264</v>
      </c>
      <c r="C293" s="1" t="s">
        <v>19</v>
      </c>
      <c r="D293" s="1" t="s">
        <v>109</v>
      </c>
      <c r="E293" s="1" t="s">
        <v>156</v>
      </c>
      <c r="F293" s="1" t="s">
        <v>453</v>
      </c>
      <c r="G293" s="1">
        <v>4.5</v>
      </c>
      <c r="H293" s="1" t="s">
        <v>60</v>
      </c>
      <c r="I293" s="1">
        <v>103.0</v>
      </c>
      <c r="J293" s="1">
        <v>-0.129712315270935</v>
      </c>
      <c r="K293" s="1" t="s">
        <v>61</v>
      </c>
      <c r="L293" s="1" t="s">
        <v>61</v>
      </c>
      <c r="M293" s="1" t="s">
        <v>62</v>
      </c>
      <c r="N293" s="1">
        <v>-137.0</v>
      </c>
      <c r="O293" s="1">
        <v>0.0590565400843881</v>
      </c>
      <c r="P293" s="1" t="s">
        <v>61</v>
      </c>
      <c r="Q293" s="1" t="s">
        <v>61</v>
      </c>
      <c r="R293" s="1">
        <f t="shared" si="17"/>
        <v>0.05905654008</v>
      </c>
      <c r="S293" s="1">
        <f t="shared" si="18"/>
        <v>-137</v>
      </c>
      <c r="T293" s="1">
        <f t="shared" si="1"/>
        <v>1.729927007</v>
      </c>
      <c r="U293" s="1">
        <f t="shared" si="19"/>
        <v>0</v>
      </c>
      <c r="V293" s="3">
        <f t="shared" si="20"/>
        <v>2</v>
      </c>
      <c r="W293" s="3" t="str">
        <f>IFERROR(__xludf.DUMMYFUNCTION("split(B293,"" "")"),"B.")</f>
        <v>B.</v>
      </c>
      <c r="X293" s="3" t="str">
        <f>IFERROR(__xludf.DUMMYFUNCTION("""COMPUTED_VALUE"""),"Robinson")</f>
        <v>Robinson</v>
      </c>
      <c r="Z293" s="3">
        <v>4.0</v>
      </c>
      <c r="AA293" s="3">
        <f t="shared" si="21"/>
        <v>0</v>
      </c>
      <c r="AB293" s="3">
        <f t="shared" si="22"/>
        <v>1</v>
      </c>
      <c r="AC293" s="3">
        <f t="shared" si="23"/>
        <v>1.459854015</v>
      </c>
      <c r="AD293" s="3">
        <f t="shared" si="24"/>
        <v>1.459854015</v>
      </c>
    </row>
    <row r="294">
      <c r="A294" s="1" t="s">
        <v>11</v>
      </c>
      <c r="B294" s="1" t="s">
        <v>264</v>
      </c>
      <c r="C294" s="1" t="s">
        <v>19</v>
      </c>
      <c r="D294" s="1" t="s">
        <v>109</v>
      </c>
      <c r="E294" s="1" t="s">
        <v>156</v>
      </c>
      <c r="F294" s="1" t="s">
        <v>453</v>
      </c>
      <c r="G294" s="1">
        <v>29.5</v>
      </c>
      <c r="H294" s="1" t="s">
        <v>60</v>
      </c>
      <c r="I294" s="1">
        <v>-118.0</v>
      </c>
      <c r="J294" s="1">
        <v>-0.11995750183688</v>
      </c>
      <c r="K294" s="1" t="s">
        <v>61</v>
      </c>
      <c r="L294" s="1" t="s">
        <v>61</v>
      </c>
      <c r="M294" s="1" t="s">
        <v>62</v>
      </c>
      <c r="N294" s="1">
        <v>-115.0</v>
      </c>
      <c r="O294" s="1">
        <v>0.0438679335372373</v>
      </c>
      <c r="P294" s="1" t="s">
        <v>61</v>
      </c>
      <c r="Q294" s="1" t="s">
        <v>61</v>
      </c>
      <c r="R294" s="1">
        <f t="shared" si="17"/>
        <v>0.04386793354</v>
      </c>
      <c r="S294" s="1">
        <f t="shared" si="18"/>
        <v>-115</v>
      </c>
      <c r="T294" s="1">
        <f t="shared" si="1"/>
        <v>1.869565217</v>
      </c>
      <c r="U294" s="1">
        <f t="shared" si="19"/>
        <v>0</v>
      </c>
      <c r="V294" s="3">
        <f t="shared" si="20"/>
        <v>1</v>
      </c>
      <c r="W294" s="3" t="str">
        <f>IFERROR(__xludf.DUMMYFUNCTION("split(B294,"" "")"),"B.")</f>
        <v>B.</v>
      </c>
      <c r="X294" s="3" t="str">
        <f>IFERROR(__xludf.DUMMYFUNCTION("""COMPUTED_VALUE"""),"Robinson")</f>
        <v>Robinson</v>
      </c>
      <c r="Z294" s="3">
        <v>25.0</v>
      </c>
      <c r="AA294" s="3">
        <f t="shared" si="21"/>
        <v>0</v>
      </c>
      <c r="AB294" s="3">
        <f t="shared" si="22"/>
        <v>1</v>
      </c>
      <c r="AC294" s="3">
        <f t="shared" si="23"/>
        <v>0.8695652174</v>
      </c>
      <c r="AD294" s="3">
        <f t="shared" si="24"/>
        <v>0.8695652174</v>
      </c>
    </row>
    <row r="295">
      <c r="A295" s="1" t="s">
        <v>12</v>
      </c>
      <c r="B295" s="1" t="s">
        <v>355</v>
      </c>
      <c r="C295" s="1" t="s">
        <v>18</v>
      </c>
      <c r="D295" s="1" t="s">
        <v>109</v>
      </c>
      <c r="E295" s="1" t="s">
        <v>156</v>
      </c>
      <c r="F295" s="1" t="s">
        <v>453</v>
      </c>
      <c r="G295" s="1">
        <v>3.5</v>
      </c>
      <c r="H295" s="1" t="s">
        <v>60</v>
      </c>
      <c r="I295" s="1">
        <v>115.0</v>
      </c>
      <c r="J295" s="1">
        <v>-0.105016279069767</v>
      </c>
      <c r="K295" s="1" t="s">
        <v>61</v>
      </c>
      <c r="L295" s="1" t="s">
        <v>61</v>
      </c>
      <c r="M295" s="1" t="s">
        <v>62</v>
      </c>
      <c r="N295" s="1">
        <v>-155.0</v>
      </c>
      <c r="O295" s="1">
        <v>0.032056862745098</v>
      </c>
      <c r="P295" s="1" t="s">
        <v>61</v>
      </c>
      <c r="Q295" s="1" t="s">
        <v>61</v>
      </c>
      <c r="R295" s="1">
        <f t="shared" si="17"/>
        <v>0.03205686275</v>
      </c>
      <c r="S295" s="1">
        <f t="shared" si="18"/>
        <v>-155</v>
      </c>
      <c r="T295" s="1">
        <f t="shared" si="1"/>
        <v>1.64516129</v>
      </c>
      <c r="U295" s="1">
        <f t="shared" si="19"/>
        <v>0</v>
      </c>
      <c r="V295" s="3">
        <f t="shared" si="20"/>
        <v>1</v>
      </c>
      <c r="W295" s="3" t="str">
        <f>IFERROR(__xludf.DUMMYFUNCTION("split(B295,"" "")"),"D.")</f>
        <v>D.</v>
      </c>
      <c r="X295" s="3" t="str">
        <f>IFERROR(__xludf.DUMMYFUNCTION("""COMPUTED_VALUE"""),"Mooney")</f>
        <v>Mooney</v>
      </c>
      <c r="Z295" s="3">
        <v>3.0</v>
      </c>
      <c r="AA295" s="3">
        <f t="shared" si="21"/>
        <v>0</v>
      </c>
      <c r="AB295" s="3">
        <f t="shared" si="22"/>
        <v>1</v>
      </c>
      <c r="AC295" s="3">
        <f t="shared" si="23"/>
        <v>0.6451612903</v>
      </c>
      <c r="AD295" s="3">
        <f t="shared" si="24"/>
        <v>0.6451612903</v>
      </c>
    </row>
    <row r="296">
      <c r="A296" s="1" t="s">
        <v>12</v>
      </c>
      <c r="B296" s="1" t="s">
        <v>454</v>
      </c>
      <c r="C296" s="1" t="s">
        <v>20</v>
      </c>
      <c r="D296" s="1" t="s">
        <v>77</v>
      </c>
      <c r="E296" s="1" t="s">
        <v>134</v>
      </c>
      <c r="F296" s="1" t="s">
        <v>455</v>
      </c>
      <c r="G296" s="1">
        <v>3.5</v>
      </c>
      <c r="H296" s="1" t="s">
        <v>60</v>
      </c>
      <c r="I296" s="1">
        <v>-109.0</v>
      </c>
      <c r="J296" s="1">
        <v>-0.201983253588516</v>
      </c>
      <c r="K296" s="1" t="s">
        <v>61</v>
      </c>
      <c r="L296" s="1" t="s">
        <v>61</v>
      </c>
      <c r="M296" s="1" t="s">
        <v>62</v>
      </c>
      <c r="N296" s="1">
        <v>-120.0</v>
      </c>
      <c r="O296" s="1">
        <v>0.134990909090909</v>
      </c>
      <c r="P296" s="1" t="s">
        <v>61</v>
      </c>
      <c r="Q296" s="1" t="s">
        <v>61</v>
      </c>
      <c r="R296" s="1">
        <f t="shared" si="17"/>
        <v>0.1349909091</v>
      </c>
      <c r="S296" s="1">
        <f t="shared" si="18"/>
        <v>-120</v>
      </c>
      <c r="T296" s="1">
        <f t="shared" si="1"/>
        <v>1.833333333</v>
      </c>
      <c r="U296" s="1">
        <f t="shared" si="19"/>
        <v>0</v>
      </c>
      <c r="V296" s="3">
        <f t="shared" si="20"/>
        <v>3</v>
      </c>
      <c r="W296" s="3" t="str">
        <f>IFERROR(__xludf.DUMMYFUNCTION("split(B296,"" "")"),"I.")</f>
        <v>I.</v>
      </c>
      <c r="X296" s="3" t="str">
        <f>IFERROR(__xludf.DUMMYFUNCTION("""COMPUTED_VALUE"""),"Likely")</f>
        <v>Likely</v>
      </c>
      <c r="Z296" s="3">
        <v>2.0</v>
      </c>
      <c r="AA296" s="3">
        <f t="shared" si="21"/>
        <v>0</v>
      </c>
      <c r="AB296" s="3">
        <f t="shared" si="22"/>
        <v>1</v>
      </c>
      <c r="AC296" s="3">
        <f t="shared" si="23"/>
        <v>2.5</v>
      </c>
      <c r="AD296" s="3">
        <f t="shared" si="24"/>
        <v>2.5</v>
      </c>
    </row>
    <row r="297">
      <c r="A297" s="1" t="s">
        <v>12</v>
      </c>
      <c r="B297" s="1" t="s">
        <v>309</v>
      </c>
      <c r="C297" s="1" t="s">
        <v>19</v>
      </c>
      <c r="D297" s="1" t="s">
        <v>77</v>
      </c>
      <c r="E297" s="1" t="s">
        <v>134</v>
      </c>
      <c r="F297" s="1" t="s">
        <v>455</v>
      </c>
      <c r="G297" s="1">
        <v>1.5</v>
      </c>
      <c r="H297" s="1" t="s">
        <v>60</v>
      </c>
      <c r="I297" s="1">
        <v>113.0</v>
      </c>
      <c r="J297" s="1">
        <v>-0.135471184548356</v>
      </c>
      <c r="K297" s="1" t="s">
        <v>61</v>
      </c>
      <c r="L297" s="1" t="s">
        <v>61</v>
      </c>
      <c r="M297" s="1" t="s">
        <v>62</v>
      </c>
      <c r="N297" s="1">
        <v>-146.0</v>
      </c>
      <c r="O297" s="1">
        <v>0.0724902114211382</v>
      </c>
      <c r="P297" s="1" t="s">
        <v>61</v>
      </c>
      <c r="Q297" s="1" t="s">
        <v>61</v>
      </c>
      <c r="R297" s="1">
        <f t="shared" si="17"/>
        <v>0.07249021142</v>
      </c>
      <c r="S297" s="1">
        <f t="shared" si="18"/>
        <v>-146</v>
      </c>
      <c r="T297" s="1">
        <f t="shared" si="1"/>
        <v>1.684931507</v>
      </c>
      <c r="U297" s="1">
        <f t="shared" si="19"/>
        <v>0</v>
      </c>
      <c r="V297" s="3">
        <f t="shared" si="20"/>
        <v>2</v>
      </c>
      <c r="W297" s="3" t="str">
        <f>IFERROR(__xludf.DUMMYFUNCTION("split(B297,"" "")"),"D.")</f>
        <v>D.</v>
      </c>
      <c r="X297" s="3" t="str">
        <f>IFERROR(__xludf.DUMMYFUNCTION("""COMPUTED_VALUE"""),"Henry")</f>
        <v>Henry</v>
      </c>
      <c r="Z297" s="3">
        <v>1.0</v>
      </c>
      <c r="AA297" s="3">
        <f t="shared" si="21"/>
        <v>0</v>
      </c>
      <c r="AB297" s="3">
        <f t="shared" si="22"/>
        <v>1</v>
      </c>
      <c r="AC297" s="3">
        <f t="shared" si="23"/>
        <v>1.369863014</v>
      </c>
      <c r="AD297" s="3">
        <f t="shared" si="24"/>
        <v>1.369863014</v>
      </c>
    </row>
    <row r="298">
      <c r="A298" s="1" t="s">
        <v>11</v>
      </c>
      <c r="B298" s="1" t="s">
        <v>309</v>
      </c>
      <c r="C298" s="1" t="s">
        <v>19</v>
      </c>
      <c r="D298" s="1" t="s">
        <v>77</v>
      </c>
      <c r="E298" s="1" t="s">
        <v>134</v>
      </c>
      <c r="F298" s="1" t="s">
        <v>455</v>
      </c>
      <c r="G298" s="1">
        <v>6.5</v>
      </c>
      <c r="H298" s="1" t="s">
        <v>60</v>
      </c>
      <c r="I298" s="1">
        <v>-116.0</v>
      </c>
      <c r="J298" s="1">
        <v>0.0672996536237446</v>
      </c>
      <c r="K298" s="1" t="s">
        <v>61</v>
      </c>
      <c r="L298" s="1" t="s">
        <v>61</v>
      </c>
      <c r="M298" s="1" t="s">
        <v>62</v>
      </c>
      <c r="N298" s="1">
        <v>-113.0</v>
      </c>
      <c r="O298" s="1">
        <v>-0.134843884772223</v>
      </c>
      <c r="P298" s="1" t="s">
        <v>61</v>
      </c>
      <c r="Q298" s="1" t="s">
        <v>61</v>
      </c>
      <c r="R298" s="1">
        <f t="shared" si="17"/>
        <v>0.06729965362</v>
      </c>
      <c r="S298" s="1">
        <f t="shared" si="18"/>
        <v>-116</v>
      </c>
      <c r="T298" s="1">
        <f t="shared" si="1"/>
        <v>1.862068966</v>
      </c>
      <c r="U298" s="1">
        <f t="shared" si="19"/>
        <v>1</v>
      </c>
      <c r="V298" s="3">
        <f t="shared" si="20"/>
        <v>2</v>
      </c>
      <c r="W298" s="3" t="str">
        <f>IFERROR(__xludf.DUMMYFUNCTION("split(B298,"" "")"),"D.")</f>
        <v>D.</v>
      </c>
      <c r="X298" s="3" t="str">
        <f>IFERROR(__xludf.DUMMYFUNCTION("""COMPUTED_VALUE"""),"Henry")</f>
        <v>Henry</v>
      </c>
      <c r="Z298" s="3">
        <v>12.0</v>
      </c>
      <c r="AA298" s="3">
        <f t="shared" si="21"/>
        <v>1</v>
      </c>
      <c r="AB298" s="3">
        <f t="shared" si="22"/>
        <v>1</v>
      </c>
      <c r="AC298" s="3">
        <f t="shared" si="23"/>
        <v>1.724137931</v>
      </c>
      <c r="AD298" s="3">
        <f t="shared" si="24"/>
        <v>1.724137931</v>
      </c>
    </row>
    <row r="299">
      <c r="A299" s="1" t="s">
        <v>11</v>
      </c>
      <c r="B299" s="1" t="s">
        <v>454</v>
      </c>
      <c r="C299" s="1" t="s">
        <v>20</v>
      </c>
      <c r="D299" s="1" t="s">
        <v>77</v>
      </c>
      <c r="E299" s="1" t="s">
        <v>134</v>
      </c>
      <c r="F299" s="1" t="s">
        <v>455</v>
      </c>
      <c r="G299" s="1">
        <v>35.5</v>
      </c>
      <c r="H299" s="1" t="s">
        <v>60</v>
      </c>
      <c r="I299" s="1">
        <v>-119.0</v>
      </c>
      <c r="J299" s="1">
        <v>-0.12366696127041</v>
      </c>
      <c r="K299" s="1" t="s">
        <v>61</v>
      </c>
      <c r="L299" s="1" t="s">
        <v>61</v>
      </c>
      <c r="M299" s="1" t="s">
        <v>62</v>
      </c>
      <c r="N299" s="1">
        <v>-110.0</v>
      </c>
      <c r="O299" s="1">
        <v>0.0564748705074857</v>
      </c>
      <c r="P299" s="1" t="s">
        <v>61</v>
      </c>
      <c r="Q299" s="1" t="s">
        <v>61</v>
      </c>
      <c r="R299" s="1">
        <f t="shared" si="17"/>
        <v>0.05647487051</v>
      </c>
      <c r="S299" s="1">
        <f t="shared" si="18"/>
        <v>-110</v>
      </c>
      <c r="T299" s="1">
        <f t="shared" si="1"/>
        <v>1.909090909</v>
      </c>
      <c r="U299" s="1">
        <f t="shared" si="19"/>
        <v>0</v>
      </c>
      <c r="V299" s="3">
        <f t="shared" si="20"/>
        <v>2</v>
      </c>
      <c r="W299" s="3" t="str">
        <f>IFERROR(__xludf.DUMMYFUNCTION("split(B299,"" "")"),"I.")</f>
        <v>I.</v>
      </c>
      <c r="X299" s="3" t="str">
        <f>IFERROR(__xludf.DUMMYFUNCTION("""COMPUTED_VALUE"""),"Likely")</f>
        <v>Likely</v>
      </c>
      <c r="Z299" s="3">
        <v>26.0</v>
      </c>
      <c r="AA299" s="3">
        <f t="shared" si="21"/>
        <v>0</v>
      </c>
      <c r="AB299" s="3">
        <f t="shared" si="22"/>
        <v>1</v>
      </c>
      <c r="AC299" s="3">
        <f t="shared" si="23"/>
        <v>1.818181818</v>
      </c>
      <c r="AD299" s="3">
        <f t="shared" si="24"/>
        <v>1.818181818</v>
      </c>
    </row>
    <row r="300">
      <c r="A300" s="1" t="s">
        <v>8</v>
      </c>
      <c r="B300" s="1" t="s">
        <v>309</v>
      </c>
      <c r="C300" s="1" t="s">
        <v>19</v>
      </c>
      <c r="D300" s="1" t="s">
        <v>77</v>
      </c>
      <c r="E300" s="1" t="s">
        <v>134</v>
      </c>
      <c r="F300" s="1" t="s">
        <v>455</v>
      </c>
      <c r="G300" s="1">
        <v>17.5</v>
      </c>
      <c r="H300" s="1" t="s">
        <v>60</v>
      </c>
      <c r="I300" s="1">
        <v>-125.0</v>
      </c>
      <c r="J300" s="1">
        <v>0.0510394329999999</v>
      </c>
      <c r="K300" s="1" t="s">
        <v>61</v>
      </c>
      <c r="L300" s="1" t="s">
        <v>61</v>
      </c>
      <c r="M300" s="1" t="s">
        <v>62</v>
      </c>
      <c r="N300" s="1">
        <v>-106.0</v>
      </c>
      <c r="O300" s="1">
        <v>-0.121158727864077</v>
      </c>
      <c r="P300" s="1" t="s">
        <v>61</v>
      </c>
      <c r="Q300" s="1" t="s">
        <v>61</v>
      </c>
      <c r="R300" s="1">
        <f t="shared" si="17"/>
        <v>0.051039433</v>
      </c>
      <c r="S300" s="1">
        <f t="shared" si="18"/>
        <v>-125</v>
      </c>
      <c r="T300" s="1">
        <f t="shared" si="1"/>
        <v>1.8</v>
      </c>
      <c r="U300" s="1">
        <f t="shared" si="19"/>
        <v>1</v>
      </c>
      <c r="V300" s="3">
        <f t="shared" si="20"/>
        <v>2</v>
      </c>
      <c r="W300" s="3" t="str">
        <f>IFERROR(__xludf.DUMMYFUNCTION("split(B300,"" "")"),"D.")</f>
        <v>D.</v>
      </c>
      <c r="X300" s="3" t="str">
        <f>IFERROR(__xludf.DUMMYFUNCTION("""COMPUTED_VALUE"""),"Henry")</f>
        <v>Henry</v>
      </c>
      <c r="Z300" s="3">
        <v>18.0</v>
      </c>
      <c r="AA300" s="3">
        <f t="shared" si="21"/>
        <v>1</v>
      </c>
      <c r="AB300" s="3">
        <f t="shared" si="22"/>
        <v>1</v>
      </c>
      <c r="AC300" s="3">
        <f t="shared" si="23"/>
        <v>1.6</v>
      </c>
      <c r="AD300" s="3">
        <f t="shared" si="24"/>
        <v>1.6</v>
      </c>
    </row>
    <row r="301">
      <c r="A301" s="1" t="s">
        <v>9</v>
      </c>
      <c r="B301" s="1" t="s">
        <v>239</v>
      </c>
      <c r="C301" s="1" t="s">
        <v>18</v>
      </c>
      <c r="D301" s="1" t="s">
        <v>77</v>
      </c>
      <c r="E301" s="1" t="s">
        <v>134</v>
      </c>
      <c r="F301" s="1" t="s">
        <v>455</v>
      </c>
      <c r="G301" s="1">
        <v>27.5</v>
      </c>
      <c r="H301" s="1" t="s">
        <v>60</v>
      </c>
      <c r="I301" s="1">
        <v>-115.0</v>
      </c>
      <c r="J301" s="1">
        <v>0.0390389575541484</v>
      </c>
      <c r="K301" s="1" t="s">
        <v>61</v>
      </c>
      <c r="L301" s="1" t="s">
        <v>61</v>
      </c>
      <c r="M301" s="1" t="s">
        <v>62</v>
      </c>
      <c r="N301" s="1">
        <v>-120.0</v>
      </c>
      <c r="O301" s="1">
        <v>-0.119329322949864</v>
      </c>
      <c r="P301" s="1" t="s">
        <v>61</v>
      </c>
      <c r="Q301" s="1" t="s">
        <v>61</v>
      </c>
      <c r="R301" s="1">
        <f t="shared" si="17"/>
        <v>0.03903895755</v>
      </c>
      <c r="S301" s="1">
        <f t="shared" si="18"/>
        <v>-115</v>
      </c>
      <c r="T301" s="1">
        <f t="shared" si="1"/>
        <v>1.869565217</v>
      </c>
      <c r="U301" s="1">
        <f t="shared" si="19"/>
        <v>1</v>
      </c>
      <c r="V301" s="3">
        <f t="shared" si="20"/>
        <v>1</v>
      </c>
      <c r="W301" s="3" t="str">
        <f>IFERROR(__xludf.DUMMYFUNCTION("split(B301,"" "")"),"R.")</f>
        <v>R.</v>
      </c>
      <c r="X301" s="3" t="str">
        <f>IFERROR(__xludf.DUMMYFUNCTION("""COMPUTED_VALUE"""),"Bateman")</f>
        <v>Bateman</v>
      </c>
      <c r="Z301" s="3">
        <v>40.0</v>
      </c>
      <c r="AA301" s="3">
        <f t="shared" si="21"/>
        <v>1</v>
      </c>
      <c r="AB301" s="3">
        <f t="shared" si="22"/>
        <v>1</v>
      </c>
      <c r="AC301" s="3">
        <f t="shared" si="23"/>
        <v>0.8695652174</v>
      </c>
      <c r="AD301" s="3">
        <f t="shared" si="24"/>
        <v>0.8695652174</v>
      </c>
    </row>
    <row r="302">
      <c r="A302" s="1" t="s">
        <v>10</v>
      </c>
      <c r="B302" s="1" t="s">
        <v>347</v>
      </c>
      <c r="C302" s="1" t="s">
        <v>21</v>
      </c>
      <c r="D302" s="1" t="s">
        <v>77</v>
      </c>
      <c r="E302" s="1" t="s">
        <v>134</v>
      </c>
      <c r="F302" s="1" t="s">
        <v>455</v>
      </c>
      <c r="G302" s="1">
        <v>52.5</v>
      </c>
      <c r="H302" s="1" t="s">
        <v>60</v>
      </c>
      <c r="I302" s="1">
        <v>-113.0</v>
      </c>
      <c r="J302" s="1">
        <v>-0.0770204643623876</v>
      </c>
      <c r="K302" s="1" t="s">
        <v>61</v>
      </c>
      <c r="L302" s="1" t="s">
        <v>61</v>
      </c>
      <c r="M302" s="1" t="s">
        <v>62</v>
      </c>
      <c r="N302" s="1">
        <v>-115.0</v>
      </c>
      <c r="O302" s="1">
        <v>0.0116043998283366</v>
      </c>
      <c r="P302" s="1" t="s">
        <v>61</v>
      </c>
      <c r="Q302" s="1" t="s">
        <v>61</v>
      </c>
      <c r="R302" s="1">
        <f t="shared" si="17"/>
        <v>0.01160439983</v>
      </c>
      <c r="S302" s="1">
        <f t="shared" si="18"/>
        <v>-115</v>
      </c>
      <c r="T302" s="1">
        <f t="shared" si="1"/>
        <v>1.869565217</v>
      </c>
      <c r="U302" s="1">
        <f t="shared" si="19"/>
        <v>0</v>
      </c>
      <c r="V302" s="3">
        <f t="shared" si="20"/>
        <v>1</v>
      </c>
      <c r="W302" s="3" t="str">
        <f>IFERROR(__xludf.DUMMYFUNCTION("split(B302,"" "")"),"L.")</f>
        <v>L.</v>
      </c>
      <c r="X302" s="3" t="str">
        <f>IFERROR(__xludf.DUMMYFUNCTION("""COMPUTED_VALUE"""),"Jackson")</f>
        <v>Jackson</v>
      </c>
      <c r="Z302" s="3">
        <v>45.0</v>
      </c>
      <c r="AA302" s="3">
        <f t="shared" si="21"/>
        <v>0</v>
      </c>
      <c r="AB302" s="3">
        <f t="shared" si="22"/>
        <v>1</v>
      </c>
      <c r="AC302" s="3">
        <f t="shared" si="23"/>
        <v>0.8695652174</v>
      </c>
      <c r="AD302" s="3">
        <f t="shared" si="24"/>
        <v>0.8695652174</v>
      </c>
    </row>
    <row r="303">
      <c r="A303" s="1" t="s">
        <v>8</v>
      </c>
      <c r="B303" s="1" t="s">
        <v>434</v>
      </c>
      <c r="C303" s="1" t="s">
        <v>21</v>
      </c>
      <c r="D303" s="1" t="s">
        <v>104</v>
      </c>
      <c r="E303" s="1" t="s">
        <v>94</v>
      </c>
      <c r="F303" s="1" t="s">
        <v>456</v>
      </c>
      <c r="G303" s="1">
        <v>7.5</v>
      </c>
      <c r="H303" s="1" t="s">
        <v>60</v>
      </c>
      <c r="I303" s="1">
        <v>-120.0</v>
      </c>
      <c r="J303" s="1">
        <v>-0.255982511335914</v>
      </c>
      <c r="K303" s="1" t="s">
        <v>61</v>
      </c>
      <c r="L303" s="1" t="s">
        <v>61</v>
      </c>
      <c r="M303" s="1" t="s">
        <v>62</v>
      </c>
      <c r="N303" s="1">
        <v>-110.0</v>
      </c>
      <c r="O303" s="1">
        <v>0.186722703539482</v>
      </c>
      <c r="P303" s="1" t="s">
        <v>61</v>
      </c>
      <c r="Q303" s="1" t="s">
        <v>61</v>
      </c>
      <c r="R303" s="1">
        <f t="shared" si="17"/>
        <v>0.1867227035</v>
      </c>
      <c r="S303" s="1">
        <f t="shared" si="18"/>
        <v>-110</v>
      </c>
      <c r="T303" s="1">
        <f t="shared" si="1"/>
        <v>1.909090909</v>
      </c>
      <c r="U303" s="1">
        <f t="shared" si="19"/>
        <v>0</v>
      </c>
      <c r="V303" s="3">
        <f t="shared" si="20"/>
        <v>3</v>
      </c>
      <c r="W303" s="3" t="str">
        <f>IFERROR(__xludf.DUMMYFUNCTION("split(B303,"" "")"),"J.")</f>
        <v>J.</v>
      </c>
      <c r="X303" s="3" t="str">
        <f>IFERROR(__xludf.DUMMYFUNCTION("""COMPUTED_VALUE"""),"Allen")</f>
        <v>Allen</v>
      </c>
      <c r="Z303" s="3">
        <v>2.0</v>
      </c>
      <c r="AA303" s="3">
        <f t="shared" si="21"/>
        <v>0</v>
      </c>
      <c r="AB303" s="3">
        <f t="shared" si="22"/>
        <v>1</v>
      </c>
      <c r="AC303" s="3">
        <f t="shared" si="23"/>
        <v>2.727272727</v>
      </c>
      <c r="AD303" s="3">
        <f t="shared" si="24"/>
        <v>2.727272727</v>
      </c>
    </row>
    <row r="304">
      <c r="A304" s="1" t="s">
        <v>12</v>
      </c>
      <c r="B304" s="1" t="s">
        <v>457</v>
      </c>
      <c r="C304" s="1" t="s">
        <v>18</v>
      </c>
      <c r="D304" s="1" t="s">
        <v>104</v>
      </c>
      <c r="E304" s="1" t="s">
        <v>94</v>
      </c>
      <c r="F304" s="1" t="s">
        <v>456</v>
      </c>
      <c r="G304" s="1">
        <v>1.5</v>
      </c>
      <c r="H304" s="1" t="s">
        <v>60</v>
      </c>
      <c r="I304" s="1">
        <v>-103.0</v>
      </c>
      <c r="J304" s="1">
        <v>-0.218029626477832</v>
      </c>
      <c r="K304" s="1" t="s">
        <v>61</v>
      </c>
      <c r="L304" s="1" t="s">
        <v>61</v>
      </c>
      <c r="M304" s="1" t="s">
        <v>62</v>
      </c>
      <c r="N304" s="1">
        <v>-127.0</v>
      </c>
      <c r="O304" s="1">
        <v>0.151174590318281</v>
      </c>
      <c r="P304" s="1" t="s">
        <v>61</v>
      </c>
      <c r="Q304" s="1" t="s">
        <v>61</v>
      </c>
      <c r="R304" s="1">
        <f t="shared" si="17"/>
        <v>0.1511745903</v>
      </c>
      <c r="S304" s="1">
        <f t="shared" si="18"/>
        <v>-127</v>
      </c>
      <c r="T304" s="1">
        <f t="shared" si="1"/>
        <v>1.787401575</v>
      </c>
      <c r="U304" s="1">
        <f t="shared" si="19"/>
        <v>0</v>
      </c>
      <c r="V304" s="3">
        <f t="shared" si="20"/>
        <v>3</v>
      </c>
      <c r="W304" s="3" t="str">
        <f>IFERROR(__xludf.DUMMYFUNCTION("split(B304,"" "")"),"M.")</f>
        <v>M.</v>
      </c>
      <c r="X304" s="3" t="str">
        <f>IFERROR(__xludf.DUMMYFUNCTION("""COMPUTED_VALUE"""),"Hollins")</f>
        <v>Hollins</v>
      </c>
      <c r="Z304" s="3">
        <v>0.0</v>
      </c>
      <c r="AA304" s="3">
        <f t="shared" si="21"/>
        <v>0</v>
      </c>
      <c r="AB304" s="3">
        <f t="shared" si="22"/>
        <v>1</v>
      </c>
      <c r="AC304" s="3">
        <f t="shared" si="23"/>
        <v>2.362204724</v>
      </c>
      <c r="AD304" s="3">
        <f t="shared" si="24"/>
        <v>2.362204724</v>
      </c>
    </row>
    <row r="305">
      <c r="A305" s="1" t="s">
        <v>12</v>
      </c>
      <c r="B305" s="1" t="s">
        <v>458</v>
      </c>
      <c r="C305" s="1" t="s">
        <v>19</v>
      </c>
      <c r="D305" s="1" t="s">
        <v>104</v>
      </c>
      <c r="E305" s="1" t="s">
        <v>94</v>
      </c>
      <c r="F305" s="1" t="s">
        <v>456</v>
      </c>
      <c r="G305" s="1">
        <v>2.5</v>
      </c>
      <c r="H305" s="1" t="s">
        <v>60</v>
      </c>
      <c r="I305" s="1">
        <v>-122.0</v>
      </c>
      <c r="J305" s="1">
        <v>-0.195502648423423</v>
      </c>
      <c r="K305" s="1" t="s">
        <v>61</v>
      </c>
      <c r="L305" s="1" t="s">
        <v>61</v>
      </c>
      <c r="M305" s="1" t="s">
        <v>62</v>
      </c>
      <c r="N305" s="1">
        <v>-107.0</v>
      </c>
      <c r="O305" s="1">
        <v>0.129037966698067</v>
      </c>
      <c r="P305" s="1" t="s">
        <v>61</v>
      </c>
      <c r="Q305" s="1" t="s">
        <v>61</v>
      </c>
      <c r="R305" s="1">
        <f t="shared" si="17"/>
        <v>0.1290379667</v>
      </c>
      <c r="S305" s="1">
        <f t="shared" si="18"/>
        <v>-107</v>
      </c>
      <c r="T305" s="1">
        <f t="shared" si="1"/>
        <v>1.934579439</v>
      </c>
      <c r="U305" s="1">
        <f t="shared" si="19"/>
        <v>0</v>
      </c>
      <c r="V305" s="3">
        <f t="shared" si="20"/>
        <v>3</v>
      </c>
      <c r="W305" s="3" t="str">
        <f>IFERROR(__xludf.DUMMYFUNCTION("split(B305,"" "")"),"J.")</f>
        <v>J.</v>
      </c>
      <c r="X305" s="3" t="str">
        <f>IFERROR(__xludf.DUMMYFUNCTION("""COMPUTED_VALUE"""),"Cook")</f>
        <v>Cook</v>
      </c>
      <c r="Z305" s="3">
        <v>1.0</v>
      </c>
      <c r="AA305" s="3">
        <f t="shared" si="21"/>
        <v>0</v>
      </c>
      <c r="AB305" s="3">
        <f t="shared" si="22"/>
        <v>1</v>
      </c>
      <c r="AC305" s="3">
        <f t="shared" si="23"/>
        <v>2.803738318</v>
      </c>
      <c r="AD305" s="3">
        <f t="shared" si="24"/>
        <v>2.803738318</v>
      </c>
    </row>
    <row r="306">
      <c r="A306" s="1" t="s">
        <v>12</v>
      </c>
      <c r="B306" s="1" t="s">
        <v>426</v>
      </c>
      <c r="C306" s="1" t="s">
        <v>18</v>
      </c>
      <c r="D306" s="1" t="s">
        <v>104</v>
      </c>
      <c r="E306" s="1" t="s">
        <v>94</v>
      </c>
      <c r="F306" s="1" t="s">
        <v>456</v>
      </c>
      <c r="G306" s="1">
        <v>3.5</v>
      </c>
      <c r="H306" s="1" t="s">
        <v>60</v>
      </c>
      <c r="I306" s="1">
        <v>-126.0</v>
      </c>
      <c r="J306" s="1">
        <v>-0.167222123893805</v>
      </c>
      <c r="K306" s="1" t="s">
        <v>61</v>
      </c>
      <c r="L306" s="1" t="s">
        <v>61</v>
      </c>
      <c r="M306" s="1" t="s">
        <v>62</v>
      </c>
      <c r="N306" s="1">
        <v>-104.0</v>
      </c>
      <c r="O306" s="1">
        <v>0.0998960784313726</v>
      </c>
      <c r="P306" s="1" t="s">
        <v>61</v>
      </c>
      <c r="Q306" s="1" t="s">
        <v>61</v>
      </c>
      <c r="R306" s="1">
        <f t="shared" si="17"/>
        <v>0.09989607843</v>
      </c>
      <c r="S306" s="1">
        <f t="shared" si="18"/>
        <v>-104</v>
      </c>
      <c r="T306" s="1">
        <f t="shared" si="1"/>
        <v>1.961538462</v>
      </c>
      <c r="U306" s="1">
        <f t="shared" si="19"/>
        <v>0</v>
      </c>
      <c r="V306" s="3">
        <f t="shared" si="20"/>
        <v>2</v>
      </c>
      <c r="W306" s="3" t="str">
        <f>IFERROR(__xludf.DUMMYFUNCTION("split(B306,"" "")"),"K.")</f>
        <v>K.</v>
      </c>
      <c r="X306" s="3" t="str">
        <f>IFERROR(__xludf.DUMMYFUNCTION("""COMPUTED_VALUE"""),"Coleman")</f>
        <v>Coleman</v>
      </c>
      <c r="Z306" s="3">
        <v>0.0</v>
      </c>
      <c r="AA306" s="3">
        <f t="shared" si="21"/>
        <v>0</v>
      </c>
      <c r="AB306" s="3">
        <f t="shared" si="22"/>
        <v>1</v>
      </c>
      <c r="AC306" s="3">
        <f t="shared" si="23"/>
        <v>1.923076923</v>
      </c>
      <c r="AD306" s="3">
        <f t="shared" si="24"/>
        <v>1.923076923</v>
      </c>
    </row>
    <row r="307">
      <c r="A307" s="1" t="s">
        <v>12</v>
      </c>
      <c r="B307" s="1" t="s">
        <v>103</v>
      </c>
      <c r="C307" s="1" t="s">
        <v>18</v>
      </c>
      <c r="D307" s="1" t="s">
        <v>104</v>
      </c>
      <c r="E307" s="1" t="s">
        <v>94</v>
      </c>
      <c r="F307" s="1" t="s">
        <v>456</v>
      </c>
      <c r="G307" s="1">
        <v>1.5</v>
      </c>
      <c r="H307" s="1" t="s">
        <v>60</v>
      </c>
      <c r="I307" s="1">
        <v>-184.0</v>
      </c>
      <c r="J307" s="1">
        <v>-0.161919768133802</v>
      </c>
      <c r="K307" s="1" t="s">
        <v>61</v>
      </c>
      <c r="L307" s="1" t="s">
        <v>61</v>
      </c>
      <c r="M307" s="1" t="s">
        <v>62</v>
      </c>
      <c r="N307" s="1">
        <v>137.0</v>
      </c>
      <c r="O307" s="1">
        <v>0.0920979500000001</v>
      </c>
      <c r="P307" s="1" t="s">
        <v>61</v>
      </c>
      <c r="Q307" s="1" t="s">
        <v>61</v>
      </c>
      <c r="R307" s="1">
        <f t="shared" si="17"/>
        <v>0.09209795</v>
      </c>
      <c r="S307" s="1">
        <f t="shared" si="18"/>
        <v>137</v>
      </c>
      <c r="T307" s="1">
        <f t="shared" si="1"/>
        <v>2.37</v>
      </c>
      <c r="U307" s="1">
        <f t="shared" si="19"/>
        <v>0</v>
      </c>
      <c r="V307" s="3">
        <f t="shared" si="20"/>
        <v>2</v>
      </c>
      <c r="W307" s="3" t="str">
        <f>IFERROR(__xludf.DUMMYFUNCTION("split(B307,"" "")"),"C.")</f>
        <v>C.</v>
      </c>
      <c r="X307" s="3" t="str">
        <f>IFERROR(__xludf.DUMMYFUNCTION("""COMPUTED_VALUE"""),"Samuel")</f>
        <v>Samuel</v>
      </c>
      <c r="Z307" s="3">
        <v>1.0</v>
      </c>
      <c r="AA307" s="3">
        <f t="shared" si="21"/>
        <v>0</v>
      </c>
      <c r="AB307" s="3">
        <f t="shared" si="22"/>
        <v>1</v>
      </c>
      <c r="AC307" s="3">
        <f t="shared" si="23"/>
        <v>2.74</v>
      </c>
      <c r="AD307" s="3">
        <f t="shared" si="24"/>
        <v>2.74</v>
      </c>
    </row>
    <row r="308">
      <c r="A308" s="1" t="s">
        <v>8</v>
      </c>
      <c r="B308" s="1" t="s">
        <v>458</v>
      </c>
      <c r="C308" s="1" t="s">
        <v>19</v>
      </c>
      <c r="D308" s="1" t="s">
        <v>104</v>
      </c>
      <c r="E308" s="1" t="s">
        <v>94</v>
      </c>
      <c r="F308" s="1" t="s">
        <v>456</v>
      </c>
      <c r="G308" s="1">
        <v>14.5</v>
      </c>
      <c r="H308" s="1" t="s">
        <v>60</v>
      </c>
      <c r="I308" s="1">
        <v>-118.0</v>
      </c>
      <c r="J308" s="1">
        <v>-0.154035121027522</v>
      </c>
      <c r="K308" s="1" t="s">
        <v>61</v>
      </c>
      <c r="L308" s="1" t="s">
        <v>61</v>
      </c>
      <c r="M308" s="1" t="s">
        <v>62</v>
      </c>
      <c r="N308" s="1">
        <v>-113.0</v>
      </c>
      <c r="O308" s="1">
        <v>0.0822265714268545</v>
      </c>
      <c r="P308" s="1" t="s">
        <v>61</v>
      </c>
      <c r="Q308" s="1" t="s">
        <v>61</v>
      </c>
      <c r="R308" s="1">
        <f t="shared" si="17"/>
        <v>0.08222657143</v>
      </c>
      <c r="S308" s="1">
        <f t="shared" si="18"/>
        <v>-113</v>
      </c>
      <c r="T308" s="1">
        <f t="shared" si="1"/>
        <v>1.884955752</v>
      </c>
      <c r="U308" s="1">
        <f t="shared" si="19"/>
        <v>0</v>
      </c>
      <c r="V308" s="3">
        <f t="shared" si="20"/>
        <v>2</v>
      </c>
      <c r="W308" s="3" t="str">
        <f>IFERROR(__xludf.DUMMYFUNCTION("split(B308,"" "")"),"J.")</f>
        <v>J.</v>
      </c>
      <c r="X308" s="3" t="str">
        <f>IFERROR(__xludf.DUMMYFUNCTION("""COMPUTED_VALUE"""),"Cook")</f>
        <v>Cook</v>
      </c>
      <c r="Z308" s="3">
        <v>11.0</v>
      </c>
      <c r="AA308" s="3">
        <f t="shared" si="21"/>
        <v>0</v>
      </c>
      <c r="AB308" s="3">
        <f t="shared" si="22"/>
        <v>1</v>
      </c>
      <c r="AC308" s="3">
        <f t="shared" si="23"/>
        <v>1.769911504</v>
      </c>
      <c r="AD308" s="3">
        <f t="shared" si="24"/>
        <v>1.769911504</v>
      </c>
    </row>
    <row r="309">
      <c r="A309" s="1" t="s">
        <v>12</v>
      </c>
      <c r="B309" s="1" t="s">
        <v>459</v>
      </c>
      <c r="C309" s="1" t="s">
        <v>20</v>
      </c>
      <c r="D309" s="1" t="s">
        <v>104</v>
      </c>
      <c r="E309" s="1" t="s">
        <v>94</v>
      </c>
      <c r="F309" s="1" t="s">
        <v>456</v>
      </c>
      <c r="G309" s="1">
        <v>1.5</v>
      </c>
      <c r="H309" s="1" t="s">
        <v>60</v>
      </c>
      <c r="I309" s="1">
        <v>-115.0</v>
      </c>
      <c r="J309" s="1">
        <v>-0.149829161744186</v>
      </c>
      <c r="K309" s="1" t="s">
        <v>61</v>
      </c>
      <c r="L309" s="1" t="s">
        <v>61</v>
      </c>
      <c r="M309" s="1" t="s">
        <v>62</v>
      </c>
      <c r="N309" s="1">
        <v>-115.0</v>
      </c>
      <c r="O309" s="1">
        <v>0.0800685360058138</v>
      </c>
      <c r="P309" s="1" t="s">
        <v>61</v>
      </c>
      <c r="Q309" s="1" t="s">
        <v>61</v>
      </c>
      <c r="R309" s="1">
        <f t="shared" si="17"/>
        <v>0.08006853601</v>
      </c>
      <c r="S309" s="1">
        <f t="shared" si="18"/>
        <v>-115</v>
      </c>
      <c r="T309" s="1">
        <f t="shared" si="1"/>
        <v>1.869565217</v>
      </c>
      <c r="U309" s="1">
        <f t="shared" si="19"/>
        <v>0</v>
      </c>
      <c r="V309" s="3">
        <f t="shared" si="20"/>
        <v>2</v>
      </c>
      <c r="W309" s="3" t="str">
        <f>IFERROR(__xludf.DUMMYFUNCTION("split(B309,"" "")"),"D.")</f>
        <v>D.</v>
      </c>
      <c r="X309" s="3" t="str">
        <f>IFERROR(__xludf.DUMMYFUNCTION("""COMPUTED_VALUE"""),"Knox")</f>
        <v>Knox</v>
      </c>
      <c r="Z309" s="3">
        <v>0.0</v>
      </c>
      <c r="AA309" s="3">
        <f t="shared" si="21"/>
        <v>0</v>
      </c>
      <c r="AB309" s="3">
        <f t="shared" si="22"/>
        <v>1</v>
      </c>
      <c r="AC309" s="3">
        <f t="shared" si="23"/>
        <v>1.739130435</v>
      </c>
      <c r="AD309" s="3">
        <f t="shared" si="24"/>
        <v>1.739130435</v>
      </c>
    </row>
    <row r="310">
      <c r="A310" s="1" t="s">
        <v>17</v>
      </c>
      <c r="B310" s="1" t="s">
        <v>434</v>
      </c>
      <c r="C310" s="1" t="s">
        <v>21</v>
      </c>
      <c r="D310" s="1" t="s">
        <v>104</v>
      </c>
      <c r="E310" s="1" t="s">
        <v>94</v>
      </c>
      <c r="F310" s="1" t="s">
        <v>456</v>
      </c>
      <c r="G310" s="1">
        <v>0.5</v>
      </c>
      <c r="H310" s="1" t="s">
        <v>60</v>
      </c>
      <c r="I310" s="1">
        <v>-139.0</v>
      </c>
      <c r="J310" s="1">
        <v>-0.128848117154811</v>
      </c>
      <c r="K310" s="1" t="s">
        <v>61</v>
      </c>
      <c r="L310" s="1" t="s">
        <v>61</v>
      </c>
      <c r="M310" s="1" t="s">
        <v>62</v>
      </c>
      <c r="N310" s="1">
        <v>107.0</v>
      </c>
      <c r="O310" s="1">
        <v>0.0641599033816425</v>
      </c>
      <c r="P310" s="1" t="s">
        <v>61</v>
      </c>
      <c r="Q310" s="1" t="s">
        <v>61</v>
      </c>
      <c r="R310" s="1">
        <f t="shared" si="17"/>
        <v>0.06415990338</v>
      </c>
      <c r="S310" s="1">
        <f t="shared" si="18"/>
        <v>107</v>
      </c>
      <c r="T310" s="1">
        <f t="shared" si="1"/>
        <v>2.07</v>
      </c>
      <c r="U310" s="1">
        <f t="shared" si="19"/>
        <v>0</v>
      </c>
      <c r="V310" s="3">
        <f t="shared" si="20"/>
        <v>2</v>
      </c>
      <c r="W310" s="3" t="str">
        <f>IFERROR(__xludf.DUMMYFUNCTION("split(B310,"" "")"),"J.")</f>
        <v>J.</v>
      </c>
      <c r="X310" s="3" t="str">
        <f>IFERROR(__xludf.DUMMYFUNCTION("""COMPUTED_VALUE"""),"Allen")</f>
        <v>Allen</v>
      </c>
      <c r="Z310" s="3">
        <v>0.0</v>
      </c>
      <c r="AA310" s="3">
        <f t="shared" si="21"/>
        <v>0</v>
      </c>
      <c r="AB310" s="3">
        <f t="shared" si="22"/>
        <v>1</v>
      </c>
      <c r="AC310" s="3">
        <f t="shared" si="23"/>
        <v>2.14</v>
      </c>
      <c r="AD310" s="3">
        <f t="shared" si="24"/>
        <v>2.14</v>
      </c>
    </row>
    <row r="311">
      <c r="A311" s="1" t="s">
        <v>11</v>
      </c>
      <c r="B311" s="1" t="s">
        <v>426</v>
      </c>
      <c r="C311" s="1" t="s">
        <v>18</v>
      </c>
      <c r="D311" s="1" t="s">
        <v>104</v>
      </c>
      <c r="E311" s="1" t="s">
        <v>94</v>
      </c>
      <c r="F311" s="1" t="s">
        <v>456</v>
      </c>
      <c r="G311" s="1">
        <v>43.5</v>
      </c>
      <c r="H311" s="1" t="s">
        <v>60</v>
      </c>
      <c r="I311" s="1">
        <v>-118.0</v>
      </c>
      <c r="J311" s="1">
        <v>-0.0918220502878899</v>
      </c>
      <c r="K311" s="1" t="s">
        <v>61</v>
      </c>
      <c r="L311" s="1" t="s">
        <v>61</v>
      </c>
      <c r="M311" s="1" t="s">
        <v>62</v>
      </c>
      <c r="N311" s="1">
        <v>-112.0</v>
      </c>
      <c r="O311" s="1">
        <v>0.0222554158733208</v>
      </c>
      <c r="P311" s="1" t="s">
        <v>61</v>
      </c>
      <c r="Q311" s="1" t="s">
        <v>61</v>
      </c>
      <c r="R311" s="1">
        <f t="shared" si="17"/>
        <v>0.02225541587</v>
      </c>
      <c r="S311" s="1">
        <f t="shared" si="18"/>
        <v>-112</v>
      </c>
      <c r="T311" s="1">
        <f t="shared" si="1"/>
        <v>1.892857143</v>
      </c>
      <c r="U311" s="1">
        <f t="shared" si="19"/>
        <v>0</v>
      </c>
      <c r="V311" s="3">
        <f t="shared" si="20"/>
        <v>1</v>
      </c>
      <c r="W311" s="3" t="str">
        <f>IFERROR(__xludf.DUMMYFUNCTION("split(B311,"" "")"),"K.")</f>
        <v>K.</v>
      </c>
      <c r="X311" s="3" t="str">
        <f>IFERROR(__xludf.DUMMYFUNCTION("""COMPUTED_VALUE"""),"Coleman")</f>
        <v>Coleman</v>
      </c>
      <c r="Z311" s="3">
        <v>0.0</v>
      </c>
      <c r="AA311" s="3">
        <f t="shared" si="21"/>
        <v>0</v>
      </c>
      <c r="AB311" s="3">
        <f t="shared" si="22"/>
        <v>1</v>
      </c>
      <c r="AC311" s="3">
        <f t="shared" si="23"/>
        <v>0.8928571429</v>
      </c>
      <c r="AD311" s="3">
        <f t="shared" si="24"/>
        <v>0.8928571429</v>
      </c>
    </row>
    <row r="312">
      <c r="A312" s="1" t="s">
        <v>11</v>
      </c>
      <c r="B312" s="1" t="s">
        <v>457</v>
      </c>
      <c r="C312" s="1" t="s">
        <v>18</v>
      </c>
      <c r="D312" s="1" t="s">
        <v>104</v>
      </c>
      <c r="E312" s="1" t="s">
        <v>94</v>
      </c>
      <c r="F312" s="1" t="s">
        <v>456</v>
      </c>
      <c r="G312" s="1">
        <v>15.5</v>
      </c>
      <c r="H312" s="1" t="s">
        <v>60</v>
      </c>
      <c r="I312" s="1">
        <v>-116.0</v>
      </c>
      <c r="J312" s="1">
        <v>-0.0893083423785376</v>
      </c>
      <c r="K312" s="1" t="s">
        <v>61</v>
      </c>
      <c r="L312" s="1" t="s">
        <v>61</v>
      </c>
      <c r="M312" s="1" t="s">
        <v>62</v>
      </c>
      <c r="N312" s="1">
        <v>-113.0</v>
      </c>
      <c r="O312" s="1">
        <v>0.0218236441678566</v>
      </c>
      <c r="P312" s="1" t="s">
        <v>61</v>
      </c>
      <c r="Q312" s="1" t="s">
        <v>61</v>
      </c>
      <c r="R312" s="1">
        <f t="shared" si="17"/>
        <v>0.02182364417</v>
      </c>
      <c r="S312" s="1">
        <f t="shared" si="18"/>
        <v>-113</v>
      </c>
      <c r="T312" s="1">
        <f t="shared" si="1"/>
        <v>1.884955752</v>
      </c>
      <c r="U312" s="1">
        <f t="shared" si="19"/>
        <v>0</v>
      </c>
      <c r="V312" s="3">
        <f t="shared" si="20"/>
        <v>1</v>
      </c>
      <c r="W312" s="3" t="str">
        <f>IFERROR(__xludf.DUMMYFUNCTION("split(B312,"" "")"),"M.")</f>
        <v>M.</v>
      </c>
      <c r="X312" s="3" t="str">
        <f>IFERROR(__xludf.DUMMYFUNCTION("""COMPUTED_VALUE"""),"Hollins")</f>
        <v>Hollins</v>
      </c>
      <c r="Z312" s="3">
        <v>0.0</v>
      </c>
      <c r="AA312" s="3">
        <f t="shared" si="21"/>
        <v>0</v>
      </c>
      <c r="AB312" s="3">
        <f t="shared" si="22"/>
        <v>1</v>
      </c>
      <c r="AC312" s="3">
        <f t="shared" si="23"/>
        <v>0.8849557522</v>
      </c>
      <c r="AD312" s="3">
        <f t="shared" si="24"/>
        <v>0.8849557522</v>
      </c>
    </row>
    <row r="313">
      <c r="A313" s="1" t="s">
        <v>10</v>
      </c>
      <c r="B313" s="1" t="s">
        <v>434</v>
      </c>
      <c r="C313" s="1" t="s">
        <v>21</v>
      </c>
      <c r="D313" s="1" t="s">
        <v>104</v>
      </c>
      <c r="E313" s="1" t="s">
        <v>94</v>
      </c>
      <c r="F313" s="1" t="s">
        <v>456</v>
      </c>
      <c r="G313" s="1">
        <v>35.5</v>
      </c>
      <c r="H313" s="1" t="s">
        <v>60</v>
      </c>
      <c r="I313" s="1">
        <v>-110.0</v>
      </c>
      <c r="J313" s="1">
        <v>-0.0699608098871508</v>
      </c>
      <c r="K313" s="1" t="s">
        <v>61</v>
      </c>
      <c r="L313" s="1" t="s">
        <v>61</v>
      </c>
      <c r="M313" s="1" t="s">
        <v>62</v>
      </c>
      <c r="N313" s="1">
        <v>-117.0</v>
      </c>
      <c r="O313" s="1">
        <v>0.00703944181674176</v>
      </c>
      <c r="P313" s="1" t="s">
        <v>61</v>
      </c>
      <c r="Q313" s="1" t="s">
        <v>61</v>
      </c>
      <c r="R313" s="1">
        <f t="shared" si="17"/>
        <v>0.007039441817</v>
      </c>
      <c r="S313" s="1">
        <f t="shared" si="18"/>
        <v>-117</v>
      </c>
      <c r="T313" s="1">
        <f t="shared" si="1"/>
        <v>1.854700855</v>
      </c>
      <c r="U313" s="1">
        <f t="shared" si="19"/>
        <v>0</v>
      </c>
      <c r="V313" s="3">
        <f t="shared" si="20"/>
        <v>1</v>
      </c>
      <c r="W313" s="3" t="str">
        <f>IFERROR(__xludf.DUMMYFUNCTION("split(B313,"" "")"),"J.")</f>
        <v>J.</v>
      </c>
      <c r="X313" s="3" t="str">
        <f>IFERROR(__xludf.DUMMYFUNCTION("""COMPUTED_VALUE"""),"Allen")</f>
        <v>Allen</v>
      </c>
      <c r="Z313" s="3">
        <v>2.0</v>
      </c>
      <c r="AA313" s="3">
        <f t="shared" si="21"/>
        <v>0</v>
      </c>
      <c r="AB313" s="3">
        <f t="shared" si="22"/>
        <v>1</v>
      </c>
      <c r="AC313" s="3">
        <f t="shared" si="23"/>
        <v>0.8547008547</v>
      </c>
      <c r="AD313" s="3">
        <f t="shared" si="24"/>
        <v>0.8547008547</v>
      </c>
    </row>
    <row r="314">
      <c r="A314" s="1" t="s">
        <v>12</v>
      </c>
      <c r="B314" s="1" t="s">
        <v>235</v>
      </c>
      <c r="C314" s="1" t="s">
        <v>20</v>
      </c>
      <c r="D314" s="1" t="s">
        <v>104</v>
      </c>
      <c r="E314" s="1" t="s">
        <v>94</v>
      </c>
      <c r="F314" s="1" t="s">
        <v>456</v>
      </c>
      <c r="G314" s="1">
        <v>4.5</v>
      </c>
      <c r="H314" s="1" t="s">
        <v>60</v>
      </c>
      <c r="I314" s="1">
        <v>-118.0</v>
      </c>
      <c r="J314" s="1">
        <v>-0.0734385321100917</v>
      </c>
      <c r="K314" s="1" t="s">
        <v>61</v>
      </c>
      <c r="L314" s="1" t="s">
        <v>61</v>
      </c>
      <c r="M314" s="1" t="s">
        <v>62</v>
      </c>
      <c r="N314" s="1">
        <v>-111.0</v>
      </c>
      <c r="O314" s="1">
        <v>0.00608104265402842</v>
      </c>
      <c r="P314" s="1" t="s">
        <v>61</v>
      </c>
      <c r="Q314" s="1" t="s">
        <v>61</v>
      </c>
      <c r="R314" s="1">
        <f t="shared" si="17"/>
        <v>0.006081042654</v>
      </c>
      <c r="S314" s="1">
        <f t="shared" si="18"/>
        <v>-111</v>
      </c>
      <c r="T314" s="1">
        <f t="shared" si="1"/>
        <v>1.900900901</v>
      </c>
      <c r="U314" s="1">
        <f t="shared" si="19"/>
        <v>0</v>
      </c>
      <c r="V314" s="3">
        <f t="shared" si="20"/>
        <v>1</v>
      </c>
      <c r="W314" s="3" t="str">
        <f>IFERROR(__xludf.DUMMYFUNCTION("split(B314,"" "")"),"D.")</f>
        <v>D.</v>
      </c>
      <c r="X314" s="3" t="str">
        <f>IFERROR(__xludf.DUMMYFUNCTION("""COMPUTED_VALUE"""),"Kincaid")</f>
        <v>Kincaid</v>
      </c>
      <c r="Z314" s="3">
        <v>4.0</v>
      </c>
      <c r="AA314" s="3">
        <f t="shared" si="21"/>
        <v>0</v>
      </c>
      <c r="AB314" s="3">
        <f t="shared" si="22"/>
        <v>1</v>
      </c>
      <c r="AC314" s="3">
        <f t="shared" si="23"/>
        <v>0.9009009009</v>
      </c>
      <c r="AD314" s="3">
        <f t="shared" si="24"/>
        <v>0.9009009009</v>
      </c>
    </row>
    <row r="315">
      <c r="A315" s="1" t="s">
        <v>14</v>
      </c>
      <c r="B315" s="1" t="s">
        <v>434</v>
      </c>
      <c r="C315" s="1" t="s">
        <v>21</v>
      </c>
      <c r="D315" s="1" t="s">
        <v>104</v>
      </c>
      <c r="E315" s="1" t="s">
        <v>94</v>
      </c>
      <c r="F315" s="1" t="s">
        <v>456</v>
      </c>
      <c r="G315" s="1">
        <v>1.5</v>
      </c>
      <c r="H315" s="1" t="s">
        <v>60</v>
      </c>
      <c r="I315" s="1">
        <v>-108.0</v>
      </c>
      <c r="J315" s="1">
        <v>-0.0735307692307691</v>
      </c>
      <c r="K315" s="1" t="s">
        <v>61</v>
      </c>
      <c r="L315" s="1" t="s">
        <v>61</v>
      </c>
      <c r="M315" s="1" t="s">
        <v>62</v>
      </c>
      <c r="N315" s="1">
        <v>-122.0</v>
      </c>
      <c r="O315" s="1">
        <v>0.00475045045045052</v>
      </c>
      <c r="P315" s="1" t="s">
        <v>61</v>
      </c>
      <c r="Q315" s="1" t="s">
        <v>61</v>
      </c>
      <c r="R315" s="1">
        <f t="shared" si="17"/>
        <v>0.00475045045</v>
      </c>
      <c r="S315" s="1">
        <f t="shared" si="18"/>
        <v>-122</v>
      </c>
      <c r="T315" s="1">
        <f t="shared" si="1"/>
        <v>1.819672131</v>
      </c>
      <c r="U315" s="1">
        <f t="shared" si="19"/>
        <v>0</v>
      </c>
      <c r="V315" s="3">
        <f t="shared" si="20"/>
        <v>1</v>
      </c>
      <c r="W315" s="3" t="str">
        <f>IFERROR(__xludf.DUMMYFUNCTION("split(B315,"" "")"),"J.")</f>
        <v>J.</v>
      </c>
      <c r="X315" s="3" t="str">
        <f>IFERROR(__xludf.DUMMYFUNCTION("""COMPUTED_VALUE"""),"Allen")</f>
        <v>Allen</v>
      </c>
      <c r="Z315" s="3">
        <v>1.0</v>
      </c>
      <c r="AA315" s="3">
        <f t="shared" si="21"/>
        <v>0</v>
      </c>
      <c r="AB315" s="3">
        <f t="shared" si="22"/>
        <v>1</v>
      </c>
      <c r="AC315" s="3">
        <f t="shared" si="23"/>
        <v>0.8196721311</v>
      </c>
      <c r="AD315" s="3">
        <f t="shared" si="24"/>
        <v>0.8196721311</v>
      </c>
    </row>
    <row r="316">
      <c r="A316" s="1" t="s">
        <v>11</v>
      </c>
      <c r="B316" s="1" t="s">
        <v>235</v>
      </c>
      <c r="C316" s="1" t="s">
        <v>20</v>
      </c>
      <c r="D316" s="1" t="s">
        <v>104</v>
      </c>
      <c r="E316" s="1" t="s">
        <v>94</v>
      </c>
      <c r="F316" s="1" t="s">
        <v>456</v>
      </c>
      <c r="G316" s="1">
        <v>44.5</v>
      </c>
      <c r="H316" s="1" t="s">
        <v>60</v>
      </c>
      <c r="I316" s="1">
        <v>-109.0</v>
      </c>
      <c r="J316" s="1">
        <v>-0.0667468921833972</v>
      </c>
      <c r="K316" s="1" t="s">
        <v>61</v>
      </c>
      <c r="L316" s="1" t="s">
        <v>61</v>
      </c>
      <c r="M316" s="1" t="s">
        <v>62</v>
      </c>
      <c r="N316" s="1">
        <v>-118.0</v>
      </c>
      <c r="O316" s="1">
        <v>0.00389324381579836</v>
      </c>
      <c r="P316" s="1" t="s">
        <v>61</v>
      </c>
      <c r="Q316" s="1" t="s">
        <v>61</v>
      </c>
      <c r="R316" s="1">
        <f t="shared" si="17"/>
        <v>0.003893243816</v>
      </c>
      <c r="S316" s="1">
        <f t="shared" si="18"/>
        <v>-118</v>
      </c>
      <c r="T316" s="1">
        <f t="shared" si="1"/>
        <v>1.847457627</v>
      </c>
      <c r="U316" s="1">
        <f t="shared" si="19"/>
        <v>0</v>
      </c>
      <c r="V316" s="3">
        <f t="shared" si="20"/>
        <v>1</v>
      </c>
      <c r="W316" s="3" t="str">
        <f>IFERROR(__xludf.DUMMYFUNCTION("split(B316,"" "")"),"D.")</f>
        <v>D.</v>
      </c>
      <c r="X316" s="3" t="str">
        <f>IFERROR(__xludf.DUMMYFUNCTION("""COMPUTED_VALUE"""),"Kincaid")</f>
        <v>Kincaid</v>
      </c>
      <c r="Z316" s="3">
        <v>33.0</v>
      </c>
      <c r="AA316" s="3">
        <f t="shared" si="21"/>
        <v>0</v>
      </c>
      <c r="AB316" s="3">
        <f t="shared" si="22"/>
        <v>1</v>
      </c>
      <c r="AC316" s="3">
        <f t="shared" si="23"/>
        <v>0.8474576271</v>
      </c>
      <c r="AD316" s="3">
        <f t="shared" si="24"/>
        <v>0.8474576271</v>
      </c>
    </row>
    <row r="317">
      <c r="A317" s="1" t="s">
        <v>14</v>
      </c>
      <c r="B317" s="1" t="s">
        <v>56</v>
      </c>
      <c r="C317" s="1" t="s">
        <v>21</v>
      </c>
      <c r="D317" s="1" t="s">
        <v>57</v>
      </c>
      <c r="E317" s="1" t="s">
        <v>135</v>
      </c>
      <c r="F317" s="1" t="s">
        <v>455</v>
      </c>
      <c r="G317" s="1">
        <v>0.5</v>
      </c>
      <c r="H317" s="1" t="s">
        <v>60</v>
      </c>
      <c r="I317" s="1">
        <v>-213.0</v>
      </c>
      <c r="J317" s="1">
        <v>-0.180141223833865</v>
      </c>
      <c r="K317" s="1" t="s">
        <v>61</v>
      </c>
      <c r="L317" s="1" t="s">
        <v>61</v>
      </c>
      <c r="M317" s="1" t="s">
        <v>62</v>
      </c>
      <c r="N317" s="1">
        <v>157.0</v>
      </c>
      <c r="O317" s="1">
        <v>0.110531529416342</v>
      </c>
      <c r="P317" s="1" t="s">
        <v>61</v>
      </c>
      <c r="Q317" s="1" t="s">
        <v>61</v>
      </c>
      <c r="R317" s="1">
        <f t="shared" si="17"/>
        <v>0.1105315294</v>
      </c>
      <c r="S317" s="1">
        <f t="shared" si="18"/>
        <v>157</v>
      </c>
      <c r="T317" s="1">
        <f t="shared" si="1"/>
        <v>2.57</v>
      </c>
      <c r="U317" s="1">
        <f t="shared" si="19"/>
        <v>0</v>
      </c>
      <c r="V317" s="3">
        <f t="shared" si="20"/>
        <v>3</v>
      </c>
      <c r="W317" s="3" t="str">
        <f>IFERROR(__xludf.DUMMYFUNCTION("split(B317,"" "")"),"B.")</f>
        <v>B.</v>
      </c>
      <c r="X317" s="3" t="str">
        <f>IFERROR(__xludf.DUMMYFUNCTION("""COMPUTED_VALUE"""),"Young")</f>
        <v>Young</v>
      </c>
      <c r="Z317" s="3">
        <v>0.0</v>
      </c>
      <c r="AA317" s="3">
        <f t="shared" si="21"/>
        <v>0</v>
      </c>
      <c r="AB317" s="3">
        <f t="shared" si="22"/>
        <v>1</v>
      </c>
      <c r="AC317" s="3">
        <f t="shared" si="23"/>
        <v>4.71</v>
      </c>
      <c r="AD317" s="3">
        <f t="shared" si="24"/>
        <v>4.71</v>
      </c>
    </row>
    <row r="318">
      <c r="A318" s="1" t="s">
        <v>11</v>
      </c>
      <c r="B318" s="1" t="s">
        <v>116</v>
      </c>
      <c r="C318" s="1" t="s">
        <v>18</v>
      </c>
      <c r="D318" s="1" t="s">
        <v>57</v>
      </c>
      <c r="E318" s="1" t="s">
        <v>135</v>
      </c>
      <c r="F318" s="1" t="s">
        <v>455</v>
      </c>
      <c r="G318" s="1">
        <v>39.5</v>
      </c>
      <c r="H318" s="1" t="s">
        <v>60</v>
      </c>
      <c r="I318" s="1">
        <v>-111.0</v>
      </c>
      <c r="J318" s="1">
        <v>-0.134779031409431</v>
      </c>
      <c r="K318" s="1" t="s">
        <v>61</v>
      </c>
      <c r="L318" s="1" t="s">
        <v>61</v>
      </c>
      <c r="M318" s="1" t="s">
        <v>62</v>
      </c>
      <c r="N318" s="1">
        <v>-118.0</v>
      </c>
      <c r="O318" s="1">
        <v>0.0674857147870469</v>
      </c>
      <c r="P318" s="1" t="s">
        <v>61</v>
      </c>
      <c r="Q318" s="1" t="s">
        <v>61</v>
      </c>
      <c r="R318" s="1">
        <f t="shared" si="17"/>
        <v>0.06748571479</v>
      </c>
      <c r="S318" s="1">
        <f t="shared" si="18"/>
        <v>-118</v>
      </c>
      <c r="T318" s="1">
        <f t="shared" si="1"/>
        <v>1.847457627</v>
      </c>
      <c r="U318" s="1">
        <f t="shared" si="19"/>
        <v>0</v>
      </c>
      <c r="V318" s="3">
        <f t="shared" si="20"/>
        <v>2</v>
      </c>
      <c r="W318" s="3" t="str">
        <f>IFERROR(__xludf.DUMMYFUNCTION("split(B318,"" "")"),"A.")</f>
        <v>A.</v>
      </c>
      <c r="X318" s="3" t="str">
        <f>IFERROR(__xludf.DUMMYFUNCTION("""COMPUTED_VALUE"""),"Thielen")</f>
        <v>Thielen</v>
      </c>
      <c r="Z318" s="3">
        <v>20.0</v>
      </c>
      <c r="AA318" s="3">
        <f t="shared" si="21"/>
        <v>0</v>
      </c>
      <c r="AB318" s="3">
        <f t="shared" si="22"/>
        <v>1</v>
      </c>
      <c r="AC318" s="3">
        <f t="shared" si="23"/>
        <v>1.694915254</v>
      </c>
      <c r="AD318" s="3">
        <f t="shared" si="24"/>
        <v>1.694915254</v>
      </c>
    </row>
    <row r="319">
      <c r="A319" s="1" t="s">
        <v>8</v>
      </c>
      <c r="B319" s="1" t="s">
        <v>56</v>
      </c>
      <c r="C319" s="1" t="s">
        <v>21</v>
      </c>
      <c r="D319" s="1" t="s">
        <v>57</v>
      </c>
      <c r="E319" s="1" t="s">
        <v>135</v>
      </c>
      <c r="F319" s="1" t="s">
        <v>455</v>
      </c>
      <c r="G319" s="1">
        <v>3.5</v>
      </c>
      <c r="H319" s="1" t="s">
        <v>60</v>
      </c>
      <c r="I319" s="1">
        <v>130.0</v>
      </c>
      <c r="J319" s="1">
        <v>-0.111876325999024</v>
      </c>
      <c r="K319" s="1" t="s">
        <v>61</v>
      </c>
      <c r="L319" s="1" t="s">
        <v>61</v>
      </c>
      <c r="M319" s="1" t="s">
        <v>62</v>
      </c>
      <c r="N319" s="1">
        <v>-173.0</v>
      </c>
      <c r="O319" s="1">
        <v>0.0433933223866209</v>
      </c>
      <c r="P319" s="1" t="s">
        <v>61</v>
      </c>
      <c r="Q319" s="1" t="s">
        <v>61</v>
      </c>
      <c r="R319" s="1">
        <f t="shared" si="17"/>
        <v>0.04339332239</v>
      </c>
      <c r="S319" s="1">
        <f t="shared" si="18"/>
        <v>-173</v>
      </c>
      <c r="T319" s="1">
        <f t="shared" si="1"/>
        <v>1.578034682</v>
      </c>
      <c r="U319" s="1">
        <f t="shared" si="19"/>
        <v>0</v>
      </c>
      <c r="V319" s="3">
        <f t="shared" si="20"/>
        <v>1</v>
      </c>
      <c r="W319" s="3" t="str">
        <f>IFERROR(__xludf.DUMMYFUNCTION("split(B319,"" "")"),"B.")</f>
        <v>B.</v>
      </c>
      <c r="X319" s="3" t="str">
        <f>IFERROR(__xludf.DUMMYFUNCTION("""COMPUTED_VALUE"""),"Young")</f>
        <v>Young</v>
      </c>
      <c r="Z319" s="3">
        <v>1.0</v>
      </c>
      <c r="AA319" s="3">
        <f t="shared" si="21"/>
        <v>0</v>
      </c>
      <c r="AB319" s="3">
        <f t="shared" si="22"/>
        <v>1</v>
      </c>
      <c r="AC319" s="3">
        <f t="shared" si="23"/>
        <v>0.5780346821</v>
      </c>
      <c r="AD319" s="3">
        <f t="shared" si="24"/>
        <v>0.5780346821</v>
      </c>
    </row>
    <row r="320">
      <c r="A320" s="1" t="s">
        <v>11</v>
      </c>
      <c r="B320" s="1" t="s">
        <v>266</v>
      </c>
      <c r="C320" s="1" t="s">
        <v>19</v>
      </c>
      <c r="D320" s="1" t="s">
        <v>57</v>
      </c>
      <c r="E320" s="1" t="s">
        <v>135</v>
      </c>
      <c r="F320" s="1" t="s">
        <v>455</v>
      </c>
      <c r="G320" s="1">
        <v>9.5</v>
      </c>
      <c r="H320" s="1" t="s">
        <v>60</v>
      </c>
      <c r="I320" s="1">
        <v>-111.0</v>
      </c>
      <c r="J320" s="1">
        <v>0.0223334391330496</v>
      </c>
      <c r="K320" s="1" t="s">
        <v>61</v>
      </c>
      <c r="L320" s="1" t="s">
        <v>61</v>
      </c>
      <c r="M320" s="1" t="s">
        <v>62</v>
      </c>
      <c r="N320" s="1">
        <v>-116.0</v>
      </c>
      <c r="O320" s="1">
        <v>-0.0853968544546539</v>
      </c>
      <c r="P320" s="1" t="s">
        <v>61</v>
      </c>
      <c r="Q320" s="1" t="s">
        <v>61</v>
      </c>
      <c r="R320" s="1">
        <f t="shared" si="17"/>
        <v>0.02233343913</v>
      </c>
      <c r="S320" s="1">
        <f t="shared" si="18"/>
        <v>-111</v>
      </c>
      <c r="T320" s="1">
        <f t="shared" si="1"/>
        <v>1.900900901</v>
      </c>
      <c r="U320" s="1">
        <f t="shared" si="19"/>
        <v>1</v>
      </c>
      <c r="V320" s="3">
        <f t="shared" si="20"/>
        <v>1</v>
      </c>
      <c r="W320" s="3" t="str">
        <f>IFERROR(__xludf.DUMMYFUNCTION("split(B320,"" "")"),"C.")</f>
        <v>C.</v>
      </c>
      <c r="X320" s="3" t="str">
        <f>IFERROR(__xludf.DUMMYFUNCTION("""COMPUTED_VALUE"""),"Hubbard")</f>
        <v>Hubbard</v>
      </c>
      <c r="Z320" s="3">
        <v>12.0</v>
      </c>
      <c r="AA320" s="3">
        <f t="shared" si="21"/>
        <v>1</v>
      </c>
      <c r="AB320" s="3">
        <f t="shared" si="22"/>
        <v>1</v>
      </c>
      <c r="AC320" s="3">
        <f t="shared" si="23"/>
        <v>0.9009009009</v>
      </c>
      <c r="AD320" s="3">
        <f t="shared" si="24"/>
        <v>0.9009009009</v>
      </c>
    </row>
    <row r="321">
      <c r="A321" s="1" t="s">
        <v>11</v>
      </c>
      <c r="B321" s="1" t="s">
        <v>353</v>
      </c>
      <c r="C321" s="1" t="s">
        <v>18</v>
      </c>
      <c r="D321" s="1" t="s">
        <v>57</v>
      </c>
      <c r="E321" s="1" t="s">
        <v>135</v>
      </c>
      <c r="F321" s="1" t="s">
        <v>455</v>
      </c>
      <c r="G321" s="1">
        <v>48.5</v>
      </c>
      <c r="H321" s="1" t="s">
        <v>60</v>
      </c>
      <c r="I321" s="1">
        <v>-113.0</v>
      </c>
      <c r="J321" s="1">
        <v>-0.078570761426582</v>
      </c>
      <c r="K321" s="1" t="s">
        <v>61</v>
      </c>
      <c r="L321" s="1" t="s">
        <v>61</v>
      </c>
      <c r="M321" s="1" t="s">
        <v>62</v>
      </c>
      <c r="N321" s="1">
        <v>-116.0</v>
      </c>
      <c r="O321" s="1">
        <v>0.0110101830625368</v>
      </c>
      <c r="P321" s="1" t="s">
        <v>61</v>
      </c>
      <c r="Q321" s="1" t="s">
        <v>61</v>
      </c>
      <c r="R321" s="1">
        <f t="shared" si="17"/>
        <v>0.01101018306</v>
      </c>
      <c r="S321" s="1">
        <f t="shared" si="18"/>
        <v>-116</v>
      </c>
      <c r="T321" s="1">
        <f t="shared" si="1"/>
        <v>1.862068966</v>
      </c>
      <c r="U321" s="1">
        <f t="shared" si="19"/>
        <v>0</v>
      </c>
      <c r="V321" s="3">
        <f t="shared" si="20"/>
        <v>1</v>
      </c>
      <c r="W321" s="3" t="str">
        <f>IFERROR(__xludf.DUMMYFUNCTION("split(B321,"" "")"),"D.")</f>
        <v>D.</v>
      </c>
      <c r="X321" s="3" t="str">
        <f>IFERROR(__xludf.DUMMYFUNCTION("""COMPUTED_VALUE"""),"Johnson")</f>
        <v>Johnson</v>
      </c>
      <c r="Z321" s="3">
        <v>15.0</v>
      </c>
      <c r="AA321" s="3">
        <f t="shared" si="21"/>
        <v>0</v>
      </c>
      <c r="AB321" s="3">
        <f t="shared" si="22"/>
        <v>1</v>
      </c>
      <c r="AC321" s="3">
        <f t="shared" si="23"/>
        <v>0.8620689655</v>
      </c>
      <c r="AD321" s="3">
        <f t="shared" si="24"/>
        <v>0.8620689655</v>
      </c>
    </row>
    <row r="322">
      <c r="A322" s="1" t="s">
        <v>10</v>
      </c>
      <c r="B322" s="1" t="s">
        <v>56</v>
      </c>
      <c r="C322" s="1" t="s">
        <v>21</v>
      </c>
      <c r="D322" s="1" t="s">
        <v>57</v>
      </c>
      <c r="E322" s="1" t="s">
        <v>135</v>
      </c>
      <c r="F322" s="1" t="s">
        <v>455</v>
      </c>
      <c r="G322" s="1">
        <v>12.5</v>
      </c>
      <c r="H322" s="1" t="s">
        <v>60</v>
      </c>
      <c r="I322" s="1">
        <v>-111.0</v>
      </c>
      <c r="J322" s="1">
        <v>-0.0728556444092909</v>
      </c>
      <c r="K322" s="1" t="s">
        <v>61</v>
      </c>
      <c r="L322" s="1" t="s">
        <v>61</v>
      </c>
      <c r="M322" s="1" t="s">
        <v>62</v>
      </c>
      <c r="N322" s="1">
        <v>-119.0</v>
      </c>
      <c r="O322" s="1">
        <v>0.00340872947364789</v>
      </c>
      <c r="P322" s="1" t="s">
        <v>61</v>
      </c>
      <c r="Q322" s="1" t="s">
        <v>61</v>
      </c>
      <c r="R322" s="1">
        <f t="shared" si="17"/>
        <v>0.003408729474</v>
      </c>
      <c r="S322" s="1">
        <f t="shared" si="18"/>
        <v>-119</v>
      </c>
      <c r="T322" s="1">
        <f t="shared" si="1"/>
        <v>1.840336134</v>
      </c>
      <c r="U322" s="1">
        <f t="shared" si="19"/>
        <v>0</v>
      </c>
      <c r="V322" s="3">
        <f t="shared" si="20"/>
        <v>1</v>
      </c>
      <c r="W322" s="3" t="str">
        <f>IFERROR(__xludf.DUMMYFUNCTION("split(B322,"" "")"),"B.")</f>
        <v>B.</v>
      </c>
      <c r="X322" s="3" t="str">
        <f>IFERROR(__xludf.DUMMYFUNCTION("""COMPUTED_VALUE"""),"Young")</f>
        <v>Young</v>
      </c>
      <c r="Z322" s="3">
        <v>6.0</v>
      </c>
      <c r="AA322" s="3">
        <f t="shared" si="21"/>
        <v>0</v>
      </c>
      <c r="AB322" s="3">
        <f t="shared" si="22"/>
        <v>1</v>
      </c>
      <c r="AC322" s="3">
        <f t="shared" si="23"/>
        <v>0.8403361345</v>
      </c>
      <c r="AD322" s="3">
        <f t="shared" si="24"/>
        <v>0.8403361345</v>
      </c>
    </row>
    <row r="323">
      <c r="A323" s="1" t="s">
        <v>11</v>
      </c>
      <c r="B323" s="1" t="s">
        <v>351</v>
      </c>
      <c r="C323" s="1" t="s">
        <v>18</v>
      </c>
      <c r="D323" s="1" t="s">
        <v>99</v>
      </c>
      <c r="E323" s="1" t="s">
        <v>72</v>
      </c>
      <c r="F323" s="1" t="s">
        <v>460</v>
      </c>
      <c r="G323" s="1">
        <v>60.5</v>
      </c>
      <c r="H323" s="1" t="s">
        <v>60</v>
      </c>
      <c r="I323" s="1">
        <v>-115.0</v>
      </c>
      <c r="J323" s="1">
        <v>-0.0709509585435771</v>
      </c>
      <c r="K323" s="1" t="s">
        <v>61</v>
      </c>
      <c r="L323" s="1" t="s">
        <v>61</v>
      </c>
      <c r="M323" s="1" t="s">
        <v>62</v>
      </c>
      <c r="N323" s="1">
        <v>-114.0</v>
      </c>
      <c r="O323" s="1">
        <v>0.00332215457873619</v>
      </c>
      <c r="P323" s="1" t="s">
        <v>61</v>
      </c>
      <c r="Q323" s="1" t="s">
        <v>61</v>
      </c>
      <c r="R323" s="1">
        <f t="shared" si="17"/>
        <v>0.003322154579</v>
      </c>
      <c r="S323" s="1">
        <f t="shared" si="18"/>
        <v>-114</v>
      </c>
      <c r="T323" s="1">
        <f t="shared" si="1"/>
        <v>1.877192982</v>
      </c>
      <c r="U323" s="1">
        <f t="shared" si="19"/>
        <v>0</v>
      </c>
      <c r="V323" s="3">
        <f t="shared" si="20"/>
        <v>1</v>
      </c>
      <c r="W323" s="3" t="str">
        <f>IFERROR(__xludf.DUMMYFUNCTION("split(B323,"" "")"),"D.")</f>
        <v>D.</v>
      </c>
      <c r="X323" s="3" t="str">
        <f>IFERROR(__xludf.DUMMYFUNCTION("""COMPUTED_VALUE"""),"Moore")</f>
        <v>Moore</v>
      </c>
      <c r="Z323" s="3">
        <v>53.0</v>
      </c>
      <c r="AA323" s="3">
        <f t="shared" si="21"/>
        <v>0</v>
      </c>
      <c r="AB323" s="3">
        <f t="shared" si="22"/>
        <v>1</v>
      </c>
      <c r="AC323" s="3">
        <f t="shared" si="23"/>
        <v>0.8771929825</v>
      </c>
      <c r="AD323" s="3">
        <f t="shared" si="24"/>
        <v>0.8771929825</v>
      </c>
    </row>
    <row r="324">
      <c r="A324" s="1" t="s">
        <v>10</v>
      </c>
      <c r="B324" s="1" t="s">
        <v>168</v>
      </c>
      <c r="C324" s="1" t="s">
        <v>19</v>
      </c>
      <c r="D324" s="1" t="s">
        <v>67</v>
      </c>
      <c r="E324" s="1" t="s">
        <v>76</v>
      </c>
      <c r="F324" s="1" t="s">
        <v>461</v>
      </c>
      <c r="G324" s="1">
        <v>49.5</v>
      </c>
      <c r="H324" s="1" t="s">
        <v>60</v>
      </c>
      <c r="I324" s="1">
        <v>-114.0</v>
      </c>
      <c r="J324" s="1">
        <v>-0.126513559433854</v>
      </c>
      <c r="K324" s="1" t="s">
        <v>61</v>
      </c>
      <c r="L324" s="1" t="s">
        <v>61</v>
      </c>
      <c r="M324" s="1" t="s">
        <v>62</v>
      </c>
      <c r="N324" s="1">
        <v>-115.0</v>
      </c>
      <c r="O324" s="1">
        <v>0.058992236178337</v>
      </c>
      <c r="P324" s="1" t="s">
        <v>61</v>
      </c>
      <c r="Q324" s="1" t="s">
        <v>61</v>
      </c>
      <c r="R324" s="1">
        <f t="shared" si="17"/>
        <v>0.05899223618</v>
      </c>
      <c r="S324" s="1">
        <f t="shared" si="18"/>
        <v>-115</v>
      </c>
      <c r="T324" s="1">
        <f t="shared" si="1"/>
        <v>1.869565217</v>
      </c>
      <c r="U324" s="1">
        <f t="shared" si="19"/>
        <v>0</v>
      </c>
      <c r="V324" s="3">
        <f t="shared" si="20"/>
        <v>2</v>
      </c>
      <c r="W324" s="3" t="str">
        <f>IFERROR(__xludf.DUMMYFUNCTION("split(B324,"" "")"),"Z.")</f>
        <v>Z.</v>
      </c>
      <c r="X324" s="3" t="str">
        <f>IFERROR(__xludf.DUMMYFUNCTION("""COMPUTED_VALUE"""),"Moss")</f>
        <v>Moss</v>
      </c>
      <c r="Z324" s="3">
        <v>34.0</v>
      </c>
      <c r="AA324" s="3">
        <f t="shared" si="21"/>
        <v>0</v>
      </c>
      <c r="AB324" s="3">
        <f t="shared" si="22"/>
        <v>1</v>
      </c>
      <c r="AC324" s="3">
        <f t="shared" si="23"/>
        <v>1.739130435</v>
      </c>
      <c r="AD324" s="3">
        <f t="shared" si="24"/>
        <v>1.739130435</v>
      </c>
    </row>
    <row r="325">
      <c r="A325" s="1" t="s">
        <v>17</v>
      </c>
      <c r="B325" s="1" t="s">
        <v>318</v>
      </c>
      <c r="C325" s="1" t="s">
        <v>21</v>
      </c>
      <c r="D325" s="1" t="s">
        <v>67</v>
      </c>
      <c r="E325" s="1" t="s">
        <v>76</v>
      </c>
      <c r="F325" s="1" t="s">
        <v>461</v>
      </c>
      <c r="G325" s="1">
        <v>0.5</v>
      </c>
      <c r="H325" s="1" t="s">
        <v>60</v>
      </c>
      <c r="I325" s="1">
        <v>-122.0</v>
      </c>
      <c r="J325" s="1">
        <v>-0.0978045045045044</v>
      </c>
      <c r="K325" s="1" t="s">
        <v>61</v>
      </c>
      <c r="L325" s="1" t="s">
        <v>61</v>
      </c>
      <c r="M325" s="1" t="s">
        <v>62</v>
      </c>
      <c r="N325" s="1">
        <v>-107.0</v>
      </c>
      <c r="O325" s="1">
        <v>0.0313400966183575</v>
      </c>
      <c r="P325" s="1" t="s">
        <v>61</v>
      </c>
      <c r="Q325" s="1" t="s">
        <v>61</v>
      </c>
      <c r="R325" s="1">
        <f t="shared" si="17"/>
        <v>0.03134009662</v>
      </c>
      <c r="S325" s="1">
        <f t="shared" si="18"/>
        <v>-107</v>
      </c>
      <c r="T325" s="1">
        <f t="shared" si="1"/>
        <v>1.934579439</v>
      </c>
      <c r="U325" s="1">
        <f t="shared" si="19"/>
        <v>0</v>
      </c>
      <c r="V325" s="3">
        <f t="shared" si="20"/>
        <v>1</v>
      </c>
      <c r="W325" s="3" t="str">
        <f>IFERROR(__xludf.DUMMYFUNCTION("split(B325,"" "")"),"J.")</f>
        <v>J.</v>
      </c>
      <c r="X325" s="3" t="str">
        <f>IFERROR(__xludf.DUMMYFUNCTION("""COMPUTED_VALUE"""),"Burrow")</f>
        <v>Burrow</v>
      </c>
      <c r="Z325" s="3">
        <v>0.0</v>
      </c>
      <c r="AA325" s="3">
        <f t="shared" si="21"/>
        <v>0</v>
      </c>
      <c r="AB325" s="3">
        <f t="shared" si="22"/>
        <v>1</v>
      </c>
      <c r="AC325" s="3">
        <f t="shared" si="23"/>
        <v>0.9345794393</v>
      </c>
      <c r="AD325" s="3">
        <f t="shared" si="24"/>
        <v>0.9345794393</v>
      </c>
    </row>
    <row r="326">
      <c r="A326" s="1" t="s">
        <v>13</v>
      </c>
      <c r="B326" s="1" t="s">
        <v>318</v>
      </c>
      <c r="C326" s="1" t="s">
        <v>21</v>
      </c>
      <c r="D326" s="1" t="s">
        <v>67</v>
      </c>
      <c r="E326" s="1" t="s">
        <v>76</v>
      </c>
      <c r="F326" s="1" t="s">
        <v>461</v>
      </c>
      <c r="G326" s="1">
        <v>229.5</v>
      </c>
      <c r="H326" s="1" t="s">
        <v>60</v>
      </c>
      <c r="I326" s="1">
        <v>-119.0</v>
      </c>
      <c r="J326" s="1">
        <v>0.00392100456621002</v>
      </c>
      <c r="K326" s="1" t="s">
        <v>61</v>
      </c>
      <c r="L326" s="1" t="s">
        <v>61</v>
      </c>
      <c r="M326" s="1" t="s">
        <v>62</v>
      </c>
      <c r="N326" s="1">
        <v>-109.0</v>
      </c>
      <c r="O326" s="1">
        <v>-0.0688311004784686</v>
      </c>
      <c r="P326" s="1" t="s">
        <v>61</v>
      </c>
      <c r="Q326" s="1" t="s">
        <v>61</v>
      </c>
      <c r="R326" s="1">
        <f t="shared" si="17"/>
        <v>0.003921004566</v>
      </c>
      <c r="S326" s="1">
        <f t="shared" si="18"/>
        <v>-119</v>
      </c>
      <c r="T326" s="1">
        <f t="shared" si="1"/>
        <v>1.840336134</v>
      </c>
      <c r="U326" s="1">
        <f t="shared" si="19"/>
        <v>1</v>
      </c>
      <c r="V326" s="3">
        <f t="shared" si="20"/>
        <v>1</v>
      </c>
      <c r="W326" s="3" t="str">
        <f>IFERROR(__xludf.DUMMYFUNCTION("split(B326,"" "")"),"J.")</f>
        <v>J.</v>
      </c>
      <c r="X326" s="3" t="str">
        <f>IFERROR(__xludf.DUMMYFUNCTION("""COMPUTED_VALUE"""),"Burrow")</f>
        <v>Burrow</v>
      </c>
      <c r="Z326" s="3">
        <v>258.0</v>
      </c>
      <c r="AA326" s="3">
        <f t="shared" si="21"/>
        <v>1</v>
      </c>
      <c r="AB326" s="3">
        <f t="shared" si="22"/>
        <v>1</v>
      </c>
      <c r="AC326" s="3">
        <f t="shared" si="23"/>
        <v>0.8403361345</v>
      </c>
      <c r="AD326" s="3">
        <f t="shared" si="24"/>
        <v>0.8403361345</v>
      </c>
    </row>
    <row r="327">
      <c r="A327" s="1" t="s">
        <v>10</v>
      </c>
      <c r="B327" s="1" t="s">
        <v>318</v>
      </c>
      <c r="C327" s="1" t="s">
        <v>21</v>
      </c>
      <c r="D327" s="1" t="s">
        <v>67</v>
      </c>
      <c r="E327" s="1" t="s">
        <v>76</v>
      </c>
      <c r="F327" s="1" t="s">
        <v>461</v>
      </c>
      <c r="G327" s="1">
        <v>14.5</v>
      </c>
      <c r="H327" s="1" t="s">
        <v>60</v>
      </c>
      <c r="I327" s="1">
        <v>105.0</v>
      </c>
      <c r="J327" s="1">
        <v>-0.0692414853657127</v>
      </c>
      <c r="K327" s="1" t="s">
        <v>61</v>
      </c>
      <c r="L327" s="1" t="s">
        <v>61</v>
      </c>
      <c r="M327" s="1" t="s">
        <v>62</v>
      </c>
      <c r="N327" s="1">
        <v>-137.0</v>
      </c>
      <c r="O327" s="1">
        <v>0.00336938382543883</v>
      </c>
      <c r="P327" s="1" t="s">
        <v>61</v>
      </c>
      <c r="Q327" s="1" t="s">
        <v>61</v>
      </c>
      <c r="R327" s="1">
        <f t="shared" si="17"/>
        <v>0.003369383825</v>
      </c>
      <c r="S327" s="1">
        <f t="shared" si="18"/>
        <v>-137</v>
      </c>
      <c r="T327" s="1">
        <f t="shared" si="1"/>
        <v>1.729927007</v>
      </c>
      <c r="U327" s="1">
        <f t="shared" si="19"/>
        <v>0</v>
      </c>
      <c r="V327" s="3">
        <f t="shared" si="20"/>
        <v>1</v>
      </c>
      <c r="W327" s="3" t="str">
        <f>IFERROR(__xludf.DUMMYFUNCTION("split(B327,"" "")"),"J.")</f>
        <v>J.</v>
      </c>
      <c r="X327" s="3" t="str">
        <f>IFERROR(__xludf.DUMMYFUNCTION("""COMPUTED_VALUE"""),"Burrow")</f>
        <v>Burrow</v>
      </c>
      <c r="Z327" s="3">
        <v>9.0</v>
      </c>
      <c r="AA327" s="3">
        <f t="shared" si="21"/>
        <v>0</v>
      </c>
      <c r="AB327" s="3">
        <f t="shared" si="22"/>
        <v>1</v>
      </c>
      <c r="AC327" s="3">
        <f t="shared" si="23"/>
        <v>0.7299270073</v>
      </c>
      <c r="AD327" s="3">
        <f t="shared" si="24"/>
        <v>0.7299270073</v>
      </c>
    </row>
    <row r="328">
      <c r="A328" s="1" t="s">
        <v>8</v>
      </c>
      <c r="B328" s="1" t="s">
        <v>462</v>
      </c>
      <c r="C328" s="1" t="s">
        <v>21</v>
      </c>
      <c r="D328" s="1" t="s">
        <v>89</v>
      </c>
      <c r="E328" s="1" t="s">
        <v>93</v>
      </c>
      <c r="F328" s="1" t="s">
        <v>455</v>
      </c>
      <c r="G328" s="1">
        <v>5.5</v>
      </c>
      <c r="H328" s="1" t="s">
        <v>60</v>
      </c>
      <c r="I328" s="1">
        <v>107.0</v>
      </c>
      <c r="J328" s="1">
        <v>-0.169278693069081</v>
      </c>
      <c r="K328" s="1" t="s">
        <v>61</v>
      </c>
      <c r="L328" s="1" t="s">
        <v>61</v>
      </c>
      <c r="M328" s="1" t="s">
        <v>62</v>
      </c>
      <c r="N328" s="1">
        <v>-143.0</v>
      </c>
      <c r="O328" s="1">
        <v>0.097707726377366</v>
      </c>
      <c r="P328" s="1" t="s">
        <v>61</v>
      </c>
      <c r="Q328" s="1" t="s">
        <v>61</v>
      </c>
      <c r="R328" s="1">
        <f t="shared" si="17"/>
        <v>0.09770772638</v>
      </c>
      <c r="S328" s="1">
        <f t="shared" si="18"/>
        <v>-143</v>
      </c>
      <c r="T328" s="1">
        <f t="shared" si="1"/>
        <v>1.699300699</v>
      </c>
      <c r="U328" s="1">
        <f t="shared" si="19"/>
        <v>0</v>
      </c>
      <c r="V328" s="3">
        <f t="shared" si="20"/>
        <v>2</v>
      </c>
      <c r="W328" s="3" t="str">
        <f>IFERROR(__xludf.DUMMYFUNCTION("split(B328,"" "")"),"D.")</f>
        <v>D.</v>
      </c>
      <c r="X328" s="3" t="str">
        <f>IFERROR(__xludf.DUMMYFUNCTION("""COMPUTED_VALUE"""),"Watson")</f>
        <v>Watson</v>
      </c>
      <c r="Z328" s="3">
        <v>5.0</v>
      </c>
      <c r="AA328" s="3">
        <f t="shared" si="21"/>
        <v>0</v>
      </c>
      <c r="AB328" s="3">
        <f t="shared" si="22"/>
        <v>1</v>
      </c>
      <c r="AC328" s="3">
        <f t="shared" si="23"/>
        <v>1.398601399</v>
      </c>
      <c r="AD328" s="3">
        <f t="shared" si="24"/>
        <v>1.398601399</v>
      </c>
    </row>
    <row r="329">
      <c r="A329" s="1" t="s">
        <v>17</v>
      </c>
      <c r="B329" s="1" t="s">
        <v>462</v>
      </c>
      <c r="C329" s="1" t="s">
        <v>21</v>
      </c>
      <c r="D329" s="1" t="s">
        <v>89</v>
      </c>
      <c r="E329" s="1" t="s">
        <v>93</v>
      </c>
      <c r="F329" s="1" t="s">
        <v>455</v>
      </c>
      <c r="G329" s="1">
        <v>0.5</v>
      </c>
      <c r="H329" s="1" t="s">
        <v>60</v>
      </c>
      <c r="I329" s="1">
        <v>-142.0</v>
      </c>
      <c r="J329" s="1">
        <v>-0.153876859504132</v>
      </c>
      <c r="K329" s="1" t="s">
        <v>61</v>
      </c>
      <c r="L329" s="1" t="s">
        <v>61</v>
      </c>
      <c r="M329" s="1" t="s">
        <v>62</v>
      </c>
      <c r="N329" s="1">
        <v>108.0</v>
      </c>
      <c r="O329" s="1">
        <v>0.0863307692307693</v>
      </c>
      <c r="P329" s="1" t="s">
        <v>61</v>
      </c>
      <c r="Q329" s="1" t="s">
        <v>61</v>
      </c>
      <c r="R329" s="1">
        <f t="shared" si="17"/>
        <v>0.08633076923</v>
      </c>
      <c r="S329" s="1">
        <f t="shared" si="18"/>
        <v>108</v>
      </c>
      <c r="T329" s="1">
        <f t="shared" si="1"/>
        <v>2.08</v>
      </c>
      <c r="U329" s="1">
        <f t="shared" si="19"/>
        <v>0</v>
      </c>
      <c r="V329" s="3">
        <f t="shared" si="20"/>
        <v>2</v>
      </c>
      <c r="W329" s="3" t="str">
        <f>IFERROR(__xludf.DUMMYFUNCTION("split(B329,"" "")"),"D.")</f>
        <v>D.</v>
      </c>
      <c r="X329" s="3" t="str">
        <f>IFERROR(__xludf.DUMMYFUNCTION("""COMPUTED_VALUE"""),"Watson")</f>
        <v>Watson</v>
      </c>
      <c r="Z329" s="3">
        <v>0.0</v>
      </c>
      <c r="AA329" s="3">
        <f t="shared" si="21"/>
        <v>0</v>
      </c>
      <c r="AB329" s="3">
        <f t="shared" si="22"/>
        <v>1</v>
      </c>
      <c r="AC329" s="3">
        <f t="shared" si="23"/>
        <v>2.16</v>
      </c>
      <c r="AD329" s="3">
        <f t="shared" si="24"/>
        <v>2.16</v>
      </c>
    </row>
    <row r="330">
      <c r="A330" s="1" t="s">
        <v>9</v>
      </c>
      <c r="B330" s="1" t="s">
        <v>414</v>
      </c>
      <c r="C330" s="1" t="s">
        <v>18</v>
      </c>
      <c r="D330" s="1" t="s">
        <v>89</v>
      </c>
      <c r="E330" s="1" t="s">
        <v>93</v>
      </c>
      <c r="F330" s="1" t="s">
        <v>455</v>
      </c>
      <c r="G330" s="1">
        <v>21.5</v>
      </c>
      <c r="H330" s="1" t="s">
        <v>60</v>
      </c>
      <c r="I330" s="1">
        <v>-114.0</v>
      </c>
      <c r="J330" s="1">
        <v>0.0698002230323703</v>
      </c>
      <c r="K330" s="1" t="s">
        <v>61</v>
      </c>
      <c r="L330" s="1" t="s">
        <v>61</v>
      </c>
      <c r="M330" s="1" t="s">
        <v>62</v>
      </c>
      <c r="N330" s="1">
        <v>-118.0</v>
      </c>
      <c r="O330" s="1">
        <v>-0.143764900551074</v>
      </c>
      <c r="P330" s="1" t="s">
        <v>61</v>
      </c>
      <c r="Q330" s="1" t="s">
        <v>61</v>
      </c>
      <c r="R330" s="1">
        <f t="shared" si="17"/>
        <v>0.06980022303</v>
      </c>
      <c r="S330" s="1">
        <f t="shared" si="18"/>
        <v>-114</v>
      </c>
      <c r="T330" s="1">
        <f t="shared" si="1"/>
        <v>1.877192982</v>
      </c>
      <c r="U330" s="1">
        <f t="shared" si="19"/>
        <v>1</v>
      </c>
      <c r="V330" s="3">
        <f t="shared" si="20"/>
        <v>2</v>
      </c>
      <c r="W330" s="3" t="str">
        <f>IFERROR(__xludf.DUMMYFUNCTION("split(B330,"" "")"),"E.")</f>
        <v>E.</v>
      </c>
      <c r="X330" s="3" t="str">
        <f>IFERROR(__xludf.DUMMYFUNCTION("""COMPUTED_VALUE"""),"Moore")</f>
        <v>Moore</v>
      </c>
      <c r="Z330" s="3">
        <v>44.0</v>
      </c>
      <c r="AA330" s="3">
        <f t="shared" si="21"/>
        <v>1</v>
      </c>
      <c r="AB330" s="3">
        <f t="shared" si="22"/>
        <v>1</v>
      </c>
      <c r="AC330" s="3">
        <f t="shared" si="23"/>
        <v>1.754385965</v>
      </c>
      <c r="AD330" s="3">
        <f t="shared" si="24"/>
        <v>1.754385965</v>
      </c>
    </row>
    <row r="331">
      <c r="A331" s="1" t="s">
        <v>10</v>
      </c>
      <c r="B331" s="1" t="s">
        <v>462</v>
      </c>
      <c r="C331" s="1" t="s">
        <v>21</v>
      </c>
      <c r="D331" s="1" t="s">
        <v>89</v>
      </c>
      <c r="E331" s="1" t="s">
        <v>93</v>
      </c>
      <c r="F331" s="1" t="s">
        <v>455</v>
      </c>
      <c r="G331" s="1">
        <v>24.5</v>
      </c>
      <c r="H331" s="1" t="s">
        <v>60</v>
      </c>
      <c r="I331" s="1">
        <v>-117.0</v>
      </c>
      <c r="J331" s="1">
        <v>-0.133047464891908</v>
      </c>
      <c r="K331" s="1" t="s">
        <v>61</v>
      </c>
      <c r="L331" s="1" t="s">
        <v>61</v>
      </c>
      <c r="M331" s="1" t="s">
        <v>62</v>
      </c>
      <c r="N331" s="1">
        <v>-112.0</v>
      </c>
      <c r="O331" s="1">
        <v>0.0655863389968366</v>
      </c>
      <c r="P331" s="1" t="s">
        <v>61</v>
      </c>
      <c r="Q331" s="1" t="s">
        <v>61</v>
      </c>
      <c r="R331" s="1">
        <f t="shared" si="17"/>
        <v>0.065586339</v>
      </c>
      <c r="S331" s="1">
        <f t="shared" si="18"/>
        <v>-112</v>
      </c>
      <c r="T331" s="1">
        <f t="shared" si="1"/>
        <v>1.892857143</v>
      </c>
      <c r="U331" s="1">
        <f t="shared" si="19"/>
        <v>0</v>
      </c>
      <c r="V331" s="3">
        <f t="shared" si="20"/>
        <v>2</v>
      </c>
      <c r="W331" s="3" t="str">
        <f>IFERROR(__xludf.DUMMYFUNCTION("split(B331,"" "")"),"D.")</f>
        <v>D.</v>
      </c>
      <c r="X331" s="3" t="str">
        <f>IFERROR(__xludf.DUMMYFUNCTION("""COMPUTED_VALUE"""),"Watson")</f>
        <v>Watson</v>
      </c>
      <c r="Z331" s="3">
        <v>20.0</v>
      </c>
      <c r="AA331" s="3">
        <f t="shared" si="21"/>
        <v>0</v>
      </c>
      <c r="AB331" s="3">
        <f t="shared" si="22"/>
        <v>1</v>
      </c>
      <c r="AC331" s="3">
        <f t="shared" si="23"/>
        <v>1.785714286</v>
      </c>
      <c r="AD331" s="3">
        <f t="shared" si="24"/>
        <v>1.785714286</v>
      </c>
    </row>
    <row r="332">
      <c r="A332" s="1" t="s">
        <v>11</v>
      </c>
      <c r="B332" s="1" t="s">
        <v>324</v>
      </c>
      <c r="C332" s="1" t="s">
        <v>19</v>
      </c>
      <c r="D332" s="1" t="s">
        <v>89</v>
      </c>
      <c r="E332" s="1" t="s">
        <v>93</v>
      </c>
      <c r="F332" s="1" t="s">
        <v>455</v>
      </c>
      <c r="G332" s="1">
        <v>17.5</v>
      </c>
      <c r="H332" s="1" t="s">
        <v>60</v>
      </c>
      <c r="I332" s="1">
        <v>-119.0</v>
      </c>
      <c r="J332" s="1">
        <v>-0.0973604996596108</v>
      </c>
      <c r="K332" s="1" t="s">
        <v>61</v>
      </c>
      <c r="L332" s="1" t="s">
        <v>61</v>
      </c>
      <c r="M332" s="1" t="s">
        <v>62</v>
      </c>
      <c r="N332" s="1">
        <v>-112.0</v>
      </c>
      <c r="O332" s="1">
        <v>0.0257395063986292</v>
      </c>
      <c r="P332" s="1" t="s">
        <v>61</v>
      </c>
      <c r="Q332" s="1" t="s">
        <v>61</v>
      </c>
      <c r="R332" s="1">
        <f t="shared" si="17"/>
        <v>0.0257395064</v>
      </c>
      <c r="S332" s="1">
        <f t="shared" si="18"/>
        <v>-112</v>
      </c>
      <c r="T332" s="1">
        <f t="shared" si="1"/>
        <v>1.892857143</v>
      </c>
      <c r="U332" s="1">
        <f t="shared" si="19"/>
        <v>0</v>
      </c>
      <c r="V332" s="3">
        <f t="shared" si="20"/>
        <v>1</v>
      </c>
      <c r="W332" s="3" t="str">
        <f>IFERROR(__xludf.DUMMYFUNCTION("split(B332,"" "")"),"J.")</f>
        <v>J.</v>
      </c>
      <c r="X332" s="3" t="str">
        <f>IFERROR(__xludf.DUMMYFUNCTION("""COMPUTED_VALUE"""),"Ford")</f>
        <v>Ford</v>
      </c>
      <c r="Z332" s="3">
        <v>0.0</v>
      </c>
      <c r="AA332" s="3">
        <f t="shared" si="21"/>
        <v>0</v>
      </c>
      <c r="AB332" s="3">
        <f t="shared" si="22"/>
        <v>1</v>
      </c>
      <c r="AC332" s="3">
        <f t="shared" si="23"/>
        <v>0.8928571429</v>
      </c>
      <c r="AD332" s="3">
        <f t="shared" si="24"/>
        <v>0.8928571429</v>
      </c>
    </row>
    <row r="333">
      <c r="A333" s="1" t="s">
        <v>12</v>
      </c>
      <c r="B333" s="1" t="s">
        <v>442</v>
      </c>
      <c r="C333" s="1" t="s">
        <v>18</v>
      </c>
      <c r="D333" s="1" t="s">
        <v>89</v>
      </c>
      <c r="E333" s="1" t="s">
        <v>93</v>
      </c>
      <c r="F333" s="1" t="s">
        <v>455</v>
      </c>
      <c r="G333" s="1">
        <v>4.5</v>
      </c>
      <c r="H333" s="1" t="s">
        <v>60</v>
      </c>
      <c r="I333" s="1">
        <v>106.0</v>
      </c>
      <c r="J333" s="1">
        <v>-0.0848398058252427</v>
      </c>
      <c r="K333" s="1" t="s">
        <v>61</v>
      </c>
      <c r="L333" s="1" t="s">
        <v>61</v>
      </c>
      <c r="M333" s="1" t="s">
        <v>62</v>
      </c>
      <c r="N333" s="1">
        <v>-138.0</v>
      </c>
      <c r="O333" s="1">
        <v>0.0195840336134454</v>
      </c>
      <c r="P333" s="1" t="s">
        <v>61</v>
      </c>
      <c r="Q333" s="1" t="s">
        <v>61</v>
      </c>
      <c r="R333" s="1">
        <f t="shared" si="17"/>
        <v>0.01958403361</v>
      </c>
      <c r="S333" s="1">
        <f t="shared" si="18"/>
        <v>-138</v>
      </c>
      <c r="T333" s="1">
        <f t="shared" si="1"/>
        <v>1.724637681</v>
      </c>
      <c r="U333" s="1">
        <f t="shared" si="19"/>
        <v>0</v>
      </c>
      <c r="V333" s="3">
        <f t="shared" si="20"/>
        <v>1</v>
      </c>
      <c r="W333" s="3" t="str">
        <f>IFERROR(__xludf.DUMMYFUNCTION("split(B333,"" "")"),"A.")</f>
        <v>A.</v>
      </c>
      <c r="X333" s="3" t="str">
        <f>IFERROR(__xludf.DUMMYFUNCTION("""COMPUTED_VALUE"""),"Cooper")</f>
        <v>Cooper</v>
      </c>
      <c r="Z333" s="3">
        <v>3.0</v>
      </c>
      <c r="AA333" s="3">
        <f t="shared" si="21"/>
        <v>0</v>
      </c>
      <c r="AB333" s="3">
        <f t="shared" si="22"/>
        <v>1</v>
      </c>
      <c r="AC333" s="3">
        <f t="shared" si="23"/>
        <v>0.7246376812</v>
      </c>
      <c r="AD333" s="3">
        <f t="shared" si="24"/>
        <v>0.7246376812</v>
      </c>
    </row>
    <row r="334">
      <c r="A334" s="1" t="s">
        <v>11</v>
      </c>
      <c r="B334" s="1" t="s">
        <v>442</v>
      </c>
      <c r="C334" s="1" t="s">
        <v>18</v>
      </c>
      <c r="D334" s="1" t="s">
        <v>89</v>
      </c>
      <c r="E334" s="1" t="s">
        <v>93</v>
      </c>
      <c r="F334" s="1" t="s">
        <v>455</v>
      </c>
      <c r="G334" s="1">
        <v>59.5</v>
      </c>
      <c r="H334" s="1" t="s">
        <v>60</v>
      </c>
      <c r="I334" s="1">
        <v>-119.0</v>
      </c>
      <c r="J334" s="1">
        <v>-0.0729965212741154</v>
      </c>
      <c r="K334" s="1" t="s">
        <v>61</v>
      </c>
      <c r="L334" s="1" t="s">
        <v>61</v>
      </c>
      <c r="M334" s="1" t="s">
        <v>62</v>
      </c>
      <c r="N334" s="1">
        <v>-110.0</v>
      </c>
      <c r="O334" s="1">
        <v>0.00578013151918854</v>
      </c>
      <c r="P334" s="1" t="s">
        <v>61</v>
      </c>
      <c r="Q334" s="1" t="s">
        <v>61</v>
      </c>
      <c r="R334" s="1">
        <f t="shared" si="17"/>
        <v>0.005780131519</v>
      </c>
      <c r="S334" s="1">
        <f t="shared" si="18"/>
        <v>-110</v>
      </c>
      <c r="T334" s="1">
        <f t="shared" si="1"/>
        <v>1.909090909</v>
      </c>
      <c r="U334" s="1">
        <f t="shared" si="19"/>
        <v>0</v>
      </c>
      <c r="V334" s="3">
        <f t="shared" si="20"/>
        <v>1</v>
      </c>
      <c r="W334" s="3" t="str">
        <f>IFERROR(__xludf.DUMMYFUNCTION("split(B334,"" "")"),"A.")</f>
        <v>A.</v>
      </c>
      <c r="X334" s="3" t="str">
        <f>IFERROR(__xludf.DUMMYFUNCTION("""COMPUTED_VALUE"""),"Cooper")</f>
        <v>Cooper</v>
      </c>
      <c r="Z334" s="3">
        <v>11.0</v>
      </c>
      <c r="AA334" s="3">
        <f t="shared" si="21"/>
        <v>0</v>
      </c>
      <c r="AB334" s="3">
        <f t="shared" si="22"/>
        <v>1</v>
      </c>
      <c r="AC334" s="3">
        <f t="shared" si="23"/>
        <v>0.9090909091</v>
      </c>
      <c r="AD334" s="3">
        <f t="shared" si="24"/>
        <v>0.9090909091</v>
      </c>
    </row>
    <row r="335">
      <c r="A335" s="1" t="s">
        <v>8</v>
      </c>
      <c r="B335" s="1" t="s">
        <v>324</v>
      </c>
      <c r="C335" s="1" t="s">
        <v>19</v>
      </c>
      <c r="D335" s="1" t="s">
        <v>89</v>
      </c>
      <c r="E335" s="1" t="s">
        <v>93</v>
      </c>
      <c r="F335" s="1" t="s">
        <v>455</v>
      </c>
      <c r="G335" s="1">
        <v>13.5</v>
      </c>
      <c r="H335" s="1" t="s">
        <v>60</v>
      </c>
      <c r="I335" s="1">
        <v>-115.0</v>
      </c>
      <c r="J335" s="1">
        <v>-0.0702798265953489</v>
      </c>
      <c r="K335" s="1" t="s">
        <v>61</v>
      </c>
      <c r="L335" s="1" t="s">
        <v>61</v>
      </c>
      <c r="M335" s="1" t="s">
        <v>62</v>
      </c>
      <c r="N335" s="1">
        <v>-115.0</v>
      </c>
      <c r="O335" s="1">
        <v>5.11800584651056E-4</v>
      </c>
      <c r="P335" s="1" t="s">
        <v>61</v>
      </c>
      <c r="Q335" s="1" t="s">
        <v>61</v>
      </c>
      <c r="R335" s="1">
        <f t="shared" si="17"/>
        <v>0.0005118005847</v>
      </c>
      <c r="S335" s="1">
        <f t="shared" si="18"/>
        <v>-115</v>
      </c>
      <c r="T335" s="1">
        <f t="shared" si="1"/>
        <v>1.869565217</v>
      </c>
      <c r="U335" s="1">
        <f t="shared" si="19"/>
        <v>0</v>
      </c>
      <c r="V335" s="3">
        <f t="shared" si="20"/>
        <v>1</v>
      </c>
      <c r="W335" s="3" t="str">
        <f>IFERROR(__xludf.DUMMYFUNCTION("split(B335,"" "")"),"J.")</f>
        <v>J.</v>
      </c>
      <c r="X335" s="3" t="str">
        <f>IFERROR(__xludf.DUMMYFUNCTION("""COMPUTED_VALUE"""),"Ford")</f>
        <v>Ford</v>
      </c>
      <c r="Z335" s="3">
        <v>7.0</v>
      </c>
      <c r="AA335" s="3">
        <f t="shared" si="21"/>
        <v>0</v>
      </c>
      <c r="AB335" s="3">
        <f t="shared" si="22"/>
        <v>1</v>
      </c>
      <c r="AC335" s="3">
        <f t="shared" si="23"/>
        <v>0.8695652174</v>
      </c>
      <c r="AD335" s="3">
        <f t="shared" si="24"/>
        <v>0.8695652174</v>
      </c>
    </row>
    <row r="336">
      <c r="A336" s="1" t="s">
        <v>12</v>
      </c>
      <c r="B336" s="1" t="s">
        <v>463</v>
      </c>
      <c r="C336" s="1" t="s">
        <v>18</v>
      </c>
      <c r="D336" s="1" t="s">
        <v>88</v>
      </c>
      <c r="E336" s="1" t="s">
        <v>58</v>
      </c>
      <c r="F336" s="1" t="s">
        <v>455</v>
      </c>
      <c r="G336" s="1">
        <v>3.5</v>
      </c>
      <c r="H336" s="1" t="s">
        <v>60</v>
      </c>
      <c r="I336" s="1">
        <v>-144.0</v>
      </c>
      <c r="J336" s="1">
        <v>-0.201304918032786</v>
      </c>
      <c r="K336" s="1" t="s">
        <v>61</v>
      </c>
      <c r="L336" s="1" t="s">
        <v>61</v>
      </c>
      <c r="M336" s="1" t="s">
        <v>62</v>
      </c>
      <c r="N336" s="1">
        <v>110.0</v>
      </c>
      <c r="O336" s="1">
        <v>0.134957142857142</v>
      </c>
      <c r="P336" s="1" t="s">
        <v>61</v>
      </c>
      <c r="Q336" s="1" t="s">
        <v>61</v>
      </c>
      <c r="R336" s="1">
        <f t="shared" si="17"/>
        <v>0.1349571429</v>
      </c>
      <c r="S336" s="1">
        <f t="shared" si="18"/>
        <v>110</v>
      </c>
      <c r="T336" s="1">
        <f t="shared" si="1"/>
        <v>2.1</v>
      </c>
      <c r="U336" s="1">
        <f t="shared" si="19"/>
        <v>0</v>
      </c>
      <c r="V336" s="3">
        <f t="shared" si="20"/>
        <v>3</v>
      </c>
      <c r="W336" s="3" t="str">
        <f>IFERROR(__xludf.DUMMYFUNCTION("split(B336,"" "")"),"B.")</f>
        <v>B.</v>
      </c>
      <c r="X336" s="3" t="str">
        <f>IFERROR(__xludf.DUMMYFUNCTION("""COMPUTED_VALUE"""),"Cooks")</f>
        <v>Cooks</v>
      </c>
      <c r="Z336" s="3">
        <v>2.0</v>
      </c>
      <c r="AA336" s="3">
        <f t="shared" si="21"/>
        <v>0</v>
      </c>
      <c r="AB336" s="3">
        <f t="shared" si="22"/>
        <v>1</v>
      </c>
      <c r="AC336" s="3">
        <f t="shared" si="23"/>
        <v>3.3</v>
      </c>
      <c r="AD336" s="3">
        <f t="shared" si="24"/>
        <v>3.3</v>
      </c>
    </row>
    <row r="337">
      <c r="A337" s="1" t="s">
        <v>8</v>
      </c>
      <c r="B337" s="1" t="s">
        <v>152</v>
      </c>
      <c r="C337" s="1" t="s">
        <v>19</v>
      </c>
      <c r="D337" s="1" t="s">
        <v>88</v>
      </c>
      <c r="E337" s="1" t="s">
        <v>58</v>
      </c>
      <c r="F337" s="1" t="s">
        <v>455</v>
      </c>
      <c r="G337" s="1">
        <v>8.5</v>
      </c>
      <c r="H337" s="1" t="s">
        <v>60</v>
      </c>
      <c r="I337" s="1">
        <v>-118.0</v>
      </c>
      <c r="J337" s="1">
        <v>-0.19563727296863</v>
      </c>
      <c r="K337" s="1" t="s">
        <v>61</v>
      </c>
      <c r="L337" s="1" t="s">
        <v>61</v>
      </c>
      <c r="M337" s="1" t="s">
        <v>62</v>
      </c>
      <c r="N337" s="1">
        <v>-114.0</v>
      </c>
      <c r="O337" s="1">
        <v>0.12163498634656</v>
      </c>
      <c r="P337" s="1" t="s">
        <v>61</v>
      </c>
      <c r="Q337" s="1" t="s">
        <v>61</v>
      </c>
      <c r="R337" s="1">
        <f t="shared" si="17"/>
        <v>0.1216349863</v>
      </c>
      <c r="S337" s="1">
        <f t="shared" si="18"/>
        <v>-114</v>
      </c>
      <c r="T337" s="1">
        <f t="shared" si="1"/>
        <v>1.877192982</v>
      </c>
      <c r="U337" s="1">
        <f t="shared" si="19"/>
        <v>0</v>
      </c>
      <c r="V337" s="3">
        <f t="shared" si="20"/>
        <v>3</v>
      </c>
      <c r="W337" s="3" t="str">
        <f>IFERROR(__xludf.DUMMYFUNCTION("split(B337,"" "")"),"R.")</f>
        <v>R.</v>
      </c>
      <c r="X337" s="3" t="str">
        <f>IFERROR(__xludf.DUMMYFUNCTION("""COMPUTED_VALUE"""),"Dowdle")</f>
        <v>Dowdle</v>
      </c>
      <c r="Z337" s="3">
        <v>7.0</v>
      </c>
      <c r="AA337" s="3">
        <f t="shared" si="21"/>
        <v>0</v>
      </c>
      <c r="AB337" s="3">
        <f t="shared" si="22"/>
        <v>1</v>
      </c>
      <c r="AC337" s="3">
        <f t="shared" si="23"/>
        <v>2.631578947</v>
      </c>
      <c r="AD337" s="3">
        <f t="shared" si="24"/>
        <v>2.631578947</v>
      </c>
    </row>
    <row r="338">
      <c r="A338" s="1" t="s">
        <v>8</v>
      </c>
      <c r="B338" s="1" t="s">
        <v>251</v>
      </c>
      <c r="C338" s="1" t="s">
        <v>21</v>
      </c>
      <c r="D338" s="1" t="s">
        <v>88</v>
      </c>
      <c r="E338" s="1" t="s">
        <v>58</v>
      </c>
      <c r="F338" s="1" t="s">
        <v>455</v>
      </c>
      <c r="G338" s="1">
        <v>3.5</v>
      </c>
      <c r="H338" s="1" t="s">
        <v>60</v>
      </c>
      <c r="I338" s="1">
        <v>-103.0</v>
      </c>
      <c r="J338" s="1">
        <v>-0.177532421046583</v>
      </c>
      <c r="K338" s="1" t="s">
        <v>61</v>
      </c>
      <c r="L338" s="1" t="s">
        <v>61</v>
      </c>
      <c r="M338" s="1" t="s">
        <v>62</v>
      </c>
      <c r="N338" s="1">
        <v>-128.0</v>
      </c>
      <c r="O338" s="1">
        <v>0.108745790722563</v>
      </c>
      <c r="P338" s="1" t="s">
        <v>61</v>
      </c>
      <c r="Q338" s="1" t="s">
        <v>61</v>
      </c>
      <c r="R338" s="1">
        <f t="shared" si="17"/>
        <v>0.1087457907</v>
      </c>
      <c r="S338" s="1">
        <f t="shared" si="18"/>
        <v>-128</v>
      </c>
      <c r="T338" s="1">
        <f t="shared" si="1"/>
        <v>1.78125</v>
      </c>
      <c r="U338" s="1">
        <f t="shared" si="19"/>
        <v>0</v>
      </c>
      <c r="V338" s="3">
        <f t="shared" si="20"/>
        <v>3</v>
      </c>
      <c r="W338" s="3" t="str">
        <f>IFERROR(__xludf.DUMMYFUNCTION("split(B338,"" "")"),"D.")</f>
        <v>D.</v>
      </c>
      <c r="X338" s="3" t="str">
        <f>IFERROR(__xludf.DUMMYFUNCTION("""COMPUTED_VALUE"""),"Prescott")</f>
        <v>Prescott</v>
      </c>
      <c r="Z338" s="3">
        <v>2.0</v>
      </c>
      <c r="AA338" s="3">
        <f t="shared" si="21"/>
        <v>0</v>
      </c>
      <c r="AB338" s="3">
        <f t="shared" si="22"/>
        <v>1</v>
      </c>
      <c r="AC338" s="3">
        <f t="shared" si="23"/>
        <v>2.34375</v>
      </c>
      <c r="AD338" s="3">
        <f t="shared" si="24"/>
        <v>2.34375</v>
      </c>
    </row>
    <row r="339">
      <c r="A339" s="1" t="s">
        <v>9</v>
      </c>
      <c r="B339" s="1" t="s">
        <v>87</v>
      </c>
      <c r="C339" s="1" t="s">
        <v>18</v>
      </c>
      <c r="D339" s="1" t="s">
        <v>88</v>
      </c>
      <c r="E339" s="1" t="s">
        <v>58</v>
      </c>
      <c r="F339" s="1" t="s">
        <v>455</v>
      </c>
      <c r="G339" s="1">
        <v>22.5</v>
      </c>
      <c r="H339" s="1" t="s">
        <v>60</v>
      </c>
      <c r="I339" s="1">
        <v>-115.0</v>
      </c>
      <c r="J339" s="1">
        <v>0.0965824266046241</v>
      </c>
      <c r="K339" s="1" t="s">
        <v>61</v>
      </c>
      <c r="L339" s="1" t="s">
        <v>61</v>
      </c>
      <c r="M339" s="1" t="s">
        <v>62</v>
      </c>
      <c r="N339" s="1">
        <v>-117.0</v>
      </c>
      <c r="O339" s="1">
        <v>-0.170583499596282</v>
      </c>
      <c r="P339" s="1" t="s">
        <v>61</v>
      </c>
      <c r="Q339" s="1" t="s">
        <v>61</v>
      </c>
      <c r="R339" s="1">
        <f t="shared" si="17"/>
        <v>0.0965824266</v>
      </c>
      <c r="S339" s="1">
        <f t="shared" si="18"/>
        <v>-115</v>
      </c>
      <c r="T339" s="1">
        <f t="shared" si="1"/>
        <v>1.869565217</v>
      </c>
      <c r="U339" s="1">
        <f t="shared" si="19"/>
        <v>1</v>
      </c>
      <c r="V339" s="3">
        <f t="shared" si="20"/>
        <v>2</v>
      </c>
      <c r="W339" s="3" t="str">
        <f>IFERROR(__xludf.DUMMYFUNCTION("split(B339,"" "")"),"J.")</f>
        <v>J.</v>
      </c>
      <c r="X339" s="3" t="str">
        <f>IFERROR(__xludf.DUMMYFUNCTION("""COMPUTED_VALUE"""),"Tolbert")</f>
        <v>Tolbert</v>
      </c>
      <c r="Z339" s="3">
        <v>82.0</v>
      </c>
      <c r="AA339" s="3">
        <f t="shared" si="21"/>
        <v>1</v>
      </c>
      <c r="AB339" s="3">
        <f t="shared" si="22"/>
        <v>1</v>
      </c>
      <c r="AC339" s="3">
        <f t="shared" si="23"/>
        <v>1.739130435</v>
      </c>
      <c r="AD339" s="3">
        <f t="shared" si="24"/>
        <v>1.739130435</v>
      </c>
    </row>
    <row r="340">
      <c r="A340" s="1" t="s">
        <v>8</v>
      </c>
      <c r="B340" s="1" t="s">
        <v>375</v>
      </c>
      <c r="C340" s="1" t="s">
        <v>19</v>
      </c>
      <c r="D340" s="1" t="s">
        <v>88</v>
      </c>
      <c r="E340" s="1" t="s">
        <v>58</v>
      </c>
      <c r="F340" s="1" t="s">
        <v>455</v>
      </c>
      <c r="G340" s="1">
        <v>11.5</v>
      </c>
      <c r="H340" s="1" t="s">
        <v>60</v>
      </c>
      <c r="I340" s="1">
        <v>-104.0</v>
      </c>
      <c r="J340" s="1">
        <v>-0.121201755359117</v>
      </c>
      <c r="K340" s="1" t="s">
        <v>61</v>
      </c>
      <c r="L340" s="1" t="s">
        <v>61</v>
      </c>
      <c r="M340" s="1" t="s">
        <v>62</v>
      </c>
      <c r="N340" s="1">
        <v>-126.0</v>
      </c>
      <c r="O340" s="1">
        <v>0.0538891468916264</v>
      </c>
      <c r="P340" s="1" t="s">
        <v>61</v>
      </c>
      <c r="Q340" s="1" t="s">
        <v>61</v>
      </c>
      <c r="R340" s="1">
        <f t="shared" si="17"/>
        <v>0.05388914689</v>
      </c>
      <c r="S340" s="1">
        <f t="shared" si="18"/>
        <v>-126</v>
      </c>
      <c r="T340" s="1">
        <f t="shared" si="1"/>
        <v>1.793650794</v>
      </c>
      <c r="U340" s="1">
        <f t="shared" si="19"/>
        <v>0</v>
      </c>
      <c r="V340" s="3">
        <f t="shared" si="20"/>
        <v>2</v>
      </c>
      <c r="W340" s="3" t="str">
        <f>IFERROR(__xludf.DUMMYFUNCTION("split(B340,"" "")"),"E.")</f>
        <v>E.</v>
      </c>
      <c r="X340" s="3" t="str">
        <f>IFERROR(__xludf.DUMMYFUNCTION("""COMPUTED_VALUE"""),"Elliott")</f>
        <v>Elliott</v>
      </c>
      <c r="Z340" s="3">
        <v>6.0</v>
      </c>
      <c r="AA340" s="3">
        <f t="shared" si="21"/>
        <v>0</v>
      </c>
      <c r="AB340" s="3">
        <f t="shared" si="22"/>
        <v>1</v>
      </c>
      <c r="AC340" s="3">
        <f t="shared" si="23"/>
        <v>1.587301587</v>
      </c>
      <c r="AD340" s="3">
        <f t="shared" si="24"/>
        <v>1.587301587</v>
      </c>
    </row>
    <row r="341">
      <c r="A341" s="1" t="s">
        <v>12</v>
      </c>
      <c r="B341" s="1" t="s">
        <v>375</v>
      </c>
      <c r="C341" s="1" t="s">
        <v>19</v>
      </c>
      <c r="D341" s="1" t="s">
        <v>88</v>
      </c>
      <c r="E341" s="1" t="s">
        <v>58</v>
      </c>
      <c r="F341" s="1" t="s">
        <v>455</v>
      </c>
      <c r="G341" s="1">
        <v>2.5</v>
      </c>
      <c r="H341" s="1" t="s">
        <v>60</v>
      </c>
      <c r="I341" s="1">
        <v>148.0</v>
      </c>
      <c r="J341" s="1">
        <v>-0.104979370277419</v>
      </c>
      <c r="K341" s="1" t="s">
        <v>61</v>
      </c>
      <c r="L341" s="1" t="s">
        <v>61</v>
      </c>
      <c r="M341" s="1" t="s">
        <v>62</v>
      </c>
      <c r="N341" s="1">
        <v>-196.0</v>
      </c>
      <c r="O341" s="1">
        <v>0.0395972706</v>
      </c>
      <c r="P341" s="1" t="s">
        <v>61</v>
      </c>
      <c r="Q341" s="1" t="s">
        <v>61</v>
      </c>
      <c r="R341" s="1">
        <f t="shared" si="17"/>
        <v>0.0395972706</v>
      </c>
      <c r="S341" s="1">
        <f t="shared" si="18"/>
        <v>-196</v>
      </c>
      <c r="T341" s="1">
        <f t="shared" si="1"/>
        <v>1.510204082</v>
      </c>
      <c r="U341" s="1">
        <f t="shared" si="19"/>
        <v>0</v>
      </c>
      <c r="V341" s="3">
        <f t="shared" si="20"/>
        <v>1</v>
      </c>
      <c r="W341" s="3" t="str">
        <f>IFERROR(__xludf.DUMMYFUNCTION("split(B341,"" "")"),"E.")</f>
        <v>E.</v>
      </c>
      <c r="X341" s="3" t="str">
        <f>IFERROR(__xludf.DUMMYFUNCTION("""COMPUTED_VALUE"""),"Elliott")</f>
        <v>Elliott</v>
      </c>
      <c r="Z341" s="3">
        <v>2.0</v>
      </c>
      <c r="AA341" s="3">
        <f t="shared" si="21"/>
        <v>0</v>
      </c>
      <c r="AB341" s="3">
        <f t="shared" si="22"/>
        <v>1</v>
      </c>
      <c r="AC341" s="3">
        <f t="shared" si="23"/>
        <v>0.5102040816</v>
      </c>
      <c r="AD341" s="3">
        <f t="shared" si="24"/>
        <v>0.5102040816</v>
      </c>
    </row>
    <row r="342">
      <c r="A342" s="1" t="s">
        <v>14</v>
      </c>
      <c r="B342" s="1" t="s">
        <v>251</v>
      </c>
      <c r="C342" s="1" t="s">
        <v>21</v>
      </c>
      <c r="D342" s="1" t="s">
        <v>88</v>
      </c>
      <c r="E342" s="1" t="s">
        <v>58</v>
      </c>
      <c r="F342" s="1" t="s">
        <v>455</v>
      </c>
      <c r="G342" s="1">
        <v>1.5</v>
      </c>
      <c r="H342" s="1" t="s">
        <v>60</v>
      </c>
      <c r="I342" s="1">
        <v>-142.0</v>
      </c>
      <c r="J342" s="1">
        <v>-0.105176859504132</v>
      </c>
      <c r="K342" s="1" t="s">
        <v>61</v>
      </c>
      <c r="L342" s="1" t="s">
        <v>61</v>
      </c>
      <c r="M342" s="1" t="s">
        <v>62</v>
      </c>
      <c r="N342" s="1">
        <v>108.0</v>
      </c>
      <c r="O342" s="1">
        <v>0.0376307692307692</v>
      </c>
      <c r="P342" s="1" t="s">
        <v>61</v>
      </c>
      <c r="Q342" s="1" t="s">
        <v>61</v>
      </c>
      <c r="R342" s="1">
        <f t="shared" si="17"/>
        <v>0.03763076923</v>
      </c>
      <c r="S342" s="1">
        <f t="shared" si="18"/>
        <v>108</v>
      </c>
      <c r="T342" s="1">
        <f t="shared" si="1"/>
        <v>2.08</v>
      </c>
      <c r="U342" s="1">
        <f t="shared" si="19"/>
        <v>0</v>
      </c>
      <c r="V342" s="3">
        <f t="shared" si="20"/>
        <v>1</v>
      </c>
      <c r="W342" s="3" t="str">
        <f>IFERROR(__xludf.DUMMYFUNCTION("split(B342,"" "")"),"D.")</f>
        <v>D.</v>
      </c>
      <c r="X342" s="3" t="str">
        <f>IFERROR(__xludf.DUMMYFUNCTION("""COMPUTED_VALUE"""),"Prescott")</f>
        <v>Prescott</v>
      </c>
      <c r="Z342" s="3">
        <v>1.0</v>
      </c>
      <c r="AA342" s="3">
        <f t="shared" si="21"/>
        <v>0</v>
      </c>
      <c r="AB342" s="3">
        <f t="shared" si="22"/>
        <v>1</v>
      </c>
      <c r="AC342" s="3">
        <f t="shared" si="23"/>
        <v>1.08</v>
      </c>
      <c r="AD342" s="3">
        <f t="shared" si="24"/>
        <v>1.08</v>
      </c>
    </row>
    <row r="343">
      <c r="A343" s="1" t="s">
        <v>9</v>
      </c>
      <c r="B343" s="1" t="s">
        <v>395</v>
      </c>
      <c r="C343" s="1" t="s">
        <v>18</v>
      </c>
      <c r="D343" s="1" t="s">
        <v>88</v>
      </c>
      <c r="E343" s="1" t="s">
        <v>58</v>
      </c>
      <c r="F343" s="1" t="s">
        <v>455</v>
      </c>
      <c r="G343" s="1">
        <v>94.5</v>
      </c>
      <c r="H343" s="1" t="s">
        <v>60</v>
      </c>
      <c r="I343" s="1">
        <v>-117.0</v>
      </c>
      <c r="J343" s="1">
        <v>-0.0975673630618678</v>
      </c>
      <c r="K343" s="1" t="s">
        <v>61</v>
      </c>
      <c r="L343" s="1" t="s">
        <v>61</v>
      </c>
      <c r="M343" s="1" t="s">
        <v>62</v>
      </c>
      <c r="N343" s="1">
        <v>-115.0</v>
      </c>
      <c r="O343" s="1">
        <v>0.0235120533139726</v>
      </c>
      <c r="P343" s="1" t="s">
        <v>61</v>
      </c>
      <c r="Q343" s="1" t="s">
        <v>61</v>
      </c>
      <c r="R343" s="1">
        <f t="shared" si="17"/>
        <v>0.02351205331</v>
      </c>
      <c r="S343" s="1">
        <f t="shared" si="18"/>
        <v>-115</v>
      </c>
      <c r="T343" s="1">
        <f t="shared" si="1"/>
        <v>1.869565217</v>
      </c>
      <c r="U343" s="1">
        <f t="shared" si="19"/>
        <v>0</v>
      </c>
      <c r="V343" s="3">
        <f t="shared" si="20"/>
        <v>1</v>
      </c>
      <c r="W343" s="3" t="str">
        <f>IFERROR(__xludf.DUMMYFUNCTION("split(B343,"" "")"),"C.")</f>
        <v>C.</v>
      </c>
      <c r="X343" s="3" t="str">
        <f>IFERROR(__xludf.DUMMYFUNCTION("""COMPUTED_VALUE"""),"Lamb")</f>
        <v>Lamb</v>
      </c>
      <c r="Z343" s="3">
        <v>90.0</v>
      </c>
      <c r="AA343" s="3">
        <f t="shared" si="21"/>
        <v>0</v>
      </c>
      <c r="AB343" s="3">
        <f t="shared" si="22"/>
        <v>1</v>
      </c>
      <c r="AC343" s="3">
        <f t="shared" si="23"/>
        <v>0.8695652174</v>
      </c>
      <c r="AD343" s="3">
        <f t="shared" si="24"/>
        <v>0.8695652174</v>
      </c>
    </row>
    <row r="344">
      <c r="A344" s="1" t="s">
        <v>10</v>
      </c>
      <c r="B344" s="1" t="s">
        <v>375</v>
      </c>
      <c r="C344" s="1" t="s">
        <v>19</v>
      </c>
      <c r="D344" s="1" t="s">
        <v>88</v>
      </c>
      <c r="E344" s="1" t="s">
        <v>58</v>
      </c>
      <c r="F344" s="1" t="s">
        <v>455</v>
      </c>
      <c r="G344" s="1">
        <v>39.5</v>
      </c>
      <c r="H344" s="1" t="s">
        <v>60</v>
      </c>
      <c r="I344" s="1">
        <v>-119.0</v>
      </c>
      <c r="J344" s="1">
        <v>-0.0912464614031276</v>
      </c>
      <c r="K344" s="1" t="s">
        <v>61</v>
      </c>
      <c r="L344" s="1" t="s">
        <v>61</v>
      </c>
      <c r="M344" s="1" t="s">
        <v>62</v>
      </c>
      <c r="N344" s="1">
        <v>-111.0</v>
      </c>
      <c r="O344" s="1">
        <v>0.0218412807859209</v>
      </c>
      <c r="P344" s="1" t="s">
        <v>61</v>
      </c>
      <c r="Q344" s="1" t="s">
        <v>61</v>
      </c>
      <c r="R344" s="1">
        <f t="shared" si="17"/>
        <v>0.02184128079</v>
      </c>
      <c r="S344" s="1">
        <f t="shared" si="18"/>
        <v>-111</v>
      </c>
      <c r="T344" s="1">
        <f t="shared" si="1"/>
        <v>1.900900901</v>
      </c>
      <c r="U344" s="1">
        <f t="shared" si="19"/>
        <v>0</v>
      </c>
      <c r="V344" s="3">
        <f t="shared" si="20"/>
        <v>1</v>
      </c>
      <c r="W344" s="3" t="str">
        <f>IFERROR(__xludf.DUMMYFUNCTION("split(B344,"" "")"),"E.")</f>
        <v>E.</v>
      </c>
      <c r="X344" s="3" t="str">
        <f>IFERROR(__xludf.DUMMYFUNCTION("""COMPUTED_VALUE"""),"Elliott")</f>
        <v>Elliott</v>
      </c>
      <c r="Z344" s="3">
        <v>16.0</v>
      </c>
      <c r="AA344" s="3">
        <f t="shared" si="21"/>
        <v>0</v>
      </c>
      <c r="AB344" s="3">
        <f t="shared" si="22"/>
        <v>1</v>
      </c>
      <c r="AC344" s="3">
        <f t="shared" si="23"/>
        <v>0.9009009009</v>
      </c>
      <c r="AD344" s="3">
        <f t="shared" si="24"/>
        <v>0.9009009009</v>
      </c>
    </row>
    <row r="345">
      <c r="A345" s="1" t="s">
        <v>11</v>
      </c>
      <c r="B345" s="1" t="s">
        <v>463</v>
      </c>
      <c r="C345" s="1" t="s">
        <v>18</v>
      </c>
      <c r="D345" s="1" t="s">
        <v>88</v>
      </c>
      <c r="E345" s="1" t="s">
        <v>58</v>
      </c>
      <c r="F345" s="1" t="s">
        <v>455</v>
      </c>
      <c r="G345" s="1">
        <v>46.5</v>
      </c>
      <c r="H345" s="1" t="s">
        <v>60</v>
      </c>
      <c r="I345" s="1">
        <v>-113.0</v>
      </c>
      <c r="J345" s="1">
        <v>-0.0885659159501409</v>
      </c>
      <c r="K345" s="1" t="s">
        <v>61</v>
      </c>
      <c r="L345" s="1" t="s">
        <v>61</v>
      </c>
      <c r="M345" s="1" t="s">
        <v>62</v>
      </c>
      <c r="N345" s="1">
        <v>-116.0</v>
      </c>
      <c r="O345" s="1">
        <v>0.0210187511727222</v>
      </c>
      <c r="P345" s="1" t="s">
        <v>61</v>
      </c>
      <c r="Q345" s="1" t="s">
        <v>61</v>
      </c>
      <c r="R345" s="1">
        <f t="shared" si="17"/>
        <v>0.02101875117</v>
      </c>
      <c r="S345" s="1">
        <f t="shared" si="18"/>
        <v>-116</v>
      </c>
      <c r="T345" s="1">
        <f t="shared" si="1"/>
        <v>1.862068966</v>
      </c>
      <c r="U345" s="1">
        <f t="shared" si="19"/>
        <v>0</v>
      </c>
      <c r="V345" s="3">
        <f t="shared" si="20"/>
        <v>1</v>
      </c>
      <c r="W345" s="3" t="str">
        <f>IFERROR(__xludf.DUMMYFUNCTION("split(B345,"" "")"),"B.")</f>
        <v>B.</v>
      </c>
      <c r="X345" s="3" t="str">
        <f>IFERROR(__xludf.DUMMYFUNCTION("""COMPUTED_VALUE"""),"Cooks")</f>
        <v>Cooks</v>
      </c>
      <c r="Z345" s="3">
        <v>19.0</v>
      </c>
      <c r="AA345" s="3">
        <f t="shared" si="21"/>
        <v>0</v>
      </c>
      <c r="AB345" s="3">
        <f t="shared" si="22"/>
        <v>1</v>
      </c>
      <c r="AC345" s="3">
        <f t="shared" si="23"/>
        <v>0.8620689655</v>
      </c>
      <c r="AD345" s="3">
        <f t="shared" si="24"/>
        <v>0.8620689655</v>
      </c>
    </row>
    <row r="346">
      <c r="A346" s="1" t="s">
        <v>11</v>
      </c>
      <c r="B346" s="1" t="s">
        <v>152</v>
      </c>
      <c r="C346" s="1" t="s">
        <v>19</v>
      </c>
      <c r="D346" s="1" t="s">
        <v>88</v>
      </c>
      <c r="E346" s="1" t="s">
        <v>58</v>
      </c>
      <c r="F346" s="1" t="s">
        <v>455</v>
      </c>
      <c r="G346" s="1">
        <v>9.5</v>
      </c>
      <c r="H346" s="1" t="s">
        <v>60</v>
      </c>
      <c r="I346" s="1">
        <v>-108.0</v>
      </c>
      <c r="J346" s="1">
        <v>0.0194569835815648</v>
      </c>
      <c r="K346" s="1" t="s">
        <v>61</v>
      </c>
      <c r="L346" s="1" t="s">
        <v>61</v>
      </c>
      <c r="M346" s="1" t="s">
        <v>62</v>
      </c>
      <c r="N346" s="1">
        <v>-119.0</v>
      </c>
      <c r="O346" s="1">
        <v>-0.0820260848224151</v>
      </c>
      <c r="P346" s="1" t="s">
        <v>61</v>
      </c>
      <c r="Q346" s="1" t="s">
        <v>61</v>
      </c>
      <c r="R346" s="1">
        <f t="shared" si="17"/>
        <v>0.01945698358</v>
      </c>
      <c r="S346" s="1">
        <f t="shared" si="18"/>
        <v>-108</v>
      </c>
      <c r="T346" s="1">
        <f t="shared" si="1"/>
        <v>1.925925926</v>
      </c>
      <c r="U346" s="1">
        <f t="shared" si="19"/>
        <v>1</v>
      </c>
      <c r="V346" s="3">
        <f t="shared" si="20"/>
        <v>1</v>
      </c>
      <c r="W346" s="3" t="str">
        <f>IFERROR(__xludf.DUMMYFUNCTION("split(B346,"" "")"),"R.")</f>
        <v>R.</v>
      </c>
      <c r="X346" s="3" t="str">
        <f>IFERROR(__xludf.DUMMYFUNCTION("""COMPUTED_VALUE"""),"Dowdle")</f>
        <v>Dowdle</v>
      </c>
      <c r="Z346" s="3">
        <v>29.0</v>
      </c>
      <c r="AA346" s="3">
        <f t="shared" si="21"/>
        <v>1</v>
      </c>
      <c r="AB346" s="3">
        <f t="shared" si="22"/>
        <v>1</v>
      </c>
      <c r="AC346" s="3">
        <f t="shared" si="23"/>
        <v>0.9259259259</v>
      </c>
      <c r="AD346" s="3">
        <f t="shared" si="24"/>
        <v>0.9259259259</v>
      </c>
    </row>
    <row r="347">
      <c r="A347" s="1" t="s">
        <v>11</v>
      </c>
      <c r="B347" s="1" t="s">
        <v>375</v>
      </c>
      <c r="C347" s="1" t="s">
        <v>19</v>
      </c>
      <c r="D347" s="1" t="s">
        <v>88</v>
      </c>
      <c r="E347" s="1" t="s">
        <v>58</v>
      </c>
      <c r="F347" s="1" t="s">
        <v>455</v>
      </c>
      <c r="G347" s="1">
        <v>10.5</v>
      </c>
      <c r="H347" s="1" t="s">
        <v>60</v>
      </c>
      <c r="I347" s="1">
        <v>-116.0</v>
      </c>
      <c r="J347" s="1">
        <v>0.0010182455682457</v>
      </c>
      <c r="K347" s="1" t="s">
        <v>61</v>
      </c>
      <c r="L347" s="1" t="s">
        <v>61</v>
      </c>
      <c r="M347" s="1" t="s">
        <v>62</v>
      </c>
      <c r="N347" s="1">
        <v>-113.0</v>
      </c>
      <c r="O347" s="1">
        <v>-0.0685360064708799</v>
      </c>
      <c r="P347" s="1" t="s">
        <v>61</v>
      </c>
      <c r="Q347" s="1" t="s">
        <v>61</v>
      </c>
      <c r="R347" s="1">
        <f t="shared" si="17"/>
        <v>0.001018245568</v>
      </c>
      <c r="S347" s="1">
        <f t="shared" si="18"/>
        <v>-116</v>
      </c>
      <c r="T347" s="1">
        <f t="shared" si="1"/>
        <v>1.862068966</v>
      </c>
      <c r="U347" s="1">
        <f t="shared" si="19"/>
        <v>1</v>
      </c>
      <c r="V347" s="3">
        <f t="shared" si="20"/>
        <v>1</v>
      </c>
      <c r="W347" s="3" t="str">
        <f>IFERROR(__xludf.DUMMYFUNCTION("split(B347,"" "")"),"E.")</f>
        <v>E.</v>
      </c>
      <c r="X347" s="3" t="str">
        <f>IFERROR(__xludf.DUMMYFUNCTION("""COMPUTED_VALUE"""),"Elliott")</f>
        <v>Elliott</v>
      </c>
      <c r="Z347" s="3">
        <v>16.0</v>
      </c>
      <c r="AA347" s="3">
        <f t="shared" si="21"/>
        <v>1</v>
      </c>
      <c r="AB347" s="3">
        <f t="shared" si="22"/>
        <v>1</v>
      </c>
      <c r="AC347" s="3">
        <f t="shared" si="23"/>
        <v>0.8620689655</v>
      </c>
      <c r="AD347" s="3">
        <f t="shared" si="24"/>
        <v>0.8620689655</v>
      </c>
    </row>
    <row r="348">
      <c r="A348" s="1" t="s">
        <v>8</v>
      </c>
      <c r="B348" s="1" t="s">
        <v>464</v>
      </c>
      <c r="C348" s="1" t="s">
        <v>21</v>
      </c>
      <c r="D348" s="1" t="s">
        <v>83</v>
      </c>
      <c r="E348" s="1" t="s">
        <v>110</v>
      </c>
      <c r="F348" s="1" t="s">
        <v>461</v>
      </c>
      <c r="G348" s="1">
        <v>4.5</v>
      </c>
      <c r="H348" s="1" t="s">
        <v>60</v>
      </c>
      <c r="I348" s="1">
        <v>-160.0</v>
      </c>
      <c r="J348" s="1">
        <v>-0.234513137084698</v>
      </c>
      <c r="K348" s="1" t="s">
        <v>61</v>
      </c>
      <c r="L348" s="1" t="s">
        <v>61</v>
      </c>
      <c r="M348" s="1" t="s">
        <v>62</v>
      </c>
      <c r="N348" s="1">
        <v>120.0</v>
      </c>
      <c r="O348" s="1">
        <v>0.164588252918279</v>
      </c>
      <c r="P348" s="1" t="s">
        <v>61</v>
      </c>
      <c r="Q348" s="1" t="s">
        <v>61</v>
      </c>
      <c r="R348" s="1">
        <f t="shared" si="17"/>
        <v>0.1645882529</v>
      </c>
      <c r="S348" s="1">
        <f t="shared" si="18"/>
        <v>120</v>
      </c>
      <c r="T348" s="1">
        <f t="shared" si="1"/>
        <v>2.2</v>
      </c>
      <c r="U348" s="1">
        <f t="shared" si="19"/>
        <v>0</v>
      </c>
      <c r="V348" s="3">
        <f t="shared" si="20"/>
        <v>3</v>
      </c>
      <c r="W348" s="3" t="str">
        <f>IFERROR(__xludf.DUMMYFUNCTION("split(B348,"" "")"),"B.")</f>
        <v>B.</v>
      </c>
      <c r="X348" s="3" t="str">
        <f>IFERROR(__xludf.DUMMYFUNCTION("""COMPUTED_VALUE"""),"Nix")</f>
        <v>Nix</v>
      </c>
      <c r="Z348" s="3">
        <v>4.0</v>
      </c>
      <c r="AA348" s="3">
        <f t="shared" si="21"/>
        <v>0</v>
      </c>
      <c r="AB348" s="3">
        <f t="shared" si="22"/>
        <v>1</v>
      </c>
      <c r="AC348" s="3">
        <f t="shared" si="23"/>
        <v>3.6</v>
      </c>
      <c r="AD348" s="3">
        <f t="shared" si="24"/>
        <v>3.6</v>
      </c>
    </row>
    <row r="349">
      <c r="A349" s="1" t="s">
        <v>13</v>
      </c>
      <c r="B349" s="1" t="s">
        <v>464</v>
      </c>
      <c r="C349" s="1" t="s">
        <v>21</v>
      </c>
      <c r="D349" s="1" t="s">
        <v>83</v>
      </c>
      <c r="E349" s="1" t="s">
        <v>110</v>
      </c>
      <c r="F349" s="1" t="s">
        <v>461</v>
      </c>
      <c r="G349" s="1">
        <v>175.5</v>
      </c>
      <c r="H349" s="1" t="s">
        <v>60</v>
      </c>
      <c r="I349" s="1">
        <v>-117.0</v>
      </c>
      <c r="J349" s="1">
        <v>0.0373833128110598</v>
      </c>
      <c r="K349" s="1" t="s">
        <v>61</v>
      </c>
      <c r="L349" s="1" t="s">
        <v>61</v>
      </c>
      <c r="M349" s="1" t="s">
        <v>62</v>
      </c>
      <c r="N349" s="1">
        <v>-115.0</v>
      </c>
      <c r="O349" s="1">
        <v>-0.111333700986046</v>
      </c>
      <c r="P349" s="1" t="s">
        <v>61</v>
      </c>
      <c r="Q349" s="1" t="s">
        <v>61</v>
      </c>
      <c r="R349" s="1">
        <f t="shared" si="17"/>
        <v>0.03738331281</v>
      </c>
      <c r="S349" s="1">
        <f t="shared" si="18"/>
        <v>-117</v>
      </c>
      <c r="T349" s="1">
        <f t="shared" si="1"/>
        <v>1.854700855</v>
      </c>
      <c r="U349" s="1">
        <f t="shared" si="19"/>
        <v>1</v>
      </c>
      <c r="V349" s="3">
        <f t="shared" si="20"/>
        <v>1</v>
      </c>
      <c r="W349" s="3" t="str">
        <f>IFERROR(__xludf.DUMMYFUNCTION("split(B349,"" "")"),"B.")</f>
        <v>B.</v>
      </c>
      <c r="X349" s="3" t="str">
        <f>IFERROR(__xludf.DUMMYFUNCTION("""COMPUTED_VALUE"""),"Nix")</f>
        <v>Nix</v>
      </c>
      <c r="Z349" s="3">
        <v>246.0</v>
      </c>
      <c r="AA349" s="3">
        <f t="shared" si="21"/>
        <v>1</v>
      </c>
      <c r="AB349" s="3">
        <f t="shared" si="22"/>
        <v>1</v>
      </c>
      <c r="AC349" s="3">
        <f t="shared" si="23"/>
        <v>0.8547008547</v>
      </c>
      <c r="AD349" s="3">
        <f t="shared" si="24"/>
        <v>0.8547008547</v>
      </c>
    </row>
    <row r="350">
      <c r="A350" s="1" t="s">
        <v>14</v>
      </c>
      <c r="B350" s="1" t="s">
        <v>464</v>
      </c>
      <c r="C350" s="1" t="s">
        <v>21</v>
      </c>
      <c r="D350" s="1" t="s">
        <v>83</v>
      </c>
      <c r="E350" s="1" t="s">
        <v>110</v>
      </c>
      <c r="F350" s="1" t="s">
        <v>461</v>
      </c>
      <c r="G350" s="1">
        <v>0.5</v>
      </c>
      <c r="H350" s="1" t="s">
        <v>60</v>
      </c>
      <c r="I350" s="1">
        <v>-157.0</v>
      </c>
      <c r="J350" s="1">
        <v>-0.0953919375486381</v>
      </c>
      <c r="K350" s="1" t="s">
        <v>61</v>
      </c>
      <c r="L350" s="1" t="s">
        <v>61</v>
      </c>
      <c r="M350" s="1" t="s">
        <v>62</v>
      </c>
      <c r="N350" s="1">
        <v>117.0</v>
      </c>
      <c r="O350" s="1">
        <v>0.0236669490783409</v>
      </c>
      <c r="P350" s="1" t="s">
        <v>61</v>
      </c>
      <c r="Q350" s="1" t="s">
        <v>61</v>
      </c>
      <c r="R350" s="1">
        <f t="shared" si="17"/>
        <v>0.02366694908</v>
      </c>
      <c r="S350" s="1">
        <f t="shared" si="18"/>
        <v>117</v>
      </c>
      <c r="T350" s="1">
        <f t="shared" si="1"/>
        <v>2.17</v>
      </c>
      <c r="U350" s="1">
        <f t="shared" si="19"/>
        <v>0</v>
      </c>
      <c r="V350" s="3">
        <f t="shared" si="20"/>
        <v>1</v>
      </c>
      <c r="W350" s="3" t="str">
        <f>IFERROR(__xludf.DUMMYFUNCTION("split(B350,"" "")"),"B.")</f>
        <v>B.</v>
      </c>
      <c r="X350" s="3" t="str">
        <f>IFERROR(__xludf.DUMMYFUNCTION("""COMPUTED_VALUE"""),"Nix")</f>
        <v>Nix</v>
      </c>
      <c r="Z350" s="3">
        <v>0.0</v>
      </c>
      <c r="AA350" s="3">
        <f t="shared" si="21"/>
        <v>0</v>
      </c>
      <c r="AB350" s="3">
        <f t="shared" si="22"/>
        <v>1</v>
      </c>
      <c r="AC350" s="3">
        <f t="shared" si="23"/>
        <v>1.17</v>
      </c>
      <c r="AD350" s="3">
        <f t="shared" si="24"/>
        <v>1.17</v>
      </c>
    </row>
    <row r="351">
      <c r="A351" s="1" t="s">
        <v>10</v>
      </c>
      <c r="B351" s="1" t="s">
        <v>465</v>
      </c>
      <c r="C351" s="1" t="s">
        <v>19</v>
      </c>
      <c r="D351" s="1" t="s">
        <v>83</v>
      </c>
      <c r="E351" s="1" t="s">
        <v>110</v>
      </c>
      <c r="F351" s="1" t="s">
        <v>461</v>
      </c>
      <c r="G351" s="1">
        <v>23.5</v>
      </c>
      <c r="H351" s="1" t="s">
        <v>60</v>
      </c>
      <c r="I351" s="1">
        <v>-118.0</v>
      </c>
      <c r="J351" s="1">
        <v>-0.0940214370255259</v>
      </c>
      <c r="K351" s="1" t="s">
        <v>61</v>
      </c>
      <c r="L351" s="1" t="s">
        <v>61</v>
      </c>
      <c r="M351" s="1" t="s">
        <v>62</v>
      </c>
      <c r="N351" s="1">
        <v>-114.0</v>
      </c>
      <c r="O351" s="1">
        <v>0.0200327267737556</v>
      </c>
      <c r="P351" s="1" t="s">
        <v>61</v>
      </c>
      <c r="Q351" s="1" t="s">
        <v>61</v>
      </c>
      <c r="R351" s="1">
        <f t="shared" si="17"/>
        <v>0.02003272677</v>
      </c>
      <c r="S351" s="1">
        <f t="shared" si="18"/>
        <v>-114</v>
      </c>
      <c r="T351" s="1">
        <f t="shared" si="1"/>
        <v>1.877192982</v>
      </c>
      <c r="U351" s="1">
        <f t="shared" si="19"/>
        <v>0</v>
      </c>
      <c r="V351" s="3">
        <f t="shared" si="20"/>
        <v>1</v>
      </c>
      <c r="W351" s="3" t="str">
        <f>IFERROR(__xludf.DUMMYFUNCTION("split(B351,"" "")"),"J.")</f>
        <v>J.</v>
      </c>
      <c r="X351" s="3" t="str">
        <f>IFERROR(__xludf.DUMMYFUNCTION("""COMPUTED_VALUE"""),"McLaughlin")</f>
        <v>McLaughlin</v>
      </c>
      <c r="Z351" s="3">
        <v>6.0</v>
      </c>
      <c r="AA351" s="3">
        <f t="shared" si="21"/>
        <v>0</v>
      </c>
      <c r="AB351" s="3">
        <f t="shared" si="22"/>
        <v>1</v>
      </c>
      <c r="AC351" s="3">
        <f t="shared" si="23"/>
        <v>0.8771929825</v>
      </c>
      <c r="AD351" s="3">
        <f t="shared" si="24"/>
        <v>0.8771929825</v>
      </c>
    </row>
    <row r="352">
      <c r="A352" s="1" t="s">
        <v>11</v>
      </c>
      <c r="B352" s="1" t="s">
        <v>465</v>
      </c>
      <c r="C352" s="1" t="s">
        <v>19</v>
      </c>
      <c r="D352" s="1" t="s">
        <v>83</v>
      </c>
      <c r="E352" s="1" t="s">
        <v>110</v>
      </c>
      <c r="F352" s="1" t="s">
        <v>461</v>
      </c>
      <c r="G352" s="1">
        <v>17.5</v>
      </c>
      <c r="H352" s="1" t="s">
        <v>60</v>
      </c>
      <c r="I352" s="1">
        <v>-120.0</v>
      </c>
      <c r="J352" s="1">
        <v>-0.0927983800840636</v>
      </c>
      <c r="K352" s="1" t="s">
        <v>61</v>
      </c>
      <c r="L352" s="1" t="s">
        <v>61</v>
      </c>
      <c r="M352" s="1" t="s">
        <v>62</v>
      </c>
      <c r="N352" s="1">
        <v>-113.0</v>
      </c>
      <c r="O352" s="1">
        <v>0.0168848699009306</v>
      </c>
      <c r="P352" s="1" t="s">
        <v>61</v>
      </c>
      <c r="Q352" s="1" t="s">
        <v>61</v>
      </c>
      <c r="R352" s="1">
        <f t="shared" si="17"/>
        <v>0.0168848699</v>
      </c>
      <c r="S352" s="1">
        <f t="shared" si="18"/>
        <v>-113</v>
      </c>
      <c r="T352" s="1">
        <f t="shared" si="1"/>
        <v>1.884955752</v>
      </c>
      <c r="U352" s="1">
        <f t="shared" si="19"/>
        <v>0</v>
      </c>
      <c r="V352" s="3">
        <f t="shared" si="20"/>
        <v>1</v>
      </c>
      <c r="W352" s="3" t="str">
        <f>IFERROR(__xludf.DUMMYFUNCTION("split(B352,"" "")"),"J.")</f>
        <v>J.</v>
      </c>
      <c r="X352" s="3" t="str">
        <f>IFERROR(__xludf.DUMMYFUNCTION("""COMPUTED_VALUE"""),"McLaughlin")</f>
        <v>McLaughlin</v>
      </c>
      <c r="Z352" s="3">
        <v>0.0</v>
      </c>
      <c r="AA352" s="3">
        <f t="shared" si="21"/>
        <v>0</v>
      </c>
      <c r="AB352" s="3">
        <f t="shared" si="22"/>
        <v>1</v>
      </c>
      <c r="AC352" s="3">
        <f t="shared" si="23"/>
        <v>0.8849557522</v>
      </c>
      <c r="AD352" s="3">
        <f t="shared" si="24"/>
        <v>0.8849557522</v>
      </c>
    </row>
    <row r="353">
      <c r="A353" s="1" t="s">
        <v>8</v>
      </c>
      <c r="B353" s="1" t="s">
        <v>446</v>
      </c>
      <c r="C353" s="1" t="s">
        <v>19</v>
      </c>
      <c r="D353" s="1" t="s">
        <v>197</v>
      </c>
      <c r="E353" s="1" t="s">
        <v>113</v>
      </c>
      <c r="F353" s="1" t="s">
        <v>455</v>
      </c>
      <c r="G353" s="1">
        <v>13.5</v>
      </c>
      <c r="H353" s="1" t="s">
        <v>60</v>
      </c>
      <c r="I353" s="1">
        <v>-125.0</v>
      </c>
      <c r="J353" s="1">
        <v>-0.149342548604889</v>
      </c>
      <c r="K353" s="1" t="s">
        <v>61</v>
      </c>
      <c r="L353" s="1" t="s">
        <v>61</v>
      </c>
      <c r="M353" s="1" t="s">
        <v>62</v>
      </c>
      <c r="N353" s="1">
        <v>-105.0</v>
      </c>
      <c r="O353" s="1">
        <v>0.0816051322336829</v>
      </c>
      <c r="P353" s="1" t="s">
        <v>61</v>
      </c>
      <c r="Q353" s="1" t="s">
        <v>61</v>
      </c>
      <c r="R353" s="1">
        <f t="shared" si="17"/>
        <v>0.08160513223</v>
      </c>
      <c r="S353" s="1">
        <f t="shared" si="18"/>
        <v>-105</v>
      </c>
      <c r="T353" s="1">
        <f t="shared" si="1"/>
        <v>1.952380952</v>
      </c>
      <c r="U353" s="1">
        <f t="shared" si="19"/>
        <v>0</v>
      </c>
      <c r="V353" s="3">
        <f t="shared" si="20"/>
        <v>2</v>
      </c>
      <c r="W353" s="3" t="str">
        <f>IFERROR(__xludf.DUMMYFUNCTION("split(B353,"" "")"),"D.")</f>
        <v>D.</v>
      </c>
      <c r="X353" s="3" t="str">
        <f>IFERROR(__xludf.DUMMYFUNCTION("""COMPUTED_VALUE"""),"Montgomery")</f>
        <v>Montgomery</v>
      </c>
      <c r="Z353" s="3">
        <v>11.0</v>
      </c>
      <c r="AA353" s="3">
        <f t="shared" si="21"/>
        <v>0</v>
      </c>
      <c r="AB353" s="3">
        <f t="shared" si="22"/>
        <v>1</v>
      </c>
      <c r="AC353" s="3">
        <f t="shared" si="23"/>
        <v>1.904761905</v>
      </c>
      <c r="AD353" s="3">
        <f t="shared" si="24"/>
        <v>1.904761905</v>
      </c>
    </row>
    <row r="354">
      <c r="A354" s="1" t="s">
        <v>14</v>
      </c>
      <c r="B354" s="1" t="s">
        <v>241</v>
      </c>
      <c r="C354" s="1" t="s">
        <v>21</v>
      </c>
      <c r="D354" s="1" t="s">
        <v>197</v>
      </c>
      <c r="E354" s="1" t="s">
        <v>113</v>
      </c>
      <c r="F354" s="1" t="s">
        <v>455</v>
      </c>
      <c r="G354" s="1">
        <v>1.5</v>
      </c>
      <c r="H354" s="1" t="s">
        <v>60</v>
      </c>
      <c r="I354" s="1">
        <v>-160.0</v>
      </c>
      <c r="J354" s="1">
        <v>-0.143884615384615</v>
      </c>
      <c r="K354" s="1" t="s">
        <v>61</v>
      </c>
      <c r="L354" s="1" t="s">
        <v>61</v>
      </c>
      <c r="M354" s="1" t="s">
        <v>62</v>
      </c>
      <c r="N354" s="1">
        <v>121.0</v>
      </c>
      <c r="O354" s="1">
        <v>0.0760113122171945</v>
      </c>
      <c r="P354" s="1" t="s">
        <v>61</v>
      </c>
      <c r="Q354" s="1" t="s">
        <v>61</v>
      </c>
      <c r="R354" s="1">
        <f t="shared" si="17"/>
        <v>0.07601131222</v>
      </c>
      <c r="S354" s="1">
        <f t="shared" si="18"/>
        <v>121</v>
      </c>
      <c r="T354" s="1">
        <f t="shared" si="1"/>
        <v>2.21</v>
      </c>
      <c r="U354" s="1">
        <f t="shared" si="19"/>
        <v>0</v>
      </c>
      <c r="V354" s="3">
        <f t="shared" si="20"/>
        <v>2</v>
      </c>
      <c r="W354" s="3" t="str">
        <f>IFERROR(__xludf.DUMMYFUNCTION("split(B354,"" "")"),"J.")</f>
        <v>J.</v>
      </c>
      <c r="X354" s="3" t="str">
        <f>IFERROR(__xludf.DUMMYFUNCTION("""COMPUTED_VALUE"""),"Goff")</f>
        <v>Goff</v>
      </c>
      <c r="Z354" s="3">
        <v>0.0</v>
      </c>
      <c r="AA354" s="3">
        <f t="shared" si="21"/>
        <v>0</v>
      </c>
      <c r="AB354" s="3">
        <f t="shared" si="22"/>
        <v>1</v>
      </c>
      <c r="AC354" s="3">
        <f t="shared" si="23"/>
        <v>2.42</v>
      </c>
      <c r="AD354" s="3">
        <f t="shared" si="24"/>
        <v>2.42</v>
      </c>
    </row>
    <row r="355">
      <c r="A355" s="1" t="s">
        <v>12</v>
      </c>
      <c r="B355" s="1" t="s">
        <v>385</v>
      </c>
      <c r="C355" s="1" t="s">
        <v>18</v>
      </c>
      <c r="D355" s="1" t="s">
        <v>197</v>
      </c>
      <c r="E355" s="1" t="s">
        <v>113</v>
      </c>
      <c r="F355" s="1" t="s">
        <v>455</v>
      </c>
      <c r="G355" s="1">
        <v>6.5</v>
      </c>
      <c r="H355" s="1" t="s">
        <v>60</v>
      </c>
      <c r="I355" s="1">
        <v>-142.0</v>
      </c>
      <c r="J355" s="1">
        <v>0.0689818181818181</v>
      </c>
      <c r="K355" s="1" t="s">
        <v>61</v>
      </c>
      <c r="L355" s="1" t="s">
        <v>61</v>
      </c>
      <c r="M355" s="1" t="s">
        <v>62</v>
      </c>
      <c r="N355" s="1">
        <v>109.0</v>
      </c>
      <c r="O355" s="1">
        <v>-0.134221052631579</v>
      </c>
      <c r="P355" s="1" t="s">
        <v>61</v>
      </c>
      <c r="Q355" s="1" t="s">
        <v>61</v>
      </c>
      <c r="R355" s="1">
        <f t="shared" si="17"/>
        <v>0.06898181818</v>
      </c>
      <c r="S355" s="1">
        <f t="shared" si="18"/>
        <v>-142</v>
      </c>
      <c r="T355" s="1">
        <f t="shared" si="1"/>
        <v>1.704225352</v>
      </c>
      <c r="U355" s="1">
        <f t="shared" si="19"/>
        <v>1</v>
      </c>
      <c r="V355" s="3">
        <f t="shared" si="20"/>
        <v>2</v>
      </c>
      <c r="W355" s="3" t="str">
        <f>IFERROR(__xludf.DUMMYFUNCTION("split(B355,"" "")"),"A.")</f>
        <v>A.</v>
      </c>
      <c r="X355" s="3" t="str">
        <f>IFERROR(__xludf.DUMMYFUNCTION("""COMPUTED_VALUE"""),"St.")</f>
        <v>St.</v>
      </c>
      <c r="Y355" s="3" t="str">
        <f>IFERROR(__xludf.DUMMYFUNCTION("""COMPUTED_VALUE"""),"Brown")</f>
        <v>Brown</v>
      </c>
      <c r="Z355" s="3">
        <v>11.0</v>
      </c>
      <c r="AA355" s="3">
        <f t="shared" si="21"/>
        <v>1</v>
      </c>
      <c r="AB355" s="3">
        <f t="shared" si="22"/>
        <v>1</v>
      </c>
      <c r="AC355" s="3">
        <f t="shared" si="23"/>
        <v>1.408450704</v>
      </c>
      <c r="AD355" s="3">
        <f t="shared" si="24"/>
        <v>1.408450704</v>
      </c>
    </row>
    <row r="356">
      <c r="A356" s="1" t="s">
        <v>15</v>
      </c>
      <c r="B356" s="1" t="s">
        <v>241</v>
      </c>
      <c r="C356" s="1" t="s">
        <v>21</v>
      </c>
      <c r="D356" s="1" t="s">
        <v>197</v>
      </c>
      <c r="E356" s="1" t="s">
        <v>113</v>
      </c>
      <c r="F356" s="1" t="s">
        <v>455</v>
      </c>
      <c r="G356" s="1">
        <v>23.5</v>
      </c>
      <c r="H356" s="1" t="s">
        <v>60</v>
      </c>
      <c r="I356" s="1">
        <v>101.0</v>
      </c>
      <c r="J356" s="1">
        <v>0.0315870646766168</v>
      </c>
      <c r="K356" s="1" t="s">
        <v>61</v>
      </c>
      <c r="L356" s="1" t="s">
        <v>61</v>
      </c>
      <c r="M356" s="1" t="s">
        <v>62</v>
      </c>
      <c r="N356" s="1">
        <v>-131.0</v>
      </c>
      <c r="O356" s="1">
        <v>-0.0961861471861471</v>
      </c>
      <c r="P356" s="1" t="s">
        <v>61</v>
      </c>
      <c r="Q356" s="1" t="s">
        <v>61</v>
      </c>
      <c r="R356" s="1">
        <f t="shared" si="17"/>
        <v>0.03158706468</v>
      </c>
      <c r="S356" s="1">
        <f t="shared" si="18"/>
        <v>101</v>
      </c>
      <c r="T356" s="1">
        <f t="shared" si="1"/>
        <v>2.01</v>
      </c>
      <c r="U356" s="1">
        <f t="shared" si="19"/>
        <v>1</v>
      </c>
      <c r="V356" s="3">
        <f t="shared" si="20"/>
        <v>1</v>
      </c>
      <c r="W356" s="3" t="str">
        <f>IFERROR(__xludf.DUMMYFUNCTION("split(B356,"" "")"),"J.")</f>
        <v>J.</v>
      </c>
      <c r="X356" s="3" t="str">
        <f>IFERROR(__xludf.DUMMYFUNCTION("""COMPUTED_VALUE"""),"Goff")</f>
        <v>Goff</v>
      </c>
      <c r="Z356" s="3">
        <v>34.0</v>
      </c>
      <c r="AA356" s="3">
        <f t="shared" si="21"/>
        <v>1</v>
      </c>
      <c r="AB356" s="3">
        <f t="shared" si="22"/>
        <v>1</v>
      </c>
      <c r="AC356" s="3">
        <f t="shared" si="23"/>
        <v>1.01</v>
      </c>
      <c r="AD356" s="3">
        <f t="shared" si="24"/>
        <v>1.01</v>
      </c>
    </row>
    <row r="357">
      <c r="A357" s="1" t="s">
        <v>11</v>
      </c>
      <c r="B357" s="1" t="s">
        <v>393</v>
      </c>
      <c r="C357" s="1" t="s">
        <v>19</v>
      </c>
      <c r="D357" s="1" t="s">
        <v>197</v>
      </c>
      <c r="E357" s="1" t="s">
        <v>113</v>
      </c>
      <c r="F357" s="1" t="s">
        <v>455</v>
      </c>
      <c r="G357" s="1">
        <v>27.5</v>
      </c>
      <c r="H357" s="1" t="s">
        <v>60</v>
      </c>
      <c r="I357" s="1">
        <v>-110.0</v>
      </c>
      <c r="J357" s="1">
        <v>-0.0892583131133428</v>
      </c>
      <c r="K357" s="1" t="s">
        <v>61</v>
      </c>
      <c r="L357" s="1" t="s">
        <v>61</v>
      </c>
      <c r="M357" s="1" t="s">
        <v>62</v>
      </c>
      <c r="N357" s="1">
        <v>-119.0</v>
      </c>
      <c r="O357" s="1">
        <v>0.0221331161964584</v>
      </c>
      <c r="P357" s="1" t="s">
        <v>61</v>
      </c>
      <c r="Q357" s="1" t="s">
        <v>61</v>
      </c>
      <c r="R357" s="1">
        <f t="shared" si="17"/>
        <v>0.0221331162</v>
      </c>
      <c r="S357" s="1">
        <f t="shared" si="18"/>
        <v>-119</v>
      </c>
      <c r="T357" s="1">
        <f t="shared" si="1"/>
        <v>1.840336134</v>
      </c>
      <c r="U357" s="1">
        <f t="shared" si="19"/>
        <v>0</v>
      </c>
      <c r="V357" s="3">
        <f t="shared" si="20"/>
        <v>1</v>
      </c>
      <c r="W357" s="3" t="str">
        <f>IFERROR(__xludf.DUMMYFUNCTION("split(B357,"" "")"),"J.")</f>
        <v>J.</v>
      </c>
      <c r="X357" s="3" t="str">
        <f>IFERROR(__xludf.DUMMYFUNCTION("""COMPUTED_VALUE"""),"Gibbs")</f>
        <v>Gibbs</v>
      </c>
      <c r="Z357" s="3">
        <v>22.0</v>
      </c>
      <c r="AA357" s="3">
        <f t="shared" si="21"/>
        <v>0</v>
      </c>
      <c r="AB357" s="3">
        <f t="shared" si="22"/>
        <v>1</v>
      </c>
      <c r="AC357" s="3">
        <f t="shared" si="23"/>
        <v>0.8403361345</v>
      </c>
      <c r="AD357" s="3">
        <f t="shared" si="24"/>
        <v>0.8403361345</v>
      </c>
    </row>
    <row r="358">
      <c r="A358" s="1" t="s">
        <v>16</v>
      </c>
      <c r="B358" s="1" t="s">
        <v>241</v>
      </c>
      <c r="C358" s="1" t="s">
        <v>21</v>
      </c>
      <c r="D358" s="1" t="s">
        <v>197</v>
      </c>
      <c r="E358" s="1" t="s">
        <v>113</v>
      </c>
      <c r="F358" s="1" t="s">
        <v>455</v>
      </c>
      <c r="G358" s="1">
        <v>35.5</v>
      </c>
      <c r="H358" s="1" t="s">
        <v>60</v>
      </c>
      <c r="I358" s="1">
        <v>101.0</v>
      </c>
      <c r="J358" s="1">
        <v>0.00428733354726351</v>
      </c>
      <c r="K358" s="1" t="s">
        <v>61</v>
      </c>
      <c r="L358" s="1" t="s">
        <v>61</v>
      </c>
      <c r="M358" s="1" t="s">
        <v>62</v>
      </c>
      <c r="N358" s="1">
        <v>-131.0</v>
      </c>
      <c r="O358" s="1">
        <v>-0.0688993681515151</v>
      </c>
      <c r="P358" s="1" t="s">
        <v>61</v>
      </c>
      <c r="Q358" s="1" t="s">
        <v>61</v>
      </c>
      <c r="R358" s="1">
        <f t="shared" si="17"/>
        <v>0.004287333547</v>
      </c>
      <c r="S358" s="1">
        <f t="shared" si="18"/>
        <v>101</v>
      </c>
      <c r="T358" s="1">
        <f t="shared" si="1"/>
        <v>2.01</v>
      </c>
      <c r="U358" s="1">
        <f t="shared" si="19"/>
        <v>1</v>
      </c>
      <c r="V358" s="3">
        <f t="shared" si="20"/>
        <v>1</v>
      </c>
      <c r="W358" s="3" t="str">
        <f>IFERROR(__xludf.DUMMYFUNCTION("split(B358,"" "")"),"J.")</f>
        <v>J.</v>
      </c>
      <c r="X358" s="3" t="str">
        <f>IFERROR(__xludf.DUMMYFUNCTION("""COMPUTED_VALUE"""),"Goff")</f>
        <v>Goff</v>
      </c>
      <c r="Z358" s="3">
        <v>55.0</v>
      </c>
      <c r="AA358" s="3">
        <f t="shared" si="21"/>
        <v>1</v>
      </c>
      <c r="AB358" s="3">
        <f t="shared" si="22"/>
        <v>1</v>
      </c>
      <c r="AC358" s="3">
        <f t="shared" si="23"/>
        <v>1.01</v>
      </c>
      <c r="AD358" s="3">
        <f t="shared" si="24"/>
        <v>1.01</v>
      </c>
    </row>
    <row r="359">
      <c r="A359" s="1" t="s">
        <v>12</v>
      </c>
      <c r="B359" s="1" t="s">
        <v>129</v>
      </c>
      <c r="C359" s="1" t="s">
        <v>18</v>
      </c>
      <c r="D359" s="1" t="s">
        <v>72</v>
      </c>
      <c r="E359" s="1" t="s">
        <v>99</v>
      </c>
      <c r="F359" s="1" t="s">
        <v>460</v>
      </c>
      <c r="G359" s="1">
        <v>3.5</v>
      </c>
      <c r="H359" s="1" t="s">
        <v>60</v>
      </c>
      <c r="I359" s="1">
        <v>-161.0</v>
      </c>
      <c r="J359" s="1">
        <v>-0.225996551724138</v>
      </c>
      <c r="K359" s="1" t="s">
        <v>61</v>
      </c>
      <c r="L359" s="1" t="s">
        <v>61</v>
      </c>
      <c r="M359" s="1" t="s">
        <v>62</v>
      </c>
      <c r="N359" s="1">
        <v>123.0</v>
      </c>
      <c r="O359" s="1">
        <v>0.160714349775784</v>
      </c>
      <c r="P359" s="1" t="s">
        <v>61</v>
      </c>
      <c r="Q359" s="1" t="s">
        <v>61</v>
      </c>
      <c r="R359" s="1">
        <f t="shared" si="17"/>
        <v>0.1607143498</v>
      </c>
      <c r="S359" s="1">
        <f t="shared" si="18"/>
        <v>123</v>
      </c>
      <c r="T359" s="1">
        <f t="shared" si="1"/>
        <v>2.23</v>
      </c>
      <c r="U359" s="1">
        <f t="shared" si="19"/>
        <v>0</v>
      </c>
      <c r="V359" s="3">
        <f t="shared" si="20"/>
        <v>3</v>
      </c>
      <c r="W359" s="3" t="str">
        <f>IFERROR(__xludf.DUMMYFUNCTION("split(B359,"" "")"),"T.")</f>
        <v>T.</v>
      </c>
      <c r="X359" s="3" t="str">
        <f>IFERROR(__xludf.DUMMYFUNCTION("""COMPUTED_VALUE"""),"Dell")</f>
        <v>Dell</v>
      </c>
      <c r="Z359" s="3">
        <v>1.0</v>
      </c>
      <c r="AA359" s="3">
        <f t="shared" si="21"/>
        <v>0</v>
      </c>
      <c r="AB359" s="3">
        <f t="shared" si="22"/>
        <v>1</v>
      </c>
      <c r="AC359" s="3">
        <f t="shared" si="23"/>
        <v>3.69</v>
      </c>
      <c r="AD359" s="3">
        <f t="shared" si="24"/>
        <v>3.69</v>
      </c>
    </row>
    <row r="360">
      <c r="A360" s="1" t="s">
        <v>8</v>
      </c>
      <c r="B360" s="1" t="s">
        <v>369</v>
      </c>
      <c r="C360" s="1" t="s">
        <v>21</v>
      </c>
      <c r="D360" s="1" t="s">
        <v>72</v>
      </c>
      <c r="E360" s="1" t="s">
        <v>99</v>
      </c>
      <c r="F360" s="1" t="s">
        <v>460</v>
      </c>
      <c r="G360" s="1">
        <v>2.5</v>
      </c>
      <c r="H360" s="1" t="s">
        <v>60</v>
      </c>
      <c r="I360" s="1">
        <v>-126.0</v>
      </c>
      <c r="J360" s="1">
        <v>-0.189346315845681</v>
      </c>
      <c r="K360" s="1" t="s">
        <v>61</v>
      </c>
      <c r="L360" s="1" t="s">
        <v>61</v>
      </c>
      <c r="M360" s="1" t="s">
        <v>62</v>
      </c>
      <c r="N360" s="1">
        <v>-105.0</v>
      </c>
      <c r="O360" s="1">
        <v>0.119648637805756</v>
      </c>
      <c r="P360" s="1" t="s">
        <v>61</v>
      </c>
      <c r="Q360" s="1" t="s">
        <v>61</v>
      </c>
      <c r="R360" s="1">
        <f t="shared" si="17"/>
        <v>0.1196486378</v>
      </c>
      <c r="S360" s="1">
        <f t="shared" si="18"/>
        <v>-105</v>
      </c>
      <c r="T360" s="1">
        <f t="shared" si="1"/>
        <v>1.952380952</v>
      </c>
      <c r="U360" s="1">
        <f t="shared" si="19"/>
        <v>0</v>
      </c>
      <c r="V360" s="3">
        <f t="shared" si="20"/>
        <v>3</v>
      </c>
      <c r="W360" s="3" t="str">
        <f>IFERROR(__xludf.DUMMYFUNCTION("split(B360,"" "")"),"C.")</f>
        <v>C.</v>
      </c>
      <c r="X360" s="3" t="str">
        <f>IFERROR(__xludf.DUMMYFUNCTION("""COMPUTED_VALUE"""),"Stroud")</f>
        <v>Stroud</v>
      </c>
      <c r="Z360" s="3">
        <v>1.0</v>
      </c>
      <c r="AA360" s="3">
        <f t="shared" si="21"/>
        <v>0</v>
      </c>
      <c r="AB360" s="3">
        <f t="shared" si="22"/>
        <v>1</v>
      </c>
      <c r="AC360" s="3">
        <f t="shared" si="23"/>
        <v>2.857142857</v>
      </c>
      <c r="AD360" s="3">
        <f t="shared" si="24"/>
        <v>2.857142857</v>
      </c>
    </row>
    <row r="361">
      <c r="A361" s="1" t="s">
        <v>14</v>
      </c>
      <c r="B361" s="1" t="s">
        <v>369</v>
      </c>
      <c r="C361" s="1" t="s">
        <v>21</v>
      </c>
      <c r="D361" s="1" t="s">
        <v>72</v>
      </c>
      <c r="E361" s="1" t="s">
        <v>99</v>
      </c>
      <c r="F361" s="1" t="s">
        <v>460</v>
      </c>
      <c r="G361" s="1">
        <v>1.5</v>
      </c>
      <c r="H361" s="1" t="s">
        <v>60</v>
      </c>
      <c r="I361" s="1">
        <v>-150.0</v>
      </c>
      <c r="J361" s="1">
        <v>-0.15024</v>
      </c>
      <c r="K361" s="1" t="s">
        <v>61</v>
      </c>
      <c r="L361" s="1" t="s">
        <v>61</v>
      </c>
      <c r="M361" s="1" t="s">
        <v>62</v>
      </c>
      <c r="N361" s="1">
        <v>115.0</v>
      </c>
      <c r="O361" s="1">
        <v>0.0851302325581395</v>
      </c>
      <c r="P361" s="1" t="s">
        <v>61</v>
      </c>
      <c r="Q361" s="1" t="s">
        <v>61</v>
      </c>
      <c r="R361" s="1">
        <f t="shared" si="17"/>
        <v>0.08513023256</v>
      </c>
      <c r="S361" s="1">
        <f t="shared" si="18"/>
        <v>115</v>
      </c>
      <c r="T361" s="1">
        <f t="shared" si="1"/>
        <v>2.15</v>
      </c>
      <c r="U361" s="1">
        <f t="shared" si="19"/>
        <v>0</v>
      </c>
      <c r="V361" s="3">
        <f t="shared" si="20"/>
        <v>2</v>
      </c>
      <c r="W361" s="3" t="str">
        <f>IFERROR(__xludf.DUMMYFUNCTION("split(B361,"" "")"),"C.")</f>
        <v>C.</v>
      </c>
      <c r="X361" s="3" t="str">
        <f>IFERROR(__xludf.DUMMYFUNCTION("""COMPUTED_VALUE"""),"Stroud")</f>
        <v>Stroud</v>
      </c>
      <c r="Z361" s="3">
        <v>1.0</v>
      </c>
      <c r="AA361" s="3">
        <f t="shared" si="21"/>
        <v>0</v>
      </c>
      <c r="AB361" s="3">
        <f t="shared" si="22"/>
        <v>1</v>
      </c>
      <c r="AC361" s="3">
        <f t="shared" si="23"/>
        <v>2.3</v>
      </c>
      <c r="AD361" s="3">
        <f t="shared" si="24"/>
        <v>2.3</v>
      </c>
    </row>
    <row r="362">
      <c r="A362" s="1" t="s">
        <v>12</v>
      </c>
      <c r="B362" s="1" t="s">
        <v>310</v>
      </c>
      <c r="C362" s="1" t="s">
        <v>18</v>
      </c>
      <c r="D362" s="1" t="s">
        <v>72</v>
      </c>
      <c r="E362" s="1" t="s">
        <v>99</v>
      </c>
      <c r="F362" s="1" t="s">
        <v>460</v>
      </c>
      <c r="G362" s="1">
        <v>4.5</v>
      </c>
      <c r="H362" s="1" t="s">
        <v>60</v>
      </c>
      <c r="I362" s="1">
        <v>-149.0</v>
      </c>
      <c r="J362" s="1">
        <v>-0.148533734939759</v>
      </c>
      <c r="K362" s="1" t="s">
        <v>61</v>
      </c>
      <c r="L362" s="1" t="s">
        <v>61</v>
      </c>
      <c r="M362" s="1" t="s">
        <v>62</v>
      </c>
      <c r="N362" s="1">
        <v>114.0</v>
      </c>
      <c r="O362" s="1">
        <v>0.0828570093457943</v>
      </c>
      <c r="P362" s="1" t="s">
        <v>61</v>
      </c>
      <c r="Q362" s="1" t="s">
        <v>61</v>
      </c>
      <c r="R362" s="1">
        <f t="shared" si="17"/>
        <v>0.08285700935</v>
      </c>
      <c r="S362" s="1">
        <f t="shared" si="18"/>
        <v>114</v>
      </c>
      <c r="T362" s="1">
        <f t="shared" si="1"/>
        <v>2.14</v>
      </c>
      <c r="U362" s="1">
        <f t="shared" si="19"/>
        <v>0</v>
      </c>
      <c r="V362" s="3">
        <f t="shared" si="20"/>
        <v>2</v>
      </c>
      <c r="W362" s="3" t="str">
        <f>IFERROR(__xludf.DUMMYFUNCTION("split(B362,"" "")"),"S.")</f>
        <v>S.</v>
      </c>
      <c r="X362" s="3" t="str">
        <f>IFERROR(__xludf.DUMMYFUNCTION("""COMPUTED_VALUE"""),"Diggs")</f>
        <v>Diggs</v>
      </c>
      <c r="Z362" s="3">
        <v>4.0</v>
      </c>
      <c r="AA362" s="3">
        <f t="shared" si="21"/>
        <v>0</v>
      </c>
      <c r="AB362" s="3">
        <f t="shared" si="22"/>
        <v>1</v>
      </c>
      <c r="AC362" s="3">
        <f t="shared" si="23"/>
        <v>2.28</v>
      </c>
      <c r="AD362" s="3">
        <f t="shared" si="24"/>
        <v>2.28</v>
      </c>
    </row>
    <row r="363">
      <c r="A363" s="1" t="s">
        <v>9</v>
      </c>
      <c r="B363" s="1" t="s">
        <v>359</v>
      </c>
      <c r="C363" s="1" t="s">
        <v>19</v>
      </c>
      <c r="D363" s="1" t="s">
        <v>72</v>
      </c>
      <c r="E363" s="1" t="s">
        <v>99</v>
      </c>
      <c r="F363" s="1" t="s">
        <v>460</v>
      </c>
      <c r="G363" s="1">
        <v>89.5</v>
      </c>
      <c r="H363" s="1" t="s">
        <v>60</v>
      </c>
      <c r="I363" s="1">
        <v>-115.0</v>
      </c>
      <c r="J363" s="1">
        <v>-0.105181214820936</v>
      </c>
      <c r="K363" s="1" t="s">
        <v>61</v>
      </c>
      <c r="L363" s="1" t="s">
        <v>61</v>
      </c>
      <c r="M363" s="1" t="s">
        <v>62</v>
      </c>
      <c r="N363" s="1">
        <v>-117.0</v>
      </c>
      <c r="O363" s="1">
        <v>0.0312209425333716</v>
      </c>
      <c r="P363" s="1" t="s">
        <v>61</v>
      </c>
      <c r="Q363" s="1" t="s">
        <v>61</v>
      </c>
      <c r="R363" s="1">
        <f t="shared" si="17"/>
        <v>0.03122094253</v>
      </c>
      <c r="S363" s="1">
        <f t="shared" si="18"/>
        <v>-117</v>
      </c>
      <c r="T363" s="1">
        <f t="shared" si="1"/>
        <v>1.854700855</v>
      </c>
      <c r="U363" s="1">
        <f t="shared" si="19"/>
        <v>0</v>
      </c>
      <c r="V363" s="3">
        <f t="shared" si="20"/>
        <v>1</v>
      </c>
      <c r="W363" s="3" t="str">
        <f>IFERROR(__xludf.DUMMYFUNCTION("split(B363,"" "")"),"J.")</f>
        <v>J.</v>
      </c>
      <c r="X363" s="3" t="str">
        <f>IFERROR(__xludf.DUMMYFUNCTION("""COMPUTED_VALUE"""),"Mixon")</f>
        <v>Mixon</v>
      </c>
      <c r="Z363" s="3">
        <v>50.0</v>
      </c>
      <c r="AA363" s="3">
        <f t="shared" si="21"/>
        <v>0</v>
      </c>
      <c r="AB363" s="3">
        <f t="shared" si="22"/>
        <v>1</v>
      </c>
      <c r="AC363" s="3">
        <f t="shared" si="23"/>
        <v>0.8547008547</v>
      </c>
      <c r="AD363" s="3">
        <f t="shared" si="24"/>
        <v>0.8547008547</v>
      </c>
    </row>
    <row r="364">
      <c r="A364" s="1" t="s">
        <v>12</v>
      </c>
      <c r="B364" s="1" t="s">
        <v>410</v>
      </c>
      <c r="C364" s="1" t="s">
        <v>20</v>
      </c>
      <c r="D364" s="1" t="s">
        <v>72</v>
      </c>
      <c r="E364" s="1" t="s">
        <v>99</v>
      </c>
      <c r="F364" s="1" t="s">
        <v>460</v>
      </c>
      <c r="G364" s="1">
        <v>3.5</v>
      </c>
      <c r="H364" s="1" t="s">
        <v>60</v>
      </c>
      <c r="I364" s="1">
        <v>125.0</v>
      </c>
      <c r="J364" s="1">
        <v>-0.0968444444444444</v>
      </c>
      <c r="K364" s="1" t="s">
        <v>61</v>
      </c>
      <c r="L364" s="1" t="s">
        <v>61</v>
      </c>
      <c r="M364" s="1" t="s">
        <v>62</v>
      </c>
      <c r="N364" s="1">
        <v>-165.0</v>
      </c>
      <c r="O364" s="1">
        <v>0.0297584905660377</v>
      </c>
      <c r="P364" s="1" t="s">
        <v>61</v>
      </c>
      <c r="Q364" s="1" t="s">
        <v>61</v>
      </c>
      <c r="R364" s="1">
        <f t="shared" si="17"/>
        <v>0.02975849057</v>
      </c>
      <c r="S364" s="1">
        <f t="shared" si="18"/>
        <v>-165</v>
      </c>
      <c r="T364" s="1">
        <f t="shared" si="1"/>
        <v>1.606060606</v>
      </c>
      <c r="U364" s="1">
        <f t="shared" si="19"/>
        <v>0</v>
      </c>
      <c r="V364" s="3">
        <f t="shared" si="20"/>
        <v>1</v>
      </c>
      <c r="W364" s="3" t="str">
        <f>IFERROR(__xludf.DUMMYFUNCTION("split(B364,"" "")"),"D.")</f>
        <v>D.</v>
      </c>
      <c r="X364" s="3" t="str">
        <f>IFERROR(__xludf.DUMMYFUNCTION("""COMPUTED_VALUE"""),"Schultz")</f>
        <v>Schultz</v>
      </c>
      <c r="Z364" s="3">
        <v>2.0</v>
      </c>
      <c r="AA364" s="3">
        <f t="shared" si="21"/>
        <v>0</v>
      </c>
      <c r="AB364" s="3">
        <f t="shared" si="22"/>
        <v>1</v>
      </c>
      <c r="AC364" s="3">
        <f t="shared" si="23"/>
        <v>0.6060606061</v>
      </c>
      <c r="AD364" s="3">
        <f t="shared" si="24"/>
        <v>0.6060606061</v>
      </c>
    </row>
    <row r="365">
      <c r="A365" s="1" t="s">
        <v>10</v>
      </c>
      <c r="B365" s="1" t="s">
        <v>359</v>
      </c>
      <c r="C365" s="1" t="s">
        <v>19</v>
      </c>
      <c r="D365" s="1" t="s">
        <v>72</v>
      </c>
      <c r="E365" s="1" t="s">
        <v>99</v>
      </c>
      <c r="F365" s="1" t="s">
        <v>460</v>
      </c>
      <c r="G365" s="1">
        <v>67.5</v>
      </c>
      <c r="H365" s="1" t="s">
        <v>60</v>
      </c>
      <c r="I365" s="1">
        <v>-120.0</v>
      </c>
      <c r="J365" s="1">
        <v>-0.095226817755673</v>
      </c>
      <c r="K365" s="1" t="s">
        <v>61</v>
      </c>
      <c r="L365" s="1" t="s">
        <v>61</v>
      </c>
      <c r="M365" s="1" t="s">
        <v>62</v>
      </c>
      <c r="N365" s="1">
        <v>-110.0</v>
      </c>
      <c r="O365" s="1">
        <v>0.0260027028932993</v>
      </c>
      <c r="P365" s="1" t="s">
        <v>61</v>
      </c>
      <c r="Q365" s="1" t="s">
        <v>61</v>
      </c>
      <c r="R365" s="1">
        <f t="shared" si="17"/>
        <v>0.02600270289</v>
      </c>
      <c r="S365" s="1">
        <f t="shared" si="18"/>
        <v>-110</v>
      </c>
      <c r="T365" s="1">
        <f t="shared" si="1"/>
        <v>1.909090909</v>
      </c>
      <c r="U365" s="1">
        <f t="shared" si="19"/>
        <v>0</v>
      </c>
      <c r="V365" s="3">
        <f t="shared" si="20"/>
        <v>1</v>
      </c>
      <c r="W365" s="3" t="str">
        <f>IFERROR(__xludf.DUMMYFUNCTION("split(B365,"" "")"),"J.")</f>
        <v>J.</v>
      </c>
      <c r="X365" s="3" t="str">
        <f>IFERROR(__xludf.DUMMYFUNCTION("""COMPUTED_VALUE"""),"Mixon")</f>
        <v>Mixon</v>
      </c>
      <c r="Z365" s="3">
        <v>25.0</v>
      </c>
      <c r="AA365" s="3">
        <f t="shared" si="21"/>
        <v>0</v>
      </c>
      <c r="AB365" s="3">
        <f t="shared" si="22"/>
        <v>1</v>
      </c>
      <c r="AC365" s="3">
        <f t="shared" si="23"/>
        <v>0.9090909091</v>
      </c>
      <c r="AD365" s="3">
        <f t="shared" si="24"/>
        <v>0.9090909091</v>
      </c>
    </row>
    <row r="366">
      <c r="A366" s="1" t="s">
        <v>11</v>
      </c>
      <c r="B366" s="1" t="s">
        <v>410</v>
      </c>
      <c r="C366" s="1" t="s">
        <v>20</v>
      </c>
      <c r="D366" s="1" t="s">
        <v>72</v>
      </c>
      <c r="E366" s="1" t="s">
        <v>99</v>
      </c>
      <c r="F366" s="1" t="s">
        <v>460</v>
      </c>
      <c r="G366" s="1">
        <v>29.5</v>
      </c>
      <c r="H366" s="1" t="s">
        <v>60</v>
      </c>
      <c r="I366" s="1">
        <v>-115.0</v>
      </c>
      <c r="J366" s="1">
        <v>-0.0830747736346979</v>
      </c>
      <c r="K366" s="1" t="s">
        <v>61</v>
      </c>
      <c r="L366" s="1" t="s">
        <v>61</v>
      </c>
      <c r="M366" s="1" t="s">
        <v>62</v>
      </c>
      <c r="N366" s="1">
        <v>-115.0</v>
      </c>
      <c r="O366" s="1">
        <v>0.0133648493649024</v>
      </c>
      <c r="P366" s="1" t="s">
        <v>61</v>
      </c>
      <c r="Q366" s="1" t="s">
        <v>61</v>
      </c>
      <c r="R366" s="1">
        <f t="shared" si="17"/>
        <v>0.01336484936</v>
      </c>
      <c r="S366" s="1">
        <f t="shared" si="18"/>
        <v>-115</v>
      </c>
      <c r="T366" s="1">
        <f t="shared" si="1"/>
        <v>1.869565217</v>
      </c>
      <c r="U366" s="1">
        <f t="shared" si="19"/>
        <v>0</v>
      </c>
      <c r="V366" s="3">
        <f t="shared" si="20"/>
        <v>1</v>
      </c>
      <c r="W366" s="3" t="str">
        <f>IFERROR(__xludf.DUMMYFUNCTION("split(B366,"" "")"),"D.")</f>
        <v>D.</v>
      </c>
      <c r="X366" s="3" t="str">
        <f>IFERROR(__xludf.DUMMYFUNCTION("""COMPUTED_VALUE"""),"Schultz")</f>
        <v>Schultz</v>
      </c>
      <c r="Z366" s="3">
        <v>21.0</v>
      </c>
      <c r="AA366" s="3">
        <f t="shared" si="21"/>
        <v>0</v>
      </c>
      <c r="AB366" s="3">
        <f t="shared" si="22"/>
        <v>1</v>
      </c>
      <c r="AC366" s="3">
        <f t="shared" si="23"/>
        <v>0.8695652174</v>
      </c>
      <c r="AD366" s="3">
        <f t="shared" si="24"/>
        <v>0.8695652174</v>
      </c>
    </row>
    <row r="367">
      <c r="A367" s="1" t="s">
        <v>13</v>
      </c>
      <c r="B367" s="1" t="s">
        <v>369</v>
      </c>
      <c r="C367" s="1" t="s">
        <v>21</v>
      </c>
      <c r="D367" s="1" t="s">
        <v>72</v>
      </c>
      <c r="E367" s="1" t="s">
        <v>99</v>
      </c>
      <c r="F367" s="1" t="s">
        <v>460</v>
      </c>
      <c r="G367" s="1">
        <v>270.5</v>
      </c>
      <c r="H367" s="1" t="s">
        <v>60</v>
      </c>
      <c r="I367" s="1">
        <v>-115.0</v>
      </c>
      <c r="J367" s="1">
        <v>-0.0808607919697675</v>
      </c>
      <c r="K367" s="1" t="s">
        <v>61</v>
      </c>
      <c r="L367" s="1" t="s">
        <v>61</v>
      </c>
      <c r="M367" s="1" t="s">
        <v>62</v>
      </c>
      <c r="N367" s="1">
        <v>-114.0</v>
      </c>
      <c r="O367" s="1">
        <v>0.013219139672897</v>
      </c>
      <c r="P367" s="1" t="s">
        <v>61</v>
      </c>
      <c r="Q367" s="1" t="s">
        <v>61</v>
      </c>
      <c r="R367" s="1">
        <f t="shared" si="17"/>
        <v>0.01321913967</v>
      </c>
      <c r="S367" s="1">
        <f t="shared" si="18"/>
        <v>-114</v>
      </c>
      <c r="T367" s="1">
        <f t="shared" si="1"/>
        <v>1.877192982</v>
      </c>
      <c r="U367" s="1">
        <f t="shared" si="19"/>
        <v>0</v>
      </c>
      <c r="V367" s="3">
        <f t="shared" si="20"/>
        <v>1</v>
      </c>
      <c r="W367" s="3" t="str">
        <f>IFERROR(__xludf.DUMMYFUNCTION("split(B367,"" "")"),"C.")</f>
        <v>C.</v>
      </c>
      <c r="X367" s="3" t="str">
        <f>IFERROR(__xludf.DUMMYFUNCTION("""COMPUTED_VALUE"""),"Stroud")</f>
        <v>Stroud</v>
      </c>
      <c r="Z367" s="3">
        <v>260.0</v>
      </c>
      <c r="AA367" s="3">
        <f t="shared" si="21"/>
        <v>0</v>
      </c>
      <c r="AB367" s="3">
        <f t="shared" si="22"/>
        <v>1</v>
      </c>
      <c r="AC367" s="3">
        <f t="shared" si="23"/>
        <v>0.8771929825</v>
      </c>
      <c r="AD367" s="3">
        <f t="shared" si="24"/>
        <v>0.8771929825</v>
      </c>
    </row>
    <row r="368">
      <c r="A368" s="1" t="s">
        <v>11</v>
      </c>
      <c r="B368" s="1" t="s">
        <v>310</v>
      </c>
      <c r="C368" s="1" t="s">
        <v>18</v>
      </c>
      <c r="D368" s="1" t="s">
        <v>72</v>
      </c>
      <c r="E368" s="1" t="s">
        <v>99</v>
      </c>
      <c r="F368" s="1" t="s">
        <v>460</v>
      </c>
      <c r="G368" s="1">
        <v>57.5</v>
      </c>
      <c r="H368" s="1" t="s">
        <v>60</v>
      </c>
      <c r="I368" s="1">
        <v>-113.0</v>
      </c>
      <c r="J368" s="1">
        <v>-0.0824666076437083</v>
      </c>
      <c r="K368" s="1" t="s">
        <v>61</v>
      </c>
      <c r="L368" s="1" t="s">
        <v>61</v>
      </c>
      <c r="M368" s="1" t="s">
        <v>62</v>
      </c>
      <c r="N368" s="1">
        <v>-117.0</v>
      </c>
      <c r="O368" s="1">
        <v>0.0127855644607827</v>
      </c>
      <c r="P368" s="1" t="s">
        <v>61</v>
      </c>
      <c r="Q368" s="1" t="s">
        <v>61</v>
      </c>
      <c r="R368" s="1">
        <f t="shared" si="17"/>
        <v>0.01278556446</v>
      </c>
      <c r="S368" s="1">
        <f t="shared" si="18"/>
        <v>-117</v>
      </c>
      <c r="T368" s="1">
        <f t="shared" si="1"/>
        <v>1.854700855</v>
      </c>
      <c r="U368" s="1">
        <f t="shared" si="19"/>
        <v>0</v>
      </c>
      <c r="V368" s="3">
        <f t="shared" si="20"/>
        <v>1</v>
      </c>
      <c r="W368" s="3" t="str">
        <f>IFERROR(__xludf.DUMMYFUNCTION("split(B368,"" "")"),"S.")</f>
        <v>S.</v>
      </c>
      <c r="X368" s="3" t="str">
        <f>IFERROR(__xludf.DUMMYFUNCTION("""COMPUTED_VALUE"""),"Diggs")</f>
        <v>Diggs</v>
      </c>
      <c r="Z368" s="3">
        <v>37.0</v>
      </c>
      <c r="AA368" s="3">
        <f t="shared" si="21"/>
        <v>0</v>
      </c>
      <c r="AB368" s="3">
        <f t="shared" si="22"/>
        <v>1</v>
      </c>
      <c r="AC368" s="3">
        <f t="shared" si="23"/>
        <v>0.8547008547</v>
      </c>
      <c r="AD368" s="3">
        <f t="shared" si="24"/>
        <v>0.8547008547</v>
      </c>
    </row>
    <row r="369">
      <c r="A369" s="1" t="s">
        <v>17</v>
      </c>
      <c r="B369" s="1" t="s">
        <v>369</v>
      </c>
      <c r="C369" s="1" t="s">
        <v>21</v>
      </c>
      <c r="D369" s="1" t="s">
        <v>72</v>
      </c>
      <c r="E369" s="1" t="s">
        <v>99</v>
      </c>
      <c r="F369" s="1" t="s">
        <v>460</v>
      </c>
      <c r="G369" s="1">
        <v>0.5</v>
      </c>
      <c r="H369" s="1" t="s">
        <v>60</v>
      </c>
      <c r="I369" s="1">
        <v>-101.0</v>
      </c>
      <c r="J369" s="1">
        <v>-0.0749875621890547</v>
      </c>
      <c r="K369" s="1" t="s">
        <v>61</v>
      </c>
      <c r="L369" s="1" t="s">
        <v>61</v>
      </c>
      <c r="M369" s="1" t="s">
        <v>62</v>
      </c>
      <c r="N369" s="1">
        <v>-128.0</v>
      </c>
      <c r="O369" s="1">
        <v>0.0110964912280702</v>
      </c>
      <c r="P369" s="1" t="s">
        <v>61</v>
      </c>
      <c r="Q369" s="1" t="s">
        <v>61</v>
      </c>
      <c r="R369" s="1">
        <f t="shared" si="17"/>
        <v>0.01109649123</v>
      </c>
      <c r="S369" s="1">
        <f t="shared" si="18"/>
        <v>-128</v>
      </c>
      <c r="T369" s="1">
        <f t="shared" si="1"/>
        <v>1.78125</v>
      </c>
      <c r="U369" s="1">
        <f t="shared" si="19"/>
        <v>0</v>
      </c>
      <c r="V369" s="3">
        <f t="shared" si="20"/>
        <v>1</v>
      </c>
      <c r="W369" s="3" t="str">
        <f>IFERROR(__xludf.DUMMYFUNCTION("split(B369,"" "")"),"C.")</f>
        <v>C.</v>
      </c>
      <c r="X369" s="3" t="str">
        <f>IFERROR(__xludf.DUMMYFUNCTION("""COMPUTED_VALUE"""),"Stroud")</f>
        <v>Stroud</v>
      </c>
      <c r="Z369" s="3">
        <v>0.0</v>
      </c>
      <c r="AA369" s="3">
        <f t="shared" si="21"/>
        <v>0</v>
      </c>
      <c r="AB369" s="3">
        <f t="shared" si="22"/>
        <v>1</v>
      </c>
      <c r="AC369" s="3">
        <f t="shared" si="23"/>
        <v>0.78125</v>
      </c>
      <c r="AD369" s="3">
        <f t="shared" si="24"/>
        <v>0.78125</v>
      </c>
    </row>
    <row r="370">
      <c r="A370" s="1" t="s">
        <v>11</v>
      </c>
      <c r="B370" s="1" t="s">
        <v>129</v>
      </c>
      <c r="C370" s="1" t="s">
        <v>18</v>
      </c>
      <c r="D370" s="1" t="s">
        <v>72</v>
      </c>
      <c r="E370" s="1" t="s">
        <v>99</v>
      </c>
      <c r="F370" s="1" t="s">
        <v>460</v>
      </c>
      <c r="G370" s="1">
        <v>51.5</v>
      </c>
      <c r="H370" s="1" t="s">
        <v>60</v>
      </c>
      <c r="I370" s="1">
        <v>-121.0</v>
      </c>
      <c r="J370" s="1">
        <v>-0.0718656017245429</v>
      </c>
      <c r="K370" s="1" t="s">
        <v>61</v>
      </c>
      <c r="L370" s="1" t="s">
        <v>61</v>
      </c>
      <c r="M370" s="1" t="s">
        <v>62</v>
      </c>
      <c r="N370" s="1">
        <v>-108.0</v>
      </c>
      <c r="O370" s="1">
        <v>0.00511652533442308</v>
      </c>
      <c r="P370" s="1" t="s">
        <v>61</v>
      </c>
      <c r="Q370" s="1" t="s">
        <v>61</v>
      </c>
      <c r="R370" s="1">
        <f t="shared" si="17"/>
        <v>0.005116525334</v>
      </c>
      <c r="S370" s="1">
        <f t="shared" si="18"/>
        <v>-108</v>
      </c>
      <c r="T370" s="1">
        <f t="shared" si="1"/>
        <v>1.925925926</v>
      </c>
      <c r="U370" s="1">
        <f t="shared" si="19"/>
        <v>0</v>
      </c>
      <c r="V370" s="3">
        <f t="shared" si="20"/>
        <v>1</v>
      </c>
      <c r="W370" s="3" t="str">
        <f>IFERROR(__xludf.DUMMYFUNCTION("split(B370,"" "")"),"T.")</f>
        <v>T.</v>
      </c>
      <c r="X370" s="3" t="str">
        <f>IFERROR(__xludf.DUMMYFUNCTION("""COMPUTED_VALUE"""),"Dell")</f>
        <v>Dell</v>
      </c>
      <c r="Z370" s="3">
        <v>-3.0</v>
      </c>
      <c r="AA370" s="3">
        <f t="shared" si="21"/>
        <v>0</v>
      </c>
      <c r="AB370" s="3">
        <f t="shared" si="22"/>
        <v>1</v>
      </c>
      <c r="AC370" s="3">
        <f t="shared" si="23"/>
        <v>0.9259259259</v>
      </c>
      <c r="AD370" s="3">
        <f t="shared" si="24"/>
        <v>0.9259259259</v>
      </c>
    </row>
    <row r="371">
      <c r="A371" s="1" t="s">
        <v>10</v>
      </c>
      <c r="B371" s="1" t="s">
        <v>200</v>
      </c>
      <c r="C371" s="1" t="s">
        <v>21</v>
      </c>
      <c r="D371" s="1" t="s">
        <v>71</v>
      </c>
      <c r="E371" s="1" t="s">
        <v>157</v>
      </c>
      <c r="F371" s="1" t="s">
        <v>455</v>
      </c>
      <c r="G371" s="1">
        <v>39.5</v>
      </c>
      <c r="H371" s="1" t="s">
        <v>60</v>
      </c>
      <c r="I371" s="1">
        <v>-116.0</v>
      </c>
      <c r="J371" s="1">
        <v>-0.140245662441709</v>
      </c>
      <c r="K371" s="1" t="s">
        <v>61</v>
      </c>
      <c r="L371" s="1" t="s">
        <v>61</v>
      </c>
      <c r="M371" s="1" t="s">
        <v>62</v>
      </c>
      <c r="N371" s="1">
        <v>-116.0</v>
      </c>
      <c r="O371" s="1">
        <v>0.0662036542883824</v>
      </c>
      <c r="P371" s="1" t="s">
        <v>61</v>
      </c>
      <c r="Q371" s="1" t="s">
        <v>61</v>
      </c>
      <c r="R371" s="1">
        <f t="shared" si="17"/>
        <v>0.06620365429</v>
      </c>
      <c r="S371" s="1">
        <f t="shared" si="18"/>
        <v>-116</v>
      </c>
      <c r="T371" s="1">
        <f t="shared" si="1"/>
        <v>1.862068966</v>
      </c>
      <c r="U371" s="1">
        <f t="shared" si="19"/>
        <v>0</v>
      </c>
      <c r="V371" s="3">
        <f t="shared" si="20"/>
        <v>2</v>
      </c>
      <c r="W371" s="3" t="str">
        <f>IFERROR(__xludf.DUMMYFUNCTION("split(B371,"" "")"),"A.")</f>
        <v>A.</v>
      </c>
      <c r="X371" s="3" t="str">
        <f>IFERROR(__xludf.DUMMYFUNCTION("""COMPUTED_VALUE"""),"Richardson")</f>
        <v>Richardson</v>
      </c>
      <c r="Z371" s="3">
        <v>37.0</v>
      </c>
      <c r="AA371" s="3">
        <f t="shared" si="21"/>
        <v>0</v>
      </c>
      <c r="AB371" s="3">
        <f t="shared" si="22"/>
        <v>1</v>
      </c>
      <c r="AC371" s="3">
        <f t="shared" si="23"/>
        <v>1.724137931</v>
      </c>
      <c r="AD371" s="3">
        <f t="shared" si="24"/>
        <v>1.724137931</v>
      </c>
    </row>
    <row r="372">
      <c r="A372" s="1" t="s">
        <v>11</v>
      </c>
      <c r="B372" s="1" t="s">
        <v>391</v>
      </c>
      <c r="C372" s="1" t="s">
        <v>18</v>
      </c>
      <c r="D372" s="1" t="s">
        <v>71</v>
      </c>
      <c r="E372" s="1" t="s">
        <v>157</v>
      </c>
      <c r="F372" s="1" t="s">
        <v>455</v>
      </c>
      <c r="G372" s="1">
        <v>59.5</v>
      </c>
      <c r="H372" s="1" t="s">
        <v>60</v>
      </c>
      <c r="I372" s="1">
        <v>-116.0</v>
      </c>
      <c r="J372" s="1">
        <v>-0.0797992779528822</v>
      </c>
      <c r="K372" s="1" t="s">
        <v>61</v>
      </c>
      <c r="L372" s="1" t="s">
        <v>61</v>
      </c>
      <c r="M372" s="1" t="s">
        <v>62</v>
      </c>
      <c r="N372" s="1">
        <v>-113.0</v>
      </c>
      <c r="O372" s="1">
        <v>0.0122245493330972</v>
      </c>
      <c r="P372" s="1" t="s">
        <v>61</v>
      </c>
      <c r="Q372" s="1" t="s">
        <v>61</v>
      </c>
      <c r="R372" s="1">
        <f t="shared" si="17"/>
        <v>0.01222454933</v>
      </c>
      <c r="S372" s="1">
        <f t="shared" si="18"/>
        <v>-113</v>
      </c>
      <c r="T372" s="1">
        <f t="shared" si="1"/>
        <v>1.884955752</v>
      </c>
      <c r="U372" s="1">
        <f t="shared" si="19"/>
        <v>0</v>
      </c>
      <c r="V372" s="3">
        <f t="shared" si="20"/>
        <v>1</v>
      </c>
      <c r="W372" s="3" t="str">
        <f>IFERROR(__xludf.DUMMYFUNCTION("split(B372,"" "")"),"M.")</f>
        <v>M.</v>
      </c>
      <c r="X372" s="3" t="str">
        <f>IFERROR(__xludf.DUMMYFUNCTION("""COMPUTED_VALUE"""),"Pittman")</f>
        <v>Pittman</v>
      </c>
      <c r="Y372" s="3" t="str">
        <f>IFERROR(__xludf.DUMMYFUNCTION("""COMPUTED_VALUE"""),"Jr.")</f>
        <v>Jr.</v>
      </c>
      <c r="Z372" s="3">
        <v>21.0</v>
      </c>
      <c r="AA372" s="3">
        <f t="shared" si="21"/>
        <v>0</v>
      </c>
      <c r="AB372" s="3">
        <f t="shared" si="22"/>
        <v>1</v>
      </c>
      <c r="AC372" s="3">
        <f t="shared" si="23"/>
        <v>0.8849557522</v>
      </c>
      <c r="AD372" s="3">
        <f t="shared" si="24"/>
        <v>0.8849557522</v>
      </c>
    </row>
    <row r="373">
      <c r="A373" s="1" t="s">
        <v>8</v>
      </c>
      <c r="B373" s="1" t="s">
        <v>119</v>
      </c>
      <c r="C373" s="1" t="s">
        <v>21</v>
      </c>
      <c r="D373" s="1" t="s">
        <v>93</v>
      </c>
      <c r="E373" s="1" t="s">
        <v>89</v>
      </c>
      <c r="F373" s="1" t="s">
        <v>455</v>
      </c>
      <c r="G373" s="1">
        <v>3.5</v>
      </c>
      <c r="H373" s="1" t="s">
        <v>60</v>
      </c>
      <c r="I373" s="1">
        <v>-128.0</v>
      </c>
      <c r="J373" s="1">
        <v>-0.224953840666618</v>
      </c>
      <c r="K373" s="1" t="s">
        <v>61</v>
      </c>
      <c r="L373" s="1" t="s">
        <v>61</v>
      </c>
      <c r="M373" s="1" t="s">
        <v>62</v>
      </c>
      <c r="N373" s="1">
        <v>-105.0</v>
      </c>
      <c r="O373" s="1">
        <v>0.151346875393113</v>
      </c>
      <c r="P373" s="1" t="s">
        <v>61</v>
      </c>
      <c r="Q373" s="1" t="s">
        <v>61</v>
      </c>
      <c r="R373" s="1">
        <f t="shared" si="17"/>
        <v>0.1513468754</v>
      </c>
      <c r="S373" s="1">
        <f t="shared" si="18"/>
        <v>-105</v>
      </c>
      <c r="T373" s="1">
        <f t="shared" si="1"/>
        <v>1.952380952</v>
      </c>
      <c r="U373" s="1">
        <f t="shared" si="19"/>
        <v>0</v>
      </c>
      <c r="V373" s="3">
        <f t="shared" si="20"/>
        <v>3</v>
      </c>
      <c r="W373" s="3" t="str">
        <f>IFERROR(__xludf.DUMMYFUNCTION("split(B373,"" "")"),"T.")</f>
        <v>T.</v>
      </c>
      <c r="X373" s="3" t="str">
        <f>IFERROR(__xludf.DUMMYFUNCTION("""COMPUTED_VALUE"""),"Lawrence")</f>
        <v>Lawrence</v>
      </c>
      <c r="Z373" s="3">
        <v>2.0</v>
      </c>
      <c r="AA373" s="3">
        <f t="shared" si="21"/>
        <v>0</v>
      </c>
      <c r="AB373" s="3">
        <f t="shared" si="22"/>
        <v>1</v>
      </c>
      <c r="AC373" s="3">
        <f t="shared" si="23"/>
        <v>2.857142857</v>
      </c>
      <c r="AD373" s="3">
        <f t="shared" si="24"/>
        <v>2.857142857</v>
      </c>
    </row>
    <row r="374">
      <c r="A374" s="1" t="s">
        <v>12</v>
      </c>
      <c r="B374" s="1" t="s">
        <v>363</v>
      </c>
      <c r="C374" s="1" t="s">
        <v>20</v>
      </c>
      <c r="D374" s="1" t="s">
        <v>93</v>
      </c>
      <c r="E374" s="1" t="s">
        <v>89</v>
      </c>
      <c r="F374" s="1" t="s">
        <v>455</v>
      </c>
      <c r="G374" s="1">
        <v>4.5</v>
      </c>
      <c r="H374" s="1" t="s">
        <v>60</v>
      </c>
      <c r="I374" s="1">
        <v>-136.0</v>
      </c>
      <c r="J374" s="1">
        <v>-0.126028813559322</v>
      </c>
      <c r="K374" s="1" t="s">
        <v>61</v>
      </c>
      <c r="L374" s="1" t="s">
        <v>61</v>
      </c>
      <c r="M374" s="1" t="s">
        <v>62</v>
      </c>
      <c r="N374" s="1">
        <v>104.0</v>
      </c>
      <c r="O374" s="1">
        <v>0.0595549019607843</v>
      </c>
      <c r="P374" s="1" t="s">
        <v>61</v>
      </c>
      <c r="Q374" s="1" t="s">
        <v>61</v>
      </c>
      <c r="R374" s="1">
        <f t="shared" si="17"/>
        <v>0.05955490196</v>
      </c>
      <c r="S374" s="1">
        <f t="shared" si="18"/>
        <v>104</v>
      </c>
      <c r="T374" s="1">
        <f t="shared" si="1"/>
        <v>2.04</v>
      </c>
      <c r="U374" s="1">
        <f t="shared" si="19"/>
        <v>0</v>
      </c>
      <c r="V374" s="3">
        <f t="shared" si="20"/>
        <v>2</v>
      </c>
      <c r="W374" s="3" t="str">
        <f>IFERROR(__xludf.DUMMYFUNCTION("split(B374,"" "")"),"E.")</f>
        <v>E.</v>
      </c>
      <c r="X374" s="3" t="str">
        <f>IFERROR(__xludf.DUMMYFUNCTION("""COMPUTED_VALUE"""),"Engram")</f>
        <v>Engram</v>
      </c>
      <c r="Z374" s="3">
        <v>0.0</v>
      </c>
      <c r="AA374" s="3">
        <f t="shared" si="21"/>
        <v>0</v>
      </c>
      <c r="AB374" s="3">
        <f t="shared" si="22"/>
        <v>1</v>
      </c>
      <c r="AC374" s="3">
        <f t="shared" si="23"/>
        <v>2.08</v>
      </c>
      <c r="AD374" s="3">
        <f t="shared" si="24"/>
        <v>2.08</v>
      </c>
    </row>
    <row r="375">
      <c r="A375" s="1" t="s">
        <v>12</v>
      </c>
      <c r="B375" s="1" t="s">
        <v>466</v>
      </c>
      <c r="C375" s="1" t="s">
        <v>18</v>
      </c>
      <c r="D375" s="1" t="s">
        <v>93</v>
      </c>
      <c r="E375" s="1" t="s">
        <v>89</v>
      </c>
      <c r="F375" s="1" t="s">
        <v>455</v>
      </c>
      <c r="G375" s="1">
        <v>3.5</v>
      </c>
      <c r="H375" s="1" t="s">
        <v>60</v>
      </c>
      <c r="I375" s="1">
        <v>108.0</v>
      </c>
      <c r="J375" s="1">
        <v>-0.117421153846153</v>
      </c>
      <c r="K375" s="1" t="s">
        <v>61</v>
      </c>
      <c r="L375" s="1" t="s">
        <v>61</v>
      </c>
      <c r="M375" s="1" t="s">
        <v>62</v>
      </c>
      <c r="N375" s="1">
        <v>-138.0</v>
      </c>
      <c r="O375" s="1">
        <v>0.056826050420168</v>
      </c>
      <c r="P375" s="1" t="s">
        <v>61</v>
      </c>
      <c r="Q375" s="1" t="s">
        <v>61</v>
      </c>
      <c r="R375" s="1">
        <f t="shared" si="17"/>
        <v>0.05682605042</v>
      </c>
      <c r="S375" s="1">
        <f t="shared" si="18"/>
        <v>-138</v>
      </c>
      <c r="T375" s="1">
        <f t="shared" si="1"/>
        <v>1.724637681</v>
      </c>
      <c r="U375" s="1">
        <f t="shared" si="19"/>
        <v>0</v>
      </c>
      <c r="V375" s="3">
        <f t="shared" si="20"/>
        <v>2</v>
      </c>
      <c r="W375" s="3" t="str">
        <f>IFERROR(__xludf.DUMMYFUNCTION("split(B375,"" "")"),"B.")</f>
        <v>B.</v>
      </c>
      <c r="X375" s="3" t="str">
        <f>IFERROR(__xludf.DUMMYFUNCTION("""COMPUTED_VALUE"""),"Thomas")</f>
        <v>Thomas</v>
      </c>
      <c r="Y375" s="3" t="str">
        <f>IFERROR(__xludf.DUMMYFUNCTION("""COMPUTED_VALUE"""),"Jr.")</f>
        <v>Jr.</v>
      </c>
      <c r="Z375" s="3">
        <v>2.0</v>
      </c>
      <c r="AA375" s="3">
        <f t="shared" si="21"/>
        <v>0</v>
      </c>
      <c r="AB375" s="3">
        <f t="shared" si="22"/>
        <v>1</v>
      </c>
      <c r="AC375" s="3">
        <f t="shared" si="23"/>
        <v>1.449275362</v>
      </c>
      <c r="AD375" s="3">
        <f t="shared" si="24"/>
        <v>1.449275362</v>
      </c>
    </row>
    <row r="376">
      <c r="A376" s="1" t="s">
        <v>17</v>
      </c>
      <c r="B376" s="1" t="s">
        <v>119</v>
      </c>
      <c r="C376" s="1" t="s">
        <v>21</v>
      </c>
      <c r="D376" s="1" t="s">
        <v>93</v>
      </c>
      <c r="E376" s="1" t="s">
        <v>89</v>
      </c>
      <c r="F376" s="1" t="s">
        <v>455</v>
      </c>
      <c r="G376" s="1">
        <v>0.5</v>
      </c>
      <c r="H376" s="1" t="s">
        <v>60</v>
      </c>
      <c r="I376" s="1">
        <v>-131.0</v>
      </c>
      <c r="J376" s="1">
        <v>-0.110499567099567</v>
      </c>
      <c r="K376" s="1" t="s">
        <v>61</v>
      </c>
      <c r="L376" s="1" t="s">
        <v>61</v>
      </c>
      <c r="M376" s="1" t="s">
        <v>62</v>
      </c>
      <c r="N376" s="1">
        <v>101.0</v>
      </c>
      <c r="O376" s="1">
        <v>0.0458875621890546</v>
      </c>
      <c r="P376" s="1" t="s">
        <v>61</v>
      </c>
      <c r="Q376" s="1" t="s">
        <v>61</v>
      </c>
      <c r="R376" s="1">
        <f t="shared" si="17"/>
        <v>0.04588756219</v>
      </c>
      <c r="S376" s="1">
        <f t="shared" si="18"/>
        <v>101</v>
      </c>
      <c r="T376" s="1">
        <f t="shared" si="1"/>
        <v>2.01</v>
      </c>
      <c r="U376" s="1">
        <f t="shared" si="19"/>
        <v>0</v>
      </c>
      <c r="V376" s="3">
        <f t="shared" si="20"/>
        <v>1</v>
      </c>
      <c r="W376" s="3" t="str">
        <f>IFERROR(__xludf.DUMMYFUNCTION("split(B376,"" "")"),"T.")</f>
        <v>T.</v>
      </c>
      <c r="X376" s="3" t="str">
        <f>IFERROR(__xludf.DUMMYFUNCTION("""COMPUTED_VALUE"""),"Lawrence")</f>
        <v>Lawrence</v>
      </c>
      <c r="Z376" s="3">
        <v>0.0</v>
      </c>
      <c r="AA376" s="3">
        <f t="shared" si="21"/>
        <v>0</v>
      </c>
      <c r="AB376" s="3">
        <f t="shared" si="22"/>
        <v>1</v>
      </c>
      <c r="AC376" s="3">
        <f t="shared" si="23"/>
        <v>1.01</v>
      </c>
      <c r="AD376" s="3">
        <f t="shared" si="24"/>
        <v>1.01</v>
      </c>
    </row>
    <row r="377">
      <c r="A377" s="1" t="s">
        <v>11</v>
      </c>
      <c r="B377" s="1" t="s">
        <v>121</v>
      </c>
      <c r="C377" s="1" t="s">
        <v>18</v>
      </c>
      <c r="D377" s="1" t="s">
        <v>93</v>
      </c>
      <c r="E377" s="1" t="s">
        <v>89</v>
      </c>
      <c r="F377" s="1" t="s">
        <v>455</v>
      </c>
      <c r="G377" s="1">
        <v>48.5</v>
      </c>
      <c r="H377" s="1" t="s">
        <v>60</v>
      </c>
      <c r="I377" s="1">
        <v>-114.0</v>
      </c>
      <c r="J377" s="1">
        <v>-0.103659153749813</v>
      </c>
      <c r="K377" s="1" t="s">
        <v>61</v>
      </c>
      <c r="L377" s="1" t="s">
        <v>61</v>
      </c>
      <c r="M377" s="1" t="s">
        <v>62</v>
      </c>
      <c r="N377" s="1">
        <v>-114.0</v>
      </c>
      <c r="O377" s="1">
        <v>0.038244732483187</v>
      </c>
      <c r="P377" s="1" t="s">
        <v>61</v>
      </c>
      <c r="Q377" s="1" t="s">
        <v>61</v>
      </c>
      <c r="R377" s="1">
        <f t="shared" si="17"/>
        <v>0.03824473248</v>
      </c>
      <c r="S377" s="1">
        <f t="shared" si="18"/>
        <v>-114</v>
      </c>
      <c r="T377" s="1">
        <f t="shared" si="1"/>
        <v>1.877192982</v>
      </c>
      <c r="U377" s="1">
        <f t="shared" si="19"/>
        <v>0</v>
      </c>
      <c r="V377" s="3">
        <f t="shared" si="20"/>
        <v>1</v>
      </c>
      <c r="W377" s="3" t="str">
        <f>IFERROR(__xludf.DUMMYFUNCTION("split(B377,"" "")"),"C.")</f>
        <v>C.</v>
      </c>
      <c r="X377" s="3" t="str">
        <f>IFERROR(__xludf.DUMMYFUNCTION("""COMPUTED_VALUE"""),"Kirk")</f>
        <v>Kirk</v>
      </c>
      <c r="Z377" s="3">
        <v>-1.0</v>
      </c>
      <c r="AA377" s="3">
        <f t="shared" si="21"/>
        <v>0</v>
      </c>
      <c r="AB377" s="3">
        <f t="shared" si="22"/>
        <v>1</v>
      </c>
      <c r="AC377" s="3">
        <f t="shared" si="23"/>
        <v>0.8771929825</v>
      </c>
      <c r="AD377" s="3">
        <f t="shared" si="24"/>
        <v>0.8771929825</v>
      </c>
    </row>
    <row r="378">
      <c r="A378" s="1" t="s">
        <v>12</v>
      </c>
      <c r="B378" s="1" t="s">
        <v>121</v>
      </c>
      <c r="C378" s="1" t="s">
        <v>18</v>
      </c>
      <c r="D378" s="1" t="s">
        <v>93</v>
      </c>
      <c r="E378" s="1" t="s">
        <v>89</v>
      </c>
      <c r="F378" s="1" t="s">
        <v>455</v>
      </c>
      <c r="G378" s="1">
        <v>4.5</v>
      </c>
      <c r="H378" s="1" t="s">
        <v>60</v>
      </c>
      <c r="I378" s="1">
        <v>110.0</v>
      </c>
      <c r="J378" s="1">
        <v>-0.097895238095238</v>
      </c>
      <c r="K378" s="1" t="s">
        <v>61</v>
      </c>
      <c r="L378" s="1" t="s">
        <v>61</v>
      </c>
      <c r="M378" s="1" t="s">
        <v>62</v>
      </c>
      <c r="N378" s="1">
        <v>-144.0</v>
      </c>
      <c r="O378" s="1">
        <v>0.0315540983606557</v>
      </c>
      <c r="P378" s="1" t="s">
        <v>61</v>
      </c>
      <c r="Q378" s="1" t="s">
        <v>61</v>
      </c>
      <c r="R378" s="1">
        <f t="shared" si="17"/>
        <v>0.03155409836</v>
      </c>
      <c r="S378" s="1">
        <f t="shared" si="18"/>
        <v>-144</v>
      </c>
      <c r="T378" s="1">
        <f t="shared" si="1"/>
        <v>1.694444444</v>
      </c>
      <c r="U378" s="1">
        <f t="shared" si="19"/>
        <v>0</v>
      </c>
      <c r="V378" s="3">
        <f t="shared" si="20"/>
        <v>1</v>
      </c>
      <c r="W378" s="3" t="str">
        <f>IFERROR(__xludf.DUMMYFUNCTION("split(B378,"" "")"),"C.")</f>
        <v>C.</v>
      </c>
      <c r="X378" s="3" t="str">
        <f>IFERROR(__xludf.DUMMYFUNCTION("""COMPUTED_VALUE"""),"Kirk")</f>
        <v>Kirk</v>
      </c>
      <c r="Z378" s="3">
        <v>1.0</v>
      </c>
      <c r="AA378" s="3">
        <f t="shared" si="21"/>
        <v>0</v>
      </c>
      <c r="AB378" s="3">
        <f t="shared" si="22"/>
        <v>1</v>
      </c>
      <c r="AC378" s="3">
        <f t="shared" si="23"/>
        <v>0.6944444444</v>
      </c>
      <c r="AD378" s="3">
        <f t="shared" si="24"/>
        <v>0.6944444444</v>
      </c>
    </row>
    <row r="379">
      <c r="A379" s="1" t="s">
        <v>11</v>
      </c>
      <c r="B379" s="1" t="s">
        <v>363</v>
      </c>
      <c r="C379" s="1" t="s">
        <v>20</v>
      </c>
      <c r="D379" s="1" t="s">
        <v>93</v>
      </c>
      <c r="E379" s="1" t="s">
        <v>89</v>
      </c>
      <c r="F379" s="1" t="s">
        <v>455</v>
      </c>
      <c r="G379" s="1">
        <v>42.5</v>
      </c>
      <c r="H379" s="1" t="s">
        <v>60</v>
      </c>
      <c r="I379" s="1">
        <v>-109.0</v>
      </c>
      <c r="J379" s="1">
        <v>-0.0907689088588037</v>
      </c>
      <c r="K379" s="1" t="s">
        <v>61</v>
      </c>
      <c r="L379" s="1" t="s">
        <v>61</v>
      </c>
      <c r="M379" s="1" t="s">
        <v>62</v>
      </c>
      <c r="N379" s="1">
        <v>-120.0</v>
      </c>
      <c r="O379" s="1">
        <v>0.0238288900416363</v>
      </c>
      <c r="P379" s="1" t="s">
        <v>61</v>
      </c>
      <c r="Q379" s="1" t="s">
        <v>61</v>
      </c>
      <c r="R379" s="1">
        <f t="shared" si="17"/>
        <v>0.02382889004</v>
      </c>
      <c r="S379" s="1">
        <f t="shared" si="18"/>
        <v>-120</v>
      </c>
      <c r="T379" s="1">
        <f t="shared" si="1"/>
        <v>1.833333333</v>
      </c>
      <c r="U379" s="1">
        <f t="shared" si="19"/>
        <v>0</v>
      </c>
      <c r="V379" s="3">
        <f t="shared" si="20"/>
        <v>1</v>
      </c>
      <c r="W379" s="3" t="str">
        <f>IFERROR(__xludf.DUMMYFUNCTION("split(B379,"" "")"),"E.")</f>
        <v>E.</v>
      </c>
      <c r="X379" s="3" t="str">
        <f>IFERROR(__xludf.DUMMYFUNCTION("""COMPUTED_VALUE"""),"Engram")</f>
        <v>Engram</v>
      </c>
      <c r="Z379" s="3">
        <v>0.0</v>
      </c>
      <c r="AA379" s="3">
        <f t="shared" si="21"/>
        <v>0</v>
      </c>
      <c r="AB379" s="3">
        <f t="shared" si="22"/>
        <v>1</v>
      </c>
      <c r="AC379" s="3">
        <f t="shared" si="23"/>
        <v>0.8333333333</v>
      </c>
      <c r="AD379" s="3">
        <f t="shared" si="24"/>
        <v>0.8333333333</v>
      </c>
    </row>
    <row r="380">
      <c r="A380" s="1" t="s">
        <v>9</v>
      </c>
      <c r="B380" s="1" t="s">
        <v>467</v>
      </c>
      <c r="C380" s="1" t="s">
        <v>18</v>
      </c>
      <c r="D380" s="1" t="s">
        <v>93</v>
      </c>
      <c r="E380" s="1" t="s">
        <v>89</v>
      </c>
      <c r="F380" s="1" t="s">
        <v>455</v>
      </c>
      <c r="G380" s="1">
        <v>36.5</v>
      </c>
      <c r="H380" s="1" t="s">
        <v>60</v>
      </c>
      <c r="I380" s="1">
        <v>-115.0</v>
      </c>
      <c r="J380" s="1">
        <v>0.0129892175408501</v>
      </c>
      <c r="K380" s="1" t="s">
        <v>61</v>
      </c>
      <c r="L380" s="1" t="s">
        <v>61</v>
      </c>
      <c r="M380" s="1" t="s">
        <v>62</v>
      </c>
      <c r="N380" s="1">
        <v>-118.0</v>
      </c>
      <c r="O380" s="1">
        <v>-0.0891692866518976</v>
      </c>
      <c r="P380" s="1" t="s">
        <v>61</v>
      </c>
      <c r="Q380" s="1" t="s">
        <v>61</v>
      </c>
      <c r="R380" s="1">
        <f t="shared" si="17"/>
        <v>0.01298921754</v>
      </c>
      <c r="S380" s="1">
        <f t="shared" si="18"/>
        <v>-115</v>
      </c>
      <c r="T380" s="1">
        <f t="shared" si="1"/>
        <v>1.869565217</v>
      </c>
      <c r="U380" s="1">
        <f t="shared" si="19"/>
        <v>1</v>
      </c>
      <c r="V380" s="3">
        <f t="shared" si="20"/>
        <v>1</v>
      </c>
      <c r="W380" s="3" t="str">
        <f>IFERROR(__xludf.DUMMYFUNCTION("split(B380,"" "")"),"G.")</f>
        <v>G.</v>
      </c>
      <c r="X380" s="3" t="str">
        <f>IFERROR(__xludf.DUMMYFUNCTION("""COMPUTED_VALUE"""),"Davis")</f>
        <v>Davis</v>
      </c>
      <c r="Z380" s="3">
        <v>43.0</v>
      </c>
      <c r="AA380" s="3">
        <f t="shared" si="21"/>
        <v>1</v>
      </c>
      <c r="AB380" s="3">
        <f t="shared" si="22"/>
        <v>1</v>
      </c>
      <c r="AC380" s="3">
        <f t="shared" si="23"/>
        <v>0.8695652174</v>
      </c>
      <c r="AD380" s="3">
        <f t="shared" si="24"/>
        <v>0.8695652174</v>
      </c>
    </row>
    <row r="381">
      <c r="A381" s="1" t="s">
        <v>15</v>
      </c>
      <c r="B381" s="1" t="s">
        <v>119</v>
      </c>
      <c r="C381" s="1" t="s">
        <v>21</v>
      </c>
      <c r="D381" s="1" t="s">
        <v>93</v>
      </c>
      <c r="E381" s="1" t="s">
        <v>89</v>
      </c>
      <c r="F381" s="1" t="s">
        <v>455</v>
      </c>
      <c r="G381" s="1">
        <v>20.5</v>
      </c>
      <c r="H381" s="1" t="s">
        <v>60</v>
      </c>
      <c r="I381" s="1">
        <v>-129.0</v>
      </c>
      <c r="J381" s="1">
        <v>-0.0781027786462883</v>
      </c>
      <c r="K381" s="1" t="s">
        <v>61</v>
      </c>
      <c r="L381" s="1" t="s">
        <v>61</v>
      </c>
      <c r="M381" s="1" t="s">
        <v>62</v>
      </c>
      <c r="N381" s="1">
        <v>-101.0</v>
      </c>
      <c r="O381" s="1">
        <v>0.0123090978761194</v>
      </c>
      <c r="P381" s="1" t="s">
        <v>61</v>
      </c>
      <c r="Q381" s="1" t="s">
        <v>61</v>
      </c>
      <c r="R381" s="1">
        <f t="shared" si="17"/>
        <v>0.01230909788</v>
      </c>
      <c r="S381" s="1">
        <f t="shared" si="18"/>
        <v>-101</v>
      </c>
      <c r="T381" s="1">
        <f t="shared" si="1"/>
        <v>1.99009901</v>
      </c>
      <c r="U381" s="1">
        <f t="shared" si="19"/>
        <v>0</v>
      </c>
      <c r="V381" s="3">
        <f t="shared" si="20"/>
        <v>1</v>
      </c>
      <c r="W381" s="3" t="str">
        <f>IFERROR(__xludf.DUMMYFUNCTION("split(B381,"" "")"),"T.")</f>
        <v>T.</v>
      </c>
      <c r="X381" s="3" t="str">
        <f>IFERROR(__xludf.DUMMYFUNCTION("""COMPUTED_VALUE"""),"Lawrence")</f>
        <v>Lawrence</v>
      </c>
      <c r="Z381" s="3">
        <v>14.0</v>
      </c>
      <c r="AA381" s="3">
        <f t="shared" si="21"/>
        <v>0</v>
      </c>
      <c r="AB381" s="3">
        <f t="shared" si="22"/>
        <v>1</v>
      </c>
      <c r="AC381" s="3">
        <f t="shared" si="23"/>
        <v>0.9900990099</v>
      </c>
      <c r="AD381" s="3">
        <f t="shared" si="24"/>
        <v>0.9900990099</v>
      </c>
    </row>
    <row r="382">
      <c r="A382" s="1" t="s">
        <v>11</v>
      </c>
      <c r="B382" s="1" t="s">
        <v>92</v>
      </c>
      <c r="C382" s="1" t="s">
        <v>19</v>
      </c>
      <c r="D382" s="1" t="s">
        <v>93</v>
      </c>
      <c r="E382" s="1" t="s">
        <v>89</v>
      </c>
      <c r="F382" s="1" t="s">
        <v>455</v>
      </c>
      <c r="G382" s="1">
        <v>18.5</v>
      </c>
      <c r="H382" s="1" t="s">
        <v>60</v>
      </c>
      <c r="I382" s="1">
        <v>-115.0</v>
      </c>
      <c r="J382" s="1">
        <v>-0.0780175686952931</v>
      </c>
      <c r="K382" s="1" t="s">
        <v>61</v>
      </c>
      <c r="L382" s="1" t="s">
        <v>61</v>
      </c>
      <c r="M382" s="1" t="s">
        <v>62</v>
      </c>
      <c r="N382" s="1">
        <v>-114.0</v>
      </c>
      <c r="O382" s="1">
        <v>0.0104430190991416</v>
      </c>
      <c r="P382" s="1" t="s">
        <v>61</v>
      </c>
      <c r="Q382" s="1" t="s">
        <v>61</v>
      </c>
      <c r="R382" s="1">
        <f t="shared" si="17"/>
        <v>0.0104430191</v>
      </c>
      <c r="S382" s="1">
        <f t="shared" si="18"/>
        <v>-114</v>
      </c>
      <c r="T382" s="1">
        <f t="shared" si="1"/>
        <v>1.877192982</v>
      </c>
      <c r="U382" s="1">
        <f t="shared" si="19"/>
        <v>0</v>
      </c>
      <c r="V382" s="3">
        <f t="shared" si="20"/>
        <v>1</v>
      </c>
      <c r="W382" s="3" t="str">
        <f>IFERROR(__xludf.DUMMYFUNCTION("split(B382,"" "")"),"T.")</f>
        <v>T.</v>
      </c>
      <c r="X382" s="3" t="str">
        <f>IFERROR(__xludf.DUMMYFUNCTION("""COMPUTED_VALUE"""),"Etienne")</f>
        <v>Etienne</v>
      </c>
      <c r="Y382" s="3" t="str">
        <f>IFERROR(__xludf.DUMMYFUNCTION("""COMPUTED_VALUE"""),"Jr.")</f>
        <v>Jr.</v>
      </c>
      <c r="Z382" s="3">
        <v>6.0</v>
      </c>
      <c r="AA382" s="3">
        <f t="shared" si="21"/>
        <v>0</v>
      </c>
      <c r="AB382" s="3">
        <f t="shared" si="22"/>
        <v>1</v>
      </c>
      <c r="AC382" s="3">
        <f t="shared" si="23"/>
        <v>0.8771929825</v>
      </c>
      <c r="AD382" s="3">
        <f t="shared" si="24"/>
        <v>0.8771929825</v>
      </c>
    </row>
    <row r="383">
      <c r="A383" s="1" t="s">
        <v>8</v>
      </c>
      <c r="B383" s="1" t="s">
        <v>92</v>
      </c>
      <c r="C383" s="1" t="s">
        <v>19</v>
      </c>
      <c r="D383" s="1" t="s">
        <v>93</v>
      </c>
      <c r="E383" s="1" t="s">
        <v>89</v>
      </c>
      <c r="F383" s="1" t="s">
        <v>455</v>
      </c>
      <c r="G383" s="1">
        <v>13.5</v>
      </c>
      <c r="H383" s="1" t="s">
        <v>60</v>
      </c>
      <c r="I383" s="1">
        <v>-120.0</v>
      </c>
      <c r="J383" s="1">
        <v>-0.0723049032227272</v>
      </c>
      <c r="K383" s="1" t="s">
        <v>61</v>
      </c>
      <c r="L383" s="1" t="s">
        <v>61</v>
      </c>
      <c r="M383" s="1" t="s">
        <v>62</v>
      </c>
      <c r="N383" s="1">
        <v>-109.0</v>
      </c>
      <c r="O383" s="1">
        <v>0.00531194159239234</v>
      </c>
      <c r="P383" s="1" t="s">
        <v>61</v>
      </c>
      <c r="Q383" s="1" t="s">
        <v>61</v>
      </c>
      <c r="R383" s="1">
        <f t="shared" si="17"/>
        <v>0.005311941592</v>
      </c>
      <c r="S383" s="1">
        <f t="shared" si="18"/>
        <v>-109</v>
      </c>
      <c r="T383" s="1">
        <f t="shared" si="1"/>
        <v>1.917431193</v>
      </c>
      <c r="U383" s="1">
        <f t="shared" si="19"/>
        <v>0</v>
      </c>
      <c r="V383" s="3">
        <f t="shared" si="20"/>
        <v>1</v>
      </c>
      <c r="W383" s="3" t="str">
        <f>IFERROR(__xludf.DUMMYFUNCTION("split(B383,"" "")"),"T.")</f>
        <v>T.</v>
      </c>
      <c r="X383" s="3" t="str">
        <f>IFERROR(__xludf.DUMMYFUNCTION("""COMPUTED_VALUE"""),"Etienne")</f>
        <v>Etienne</v>
      </c>
      <c r="Y383" s="3" t="str">
        <f>IFERROR(__xludf.DUMMYFUNCTION("""COMPUTED_VALUE"""),"Jr.")</f>
        <v>Jr.</v>
      </c>
      <c r="Z383" s="3">
        <v>13.0</v>
      </c>
      <c r="AA383" s="3">
        <f t="shared" si="21"/>
        <v>0</v>
      </c>
      <c r="AB383" s="3">
        <f t="shared" si="22"/>
        <v>1</v>
      </c>
      <c r="AC383" s="3">
        <f t="shared" si="23"/>
        <v>0.9174311927</v>
      </c>
      <c r="AD383" s="3">
        <f t="shared" si="24"/>
        <v>0.9174311927</v>
      </c>
    </row>
    <row r="384">
      <c r="A384" s="1" t="s">
        <v>8</v>
      </c>
      <c r="B384" s="1" t="s">
        <v>75</v>
      </c>
      <c r="C384" s="1" t="s">
        <v>21</v>
      </c>
      <c r="D384" s="1" t="s">
        <v>76</v>
      </c>
      <c r="E384" s="1" t="s">
        <v>67</v>
      </c>
      <c r="F384" s="1" t="s">
        <v>461</v>
      </c>
      <c r="G384" s="1">
        <v>4.5</v>
      </c>
      <c r="H384" s="1" t="s">
        <v>60</v>
      </c>
      <c r="I384" s="1">
        <v>-123.0</v>
      </c>
      <c r="J384" s="1">
        <v>-0.199706364299496</v>
      </c>
      <c r="K384" s="1" t="s">
        <v>61</v>
      </c>
      <c r="L384" s="1" t="s">
        <v>61</v>
      </c>
      <c r="M384" s="1" t="s">
        <v>62</v>
      </c>
      <c r="N384" s="1">
        <v>-108.0</v>
      </c>
      <c r="O384" s="1">
        <v>0.128911907586012</v>
      </c>
      <c r="P384" s="1" t="s">
        <v>61</v>
      </c>
      <c r="Q384" s="1" t="s">
        <v>61</v>
      </c>
      <c r="R384" s="1">
        <f t="shared" si="17"/>
        <v>0.1289119076</v>
      </c>
      <c r="S384" s="1">
        <f t="shared" si="18"/>
        <v>-108</v>
      </c>
      <c r="T384" s="1">
        <f t="shared" si="1"/>
        <v>1.925925926</v>
      </c>
      <c r="U384" s="1">
        <f t="shared" si="19"/>
        <v>0</v>
      </c>
      <c r="V384" s="3">
        <f t="shared" si="20"/>
        <v>3</v>
      </c>
      <c r="W384" s="3" t="str">
        <f>IFERROR(__xludf.DUMMYFUNCTION("split(B384,"" "")"),"P.")</f>
        <v>P.</v>
      </c>
      <c r="X384" s="3" t="str">
        <f>IFERROR(__xludf.DUMMYFUNCTION("""COMPUTED_VALUE"""),"Mahomes")</f>
        <v>Mahomes</v>
      </c>
      <c r="Z384" s="3">
        <v>4.0</v>
      </c>
      <c r="AA384" s="3">
        <f t="shared" si="21"/>
        <v>0</v>
      </c>
      <c r="AB384" s="3">
        <f t="shared" si="22"/>
        <v>1</v>
      </c>
      <c r="AC384" s="3">
        <f t="shared" si="23"/>
        <v>2.777777778</v>
      </c>
      <c r="AD384" s="3">
        <f t="shared" si="24"/>
        <v>2.777777778</v>
      </c>
    </row>
    <row r="385">
      <c r="A385" s="1" t="s">
        <v>12</v>
      </c>
      <c r="B385" s="1" t="s">
        <v>468</v>
      </c>
      <c r="C385" s="1" t="s">
        <v>20</v>
      </c>
      <c r="D385" s="1" t="s">
        <v>76</v>
      </c>
      <c r="E385" s="1" t="s">
        <v>67</v>
      </c>
      <c r="F385" s="1" t="s">
        <v>461</v>
      </c>
      <c r="G385" s="1">
        <v>1.5</v>
      </c>
      <c r="H385" s="1" t="s">
        <v>60</v>
      </c>
      <c r="I385" s="1">
        <v>-111.0</v>
      </c>
      <c r="J385" s="1">
        <v>-0.187859659658767</v>
      </c>
      <c r="K385" s="1" t="s">
        <v>61</v>
      </c>
      <c r="L385" s="1" t="s">
        <v>61</v>
      </c>
      <c r="M385" s="1" t="s">
        <v>62</v>
      </c>
      <c r="N385" s="1">
        <v>-118.0</v>
      </c>
      <c r="O385" s="1">
        <v>0.12050795441211</v>
      </c>
      <c r="P385" s="1" t="s">
        <v>61</v>
      </c>
      <c r="Q385" s="1" t="s">
        <v>61</v>
      </c>
      <c r="R385" s="1">
        <f t="shared" si="17"/>
        <v>0.1205079544</v>
      </c>
      <c r="S385" s="1">
        <f t="shared" si="18"/>
        <v>-118</v>
      </c>
      <c r="T385" s="1">
        <f t="shared" si="1"/>
        <v>1.847457627</v>
      </c>
      <c r="U385" s="1">
        <f t="shared" si="19"/>
        <v>0</v>
      </c>
      <c r="V385" s="3">
        <f t="shared" si="20"/>
        <v>3</v>
      </c>
      <c r="W385" s="3" t="str">
        <f>IFERROR(__xludf.DUMMYFUNCTION("split(B385,"" "")"),"N.")</f>
        <v>N.</v>
      </c>
      <c r="X385" s="3" t="str">
        <f>IFERROR(__xludf.DUMMYFUNCTION("""COMPUTED_VALUE"""),"Gray")</f>
        <v>Gray</v>
      </c>
      <c r="Z385" s="3">
        <v>0.0</v>
      </c>
      <c r="AA385" s="3">
        <f t="shared" si="21"/>
        <v>0</v>
      </c>
      <c r="AB385" s="3">
        <f t="shared" si="22"/>
        <v>1</v>
      </c>
      <c r="AC385" s="3">
        <f t="shared" si="23"/>
        <v>2.542372881</v>
      </c>
      <c r="AD385" s="3">
        <f t="shared" si="24"/>
        <v>2.542372881</v>
      </c>
    </row>
    <row r="386">
      <c r="A386" s="1" t="s">
        <v>9</v>
      </c>
      <c r="B386" s="1" t="s">
        <v>237</v>
      </c>
      <c r="C386" s="1" t="s">
        <v>18</v>
      </c>
      <c r="D386" s="1" t="s">
        <v>76</v>
      </c>
      <c r="E386" s="1" t="s">
        <v>67</v>
      </c>
      <c r="F386" s="1" t="s">
        <v>461</v>
      </c>
      <c r="G386" s="1">
        <v>15.5</v>
      </c>
      <c r="H386" s="1" t="s">
        <v>60</v>
      </c>
      <c r="I386" s="1">
        <v>-120.0</v>
      </c>
      <c r="J386" s="1">
        <v>0.111396424306386</v>
      </c>
      <c r="K386" s="1" t="s">
        <v>61</v>
      </c>
      <c r="L386" s="1" t="s">
        <v>61</v>
      </c>
      <c r="M386" s="1" t="s">
        <v>62</v>
      </c>
      <c r="N386" s="1">
        <v>-110.0</v>
      </c>
      <c r="O386" s="1">
        <v>-0.180668260391169</v>
      </c>
      <c r="P386" s="1" t="s">
        <v>61</v>
      </c>
      <c r="Q386" s="1" t="s">
        <v>61</v>
      </c>
      <c r="R386" s="1">
        <f t="shared" si="17"/>
        <v>0.1113964243</v>
      </c>
      <c r="S386" s="1">
        <f t="shared" si="18"/>
        <v>-120</v>
      </c>
      <c r="T386" s="1">
        <f t="shared" si="1"/>
        <v>1.833333333</v>
      </c>
      <c r="U386" s="1">
        <f t="shared" si="19"/>
        <v>1</v>
      </c>
      <c r="V386" s="3">
        <f t="shared" si="20"/>
        <v>3</v>
      </c>
      <c r="W386" s="3" t="str">
        <f>IFERROR(__xludf.DUMMYFUNCTION("split(B386,"" "")"),"J.")</f>
        <v>J.</v>
      </c>
      <c r="X386" s="3" t="str">
        <f>IFERROR(__xludf.DUMMYFUNCTION("""COMPUTED_VALUE"""),"Watson")</f>
        <v>Watson</v>
      </c>
      <c r="Z386" s="3">
        <v>22.0</v>
      </c>
      <c r="AA386" s="3">
        <f t="shared" si="21"/>
        <v>1</v>
      </c>
      <c r="AB386" s="3">
        <f t="shared" si="22"/>
        <v>1</v>
      </c>
      <c r="AC386" s="3">
        <f t="shared" si="23"/>
        <v>2.5</v>
      </c>
      <c r="AD386" s="3">
        <f t="shared" si="24"/>
        <v>2.5</v>
      </c>
    </row>
    <row r="387">
      <c r="A387" s="1" t="s">
        <v>11</v>
      </c>
      <c r="B387" s="1" t="s">
        <v>295</v>
      </c>
      <c r="C387" s="1" t="s">
        <v>18</v>
      </c>
      <c r="D387" s="1" t="s">
        <v>76</v>
      </c>
      <c r="E387" s="1" t="s">
        <v>67</v>
      </c>
      <c r="F387" s="1" t="s">
        <v>461</v>
      </c>
      <c r="G387" s="1">
        <v>42.5</v>
      </c>
      <c r="H387" s="1" t="s">
        <v>60</v>
      </c>
      <c r="I387" s="1">
        <v>-116.0</v>
      </c>
      <c r="J387" s="1">
        <v>-0.108721101025462</v>
      </c>
      <c r="K387" s="1" t="s">
        <v>61</v>
      </c>
      <c r="L387" s="1" t="s">
        <v>61</v>
      </c>
      <c r="M387" s="1" t="s">
        <v>62</v>
      </c>
      <c r="N387" s="1">
        <v>-113.0</v>
      </c>
      <c r="O387" s="1">
        <v>0.0411926975346713</v>
      </c>
      <c r="P387" s="1" t="s">
        <v>61</v>
      </c>
      <c r="Q387" s="1" t="s">
        <v>61</v>
      </c>
      <c r="R387" s="1">
        <f t="shared" si="17"/>
        <v>0.04119269753</v>
      </c>
      <c r="S387" s="1">
        <f t="shared" si="18"/>
        <v>-113</v>
      </c>
      <c r="T387" s="1">
        <f t="shared" si="1"/>
        <v>1.884955752</v>
      </c>
      <c r="U387" s="1">
        <f t="shared" si="19"/>
        <v>0</v>
      </c>
      <c r="V387" s="3">
        <f t="shared" si="20"/>
        <v>1</v>
      </c>
      <c r="W387" s="3" t="str">
        <f>IFERROR(__xludf.DUMMYFUNCTION("split(B387,"" "")"),"X.")</f>
        <v>X.</v>
      </c>
      <c r="X387" s="3" t="str">
        <f>IFERROR(__xludf.DUMMYFUNCTION("""COMPUTED_VALUE"""),"Worthy")</f>
        <v>Worthy</v>
      </c>
      <c r="Z387" s="3">
        <v>17.0</v>
      </c>
      <c r="AA387" s="3">
        <f t="shared" si="21"/>
        <v>0</v>
      </c>
      <c r="AB387" s="3">
        <f t="shared" si="22"/>
        <v>1</v>
      </c>
      <c r="AC387" s="3">
        <f t="shared" si="23"/>
        <v>0.8849557522</v>
      </c>
      <c r="AD387" s="3">
        <f t="shared" si="24"/>
        <v>0.8849557522</v>
      </c>
    </row>
    <row r="388">
      <c r="A388" s="1" t="s">
        <v>13</v>
      </c>
      <c r="B388" s="1" t="s">
        <v>75</v>
      </c>
      <c r="C388" s="1" t="s">
        <v>21</v>
      </c>
      <c r="D388" s="1" t="s">
        <v>76</v>
      </c>
      <c r="E388" s="1" t="s">
        <v>67</v>
      </c>
      <c r="F388" s="1" t="s">
        <v>461</v>
      </c>
      <c r="G388" s="1">
        <v>272.5</v>
      </c>
      <c r="H388" s="1" t="s">
        <v>60</v>
      </c>
      <c r="I388" s="1">
        <v>-115.0</v>
      </c>
      <c r="J388" s="1">
        <v>-0.0872467878813952</v>
      </c>
      <c r="K388" s="1" t="s">
        <v>61</v>
      </c>
      <c r="L388" s="1" t="s">
        <v>61</v>
      </c>
      <c r="M388" s="1" t="s">
        <v>62</v>
      </c>
      <c r="N388" s="1">
        <v>-115.0</v>
      </c>
      <c r="O388" s="1">
        <v>0.0174580764186045</v>
      </c>
      <c r="P388" s="1" t="s">
        <v>61</v>
      </c>
      <c r="Q388" s="1" t="s">
        <v>61</v>
      </c>
      <c r="R388" s="1">
        <f t="shared" si="17"/>
        <v>0.01745807642</v>
      </c>
      <c r="S388" s="1">
        <f t="shared" si="18"/>
        <v>-115</v>
      </c>
      <c r="T388" s="1">
        <f t="shared" si="1"/>
        <v>1.869565217</v>
      </c>
      <c r="U388" s="1">
        <f t="shared" si="19"/>
        <v>0</v>
      </c>
      <c r="V388" s="3">
        <f t="shared" si="20"/>
        <v>1</v>
      </c>
      <c r="W388" s="3" t="str">
        <f>IFERROR(__xludf.DUMMYFUNCTION("split(B388,"" "")"),"P.")</f>
        <v>P.</v>
      </c>
      <c r="X388" s="3" t="str">
        <f>IFERROR(__xludf.DUMMYFUNCTION("""COMPUTED_VALUE"""),"Mahomes")</f>
        <v>Mahomes</v>
      </c>
      <c r="Z388" s="3">
        <v>151.0</v>
      </c>
      <c r="AA388" s="3">
        <f t="shared" si="21"/>
        <v>0</v>
      </c>
      <c r="AB388" s="3">
        <f t="shared" si="22"/>
        <v>1</v>
      </c>
      <c r="AC388" s="3">
        <f t="shared" si="23"/>
        <v>0.8695652174</v>
      </c>
      <c r="AD388" s="3">
        <f t="shared" si="24"/>
        <v>0.8695652174</v>
      </c>
    </row>
    <row r="389">
      <c r="A389" s="1" t="s">
        <v>11</v>
      </c>
      <c r="B389" s="1" t="s">
        <v>326</v>
      </c>
      <c r="C389" s="1" t="s">
        <v>20</v>
      </c>
      <c r="D389" s="1" t="s">
        <v>76</v>
      </c>
      <c r="E389" s="1" t="s">
        <v>67</v>
      </c>
      <c r="F389" s="1" t="s">
        <v>461</v>
      </c>
      <c r="G389" s="1">
        <v>54.5</v>
      </c>
      <c r="H389" s="1" t="s">
        <v>60</v>
      </c>
      <c r="I389" s="1">
        <v>-113.0</v>
      </c>
      <c r="J389" s="1">
        <v>-0.0714031188689201</v>
      </c>
      <c r="K389" s="1" t="s">
        <v>61</v>
      </c>
      <c r="L389" s="1" t="s">
        <v>61</v>
      </c>
      <c r="M389" s="1" t="s">
        <v>62</v>
      </c>
      <c r="N389" s="1">
        <v>-116.0</v>
      </c>
      <c r="O389" s="1">
        <v>0.00387631996925919</v>
      </c>
      <c r="P389" s="1" t="s">
        <v>61</v>
      </c>
      <c r="Q389" s="1" t="s">
        <v>61</v>
      </c>
      <c r="R389" s="1">
        <f t="shared" si="17"/>
        <v>0.003876319969</v>
      </c>
      <c r="S389" s="1">
        <f t="shared" si="18"/>
        <v>-116</v>
      </c>
      <c r="T389" s="1">
        <f t="shared" si="1"/>
        <v>1.862068966</v>
      </c>
      <c r="U389" s="1">
        <f t="shared" si="19"/>
        <v>0</v>
      </c>
      <c r="V389" s="3">
        <f t="shared" si="20"/>
        <v>1</v>
      </c>
      <c r="W389" s="3" t="str">
        <f>IFERROR(__xludf.DUMMYFUNCTION("split(B389,"" "")"),"T.")</f>
        <v>T.</v>
      </c>
      <c r="X389" s="3" t="str">
        <f>IFERROR(__xludf.DUMMYFUNCTION("""COMPUTED_VALUE"""),"Kelce")</f>
        <v>Kelce</v>
      </c>
      <c r="Z389" s="3">
        <v>5.0</v>
      </c>
      <c r="AA389" s="3">
        <f t="shared" si="21"/>
        <v>0</v>
      </c>
      <c r="AB389" s="3">
        <f t="shared" si="22"/>
        <v>1</v>
      </c>
      <c r="AC389" s="3">
        <f t="shared" si="23"/>
        <v>0.8620689655</v>
      </c>
      <c r="AD389" s="3">
        <f t="shared" si="24"/>
        <v>0.8620689655</v>
      </c>
    </row>
    <row r="390">
      <c r="A390" s="1" t="s">
        <v>12</v>
      </c>
      <c r="B390" s="1" t="s">
        <v>295</v>
      </c>
      <c r="C390" s="1" t="s">
        <v>18</v>
      </c>
      <c r="D390" s="1" t="s">
        <v>76</v>
      </c>
      <c r="E390" s="1" t="s">
        <v>67</v>
      </c>
      <c r="F390" s="1" t="s">
        <v>461</v>
      </c>
      <c r="G390" s="1">
        <v>3.5</v>
      </c>
      <c r="H390" s="1" t="s">
        <v>60</v>
      </c>
      <c r="I390" s="1">
        <v>130.0</v>
      </c>
      <c r="J390" s="1">
        <v>-0.0692391304347826</v>
      </c>
      <c r="K390" s="1" t="s">
        <v>61</v>
      </c>
      <c r="L390" s="1" t="s">
        <v>61</v>
      </c>
      <c r="M390" s="1" t="s">
        <v>62</v>
      </c>
      <c r="N390" s="1">
        <v>-172.0</v>
      </c>
      <c r="O390" s="1">
        <v>0.00211029411764707</v>
      </c>
      <c r="P390" s="1" t="s">
        <v>61</v>
      </c>
      <c r="Q390" s="1" t="s">
        <v>61</v>
      </c>
      <c r="R390" s="1">
        <f t="shared" si="17"/>
        <v>0.002110294118</v>
      </c>
      <c r="S390" s="1">
        <f t="shared" si="18"/>
        <v>-172</v>
      </c>
      <c r="T390" s="1">
        <f t="shared" si="1"/>
        <v>1.581395349</v>
      </c>
      <c r="U390" s="1">
        <f t="shared" si="19"/>
        <v>0</v>
      </c>
      <c r="V390" s="3">
        <f t="shared" si="20"/>
        <v>1</v>
      </c>
      <c r="W390" s="3" t="str">
        <f>IFERROR(__xludf.DUMMYFUNCTION("split(B390,"" "")"),"X.")</f>
        <v>X.</v>
      </c>
      <c r="X390" s="3" t="str">
        <f>IFERROR(__xludf.DUMMYFUNCTION("""COMPUTED_VALUE"""),"Worthy")</f>
        <v>Worthy</v>
      </c>
      <c r="Z390" s="3">
        <v>2.0</v>
      </c>
      <c r="AA390" s="3">
        <f t="shared" si="21"/>
        <v>0</v>
      </c>
      <c r="AB390" s="3">
        <f t="shared" si="22"/>
        <v>1</v>
      </c>
      <c r="AC390" s="3">
        <f t="shared" si="23"/>
        <v>0.5813953488</v>
      </c>
      <c r="AD390" s="3">
        <f t="shared" si="24"/>
        <v>0.5813953488</v>
      </c>
    </row>
    <row r="391">
      <c r="A391" s="1" t="s">
        <v>17</v>
      </c>
      <c r="B391" s="1" t="s">
        <v>247</v>
      </c>
      <c r="C391" s="1" t="s">
        <v>21</v>
      </c>
      <c r="D391" s="1" t="s">
        <v>196</v>
      </c>
      <c r="E391" s="1" t="s">
        <v>105</v>
      </c>
      <c r="F391" s="1" t="s">
        <v>450</v>
      </c>
      <c r="G391" s="1">
        <v>0.5</v>
      </c>
      <c r="H391" s="1" t="s">
        <v>60</v>
      </c>
      <c r="I391" s="1">
        <v>-139.0</v>
      </c>
      <c r="J391" s="1">
        <v>-0.138289958158995</v>
      </c>
      <c r="K391" s="1" t="s">
        <v>61</v>
      </c>
      <c r="L391" s="1" t="s">
        <v>61</v>
      </c>
      <c r="M391" s="1" t="s">
        <v>62</v>
      </c>
      <c r="N391" s="1">
        <v>106.0</v>
      </c>
      <c r="O391" s="1">
        <v>0.0712631067961164</v>
      </c>
      <c r="P391" s="1" t="s">
        <v>61</v>
      </c>
      <c r="Q391" s="1" t="s">
        <v>61</v>
      </c>
      <c r="R391" s="1">
        <f t="shared" si="17"/>
        <v>0.0712631068</v>
      </c>
      <c r="S391" s="1">
        <f t="shared" si="18"/>
        <v>106</v>
      </c>
      <c r="T391" s="1">
        <f t="shared" si="1"/>
        <v>2.06</v>
      </c>
      <c r="U391" s="1">
        <f t="shared" si="19"/>
        <v>0</v>
      </c>
      <c r="V391" s="3">
        <f t="shared" si="20"/>
        <v>2</v>
      </c>
      <c r="W391" s="3" t="str">
        <f>IFERROR(__xludf.DUMMYFUNCTION("split(B391,"" "")"),"M.")</f>
        <v>M.</v>
      </c>
      <c r="X391" s="3" t="str">
        <f>IFERROR(__xludf.DUMMYFUNCTION("""COMPUTED_VALUE"""),"Stafford")</f>
        <v>Stafford</v>
      </c>
      <c r="Z391" s="3">
        <v>0.0</v>
      </c>
      <c r="AA391" s="3">
        <f t="shared" si="21"/>
        <v>0</v>
      </c>
      <c r="AB391" s="3">
        <f t="shared" si="22"/>
        <v>1</v>
      </c>
      <c r="AC391" s="3">
        <f t="shared" si="23"/>
        <v>2.12</v>
      </c>
      <c r="AD391" s="3">
        <f t="shared" si="24"/>
        <v>2.12</v>
      </c>
    </row>
    <row r="392">
      <c r="A392" s="1" t="s">
        <v>9</v>
      </c>
      <c r="B392" s="1" t="s">
        <v>469</v>
      </c>
      <c r="C392" s="1" t="s">
        <v>18</v>
      </c>
      <c r="D392" s="1" t="s">
        <v>196</v>
      </c>
      <c r="E392" s="1" t="s">
        <v>105</v>
      </c>
      <c r="F392" s="1" t="s">
        <v>450</v>
      </c>
      <c r="G392" s="1">
        <v>90.5</v>
      </c>
      <c r="H392" s="1" t="s">
        <v>60</v>
      </c>
      <c r="I392" s="1">
        <v>-120.0</v>
      </c>
      <c r="J392" s="1">
        <v>-0.126871018038492</v>
      </c>
      <c r="K392" s="1" t="s">
        <v>61</v>
      </c>
      <c r="L392" s="1" t="s">
        <v>61</v>
      </c>
      <c r="M392" s="1" t="s">
        <v>62</v>
      </c>
      <c r="N392" s="1">
        <v>-115.0</v>
      </c>
      <c r="O392" s="1">
        <v>0.0465696596545979</v>
      </c>
      <c r="P392" s="1" t="s">
        <v>61</v>
      </c>
      <c r="Q392" s="1" t="s">
        <v>61</v>
      </c>
      <c r="R392" s="1">
        <f t="shared" si="17"/>
        <v>0.04656965965</v>
      </c>
      <c r="S392" s="1">
        <f t="shared" si="18"/>
        <v>-115</v>
      </c>
      <c r="T392" s="1">
        <f t="shared" si="1"/>
        <v>1.869565217</v>
      </c>
      <c r="U392" s="1">
        <f t="shared" si="19"/>
        <v>0</v>
      </c>
      <c r="V392" s="3">
        <f t="shared" si="20"/>
        <v>1</v>
      </c>
      <c r="W392" s="3" t="str">
        <f>IFERROR(__xludf.DUMMYFUNCTION("split(B392,"" "")"),"C.")</f>
        <v>C.</v>
      </c>
      <c r="X392" s="3" t="str">
        <f>IFERROR(__xludf.DUMMYFUNCTION("""COMPUTED_VALUE"""),"Kupp")</f>
        <v>Kupp</v>
      </c>
      <c r="Z392" s="3">
        <v>37.0</v>
      </c>
      <c r="AA392" s="3">
        <f t="shared" si="21"/>
        <v>0</v>
      </c>
      <c r="AB392" s="3">
        <f t="shared" si="22"/>
        <v>1</v>
      </c>
      <c r="AC392" s="3">
        <f t="shared" si="23"/>
        <v>0.8695652174</v>
      </c>
      <c r="AD392" s="3">
        <f t="shared" si="24"/>
        <v>0.8695652174</v>
      </c>
    </row>
    <row r="393">
      <c r="A393" s="1" t="s">
        <v>14</v>
      </c>
      <c r="B393" s="1" t="s">
        <v>247</v>
      </c>
      <c r="C393" s="1" t="s">
        <v>21</v>
      </c>
      <c r="D393" s="1" t="s">
        <v>196</v>
      </c>
      <c r="E393" s="1" t="s">
        <v>105</v>
      </c>
      <c r="F393" s="1" t="s">
        <v>450</v>
      </c>
      <c r="G393" s="1">
        <v>1.5</v>
      </c>
      <c r="H393" s="1" t="s">
        <v>60</v>
      </c>
      <c r="I393" s="1">
        <v>-138.0</v>
      </c>
      <c r="J393" s="1">
        <v>-0.102289915966386</v>
      </c>
      <c r="K393" s="1" t="s">
        <v>61</v>
      </c>
      <c r="L393" s="1" t="s">
        <v>61</v>
      </c>
      <c r="M393" s="1" t="s">
        <v>62</v>
      </c>
      <c r="N393" s="1">
        <v>106.0</v>
      </c>
      <c r="O393" s="1">
        <v>0.037014563106796</v>
      </c>
      <c r="P393" s="1" t="s">
        <v>61</v>
      </c>
      <c r="Q393" s="1" t="s">
        <v>61</v>
      </c>
      <c r="R393" s="1">
        <f t="shared" si="17"/>
        <v>0.03701456311</v>
      </c>
      <c r="S393" s="1">
        <f t="shared" si="18"/>
        <v>106</v>
      </c>
      <c r="T393" s="1">
        <f t="shared" si="1"/>
        <v>2.06</v>
      </c>
      <c r="U393" s="1">
        <f t="shared" si="19"/>
        <v>0</v>
      </c>
      <c r="V393" s="3">
        <f t="shared" si="20"/>
        <v>1</v>
      </c>
      <c r="W393" s="3" t="str">
        <f>IFERROR(__xludf.DUMMYFUNCTION("split(B393,"" "")"),"M.")</f>
        <v>M.</v>
      </c>
      <c r="X393" s="3" t="str">
        <f>IFERROR(__xludf.DUMMYFUNCTION("""COMPUTED_VALUE"""),"Stafford")</f>
        <v>Stafford</v>
      </c>
      <c r="Z393" s="3">
        <v>0.0</v>
      </c>
      <c r="AA393" s="3">
        <f t="shared" si="21"/>
        <v>0</v>
      </c>
      <c r="AB393" s="3">
        <f t="shared" si="22"/>
        <v>1</v>
      </c>
      <c r="AC393" s="3">
        <f t="shared" si="23"/>
        <v>1.06</v>
      </c>
      <c r="AD393" s="3">
        <f t="shared" si="24"/>
        <v>1.06</v>
      </c>
    </row>
    <row r="394">
      <c r="A394" s="1" t="s">
        <v>12</v>
      </c>
      <c r="B394" s="1" t="s">
        <v>470</v>
      </c>
      <c r="C394" s="1" t="s">
        <v>20</v>
      </c>
      <c r="D394" s="1" t="s">
        <v>196</v>
      </c>
      <c r="E394" s="1" t="s">
        <v>105</v>
      </c>
      <c r="F394" s="1" t="s">
        <v>450</v>
      </c>
      <c r="G394" s="1">
        <v>3.5</v>
      </c>
      <c r="H394" s="1" t="s">
        <v>60</v>
      </c>
      <c r="I394" s="1">
        <v>125.0</v>
      </c>
      <c r="J394" s="1">
        <v>-0.0938999999999999</v>
      </c>
      <c r="K394" s="1" t="s">
        <v>61</v>
      </c>
      <c r="L394" s="1" t="s">
        <v>61</v>
      </c>
      <c r="M394" s="1" t="s">
        <v>62</v>
      </c>
      <c r="N394" s="1">
        <v>-165.0</v>
      </c>
      <c r="O394" s="1">
        <v>0.0268207547169809</v>
      </c>
      <c r="P394" s="1" t="s">
        <v>61</v>
      </c>
      <c r="Q394" s="1" t="s">
        <v>61</v>
      </c>
      <c r="R394" s="1">
        <f t="shared" si="17"/>
        <v>0.02682075472</v>
      </c>
      <c r="S394" s="1">
        <f t="shared" si="18"/>
        <v>-165</v>
      </c>
      <c r="T394" s="1">
        <f t="shared" si="1"/>
        <v>1.606060606</v>
      </c>
      <c r="U394" s="1">
        <f t="shared" si="19"/>
        <v>0</v>
      </c>
      <c r="V394" s="3">
        <f t="shared" si="20"/>
        <v>1</v>
      </c>
      <c r="W394" s="3" t="str">
        <f>IFERROR(__xludf.DUMMYFUNCTION("split(B394,"" "")"),"C.")</f>
        <v>C.</v>
      </c>
      <c r="X394" s="3" t="str">
        <f>IFERROR(__xludf.DUMMYFUNCTION("""COMPUTED_VALUE"""),"Parkinson")</f>
        <v>Parkinson</v>
      </c>
      <c r="Z394" s="3">
        <v>1.0</v>
      </c>
      <c r="AA394" s="3">
        <f t="shared" si="21"/>
        <v>0</v>
      </c>
      <c r="AB394" s="3">
        <f t="shared" si="22"/>
        <v>1</v>
      </c>
      <c r="AC394" s="3">
        <f t="shared" si="23"/>
        <v>0.6060606061</v>
      </c>
      <c r="AD394" s="3">
        <f t="shared" si="24"/>
        <v>0.6060606061</v>
      </c>
    </row>
    <row r="395">
      <c r="A395" s="1" t="s">
        <v>11</v>
      </c>
      <c r="B395" s="1" t="s">
        <v>470</v>
      </c>
      <c r="C395" s="1" t="s">
        <v>20</v>
      </c>
      <c r="D395" s="1" t="s">
        <v>196</v>
      </c>
      <c r="E395" s="1" t="s">
        <v>105</v>
      </c>
      <c r="F395" s="1" t="s">
        <v>450</v>
      </c>
      <c r="G395" s="1">
        <v>29.5</v>
      </c>
      <c r="H395" s="1" t="s">
        <v>60</v>
      </c>
      <c r="I395" s="1">
        <v>-116.0</v>
      </c>
      <c r="J395" s="1">
        <v>-0.091199843246065</v>
      </c>
      <c r="K395" s="1" t="s">
        <v>61</v>
      </c>
      <c r="L395" s="1" t="s">
        <v>61</v>
      </c>
      <c r="M395" s="1" t="s">
        <v>62</v>
      </c>
      <c r="N395" s="1">
        <v>-114.0</v>
      </c>
      <c r="O395" s="1">
        <v>0.0214607166947993</v>
      </c>
      <c r="P395" s="1" t="s">
        <v>61</v>
      </c>
      <c r="Q395" s="1" t="s">
        <v>61</v>
      </c>
      <c r="R395" s="1">
        <f t="shared" si="17"/>
        <v>0.02146071669</v>
      </c>
      <c r="S395" s="1">
        <f t="shared" si="18"/>
        <v>-114</v>
      </c>
      <c r="T395" s="1">
        <f t="shared" si="1"/>
        <v>1.877192982</v>
      </c>
      <c r="U395" s="1">
        <f t="shared" si="19"/>
        <v>0</v>
      </c>
      <c r="V395" s="3">
        <f t="shared" si="20"/>
        <v>1</v>
      </c>
      <c r="W395" s="3" t="str">
        <f>IFERROR(__xludf.DUMMYFUNCTION("split(B395,"" "")"),"C.")</f>
        <v>C.</v>
      </c>
      <c r="X395" s="3" t="str">
        <f>IFERROR(__xludf.DUMMYFUNCTION("""COMPUTED_VALUE"""),"Parkinson")</f>
        <v>Parkinson</v>
      </c>
      <c r="Z395" s="3">
        <v>12.0</v>
      </c>
      <c r="AA395" s="3">
        <f t="shared" si="21"/>
        <v>0</v>
      </c>
      <c r="AB395" s="3">
        <f t="shared" si="22"/>
        <v>1</v>
      </c>
      <c r="AC395" s="3">
        <f t="shared" si="23"/>
        <v>0.8771929825</v>
      </c>
      <c r="AD395" s="3">
        <f t="shared" si="24"/>
        <v>0.8771929825</v>
      </c>
    </row>
    <row r="396">
      <c r="A396" s="1" t="s">
        <v>9</v>
      </c>
      <c r="B396" s="1" t="s">
        <v>368</v>
      </c>
      <c r="C396" s="1" t="s">
        <v>19</v>
      </c>
      <c r="D396" s="1" t="s">
        <v>196</v>
      </c>
      <c r="E396" s="1" t="s">
        <v>105</v>
      </c>
      <c r="F396" s="1" t="s">
        <v>450</v>
      </c>
      <c r="G396" s="1">
        <v>95.5</v>
      </c>
      <c r="H396" s="1" t="s">
        <v>60</v>
      </c>
      <c r="I396" s="1">
        <v>-116.0</v>
      </c>
      <c r="J396" s="1">
        <v>-0.0926839218112068</v>
      </c>
      <c r="K396" s="1" t="s">
        <v>61</v>
      </c>
      <c r="L396" s="1" t="s">
        <v>61</v>
      </c>
      <c r="M396" s="1" t="s">
        <v>62</v>
      </c>
      <c r="N396" s="1">
        <v>-116.0</v>
      </c>
      <c r="O396" s="1">
        <v>0.018616864005</v>
      </c>
      <c r="P396" s="1" t="s">
        <v>61</v>
      </c>
      <c r="Q396" s="1" t="s">
        <v>61</v>
      </c>
      <c r="R396" s="1">
        <f t="shared" si="17"/>
        <v>0.01861686401</v>
      </c>
      <c r="S396" s="1">
        <f t="shared" si="18"/>
        <v>-116</v>
      </c>
      <c r="T396" s="1">
        <f t="shared" si="1"/>
        <v>1.862068966</v>
      </c>
      <c r="U396" s="1">
        <f t="shared" si="19"/>
        <v>0</v>
      </c>
      <c r="V396" s="3">
        <f t="shared" si="20"/>
        <v>1</v>
      </c>
      <c r="W396" s="3" t="str">
        <f>IFERROR(__xludf.DUMMYFUNCTION("split(B396,"" "")"),"K.")</f>
        <v>K.</v>
      </c>
      <c r="X396" s="3" t="str">
        <f>IFERROR(__xludf.DUMMYFUNCTION("""COMPUTED_VALUE"""),"Williams")</f>
        <v>Williams</v>
      </c>
      <c r="Z396" s="3">
        <v>52.0</v>
      </c>
      <c r="AA396" s="3">
        <f t="shared" si="21"/>
        <v>0</v>
      </c>
      <c r="AB396" s="3">
        <f t="shared" si="22"/>
        <v>1</v>
      </c>
      <c r="AC396" s="3">
        <f t="shared" si="23"/>
        <v>0.8620689655</v>
      </c>
      <c r="AD396" s="3">
        <f t="shared" si="24"/>
        <v>0.8620689655</v>
      </c>
    </row>
    <row r="397">
      <c r="A397" s="1" t="s">
        <v>10</v>
      </c>
      <c r="B397" s="1" t="s">
        <v>368</v>
      </c>
      <c r="C397" s="1" t="s">
        <v>19</v>
      </c>
      <c r="D397" s="1" t="s">
        <v>196</v>
      </c>
      <c r="E397" s="1" t="s">
        <v>105</v>
      </c>
      <c r="F397" s="1" t="s">
        <v>450</v>
      </c>
      <c r="G397" s="1">
        <v>73.5</v>
      </c>
      <c r="H397" s="1" t="s">
        <v>60</v>
      </c>
      <c r="I397" s="1">
        <v>-118.0</v>
      </c>
      <c r="J397" s="1">
        <v>-0.0742745557944494</v>
      </c>
      <c r="K397" s="1" t="s">
        <v>61</v>
      </c>
      <c r="L397" s="1" t="s">
        <v>61</v>
      </c>
      <c r="M397" s="1" t="s">
        <v>62</v>
      </c>
      <c r="N397" s="1">
        <v>-112.0</v>
      </c>
      <c r="O397" s="1">
        <v>0.00470065061340319</v>
      </c>
      <c r="P397" s="1" t="s">
        <v>61</v>
      </c>
      <c r="Q397" s="1" t="s">
        <v>61</v>
      </c>
      <c r="R397" s="1">
        <f t="shared" si="17"/>
        <v>0.004700650613</v>
      </c>
      <c r="S397" s="1">
        <f t="shared" si="18"/>
        <v>-112</v>
      </c>
      <c r="T397" s="1">
        <f t="shared" si="1"/>
        <v>1.892857143</v>
      </c>
      <c r="U397" s="1">
        <f t="shared" si="19"/>
        <v>0</v>
      </c>
      <c r="V397" s="3">
        <f t="shared" si="20"/>
        <v>1</v>
      </c>
      <c r="W397" s="3" t="str">
        <f>IFERROR(__xludf.DUMMYFUNCTION("split(B397,"" "")"),"K.")</f>
        <v>K.</v>
      </c>
      <c r="X397" s="3" t="str">
        <f>IFERROR(__xludf.DUMMYFUNCTION("""COMPUTED_VALUE"""),"Williams")</f>
        <v>Williams</v>
      </c>
      <c r="Z397" s="3">
        <v>25.0</v>
      </c>
      <c r="AA397" s="3">
        <f t="shared" si="21"/>
        <v>0</v>
      </c>
      <c r="AB397" s="3">
        <f t="shared" si="22"/>
        <v>1</v>
      </c>
      <c r="AC397" s="3">
        <f t="shared" si="23"/>
        <v>0.8928571429</v>
      </c>
      <c r="AD397" s="3">
        <f t="shared" si="24"/>
        <v>0.8928571429</v>
      </c>
    </row>
    <row r="398">
      <c r="A398" s="1" t="s">
        <v>11</v>
      </c>
      <c r="B398" s="1" t="s">
        <v>469</v>
      </c>
      <c r="C398" s="1" t="s">
        <v>18</v>
      </c>
      <c r="D398" s="1" t="s">
        <v>196</v>
      </c>
      <c r="E398" s="1" t="s">
        <v>105</v>
      </c>
      <c r="F398" s="1" t="s">
        <v>450</v>
      </c>
      <c r="G398" s="1">
        <v>85.5</v>
      </c>
      <c r="H398" s="1" t="s">
        <v>60</v>
      </c>
      <c r="I398" s="1">
        <v>-118.0</v>
      </c>
      <c r="J398" s="1">
        <v>-0.0679628140659632</v>
      </c>
      <c r="K398" s="1" t="s">
        <v>61</v>
      </c>
      <c r="L398" s="1" t="s">
        <v>61</v>
      </c>
      <c r="M398" s="1" t="s">
        <v>62</v>
      </c>
      <c r="N398" s="1">
        <v>-111.0</v>
      </c>
      <c r="O398" s="1">
        <v>5.77417726009166E-4</v>
      </c>
      <c r="P398" s="1" t="s">
        <v>61</v>
      </c>
      <c r="Q398" s="1" t="s">
        <v>61</v>
      </c>
      <c r="R398" s="1">
        <f t="shared" si="17"/>
        <v>0.000577417726</v>
      </c>
      <c r="S398" s="1">
        <f t="shared" si="18"/>
        <v>-111</v>
      </c>
      <c r="T398" s="1">
        <f t="shared" si="1"/>
        <v>1.900900901</v>
      </c>
      <c r="U398" s="1">
        <f t="shared" si="19"/>
        <v>0</v>
      </c>
      <c r="V398" s="3">
        <f t="shared" si="20"/>
        <v>1</v>
      </c>
      <c r="W398" s="3" t="str">
        <f>IFERROR(__xludf.DUMMYFUNCTION("split(B398,"" "")"),"C.")</f>
        <v>C.</v>
      </c>
      <c r="X398" s="3" t="str">
        <f>IFERROR(__xludf.DUMMYFUNCTION("""COMPUTED_VALUE"""),"Kupp")</f>
        <v>Kupp</v>
      </c>
      <c r="Z398" s="3">
        <v>37.0</v>
      </c>
      <c r="AA398" s="3">
        <f t="shared" si="21"/>
        <v>0</v>
      </c>
      <c r="AB398" s="3">
        <f t="shared" si="22"/>
        <v>1</v>
      </c>
      <c r="AC398" s="3">
        <f t="shared" si="23"/>
        <v>0.9009009009</v>
      </c>
      <c r="AD398" s="3">
        <f t="shared" si="24"/>
        <v>0.9009009009</v>
      </c>
    </row>
    <row r="399">
      <c r="A399" s="1" t="s">
        <v>12</v>
      </c>
      <c r="B399" s="1" t="s">
        <v>381</v>
      </c>
      <c r="C399" s="1" t="s">
        <v>18</v>
      </c>
      <c r="D399" s="1" t="s">
        <v>135</v>
      </c>
      <c r="E399" s="1" t="s">
        <v>57</v>
      </c>
      <c r="F399" s="1" t="s">
        <v>455</v>
      </c>
      <c r="G399" s="1">
        <v>3.5</v>
      </c>
      <c r="H399" s="1" t="s">
        <v>60</v>
      </c>
      <c r="I399" s="1">
        <v>-161.0</v>
      </c>
      <c r="J399" s="1">
        <v>-0.228396551724137</v>
      </c>
      <c r="K399" s="1" t="s">
        <v>61</v>
      </c>
      <c r="L399" s="1" t="s">
        <v>61</v>
      </c>
      <c r="M399" s="1" t="s">
        <v>62</v>
      </c>
      <c r="N399" s="1">
        <v>131.0</v>
      </c>
      <c r="O399" s="1">
        <v>0.178642857142857</v>
      </c>
      <c r="P399" s="1" t="s">
        <v>61</v>
      </c>
      <c r="Q399" s="1" t="s">
        <v>61</v>
      </c>
      <c r="R399" s="1">
        <f t="shared" si="17"/>
        <v>0.1786428571</v>
      </c>
      <c r="S399" s="1">
        <f t="shared" si="18"/>
        <v>131</v>
      </c>
      <c r="T399" s="1">
        <f t="shared" si="1"/>
        <v>2.31</v>
      </c>
      <c r="U399" s="1">
        <f t="shared" si="19"/>
        <v>0</v>
      </c>
      <c r="V399" s="3">
        <f t="shared" si="20"/>
        <v>3</v>
      </c>
      <c r="W399" s="3" t="str">
        <f>IFERROR(__xludf.DUMMYFUNCTION("split(B399,"" "")"),"J.")</f>
        <v>J.</v>
      </c>
      <c r="X399" s="3" t="str">
        <f>IFERROR(__xludf.DUMMYFUNCTION("""COMPUTED_VALUE"""),"Palmer")</f>
        <v>Palmer</v>
      </c>
      <c r="Z399" s="3">
        <v>2.0</v>
      </c>
      <c r="AA399" s="3">
        <f t="shared" si="21"/>
        <v>0</v>
      </c>
      <c r="AB399" s="3">
        <f t="shared" si="22"/>
        <v>1</v>
      </c>
      <c r="AC399" s="3">
        <f t="shared" si="23"/>
        <v>3.93</v>
      </c>
      <c r="AD399" s="3">
        <f t="shared" si="24"/>
        <v>3.93</v>
      </c>
    </row>
    <row r="400">
      <c r="A400" s="1" t="s">
        <v>12</v>
      </c>
      <c r="B400" s="1" t="s">
        <v>439</v>
      </c>
      <c r="C400" s="1" t="s">
        <v>19</v>
      </c>
      <c r="D400" s="1" t="s">
        <v>135</v>
      </c>
      <c r="E400" s="1" t="s">
        <v>57</v>
      </c>
      <c r="F400" s="1" t="s">
        <v>455</v>
      </c>
      <c r="G400" s="1">
        <v>0.5</v>
      </c>
      <c r="H400" s="1" t="s">
        <v>60</v>
      </c>
      <c r="I400" s="1">
        <v>-239.0</v>
      </c>
      <c r="J400" s="1">
        <v>-0.180740304694395</v>
      </c>
      <c r="K400" s="1" t="s">
        <v>61</v>
      </c>
      <c r="L400" s="1" t="s">
        <v>61</v>
      </c>
      <c r="M400" s="1" t="s">
        <v>62</v>
      </c>
      <c r="N400" s="1">
        <v>176.0</v>
      </c>
      <c r="O400" s="1">
        <v>0.113412548157246</v>
      </c>
      <c r="P400" s="1" t="s">
        <v>61</v>
      </c>
      <c r="Q400" s="1" t="s">
        <v>61</v>
      </c>
      <c r="R400" s="1">
        <f t="shared" si="17"/>
        <v>0.1134125482</v>
      </c>
      <c r="S400" s="1">
        <f t="shared" si="18"/>
        <v>176</v>
      </c>
      <c r="T400" s="1">
        <f t="shared" si="1"/>
        <v>2.76</v>
      </c>
      <c r="U400" s="1">
        <f t="shared" si="19"/>
        <v>0</v>
      </c>
      <c r="V400" s="3">
        <f t="shared" si="20"/>
        <v>3</v>
      </c>
      <c r="W400" s="3" t="str">
        <f>IFERROR(__xludf.DUMMYFUNCTION("split(B400,"" "")"),"G.")</f>
        <v>G.</v>
      </c>
      <c r="X400" s="3" t="str">
        <f>IFERROR(__xludf.DUMMYFUNCTION("""COMPUTED_VALUE"""),"Edwards")</f>
        <v>Edwards</v>
      </c>
      <c r="Z400" s="3">
        <v>0.0</v>
      </c>
      <c r="AA400" s="3">
        <f t="shared" si="21"/>
        <v>0</v>
      </c>
      <c r="AB400" s="3">
        <f t="shared" si="22"/>
        <v>1</v>
      </c>
      <c r="AC400" s="3">
        <f t="shared" si="23"/>
        <v>5.28</v>
      </c>
      <c r="AD400" s="3">
        <f t="shared" si="24"/>
        <v>5.28</v>
      </c>
    </row>
    <row r="401">
      <c r="A401" s="1" t="s">
        <v>11</v>
      </c>
      <c r="B401" s="1" t="s">
        <v>471</v>
      </c>
      <c r="C401" s="1" t="s">
        <v>20</v>
      </c>
      <c r="D401" s="1" t="s">
        <v>135</v>
      </c>
      <c r="E401" s="1" t="s">
        <v>57</v>
      </c>
      <c r="F401" s="1" t="s">
        <v>455</v>
      </c>
      <c r="G401" s="1">
        <v>7.5</v>
      </c>
      <c r="H401" s="1" t="s">
        <v>60</v>
      </c>
      <c r="I401" s="1">
        <v>-108.0</v>
      </c>
      <c r="J401" s="1">
        <v>0.102012977195653</v>
      </c>
      <c r="K401" s="1" t="s">
        <v>61</v>
      </c>
      <c r="L401" s="1" t="s">
        <v>61</v>
      </c>
      <c r="M401" s="1" t="s">
        <v>62</v>
      </c>
      <c r="N401" s="1">
        <v>-119.0</v>
      </c>
      <c r="O401" s="1">
        <v>-0.164602393221315</v>
      </c>
      <c r="P401" s="1" t="s">
        <v>61</v>
      </c>
      <c r="Q401" s="1" t="s">
        <v>61</v>
      </c>
      <c r="R401" s="1">
        <f t="shared" si="17"/>
        <v>0.1020129772</v>
      </c>
      <c r="S401" s="1">
        <f t="shared" si="18"/>
        <v>-108</v>
      </c>
      <c r="T401" s="1">
        <f t="shared" si="1"/>
        <v>1.925925926</v>
      </c>
      <c r="U401" s="1">
        <f t="shared" si="19"/>
        <v>1</v>
      </c>
      <c r="V401" s="3">
        <f t="shared" si="20"/>
        <v>3</v>
      </c>
      <c r="W401" s="3" t="str">
        <f>IFERROR(__xludf.DUMMYFUNCTION("split(B401,"" "")"),"W.")</f>
        <v>W.</v>
      </c>
      <c r="X401" s="3" t="str">
        <f>IFERROR(__xludf.DUMMYFUNCTION("""COMPUTED_VALUE"""),"Dissly")</f>
        <v>Dissly</v>
      </c>
      <c r="Z401" s="3">
        <v>29.0</v>
      </c>
      <c r="AA401" s="3">
        <f t="shared" si="21"/>
        <v>1</v>
      </c>
      <c r="AB401" s="3">
        <f t="shared" si="22"/>
        <v>1</v>
      </c>
      <c r="AC401" s="3">
        <f t="shared" si="23"/>
        <v>2.777777778</v>
      </c>
      <c r="AD401" s="3">
        <f t="shared" si="24"/>
        <v>2.777777778</v>
      </c>
    </row>
    <row r="402">
      <c r="A402" s="1" t="s">
        <v>11</v>
      </c>
      <c r="B402" s="1" t="s">
        <v>381</v>
      </c>
      <c r="C402" s="1" t="s">
        <v>18</v>
      </c>
      <c r="D402" s="1" t="s">
        <v>135</v>
      </c>
      <c r="E402" s="1" t="s">
        <v>57</v>
      </c>
      <c r="F402" s="1" t="s">
        <v>455</v>
      </c>
      <c r="G402" s="1">
        <v>45.5</v>
      </c>
      <c r="H402" s="1" t="s">
        <v>60</v>
      </c>
      <c r="I402" s="1">
        <v>-110.0</v>
      </c>
      <c r="J402" s="1">
        <v>-0.083850878967143</v>
      </c>
      <c r="K402" s="1" t="s">
        <v>61</v>
      </c>
      <c r="L402" s="1" t="s">
        <v>61</v>
      </c>
      <c r="M402" s="1" t="s">
        <v>62</v>
      </c>
      <c r="N402" s="1">
        <v>-119.0</v>
      </c>
      <c r="O402" s="1">
        <v>0.0166813343101235</v>
      </c>
      <c r="P402" s="1" t="s">
        <v>61</v>
      </c>
      <c r="Q402" s="1" t="s">
        <v>61</v>
      </c>
      <c r="R402" s="1">
        <f t="shared" si="17"/>
        <v>0.01668133431</v>
      </c>
      <c r="S402" s="1">
        <f t="shared" si="18"/>
        <v>-119</v>
      </c>
      <c r="T402" s="1">
        <f t="shared" si="1"/>
        <v>1.840336134</v>
      </c>
      <c r="U402" s="1">
        <f t="shared" si="19"/>
        <v>0</v>
      </c>
      <c r="V402" s="3">
        <f t="shared" si="20"/>
        <v>1</v>
      </c>
      <c r="W402" s="3" t="str">
        <f>IFERROR(__xludf.DUMMYFUNCTION("split(B402,"" "")"),"J.")</f>
        <v>J.</v>
      </c>
      <c r="X402" s="3" t="str">
        <f>IFERROR(__xludf.DUMMYFUNCTION("""COMPUTED_VALUE"""),"Palmer")</f>
        <v>Palmer</v>
      </c>
      <c r="Z402" s="3">
        <v>19.0</v>
      </c>
      <c r="AA402" s="3">
        <f t="shared" si="21"/>
        <v>0</v>
      </c>
      <c r="AB402" s="3">
        <f t="shared" si="22"/>
        <v>1</v>
      </c>
      <c r="AC402" s="3">
        <f t="shared" si="23"/>
        <v>0.8403361345</v>
      </c>
      <c r="AD402" s="3">
        <f t="shared" si="24"/>
        <v>0.8403361345</v>
      </c>
    </row>
    <row r="403">
      <c r="A403" s="1" t="s">
        <v>11</v>
      </c>
      <c r="B403" s="1" t="s">
        <v>432</v>
      </c>
      <c r="C403" s="1" t="s">
        <v>18</v>
      </c>
      <c r="D403" s="1" t="s">
        <v>135</v>
      </c>
      <c r="E403" s="1" t="s">
        <v>57</v>
      </c>
      <c r="F403" s="1" t="s">
        <v>455</v>
      </c>
      <c r="G403" s="1">
        <v>45.5</v>
      </c>
      <c r="H403" s="1" t="s">
        <v>60</v>
      </c>
      <c r="I403" s="1">
        <v>-112.0</v>
      </c>
      <c r="J403" s="1">
        <v>-0.0786989926292452</v>
      </c>
      <c r="K403" s="1" t="s">
        <v>61</v>
      </c>
      <c r="L403" s="1" t="s">
        <v>61</v>
      </c>
      <c r="M403" s="1" t="s">
        <v>62</v>
      </c>
      <c r="N403" s="1">
        <v>-117.0</v>
      </c>
      <c r="O403" s="1">
        <v>0.011239619823401</v>
      </c>
      <c r="P403" s="1" t="s">
        <v>61</v>
      </c>
      <c r="Q403" s="1" t="s">
        <v>61</v>
      </c>
      <c r="R403" s="1">
        <f t="shared" si="17"/>
        <v>0.01123961982</v>
      </c>
      <c r="S403" s="1">
        <f t="shared" si="18"/>
        <v>-117</v>
      </c>
      <c r="T403" s="1">
        <f t="shared" si="1"/>
        <v>1.854700855</v>
      </c>
      <c r="U403" s="1">
        <f t="shared" si="19"/>
        <v>0</v>
      </c>
      <c r="V403" s="3">
        <f t="shared" si="20"/>
        <v>1</v>
      </c>
      <c r="W403" s="3" t="str">
        <f>IFERROR(__xludf.DUMMYFUNCTION("split(B403,"" "")"),"L.")</f>
        <v>L.</v>
      </c>
      <c r="X403" s="3" t="str">
        <f>IFERROR(__xludf.DUMMYFUNCTION("""COMPUTED_VALUE"""),"McConkey")</f>
        <v>McConkey</v>
      </c>
      <c r="Z403" s="3">
        <v>26.0</v>
      </c>
      <c r="AA403" s="3">
        <f t="shared" si="21"/>
        <v>0</v>
      </c>
      <c r="AB403" s="3">
        <f t="shared" si="22"/>
        <v>1</v>
      </c>
      <c r="AC403" s="3">
        <f t="shared" si="23"/>
        <v>0.8547008547</v>
      </c>
      <c r="AD403" s="3">
        <f t="shared" si="24"/>
        <v>0.8547008547</v>
      </c>
    </row>
    <row r="404">
      <c r="A404" s="1" t="s">
        <v>11</v>
      </c>
      <c r="B404" s="1" t="s">
        <v>133</v>
      </c>
      <c r="C404" s="1" t="s">
        <v>19</v>
      </c>
      <c r="D404" s="1" t="s">
        <v>134</v>
      </c>
      <c r="E404" s="1" t="s">
        <v>77</v>
      </c>
      <c r="F404" s="1" t="s">
        <v>455</v>
      </c>
      <c r="G404" s="1">
        <v>5.5</v>
      </c>
      <c r="H404" s="1" t="s">
        <v>60</v>
      </c>
      <c r="I404" s="1">
        <v>-114.0</v>
      </c>
      <c r="J404" s="1">
        <v>0.0919312809882603</v>
      </c>
      <c r="K404" s="1" t="s">
        <v>61</v>
      </c>
      <c r="L404" s="1" t="s">
        <v>61</v>
      </c>
      <c r="M404" s="1" t="s">
        <v>62</v>
      </c>
      <c r="N404" s="1">
        <v>-114.0</v>
      </c>
      <c r="O404" s="1">
        <v>-0.157329660326616</v>
      </c>
      <c r="P404" s="1" t="s">
        <v>61</v>
      </c>
      <c r="Q404" s="1" t="s">
        <v>61</v>
      </c>
      <c r="R404" s="1">
        <f t="shared" si="17"/>
        <v>0.09193128099</v>
      </c>
      <c r="S404" s="1">
        <f t="shared" si="18"/>
        <v>-114</v>
      </c>
      <c r="T404" s="1">
        <f t="shared" si="1"/>
        <v>1.877192982</v>
      </c>
      <c r="U404" s="1">
        <f t="shared" si="19"/>
        <v>1</v>
      </c>
      <c r="V404" s="3">
        <f t="shared" si="20"/>
        <v>2</v>
      </c>
      <c r="W404" s="3" t="str">
        <f>IFERROR(__xludf.DUMMYFUNCTION("split(B404,"" "")"),"Z.")</f>
        <v>Z.</v>
      </c>
      <c r="X404" s="3" t="str">
        <f>IFERROR(__xludf.DUMMYFUNCTION("""COMPUTED_VALUE"""),"White")</f>
        <v>White</v>
      </c>
      <c r="Z404" s="3">
        <v>14.0</v>
      </c>
      <c r="AA404" s="3">
        <f t="shared" si="21"/>
        <v>1</v>
      </c>
      <c r="AB404" s="3">
        <f t="shared" si="22"/>
        <v>1</v>
      </c>
      <c r="AC404" s="3">
        <f t="shared" si="23"/>
        <v>1.754385965</v>
      </c>
      <c r="AD404" s="3">
        <f t="shared" si="24"/>
        <v>1.754385965</v>
      </c>
    </row>
    <row r="405">
      <c r="A405" s="1" t="s">
        <v>8</v>
      </c>
      <c r="B405" s="1" t="s">
        <v>133</v>
      </c>
      <c r="C405" s="1" t="s">
        <v>19</v>
      </c>
      <c r="D405" s="1" t="s">
        <v>134</v>
      </c>
      <c r="E405" s="1" t="s">
        <v>77</v>
      </c>
      <c r="F405" s="1" t="s">
        <v>455</v>
      </c>
      <c r="G405" s="1">
        <v>10.5</v>
      </c>
      <c r="H405" s="1" t="s">
        <v>60</v>
      </c>
      <c r="I405" s="1">
        <v>-142.0</v>
      </c>
      <c r="J405" s="1">
        <v>-0.143794088076033</v>
      </c>
      <c r="K405" s="1" t="s">
        <v>61</v>
      </c>
      <c r="L405" s="1" t="s">
        <v>61</v>
      </c>
      <c r="M405" s="1" t="s">
        <v>62</v>
      </c>
      <c r="N405" s="1">
        <v>109.0</v>
      </c>
      <c r="O405" s="1">
        <v>0.0785352598775118</v>
      </c>
      <c r="P405" s="1" t="s">
        <v>61</v>
      </c>
      <c r="Q405" s="1" t="s">
        <v>61</v>
      </c>
      <c r="R405" s="1">
        <f t="shared" si="17"/>
        <v>0.07853525988</v>
      </c>
      <c r="S405" s="1">
        <f t="shared" si="18"/>
        <v>109</v>
      </c>
      <c r="T405" s="1">
        <f t="shared" si="1"/>
        <v>2.09</v>
      </c>
      <c r="U405" s="1">
        <f t="shared" si="19"/>
        <v>0</v>
      </c>
      <c r="V405" s="3">
        <f t="shared" si="20"/>
        <v>2</v>
      </c>
      <c r="W405" s="3" t="str">
        <f>IFERROR(__xludf.DUMMYFUNCTION("split(B405,"" "")"),"Z.")</f>
        <v>Z.</v>
      </c>
      <c r="X405" s="3" t="str">
        <f>IFERROR(__xludf.DUMMYFUNCTION("""COMPUTED_VALUE"""),"White")</f>
        <v>White</v>
      </c>
      <c r="Z405" s="3">
        <v>9.0</v>
      </c>
      <c r="AA405" s="3">
        <f t="shared" si="21"/>
        <v>0</v>
      </c>
      <c r="AB405" s="3">
        <f t="shared" si="22"/>
        <v>1</v>
      </c>
      <c r="AC405" s="3">
        <f t="shared" si="23"/>
        <v>2.18</v>
      </c>
      <c r="AD405" s="3">
        <f t="shared" si="24"/>
        <v>2.18</v>
      </c>
    </row>
    <row r="406">
      <c r="A406" s="1" t="s">
        <v>12</v>
      </c>
      <c r="B406" s="1" t="s">
        <v>472</v>
      </c>
      <c r="C406" s="1" t="s">
        <v>20</v>
      </c>
      <c r="D406" s="1" t="s">
        <v>134</v>
      </c>
      <c r="E406" s="1" t="s">
        <v>77</v>
      </c>
      <c r="F406" s="1" t="s">
        <v>455</v>
      </c>
      <c r="G406" s="1">
        <v>1.5</v>
      </c>
      <c r="H406" s="1" t="s">
        <v>60</v>
      </c>
      <c r="I406" s="1">
        <v>115.0</v>
      </c>
      <c r="J406" s="1">
        <v>-0.128755419074651</v>
      </c>
      <c r="K406" s="1" t="s">
        <v>61</v>
      </c>
      <c r="L406" s="1" t="s">
        <v>61</v>
      </c>
      <c r="M406" s="1" t="s">
        <v>62</v>
      </c>
      <c r="N406" s="1">
        <v>-151.0</v>
      </c>
      <c r="O406" s="1">
        <v>0.0620379241385259</v>
      </c>
      <c r="P406" s="1" t="s">
        <v>61</v>
      </c>
      <c r="Q406" s="1" t="s">
        <v>61</v>
      </c>
      <c r="R406" s="1">
        <f t="shared" si="17"/>
        <v>0.06203792414</v>
      </c>
      <c r="S406" s="1">
        <f t="shared" si="18"/>
        <v>-151</v>
      </c>
      <c r="T406" s="1">
        <f t="shared" si="1"/>
        <v>1.662251656</v>
      </c>
      <c r="U406" s="1">
        <f t="shared" si="19"/>
        <v>0</v>
      </c>
      <c r="V406" s="3">
        <f t="shared" si="20"/>
        <v>2</v>
      </c>
      <c r="W406" s="3" t="str">
        <f>IFERROR(__xludf.DUMMYFUNCTION("split(B406,"" "")"),"M.")</f>
        <v>M.</v>
      </c>
      <c r="X406" s="3" t="str">
        <f>IFERROR(__xludf.DUMMYFUNCTION("""COMPUTED_VALUE"""),"Mayer")</f>
        <v>Mayer</v>
      </c>
      <c r="Z406" s="3">
        <v>1.0</v>
      </c>
      <c r="AA406" s="3">
        <f t="shared" si="21"/>
        <v>0</v>
      </c>
      <c r="AB406" s="3">
        <f t="shared" si="22"/>
        <v>1</v>
      </c>
      <c r="AC406" s="3">
        <f t="shared" si="23"/>
        <v>1.324503311</v>
      </c>
      <c r="AD406" s="3">
        <f t="shared" si="24"/>
        <v>1.324503311</v>
      </c>
    </row>
    <row r="407">
      <c r="A407" s="1" t="s">
        <v>10</v>
      </c>
      <c r="B407" s="1" t="s">
        <v>473</v>
      </c>
      <c r="C407" s="1" t="s">
        <v>19</v>
      </c>
      <c r="D407" s="1" t="s">
        <v>134</v>
      </c>
      <c r="E407" s="1" t="s">
        <v>77</v>
      </c>
      <c r="F407" s="1" t="s">
        <v>455</v>
      </c>
      <c r="G407" s="1">
        <v>23.5</v>
      </c>
      <c r="H407" s="1" t="s">
        <v>60</v>
      </c>
      <c r="I407" s="1">
        <v>-116.0</v>
      </c>
      <c r="J407" s="1">
        <v>-0.107692641962124</v>
      </c>
      <c r="K407" s="1" t="s">
        <v>61</v>
      </c>
      <c r="L407" s="1" t="s">
        <v>61</v>
      </c>
      <c r="M407" s="1" t="s">
        <v>62</v>
      </c>
      <c r="N407" s="1">
        <v>-113.0</v>
      </c>
      <c r="O407" s="1">
        <v>0.0401910612681473</v>
      </c>
      <c r="P407" s="1" t="s">
        <v>61</v>
      </c>
      <c r="Q407" s="1" t="s">
        <v>61</v>
      </c>
      <c r="R407" s="1">
        <f t="shared" si="17"/>
        <v>0.04019106127</v>
      </c>
      <c r="S407" s="1">
        <f t="shared" si="18"/>
        <v>-113</v>
      </c>
      <c r="T407" s="1">
        <f t="shared" si="1"/>
        <v>1.884955752</v>
      </c>
      <c r="U407" s="1">
        <f t="shared" si="19"/>
        <v>0</v>
      </c>
      <c r="V407" s="3">
        <f t="shared" si="20"/>
        <v>1</v>
      </c>
      <c r="W407" s="3" t="str">
        <f>IFERROR(__xludf.DUMMYFUNCTION("split(B407,"" "")"),"A.")</f>
        <v>A.</v>
      </c>
      <c r="X407" s="3" t="str">
        <f>IFERROR(__xludf.DUMMYFUNCTION("""COMPUTED_VALUE"""),"Mattison")</f>
        <v>Mattison</v>
      </c>
      <c r="Z407" s="3">
        <v>1.0</v>
      </c>
      <c r="AA407" s="3">
        <f t="shared" si="21"/>
        <v>0</v>
      </c>
      <c r="AB407" s="3">
        <f t="shared" si="22"/>
        <v>1</v>
      </c>
      <c r="AC407" s="3">
        <f t="shared" si="23"/>
        <v>0.8849557522</v>
      </c>
      <c r="AD407" s="3">
        <f t="shared" si="24"/>
        <v>0.8849557522</v>
      </c>
    </row>
    <row r="408">
      <c r="A408" s="1" t="s">
        <v>8</v>
      </c>
      <c r="B408" s="1" t="s">
        <v>474</v>
      </c>
      <c r="C408" s="1" t="s">
        <v>21</v>
      </c>
      <c r="D408" s="1" t="s">
        <v>134</v>
      </c>
      <c r="E408" s="1" t="s">
        <v>77</v>
      </c>
      <c r="F408" s="1" t="s">
        <v>455</v>
      </c>
      <c r="G408" s="1">
        <v>2.5</v>
      </c>
      <c r="H408" s="1" t="s">
        <v>60</v>
      </c>
      <c r="I408" s="1">
        <v>110.0</v>
      </c>
      <c r="J408" s="1">
        <v>-0.104232257869428</v>
      </c>
      <c r="K408" s="1" t="s">
        <v>61</v>
      </c>
      <c r="L408" s="1" t="s">
        <v>61</v>
      </c>
      <c r="M408" s="1" t="s">
        <v>62</v>
      </c>
      <c r="N408" s="1">
        <v>-143.0</v>
      </c>
      <c r="O408" s="1">
        <v>0.0395695736557781</v>
      </c>
      <c r="P408" s="1" t="s">
        <v>61</v>
      </c>
      <c r="Q408" s="1" t="s">
        <v>61</v>
      </c>
      <c r="R408" s="1">
        <f t="shared" si="17"/>
        <v>0.03956957366</v>
      </c>
      <c r="S408" s="1">
        <f t="shared" si="18"/>
        <v>-143</v>
      </c>
      <c r="T408" s="1">
        <f t="shared" si="1"/>
        <v>1.699300699</v>
      </c>
      <c r="U408" s="1">
        <f t="shared" si="19"/>
        <v>0</v>
      </c>
      <c r="V408" s="3">
        <f t="shared" si="20"/>
        <v>1</v>
      </c>
      <c r="W408" s="3" t="str">
        <f>IFERROR(__xludf.DUMMYFUNCTION("split(B408,"" "")"),"G.")</f>
        <v>G.</v>
      </c>
      <c r="X408" s="3" t="str">
        <f>IFERROR(__xludf.DUMMYFUNCTION("""COMPUTED_VALUE"""),"Minshew")</f>
        <v>Minshew</v>
      </c>
      <c r="Z408" s="3">
        <v>1.0</v>
      </c>
      <c r="AA408" s="3">
        <f t="shared" si="21"/>
        <v>0</v>
      </c>
      <c r="AB408" s="3">
        <f t="shared" si="22"/>
        <v>1</v>
      </c>
      <c r="AC408" s="3">
        <f t="shared" si="23"/>
        <v>0.6993006993</v>
      </c>
      <c r="AD408" s="3">
        <f t="shared" si="24"/>
        <v>0.6993006993</v>
      </c>
    </row>
    <row r="409">
      <c r="A409" s="1" t="s">
        <v>12</v>
      </c>
      <c r="B409" s="1" t="s">
        <v>322</v>
      </c>
      <c r="C409" s="1" t="s">
        <v>18</v>
      </c>
      <c r="D409" s="1" t="s">
        <v>134</v>
      </c>
      <c r="E409" s="1" t="s">
        <v>77</v>
      </c>
      <c r="F409" s="1" t="s">
        <v>455</v>
      </c>
      <c r="G409" s="1">
        <v>5.5</v>
      </c>
      <c r="H409" s="1" t="s">
        <v>60</v>
      </c>
      <c r="I409" s="1">
        <v>105.0</v>
      </c>
      <c r="J409" s="1">
        <v>0.0275951219512194</v>
      </c>
      <c r="K409" s="1" t="s">
        <v>61</v>
      </c>
      <c r="L409" s="1" t="s">
        <v>61</v>
      </c>
      <c r="M409" s="1" t="s">
        <v>62</v>
      </c>
      <c r="N409" s="1">
        <v>-138.0</v>
      </c>
      <c r="O409" s="1">
        <v>-0.0952319327731091</v>
      </c>
      <c r="P409" s="1" t="s">
        <v>61</v>
      </c>
      <c r="Q409" s="1" t="s">
        <v>61</v>
      </c>
      <c r="R409" s="1">
        <f t="shared" si="17"/>
        <v>0.02759512195</v>
      </c>
      <c r="S409" s="1">
        <f t="shared" si="18"/>
        <v>105</v>
      </c>
      <c r="T409" s="1">
        <f t="shared" si="1"/>
        <v>2.05</v>
      </c>
      <c r="U409" s="1">
        <f t="shared" si="19"/>
        <v>1</v>
      </c>
      <c r="V409" s="3">
        <f t="shared" si="20"/>
        <v>1</v>
      </c>
      <c r="W409" s="3" t="str">
        <f>IFERROR(__xludf.DUMMYFUNCTION("split(B409,"" "")"),"D.")</f>
        <v>D.</v>
      </c>
      <c r="X409" s="3" t="str">
        <f>IFERROR(__xludf.DUMMYFUNCTION("""COMPUTED_VALUE"""),"Adams")</f>
        <v>Adams</v>
      </c>
      <c r="Z409" s="3">
        <v>9.0</v>
      </c>
      <c r="AA409" s="3">
        <f t="shared" si="21"/>
        <v>1</v>
      </c>
      <c r="AB409" s="3">
        <f t="shared" si="22"/>
        <v>1</v>
      </c>
      <c r="AC409" s="3">
        <f t="shared" si="23"/>
        <v>1.05</v>
      </c>
      <c r="AD409" s="3">
        <f t="shared" si="24"/>
        <v>1.05</v>
      </c>
    </row>
    <row r="410">
      <c r="A410" s="1" t="s">
        <v>11</v>
      </c>
      <c r="B410" s="1" t="s">
        <v>472</v>
      </c>
      <c r="C410" s="1" t="s">
        <v>20</v>
      </c>
      <c r="D410" s="1" t="s">
        <v>134</v>
      </c>
      <c r="E410" s="1" t="s">
        <v>77</v>
      </c>
      <c r="F410" s="1" t="s">
        <v>455</v>
      </c>
      <c r="G410" s="1">
        <v>10.5</v>
      </c>
      <c r="H410" s="1" t="s">
        <v>60</v>
      </c>
      <c r="I410" s="1">
        <v>-114.0</v>
      </c>
      <c r="J410" s="1">
        <v>0.0126890829007779</v>
      </c>
      <c r="K410" s="1" t="s">
        <v>61</v>
      </c>
      <c r="L410" s="1" t="s">
        <v>61</v>
      </c>
      <c r="M410" s="1" t="s">
        <v>62</v>
      </c>
      <c r="N410" s="1">
        <v>-116.0</v>
      </c>
      <c r="O410" s="1">
        <v>-0.0824213793485607</v>
      </c>
      <c r="P410" s="1" t="s">
        <v>61</v>
      </c>
      <c r="Q410" s="1" t="s">
        <v>61</v>
      </c>
      <c r="R410" s="1">
        <f t="shared" si="17"/>
        <v>0.0126890829</v>
      </c>
      <c r="S410" s="1">
        <f t="shared" si="18"/>
        <v>-114</v>
      </c>
      <c r="T410" s="1">
        <f t="shared" si="1"/>
        <v>1.877192982</v>
      </c>
      <c r="U410" s="1">
        <f t="shared" si="19"/>
        <v>1</v>
      </c>
      <c r="V410" s="3">
        <f t="shared" si="20"/>
        <v>1</v>
      </c>
      <c r="W410" s="3" t="str">
        <f>IFERROR(__xludf.DUMMYFUNCTION("split(B410,"" "")"),"M.")</f>
        <v>M.</v>
      </c>
      <c r="X410" s="3" t="str">
        <f>IFERROR(__xludf.DUMMYFUNCTION("""COMPUTED_VALUE"""),"Mayer")</f>
        <v>Mayer</v>
      </c>
      <c r="Z410" s="3">
        <v>11.0</v>
      </c>
      <c r="AA410" s="3">
        <f t="shared" si="21"/>
        <v>1</v>
      </c>
      <c r="AB410" s="3">
        <f t="shared" si="22"/>
        <v>1</v>
      </c>
      <c r="AC410" s="3">
        <f t="shared" si="23"/>
        <v>0.8771929825</v>
      </c>
      <c r="AD410" s="3">
        <f t="shared" si="24"/>
        <v>0.8771929825</v>
      </c>
    </row>
    <row r="411">
      <c r="A411" s="1" t="s">
        <v>11</v>
      </c>
      <c r="B411" s="1" t="s">
        <v>278</v>
      </c>
      <c r="C411" s="1" t="s">
        <v>18</v>
      </c>
      <c r="D411" s="1" t="s">
        <v>134</v>
      </c>
      <c r="E411" s="1" t="s">
        <v>77</v>
      </c>
      <c r="F411" s="1" t="s">
        <v>455</v>
      </c>
      <c r="G411" s="1">
        <v>36.5</v>
      </c>
      <c r="H411" s="1" t="s">
        <v>60</v>
      </c>
      <c r="I411" s="1">
        <v>-117.0</v>
      </c>
      <c r="J411" s="1">
        <v>-0.0820610049229034</v>
      </c>
      <c r="K411" s="1" t="s">
        <v>61</v>
      </c>
      <c r="L411" s="1" t="s">
        <v>61</v>
      </c>
      <c r="M411" s="1" t="s">
        <v>62</v>
      </c>
      <c r="N411" s="1">
        <v>-113.0</v>
      </c>
      <c r="O411" s="1">
        <v>0.0123717873279536</v>
      </c>
      <c r="P411" s="1" t="s">
        <v>61</v>
      </c>
      <c r="Q411" s="1" t="s">
        <v>61</v>
      </c>
      <c r="R411" s="1">
        <f t="shared" si="17"/>
        <v>0.01237178733</v>
      </c>
      <c r="S411" s="1">
        <f t="shared" si="18"/>
        <v>-113</v>
      </c>
      <c r="T411" s="1">
        <f t="shared" si="1"/>
        <v>1.884955752</v>
      </c>
      <c r="U411" s="1">
        <f t="shared" si="19"/>
        <v>0</v>
      </c>
      <c r="V411" s="3">
        <f t="shared" si="20"/>
        <v>1</v>
      </c>
      <c r="W411" s="3" t="str">
        <f>IFERROR(__xludf.DUMMYFUNCTION("split(B411,"" "")"),"J.")</f>
        <v>J.</v>
      </c>
      <c r="X411" s="3" t="str">
        <f>IFERROR(__xludf.DUMMYFUNCTION("""COMPUTED_VALUE"""),"Meyers")</f>
        <v>Meyers</v>
      </c>
      <c r="Z411" s="3">
        <v>29.0</v>
      </c>
      <c r="AA411" s="3">
        <f t="shared" si="21"/>
        <v>0</v>
      </c>
      <c r="AB411" s="3">
        <f t="shared" si="22"/>
        <v>1</v>
      </c>
      <c r="AC411" s="3">
        <f t="shared" si="23"/>
        <v>0.8849557522</v>
      </c>
      <c r="AD411" s="3">
        <f t="shared" si="24"/>
        <v>0.8849557522</v>
      </c>
    </row>
    <row r="412">
      <c r="A412" s="1" t="s">
        <v>12</v>
      </c>
      <c r="B412" s="1" t="s">
        <v>475</v>
      </c>
      <c r="C412" s="1" t="s">
        <v>18</v>
      </c>
      <c r="D412" s="1" t="s">
        <v>94</v>
      </c>
      <c r="E412" s="1" t="s">
        <v>104</v>
      </c>
      <c r="F412" s="1" t="s">
        <v>456</v>
      </c>
      <c r="G412" s="1">
        <v>4.5</v>
      </c>
      <c r="H412" s="1" t="s">
        <v>60</v>
      </c>
      <c r="I412" s="1">
        <v>-155.0</v>
      </c>
      <c r="J412" s="1">
        <v>-0.141821568627451</v>
      </c>
      <c r="K412" s="1" t="s">
        <v>61</v>
      </c>
      <c r="L412" s="1" t="s">
        <v>61</v>
      </c>
      <c r="M412" s="1" t="s">
        <v>62</v>
      </c>
      <c r="N412" s="1">
        <v>118.0</v>
      </c>
      <c r="O412" s="1">
        <v>0.0752761467889907</v>
      </c>
      <c r="P412" s="1" t="s">
        <v>61</v>
      </c>
      <c r="Q412" s="1" t="s">
        <v>61</v>
      </c>
      <c r="R412" s="1">
        <f t="shared" si="17"/>
        <v>0.07527614679</v>
      </c>
      <c r="S412" s="1">
        <f t="shared" si="18"/>
        <v>118</v>
      </c>
      <c r="T412" s="1">
        <f t="shared" si="1"/>
        <v>2.18</v>
      </c>
      <c r="U412" s="1">
        <f t="shared" si="19"/>
        <v>0</v>
      </c>
      <c r="V412" s="3">
        <f t="shared" si="20"/>
        <v>2</v>
      </c>
      <c r="W412" s="3" t="str">
        <f>IFERROR(__xludf.DUMMYFUNCTION("split(B412,"" "")"),"J.")</f>
        <v>J.</v>
      </c>
      <c r="X412" s="3" t="str">
        <f>IFERROR(__xludf.DUMMYFUNCTION("""COMPUTED_VALUE"""),"Waddle")</f>
        <v>Waddle</v>
      </c>
      <c r="Z412" s="3">
        <v>4.0</v>
      </c>
      <c r="AA412" s="3">
        <f t="shared" si="21"/>
        <v>0</v>
      </c>
      <c r="AB412" s="3">
        <f t="shared" si="22"/>
        <v>1</v>
      </c>
      <c r="AC412" s="3">
        <f t="shared" si="23"/>
        <v>2.36</v>
      </c>
      <c r="AD412" s="3">
        <f t="shared" si="24"/>
        <v>2.36</v>
      </c>
    </row>
    <row r="413">
      <c r="A413" s="1" t="s">
        <v>14</v>
      </c>
      <c r="B413" s="1" t="s">
        <v>316</v>
      </c>
      <c r="C413" s="1" t="s">
        <v>21</v>
      </c>
      <c r="D413" s="1" t="s">
        <v>94</v>
      </c>
      <c r="E413" s="1" t="s">
        <v>104</v>
      </c>
      <c r="F413" s="1" t="s">
        <v>456</v>
      </c>
      <c r="G413" s="1">
        <v>1.5</v>
      </c>
      <c r="H413" s="1" t="s">
        <v>60</v>
      </c>
      <c r="I413" s="1">
        <v>-136.0</v>
      </c>
      <c r="J413" s="1">
        <v>-0.111228813559322</v>
      </c>
      <c r="K413" s="1" t="s">
        <v>61</v>
      </c>
      <c r="L413" s="1" t="s">
        <v>61</v>
      </c>
      <c r="M413" s="1" t="s">
        <v>62</v>
      </c>
      <c r="N413" s="1">
        <v>106.0</v>
      </c>
      <c r="O413" s="1">
        <v>0.049514563106796</v>
      </c>
      <c r="P413" s="1" t="s">
        <v>61</v>
      </c>
      <c r="Q413" s="1" t="s">
        <v>61</v>
      </c>
      <c r="R413" s="1">
        <f t="shared" si="17"/>
        <v>0.04951456311</v>
      </c>
      <c r="S413" s="1">
        <f t="shared" si="18"/>
        <v>106</v>
      </c>
      <c r="T413" s="1">
        <f t="shared" si="1"/>
        <v>2.06</v>
      </c>
      <c r="U413" s="1">
        <f t="shared" si="19"/>
        <v>0</v>
      </c>
      <c r="V413" s="3">
        <f t="shared" si="20"/>
        <v>1</v>
      </c>
      <c r="W413" s="3" t="str">
        <f>IFERROR(__xludf.DUMMYFUNCTION("split(B413,"" "")"),"T.")</f>
        <v>T.</v>
      </c>
      <c r="X413" s="3" t="str">
        <f>IFERROR(__xludf.DUMMYFUNCTION("""COMPUTED_VALUE"""),"Tagovailoa")</f>
        <v>Tagovailoa</v>
      </c>
      <c r="Z413" s="3">
        <v>1.0</v>
      </c>
      <c r="AA413" s="3">
        <f t="shared" si="21"/>
        <v>0</v>
      </c>
      <c r="AB413" s="3">
        <f t="shared" si="22"/>
        <v>1</v>
      </c>
      <c r="AC413" s="3">
        <f t="shared" si="23"/>
        <v>1.06</v>
      </c>
      <c r="AD413" s="3">
        <f t="shared" si="24"/>
        <v>1.06</v>
      </c>
    </row>
    <row r="414">
      <c r="A414" s="1" t="s">
        <v>9</v>
      </c>
      <c r="B414" s="1" t="s">
        <v>441</v>
      </c>
      <c r="C414" s="1" t="s">
        <v>18</v>
      </c>
      <c r="D414" s="1" t="s">
        <v>94</v>
      </c>
      <c r="E414" s="1" t="s">
        <v>104</v>
      </c>
      <c r="F414" s="1" t="s">
        <v>456</v>
      </c>
      <c r="G414" s="1">
        <v>98.5</v>
      </c>
      <c r="H414" s="1" t="s">
        <v>60</v>
      </c>
      <c r="I414" s="1">
        <v>-117.0</v>
      </c>
      <c r="J414" s="1">
        <v>-0.106216665080131</v>
      </c>
      <c r="K414" s="1" t="s">
        <v>61</v>
      </c>
      <c r="L414" s="1" t="s">
        <v>61</v>
      </c>
      <c r="M414" s="1" t="s">
        <v>62</v>
      </c>
      <c r="N414" s="1">
        <v>-115.0</v>
      </c>
      <c r="O414" s="1">
        <v>0.0321694526499384</v>
      </c>
      <c r="P414" s="1" t="s">
        <v>61</v>
      </c>
      <c r="Q414" s="1" t="s">
        <v>61</v>
      </c>
      <c r="R414" s="1">
        <f t="shared" si="17"/>
        <v>0.03216945265</v>
      </c>
      <c r="S414" s="1">
        <f t="shared" si="18"/>
        <v>-115</v>
      </c>
      <c r="T414" s="1">
        <f t="shared" si="1"/>
        <v>1.869565217</v>
      </c>
      <c r="U414" s="1">
        <f t="shared" si="19"/>
        <v>0</v>
      </c>
      <c r="V414" s="3">
        <f t="shared" si="20"/>
        <v>1</v>
      </c>
      <c r="W414" s="3" t="str">
        <f>IFERROR(__xludf.DUMMYFUNCTION("split(B414,"" "")"),"T.")</f>
        <v>T.</v>
      </c>
      <c r="X414" s="3" t="str">
        <f>IFERROR(__xludf.DUMMYFUNCTION("""COMPUTED_VALUE"""),"Hill")</f>
        <v>Hill</v>
      </c>
      <c r="Z414" s="3">
        <v>36.0</v>
      </c>
      <c r="AA414" s="3">
        <f t="shared" si="21"/>
        <v>0</v>
      </c>
      <c r="AB414" s="3">
        <f t="shared" si="22"/>
        <v>1</v>
      </c>
      <c r="AC414" s="3">
        <f t="shared" si="23"/>
        <v>0.8695652174</v>
      </c>
      <c r="AD414" s="3">
        <f t="shared" si="24"/>
        <v>0.8695652174</v>
      </c>
    </row>
    <row r="415">
      <c r="A415" s="1" t="s">
        <v>10</v>
      </c>
      <c r="B415" s="1" t="s">
        <v>316</v>
      </c>
      <c r="C415" s="1" t="s">
        <v>21</v>
      </c>
      <c r="D415" s="1" t="s">
        <v>94</v>
      </c>
      <c r="E415" s="1" t="s">
        <v>104</v>
      </c>
      <c r="F415" s="1" t="s">
        <v>456</v>
      </c>
      <c r="G415" s="1">
        <v>4.5</v>
      </c>
      <c r="H415" s="1" t="s">
        <v>60</v>
      </c>
      <c r="I415" s="1">
        <v>-115.0</v>
      </c>
      <c r="J415" s="1">
        <v>0.00360020666288141</v>
      </c>
      <c r="K415" s="1" t="s">
        <v>61</v>
      </c>
      <c r="L415" s="1" t="s">
        <v>61</v>
      </c>
      <c r="M415" s="1" t="s">
        <v>62</v>
      </c>
      <c r="N415" s="1">
        <v>-112.0</v>
      </c>
      <c r="O415" s="1">
        <v>-0.0667292913416126</v>
      </c>
      <c r="P415" s="1" t="s">
        <v>61</v>
      </c>
      <c r="Q415" s="1" t="s">
        <v>61</v>
      </c>
      <c r="R415" s="1">
        <f t="shared" si="17"/>
        <v>0.003600206663</v>
      </c>
      <c r="S415" s="1">
        <f t="shared" si="18"/>
        <v>-115</v>
      </c>
      <c r="T415" s="1">
        <f t="shared" si="1"/>
        <v>1.869565217</v>
      </c>
      <c r="U415" s="1">
        <f t="shared" si="19"/>
        <v>1</v>
      </c>
      <c r="V415" s="3">
        <f t="shared" si="20"/>
        <v>1</v>
      </c>
      <c r="W415" s="3" t="str">
        <f>IFERROR(__xludf.DUMMYFUNCTION("split(B415,"" "")"),"T.")</f>
        <v>T.</v>
      </c>
      <c r="X415" s="3" t="str">
        <f>IFERROR(__xludf.DUMMYFUNCTION("""COMPUTED_VALUE"""),"Tagovailoa")</f>
        <v>Tagovailoa</v>
      </c>
      <c r="Z415" s="3">
        <v>17.0</v>
      </c>
      <c r="AA415" s="3">
        <f t="shared" si="21"/>
        <v>1</v>
      </c>
      <c r="AB415" s="3">
        <f t="shared" si="22"/>
        <v>1</v>
      </c>
      <c r="AC415" s="3">
        <f t="shared" si="23"/>
        <v>0.8695652174</v>
      </c>
      <c r="AD415" s="3">
        <f t="shared" si="24"/>
        <v>0.8695652174</v>
      </c>
    </row>
    <row r="416">
      <c r="A416" s="1" t="s">
        <v>8</v>
      </c>
      <c r="B416" s="1" t="s">
        <v>316</v>
      </c>
      <c r="C416" s="1" t="s">
        <v>21</v>
      </c>
      <c r="D416" s="1" t="s">
        <v>94</v>
      </c>
      <c r="E416" s="1" t="s">
        <v>104</v>
      </c>
      <c r="F416" s="1" t="s">
        <v>456</v>
      </c>
      <c r="G416" s="1">
        <v>2.5</v>
      </c>
      <c r="H416" s="1" t="s">
        <v>60</v>
      </c>
      <c r="I416" s="1">
        <v>132.0</v>
      </c>
      <c r="J416" s="1">
        <v>-0.0663808477236935</v>
      </c>
      <c r="K416" s="1" t="s">
        <v>61</v>
      </c>
      <c r="L416" s="1" t="s">
        <v>61</v>
      </c>
      <c r="M416" s="1" t="s">
        <v>62</v>
      </c>
      <c r="N416" s="1">
        <v>-173.0</v>
      </c>
      <c r="O416" s="1">
        <v>0.00165200644461549</v>
      </c>
      <c r="P416" s="1" t="s">
        <v>61</v>
      </c>
      <c r="Q416" s="1" t="s">
        <v>61</v>
      </c>
      <c r="R416" s="1">
        <f t="shared" si="17"/>
        <v>0.001652006445</v>
      </c>
      <c r="S416" s="1">
        <f t="shared" si="18"/>
        <v>-173</v>
      </c>
      <c r="T416" s="1">
        <f t="shared" si="1"/>
        <v>1.578034682</v>
      </c>
      <c r="U416" s="1">
        <f t="shared" si="19"/>
        <v>0</v>
      </c>
      <c r="V416" s="3">
        <f t="shared" si="20"/>
        <v>1</v>
      </c>
      <c r="W416" s="3" t="str">
        <f>IFERROR(__xludf.DUMMYFUNCTION("split(B416,"" "")"),"T.")</f>
        <v>T.</v>
      </c>
      <c r="X416" s="3" t="str">
        <f>IFERROR(__xludf.DUMMYFUNCTION("""COMPUTED_VALUE"""),"Tagovailoa")</f>
        <v>Tagovailoa</v>
      </c>
      <c r="Z416" s="3">
        <v>2.0</v>
      </c>
      <c r="AA416" s="3">
        <f t="shared" si="21"/>
        <v>0</v>
      </c>
      <c r="AB416" s="3">
        <f t="shared" si="22"/>
        <v>1</v>
      </c>
      <c r="AC416" s="3">
        <f t="shared" si="23"/>
        <v>0.5780346821</v>
      </c>
      <c r="AD416" s="3">
        <f t="shared" si="24"/>
        <v>0.5780346821</v>
      </c>
    </row>
    <row r="417">
      <c r="A417" s="1" t="s">
        <v>8</v>
      </c>
      <c r="B417" s="1" t="s">
        <v>304</v>
      </c>
      <c r="C417" s="1" t="s">
        <v>19</v>
      </c>
      <c r="D417" s="1" t="s">
        <v>146</v>
      </c>
      <c r="E417" s="1" t="s">
        <v>164</v>
      </c>
      <c r="F417" s="1" t="s">
        <v>455</v>
      </c>
      <c r="G417" s="1">
        <v>12.5</v>
      </c>
      <c r="H417" s="1" t="s">
        <v>60</v>
      </c>
      <c r="I417" s="1">
        <v>-108.0</v>
      </c>
      <c r="J417" s="1">
        <v>-0.124633996721634</v>
      </c>
      <c r="K417" s="1" t="s">
        <v>61</v>
      </c>
      <c r="L417" s="1" t="s">
        <v>61</v>
      </c>
      <c r="M417" s="1" t="s">
        <v>62</v>
      </c>
      <c r="N417" s="1">
        <v>-123.0</v>
      </c>
      <c r="O417" s="1">
        <v>0.0538194696020762</v>
      </c>
      <c r="P417" s="1" t="s">
        <v>61</v>
      </c>
      <c r="Q417" s="1" t="s">
        <v>61</v>
      </c>
      <c r="R417" s="1">
        <f t="shared" si="17"/>
        <v>0.0538194696</v>
      </c>
      <c r="S417" s="1">
        <f t="shared" si="18"/>
        <v>-123</v>
      </c>
      <c r="T417" s="1">
        <f t="shared" si="1"/>
        <v>1.81300813</v>
      </c>
      <c r="U417" s="1">
        <f t="shared" si="19"/>
        <v>0</v>
      </c>
      <c r="V417" s="3">
        <f t="shared" si="20"/>
        <v>2</v>
      </c>
      <c r="W417" s="3" t="str">
        <f>IFERROR(__xludf.DUMMYFUNCTION("split(B417,"" "")"),"A.")</f>
        <v>A.</v>
      </c>
      <c r="X417" s="3" t="str">
        <f>IFERROR(__xludf.DUMMYFUNCTION("""COMPUTED_VALUE"""),"Jones")</f>
        <v>Jones</v>
      </c>
      <c r="Z417" s="3">
        <v>9.0</v>
      </c>
      <c r="AA417" s="3">
        <f t="shared" si="21"/>
        <v>0</v>
      </c>
      <c r="AB417" s="3">
        <f t="shared" si="22"/>
        <v>1</v>
      </c>
      <c r="AC417" s="3">
        <f t="shared" si="23"/>
        <v>1.62601626</v>
      </c>
      <c r="AD417" s="3">
        <f t="shared" si="24"/>
        <v>1.62601626</v>
      </c>
    </row>
    <row r="418">
      <c r="A418" s="1" t="s">
        <v>9</v>
      </c>
      <c r="B418" s="1" t="s">
        <v>304</v>
      </c>
      <c r="C418" s="1" t="s">
        <v>19</v>
      </c>
      <c r="D418" s="1" t="s">
        <v>146</v>
      </c>
      <c r="E418" s="1" t="s">
        <v>164</v>
      </c>
      <c r="F418" s="1" t="s">
        <v>455</v>
      </c>
      <c r="G418" s="1">
        <v>73.5</v>
      </c>
      <c r="H418" s="1" t="s">
        <v>60</v>
      </c>
      <c r="I418" s="1">
        <v>-118.0</v>
      </c>
      <c r="J418" s="1">
        <v>-0.107609890408132</v>
      </c>
      <c r="K418" s="1" t="s">
        <v>61</v>
      </c>
      <c r="L418" s="1" t="s">
        <v>61</v>
      </c>
      <c r="M418" s="1" t="s">
        <v>62</v>
      </c>
      <c r="N418" s="1">
        <v>-115.0</v>
      </c>
      <c r="O418" s="1">
        <v>0.03144599779218</v>
      </c>
      <c r="P418" s="1" t="s">
        <v>61</v>
      </c>
      <c r="Q418" s="1" t="s">
        <v>61</v>
      </c>
      <c r="R418" s="1">
        <f t="shared" si="17"/>
        <v>0.03144599779</v>
      </c>
      <c r="S418" s="1">
        <f t="shared" si="18"/>
        <v>-115</v>
      </c>
      <c r="T418" s="1">
        <f t="shared" si="1"/>
        <v>1.869565217</v>
      </c>
      <c r="U418" s="1">
        <f t="shared" si="19"/>
        <v>0</v>
      </c>
      <c r="V418" s="3">
        <f t="shared" si="20"/>
        <v>1</v>
      </c>
      <c r="W418" s="3" t="str">
        <f>IFERROR(__xludf.DUMMYFUNCTION("split(B418,"" "")"),"A.")</f>
        <v>A.</v>
      </c>
      <c r="X418" s="3" t="str">
        <f>IFERROR(__xludf.DUMMYFUNCTION("""COMPUTED_VALUE"""),"Jones")</f>
        <v>Jones</v>
      </c>
      <c r="Z418" s="3">
        <v>68.0</v>
      </c>
      <c r="AA418" s="3">
        <f t="shared" si="21"/>
        <v>0</v>
      </c>
      <c r="AB418" s="3">
        <f t="shared" si="22"/>
        <v>1</v>
      </c>
      <c r="AC418" s="3">
        <f t="shared" si="23"/>
        <v>0.8695652174</v>
      </c>
      <c r="AD418" s="3">
        <f t="shared" si="24"/>
        <v>0.8695652174</v>
      </c>
    </row>
    <row r="419">
      <c r="A419" s="1" t="s">
        <v>14</v>
      </c>
      <c r="B419" s="1" t="s">
        <v>145</v>
      </c>
      <c r="C419" s="1" t="s">
        <v>21</v>
      </c>
      <c r="D419" s="1" t="s">
        <v>146</v>
      </c>
      <c r="E419" s="1" t="s">
        <v>164</v>
      </c>
      <c r="F419" s="1" t="s">
        <v>455</v>
      </c>
      <c r="G419" s="1">
        <v>1.5</v>
      </c>
      <c r="H419" s="1" t="s">
        <v>60</v>
      </c>
      <c r="I419" s="1">
        <v>146.0</v>
      </c>
      <c r="J419" s="1">
        <v>0.00179593495934965</v>
      </c>
      <c r="K419" s="1" t="s">
        <v>61</v>
      </c>
      <c r="L419" s="1" t="s">
        <v>61</v>
      </c>
      <c r="M419" s="1" t="s">
        <v>62</v>
      </c>
      <c r="N419" s="1">
        <v>-195.0</v>
      </c>
      <c r="O419" s="1">
        <v>-0.0693169491525425</v>
      </c>
      <c r="P419" s="1" t="s">
        <v>61</v>
      </c>
      <c r="Q419" s="1" t="s">
        <v>61</v>
      </c>
      <c r="R419" s="1">
        <f t="shared" si="17"/>
        <v>0.001795934959</v>
      </c>
      <c r="S419" s="1">
        <f t="shared" si="18"/>
        <v>146</v>
      </c>
      <c r="T419" s="1">
        <f t="shared" si="1"/>
        <v>2.46</v>
      </c>
      <c r="U419" s="1">
        <f t="shared" si="19"/>
        <v>1</v>
      </c>
      <c r="V419" s="3">
        <f t="shared" si="20"/>
        <v>1</v>
      </c>
      <c r="W419" s="3" t="str">
        <f>IFERROR(__xludf.DUMMYFUNCTION("split(B419,"" "")"),"S.")</f>
        <v>S.</v>
      </c>
      <c r="X419" s="3" t="str">
        <f>IFERROR(__xludf.DUMMYFUNCTION("""COMPUTED_VALUE"""),"Darnold")</f>
        <v>Darnold</v>
      </c>
      <c r="Z419" s="3">
        <v>2.0</v>
      </c>
      <c r="AA419" s="3">
        <f t="shared" si="21"/>
        <v>1</v>
      </c>
      <c r="AB419" s="3">
        <f t="shared" si="22"/>
        <v>1</v>
      </c>
      <c r="AC419" s="3">
        <f t="shared" si="23"/>
        <v>1.46</v>
      </c>
      <c r="AD419" s="3">
        <f t="shared" si="24"/>
        <v>1.46</v>
      </c>
    </row>
    <row r="420">
      <c r="A420" s="1" t="s">
        <v>12</v>
      </c>
      <c r="B420" s="1" t="s">
        <v>476</v>
      </c>
      <c r="C420" s="1" t="s">
        <v>19</v>
      </c>
      <c r="D420" s="1" t="s">
        <v>66</v>
      </c>
      <c r="E420" s="1" t="s">
        <v>82</v>
      </c>
      <c r="F420" s="1" t="s">
        <v>455</v>
      </c>
      <c r="G420" s="1">
        <v>2.5</v>
      </c>
      <c r="H420" s="1" t="s">
        <v>60</v>
      </c>
      <c r="I420" s="1">
        <v>-138.0</v>
      </c>
      <c r="J420" s="1">
        <v>-0.291670153193277</v>
      </c>
      <c r="K420" s="1" t="s">
        <v>61</v>
      </c>
      <c r="L420" s="1" t="s">
        <v>61</v>
      </c>
      <c r="M420" s="1" t="s">
        <v>62</v>
      </c>
      <c r="N420" s="1">
        <v>106.0</v>
      </c>
      <c r="O420" s="1">
        <v>0.226407264368932</v>
      </c>
      <c r="P420" s="1" t="s">
        <v>61</v>
      </c>
      <c r="Q420" s="1" t="s">
        <v>61</v>
      </c>
      <c r="R420" s="1">
        <f t="shared" si="17"/>
        <v>0.2264072644</v>
      </c>
      <c r="S420" s="1">
        <f t="shared" si="18"/>
        <v>106</v>
      </c>
      <c r="T420" s="1">
        <f t="shared" si="1"/>
        <v>2.06</v>
      </c>
      <c r="U420" s="1">
        <f t="shared" si="19"/>
        <v>0</v>
      </c>
      <c r="V420" s="3">
        <f t="shared" si="20"/>
        <v>3</v>
      </c>
      <c r="W420" s="3" t="str">
        <f>IFERROR(__xludf.DUMMYFUNCTION("split(B420,"" "")"),"R.")</f>
        <v>R.</v>
      </c>
      <c r="X420" s="3" t="str">
        <f>IFERROR(__xludf.DUMMYFUNCTION("""COMPUTED_VALUE"""),"Stevenson")</f>
        <v>Stevenson</v>
      </c>
      <c r="Z420" s="3">
        <v>2.0</v>
      </c>
      <c r="AA420" s="3">
        <f t="shared" si="21"/>
        <v>0</v>
      </c>
      <c r="AB420" s="3">
        <f t="shared" si="22"/>
        <v>1</v>
      </c>
      <c r="AC420" s="3">
        <f t="shared" si="23"/>
        <v>3.18</v>
      </c>
      <c r="AD420" s="3">
        <f t="shared" si="24"/>
        <v>3.18</v>
      </c>
    </row>
    <row r="421">
      <c r="A421" s="1" t="s">
        <v>8</v>
      </c>
      <c r="B421" s="1" t="s">
        <v>65</v>
      </c>
      <c r="C421" s="1" t="s">
        <v>21</v>
      </c>
      <c r="D421" s="1" t="s">
        <v>66</v>
      </c>
      <c r="E421" s="1" t="s">
        <v>82</v>
      </c>
      <c r="F421" s="1" t="s">
        <v>455</v>
      </c>
      <c r="G421" s="1">
        <v>3.5</v>
      </c>
      <c r="H421" s="1" t="s">
        <v>60</v>
      </c>
      <c r="I421" s="1">
        <v>-148.0</v>
      </c>
      <c r="J421" s="1">
        <v>-0.240927044742989</v>
      </c>
      <c r="K421" s="1" t="s">
        <v>61</v>
      </c>
      <c r="L421" s="1" t="s">
        <v>61</v>
      </c>
      <c r="M421" s="1" t="s">
        <v>62</v>
      </c>
      <c r="N421" s="1">
        <v>112.0</v>
      </c>
      <c r="O421" s="1">
        <v>0.172446731586138</v>
      </c>
      <c r="P421" s="1" t="s">
        <v>61</v>
      </c>
      <c r="Q421" s="1" t="s">
        <v>61</v>
      </c>
      <c r="R421" s="1">
        <f t="shared" si="17"/>
        <v>0.1724467316</v>
      </c>
      <c r="S421" s="1">
        <f t="shared" si="18"/>
        <v>112</v>
      </c>
      <c r="T421" s="1">
        <f t="shared" si="1"/>
        <v>2.12</v>
      </c>
      <c r="U421" s="1">
        <f t="shared" si="19"/>
        <v>0</v>
      </c>
      <c r="V421" s="3">
        <f t="shared" si="20"/>
        <v>3</v>
      </c>
      <c r="W421" s="3" t="str">
        <f>IFERROR(__xludf.DUMMYFUNCTION("split(B421,"" "")"),"J.")</f>
        <v>J.</v>
      </c>
      <c r="X421" s="3" t="str">
        <f>IFERROR(__xludf.DUMMYFUNCTION("""COMPUTED_VALUE"""),"Brissett")</f>
        <v>Brissett</v>
      </c>
      <c r="Z421" s="3">
        <v>2.0</v>
      </c>
      <c r="AA421" s="3">
        <f t="shared" si="21"/>
        <v>0</v>
      </c>
      <c r="AB421" s="3">
        <f t="shared" si="22"/>
        <v>1</v>
      </c>
      <c r="AC421" s="3">
        <f t="shared" si="23"/>
        <v>3.36</v>
      </c>
      <c r="AD421" s="3">
        <f t="shared" si="24"/>
        <v>3.36</v>
      </c>
    </row>
    <row r="422">
      <c r="A422" s="1" t="s">
        <v>12</v>
      </c>
      <c r="B422" s="1" t="s">
        <v>212</v>
      </c>
      <c r="C422" s="1" t="s">
        <v>18</v>
      </c>
      <c r="D422" s="1" t="s">
        <v>66</v>
      </c>
      <c r="E422" s="1" t="s">
        <v>82</v>
      </c>
      <c r="F422" s="1" t="s">
        <v>455</v>
      </c>
      <c r="G422" s="1">
        <v>2.5</v>
      </c>
      <c r="H422" s="1" t="s">
        <v>60</v>
      </c>
      <c r="I422" s="1">
        <v>108.0</v>
      </c>
      <c r="J422" s="1">
        <v>-0.161215854884615</v>
      </c>
      <c r="K422" s="1" t="s">
        <v>61</v>
      </c>
      <c r="L422" s="1" t="s">
        <v>61</v>
      </c>
      <c r="M422" s="1" t="s">
        <v>62</v>
      </c>
      <c r="N422" s="1">
        <v>-141.0</v>
      </c>
      <c r="O422" s="1">
        <v>0.0953776161078839</v>
      </c>
      <c r="P422" s="1" t="s">
        <v>61</v>
      </c>
      <c r="Q422" s="1" t="s">
        <v>61</v>
      </c>
      <c r="R422" s="1">
        <f t="shared" si="17"/>
        <v>0.09537761611</v>
      </c>
      <c r="S422" s="1">
        <f t="shared" si="18"/>
        <v>-141</v>
      </c>
      <c r="T422" s="1">
        <f t="shared" si="1"/>
        <v>1.709219858</v>
      </c>
      <c r="U422" s="1">
        <f t="shared" si="19"/>
        <v>0</v>
      </c>
      <c r="V422" s="3">
        <f t="shared" si="20"/>
        <v>2</v>
      </c>
      <c r="W422" s="3" t="str">
        <f>IFERROR(__xludf.DUMMYFUNCTION("split(B422,"" "")"),"K.")</f>
        <v>K.</v>
      </c>
      <c r="X422" s="3" t="str">
        <f>IFERROR(__xludf.DUMMYFUNCTION("""COMPUTED_VALUE"""),"Osborn")</f>
        <v>Osborn</v>
      </c>
      <c r="Z422" s="3">
        <v>1.0</v>
      </c>
      <c r="AA422" s="3">
        <f t="shared" si="21"/>
        <v>0</v>
      </c>
      <c r="AB422" s="3">
        <f t="shared" si="22"/>
        <v>1</v>
      </c>
      <c r="AC422" s="3">
        <f t="shared" si="23"/>
        <v>1.418439716</v>
      </c>
      <c r="AD422" s="3">
        <f t="shared" si="24"/>
        <v>1.418439716</v>
      </c>
    </row>
    <row r="423">
      <c r="A423" s="1" t="s">
        <v>12</v>
      </c>
      <c r="B423" s="1" t="s">
        <v>131</v>
      </c>
      <c r="C423" s="1" t="s">
        <v>18</v>
      </c>
      <c r="D423" s="1" t="s">
        <v>66</v>
      </c>
      <c r="E423" s="1" t="s">
        <v>82</v>
      </c>
      <c r="F423" s="1" t="s">
        <v>455</v>
      </c>
      <c r="G423" s="1">
        <v>3.5</v>
      </c>
      <c r="H423" s="1" t="s">
        <v>60</v>
      </c>
      <c r="I423" s="1">
        <v>-102.0</v>
      </c>
      <c r="J423" s="1">
        <v>-0.147300990099009</v>
      </c>
      <c r="K423" s="1" t="s">
        <v>61</v>
      </c>
      <c r="L423" s="1" t="s">
        <v>61</v>
      </c>
      <c r="M423" s="1" t="s">
        <v>62</v>
      </c>
      <c r="N423" s="1">
        <v>-129.0</v>
      </c>
      <c r="O423" s="1">
        <v>0.0790248908296943</v>
      </c>
      <c r="P423" s="1" t="s">
        <v>61</v>
      </c>
      <c r="Q423" s="1" t="s">
        <v>61</v>
      </c>
      <c r="R423" s="1">
        <f t="shared" si="17"/>
        <v>0.07902489083</v>
      </c>
      <c r="S423" s="1">
        <f t="shared" si="18"/>
        <v>-129</v>
      </c>
      <c r="T423" s="1">
        <f t="shared" si="1"/>
        <v>1.775193798</v>
      </c>
      <c r="U423" s="1">
        <f t="shared" si="19"/>
        <v>0</v>
      </c>
      <c r="V423" s="3">
        <f t="shared" si="20"/>
        <v>2</v>
      </c>
      <c r="W423" s="3" t="str">
        <f>IFERROR(__xludf.DUMMYFUNCTION("split(B423,"" "")"),"D.")</f>
        <v>D.</v>
      </c>
      <c r="X423" s="3" t="str">
        <f>IFERROR(__xludf.DUMMYFUNCTION("""COMPUTED_VALUE"""),"Douglas")</f>
        <v>Douglas</v>
      </c>
      <c r="Z423" s="3">
        <v>0.0</v>
      </c>
      <c r="AA423" s="3">
        <f t="shared" si="21"/>
        <v>0</v>
      </c>
      <c r="AB423" s="3">
        <f t="shared" si="22"/>
        <v>1</v>
      </c>
      <c r="AC423" s="3">
        <f t="shared" si="23"/>
        <v>1.550387597</v>
      </c>
      <c r="AD423" s="3">
        <f t="shared" si="24"/>
        <v>1.550387597</v>
      </c>
    </row>
    <row r="424">
      <c r="A424" s="1" t="s">
        <v>15</v>
      </c>
      <c r="B424" s="1" t="s">
        <v>65</v>
      </c>
      <c r="C424" s="1" t="s">
        <v>21</v>
      </c>
      <c r="D424" s="1" t="s">
        <v>66</v>
      </c>
      <c r="E424" s="1" t="s">
        <v>82</v>
      </c>
      <c r="F424" s="1" t="s">
        <v>455</v>
      </c>
      <c r="G424" s="1">
        <v>18.5</v>
      </c>
      <c r="H424" s="1" t="s">
        <v>60</v>
      </c>
      <c r="I424" s="1">
        <v>-116.0</v>
      </c>
      <c r="J424" s="1">
        <v>-0.139036525972222</v>
      </c>
      <c r="K424" s="1" t="s">
        <v>61</v>
      </c>
      <c r="L424" s="1" t="s">
        <v>61</v>
      </c>
      <c r="M424" s="1" t="s">
        <v>62</v>
      </c>
      <c r="N424" s="1">
        <v>-114.0</v>
      </c>
      <c r="O424" s="1">
        <v>0.0692891315672897</v>
      </c>
      <c r="P424" s="1" t="s">
        <v>61</v>
      </c>
      <c r="Q424" s="1" t="s">
        <v>61</v>
      </c>
      <c r="R424" s="1">
        <f t="shared" si="17"/>
        <v>0.06928913157</v>
      </c>
      <c r="S424" s="1">
        <f t="shared" si="18"/>
        <v>-114</v>
      </c>
      <c r="T424" s="1">
        <f t="shared" si="1"/>
        <v>1.877192982</v>
      </c>
      <c r="U424" s="1">
        <f t="shared" si="19"/>
        <v>0</v>
      </c>
      <c r="V424" s="3">
        <f t="shared" si="20"/>
        <v>2</v>
      </c>
      <c r="W424" s="3" t="str">
        <f>IFERROR(__xludf.DUMMYFUNCTION("split(B424,"" "")"),"J.")</f>
        <v>J.</v>
      </c>
      <c r="X424" s="3" t="str">
        <f>IFERROR(__xludf.DUMMYFUNCTION("""COMPUTED_VALUE"""),"Brissett")</f>
        <v>Brissett</v>
      </c>
      <c r="Z424" s="3">
        <v>15.0</v>
      </c>
      <c r="AA424" s="3">
        <f t="shared" si="21"/>
        <v>0</v>
      </c>
      <c r="AB424" s="3">
        <f t="shared" si="22"/>
        <v>1</v>
      </c>
      <c r="AC424" s="3">
        <f t="shared" si="23"/>
        <v>1.754385965</v>
      </c>
      <c r="AD424" s="3">
        <f t="shared" si="24"/>
        <v>1.754385965</v>
      </c>
    </row>
    <row r="425">
      <c r="A425" s="1" t="s">
        <v>17</v>
      </c>
      <c r="B425" s="1" t="s">
        <v>65</v>
      </c>
      <c r="C425" s="1" t="s">
        <v>21</v>
      </c>
      <c r="D425" s="1" t="s">
        <v>66</v>
      </c>
      <c r="E425" s="1" t="s">
        <v>82</v>
      </c>
      <c r="F425" s="1" t="s">
        <v>455</v>
      </c>
      <c r="G425" s="1">
        <v>0.5</v>
      </c>
      <c r="H425" s="1" t="s">
        <v>60</v>
      </c>
      <c r="I425" s="1">
        <v>-126.0</v>
      </c>
      <c r="J425" s="1">
        <v>-0.127422123893805</v>
      </c>
      <c r="K425" s="1" t="s">
        <v>61</v>
      </c>
      <c r="L425" s="1" t="s">
        <v>61</v>
      </c>
      <c r="M425" s="1" t="s">
        <v>62</v>
      </c>
      <c r="N425" s="1">
        <v>-105.0</v>
      </c>
      <c r="O425" s="1">
        <v>0.0577048780487804</v>
      </c>
      <c r="P425" s="1" t="s">
        <v>61</v>
      </c>
      <c r="Q425" s="1" t="s">
        <v>61</v>
      </c>
      <c r="R425" s="1">
        <f t="shared" si="17"/>
        <v>0.05770487805</v>
      </c>
      <c r="S425" s="1">
        <f t="shared" si="18"/>
        <v>-105</v>
      </c>
      <c r="T425" s="1">
        <f t="shared" si="1"/>
        <v>1.952380952</v>
      </c>
      <c r="U425" s="1">
        <f t="shared" si="19"/>
        <v>0</v>
      </c>
      <c r="V425" s="3">
        <f t="shared" si="20"/>
        <v>2</v>
      </c>
      <c r="W425" s="3" t="str">
        <f>IFERROR(__xludf.DUMMYFUNCTION("split(B425,"" "")"),"J.")</f>
        <v>J.</v>
      </c>
      <c r="X425" s="3" t="str">
        <f>IFERROR(__xludf.DUMMYFUNCTION("""COMPUTED_VALUE"""),"Brissett")</f>
        <v>Brissett</v>
      </c>
      <c r="Z425" s="3">
        <v>0.0</v>
      </c>
      <c r="AA425" s="3">
        <f t="shared" si="21"/>
        <v>0</v>
      </c>
      <c r="AB425" s="3">
        <f t="shared" si="22"/>
        <v>1</v>
      </c>
      <c r="AC425" s="3">
        <f t="shared" si="23"/>
        <v>1.904761905</v>
      </c>
      <c r="AD425" s="3">
        <f t="shared" si="24"/>
        <v>1.904761905</v>
      </c>
    </row>
    <row r="426">
      <c r="A426" s="1" t="s">
        <v>12</v>
      </c>
      <c r="B426" s="1" t="s">
        <v>371</v>
      </c>
      <c r="C426" s="1" t="s">
        <v>18</v>
      </c>
      <c r="D426" s="1" t="s">
        <v>66</v>
      </c>
      <c r="E426" s="1" t="s">
        <v>82</v>
      </c>
      <c r="F426" s="1" t="s">
        <v>455</v>
      </c>
      <c r="G426" s="1">
        <v>2.5</v>
      </c>
      <c r="H426" s="1" t="s">
        <v>60</v>
      </c>
      <c r="I426" s="1">
        <v>141.0</v>
      </c>
      <c r="J426" s="1">
        <v>-0.114690107253526</v>
      </c>
      <c r="K426" s="1" t="s">
        <v>61</v>
      </c>
      <c r="L426" s="1" t="s">
        <v>61</v>
      </c>
      <c r="M426" s="1" t="s">
        <v>62</v>
      </c>
      <c r="N426" s="1">
        <v>-187.0</v>
      </c>
      <c r="O426" s="1">
        <v>0.0481903542045295</v>
      </c>
      <c r="P426" s="1" t="s">
        <v>61</v>
      </c>
      <c r="Q426" s="1" t="s">
        <v>61</v>
      </c>
      <c r="R426" s="1">
        <f t="shared" si="17"/>
        <v>0.0481903542</v>
      </c>
      <c r="S426" s="1">
        <f t="shared" si="18"/>
        <v>-187</v>
      </c>
      <c r="T426" s="1">
        <f t="shared" si="1"/>
        <v>1.534759358</v>
      </c>
      <c r="U426" s="1">
        <f t="shared" si="19"/>
        <v>0</v>
      </c>
      <c r="V426" s="3">
        <f t="shared" si="20"/>
        <v>1</v>
      </c>
      <c r="W426" s="3" t="str">
        <f>IFERROR(__xludf.DUMMYFUNCTION("split(B426,"" "")"),"T.")</f>
        <v>T.</v>
      </c>
      <c r="X426" s="3" t="str">
        <f>IFERROR(__xludf.DUMMYFUNCTION("""COMPUTED_VALUE"""),"Thornton")</f>
        <v>Thornton</v>
      </c>
      <c r="Z426" s="3">
        <v>0.0</v>
      </c>
      <c r="AA426" s="3">
        <f t="shared" si="21"/>
        <v>0</v>
      </c>
      <c r="AB426" s="3">
        <f t="shared" si="22"/>
        <v>1</v>
      </c>
      <c r="AC426" s="3">
        <f t="shared" si="23"/>
        <v>0.5347593583</v>
      </c>
      <c r="AD426" s="3">
        <f t="shared" si="24"/>
        <v>0.5347593583</v>
      </c>
    </row>
    <row r="427">
      <c r="A427" s="1" t="s">
        <v>10</v>
      </c>
      <c r="B427" s="1" t="s">
        <v>65</v>
      </c>
      <c r="C427" s="1" t="s">
        <v>21</v>
      </c>
      <c r="D427" s="1" t="s">
        <v>66</v>
      </c>
      <c r="E427" s="1" t="s">
        <v>82</v>
      </c>
      <c r="F427" s="1" t="s">
        <v>455</v>
      </c>
      <c r="G427" s="1">
        <v>14.5</v>
      </c>
      <c r="H427" s="1" t="s">
        <v>60</v>
      </c>
      <c r="I427" s="1">
        <v>-115.0</v>
      </c>
      <c r="J427" s="1">
        <v>-0.102215721336414</v>
      </c>
      <c r="K427" s="1" t="s">
        <v>61</v>
      </c>
      <c r="L427" s="1" t="s">
        <v>61</v>
      </c>
      <c r="M427" s="1" t="s">
        <v>62</v>
      </c>
      <c r="N427" s="1">
        <v>-115.0</v>
      </c>
      <c r="O427" s="1">
        <v>0.0324680795368763</v>
      </c>
      <c r="P427" s="1" t="s">
        <v>61</v>
      </c>
      <c r="Q427" s="1" t="s">
        <v>61</v>
      </c>
      <c r="R427" s="1">
        <f t="shared" si="17"/>
        <v>0.03246807954</v>
      </c>
      <c r="S427" s="1">
        <f t="shared" si="18"/>
        <v>-115</v>
      </c>
      <c r="T427" s="1">
        <f t="shared" si="1"/>
        <v>1.869565217</v>
      </c>
      <c r="U427" s="1">
        <f t="shared" si="19"/>
        <v>0</v>
      </c>
      <c r="V427" s="3">
        <f t="shared" si="20"/>
        <v>1</v>
      </c>
      <c r="W427" s="3" t="str">
        <f>IFERROR(__xludf.DUMMYFUNCTION("split(B427,"" "")"),"J.")</f>
        <v>J.</v>
      </c>
      <c r="X427" s="3" t="str">
        <f>IFERROR(__xludf.DUMMYFUNCTION("""COMPUTED_VALUE"""),"Brissett")</f>
        <v>Brissett</v>
      </c>
      <c r="Z427" s="3">
        <v>6.0</v>
      </c>
      <c r="AA427" s="3">
        <f t="shared" si="21"/>
        <v>0</v>
      </c>
      <c r="AB427" s="3">
        <f t="shared" si="22"/>
        <v>1</v>
      </c>
      <c r="AC427" s="3">
        <f t="shared" si="23"/>
        <v>0.8695652174</v>
      </c>
      <c r="AD427" s="3">
        <f t="shared" si="24"/>
        <v>0.8695652174</v>
      </c>
    </row>
    <row r="428">
      <c r="A428" s="1" t="s">
        <v>11</v>
      </c>
      <c r="B428" s="1" t="s">
        <v>131</v>
      </c>
      <c r="C428" s="1" t="s">
        <v>18</v>
      </c>
      <c r="D428" s="1" t="s">
        <v>66</v>
      </c>
      <c r="E428" s="1" t="s">
        <v>82</v>
      </c>
      <c r="F428" s="1" t="s">
        <v>455</v>
      </c>
      <c r="G428" s="1">
        <v>33.5</v>
      </c>
      <c r="H428" s="1" t="s">
        <v>60</v>
      </c>
      <c r="I428" s="1">
        <v>-116.0</v>
      </c>
      <c r="J428" s="1">
        <v>-0.0936247336615277</v>
      </c>
      <c r="K428" s="1" t="s">
        <v>61</v>
      </c>
      <c r="L428" s="1" t="s">
        <v>61</v>
      </c>
      <c r="M428" s="1" t="s">
        <v>62</v>
      </c>
      <c r="N428" s="1">
        <v>-112.0</v>
      </c>
      <c r="O428" s="1">
        <v>0.0282823395530037</v>
      </c>
      <c r="P428" s="1" t="s">
        <v>61</v>
      </c>
      <c r="Q428" s="1" t="s">
        <v>61</v>
      </c>
      <c r="R428" s="1">
        <f t="shared" si="17"/>
        <v>0.02828233955</v>
      </c>
      <c r="S428" s="1">
        <f t="shared" si="18"/>
        <v>-112</v>
      </c>
      <c r="T428" s="1">
        <f t="shared" si="1"/>
        <v>1.892857143</v>
      </c>
      <c r="U428" s="1">
        <f t="shared" si="19"/>
        <v>0</v>
      </c>
      <c r="V428" s="3">
        <f t="shared" si="20"/>
        <v>1</v>
      </c>
      <c r="W428" s="3" t="str">
        <f>IFERROR(__xludf.DUMMYFUNCTION("split(B428,"" "")"),"D.")</f>
        <v>D.</v>
      </c>
      <c r="X428" s="3" t="str">
        <f>IFERROR(__xludf.DUMMYFUNCTION("""COMPUTED_VALUE"""),"Douglas")</f>
        <v>Douglas</v>
      </c>
      <c r="Z428" s="3">
        <v>0.0</v>
      </c>
      <c r="AA428" s="3">
        <f t="shared" si="21"/>
        <v>0</v>
      </c>
      <c r="AB428" s="3">
        <f t="shared" si="22"/>
        <v>1</v>
      </c>
      <c r="AC428" s="3">
        <f t="shared" si="23"/>
        <v>0.8928571429</v>
      </c>
      <c r="AD428" s="3">
        <f t="shared" si="24"/>
        <v>0.8928571429</v>
      </c>
    </row>
    <row r="429">
      <c r="A429" s="1" t="s">
        <v>11</v>
      </c>
      <c r="B429" s="1" t="s">
        <v>371</v>
      </c>
      <c r="C429" s="1" t="s">
        <v>18</v>
      </c>
      <c r="D429" s="1" t="s">
        <v>66</v>
      </c>
      <c r="E429" s="1" t="s">
        <v>82</v>
      </c>
      <c r="F429" s="1" t="s">
        <v>455</v>
      </c>
      <c r="G429" s="1">
        <v>20.5</v>
      </c>
      <c r="H429" s="1" t="s">
        <v>60</v>
      </c>
      <c r="I429" s="1">
        <v>-117.0</v>
      </c>
      <c r="J429" s="1">
        <v>-0.0883402271135715</v>
      </c>
      <c r="K429" s="1" t="s">
        <v>61</v>
      </c>
      <c r="L429" s="1" t="s">
        <v>61</v>
      </c>
      <c r="M429" s="1" t="s">
        <v>62</v>
      </c>
      <c r="N429" s="1">
        <v>-112.0</v>
      </c>
      <c r="O429" s="1">
        <v>0.0209366075362378</v>
      </c>
      <c r="P429" s="1" t="s">
        <v>61</v>
      </c>
      <c r="Q429" s="1" t="s">
        <v>61</v>
      </c>
      <c r="R429" s="1">
        <f t="shared" si="17"/>
        <v>0.02093660754</v>
      </c>
      <c r="S429" s="1">
        <f t="shared" si="18"/>
        <v>-112</v>
      </c>
      <c r="T429" s="1">
        <f t="shared" si="1"/>
        <v>1.892857143</v>
      </c>
      <c r="U429" s="1">
        <f t="shared" si="19"/>
        <v>0</v>
      </c>
      <c r="V429" s="3">
        <f t="shared" si="20"/>
        <v>1</v>
      </c>
      <c r="W429" s="3" t="str">
        <f>IFERROR(__xludf.DUMMYFUNCTION("split(B429,"" "")"),"T.")</f>
        <v>T.</v>
      </c>
      <c r="X429" s="3" t="str">
        <f>IFERROR(__xludf.DUMMYFUNCTION("""COMPUTED_VALUE"""),"Thornton")</f>
        <v>Thornton</v>
      </c>
      <c r="Z429" s="3">
        <v>0.0</v>
      </c>
      <c r="AA429" s="3">
        <f t="shared" si="21"/>
        <v>0</v>
      </c>
      <c r="AB429" s="3">
        <f t="shared" si="22"/>
        <v>1</v>
      </c>
      <c r="AC429" s="3">
        <f t="shared" si="23"/>
        <v>0.8928571429</v>
      </c>
      <c r="AD429" s="3">
        <f t="shared" si="24"/>
        <v>0.8928571429</v>
      </c>
    </row>
    <row r="430">
      <c r="A430" s="1" t="s">
        <v>16</v>
      </c>
      <c r="B430" s="1" t="s">
        <v>65</v>
      </c>
      <c r="C430" s="1" t="s">
        <v>21</v>
      </c>
      <c r="D430" s="1" t="s">
        <v>66</v>
      </c>
      <c r="E430" s="1" t="s">
        <v>82</v>
      </c>
      <c r="F430" s="1" t="s">
        <v>455</v>
      </c>
      <c r="G430" s="1">
        <v>29.5</v>
      </c>
      <c r="H430" s="1" t="s">
        <v>60</v>
      </c>
      <c r="I430" s="1">
        <v>-120.0</v>
      </c>
      <c r="J430" s="1">
        <v>-0.0823886910909089</v>
      </c>
      <c r="K430" s="1" t="s">
        <v>61</v>
      </c>
      <c r="L430" s="1" t="s">
        <v>61</v>
      </c>
      <c r="M430" s="1" t="s">
        <v>62</v>
      </c>
      <c r="N430" s="1">
        <v>-110.0</v>
      </c>
      <c r="O430" s="1">
        <v>0.0131450630666666</v>
      </c>
      <c r="P430" s="1" t="s">
        <v>61</v>
      </c>
      <c r="Q430" s="1" t="s">
        <v>61</v>
      </c>
      <c r="R430" s="1">
        <f t="shared" si="17"/>
        <v>0.01314506307</v>
      </c>
      <c r="S430" s="1">
        <f t="shared" si="18"/>
        <v>-110</v>
      </c>
      <c r="T430" s="1">
        <f t="shared" si="1"/>
        <v>1.909090909</v>
      </c>
      <c r="U430" s="1">
        <f t="shared" si="19"/>
        <v>0</v>
      </c>
      <c r="V430" s="3">
        <f t="shared" si="20"/>
        <v>1</v>
      </c>
      <c r="W430" s="3" t="str">
        <f>IFERROR(__xludf.DUMMYFUNCTION("split(B430,"" "")"),"J.")</f>
        <v>J.</v>
      </c>
      <c r="X430" s="3" t="str">
        <f>IFERROR(__xludf.DUMMYFUNCTION("""COMPUTED_VALUE"""),"Brissett")</f>
        <v>Brissett</v>
      </c>
      <c r="Z430" s="3">
        <v>27.0</v>
      </c>
      <c r="AA430" s="3">
        <f t="shared" si="21"/>
        <v>0</v>
      </c>
      <c r="AB430" s="3">
        <f t="shared" si="22"/>
        <v>1</v>
      </c>
      <c r="AC430" s="3">
        <f t="shared" si="23"/>
        <v>0.9090909091</v>
      </c>
      <c r="AD430" s="3">
        <f t="shared" si="24"/>
        <v>0.9090909091</v>
      </c>
    </row>
    <row r="431">
      <c r="A431" s="1" t="s">
        <v>12</v>
      </c>
      <c r="B431" s="1" t="s">
        <v>193</v>
      </c>
      <c r="C431" s="1" t="s">
        <v>20</v>
      </c>
      <c r="D431" s="1" t="s">
        <v>58</v>
      </c>
      <c r="E431" s="1" t="s">
        <v>88</v>
      </c>
      <c r="F431" s="1" t="s">
        <v>455</v>
      </c>
      <c r="G431" s="1">
        <v>2.5</v>
      </c>
      <c r="H431" s="1" t="s">
        <v>60</v>
      </c>
      <c r="I431" s="1">
        <v>-118.0</v>
      </c>
      <c r="J431" s="1">
        <v>-0.194382655366972</v>
      </c>
      <c r="K431" s="1" t="s">
        <v>61</v>
      </c>
      <c r="L431" s="1" t="s">
        <v>61</v>
      </c>
      <c r="M431" s="1" t="s">
        <v>62</v>
      </c>
      <c r="N431" s="1">
        <v>-111.0</v>
      </c>
      <c r="O431" s="1">
        <v>0.127031644292417</v>
      </c>
      <c r="P431" s="1" t="s">
        <v>61</v>
      </c>
      <c r="Q431" s="1" t="s">
        <v>61</v>
      </c>
      <c r="R431" s="1">
        <f t="shared" si="17"/>
        <v>0.1270316443</v>
      </c>
      <c r="S431" s="1">
        <f t="shared" si="18"/>
        <v>-111</v>
      </c>
      <c r="T431" s="1">
        <f t="shared" si="1"/>
        <v>1.900900901</v>
      </c>
      <c r="U431" s="1">
        <f t="shared" si="19"/>
        <v>0</v>
      </c>
      <c r="V431" s="3">
        <f t="shared" si="20"/>
        <v>3</v>
      </c>
      <c r="W431" s="3" t="str">
        <f>IFERROR(__xludf.DUMMYFUNCTION("split(B431,"" "")"),"J.")</f>
        <v>J.</v>
      </c>
      <c r="X431" s="3" t="str">
        <f>IFERROR(__xludf.DUMMYFUNCTION("""COMPUTED_VALUE"""),"Johnson")</f>
        <v>Johnson</v>
      </c>
      <c r="Z431" s="3">
        <v>0.0</v>
      </c>
      <c r="AA431" s="3">
        <f t="shared" si="21"/>
        <v>0</v>
      </c>
      <c r="AB431" s="3">
        <f t="shared" si="22"/>
        <v>1</v>
      </c>
      <c r="AC431" s="3">
        <f t="shared" si="23"/>
        <v>2.702702703</v>
      </c>
      <c r="AD431" s="3">
        <f t="shared" si="24"/>
        <v>2.702702703</v>
      </c>
    </row>
    <row r="432">
      <c r="A432" s="1" t="s">
        <v>12</v>
      </c>
      <c r="B432" s="1" t="s">
        <v>282</v>
      </c>
      <c r="C432" s="1" t="s">
        <v>19</v>
      </c>
      <c r="D432" s="1" t="s">
        <v>58</v>
      </c>
      <c r="E432" s="1" t="s">
        <v>88</v>
      </c>
      <c r="F432" s="1" t="s">
        <v>455</v>
      </c>
      <c r="G432" s="1">
        <v>4.5</v>
      </c>
      <c r="H432" s="1" t="s">
        <v>60</v>
      </c>
      <c r="I432" s="1">
        <v>-109.0</v>
      </c>
      <c r="J432" s="1">
        <v>-0.188278947368421</v>
      </c>
      <c r="K432" s="1" t="s">
        <v>61</v>
      </c>
      <c r="L432" s="1" t="s">
        <v>61</v>
      </c>
      <c r="M432" s="1" t="s">
        <v>62</v>
      </c>
      <c r="N432" s="1">
        <v>-121.0</v>
      </c>
      <c r="O432" s="1">
        <v>0.119243438914027</v>
      </c>
      <c r="P432" s="1" t="s">
        <v>61</v>
      </c>
      <c r="Q432" s="1" t="s">
        <v>61</v>
      </c>
      <c r="R432" s="1">
        <f t="shared" si="17"/>
        <v>0.1192434389</v>
      </c>
      <c r="S432" s="1">
        <f t="shared" si="18"/>
        <v>-121</v>
      </c>
      <c r="T432" s="1">
        <f t="shared" si="1"/>
        <v>1.826446281</v>
      </c>
      <c r="U432" s="1">
        <f t="shared" si="19"/>
        <v>0</v>
      </c>
      <c r="V432" s="3">
        <f t="shared" si="20"/>
        <v>3</v>
      </c>
      <c r="W432" s="3" t="str">
        <f>IFERROR(__xludf.DUMMYFUNCTION("split(B432,"" "")"),"A.")</f>
        <v>A.</v>
      </c>
      <c r="X432" s="3" t="str">
        <f>IFERROR(__xludf.DUMMYFUNCTION("""COMPUTED_VALUE"""),"Kamara")</f>
        <v>Kamara</v>
      </c>
      <c r="Z432" s="3">
        <v>2.0</v>
      </c>
      <c r="AA432" s="3">
        <f t="shared" si="21"/>
        <v>0</v>
      </c>
      <c r="AB432" s="3">
        <f t="shared" si="22"/>
        <v>1</v>
      </c>
      <c r="AC432" s="3">
        <f t="shared" si="23"/>
        <v>2.479338843</v>
      </c>
      <c r="AD432" s="3">
        <f t="shared" si="24"/>
        <v>2.479338843</v>
      </c>
    </row>
    <row r="433">
      <c r="A433" s="1" t="s">
        <v>8</v>
      </c>
      <c r="B433" s="1" t="s">
        <v>441</v>
      </c>
      <c r="C433" s="1" t="s">
        <v>20</v>
      </c>
      <c r="D433" s="1" t="s">
        <v>58</v>
      </c>
      <c r="E433" s="1" t="s">
        <v>88</v>
      </c>
      <c r="F433" s="1" t="s">
        <v>455</v>
      </c>
      <c r="G433" s="1">
        <v>4.5</v>
      </c>
      <c r="H433" s="1" t="s">
        <v>60</v>
      </c>
      <c r="I433" s="1">
        <v>108.0</v>
      </c>
      <c r="J433" s="1">
        <v>-0.166767534657807</v>
      </c>
      <c r="K433" s="1" t="s">
        <v>61</v>
      </c>
      <c r="L433" s="1" t="s">
        <v>61</v>
      </c>
      <c r="M433" s="1" t="s">
        <v>62</v>
      </c>
      <c r="N433" s="1">
        <v>-140.0</v>
      </c>
      <c r="O433" s="1">
        <v>0.102677106837784</v>
      </c>
      <c r="P433" s="1" t="s">
        <v>61</v>
      </c>
      <c r="Q433" s="1" t="s">
        <v>61</v>
      </c>
      <c r="R433" s="1">
        <f t="shared" si="17"/>
        <v>0.1026771068</v>
      </c>
      <c r="S433" s="1">
        <f t="shared" si="18"/>
        <v>-140</v>
      </c>
      <c r="T433" s="1">
        <f t="shared" si="1"/>
        <v>1.714285714</v>
      </c>
      <c r="U433" s="1">
        <f t="shared" si="19"/>
        <v>0</v>
      </c>
      <c r="V433" s="3">
        <f t="shared" si="20"/>
        <v>3</v>
      </c>
      <c r="W433" s="3" t="str">
        <f>IFERROR(__xludf.DUMMYFUNCTION("split(B433,"" "")"),"T.")</f>
        <v>T.</v>
      </c>
      <c r="X433" s="3" t="str">
        <f>IFERROR(__xludf.DUMMYFUNCTION("""COMPUTED_VALUE"""),"Hill")</f>
        <v>Hill</v>
      </c>
      <c r="Z433" s="3">
        <v>3.0</v>
      </c>
      <c r="AA433" s="3">
        <f t="shared" si="21"/>
        <v>0</v>
      </c>
      <c r="AB433" s="3">
        <f t="shared" si="22"/>
        <v>1</v>
      </c>
      <c r="AC433" s="3">
        <f t="shared" si="23"/>
        <v>2.142857143</v>
      </c>
      <c r="AD433" s="3">
        <f t="shared" si="24"/>
        <v>2.142857143</v>
      </c>
    </row>
    <row r="434">
      <c r="A434" s="1" t="s">
        <v>14</v>
      </c>
      <c r="B434" s="1" t="s">
        <v>287</v>
      </c>
      <c r="C434" s="1" t="s">
        <v>21</v>
      </c>
      <c r="D434" s="1" t="s">
        <v>58</v>
      </c>
      <c r="E434" s="1" t="s">
        <v>88</v>
      </c>
      <c r="F434" s="1" t="s">
        <v>455</v>
      </c>
      <c r="G434" s="1">
        <v>1.5</v>
      </c>
      <c r="H434" s="1" t="s">
        <v>60</v>
      </c>
      <c r="I434" s="1">
        <v>157.0</v>
      </c>
      <c r="J434" s="1">
        <v>0.0394560311284046</v>
      </c>
      <c r="K434" s="1" t="s">
        <v>61</v>
      </c>
      <c r="L434" s="1" t="s">
        <v>61</v>
      </c>
      <c r="M434" s="1" t="s">
        <v>62</v>
      </c>
      <c r="N434" s="1">
        <v>-206.0</v>
      </c>
      <c r="O434" s="1">
        <v>-0.101769934640523</v>
      </c>
      <c r="P434" s="1" t="s">
        <v>61</v>
      </c>
      <c r="Q434" s="1" t="s">
        <v>61</v>
      </c>
      <c r="R434" s="1">
        <f t="shared" si="17"/>
        <v>0.03945603113</v>
      </c>
      <c r="S434" s="1">
        <f t="shared" si="18"/>
        <v>157</v>
      </c>
      <c r="T434" s="1">
        <f t="shared" si="1"/>
        <v>2.57</v>
      </c>
      <c r="U434" s="1">
        <f t="shared" si="19"/>
        <v>1</v>
      </c>
      <c r="V434" s="3">
        <f t="shared" si="20"/>
        <v>1</v>
      </c>
      <c r="W434" s="3" t="str">
        <f>IFERROR(__xludf.DUMMYFUNCTION("split(B434,"" "")"),"D.")</f>
        <v>D.</v>
      </c>
      <c r="X434" s="3" t="str">
        <f>IFERROR(__xludf.DUMMYFUNCTION("""COMPUTED_VALUE"""),"Carr")</f>
        <v>Carr</v>
      </c>
      <c r="Z434" s="3">
        <v>2.0</v>
      </c>
      <c r="AA434" s="3">
        <f t="shared" si="21"/>
        <v>1</v>
      </c>
      <c r="AB434" s="3">
        <f t="shared" si="22"/>
        <v>1</v>
      </c>
      <c r="AC434" s="3">
        <f t="shared" si="23"/>
        <v>1.57</v>
      </c>
      <c r="AD434" s="3">
        <f t="shared" si="24"/>
        <v>1.57</v>
      </c>
    </row>
    <row r="435">
      <c r="A435" s="1" t="s">
        <v>9</v>
      </c>
      <c r="B435" s="1" t="s">
        <v>428</v>
      </c>
      <c r="C435" s="1" t="s">
        <v>18</v>
      </c>
      <c r="D435" s="1" t="s">
        <v>58</v>
      </c>
      <c r="E435" s="1" t="s">
        <v>88</v>
      </c>
      <c r="F435" s="1" t="s">
        <v>455</v>
      </c>
      <c r="G435" s="1">
        <v>38.5</v>
      </c>
      <c r="H435" s="1" t="s">
        <v>60</v>
      </c>
      <c r="I435" s="1">
        <v>-119.0</v>
      </c>
      <c r="J435" s="1">
        <v>0.0219338645520292</v>
      </c>
      <c r="K435" s="1" t="s">
        <v>61</v>
      </c>
      <c r="L435" s="1" t="s">
        <v>61</v>
      </c>
      <c r="M435" s="1" t="s">
        <v>62</v>
      </c>
      <c r="N435" s="1">
        <v>-114.0</v>
      </c>
      <c r="O435" s="1">
        <v>-0.0979752926357925</v>
      </c>
      <c r="P435" s="1" t="s">
        <v>61</v>
      </c>
      <c r="Q435" s="1" t="s">
        <v>61</v>
      </c>
      <c r="R435" s="1">
        <f t="shared" si="17"/>
        <v>0.02193386455</v>
      </c>
      <c r="S435" s="1">
        <f t="shared" si="18"/>
        <v>-119</v>
      </c>
      <c r="T435" s="1">
        <f t="shared" si="1"/>
        <v>1.840336134</v>
      </c>
      <c r="U435" s="1">
        <f t="shared" si="19"/>
        <v>1</v>
      </c>
      <c r="V435" s="3">
        <f t="shared" si="20"/>
        <v>1</v>
      </c>
      <c r="W435" s="3" t="str">
        <f>IFERROR(__xludf.DUMMYFUNCTION("split(B435,"" "")"),"R.")</f>
        <v>R.</v>
      </c>
      <c r="X435" s="3" t="str">
        <f>IFERROR(__xludf.DUMMYFUNCTION("""COMPUTED_VALUE"""),"Shaheed")</f>
        <v>Shaheed</v>
      </c>
      <c r="Z435" s="3">
        <v>109.0</v>
      </c>
      <c r="AA435" s="3">
        <f t="shared" si="21"/>
        <v>1</v>
      </c>
      <c r="AB435" s="3">
        <f t="shared" si="22"/>
        <v>1</v>
      </c>
      <c r="AC435" s="3">
        <f t="shared" si="23"/>
        <v>0.8403361345</v>
      </c>
      <c r="AD435" s="3">
        <f t="shared" si="24"/>
        <v>0.8403361345</v>
      </c>
    </row>
    <row r="436">
      <c r="A436" s="1" t="s">
        <v>13</v>
      </c>
      <c r="B436" s="1" t="s">
        <v>287</v>
      </c>
      <c r="C436" s="1" t="s">
        <v>21</v>
      </c>
      <c r="D436" s="1" t="s">
        <v>58</v>
      </c>
      <c r="E436" s="1" t="s">
        <v>88</v>
      </c>
      <c r="F436" s="1" t="s">
        <v>455</v>
      </c>
      <c r="G436" s="1">
        <v>220.0</v>
      </c>
      <c r="H436" s="1" t="s">
        <v>60</v>
      </c>
      <c r="I436" s="1">
        <v>-115.0</v>
      </c>
      <c r="J436" s="1">
        <v>0.00305581395348819</v>
      </c>
      <c r="K436" s="1" t="s">
        <v>61</v>
      </c>
      <c r="L436" s="1" t="s">
        <v>61</v>
      </c>
      <c r="M436" s="1" t="s">
        <v>62</v>
      </c>
      <c r="N436" s="1">
        <v>-115.0</v>
      </c>
      <c r="O436" s="1">
        <v>-0.0725441860465114</v>
      </c>
      <c r="P436" s="1" t="s">
        <v>61</v>
      </c>
      <c r="Q436" s="1" t="s">
        <v>61</v>
      </c>
      <c r="R436" s="1">
        <f t="shared" si="17"/>
        <v>0.003055813953</v>
      </c>
      <c r="S436" s="1">
        <f t="shared" si="18"/>
        <v>-115</v>
      </c>
      <c r="T436" s="1">
        <f t="shared" si="1"/>
        <v>1.869565217</v>
      </c>
      <c r="U436" s="1">
        <f t="shared" si="19"/>
        <v>1</v>
      </c>
      <c r="V436" s="3">
        <f t="shared" si="20"/>
        <v>1</v>
      </c>
      <c r="W436" s="3" t="str">
        <f>IFERROR(__xludf.DUMMYFUNCTION("split(B436,"" "")"),"D.")</f>
        <v>D.</v>
      </c>
      <c r="X436" s="3" t="str">
        <f>IFERROR(__xludf.DUMMYFUNCTION("""COMPUTED_VALUE"""),"Carr")</f>
        <v>Carr</v>
      </c>
      <c r="Z436" s="3">
        <v>243.0</v>
      </c>
      <c r="AA436" s="3">
        <f t="shared" si="21"/>
        <v>1</v>
      </c>
      <c r="AB436" s="3">
        <f t="shared" si="22"/>
        <v>1</v>
      </c>
      <c r="AC436" s="3">
        <f t="shared" si="23"/>
        <v>0.8695652174</v>
      </c>
      <c r="AD436" s="3">
        <f t="shared" si="24"/>
        <v>0.8695652174</v>
      </c>
    </row>
    <row r="437">
      <c r="A437" s="1" t="s">
        <v>8</v>
      </c>
      <c r="B437" s="1" t="s">
        <v>260</v>
      </c>
      <c r="C437" s="1" t="s">
        <v>21</v>
      </c>
      <c r="D437" s="1" t="s">
        <v>147</v>
      </c>
      <c r="E437" s="1" t="s">
        <v>114</v>
      </c>
      <c r="F437" s="1" t="s">
        <v>455</v>
      </c>
      <c r="G437" s="1">
        <v>6.5</v>
      </c>
      <c r="H437" s="1" t="s">
        <v>60</v>
      </c>
      <c r="I437" s="1">
        <v>-110.0</v>
      </c>
      <c r="J437" s="1">
        <v>-0.198041481888426</v>
      </c>
      <c r="K437" s="1" t="s">
        <v>61</v>
      </c>
      <c r="L437" s="1" t="s">
        <v>61</v>
      </c>
      <c r="M437" s="1" t="s">
        <v>62</v>
      </c>
      <c r="N437" s="1">
        <v>-120.0</v>
      </c>
      <c r="O437" s="1">
        <v>0.128796606526742</v>
      </c>
      <c r="P437" s="1" t="s">
        <v>61</v>
      </c>
      <c r="Q437" s="1" t="s">
        <v>61</v>
      </c>
      <c r="R437" s="1">
        <f t="shared" si="17"/>
        <v>0.1287966065</v>
      </c>
      <c r="S437" s="1">
        <f t="shared" si="18"/>
        <v>-120</v>
      </c>
      <c r="T437" s="1">
        <f t="shared" si="1"/>
        <v>1.833333333</v>
      </c>
      <c r="U437" s="1">
        <f t="shared" si="19"/>
        <v>0</v>
      </c>
      <c r="V437" s="3">
        <f t="shared" si="20"/>
        <v>3</v>
      </c>
      <c r="W437" s="3" t="str">
        <f>IFERROR(__xludf.DUMMYFUNCTION("split(B437,"" "")"),"D.")</f>
        <v>D.</v>
      </c>
      <c r="X437" s="3" t="str">
        <f>IFERROR(__xludf.DUMMYFUNCTION("""COMPUTED_VALUE"""),"Jones")</f>
        <v>Jones</v>
      </c>
      <c r="Z437" s="1">
        <v>5.0</v>
      </c>
      <c r="AA437" s="3">
        <f t="shared" si="21"/>
        <v>0</v>
      </c>
      <c r="AB437" s="3">
        <f t="shared" si="22"/>
        <v>1</v>
      </c>
      <c r="AC437" s="3">
        <f t="shared" si="23"/>
        <v>2.5</v>
      </c>
      <c r="AD437" s="3">
        <f t="shared" si="24"/>
        <v>2.5</v>
      </c>
    </row>
    <row r="438">
      <c r="A438" s="1" t="s">
        <v>15</v>
      </c>
      <c r="B438" s="1" t="s">
        <v>260</v>
      </c>
      <c r="C438" s="1" t="s">
        <v>21</v>
      </c>
      <c r="D438" s="1" t="s">
        <v>147</v>
      </c>
      <c r="E438" s="1" t="s">
        <v>114</v>
      </c>
      <c r="F438" s="1" t="s">
        <v>455</v>
      </c>
      <c r="G438" s="1">
        <v>19.5</v>
      </c>
      <c r="H438" s="1" t="s">
        <v>60</v>
      </c>
      <c r="I438" s="1">
        <v>-127.0</v>
      </c>
      <c r="J438" s="1">
        <v>-0.165370549118942</v>
      </c>
      <c r="K438" s="1" t="s">
        <v>61</v>
      </c>
      <c r="L438" s="1" t="s">
        <v>61</v>
      </c>
      <c r="M438" s="1" t="s">
        <v>62</v>
      </c>
      <c r="N438" s="1">
        <v>-106.0</v>
      </c>
      <c r="O438" s="1">
        <v>0.091335939461165</v>
      </c>
      <c r="P438" s="1" t="s">
        <v>61</v>
      </c>
      <c r="Q438" s="1" t="s">
        <v>61</v>
      </c>
      <c r="R438" s="1">
        <f t="shared" si="17"/>
        <v>0.09133593946</v>
      </c>
      <c r="S438" s="1">
        <f t="shared" si="18"/>
        <v>-106</v>
      </c>
      <c r="T438" s="1">
        <f t="shared" si="1"/>
        <v>1.943396226</v>
      </c>
      <c r="U438" s="1">
        <f t="shared" si="19"/>
        <v>0</v>
      </c>
      <c r="V438" s="3">
        <f t="shared" si="20"/>
        <v>2</v>
      </c>
      <c r="W438" s="3" t="str">
        <f>IFERROR(__xludf.DUMMYFUNCTION("split(B438,"" "")"),"D.")</f>
        <v>D.</v>
      </c>
      <c r="X438" s="3" t="str">
        <f>IFERROR(__xludf.DUMMYFUNCTION("""COMPUTED_VALUE"""),"Jones")</f>
        <v>Jones</v>
      </c>
      <c r="Z438" s="1">
        <v>16.0</v>
      </c>
      <c r="AA438" s="3">
        <f t="shared" si="21"/>
        <v>0</v>
      </c>
      <c r="AB438" s="3">
        <f t="shared" si="22"/>
        <v>1</v>
      </c>
      <c r="AC438" s="3">
        <f t="shared" si="23"/>
        <v>1.886792453</v>
      </c>
      <c r="AD438" s="3">
        <f t="shared" si="24"/>
        <v>1.886792453</v>
      </c>
    </row>
    <row r="439">
      <c r="A439" s="1" t="s">
        <v>11</v>
      </c>
      <c r="B439" s="1" t="s">
        <v>354</v>
      </c>
      <c r="C439" s="1" t="s">
        <v>18</v>
      </c>
      <c r="D439" s="1" t="s">
        <v>147</v>
      </c>
      <c r="E439" s="1" t="s">
        <v>114</v>
      </c>
      <c r="F439" s="1" t="s">
        <v>455</v>
      </c>
      <c r="G439" s="1">
        <v>35.5</v>
      </c>
      <c r="H439" s="1" t="s">
        <v>60</v>
      </c>
      <c r="I439" s="1">
        <v>-112.0</v>
      </c>
      <c r="J439" s="1">
        <v>-0.127409769446698</v>
      </c>
      <c r="K439" s="1" t="s">
        <v>61</v>
      </c>
      <c r="L439" s="1" t="s">
        <v>61</v>
      </c>
      <c r="M439" s="1" t="s">
        <v>62</v>
      </c>
      <c r="N439" s="1">
        <v>-117.0</v>
      </c>
      <c r="O439" s="1">
        <v>0.059980743936401</v>
      </c>
      <c r="P439" s="1" t="s">
        <v>61</v>
      </c>
      <c r="Q439" s="1" t="s">
        <v>61</v>
      </c>
      <c r="R439" s="1">
        <f t="shared" si="17"/>
        <v>0.05998074394</v>
      </c>
      <c r="S439" s="1">
        <f t="shared" si="18"/>
        <v>-117</v>
      </c>
      <c r="T439" s="1">
        <f t="shared" si="1"/>
        <v>1.854700855</v>
      </c>
      <c r="U439" s="1">
        <f t="shared" si="19"/>
        <v>0</v>
      </c>
      <c r="V439" s="3">
        <f t="shared" si="20"/>
        <v>2</v>
      </c>
      <c r="W439" s="3" t="str">
        <f>IFERROR(__xludf.DUMMYFUNCTION("split(B439,"" "")"),"W.")</f>
        <v>W.</v>
      </c>
      <c r="X439" s="3" t="str">
        <f>IFERROR(__xludf.DUMMYFUNCTION("""COMPUTED_VALUE"""),"Robinson")</f>
        <v>Robinson</v>
      </c>
      <c r="Z439" s="1">
        <v>18.0</v>
      </c>
      <c r="AA439" s="3">
        <f t="shared" si="21"/>
        <v>0</v>
      </c>
      <c r="AB439" s="3">
        <f t="shared" si="22"/>
        <v>1</v>
      </c>
      <c r="AC439" s="3">
        <f t="shared" si="23"/>
        <v>1.709401709</v>
      </c>
      <c r="AD439" s="3">
        <f t="shared" si="24"/>
        <v>1.709401709</v>
      </c>
    </row>
    <row r="440">
      <c r="A440" s="1" t="s">
        <v>12</v>
      </c>
      <c r="B440" s="1" t="s">
        <v>477</v>
      </c>
      <c r="C440" s="1" t="s">
        <v>20</v>
      </c>
      <c r="D440" s="1" t="s">
        <v>147</v>
      </c>
      <c r="E440" s="1" t="s">
        <v>114</v>
      </c>
      <c r="F440" s="1" t="s">
        <v>455</v>
      </c>
      <c r="G440" s="1">
        <v>2.5</v>
      </c>
      <c r="H440" s="1" t="s">
        <v>60</v>
      </c>
      <c r="I440" s="1">
        <v>133.0</v>
      </c>
      <c r="J440" s="1">
        <v>-0.118377737016308</v>
      </c>
      <c r="K440" s="1" t="s">
        <v>61</v>
      </c>
      <c r="L440" s="1" t="s">
        <v>61</v>
      </c>
      <c r="M440" s="1" t="s">
        <v>62</v>
      </c>
      <c r="N440" s="1">
        <v>-174.0</v>
      </c>
      <c r="O440" s="1">
        <v>0.054155924870073</v>
      </c>
      <c r="P440" s="1" t="s">
        <v>61</v>
      </c>
      <c r="Q440" s="1" t="s">
        <v>61</v>
      </c>
      <c r="R440" s="1">
        <f t="shared" si="17"/>
        <v>0.05415592487</v>
      </c>
      <c r="S440" s="1">
        <f t="shared" si="18"/>
        <v>-174</v>
      </c>
      <c r="T440" s="1">
        <f t="shared" si="1"/>
        <v>1.574712644</v>
      </c>
      <c r="U440" s="1">
        <f t="shared" si="19"/>
        <v>0</v>
      </c>
      <c r="V440" s="3">
        <f t="shared" si="20"/>
        <v>2</v>
      </c>
      <c r="W440" s="3" t="str">
        <f>IFERROR(__xludf.DUMMYFUNCTION("split(B440,"" "")"),"T.")</f>
        <v>T.</v>
      </c>
      <c r="X440" s="3" t="str">
        <f>IFERROR(__xludf.DUMMYFUNCTION("""COMPUTED_VALUE"""),"Johnson")</f>
        <v>Johnson</v>
      </c>
      <c r="Z440" s="3">
        <v>0.0</v>
      </c>
      <c r="AA440" s="3">
        <f t="shared" si="21"/>
        <v>0</v>
      </c>
      <c r="AB440" s="3">
        <f t="shared" si="22"/>
        <v>1</v>
      </c>
      <c r="AC440" s="3">
        <f t="shared" si="23"/>
        <v>1.149425287</v>
      </c>
      <c r="AD440" s="3">
        <f t="shared" si="24"/>
        <v>1.149425287</v>
      </c>
    </row>
    <row r="441">
      <c r="A441" s="1" t="s">
        <v>12</v>
      </c>
      <c r="B441" s="1" t="s">
        <v>354</v>
      </c>
      <c r="C441" s="1" t="s">
        <v>18</v>
      </c>
      <c r="D441" s="1" t="s">
        <v>147</v>
      </c>
      <c r="E441" s="1" t="s">
        <v>114</v>
      </c>
      <c r="F441" s="1" t="s">
        <v>455</v>
      </c>
      <c r="G441" s="1">
        <v>4.5</v>
      </c>
      <c r="H441" s="1" t="s">
        <v>60</v>
      </c>
      <c r="I441" s="1">
        <v>128.0</v>
      </c>
      <c r="J441" s="1">
        <v>-0.110140350877192</v>
      </c>
      <c r="K441" s="1" t="s">
        <v>61</v>
      </c>
      <c r="L441" s="1" t="s">
        <v>61</v>
      </c>
      <c r="M441" s="1" t="s">
        <v>62</v>
      </c>
      <c r="N441" s="1">
        <v>-170.0</v>
      </c>
      <c r="O441" s="1">
        <v>0.0419074074074075</v>
      </c>
      <c r="P441" s="1" t="s">
        <v>61</v>
      </c>
      <c r="Q441" s="1" t="s">
        <v>61</v>
      </c>
      <c r="R441" s="1">
        <f t="shared" si="17"/>
        <v>0.04190740741</v>
      </c>
      <c r="S441" s="1">
        <f t="shared" si="18"/>
        <v>-170</v>
      </c>
      <c r="T441" s="1">
        <f t="shared" si="1"/>
        <v>1.588235294</v>
      </c>
      <c r="U441" s="1">
        <f t="shared" si="19"/>
        <v>0</v>
      </c>
      <c r="V441" s="3">
        <f t="shared" si="20"/>
        <v>1</v>
      </c>
      <c r="W441" s="3" t="str">
        <f>IFERROR(__xludf.DUMMYFUNCTION("split(B441,"" "")"),"W.")</f>
        <v>W.</v>
      </c>
      <c r="X441" s="3" t="str">
        <f>IFERROR(__xludf.DUMMYFUNCTION("""COMPUTED_VALUE"""),"Robinson")</f>
        <v>Robinson</v>
      </c>
      <c r="Z441" s="3">
        <v>2.0</v>
      </c>
      <c r="AA441" s="3">
        <f t="shared" si="21"/>
        <v>0</v>
      </c>
      <c r="AB441" s="3">
        <f t="shared" si="22"/>
        <v>1</v>
      </c>
      <c r="AC441" s="3">
        <f t="shared" si="23"/>
        <v>0.5882352941</v>
      </c>
      <c r="AD441" s="3">
        <f t="shared" si="24"/>
        <v>0.5882352941</v>
      </c>
    </row>
    <row r="442">
      <c r="A442" s="1" t="s">
        <v>16</v>
      </c>
      <c r="B442" s="1" t="s">
        <v>260</v>
      </c>
      <c r="C442" s="1" t="s">
        <v>21</v>
      </c>
      <c r="D442" s="1" t="s">
        <v>147</v>
      </c>
      <c r="E442" s="1" t="s">
        <v>114</v>
      </c>
      <c r="F442" s="1" t="s">
        <v>455</v>
      </c>
      <c r="G442" s="1">
        <v>30.5</v>
      </c>
      <c r="H442" s="1" t="s">
        <v>60</v>
      </c>
      <c r="I442" s="1">
        <v>-106.0</v>
      </c>
      <c r="J442" s="1">
        <v>-0.0960606739320388</v>
      </c>
      <c r="K442" s="1" t="s">
        <v>61</v>
      </c>
      <c r="L442" s="1" t="s">
        <v>61</v>
      </c>
      <c r="M442" s="1" t="s">
        <v>62</v>
      </c>
      <c r="N442" s="1">
        <v>-122.0</v>
      </c>
      <c r="O442" s="1">
        <v>0.0319476962729731</v>
      </c>
      <c r="P442" s="1" t="s">
        <v>61</v>
      </c>
      <c r="Q442" s="1" t="s">
        <v>61</v>
      </c>
      <c r="R442" s="1">
        <f t="shared" si="17"/>
        <v>0.03194769627</v>
      </c>
      <c r="S442" s="1">
        <f t="shared" si="18"/>
        <v>-122</v>
      </c>
      <c r="T442" s="1">
        <f t="shared" si="1"/>
        <v>1.819672131</v>
      </c>
      <c r="U442" s="1">
        <f t="shared" si="19"/>
        <v>0</v>
      </c>
      <c r="V442" s="3">
        <f t="shared" si="20"/>
        <v>1</v>
      </c>
      <c r="W442" s="3" t="str">
        <f>IFERROR(__xludf.DUMMYFUNCTION("split(B442,"" "")"),"D.")</f>
        <v>D.</v>
      </c>
      <c r="X442" s="3" t="str">
        <f>IFERROR(__xludf.DUMMYFUNCTION("""COMPUTED_VALUE"""),"Jones")</f>
        <v>Jones</v>
      </c>
      <c r="Z442" s="3">
        <v>28.0</v>
      </c>
      <c r="AA442" s="3">
        <f t="shared" si="21"/>
        <v>0</v>
      </c>
      <c r="AB442" s="3">
        <f t="shared" si="22"/>
        <v>1</v>
      </c>
      <c r="AC442" s="3">
        <f t="shared" si="23"/>
        <v>0.8196721311</v>
      </c>
      <c r="AD442" s="3">
        <f t="shared" si="24"/>
        <v>0.8196721311</v>
      </c>
    </row>
    <row r="443">
      <c r="A443" s="1" t="s">
        <v>17</v>
      </c>
      <c r="B443" s="1" t="s">
        <v>260</v>
      </c>
      <c r="C443" s="1" t="s">
        <v>21</v>
      </c>
      <c r="D443" s="1" t="s">
        <v>147</v>
      </c>
      <c r="E443" s="1" t="s">
        <v>114</v>
      </c>
      <c r="F443" s="1" t="s">
        <v>455</v>
      </c>
      <c r="G443" s="1">
        <v>0.5</v>
      </c>
      <c r="H443" s="1" t="s">
        <v>60</v>
      </c>
      <c r="I443" s="1">
        <v>-111.0</v>
      </c>
      <c r="J443" s="1">
        <v>-0.0989137440758293</v>
      </c>
      <c r="K443" s="1" t="s">
        <v>61</v>
      </c>
      <c r="L443" s="1" t="s">
        <v>61</v>
      </c>
      <c r="M443" s="1" t="s">
        <v>62</v>
      </c>
      <c r="N443" s="1">
        <v>-118.0</v>
      </c>
      <c r="O443" s="1">
        <v>0.0315697247706422</v>
      </c>
      <c r="P443" s="1" t="s">
        <v>61</v>
      </c>
      <c r="Q443" s="1" t="s">
        <v>61</v>
      </c>
      <c r="R443" s="1">
        <f t="shared" si="17"/>
        <v>0.03156972477</v>
      </c>
      <c r="S443" s="1">
        <f t="shared" si="18"/>
        <v>-118</v>
      </c>
      <c r="T443" s="1">
        <f t="shared" si="1"/>
        <v>1.847457627</v>
      </c>
      <c r="U443" s="1">
        <f t="shared" si="19"/>
        <v>0</v>
      </c>
      <c r="V443" s="3">
        <f t="shared" si="20"/>
        <v>1</v>
      </c>
      <c r="W443" s="3" t="str">
        <f>IFERROR(__xludf.DUMMYFUNCTION("split(B443,"" "")"),"D.")</f>
        <v>D.</v>
      </c>
      <c r="X443" s="3" t="str">
        <f>IFERROR(__xludf.DUMMYFUNCTION("""COMPUTED_VALUE"""),"Jones")</f>
        <v>Jones</v>
      </c>
      <c r="Z443" s="3">
        <v>0.0</v>
      </c>
      <c r="AA443" s="3">
        <f t="shared" si="21"/>
        <v>0</v>
      </c>
      <c r="AB443" s="3">
        <f t="shared" si="22"/>
        <v>1</v>
      </c>
      <c r="AC443" s="3">
        <f t="shared" si="23"/>
        <v>0.8474576271</v>
      </c>
      <c r="AD443" s="3">
        <f t="shared" si="24"/>
        <v>0.8474576271</v>
      </c>
    </row>
    <row r="444">
      <c r="A444" s="1" t="s">
        <v>12</v>
      </c>
      <c r="B444" s="1" t="s">
        <v>478</v>
      </c>
      <c r="C444" s="1" t="s">
        <v>18</v>
      </c>
      <c r="D444" s="1" t="s">
        <v>147</v>
      </c>
      <c r="E444" s="1" t="s">
        <v>114</v>
      </c>
      <c r="F444" s="1" t="s">
        <v>455</v>
      </c>
      <c r="G444" s="1">
        <v>5.5</v>
      </c>
      <c r="H444" s="1" t="s">
        <v>60</v>
      </c>
      <c r="I444" s="1">
        <v>116.0</v>
      </c>
      <c r="J444" s="1">
        <v>0.00873703703703709</v>
      </c>
      <c r="K444" s="1" t="s">
        <v>61</v>
      </c>
      <c r="L444" s="1" t="s">
        <v>61</v>
      </c>
      <c r="M444" s="1" t="s">
        <v>62</v>
      </c>
      <c r="N444" s="1">
        <v>-152.0</v>
      </c>
      <c r="O444" s="1">
        <v>-0.0748746031746031</v>
      </c>
      <c r="P444" s="1" t="s">
        <v>61</v>
      </c>
      <c r="Q444" s="1" t="s">
        <v>61</v>
      </c>
      <c r="R444" s="1">
        <f t="shared" si="17"/>
        <v>0.008737037037</v>
      </c>
      <c r="S444" s="1">
        <f t="shared" si="18"/>
        <v>116</v>
      </c>
      <c r="T444" s="1">
        <f t="shared" si="1"/>
        <v>2.16</v>
      </c>
      <c r="U444" s="1">
        <f t="shared" si="19"/>
        <v>1</v>
      </c>
      <c r="V444" s="3">
        <f t="shared" si="20"/>
        <v>1</v>
      </c>
      <c r="W444" s="3" t="str">
        <f>IFERROR(__xludf.DUMMYFUNCTION("split(B444,"" "")"),"M.")</f>
        <v>M.</v>
      </c>
      <c r="X444" s="3" t="str">
        <f>IFERROR(__xludf.DUMMYFUNCTION("""COMPUTED_VALUE"""),"Nabers")</f>
        <v>Nabers</v>
      </c>
      <c r="Z444" s="3">
        <v>10.0</v>
      </c>
      <c r="AA444" s="3">
        <f t="shared" si="21"/>
        <v>1</v>
      </c>
      <c r="AB444" s="3">
        <f t="shared" si="22"/>
        <v>1</v>
      </c>
      <c r="AC444" s="3">
        <f t="shared" si="23"/>
        <v>1.16</v>
      </c>
      <c r="AD444" s="3">
        <f t="shared" si="24"/>
        <v>1.16</v>
      </c>
    </row>
    <row r="445">
      <c r="A445" s="1" t="s">
        <v>14</v>
      </c>
      <c r="B445" s="1" t="s">
        <v>260</v>
      </c>
      <c r="C445" s="1" t="s">
        <v>21</v>
      </c>
      <c r="D445" s="1" t="s">
        <v>147</v>
      </c>
      <c r="E445" s="1" t="s">
        <v>114</v>
      </c>
      <c r="F445" s="1" t="s">
        <v>455</v>
      </c>
      <c r="G445" s="1">
        <v>1.5</v>
      </c>
      <c r="H445" s="1" t="s">
        <v>60</v>
      </c>
      <c r="I445" s="1">
        <v>171.0</v>
      </c>
      <c r="J445" s="1">
        <v>0.00789630996309959</v>
      </c>
      <c r="K445" s="1" t="s">
        <v>61</v>
      </c>
      <c r="L445" s="1" t="s">
        <v>61</v>
      </c>
      <c r="M445" s="1" t="s">
        <v>62</v>
      </c>
      <c r="N445" s="1">
        <v>-230.0</v>
      </c>
      <c r="O445" s="1">
        <v>-0.073869696969697</v>
      </c>
      <c r="P445" s="1" t="s">
        <v>61</v>
      </c>
      <c r="Q445" s="1" t="s">
        <v>61</v>
      </c>
      <c r="R445" s="1">
        <f t="shared" si="17"/>
        <v>0.007896309963</v>
      </c>
      <c r="S445" s="1">
        <f t="shared" si="18"/>
        <v>171</v>
      </c>
      <c r="T445" s="1">
        <f t="shared" si="1"/>
        <v>2.71</v>
      </c>
      <c r="U445" s="1">
        <f t="shared" si="19"/>
        <v>1</v>
      </c>
      <c r="V445" s="3">
        <f t="shared" si="20"/>
        <v>1</v>
      </c>
      <c r="W445" s="3" t="str">
        <f>IFERROR(__xludf.DUMMYFUNCTION("split(B445,"" "")"),"D.")</f>
        <v>D.</v>
      </c>
      <c r="X445" s="3" t="str">
        <f>IFERROR(__xludf.DUMMYFUNCTION("""COMPUTED_VALUE"""),"Jones")</f>
        <v>Jones</v>
      </c>
      <c r="Z445" s="3">
        <v>2.0</v>
      </c>
      <c r="AA445" s="3">
        <f t="shared" si="21"/>
        <v>1</v>
      </c>
      <c r="AB445" s="3">
        <f t="shared" si="22"/>
        <v>1</v>
      </c>
      <c r="AC445" s="3">
        <f t="shared" si="23"/>
        <v>1.71</v>
      </c>
      <c r="AD445" s="3">
        <f t="shared" si="24"/>
        <v>1.71</v>
      </c>
    </row>
    <row r="446">
      <c r="A446" s="1" t="s">
        <v>15</v>
      </c>
      <c r="B446" s="1" t="s">
        <v>330</v>
      </c>
      <c r="C446" s="1" t="s">
        <v>21</v>
      </c>
      <c r="D446" s="1" t="s">
        <v>165</v>
      </c>
      <c r="E446" s="1" t="s">
        <v>100</v>
      </c>
      <c r="F446" s="1" t="s">
        <v>455</v>
      </c>
      <c r="G446" s="1">
        <v>20.5</v>
      </c>
      <c r="H446" s="1" t="s">
        <v>60</v>
      </c>
      <c r="I446" s="1">
        <v>-126.0</v>
      </c>
      <c r="J446" s="1">
        <v>-0.101696564690265</v>
      </c>
      <c r="K446" s="1" t="s">
        <v>61</v>
      </c>
      <c r="L446" s="1" t="s">
        <v>61</v>
      </c>
      <c r="M446" s="1" t="s">
        <v>62</v>
      </c>
      <c r="N446" s="1">
        <v>-105.0</v>
      </c>
      <c r="O446" s="1">
        <v>0.0320068039073171</v>
      </c>
      <c r="P446" s="1" t="s">
        <v>61</v>
      </c>
      <c r="Q446" s="1" t="s">
        <v>61</v>
      </c>
      <c r="R446" s="1">
        <f t="shared" si="17"/>
        <v>0.03200680391</v>
      </c>
      <c r="S446" s="1">
        <f t="shared" si="18"/>
        <v>-105</v>
      </c>
      <c r="T446" s="1">
        <f t="shared" si="1"/>
        <v>1.952380952</v>
      </c>
      <c r="U446" s="1">
        <f t="shared" si="19"/>
        <v>0</v>
      </c>
      <c r="V446" s="3">
        <f t="shared" si="20"/>
        <v>1</v>
      </c>
      <c r="W446" s="3" t="str">
        <f>IFERROR(__xludf.DUMMYFUNCTION("split(B446,"" "")"),"A.")</f>
        <v>A.</v>
      </c>
      <c r="X446" s="3" t="str">
        <f>IFERROR(__xludf.DUMMYFUNCTION("""COMPUTED_VALUE"""),"Rodgers")</f>
        <v>Rodgers</v>
      </c>
      <c r="Z446" s="3">
        <v>18.0</v>
      </c>
      <c r="AA446" s="3">
        <f t="shared" si="21"/>
        <v>0</v>
      </c>
      <c r="AB446" s="3">
        <f t="shared" si="22"/>
        <v>1</v>
      </c>
      <c r="AC446" s="3">
        <f t="shared" si="23"/>
        <v>0.9523809524</v>
      </c>
      <c r="AD446" s="3">
        <f t="shared" si="24"/>
        <v>0.9523809524</v>
      </c>
    </row>
    <row r="447">
      <c r="A447" s="1" t="s">
        <v>12</v>
      </c>
      <c r="B447" s="1" t="s">
        <v>305</v>
      </c>
      <c r="C447" s="1" t="s">
        <v>20</v>
      </c>
      <c r="D447" s="1" t="s">
        <v>165</v>
      </c>
      <c r="E447" s="1" t="s">
        <v>100</v>
      </c>
      <c r="F447" s="1" t="s">
        <v>455</v>
      </c>
      <c r="G447" s="1">
        <v>3.5</v>
      </c>
      <c r="H447" s="1" t="s">
        <v>60</v>
      </c>
      <c r="I447" s="1">
        <v>137.0</v>
      </c>
      <c r="J447" s="1">
        <v>-0.0910987341772151</v>
      </c>
      <c r="K447" s="1" t="s">
        <v>61</v>
      </c>
      <c r="L447" s="1" t="s">
        <v>61</v>
      </c>
      <c r="M447" s="1" t="s">
        <v>62</v>
      </c>
      <c r="N447" s="1">
        <v>-181.0</v>
      </c>
      <c r="O447" s="1">
        <v>0.0250362989323843</v>
      </c>
      <c r="P447" s="1" t="s">
        <v>61</v>
      </c>
      <c r="Q447" s="1" t="s">
        <v>61</v>
      </c>
      <c r="R447" s="1">
        <f t="shared" si="17"/>
        <v>0.02503629893</v>
      </c>
      <c r="S447" s="1">
        <f t="shared" si="18"/>
        <v>-181</v>
      </c>
      <c r="T447" s="1">
        <f t="shared" si="1"/>
        <v>1.552486188</v>
      </c>
      <c r="U447" s="1">
        <f t="shared" si="19"/>
        <v>0</v>
      </c>
      <c r="V447" s="3">
        <f t="shared" si="20"/>
        <v>1</v>
      </c>
      <c r="W447" s="3" t="str">
        <f>IFERROR(__xludf.DUMMYFUNCTION("split(B447,"" "")"),"T.")</f>
        <v>T.</v>
      </c>
      <c r="X447" s="3" t="str">
        <f>IFERROR(__xludf.DUMMYFUNCTION("""COMPUTED_VALUE"""),"Conklin")</f>
        <v>Conklin</v>
      </c>
      <c r="Z447" s="3">
        <v>1.0</v>
      </c>
      <c r="AA447" s="3">
        <f t="shared" si="21"/>
        <v>0</v>
      </c>
      <c r="AB447" s="3">
        <f t="shared" si="22"/>
        <v>1</v>
      </c>
      <c r="AC447" s="3">
        <f t="shared" si="23"/>
        <v>0.5524861878</v>
      </c>
      <c r="AD447" s="3">
        <f t="shared" si="24"/>
        <v>0.5524861878</v>
      </c>
    </row>
    <row r="448">
      <c r="A448" s="1" t="s">
        <v>12</v>
      </c>
      <c r="B448" s="1" t="s">
        <v>479</v>
      </c>
      <c r="C448" s="1" t="s">
        <v>18</v>
      </c>
      <c r="D448" s="1" t="s">
        <v>165</v>
      </c>
      <c r="E448" s="1" t="s">
        <v>100</v>
      </c>
      <c r="F448" s="1" t="s">
        <v>455</v>
      </c>
      <c r="G448" s="1">
        <v>5.5</v>
      </c>
      <c r="H448" s="1" t="s">
        <v>60</v>
      </c>
      <c r="I448" s="1">
        <v>-166.0</v>
      </c>
      <c r="J448" s="1">
        <v>-0.0841601503759399</v>
      </c>
      <c r="K448" s="1" t="s">
        <v>61</v>
      </c>
      <c r="L448" s="1" t="s">
        <v>61</v>
      </c>
      <c r="M448" s="1" t="s">
        <v>62</v>
      </c>
      <c r="N448" s="1">
        <v>128.0</v>
      </c>
      <c r="O448" s="1">
        <v>0.0215035087719298</v>
      </c>
      <c r="P448" s="1" t="s">
        <v>61</v>
      </c>
      <c r="Q448" s="1" t="s">
        <v>61</v>
      </c>
      <c r="R448" s="1">
        <f t="shared" si="17"/>
        <v>0.02150350877</v>
      </c>
      <c r="S448" s="1">
        <f t="shared" si="18"/>
        <v>128</v>
      </c>
      <c r="T448" s="1">
        <f t="shared" si="1"/>
        <v>2.28</v>
      </c>
      <c r="U448" s="1">
        <f t="shared" si="19"/>
        <v>0</v>
      </c>
      <c r="V448" s="3">
        <f t="shared" si="20"/>
        <v>1</v>
      </c>
      <c r="W448" s="3" t="str">
        <f>IFERROR(__xludf.DUMMYFUNCTION("split(B448,"" "")"),"G.")</f>
        <v>G.</v>
      </c>
      <c r="X448" s="3" t="str">
        <f>IFERROR(__xludf.DUMMYFUNCTION("""COMPUTED_VALUE"""),"Wilson")</f>
        <v>Wilson</v>
      </c>
      <c r="Z448" s="3">
        <v>4.0</v>
      </c>
      <c r="AA448" s="3">
        <f t="shared" si="21"/>
        <v>0</v>
      </c>
      <c r="AB448" s="3">
        <f t="shared" si="22"/>
        <v>1</v>
      </c>
      <c r="AC448" s="3">
        <f t="shared" si="23"/>
        <v>1.28</v>
      </c>
      <c r="AD448" s="3">
        <f t="shared" si="24"/>
        <v>1.28</v>
      </c>
    </row>
    <row r="449">
      <c r="A449" s="1" t="s">
        <v>17</v>
      </c>
      <c r="B449" s="1" t="s">
        <v>330</v>
      </c>
      <c r="C449" s="1" t="s">
        <v>21</v>
      </c>
      <c r="D449" s="1" t="s">
        <v>165</v>
      </c>
      <c r="E449" s="1" t="s">
        <v>100</v>
      </c>
      <c r="F449" s="1" t="s">
        <v>455</v>
      </c>
      <c r="G449" s="1">
        <v>0.5</v>
      </c>
      <c r="H449" s="1" t="s">
        <v>60</v>
      </c>
      <c r="I449" s="1">
        <v>100.0</v>
      </c>
      <c r="J449" s="1">
        <v>-0.0827</v>
      </c>
      <c r="K449" s="1" t="s">
        <v>61</v>
      </c>
      <c r="L449" s="1" t="s">
        <v>61</v>
      </c>
      <c r="M449" s="1" t="s">
        <v>62</v>
      </c>
      <c r="N449" s="1">
        <v>-130.0</v>
      </c>
      <c r="O449" s="1">
        <v>0.0174826086956521</v>
      </c>
      <c r="P449" s="1" t="s">
        <v>61</v>
      </c>
      <c r="Q449" s="1" t="s">
        <v>61</v>
      </c>
      <c r="R449" s="1">
        <f t="shared" si="17"/>
        <v>0.0174826087</v>
      </c>
      <c r="S449" s="1">
        <f t="shared" si="18"/>
        <v>-130</v>
      </c>
      <c r="T449" s="1">
        <f t="shared" si="1"/>
        <v>1.769230769</v>
      </c>
      <c r="U449" s="1">
        <f t="shared" si="19"/>
        <v>0</v>
      </c>
      <c r="V449" s="3">
        <f t="shared" si="20"/>
        <v>1</v>
      </c>
      <c r="W449" s="3" t="str">
        <f>IFERROR(__xludf.DUMMYFUNCTION("split(B449,"" "")"),"A.")</f>
        <v>A.</v>
      </c>
      <c r="X449" s="3" t="str">
        <f>IFERROR(__xludf.DUMMYFUNCTION("""COMPUTED_VALUE"""),"Rodgers")</f>
        <v>Rodgers</v>
      </c>
      <c r="Z449" s="3">
        <v>0.0</v>
      </c>
      <c r="AA449" s="3">
        <f t="shared" si="21"/>
        <v>0</v>
      </c>
      <c r="AB449" s="3">
        <f t="shared" si="22"/>
        <v>1</v>
      </c>
      <c r="AC449" s="3">
        <f t="shared" si="23"/>
        <v>0.7692307692</v>
      </c>
      <c r="AD449" s="3">
        <f t="shared" si="24"/>
        <v>0.7692307692</v>
      </c>
    </row>
    <row r="450">
      <c r="A450" s="1" t="s">
        <v>11</v>
      </c>
      <c r="B450" s="1" t="s">
        <v>305</v>
      </c>
      <c r="C450" s="1" t="s">
        <v>20</v>
      </c>
      <c r="D450" s="1" t="s">
        <v>165</v>
      </c>
      <c r="E450" s="1" t="s">
        <v>100</v>
      </c>
      <c r="F450" s="1" t="s">
        <v>455</v>
      </c>
      <c r="G450" s="1">
        <v>27.5</v>
      </c>
      <c r="H450" s="1" t="s">
        <v>60</v>
      </c>
      <c r="I450" s="1">
        <v>-112.0</v>
      </c>
      <c r="J450" s="1">
        <v>-0.0847026077872171</v>
      </c>
      <c r="K450" s="1" t="s">
        <v>61</v>
      </c>
      <c r="L450" s="1" t="s">
        <v>61</v>
      </c>
      <c r="M450" s="1" t="s">
        <v>62</v>
      </c>
      <c r="N450" s="1">
        <v>-117.0</v>
      </c>
      <c r="O450" s="1">
        <v>0.0172732296568726</v>
      </c>
      <c r="P450" s="1" t="s">
        <v>61</v>
      </c>
      <c r="Q450" s="1" t="s">
        <v>61</v>
      </c>
      <c r="R450" s="1">
        <f t="shared" si="17"/>
        <v>0.01727322966</v>
      </c>
      <c r="S450" s="1">
        <f t="shared" si="18"/>
        <v>-117</v>
      </c>
      <c r="T450" s="1">
        <f t="shared" si="1"/>
        <v>1.854700855</v>
      </c>
      <c r="U450" s="1">
        <f t="shared" si="19"/>
        <v>0</v>
      </c>
      <c r="V450" s="3">
        <f t="shared" si="20"/>
        <v>1</v>
      </c>
      <c r="W450" s="3" t="str">
        <f>IFERROR(__xludf.DUMMYFUNCTION("split(B450,"" "")"),"T.")</f>
        <v>T.</v>
      </c>
      <c r="X450" s="3" t="str">
        <f>IFERROR(__xludf.DUMMYFUNCTION("""COMPUTED_VALUE"""),"Conklin")</f>
        <v>Conklin</v>
      </c>
      <c r="Z450" s="3">
        <v>10.0</v>
      </c>
      <c r="AA450" s="3">
        <f t="shared" si="21"/>
        <v>0</v>
      </c>
      <c r="AB450" s="3">
        <f t="shared" si="22"/>
        <v>1</v>
      </c>
      <c r="AC450" s="3">
        <f t="shared" si="23"/>
        <v>0.8547008547</v>
      </c>
      <c r="AD450" s="3">
        <f t="shared" si="24"/>
        <v>0.8547008547</v>
      </c>
    </row>
    <row r="451">
      <c r="A451" s="1" t="s">
        <v>10</v>
      </c>
      <c r="B451" s="1" t="s">
        <v>336</v>
      </c>
      <c r="C451" s="1" t="s">
        <v>19</v>
      </c>
      <c r="D451" s="1" t="s">
        <v>165</v>
      </c>
      <c r="E451" s="1" t="s">
        <v>100</v>
      </c>
      <c r="F451" s="1" t="s">
        <v>455</v>
      </c>
      <c r="G451" s="1">
        <v>70.5</v>
      </c>
      <c r="H451" s="1" t="s">
        <v>60</v>
      </c>
      <c r="I451" s="1">
        <v>-115.0</v>
      </c>
      <c r="J451" s="1">
        <v>-0.0830090190519508</v>
      </c>
      <c r="K451" s="1" t="s">
        <v>61</v>
      </c>
      <c r="L451" s="1" t="s">
        <v>61</v>
      </c>
      <c r="M451" s="1" t="s">
        <v>62</v>
      </c>
      <c r="N451" s="1">
        <v>-115.0</v>
      </c>
      <c r="O451" s="1">
        <v>0.0131980701208184</v>
      </c>
      <c r="P451" s="1" t="s">
        <v>61</v>
      </c>
      <c r="Q451" s="1" t="s">
        <v>61</v>
      </c>
      <c r="R451" s="1">
        <f t="shared" si="17"/>
        <v>0.01319807012</v>
      </c>
      <c r="S451" s="1">
        <f t="shared" si="18"/>
        <v>-115</v>
      </c>
      <c r="T451" s="1">
        <f t="shared" si="1"/>
        <v>1.869565217</v>
      </c>
      <c r="U451" s="1">
        <f t="shared" si="19"/>
        <v>0</v>
      </c>
      <c r="V451" s="3">
        <f t="shared" si="20"/>
        <v>1</v>
      </c>
      <c r="W451" s="3" t="str">
        <f>IFERROR(__xludf.DUMMYFUNCTION("split(B451,"" "")"),"B.")</f>
        <v>B.</v>
      </c>
      <c r="X451" s="3" t="str">
        <f>IFERROR(__xludf.DUMMYFUNCTION("""COMPUTED_VALUE"""),"Hall")</f>
        <v>Hall</v>
      </c>
      <c r="Z451" s="3">
        <v>62.0</v>
      </c>
      <c r="AA451" s="3">
        <f t="shared" si="21"/>
        <v>0</v>
      </c>
      <c r="AB451" s="3">
        <f t="shared" si="22"/>
        <v>1</v>
      </c>
      <c r="AC451" s="3">
        <f t="shared" si="23"/>
        <v>0.8695652174</v>
      </c>
      <c r="AD451" s="3">
        <f t="shared" si="24"/>
        <v>0.8695652174</v>
      </c>
    </row>
    <row r="452">
      <c r="A452" s="1" t="s">
        <v>9</v>
      </c>
      <c r="B452" s="1" t="s">
        <v>479</v>
      </c>
      <c r="C452" s="1" t="s">
        <v>18</v>
      </c>
      <c r="D452" s="1" t="s">
        <v>165</v>
      </c>
      <c r="E452" s="1" t="s">
        <v>100</v>
      </c>
      <c r="F452" s="1" t="s">
        <v>455</v>
      </c>
      <c r="G452" s="1">
        <v>70.5</v>
      </c>
      <c r="H452" s="1" t="s">
        <v>60</v>
      </c>
      <c r="I452" s="1">
        <v>-120.0</v>
      </c>
      <c r="J452" s="1">
        <v>-0.0815133666238734</v>
      </c>
      <c r="K452" s="1" t="s">
        <v>61</v>
      </c>
      <c r="L452" s="1" t="s">
        <v>61</v>
      </c>
      <c r="M452" s="1" t="s">
        <v>62</v>
      </c>
      <c r="N452" s="1">
        <v>-113.0</v>
      </c>
      <c r="O452" s="1">
        <v>0.00556893400326263</v>
      </c>
      <c r="P452" s="1" t="s">
        <v>61</v>
      </c>
      <c r="Q452" s="1" t="s">
        <v>61</v>
      </c>
      <c r="R452" s="1">
        <f t="shared" si="17"/>
        <v>0.005568934003</v>
      </c>
      <c r="S452" s="1">
        <f t="shared" si="18"/>
        <v>-113</v>
      </c>
      <c r="T452" s="1">
        <f t="shared" si="1"/>
        <v>1.884955752</v>
      </c>
      <c r="U452" s="1">
        <f t="shared" si="19"/>
        <v>0</v>
      </c>
      <c r="V452" s="3">
        <f t="shared" si="20"/>
        <v>1</v>
      </c>
      <c r="W452" s="3" t="str">
        <f>IFERROR(__xludf.DUMMYFUNCTION("split(B452,"" "")"),"G.")</f>
        <v>G.</v>
      </c>
      <c r="X452" s="3" t="str">
        <f>IFERROR(__xludf.DUMMYFUNCTION("""COMPUTED_VALUE"""),"Wilson")</f>
        <v>Wilson</v>
      </c>
      <c r="Z452" s="3">
        <v>62.0</v>
      </c>
      <c r="AA452" s="3">
        <f t="shared" si="21"/>
        <v>0</v>
      </c>
      <c r="AB452" s="3">
        <f t="shared" si="22"/>
        <v>1</v>
      </c>
      <c r="AC452" s="3">
        <f t="shared" si="23"/>
        <v>0.8849557522</v>
      </c>
      <c r="AD452" s="3">
        <f t="shared" si="24"/>
        <v>0.8849557522</v>
      </c>
    </row>
    <row r="453">
      <c r="A453" s="1" t="s">
        <v>12</v>
      </c>
      <c r="B453" s="1" t="s">
        <v>366</v>
      </c>
      <c r="C453" s="1" t="s">
        <v>20</v>
      </c>
      <c r="D453" s="1" t="s">
        <v>156</v>
      </c>
      <c r="E453" s="1" t="s">
        <v>109</v>
      </c>
      <c r="F453" s="1" t="s">
        <v>453</v>
      </c>
      <c r="G453" s="1">
        <v>3.5</v>
      </c>
      <c r="H453" s="1" t="s">
        <v>60</v>
      </c>
      <c r="I453" s="1">
        <v>-124.0</v>
      </c>
      <c r="J453" s="1">
        <v>-0.151016071428571</v>
      </c>
      <c r="K453" s="1" t="s">
        <v>61</v>
      </c>
      <c r="L453" s="1" t="s">
        <v>61</v>
      </c>
      <c r="M453" s="1" t="s">
        <v>62</v>
      </c>
      <c r="N453" s="1">
        <v>-106.0</v>
      </c>
      <c r="O453" s="1">
        <v>0.0828883495145631</v>
      </c>
      <c r="P453" s="1" t="s">
        <v>61</v>
      </c>
      <c r="Q453" s="1" t="s">
        <v>61</v>
      </c>
      <c r="R453" s="1">
        <f t="shared" si="17"/>
        <v>0.08288834951</v>
      </c>
      <c r="S453" s="1">
        <f t="shared" si="18"/>
        <v>-106</v>
      </c>
      <c r="T453" s="1">
        <f t="shared" si="1"/>
        <v>1.943396226</v>
      </c>
      <c r="U453" s="1">
        <f t="shared" si="19"/>
        <v>0</v>
      </c>
      <c r="V453" s="3">
        <f t="shared" si="20"/>
        <v>2</v>
      </c>
      <c r="W453" s="3" t="str">
        <f>IFERROR(__xludf.DUMMYFUNCTION("split(B453,"" "")"),"D.")</f>
        <v>D.</v>
      </c>
      <c r="X453" s="3" t="str">
        <f>IFERROR(__xludf.DUMMYFUNCTION("""COMPUTED_VALUE"""),"Goedert")</f>
        <v>Goedert</v>
      </c>
      <c r="Z453" s="3">
        <v>3.0</v>
      </c>
      <c r="AA453" s="3">
        <f t="shared" si="21"/>
        <v>0</v>
      </c>
      <c r="AB453" s="3">
        <f t="shared" si="22"/>
        <v>1</v>
      </c>
      <c r="AC453" s="3">
        <f t="shared" si="23"/>
        <v>1.886792453</v>
      </c>
      <c r="AD453" s="3">
        <f t="shared" si="24"/>
        <v>1.886792453</v>
      </c>
    </row>
    <row r="454">
      <c r="A454" s="1" t="s">
        <v>12</v>
      </c>
      <c r="B454" s="1" t="s">
        <v>81</v>
      </c>
      <c r="C454" s="1" t="s">
        <v>20</v>
      </c>
      <c r="D454" s="1" t="s">
        <v>82</v>
      </c>
      <c r="E454" s="1" t="s">
        <v>66</v>
      </c>
      <c r="F454" s="1" t="s">
        <v>455</v>
      </c>
      <c r="G454" s="1">
        <v>2.5</v>
      </c>
      <c r="H454" s="1" t="s">
        <v>60</v>
      </c>
      <c r="I454" s="1">
        <v>-133.0</v>
      </c>
      <c r="J454" s="1">
        <v>-0.206513477339055</v>
      </c>
      <c r="K454" s="1" t="s">
        <v>61</v>
      </c>
      <c r="L454" s="1" t="s">
        <v>61</v>
      </c>
      <c r="M454" s="1" t="s">
        <v>62</v>
      </c>
      <c r="N454" s="1">
        <v>100.0</v>
      </c>
      <c r="O454" s="1">
        <v>0.1356977011</v>
      </c>
      <c r="P454" s="1" t="s">
        <v>61</v>
      </c>
      <c r="Q454" s="1" t="s">
        <v>61</v>
      </c>
      <c r="R454" s="1">
        <f t="shared" si="17"/>
        <v>0.1356977011</v>
      </c>
      <c r="S454" s="1">
        <f t="shared" si="18"/>
        <v>100</v>
      </c>
      <c r="T454" s="1">
        <f t="shared" si="1"/>
        <v>2</v>
      </c>
      <c r="U454" s="1">
        <f t="shared" si="19"/>
        <v>0</v>
      </c>
      <c r="V454" s="3">
        <f t="shared" si="20"/>
        <v>3</v>
      </c>
      <c r="W454" s="3" t="str">
        <f>IFERROR(__xludf.DUMMYFUNCTION("split(B454,"" "")"),"N.")</f>
        <v>N.</v>
      </c>
      <c r="X454" s="3" t="str">
        <f>IFERROR(__xludf.DUMMYFUNCTION("""COMPUTED_VALUE"""),"Fant")</f>
        <v>Fant</v>
      </c>
      <c r="Z454" s="3">
        <v>1.0</v>
      </c>
      <c r="AA454" s="3">
        <f t="shared" si="21"/>
        <v>0</v>
      </c>
      <c r="AB454" s="3">
        <f t="shared" si="22"/>
        <v>1</v>
      </c>
      <c r="AC454" s="3">
        <f t="shared" si="23"/>
        <v>3</v>
      </c>
      <c r="AD454" s="3">
        <f t="shared" si="24"/>
        <v>3</v>
      </c>
    </row>
    <row r="455">
      <c r="A455" s="1" t="s">
        <v>12</v>
      </c>
      <c r="B455" s="1" t="s">
        <v>480</v>
      </c>
      <c r="C455" s="1" t="s">
        <v>18</v>
      </c>
      <c r="D455" s="1" t="s">
        <v>82</v>
      </c>
      <c r="E455" s="1" t="s">
        <v>66</v>
      </c>
      <c r="F455" s="1" t="s">
        <v>455</v>
      </c>
      <c r="G455" s="1">
        <v>4.5</v>
      </c>
      <c r="H455" s="1" t="s">
        <v>60</v>
      </c>
      <c r="I455" s="1">
        <v>105.0</v>
      </c>
      <c r="J455" s="1">
        <v>-0.106156097560975</v>
      </c>
      <c r="K455" s="1" t="s">
        <v>61</v>
      </c>
      <c r="L455" s="1" t="s">
        <v>61</v>
      </c>
      <c r="M455" s="1" t="s">
        <v>62</v>
      </c>
      <c r="N455" s="1">
        <v>-137.0</v>
      </c>
      <c r="O455" s="1">
        <v>0.0402987341772151</v>
      </c>
      <c r="P455" s="1" t="s">
        <v>61</v>
      </c>
      <c r="Q455" s="1" t="s">
        <v>61</v>
      </c>
      <c r="R455" s="1">
        <f t="shared" si="17"/>
        <v>0.04029873418</v>
      </c>
      <c r="S455" s="1">
        <f t="shared" si="18"/>
        <v>-137</v>
      </c>
      <c r="T455" s="1">
        <f t="shared" si="1"/>
        <v>1.729927007</v>
      </c>
      <c r="U455" s="1">
        <f t="shared" si="19"/>
        <v>0</v>
      </c>
      <c r="V455" s="3">
        <f t="shared" si="20"/>
        <v>1</v>
      </c>
      <c r="W455" s="3" t="str">
        <f>IFERROR(__xludf.DUMMYFUNCTION("split(B455,"" "")"),"T.")</f>
        <v>T.</v>
      </c>
      <c r="X455" s="3" t="str">
        <f>IFERROR(__xludf.DUMMYFUNCTION("""COMPUTED_VALUE"""),"Lockett")</f>
        <v>Lockett</v>
      </c>
      <c r="Z455" s="3">
        <v>2.0</v>
      </c>
      <c r="AA455" s="3">
        <f t="shared" si="21"/>
        <v>0</v>
      </c>
      <c r="AB455" s="3">
        <f t="shared" si="22"/>
        <v>1</v>
      </c>
      <c r="AC455" s="3">
        <f t="shared" si="23"/>
        <v>0.7299270073</v>
      </c>
      <c r="AD455" s="3">
        <f t="shared" si="24"/>
        <v>0.7299270073</v>
      </c>
    </row>
    <row r="456">
      <c r="A456" s="1" t="s">
        <v>11</v>
      </c>
      <c r="B456" s="1" t="s">
        <v>480</v>
      </c>
      <c r="C456" s="1" t="s">
        <v>18</v>
      </c>
      <c r="D456" s="1" t="s">
        <v>82</v>
      </c>
      <c r="E456" s="1" t="s">
        <v>66</v>
      </c>
      <c r="F456" s="1" t="s">
        <v>455</v>
      </c>
      <c r="G456" s="1">
        <v>44.5</v>
      </c>
      <c r="H456" s="1" t="s">
        <v>60</v>
      </c>
      <c r="I456" s="1">
        <v>-111.0</v>
      </c>
      <c r="J456" s="1">
        <v>-0.0931981309577251</v>
      </c>
      <c r="K456" s="1" t="s">
        <v>61</v>
      </c>
      <c r="L456" s="1" t="s">
        <v>61</v>
      </c>
      <c r="M456" s="1" t="s">
        <v>62</v>
      </c>
      <c r="N456" s="1">
        <v>-118.0</v>
      </c>
      <c r="O456" s="1">
        <v>0.0258933394241009</v>
      </c>
      <c r="P456" s="1" t="s">
        <v>61</v>
      </c>
      <c r="Q456" s="1" t="s">
        <v>61</v>
      </c>
      <c r="R456" s="1">
        <f t="shared" si="17"/>
        <v>0.02589333942</v>
      </c>
      <c r="S456" s="1">
        <f t="shared" si="18"/>
        <v>-118</v>
      </c>
      <c r="T456" s="1">
        <f t="shared" si="1"/>
        <v>1.847457627</v>
      </c>
      <c r="U456" s="1">
        <f t="shared" si="19"/>
        <v>0</v>
      </c>
      <c r="V456" s="3">
        <f t="shared" si="20"/>
        <v>1</v>
      </c>
      <c r="W456" s="3" t="str">
        <f>IFERROR(__xludf.DUMMYFUNCTION("split(B456,"" "")"),"T.")</f>
        <v>T.</v>
      </c>
      <c r="X456" s="3" t="str">
        <f>IFERROR(__xludf.DUMMYFUNCTION("""COMPUTED_VALUE"""),"Lockett")</f>
        <v>Lockett</v>
      </c>
      <c r="Z456" s="3">
        <v>15.0</v>
      </c>
      <c r="AA456" s="3">
        <f t="shared" si="21"/>
        <v>0</v>
      </c>
      <c r="AB456" s="3">
        <f t="shared" si="22"/>
        <v>1</v>
      </c>
      <c r="AC456" s="3">
        <f t="shared" si="23"/>
        <v>0.8474576271</v>
      </c>
      <c r="AD456" s="3">
        <f t="shared" si="24"/>
        <v>0.8474576271</v>
      </c>
    </row>
    <row r="457">
      <c r="A457" s="1" t="s">
        <v>9</v>
      </c>
      <c r="B457" s="1" t="s">
        <v>387</v>
      </c>
      <c r="C457" s="1" t="s">
        <v>18</v>
      </c>
      <c r="D457" s="1" t="s">
        <v>82</v>
      </c>
      <c r="E457" s="1" t="s">
        <v>66</v>
      </c>
      <c r="F457" s="1" t="s">
        <v>455</v>
      </c>
      <c r="G457" s="1">
        <v>54.5</v>
      </c>
      <c r="H457" s="1" t="s">
        <v>60</v>
      </c>
      <c r="I457" s="1">
        <v>-115.0</v>
      </c>
      <c r="J457" s="1">
        <v>0.00364134533572668</v>
      </c>
      <c r="K457" s="1" t="s">
        <v>61</v>
      </c>
      <c r="L457" s="1" t="s">
        <v>61</v>
      </c>
      <c r="M457" s="1" t="s">
        <v>62</v>
      </c>
      <c r="N457" s="1">
        <v>-117.0</v>
      </c>
      <c r="O457" s="1">
        <v>-0.0776836424848021</v>
      </c>
      <c r="P457" s="1" t="s">
        <v>61</v>
      </c>
      <c r="Q457" s="1" t="s">
        <v>61</v>
      </c>
      <c r="R457" s="1">
        <f t="shared" si="17"/>
        <v>0.003641345336</v>
      </c>
      <c r="S457" s="1">
        <f t="shared" si="18"/>
        <v>-115</v>
      </c>
      <c r="T457" s="1">
        <f t="shared" si="1"/>
        <v>1.869565217</v>
      </c>
      <c r="U457" s="1">
        <f t="shared" si="19"/>
        <v>1</v>
      </c>
      <c r="V457" s="3">
        <f t="shared" si="20"/>
        <v>1</v>
      </c>
      <c r="W457" s="3" t="str">
        <f>IFERROR(__xludf.DUMMYFUNCTION("split(B457,"" "")"),"D.")</f>
        <v>D.</v>
      </c>
      <c r="X457" s="3" t="str">
        <f>IFERROR(__xludf.DUMMYFUNCTION("""COMPUTED_VALUE"""),"Metcalf")</f>
        <v>Metcalf</v>
      </c>
      <c r="Z457" s="3">
        <v>129.0</v>
      </c>
      <c r="AA457" s="3">
        <f t="shared" si="21"/>
        <v>1</v>
      </c>
      <c r="AB457" s="3">
        <f t="shared" si="22"/>
        <v>1</v>
      </c>
      <c r="AC457" s="3">
        <f t="shared" si="23"/>
        <v>0.8695652174</v>
      </c>
      <c r="AD457" s="3">
        <f t="shared" si="24"/>
        <v>0.8695652174</v>
      </c>
    </row>
    <row r="458">
      <c r="A458" s="1" t="s">
        <v>8</v>
      </c>
      <c r="B458" s="1" t="s">
        <v>262</v>
      </c>
      <c r="C458" s="1" t="s">
        <v>21</v>
      </c>
      <c r="D458" s="1" t="s">
        <v>164</v>
      </c>
      <c r="E458" s="1" t="s">
        <v>146</v>
      </c>
      <c r="F458" s="1" t="s">
        <v>455</v>
      </c>
      <c r="G458" s="1">
        <v>2.5</v>
      </c>
      <c r="H458" s="1" t="s">
        <v>60</v>
      </c>
      <c r="I458" s="1">
        <v>-133.0</v>
      </c>
      <c r="J458" s="1">
        <v>-0.199306815419899</v>
      </c>
      <c r="K458" s="1" t="s">
        <v>61</v>
      </c>
      <c r="L458" s="1" t="s">
        <v>61</v>
      </c>
      <c r="M458" s="1" t="s">
        <v>62</v>
      </c>
      <c r="N458" s="1">
        <v>100.0</v>
      </c>
      <c r="O458" s="1">
        <v>0.128489939964183</v>
      </c>
      <c r="P458" s="1" t="s">
        <v>61</v>
      </c>
      <c r="Q458" s="1" t="s">
        <v>61</v>
      </c>
      <c r="R458" s="1">
        <f t="shared" si="17"/>
        <v>0.12848994</v>
      </c>
      <c r="S458" s="1">
        <f t="shared" si="18"/>
        <v>100</v>
      </c>
      <c r="T458" s="1">
        <f t="shared" si="1"/>
        <v>2</v>
      </c>
      <c r="U458" s="1">
        <f t="shared" si="19"/>
        <v>0</v>
      </c>
      <c r="V458" s="3">
        <f t="shared" si="20"/>
        <v>3</v>
      </c>
      <c r="W458" s="3" t="str">
        <f>IFERROR(__xludf.DUMMYFUNCTION("split(B458,"" "")"),"B.")</f>
        <v>B.</v>
      </c>
      <c r="X458" s="3" t="str">
        <f>IFERROR(__xludf.DUMMYFUNCTION("""COMPUTED_VALUE"""),"Purdy")</f>
        <v>Purdy</v>
      </c>
      <c r="Z458" s="3">
        <v>2.0</v>
      </c>
      <c r="AA458" s="3">
        <f t="shared" si="21"/>
        <v>0</v>
      </c>
      <c r="AB458" s="3">
        <f t="shared" si="22"/>
        <v>1</v>
      </c>
      <c r="AC458" s="3">
        <f t="shared" si="23"/>
        <v>3</v>
      </c>
      <c r="AD458" s="3">
        <f t="shared" si="24"/>
        <v>3</v>
      </c>
    </row>
    <row r="459">
      <c r="A459" s="1" t="s">
        <v>12</v>
      </c>
      <c r="B459" s="1" t="s">
        <v>417</v>
      </c>
      <c r="C459" s="1" t="s">
        <v>19</v>
      </c>
      <c r="D459" s="1" t="s">
        <v>113</v>
      </c>
      <c r="E459" s="1" t="s">
        <v>197</v>
      </c>
      <c r="F459" s="1" t="s">
        <v>455</v>
      </c>
      <c r="G459" s="1">
        <v>3.5</v>
      </c>
      <c r="H459" s="1" t="s">
        <v>60</v>
      </c>
      <c r="I459" s="1">
        <v>-124.0</v>
      </c>
      <c r="J459" s="1">
        <v>-0.210316071428571</v>
      </c>
      <c r="K459" s="1" t="s">
        <v>61</v>
      </c>
      <c r="L459" s="1" t="s">
        <v>61</v>
      </c>
      <c r="M459" s="1" t="s">
        <v>62</v>
      </c>
      <c r="N459" s="1">
        <v>-106.0</v>
      </c>
      <c r="O459" s="1">
        <v>0.142188349514563</v>
      </c>
      <c r="P459" s="1" t="s">
        <v>61</v>
      </c>
      <c r="Q459" s="1" t="s">
        <v>61</v>
      </c>
      <c r="R459" s="1">
        <f t="shared" si="17"/>
        <v>0.1421883495</v>
      </c>
      <c r="S459" s="1">
        <f t="shared" si="18"/>
        <v>-106</v>
      </c>
      <c r="T459" s="1">
        <f t="shared" si="1"/>
        <v>1.943396226</v>
      </c>
      <c r="U459" s="1">
        <f t="shared" si="19"/>
        <v>0</v>
      </c>
      <c r="V459" s="3">
        <f t="shared" si="20"/>
        <v>3</v>
      </c>
      <c r="W459" s="3" t="str">
        <f>IFERROR(__xludf.DUMMYFUNCTION("split(B459,"" "")"),"R.")</f>
        <v>R.</v>
      </c>
      <c r="X459" s="3" t="str">
        <f>IFERROR(__xludf.DUMMYFUNCTION("""COMPUTED_VALUE"""),"White")</f>
        <v>White</v>
      </c>
      <c r="Z459" s="3">
        <v>1.0</v>
      </c>
      <c r="AA459" s="3">
        <f t="shared" si="21"/>
        <v>0</v>
      </c>
      <c r="AB459" s="3">
        <f t="shared" si="22"/>
        <v>1</v>
      </c>
      <c r="AC459" s="3">
        <f t="shared" si="23"/>
        <v>2.830188679</v>
      </c>
      <c r="AD459" s="3">
        <f t="shared" si="24"/>
        <v>2.830188679</v>
      </c>
    </row>
    <row r="460">
      <c r="A460" s="1" t="s">
        <v>12</v>
      </c>
      <c r="B460" s="1" t="s">
        <v>307</v>
      </c>
      <c r="C460" s="1" t="s">
        <v>18</v>
      </c>
      <c r="D460" s="1" t="s">
        <v>113</v>
      </c>
      <c r="E460" s="1" t="s">
        <v>197</v>
      </c>
      <c r="F460" s="1" t="s">
        <v>455</v>
      </c>
      <c r="G460" s="1">
        <v>2.5</v>
      </c>
      <c r="H460" s="1" t="s">
        <v>60</v>
      </c>
      <c r="I460" s="1">
        <v>-111.0</v>
      </c>
      <c r="J460" s="1">
        <v>-0.188064712985781</v>
      </c>
      <c r="K460" s="1" t="s">
        <v>61</v>
      </c>
      <c r="L460" s="1" t="s">
        <v>61</v>
      </c>
      <c r="M460" s="1" t="s">
        <v>62</v>
      </c>
      <c r="N460" s="1">
        <v>-116.0</v>
      </c>
      <c r="O460" s="1">
        <v>0.124961107177777</v>
      </c>
      <c r="P460" s="1" t="s">
        <v>61</v>
      </c>
      <c r="Q460" s="1" t="s">
        <v>61</v>
      </c>
      <c r="R460" s="1">
        <f t="shared" si="17"/>
        <v>0.1249611072</v>
      </c>
      <c r="S460" s="1">
        <f t="shared" si="18"/>
        <v>-116</v>
      </c>
      <c r="T460" s="1">
        <f t="shared" si="1"/>
        <v>1.862068966</v>
      </c>
      <c r="U460" s="1">
        <f t="shared" si="19"/>
        <v>0</v>
      </c>
      <c r="V460" s="3">
        <f t="shared" si="20"/>
        <v>3</v>
      </c>
      <c r="W460" s="3" t="str">
        <f>IFERROR(__xludf.DUMMYFUNCTION("split(B460,"" "")"),"J.")</f>
        <v>J.</v>
      </c>
      <c r="X460" s="3" t="str">
        <f>IFERROR(__xludf.DUMMYFUNCTION("""COMPUTED_VALUE"""),"McMillan")</f>
        <v>McMillan</v>
      </c>
      <c r="Z460" s="3">
        <v>1.0</v>
      </c>
      <c r="AA460" s="3">
        <f t="shared" si="21"/>
        <v>0</v>
      </c>
      <c r="AB460" s="3">
        <f t="shared" si="22"/>
        <v>1</v>
      </c>
      <c r="AC460" s="3">
        <f t="shared" si="23"/>
        <v>2.586206897</v>
      </c>
      <c r="AD460" s="3">
        <f t="shared" si="24"/>
        <v>2.586206897</v>
      </c>
    </row>
    <row r="461">
      <c r="A461" s="1" t="s">
        <v>12</v>
      </c>
      <c r="B461" s="1" t="s">
        <v>112</v>
      </c>
      <c r="C461" s="1" t="s">
        <v>20</v>
      </c>
      <c r="D461" s="1" t="s">
        <v>113</v>
      </c>
      <c r="E461" s="1" t="s">
        <v>197</v>
      </c>
      <c r="F461" s="1" t="s">
        <v>455</v>
      </c>
      <c r="G461" s="1">
        <v>2.5</v>
      </c>
      <c r="H461" s="1" t="s">
        <v>60</v>
      </c>
      <c r="I461" s="1">
        <v>-105.0</v>
      </c>
      <c r="J461" s="1">
        <v>-0.124941053951219</v>
      </c>
      <c r="K461" s="1" t="s">
        <v>61</v>
      </c>
      <c r="L461" s="1" t="s">
        <v>61</v>
      </c>
      <c r="M461" s="1" t="s">
        <v>62</v>
      </c>
      <c r="N461" s="1">
        <v>-125.0</v>
      </c>
      <c r="O461" s="1">
        <v>0.0571967558888888</v>
      </c>
      <c r="P461" s="1" t="s">
        <v>61</v>
      </c>
      <c r="Q461" s="1" t="s">
        <v>61</v>
      </c>
      <c r="R461" s="1">
        <f t="shared" si="17"/>
        <v>0.05719675589</v>
      </c>
      <c r="S461" s="1">
        <f t="shared" si="18"/>
        <v>-125</v>
      </c>
      <c r="T461" s="1">
        <f t="shared" si="1"/>
        <v>1.8</v>
      </c>
      <c r="U461" s="1">
        <f t="shared" si="19"/>
        <v>0</v>
      </c>
      <c r="V461" s="3">
        <f t="shared" si="20"/>
        <v>2</v>
      </c>
      <c r="W461" s="3" t="str">
        <f>IFERROR(__xludf.DUMMYFUNCTION("split(B461,"" "")"),"C.")</f>
        <v>C.</v>
      </c>
      <c r="X461" s="3" t="str">
        <f>IFERROR(__xludf.DUMMYFUNCTION("""COMPUTED_VALUE"""),"Otton")</f>
        <v>Otton</v>
      </c>
      <c r="Z461" s="3">
        <v>0.0</v>
      </c>
      <c r="AA461" s="3">
        <f t="shared" si="21"/>
        <v>0</v>
      </c>
      <c r="AB461" s="3">
        <f t="shared" si="22"/>
        <v>1</v>
      </c>
      <c r="AC461" s="3">
        <f t="shared" si="23"/>
        <v>1.6</v>
      </c>
      <c r="AD461" s="3">
        <f t="shared" si="24"/>
        <v>1.6</v>
      </c>
    </row>
    <row r="462">
      <c r="A462" s="1" t="s">
        <v>14</v>
      </c>
      <c r="B462" s="1" t="s">
        <v>253</v>
      </c>
      <c r="C462" s="1" t="s">
        <v>21</v>
      </c>
      <c r="D462" s="1" t="s">
        <v>113</v>
      </c>
      <c r="E462" s="1" t="s">
        <v>197</v>
      </c>
      <c r="F462" s="1" t="s">
        <v>455</v>
      </c>
      <c r="G462" s="1">
        <v>1.5</v>
      </c>
      <c r="H462" s="1" t="s">
        <v>60</v>
      </c>
      <c r="I462" s="1">
        <v>-133.0</v>
      </c>
      <c r="J462" s="1">
        <v>-0.117715450643776</v>
      </c>
      <c r="K462" s="1" t="s">
        <v>61</v>
      </c>
      <c r="L462" s="1" t="s">
        <v>61</v>
      </c>
      <c r="M462" s="1" t="s">
        <v>62</v>
      </c>
      <c r="N462" s="1">
        <v>101.0</v>
      </c>
      <c r="O462" s="1">
        <v>0.0493875621890546</v>
      </c>
      <c r="P462" s="1" t="s">
        <v>61</v>
      </c>
      <c r="Q462" s="1" t="s">
        <v>61</v>
      </c>
      <c r="R462" s="1">
        <f t="shared" si="17"/>
        <v>0.04938756219</v>
      </c>
      <c r="S462" s="1">
        <f t="shared" si="18"/>
        <v>101</v>
      </c>
      <c r="T462" s="1">
        <f t="shared" si="1"/>
        <v>2.01</v>
      </c>
      <c r="U462" s="1">
        <f t="shared" si="19"/>
        <v>0</v>
      </c>
      <c r="V462" s="3">
        <f t="shared" si="20"/>
        <v>1</v>
      </c>
      <c r="W462" s="3" t="str">
        <f>IFERROR(__xludf.DUMMYFUNCTION("split(B462,"" "")"),"B.")</f>
        <v>B.</v>
      </c>
      <c r="X462" s="3" t="str">
        <f>IFERROR(__xludf.DUMMYFUNCTION("""COMPUTED_VALUE"""),"Mayfield")</f>
        <v>Mayfield</v>
      </c>
      <c r="Z462" s="3">
        <v>1.0</v>
      </c>
      <c r="AA462" s="3">
        <f t="shared" si="21"/>
        <v>0</v>
      </c>
      <c r="AB462" s="3">
        <f t="shared" si="22"/>
        <v>1</v>
      </c>
      <c r="AC462" s="3">
        <f t="shared" si="23"/>
        <v>1.01</v>
      </c>
      <c r="AD462" s="3">
        <f t="shared" si="24"/>
        <v>1.01</v>
      </c>
    </row>
    <row r="463">
      <c r="A463" s="1" t="s">
        <v>9</v>
      </c>
      <c r="B463" s="1" t="s">
        <v>417</v>
      </c>
      <c r="C463" s="1" t="s">
        <v>19</v>
      </c>
      <c r="D463" s="1" t="s">
        <v>113</v>
      </c>
      <c r="E463" s="1" t="s">
        <v>197</v>
      </c>
      <c r="F463" s="1" t="s">
        <v>455</v>
      </c>
      <c r="G463" s="1">
        <v>74.5</v>
      </c>
      <c r="H463" s="1" t="s">
        <v>60</v>
      </c>
      <c r="I463" s="1">
        <v>-120.0</v>
      </c>
      <c r="J463" s="1">
        <v>-0.121779762769673</v>
      </c>
      <c r="K463" s="1" t="s">
        <v>61</v>
      </c>
      <c r="L463" s="1" t="s">
        <v>61</v>
      </c>
      <c r="M463" s="1" t="s">
        <v>62</v>
      </c>
      <c r="N463" s="1">
        <v>-113.0</v>
      </c>
      <c r="O463" s="1">
        <v>0.0458130001152149</v>
      </c>
      <c r="P463" s="1" t="s">
        <v>61</v>
      </c>
      <c r="Q463" s="1" t="s">
        <v>61</v>
      </c>
      <c r="R463" s="1">
        <f t="shared" si="17"/>
        <v>0.04581300012</v>
      </c>
      <c r="S463" s="1">
        <f t="shared" si="18"/>
        <v>-113</v>
      </c>
      <c r="T463" s="1">
        <f t="shared" si="1"/>
        <v>1.884955752</v>
      </c>
      <c r="U463" s="1">
        <f t="shared" si="19"/>
        <v>0</v>
      </c>
      <c r="V463" s="3">
        <f t="shared" si="20"/>
        <v>1</v>
      </c>
      <c r="W463" s="3" t="str">
        <f>IFERROR(__xludf.DUMMYFUNCTION("split(B463,"" "")"),"R.")</f>
        <v>R.</v>
      </c>
      <c r="X463" s="3" t="str">
        <f>IFERROR(__xludf.DUMMYFUNCTION("""COMPUTED_VALUE"""),"White")</f>
        <v>White</v>
      </c>
      <c r="Z463" s="3">
        <v>23.0</v>
      </c>
      <c r="AA463" s="3">
        <f t="shared" si="21"/>
        <v>0</v>
      </c>
      <c r="AB463" s="3">
        <f t="shared" si="22"/>
        <v>1</v>
      </c>
      <c r="AC463" s="3">
        <f t="shared" si="23"/>
        <v>0.8849557522</v>
      </c>
      <c r="AD463" s="3">
        <f t="shared" si="24"/>
        <v>0.8849557522</v>
      </c>
    </row>
    <row r="464">
      <c r="A464" s="1" t="s">
        <v>8</v>
      </c>
      <c r="B464" s="1" t="s">
        <v>417</v>
      </c>
      <c r="C464" s="1" t="s">
        <v>19</v>
      </c>
      <c r="D464" s="1" t="s">
        <v>113</v>
      </c>
      <c r="E464" s="1" t="s">
        <v>197</v>
      </c>
      <c r="F464" s="1" t="s">
        <v>455</v>
      </c>
      <c r="G464" s="1">
        <v>13.5</v>
      </c>
      <c r="H464" s="1" t="s">
        <v>60</v>
      </c>
      <c r="I464" s="1">
        <v>101.0</v>
      </c>
      <c r="J464" s="1">
        <v>-0.108710697109109</v>
      </c>
      <c r="K464" s="1" t="s">
        <v>61</v>
      </c>
      <c r="L464" s="1" t="s">
        <v>61</v>
      </c>
      <c r="M464" s="1" t="s">
        <v>62</v>
      </c>
      <c r="N464" s="1">
        <v>-132.0</v>
      </c>
      <c r="O464" s="1">
        <v>0.0422325117659136</v>
      </c>
      <c r="P464" s="1" t="s">
        <v>61</v>
      </c>
      <c r="Q464" s="1" t="s">
        <v>61</v>
      </c>
      <c r="R464" s="1">
        <f t="shared" si="17"/>
        <v>0.04223251177</v>
      </c>
      <c r="S464" s="1">
        <f t="shared" si="18"/>
        <v>-132</v>
      </c>
      <c r="T464" s="1">
        <f t="shared" si="1"/>
        <v>1.757575758</v>
      </c>
      <c r="U464" s="1">
        <f t="shared" si="19"/>
        <v>0</v>
      </c>
      <c r="V464" s="3">
        <f t="shared" si="20"/>
        <v>1</v>
      </c>
      <c r="W464" s="3" t="str">
        <f>IFERROR(__xludf.DUMMYFUNCTION("split(B464,"" "")"),"R.")</f>
        <v>R.</v>
      </c>
      <c r="X464" s="3" t="str">
        <f>IFERROR(__xludf.DUMMYFUNCTION("""COMPUTED_VALUE"""),"White")</f>
        <v>White</v>
      </c>
      <c r="Z464" s="3">
        <v>10.0</v>
      </c>
      <c r="AA464" s="3">
        <f t="shared" si="21"/>
        <v>0</v>
      </c>
      <c r="AB464" s="3">
        <f t="shared" si="22"/>
        <v>1</v>
      </c>
      <c r="AC464" s="3">
        <f t="shared" si="23"/>
        <v>0.7575757576</v>
      </c>
      <c r="AD464" s="3">
        <f t="shared" si="24"/>
        <v>0.7575757576</v>
      </c>
    </row>
    <row r="465">
      <c r="A465" s="1" t="s">
        <v>12</v>
      </c>
      <c r="B465" s="1" t="s">
        <v>481</v>
      </c>
      <c r="C465" s="1" t="s">
        <v>18</v>
      </c>
      <c r="D465" s="1" t="s">
        <v>113</v>
      </c>
      <c r="E465" s="1" t="s">
        <v>197</v>
      </c>
      <c r="F465" s="1" t="s">
        <v>455</v>
      </c>
      <c r="G465" s="1">
        <v>4.5</v>
      </c>
      <c r="H465" s="1" t="s">
        <v>60</v>
      </c>
      <c r="I465" s="1">
        <v>-135.0</v>
      </c>
      <c r="J465" s="1">
        <v>-0.101410638297872</v>
      </c>
      <c r="K465" s="1" t="s">
        <v>61</v>
      </c>
      <c r="L465" s="1" t="s">
        <v>61</v>
      </c>
      <c r="M465" s="1" t="s">
        <v>62</v>
      </c>
      <c r="N465" s="1">
        <v>103.0</v>
      </c>
      <c r="O465" s="1">
        <v>0.0343384236453201</v>
      </c>
      <c r="P465" s="1" t="s">
        <v>61</v>
      </c>
      <c r="Q465" s="1" t="s">
        <v>61</v>
      </c>
      <c r="R465" s="1">
        <f t="shared" si="17"/>
        <v>0.03433842365</v>
      </c>
      <c r="S465" s="1">
        <f t="shared" si="18"/>
        <v>103</v>
      </c>
      <c r="T465" s="1">
        <f t="shared" si="1"/>
        <v>2.03</v>
      </c>
      <c r="U465" s="1">
        <f t="shared" si="19"/>
        <v>0</v>
      </c>
      <c r="V465" s="3">
        <f t="shared" si="20"/>
        <v>1</v>
      </c>
      <c r="W465" s="3" t="str">
        <f>IFERROR(__xludf.DUMMYFUNCTION("split(B465,"" "")"),"M.")</f>
        <v>M.</v>
      </c>
      <c r="X465" s="3" t="str">
        <f>IFERROR(__xludf.DUMMYFUNCTION("""COMPUTED_VALUE"""),"Evans")</f>
        <v>Evans</v>
      </c>
      <c r="Z465" s="3">
        <v>3.0</v>
      </c>
      <c r="AA465" s="3">
        <f t="shared" si="21"/>
        <v>0</v>
      </c>
      <c r="AB465" s="3">
        <f t="shared" si="22"/>
        <v>1</v>
      </c>
      <c r="AC465" s="3">
        <f t="shared" si="23"/>
        <v>1.03</v>
      </c>
      <c r="AD465" s="3">
        <f t="shared" si="24"/>
        <v>1.03</v>
      </c>
    </row>
    <row r="466">
      <c r="A466" s="1" t="s">
        <v>11</v>
      </c>
      <c r="B466" s="1" t="s">
        <v>417</v>
      </c>
      <c r="C466" s="1" t="s">
        <v>19</v>
      </c>
      <c r="D466" s="1" t="s">
        <v>113</v>
      </c>
      <c r="E466" s="1" t="s">
        <v>197</v>
      </c>
      <c r="F466" s="1" t="s">
        <v>455</v>
      </c>
      <c r="G466" s="1">
        <v>24.5</v>
      </c>
      <c r="H466" s="1" t="s">
        <v>60</v>
      </c>
      <c r="I466" s="1">
        <v>-114.0</v>
      </c>
      <c r="J466" s="1">
        <v>-0.0974321382146963</v>
      </c>
      <c r="K466" s="1" t="s">
        <v>61</v>
      </c>
      <c r="L466" s="1" t="s">
        <v>61</v>
      </c>
      <c r="M466" s="1" t="s">
        <v>62</v>
      </c>
      <c r="N466" s="1">
        <v>-115.0</v>
      </c>
      <c r="O466" s="1">
        <v>0.0298557637890082</v>
      </c>
      <c r="P466" s="1" t="s">
        <v>61</v>
      </c>
      <c r="Q466" s="1" t="s">
        <v>61</v>
      </c>
      <c r="R466" s="1">
        <f t="shared" si="17"/>
        <v>0.02985576379</v>
      </c>
      <c r="S466" s="1">
        <f t="shared" si="18"/>
        <v>-115</v>
      </c>
      <c r="T466" s="1">
        <f t="shared" si="1"/>
        <v>1.869565217</v>
      </c>
      <c r="U466" s="1">
        <f t="shared" si="19"/>
        <v>0</v>
      </c>
      <c r="V466" s="3">
        <f t="shared" si="20"/>
        <v>1</v>
      </c>
      <c r="W466" s="3" t="str">
        <f>IFERROR(__xludf.DUMMYFUNCTION("split(B466,"" "")"),"R.")</f>
        <v>R.</v>
      </c>
      <c r="X466" s="3" t="str">
        <f>IFERROR(__xludf.DUMMYFUNCTION("""COMPUTED_VALUE"""),"White")</f>
        <v>White</v>
      </c>
      <c r="Z466" s="3">
        <v>5.0</v>
      </c>
      <c r="AA466" s="3">
        <f t="shared" si="21"/>
        <v>0</v>
      </c>
      <c r="AB466" s="3">
        <f t="shared" si="22"/>
        <v>1</v>
      </c>
      <c r="AC466" s="3">
        <f t="shared" si="23"/>
        <v>0.8695652174</v>
      </c>
      <c r="AD466" s="3">
        <f t="shared" si="24"/>
        <v>0.8695652174</v>
      </c>
    </row>
    <row r="467">
      <c r="A467" s="1" t="s">
        <v>11</v>
      </c>
      <c r="B467" s="1" t="s">
        <v>307</v>
      </c>
      <c r="C467" s="1" t="s">
        <v>18</v>
      </c>
      <c r="D467" s="1" t="s">
        <v>113</v>
      </c>
      <c r="E467" s="1" t="s">
        <v>197</v>
      </c>
      <c r="F467" s="1" t="s">
        <v>455</v>
      </c>
      <c r="G467" s="1">
        <v>29.5</v>
      </c>
      <c r="H467" s="1" t="s">
        <v>60</v>
      </c>
      <c r="I467" s="1">
        <v>-115.0</v>
      </c>
      <c r="J467" s="1">
        <v>-0.093341390809535</v>
      </c>
      <c r="K467" s="1" t="s">
        <v>61</v>
      </c>
      <c r="L467" s="1" t="s">
        <v>61</v>
      </c>
      <c r="M467" s="1" t="s">
        <v>62</v>
      </c>
      <c r="N467" s="1">
        <v>-113.0</v>
      </c>
      <c r="O467" s="1">
        <v>0.0279621320839037</v>
      </c>
      <c r="P467" s="1" t="s">
        <v>61</v>
      </c>
      <c r="Q467" s="1" t="s">
        <v>61</v>
      </c>
      <c r="R467" s="1">
        <f t="shared" si="17"/>
        <v>0.02796213208</v>
      </c>
      <c r="S467" s="1">
        <f t="shared" si="18"/>
        <v>-113</v>
      </c>
      <c r="T467" s="1">
        <f t="shared" si="1"/>
        <v>1.884955752</v>
      </c>
      <c r="U467" s="1">
        <f t="shared" si="19"/>
        <v>0</v>
      </c>
      <c r="V467" s="3">
        <f t="shared" si="20"/>
        <v>1</v>
      </c>
      <c r="W467" s="3" t="str">
        <f>IFERROR(__xludf.DUMMYFUNCTION("split(B467,"" "")"),"J.")</f>
        <v>J.</v>
      </c>
      <c r="X467" s="3" t="str">
        <f>IFERROR(__xludf.DUMMYFUNCTION("""COMPUTED_VALUE"""),"McMillan")</f>
        <v>McMillan</v>
      </c>
      <c r="Z467" s="3">
        <v>21.0</v>
      </c>
      <c r="AA467" s="3">
        <f t="shared" si="21"/>
        <v>0</v>
      </c>
      <c r="AB467" s="3">
        <f t="shared" si="22"/>
        <v>1</v>
      </c>
      <c r="AC467" s="3">
        <f t="shared" si="23"/>
        <v>0.8849557522</v>
      </c>
      <c r="AD467" s="3">
        <f t="shared" si="24"/>
        <v>0.8849557522</v>
      </c>
    </row>
    <row r="468">
      <c r="A468" s="1" t="s">
        <v>15</v>
      </c>
      <c r="B468" s="1" t="s">
        <v>275</v>
      </c>
      <c r="C468" s="1" t="s">
        <v>21</v>
      </c>
      <c r="D468" s="1" t="s">
        <v>100</v>
      </c>
      <c r="E468" s="1" t="s">
        <v>165</v>
      </c>
      <c r="F468" s="1" t="s">
        <v>455</v>
      </c>
      <c r="G468" s="1">
        <v>19.5</v>
      </c>
      <c r="H468" s="1" t="s">
        <v>60</v>
      </c>
      <c r="I468" s="1">
        <v>-125.0</v>
      </c>
      <c r="J468" s="1">
        <v>-0.205766141688888</v>
      </c>
      <c r="K468" s="1" t="s">
        <v>61</v>
      </c>
      <c r="L468" s="1" t="s">
        <v>61</v>
      </c>
      <c r="M468" s="1" t="s">
        <v>62</v>
      </c>
      <c r="N468" s="1">
        <v>-106.0</v>
      </c>
      <c r="O468" s="1">
        <v>0.135633372780582</v>
      </c>
      <c r="P468" s="1" t="s">
        <v>61</v>
      </c>
      <c r="Q468" s="1" t="s">
        <v>61</v>
      </c>
      <c r="R468" s="1">
        <f t="shared" si="17"/>
        <v>0.1356333728</v>
      </c>
      <c r="S468" s="1">
        <f t="shared" si="18"/>
        <v>-106</v>
      </c>
      <c r="T468" s="1">
        <f t="shared" si="1"/>
        <v>1.943396226</v>
      </c>
      <c r="U468" s="1">
        <f t="shared" si="19"/>
        <v>0</v>
      </c>
      <c r="V468" s="3">
        <f t="shared" si="20"/>
        <v>3</v>
      </c>
      <c r="W468" s="3" t="str">
        <f>IFERROR(__xludf.DUMMYFUNCTION("split(B468,"" "")"),"W.")</f>
        <v>W.</v>
      </c>
      <c r="X468" s="3" t="str">
        <f>IFERROR(__xludf.DUMMYFUNCTION("""COMPUTED_VALUE"""),"Levis")</f>
        <v>Levis</v>
      </c>
      <c r="Z468" s="3">
        <v>19.0</v>
      </c>
      <c r="AA468" s="3">
        <f t="shared" si="21"/>
        <v>0</v>
      </c>
      <c r="AB468" s="3">
        <f t="shared" si="22"/>
        <v>1</v>
      </c>
      <c r="AC468" s="3">
        <f t="shared" si="23"/>
        <v>2.830188679</v>
      </c>
      <c r="AD468" s="3">
        <f t="shared" si="24"/>
        <v>2.830188679</v>
      </c>
    </row>
    <row r="469">
      <c r="A469" s="1" t="s">
        <v>16</v>
      </c>
      <c r="B469" s="1" t="s">
        <v>275</v>
      </c>
      <c r="C469" s="1" t="s">
        <v>21</v>
      </c>
      <c r="D469" s="1" t="s">
        <v>100</v>
      </c>
      <c r="E469" s="1" t="s">
        <v>165</v>
      </c>
      <c r="F469" s="1" t="s">
        <v>455</v>
      </c>
      <c r="G469" s="1">
        <v>32.5</v>
      </c>
      <c r="H469" s="1" t="s">
        <v>60</v>
      </c>
      <c r="I469" s="1">
        <v>-102.0</v>
      </c>
      <c r="J469" s="1">
        <v>-0.102449504950494</v>
      </c>
      <c r="K469" s="1" t="s">
        <v>61</v>
      </c>
      <c r="L469" s="1" t="s">
        <v>61</v>
      </c>
      <c r="M469" s="1" t="s">
        <v>62</v>
      </c>
      <c r="N469" s="1">
        <v>-128.0</v>
      </c>
      <c r="O469" s="1">
        <v>0.0361087719298245</v>
      </c>
      <c r="P469" s="1" t="s">
        <v>61</v>
      </c>
      <c r="Q469" s="1" t="s">
        <v>61</v>
      </c>
      <c r="R469" s="1">
        <f t="shared" si="17"/>
        <v>0.03610877193</v>
      </c>
      <c r="S469" s="1">
        <f t="shared" si="18"/>
        <v>-128</v>
      </c>
      <c r="T469" s="1">
        <f t="shared" si="1"/>
        <v>1.78125</v>
      </c>
      <c r="U469" s="1">
        <f t="shared" si="19"/>
        <v>0</v>
      </c>
      <c r="V469" s="3">
        <f t="shared" si="20"/>
        <v>1</v>
      </c>
      <c r="W469" s="3" t="str">
        <f>IFERROR(__xludf.DUMMYFUNCTION("split(B469,"" "")"),"W.")</f>
        <v>W.</v>
      </c>
      <c r="X469" s="3" t="str">
        <f>IFERROR(__xludf.DUMMYFUNCTION("""COMPUTED_VALUE"""),"Levis")</f>
        <v>Levis</v>
      </c>
      <c r="Z469" s="3">
        <v>28.0</v>
      </c>
      <c r="AA469" s="3">
        <f t="shared" si="21"/>
        <v>0</v>
      </c>
      <c r="AB469" s="3">
        <f t="shared" si="22"/>
        <v>1</v>
      </c>
      <c r="AC469" s="3">
        <f t="shared" si="23"/>
        <v>0.78125</v>
      </c>
      <c r="AD469" s="3">
        <f t="shared" si="24"/>
        <v>0.78125</v>
      </c>
    </row>
    <row r="470">
      <c r="A470" s="1" t="s">
        <v>12</v>
      </c>
      <c r="B470" s="1" t="s">
        <v>264</v>
      </c>
      <c r="C470" s="1" t="s">
        <v>19</v>
      </c>
      <c r="D470" s="1" t="s">
        <v>114</v>
      </c>
      <c r="E470" s="1" t="s">
        <v>147</v>
      </c>
      <c r="F470" s="1" t="s">
        <v>455</v>
      </c>
      <c r="G470" s="1">
        <v>1.5</v>
      </c>
      <c r="H470" s="1" t="s">
        <v>60</v>
      </c>
      <c r="I470" s="1">
        <v>-175.0</v>
      </c>
      <c r="J470" s="1">
        <v>-0.293358171814545</v>
      </c>
      <c r="K470" s="1" t="s">
        <v>61</v>
      </c>
      <c r="L470" s="1" t="s">
        <v>61</v>
      </c>
      <c r="M470" s="1" t="s">
        <v>62</v>
      </c>
      <c r="N470" s="1">
        <v>133.0</v>
      </c>
      <c r="O470" s="1">
        <v>0.227809001068669</v>
      </c>
      <c r="P470" s="1" t="s">
        <v>61</v>
      </c>
      <c r="Q470" s="1" t="s">
        <v>61</v>
      </c>
      <c r="R470" s="1">
        <f t="shared" si="17"/>
        <v>0.2278090011</v>
      </c>
      <c r="S470" s="1">
        <f t="shared" si="18"/>
        <v>133</v>
      </c>
      <c r="T470" s="1">
        <f t="shared" si="1"/>
        <v>2.33</v>
      </c>
      <c r="U470" s="1">
        <f t="shared" si="19"/>
        <v>0</v>
      </c>
      <c r="V470" s="3">
        <f t="shared" si="20"/>
        <v>3</v>
      </c>
      <c r="W470" s="3" t="str">
        <f>IFERROR(__xludf.DUMMYFUNCTION("split(B470,"" "")"),"B.")</f>
        <v>B.</v>
      </c>
      <c r="X470" s="3" t="str">
        <f>IFERROR(__xludf.DUMMYFUNCTION("""COMPUTED_VALUE"""),"Robinson")</f>
        <v>Robinson</v>
      </c>
      <c r="Z470" s="1">
        <v>1.0</v>
      </c>
      <c r="AA470" s="3">
        <f t="shared" si="21"/>
        <v>0</v>
      </c>
      <c r="AB470" s="3">
        <f t="shared" si="22"/>
        <v>1</v>
      </c>
      <c r="AC470" s="3">
        <f t="shared" si="23"/>
        <v>3.99</v>
      </c>
      <c r="AD470" s="3">
        <f t="shared" si="24"/>
        <v>3.99</v>
      </c>
    </row>
    <row r="471">
      <c r="A471" s="1" t="s">
        <v>10</v>
      </c>
      <c r="B471" s="1" t="s">
        <v>320</v>
      </c>
      <c r="C471" s="1" t="s">
        <v>21</v>
      </c>
      <c r="D471" s="1" t="s">
        <v>114</v>
      </c>
      <c r="E471" s="1" t="s">
        <v>147</v>
      </c>
      <c r="F471" s="1" t="s">
        <v>455</v>
      </c>
      <c r="G471" s="1">
        <v>51.5</v>
      </c>
      <c r="H471" s="1" t="s">
        <v>60</v>
      </c>
      <c r="I471" s="1">
        <v>-114.0</v>
      </c>
      <c r="J471" s="1">
        <v>-0.186166968335836</v>
      </c>
      <c r="K471" s="1" t="s">
        <v>61</v>
      </c>
      <c r="L471" s="1" t="s">
        <v>61</v>
      </c>
      <c r="M471" s="1" t="s">
        <v>62</v>
      </c>
      <c r="N471" s="1">
        <v>-115.0</v>
      </c>
      <c r="O471" s="1">
        <v>0.118638761274973</v>
      </c>
      <c r="P471" s="1" t="s">
        <v>61</v>
      </c>
      <c r="Q471" s="1" t="s">
        <v>61</v>
      </c>
      <c r="R471" s="1">
        <f t="shared" si="17"/>
        <v>0.1186387613</v>
      </c>
      <c r="S471" s="1">
        <f t="shared" si="18"/>
        <v>-115</v>
      </c>
      <c r="T471" s="1">
        <f t="shared" si="1"/>
        <v>1.869565217</v>
      </c>
      <c r="U471" s="1">
        <f t="shared" si="19"/>
        <v>0</v>
      </c>
      <c r="V471" s="3">
        <f t="shared" si="20"/>
        <v>3</v>
      </c>
      <c r="W471" s="3" t="str">
        <f>IFERROR(__xludf.DUMMYFUNCTION("split(B471,"" "")"),"J.")</f>
        <v>J.</v>
      </c>
      <c r="X471" s="3" t="str">
        <f>IFERROR(__xludf.DUMMYFUNCTION("""COMPUTED_VALUE"""),"Daniels")</f>
        <v>Daniels</v>
      </c>
      <c r="Z471" s="3">
        <v>44.0</v>
      </c>
      <c r="AA471" s="3">
        <f t="shared" si="21"/>
        <v>0</v>
      </c>
      <c r="AB471" s="3">
        <f t="shared" si="22"/>
        <v>1</v>
      </c>
      <c r="AC471" s="3">
        <f t="shared" si="23"/>
        <v>2.608695652</v>
      </c>
      <c r="AD471" s="3">
        <f t="shared" si="24"/>
        <v>2.608695652</v>
      </c>
    </row>
    <row r="472">
      <c r="A472" s="1" t="s">
        <v>8</v>
      </c>
      <c r="B472" s="1" t="s">
        <v>320</v>
      </c>
      <c r="C472" s="1" t="s">
        <v>21</v>
      </c>
      <c r="D472" s="1" t="s">
        <v>114</v>
      </c>
      <c r="E472" s="1" t="s">
        <v>147</v>
      </c>
      <c r="F472" s="1" t="s">
        <v>455</v>
      </c>
      <c r="G472" s="1">
        <v>10.5</v>
      </c>
      <c r="H472" s="1" t="s">
        <v>60</v>
      </c>
      <c r="I472" s="1">
        <v>109.0</v>
      </c>
      <c r="J472" s="1">
        <v>-0.158460828125471</v>
      </c>
      <c r="K472" s="1" t="s">
        <v>61</v>
      </c>
      <c r="L472" s="1" t="s">
        <v>61</v>
      </c>
      <c r="M472" s="1" t="s">
        <v>62</v>
      </c>
      <c r="N472" s="1">
        <v>-140.0</v>
      </c>
      <c r="O472" s="1">
        <v>0.0966457886449267</v>
      </c>
      <c r="P472" s="1" t="s">
        <v>61</v>
      </c>
      <c r="Q472" s="1" t="s">
        <v>61</v>
      </c>
      <c r="R472" s="1">
        <f t="shared" si="17"/>
        <v>0.09664578864</v>
      </c>
      <c r="S472" s="1">
        <f t="shared" si="18"/>
        <v>-140</v>
      </c>
      <c r="T472" s="1">
        <f t="shared" si="1"/>
        <v>1.714285714</v>
      </c>
      <c r="U472" s="1">
        <f t="shared" si="19"/>
        <v>0</v>
      </c>
      <c r="V472" s="3">
        <f t="shared" si="20"/>
        <v>2</v>
      </c>
      <c r="W472" s="3" t="str">
        <f>IFERROR(__xludf.DUMMYFUNCTION("split(B472,"" "")"),"J.")</f>
        <v>J.</v>
      </c>
      <c r="X472" s="3" t="str">
        <f>IFERROR(__xludf.DUMMYFUNCTION("""COMPUTED_VALUE"""),"Daniels")</f>
        <v>Daniels</v>
      </c>
      <c r="Z472" s="3">
        <v>10.0</v>
      </c>
      <c r="AA472" s="3">
        <f t="shared" si="21"/>
        <v>0</v>
      </c>
      <c r="AB472" s="3">
        <f t="shared" si="22"/>
        <v>1</v>
      </c>
      <c r="AC472" s="3">
        <f t="shared" si="23"/>
        <v>1.428571429</v>
      </c>
      <c r="AD472" s="3">
        <f t="shared" si="24"/>
        <v>1.428571429</v>
      </c>
    </row>
    <row r="473">
      <c r="A473" s="1" t="s">
        <v>17</v>
      </c>
      <c r="B473" s="1" t="s">
        <v>320</v>
      </c>
      <c r="C473" s="1" t="s">
        <v>21</v>
      </c>
      <c r="D473" s="1" t="s">
        <v>114</v>
      </c>
      <c r="E473" s="1" t="s">
        <v>147</v>
      </c>
      <c r="F473" s="1" t="s">
        <v>455</v>
      </c>
      <c r="G473" s="1">
        <v>0.5</v>
      </c>
      <c r="H473" s="1" t="s">
        <v>60</v>
      </c>
      <c r="I473" s="1">
        <v>-136.0</v>
      </c>
      <c r="J473" s="1">
        <v>-0.115471186440678</v>
      </c>
      <c r="K473" s="1" t="s">
        <v>61</v>
      </c>
      <c r="L473" s="1" t="s">
        <v>61</v>
      </c>
      <c r="M473" s="1" t="s">
        <v>62</v>
      </c>
      <c r="N473" s="1">
        <v>104.0</v>
      </c>
      <c r="O473" s="1">
        <v>0.0490039215686274</v>
      </c>
      <c r="P473" s="1" t="s">
        <v>61</v>
      </c>
      <c r="Q473" s="1" t="s">
        <v>61</v>
      </c>
      <c r="R473" s="1">
        <f t="shared" si="17"/>
        <v>0.04900392157</v>
      </c>
      <c r="S473" s="1">
        <f t="shared" si="18"/>
        <v>104</v>
      </c>
      <c r="T473" s="1">
        <f t="shared" si="1"/>
        <v>2.04</v>
      </c>
      <c r="U473" s="1">
        <f t="shared" si="19"/>
        <v>0</v>
      </c>
      <c r="V473" s="3">
        <f t="shared" si="20"/>
        <v>1</v>
      </c>
      <c r="W473" s="3" t="str">
        <f>IFERROR(__xludf.DUMMYFUNCTION("split(B473,"" "")"),"J.")</f>
        <v>J.</v>
      </c>
      <c r="X473" s="3" t="str">
        <f>IFERROR(__xludf.DUMMYFUNCTION("""COMPUTED_VALUE"""),"Daniels")</f>
        <v>Daniels</v>
      </c>
      <c r="Z473" s="3">
        <v>0.0</v>
      </c>
      <c r="AA473" s="3">
        <f t="shared" si="21"/>
        <v>0</v>
      </c>
      <c r="AB473" s="3">
        <f t="shared" si="22"/>
        <v>1</v>
      </c>
      <c r="AC473" s="3">
        <f t="shared" si="23"/>
        <v>1.04</v>
      </c>
      <c r="AD473" s="3">
        <f t="shared" si="24"/>
        <v>1.04</v>
      </c>
    </row>
    <row r="474">
      <c r="A474" s="1" t="s">
        <v>13</v>
      </c>
      <c r="B474" s="1" t="s">
        <v>320</v>
      </c>
      <c r="C474" s="1" t="s">
        <v>21</v>
      </c>
      <c r="D474" s="1" t="s">
        <v>114</v>
      </c>
      <c r="E474" s="1" t="s">
        <v>147</v>
      </c>
      <c r="F474" s="1" t="s">
        <v>455</v>
      </c>
      <c r="G474" s="1">
        <v>194.0</v>
      </c>
      <c r="H474" s="1" t="s">
        <v>60</v>
      </c>
      <c r="I474" s="1">
        <v>-116.0</v>
      </c>
      <c r="J474" s="1">
        <v>0.0148363092129629</v>
      </c>
      <c r="K474" s="1" t="s">
        <v>61</v>
      </c>
      <c r="L474" s="1" t="s">
        <v>61</v>
      </c>
      <c r="M474" s="1" t="s">
        <v>62</v>
      </c>
      <c r="N474" s="1">
        <v>-114.0</v>
      </c>
      <c r="O474" s="1">
        <v>-0.08399205972243</v>
      </c>
      <c r="P474" s="1" t="s">
        <v>61</v>
      </c>
      <c r="Q474" s="1" t="s">
        <v>61</v>
      </c>
      <c r="R474" s="1">
        <f t="shared" si="17"/>
        <v>0.01483630921</v>
      </c>
      <c r="S474" s="1">
        <f t="shared" si="18"/>
        <v>-116</v>
      </c>
      <c r="T474" s="1">
        <f t="shared" si="1"/>
        <v>1.862068966</v>
      </c>
      <c r="U474" s="1">
        <f t="shared" si="19"/>
        <v>1</v>
      </c>
      <c r="V474" s="3">
        <f t="shared" si="20"/>
        <v>1</v>
      </c>
      <c r="W474" s="3" t="str">
        <f>IFERROR(__xludf.DUMMYFUNCTION("split(B474,"" "")"),"J.")</f>
        <v>J.</v>
      </c>
      <c r="X474" s="3" t="str">
        <f>IFERROR(__xludf.DUMMYFUNCTION("""COMPUTED_VALUE"""),"Daniels")</f>
        <v>Daniels</v>
      </c>
      <c r="Z474" s="3">
        <v>226.0</v>
      </c>
      <c r="AA474" s="3">
        <f t="shared" si="21"/>
        <v>1</v>
      </c>
      <c r="AB474" s="3">
        <f t="shared" si="22"/>
        <v>1</v>
      </c>
      <c r="AC474" s="3">
        <f t="shared" si="23"/>
        <v>0.8620689655</v>
      </c>
      <c r="AD474" s="3">
        <f t="shared" si="24"/>
        <v>0.8620689655</v>
      </c>
    </row>
  </sheetData>
  <conditionalFormatting sqref="J1:J263 O282:O474">
    <cfRule type="cellIs" dxfId="0" priority="1" operator="greaterThan">
      <formula>0</formula>
    </cfRule>
  </conditionalFormatting>
  <conditionalFormatting sqref="O1:O263">
    <cfRule type="cellIs" dxfId="0" priority="2" operator="greaterThan">
      <formula>0</formula>
    </cfRule>
  </conditionalFormatting>
  <conditionalFormatting sqref="AH56:AH67">
    <cfRule type="colorScale" priority="3">
      <colorScale>
        <cfvo type="min"/>
        <cfvo type="max"/>
        <color rgb="FFD9EAD3"/>
        <color rgb="FF57BB8A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12</v>
      </c>
      <c r="B1" s="1" t="s">
        <v>482</v>
      </c>
      <c r="C1" s="1" t="s">
        <v>18</v>
      </c>
      <c r="D1" s="1" t="s">
        <v>157</v>
      </c>
      <c r="E1" s="1" t="s">
        <v>156</v>
      </c>
      <c r="F1" s="1" t="s">
        <v>158</v>
      </c>
      <c r="G1" s="1">
        <v>3.5</v>
      </c>
      <c r="H1" s="1" t="s">
        <v>60</v>
      </c>
      <c r="I1" s="1">
        <v>108.0</v>
      </c>
      <c r="J1" s="6">
        <v>-0.120717307692307</v>
      </c>
      <c r="K1" s="1" t="s">
        <v>61</v>
      </c>
      <c r="L1" s="1" t="s">
        <v>61</v>
      </c>
      <c r="M1" s="1" t="s">
        <v>62</v>
      </c>
      <c r="N1" s="1">
        <v>-144.0</v>
      </c>
      <c r="O1" s="6">
        <v>0.0497770491803278</v>
      </c>
      <c r="P1" s="1" t="s">
        <v>61</v>
      </c>
      <c r="Q1" s="1" t="s">
        <v>61</v>
      </c>
      <c r="R1" s="6">
        <f t="shared" ref="R1:R409" si="1">if(O1&gt;0, O1, J1)</f>
        <v>0.04977704918</v>
      </c>
      <c r="S1" s="1">
        <f t="shared" ref="S1:S409" si="2">if(O1&gt;0,N1,I1)</f>
        <v>-144</v>
      </c>
      <c r="T1" s="1">
        <f t="shared" ref="T1:T409" si="3">if(S1&gt;0, S1/100, -100/S1) + 1</f>
        <v>1.694444444</v>
      </c>
      <c r="U1" s="1">
        <f t="shared" ref="U1:U409" si="4">if(and(M1="under", O1&gt;0),0,1)</f>
        <v>0</v>
      </c>
      <c r="V1" s="3">
        <f t="shared" ref="V1:V409" si="5">IF(R1&lt;0.05, 1,if(R1&gt;0.1,3,2))</f>
        <v>1</v>
      </c>
      <c r="W1" s="3" t="str">
        <f>IFERROR(__xludf.DUMMYFUNCTION("split(B1,"" "")"),"R.")</f>
        <v>R.</v>
      </c>
      <c r="X1" s="3" t="str">
        <f>IFERROR(__xludf.DUMMYFUNCTION("""COMPUTED_VALUE"""),"Doubs")</f>
        <v>Doubs</v>
      </c>
      <c r="Z1" s="3">
        <v>4.0</v>
      </c>
      <c r="AA1" s="3">
        <f t="shared" ref="AA1:AA409" si="6">if(Z1&lt;G1,0,1)</f>
        <v>1</v>
      </c>
      <c r="AB1" s="3">
        <f t="shared" ref="AB1:AB409" si="7">if(AA1=U1,1,0)</f>
        <v>0</v>
      </c>
      <c r="AC1" s="3">
        <f t="shared" ref="AC1:AC409" si="8">if(S1&lt;0, (100/(-S1))*V1, (S1/100)*V1)</f>
        <v>0.6944444444</v>
      </c>
      <c r="AD1" s="3">
        <f t="shared" ref="AD1:AD409" si="9">if(AB1=1,AC1,-V1)</f>
        <v>-1</v>
      </c>
    </row>
    <row r="2">
      <c r="A2" s="1" t="s">
        <v>12</v>
      </c>
      <c r="B2" s="1" t="s">
        <v>417</v>
      </c>
      <c r="C2" s="1" t="s">
        <v>19</v>
      </c>
      <c r="D2" s="1" t="s">
        <v>113</v>
      </c>
      <c r="E2" s="1" t="s">
        <v>114</v>
      </c>
      <c r="F2" s="1" t="s">
        <v>90</v>
      </c>
      <c r="G2" s="1">
        <v>3.5</v>
      </c>
      <c r="H2" s="1" t="s">
        <v>60</v>
      </c>
      <c r="I2" s="1">
        <v>121.0</v>
      </c>
      <c r="J2" s="1">
        <v>-0.117533936651583</v>
      </c>
      <c r="K2" s="1" t="s">
        <v>61</v>
      </c>
      <c r="L2" s="1" t="s">
        <v>61</v>
      </c>
      <c r="M2" s="1" t="s">
        <v>62</v>
      </c>
      <c r="N2" s="1">
        <v>-160.0</v>
      </c>
      <c r="O2" s="1">
        <v>0.0496538461538461</v>
      </c>
      <c r="P2" s="1" t="s">
        <v>61</v>
      </c>
      <c r="Q2" s="1" t="s">
        <v>61</v>
      </c>
      <c r="R2" s="1">
        <f t="shared" si="1"/>
        <v>0.04965384615</v>
      </c>
      <c r="S2" s="1">
        <f t="shared" si="2"/>
        <v>-160</v>
      </c>
      <c r="T2" s="1">
        <f t="shared" si="3"/>
        <v>1.625</v>
      </c>
      <c r="U2" s="1">
        <f t="shared" si="4"/>
        <v>0</v>
      </c>
      <c r="V2" s="3">
        <f t="shared" si="5"/>
        <v>1</v>
      </c>
      <c r="W2" s="3" t="str">
        <f>IFERROR(__xludf.DUMMYFUNCTION("split(B2,"" "")"),"R.")</f>
        <v>R.</v>
      </c>
      <c r="X2" s="3" t="str">
        <f>IFERROR(__xludf.DUMMYFUNCTION("""COMPUTED_VALUE"""),"White")</f>
        <v>White</v>
      </c>
      <c r="Z2" s="3">
        <v>6.0</v>
      </c>
      <c r="AA2" s="3">
        <f t="shared" si="6"/>
        <v>1</v>
      </c>
      <c r="AB2" s="3">
        <f t="shared" si="7"/>
        <v>0</v>
      </c>
      <c r="AC2" s="3">
        <f t="shared" si="8"/>
        <v>0.625</v>
      </c>
      <c r="AD2" s="3">
        <f t="shared" si="9"/>
        <v>-1</v>
      </c>
    </row>
    <row r="3">
      <c r="A3" s="1" t="s">
        <v>9</v>
      </c>
      <c r="B3" s="1" t="s">
        <v>187</v>
      </c>
      <c r="C3" s="1" t="s">
        <v>19</v>
      </c>
      <c r="D3" s="1" t="s">
        <v>157</v>
      </c>
      <c r="E3" s="1" t="s">
        <v>156</v>
      </c>
      <c r="F3" s="1" t="s">
        <v>158</v>
      </c>
      <c r="G3" s="1">
        <v>83.0</v>
      </c>
      <c r="H3" s="1" t="s">
        <v>60</v>
      </c>
      <c r="I3" s="1">
        <v>-116.0</v>
      </c>
      <c r="J3" s="6">
        <v>-0.119866635637562</v>
      </c>
      <c r="K3" s="1" t="s">
        <v>61</v>
      </c>
      <c r="L3" s="1" t="s">
        <v>61</v>
      </c>
      <c r="M3" s="1" t="s">
        <v>62</v>
      </c>
      <c r="N3" s="1">
        <v>-115.0</v>
      </c>
      <c r="O3" s="6">
        <v>0.0485252664761413</v>
      </c>
      <c r="P3" s="1" t="s">
        <v>61</v>
      </c>
      <c r="Q3" s="1" t="s">
        <v>61</v>
      </c>
      <c r="R3" s="6">
        <f t="shared" si="1"/>
        <v>0.04852526648</v>
      </c>
      <c r="S3" s="1">
        <f t="shared" si="2"/>
        <v>-115</v>
      </c>
      <c r="T3" s="1">
        <f t="shared" si="3"/>
        <v>1.869565217</v>
      </c>
      <c r="U3" s="1">
        <f t="shared" si="4"/>
        <v>0</v>
      </c>
      <c r="V3" s="3">
        <f t="shared" si="5"/>
        <v>1</v>
      </c>
      <c r="W3" s="3" t="str">
        <f>IFERROR(__xludf.DUMMYFUNCTION("split(B3,"" "")"),"J.")</f>
        <v>J.</v>
      </c>
      <c r="X3" s="3" t="str">
        <f>IFERROR(__xludf.DUMMYFUNCTION("""COMPUTED_VALUE"""),"Jacobs")</f>
        <v>Jacobs</v>
      </c>
      <c r="Z3" s="3">
        <v>104.0</v>
      </c>
      <c r="AA3" s="3">
        <f t="shared" si="6"/>
        <v>1</v>
      </c>
      <c r="AB3" s="3">
        <f t="shared" si="7"/>
        <v>0</v>
      </c>
      <c r="AC3" s="3">
        <f t="shared" si="8"/>
        <v>0.8695652174</v>
      </c>
      <c r="AD3" s="3">
        <f t="shared" si="9"/>
        <v>-1</v>
      </c>
    </row>
    <row r="4">
      <c r="A4" s="1" t="s">
        <v>11</v>
      </c>
      <c r="B4" s="1" t="s">
        <v>314</v>
      </c>
      <c r="C4" s="1" t="s">
        <v>18</v>
      </c>
      <c r="D4" s="1" t="s">
        <v>113</v>
      </c>
      <c r="E4" s="1" t="s">
        <v>114</v>
      </c>
      <c r="F4" s="1" t="s">
        <v>90</v>
      </c>
      <c r="G4" s="1">
        <v>58.5</v>
      </c>
      <c r="H4" s="1" t="s">
        <v>60</v>
      </c>
      <c r="I4" s="1">
        <v>-122.0</v>
      </c>
      <c r="J4" s="1">
        <v>-0.120993257948882</v>
      </c>
      <c r="K4" s="1" t="s">
        <v>61</v>
      </c>
      <c r="L4" s="1" t="s">
        <v>61</v>
      </c>
      <c r="M4" s="1" t="s">
        <v>62</v>
      </c>
      <c r="N4" s="1">
        <v>-110.0</v>
      </c>
      <c r="O4" s="1">
        <v>0.0476411140852376</v>
      </c>
      <c r="P4" s="1" t="s">
        <v>61</v>
      </c>
      <c r="Q4" s="1" t="s">
        <v>61</v>
      </c>
      <c r="R4" s="1">
        <f t="shared" si="1"/>
        <v>0.04764111409</v>
      </c>
      <c r="S4" s="1">
        <f t="shared" si="2"/>
        <v>-110</v>
      </c>
      <c r="T4" s="1">
        <f t="shared" si="3"/>
        <v>1.909090909</v>
      </c>
      <c r="U4" s="1">
        <f t="shared" si="4"/>
        <v>0</v>
      </c>
      <c r="V4" s="3">
        <f t="shared" si="5"/>
        <v>1</v>
      </c>
      <c r="W4" s="3" t="str">
        <f>IFERROR(__xludf.DUMMYFUNCTION("split(B4,"" "")"),"C.")</f>
        <v>C.</v>
      </c>
      <c r="X4" s="3" t="str">
        <f>IFERROR(__xludf.DUMMYFUNCTION("""COMPUTED_VALUE"""),"Godwin")</f>
        <v>Godwin</v>
      </c>
      <c r="Z4" s="3">
        <v>83.0</v>
      </c>
      <c r="AA4" s="3">
        <f t="shared" si="6"/>
        <v>1</v>
      </c>
      <c r="AB4" s="3">
        <f t="shared" si="7"/>
        <v>0</v>
      </c>
      <c r="AC4" s="3">
        <f t="shared" si="8"/>
        <v>0.9090909091</v>
      </c>
      <c r="AD4" s="3">
        <f t="shared" si="9"/>
        <v>-1</v>
      </c>
      <c r="AE4" s="1" t="s">
        <v>18</v>
      </c>
      <c r="AF4" s="3">
        <f>COUNTIF(C:C, "=WR")</f>
        <v>125</v>
      </c>
      <c r="AG4" s="3">
        <f>countif('Week 1'!C:C, "=WR")</f>
        <v>174</v>
      </c>
      <c r="AH4" s="3">
        <f t="shared" ref="AH4:AH7" si="10">AF4/AG4</f>
        <v>0.7183908046</v>
      </c>
    </row>
    <row r="5">
      <c r="A5" s="1" t="s">
        <v>14</v>
      </c>
      <c r="B5" s="1" t="s">
        <v>464</v>
      </c>
      <c r="C5" s="1" t="s">
        <v>21</v>
      </c>
      <c r="D5" s="1" t="s">
        <v>83</v>
      </c>
      <c r="E5" s="1" t="s">
        <v>82</v>
      </c>
      <c r="F5" s="1" t="s">
        <v>84</v>
      </c>
      <c r="G5" s="1">
        <v>1.5</v>
      </c>
      <c r="H5" s="1" t="s">
        <v>60</v>
      </c>
      <c r="I5" s="1">
        <v>182.0</v>
      </c>
      <c r="J5" s="1">
        <v>0.0471900709219857</v>
      </c>
      <c r="K5" s="1" t="s">
        <v>61</v>
      </c>
      <c r="L5" s="1" t="s">
        <v>61</v>
      </c>
      <c r="M5" s="1" t="s">
        <v>62</v>
      </c>
      <c r="N5" s="1">
        <v>-251.0</v>
      </c>
      <c r="O5" s="1">
        <v>-0.116899715099714</v>
      </c>
      <c r="P5" s="1" t="s">
        <v>61</v>
      </c>
      <c r="Q5" s="1" t="s">
        <v>61</v>
      </c>
      <c r="R5" s="1">
        <f t="shared" si="1"/>
        <v>0.04719007092</v>
      </c>
      <c r="S5" s="1">
        <f t="shared" si="2"/>
        <v>182</v>
      </c>
      <c r="T5" s="1">
        <f t="shared" si="3"/>
        <v>2.82</v>
      </c>
      <c r="U5" s="1">
        <f t="shared" si="4"/>
        <v>1</v>
      </c>
      <c r="V5" s="3">
        <f t="shared" si="5"/>
        <v>1</v>
      </c>
      <c r="W5" s="3" t="str">
        <f>IFERROR(__xludf.DUMMYFUNCTION("split(B5,"" "")"),"B.")</f>
        <v>B.</v>
      </c>
      <c r="X5" s="3" t="str">
        <f>IFERROR(__xludf.DUMMYFUNCTION("""COMPUTED_VALUE"""),"Nix")</f>
        <v>Nix</v>
      </c>
      <c r="Z5" s="3">
        <v>0.0</v>
      </c>
      <c r="AA5" s="3">
        <f t="shared" si="6"/>
        <v>0</v>
      </c>
      <c r="AB5" s="3">
        <f t="shared" si="7"/>
        <v>0</v>
      </c>
      <c r="AC5" s="3">
        <f t="shared" si="8"/>
        <v>1.82</v>
      </c>
      <c r="AD5" s="3">
        <f t="shared" si="9"/>
        <v>-1</v>
      </c>
      <c r="AE5" s="1" t="s">
        <v>19</v>
      </c>
      <c r="AF5" s="3">
        <f>COUNTIF(C:C, "=RB")</f>
        <v>136</v>
      </c>
      <c r="AG5" s="3">
        <f>countif('Week 1'!C:C, "=RB")</f>
        <v>169</v>
      </c>
      <c r="AH5" s="3">
        <f t="shared" si="10"/>
        <v>0.8047337278</v>
      </c>
    </row>
    <row r="6">
      <c r="A6" s="1" t="s">
        <v>8</v>
      </c>
      <c r="B6" s="1" t="s">
        <v>123</v>
      </c>
      <c r="C6" s="1" t="s">
        <v>19</v>
      </c>
      <c r="D6" s="1" t="s">
        <v>110</v>
      </c>
      <c r="E6" s="1" t="s">
        <v>109</v>
      </c>
      <c r="F6" s="1" t="s">
        <v>59</v>
      </c>
      <c r="G6" s="1">
        <v>14.0</v>
      </c>
      <c r="H6" s="1" t="s">
        <v>60</v>
      </c>
      <c r="I6" s="1">
        <v>-117.0</v>
      </c>
      <c r="J6" s="1">
        <v>-0.111304226589861</v>
      </c>
      <c r="K6" s="1" t="s">
        <v>61</v>
      </c>
      <c r="L6" s="1" t="s">
        <v>61</v>
      </c>
      <c r="M6" s="1" t="s">
        <v>62</v>
      </c>
      <c r="N6" s="1">
        <v>-113.0</v>
      </c>
      <c r="O6" s="1">
        <v>0.0462648610427229</v>
      </c>
      <c r="P6" s="1" t="s">
        <v>61</v>
      </c>
      <c r="Q6" s="1" t="s">
        <v>61</v>
      </c>
      <c r="R6" s="1">
        <f t="shared" si="1"/>
        <v>0.04626486104</v>
      </c>
      <c r="S6" s="1">
        <f t="shared" si="2"/>
        <v>-113</v>
      </c>
      <c r="T6" s="1">
        <f t="shared" si="3"/>
        <v>1.884955752</v>
      </c>
      <c r="U6" s="1">
        <f t="shared" si="4"/>
        <v>0</v>
      </c>
      <c r="V6" s="3">
        <f t="shared" si="5"/>
        <v>1</v>
      </c>
      <c r="W6" s="3" t="str">
        <f>IFERROR(__xludf.DUMMYFUNCTION("split(B6,"" "")"),"N.")</f>
        <v>N.</v>
      </c>
      <c r="X6" s="3" t="str">
        <f>IFERROR(__xludf.DUMMYFUNCTION("""COMPUTED_VALUE"""),"Harris")</f>
        <v>Harris</v>
      </c>
      <c r="Z6" s="3">
        <v>20.0</v>
      </c>
      <c r="AA6" s="3">
        <f t="shared" si="6"/>
        <v>1</v>
      </c>
      <c r="AB6" s="3">
        <f t="shared" si="7"/>
        <v>0</v>
      </c>
      <c r="AC6" s="3">
        <f t="shared" si="8"/>
        <v>0.8849557522</v>
      </c>
      <c r="AD6" s="3">
        <f t="shared" si="9"/>
        <v>-1</v>
      </c>
      <c r="AE6" s="1" t="s">
        <v>20</v>
      </c>
      <c r="AF6" s="3">
        <f>COUNTIF(C:C, "=TE")</f>
        <v>30</v>
      </c>
      <c r="AG6" s="3">
        <f>countif('Week 1'!C:C, "=TE")</f>
        <v>50</v>
      </c>
      <c r="AH6" s="3">
        <f t="shared" si="10"/>
        <v>0.6</v>
      </c>
    </row>
    <row r="7">
      <c r="A7" s="1" t="s">
        <v>15</v>
      </c>
      <c r="B7" s="1" t="s">
        <v>347</v>
      </c>
      <c r="C7" s="1" t="s">
        <v>21</v>
      </c>
      <c r="D7" s="1" t="s">
        <v>77</v>
      </c>
      <c r="E7" s="1" t="s">
        <v>76</v>
      </c>
      <c r="F7" s="1" t="s">
        <v>78</v>
      </c>
      <c r="G7" s="1">
        <v>19.5</v>
      </c>
      <c r="H7" s="1" t="s">
        <v>60</v>
      </c>
      <c r="I7" s="1">
        <v>-108.0</v>
      </c>
      <c r="J7" s="6">
        <v>-0.11898174451923</v>
      </c>
      <c r="K7" s="1" t="s">
        <v>61</v>
      </c>
      <c r="L7" s="1" t="s">
        <v>61</v>
      </c>
      <c r="M7" s="1" t="s">
        <v>62</v>
      </c>
      <c r="N7" s="1">
        <v>-124.0</v>
      </c>
      <c r="O7" s="6">
        <v>0.046172122975</v>
      </c>
      <c r="P7" s="1" t="s">
        <v>61</v>
      </c>
      <c r="Q7" s="1" t="s">
        <v>61</v>
      </c>
      <c r="R7" s="6">
        <f t="shared" si="1"/>
        <v>0.04617212298</v>
      </c>
      <c r="S7" s="1">
        <f t="shared" si="2"/>
        <v>-124</v>
      </c>
      <c r="T7" s="1">
        <f t="shared" si="3"/>
        <v>1.806451613</v>
      </c>
      <c r="U7" s="1">
        <f t="shared" si="4"/>
        <v>0</v>
      </c>
      <c r="V7" s="3">
        <f t="shared" si="5"/>
        <v>1</v>
      </c>
      <c r="W7" s="3" t="str">
        <f>IFERROR(__xludf.DUMMYFUNCTION("split(B7,"" "")"),"L.")</f>
        <v>L.</v>
      </c>
      <c r="X7" s="3" t="str">
        <f>IFERROR(__xludf.DUMMYFUNCTION("""COMPUTED_VALUE"""),"Jackson")</f>
        <v>Jackson</v>
      </c>
      <c r="Z7" s="3">
        <v>26.0</v>
      </c>
      <c r="AA7" s="3">
        <f t="shared" si="6"/>
        <v>1</v>
      </c>
      <c r="AB7" s="3">
        <f t="shared" si="7"/>
        <v>0</v>
      </c>
      <c r="AC7" s="3">
        <f t="shared" si="8"/>
        <v>0.8064516129</v>
      </c>
      <c r="AD7" s="3">
        <f t="shared" si="9"/>
        <v>-1</v>
      </c>
      <c r="AE7" s="1" t="s">
        <v>21</v>
      </c>
      <c r="AF7" s="3">
        <f>COUNTIF(C:C, "=QB")</f>
        <v>118</v>
      </c>
      <c r="AG7" s="3">
        <f>countif('Week 1'!C:C, "=QB")</f>
        <v>128</v>
      </c>
      <c r="AH7" s="3">
        <f t="shared" si="10"/>
        <v>0.921875</v>
      </c>
    </row>
    <row r="8">
      <c r="A8" s="1" t="s">
        <v>14</v>
      </c>
      <c r="B8" s="1" t="s">
        <v>214</v>
      </c>
      <c r="C8" s="1" t="s">
        <v>21</v>
      </c>
      <c r="D8" s="1" t="s">
        <v>110</v>
      </c>
      <c r="E8" s="1" t="s">
        <v>109</v>
      </c>
      <c r="F8" s="1" t="s">
        <v>59</v>
      </c>
      <c r="G8" s="1">
        <v>1.5</v>
      </c>
      <c r="H8" s="1" t="s">
        <v>60</v>
      </c>
      <c r="I8" s="1">
        <v>184.0</v>
      </c>
      <c r="J8" s="1">
        <v>0.0460873239436619</v>
      </c>
      <c r="K8" s="1" t="s">
        <v>61</v>
      </c>
      <c r="L8" s="1" t="s">
        <v>61</v>
      </c>
      <c r="M8" s="1" t="s">
        <v>62</v>
      </c>
      <c r="N8" s="1">
        <v>-264.0</v>
      </c>
      <c r="O8" s="1">
        <v>-0.123474725274725</v>
      </c>
      <c r="P8" s="1" t="s">
        <v>61</v>
      </c>
      <c r="Q8" s="1" t="s">
        <v>61</v>
      </c>
      <c r="R8" s="1">
        <f t="shared" si="1"/>
        <v>0.04608732394</v>
      </c>
      <c r="S8" s="1">
        <f t="shared" si="2"/>
        <v>184</v>
      </c>
      <c r="T8" s="1">
        <f t="shared" si="3"/>
        <v>2.84</v>
      </c>
      <c r="U8" s="1">
        <f t="shared" si="4"/>
        <v>1</v>
      </c>
      <c r="V8" s="3">
        <f t="shared" si="5"/>
        <v>1</v>
      </c>
      <c r="W8" s="3" t="str">
        <f>IFERROR(__xludf.DUMMYFUNCTION("split(B8,"" "")"),"R.")</f>
        <v>R.</v>
      </c>
      <c r="X8" s="3" t="str">
        <f>IFERROR(__xludf.DUMMYFUNCTION("""COMPUTED_VALUE"""),"Wilson")</f>
        <v>Wilson</v>
      </c>
      <c r="Z8" s="3">
        <v>0.0</v>
      </c>
      <c r="AA8" s="3">
        <f t="shared" si="6"/>
        <v>0</v>
      </c>
      <c r="AB8" s="3">
        <f t="shared" si="7"/>
        <v>0</v>
      </c>
      <c r="AC8" s="3">
        <f t="shared" si="8"/>
        <v>1.84</v>
      </c>
      <c r="AD8" s="3">
        <f t="shared" si="9"/>
        <v>-1</v>
      </c>
    </row>
    <row r="9">
      <c r="A9" s="1" t="s">
        <v>11</v>
      </c>
      <c r="B9" s="1" t="s">
        <v>295</v>
      </c>
      <c r="C9" s="1" t="s">
        <v>18</v>
      </c>
      <c r="D9" s="1" t="s">
        <v>76</v>
      </c>
      <c r="E9" s="1" t="s">
        <v>77</v>
      </c>
      <c r="F9" s="1" t="s">
        <v>78</v>
      </c>
      <c r="G9" s="1">
        <v>46.5</v>
      </c>
      <c r="H9" s="1" t="s">
        <v>60</v>
      </c>
      <c r="I9" s="1">
        <v>-115.0</v>
      </c>
      <c r="J9" s="6">
        <v>-0.121676700266279</v>
      </c>
      <c r="K9" s="1" t="s">
        <v>61</v>
      </c>
      <c r="L9" s="1" t="s">
        <v>61</v>
      </c>
      <c r="M9" s="1" t="s">
        <v>62</v>
      </c>
      <c r="N9" s="1">
        <v>-118.0</v>
      </c>
      <c r="O9" s="6">
        <v>0.0455224738246973</v>
      </c>
      <c r="P9" s="1" t="s">
        <v>61</v>
      </c>
      <c r="Q9" s="1" t="s">
        <v>61</v>
      </c>
      <c r="R9" s="6">
        <f t="shared" si="1"/>
        <v>0.04552247382</v>
      </c>
      <c r="S9" s="1">
        <f t="shared" si="2"/>
        <v>-118</v>
      </c>
      <c r="T9" s="1">
        <f t="shared" si="3"/>
        <v>1.847457627</v>
      </c>
      <c r="U9" s="1">
        <f t="shared" si="4"/>
        <v>0</v>
      </c>
      <c r="V9" s="3">
        <f t="shared" si="5"/>
        <v>1</v>
      </c>
      <c r="W9" s="3" t="str">
        <f>IFERROR(__xludf.DUMMYFUNCTION("split(B9,"" "")"),"X.")</f>
        <v>X.</v>
      </c>
      <c r="X9" s="3" t="str">
        <f>IFERROR(__xludf.DUMMYFUNCTION("""COMPUTED_VALUE"""),"Worthy")</f>
        <v>Worthy</v>
      </c>
      <c r="Z9" s="3">
        <v>47.0</v>
      </c>
      <c r="AA9" s="3">
        <f t="shared" si="6"/>
        <v>1</v>
      </c>
      <c r="AB9" s="3">
        <f t="shared" si="7"/>
        <v>0</v>
      </c>
      <c r="AC9" s="3">
        <f t="shared" si="8"/>
        <v>0.8474576271</v>
      </c>
      <c r="AD9" s="3">
        <f t="shared" si="9"/>
        <v>-1</v>
      </c>
    </row>
    <row r="10">
      <c r="A10" s="1" t="s">
        <v>16</v>
      </c>
      <c r="B10" s="1" t="s">
        <v>462</v>
      </c>
      <c r="C10" s="1" t="s">
        <v>21</v>
      </c>
      <c r="D10" s="1" t="s">
        <v>89</v>
      </c>
      <c r="E10" s="1" t="s">
        <v>88</v>
      </c>
      <c r="F10" s="1" t="s">
        <v>90</v>
      </c>
      <c r="G10" s="1">
        <v>32.5</v>
      </c>
      <c r="H10" s="1" t="s">
        <v>60</v>
      </c>
      <c r="I10" s="1">
        <v>-118.0</v>
      </c>
      <c r="J10" s="1">
        <v>-0.114522018348623</v>
      </c>
      <c r="K10" s="1" t="s">
        <v>61</v>
      </c>
      <c r="L10" s="1" t="s">
        <v>61</v>
      </c>
      <c r="M10" s="1" t="s">
        <v>62</v>
      </c>
      <c r="N10" s="1">
        <v>-112.0</v>
      </c>
      <c r="O10" s="1">
        <v>0.044956603773585</v>
      </c>
      <c r="P10" s="1" t="s">
        <v>61</v>
      </c>
      <c r="Q10" s="1" t="s">
        <v>61</v>
      </c>
      <c r="R10" s="1">
        <f t="shared" si="1"/>
        <v>0.04495660377</v>
      </c>
      <c r="S10" s="1">
        <f t="shared" si="2"/>
        <v>-112</v>
      </c>
      <c r="T10" s="1">
        <f t="shared" si="3"/>
        <v>1.892857143</v>
      </c>
      <c r="U10" s="1">
        <f t="shared" si="4"/>
        <v>0</v>
      </c>
      <c r="V10" s="3">
        <f t="shared" si="5"/>
        <v>1</v>
      </c>
      <c r="W10" s="3" t="str">
        <f>IFERROR(__xludf.DUMMYFUNCTION("split(B10,"" "")"),"D.")</f>
        <v>D.</v>
      </c>
      <c r="X10" s="3" t="str">
        <f>IFERROR(__xludf.DUMMYFUNCTION("""COMPUTED_VALUE"""),"Watson")</f>
        <v>Watson</v>
      </c>
      <c r="Z10" s="3">
        <v>45.0</v>
      </c>
      <c r="AA10" s="3">
        <f t="shared" si="6"/>
        <v>1</v>
      </c>
      <c r="AB10" s="3">
        <f t="shared" si="7"/>
        <v>0</v>
      </c>
      <c r="AC10" s="3">
        <f t="shared" si="8"/>
        <v>0.8928571429</v>
      </c>
      <c r="AD10" s="3">
        <f t="shared" si="9"/>
        <v>-1</v>
      </c>
    </row>
    <row r="11">
      <c r="A11" s="1" t="s">
        <v>17</v>
      </c>
      <c r="B11" s="1" t="s">
        <v>474</v>
      </c>
      <c r="C11" s="1" t="s">
        <v>21</v>
      </c>
      <c r="D11" s="1" t="s">
        <v>134</v>
      </c>
      <c r="E11" s="1" t="s">
        <v>135</v>
      </c>
      <c r="F11" s="1" t="s">
        <v>84</v>
      </c>
      <c r="G11" s="1">
        <v>0.5</v>
      </c>
      <c r="H11" s="1" t="s">
        <v>60</v>
      </c>
      <c r="I11" s="1">
        <v>-123.0</v>
      </c>
      <c r="J11" s="1">
        <v>-0.122269506726457</v>
      </c>
      <c r="K11" s="1" t="s">
        <v>61</v>
      </c>
      <c r="L11" s="1" t="s">
        <v>61</v>
      </c>
      <c r="M11" s="1" t="s">
        <v>62</v>
      </c>
      <c r="N11" s="1">
        <v>-111.0</v>
      </c>
      <c r="O11" s="1">
        <v>0.0446336492890995</v>
      </c>
      <c r="P11" s="1" t="s">
        <v>61</v>
      </c>
      <c r="Q11" s="1" t="s">
        <v>61</v>
      </c>
      <c r="R11" s="1">
        <f t="shared" si="1"/>
        <v>0.04463364929</v>
      </c>
      <c r="S11" s="1">
        <f t="shared" si="2"/>
        <v>-111</v>
      </c>
      <c r="T11" s="1">
        <f t="shared" si="3"/>
        <v>1.900900901</v>
      </c>
      <c r="U11" s="1">
        <f t="shared" si="4"/>
        <v>0</v>
      </c>
      <c r="V11" s="3">
        <f t="shared" si="5"/>
        <v>1</v>
      </c>
      <c r="W11" s="3" t="str">
        <f>IFERROR(__xludf.DUMMYFUNCTION("split(B11,"" "")"),"G.")</f>
        <v>G.</v>
      </c>
      <c r="X11" s="3" t="str">
        <f>IFERROR(__xludf.DUMMYFUNCTION("""COMPUTED_VALUE"""),"Minshew")</f>
        <v>Minshew</v>
      </c>
      <c r="Z11" s="3">
        <v>1.0</v>
      </c>
      <c r="AA11" s="3">
        <f t="shared" si="6"/>
        <v>1</v>
      </c>
      <c r="AB11" s="3">
        <f t="shared" si="7"/>
        <v>0</v>
      </c>
      <c r="AC11" s="3">
        <f t="shared" si="8"/>
        <v>0.9009009009</v>
      </c>
      <c r="AD11" s="3">
        <f t="shared" si="9"/>
        <v>-1</v>
      </c>
      <c r="AE11" s="1" t="s">
        <v>206</v>
      </c>
      <c r="AF11" s="3">
        <f>COUNTIF(AA:AA, "=1")</f>
        <v>315</v>
      </c>
      <c r="AG11" s="3">
        <f>countif('Week 1'!AB:AB, "=1")</f>
        <v>218</v>
      </c>
      <c r="AH11" s="3">
        <f t="shared" ref="AH11:AH12" si="11">AF11/AG11</f>
        <v>1.444954128</v>
      </c>
    </row>
    <row r="12">
      <c r="A12" s="1" t="s">
        <v>14</v>
      </c>
      <c r="B12" s="1" t="s">
        <v>434</v>
      </c>
      <c r="C12" s="1" t="s">
        <v>21</v>
      </c>
      <c r="D12" s="1" t="s">
        <v>104</v>
      </c>
      <c r="E12" s="1" t="s">
        <v>105</v>
      </c>
      <c r="F12" s="1" t="s">
        <v>59</v>
      </c>
      <c r="G12" s="1">
        <v>1.5</v>
      </c>
      <c r="H12" s="1" t="s">
        <v>60</v>
      </c>
      <c r="I12" s="1">
        <v>-136.0</v>
      </c>
      <c r="J12" s="1">
        <v>-0.114771186440677</v>
      </c>
      <c r="K12" s="1" t="s">
        <v>61</v>
      </c>
      <c r="L12" s="1" t="s">
        <v>61</v>
      </c>
      <c r="M12" s="1" t="s">
        <v>62</v>
      </c>
      <c r="N12" s="1">
        <v>102.0</v>
      </c>
      <c r="O12" s="1">
        <v>0.0434504950495049</v>
      </c>
      <c r="P12" s="1" t="s">
        <v>61</v>
      </c>
      <c r="Q12" s="1" t="s">
        <v>61</v>
      </c>
      <c r="R12" s="1">
        <f t="shared" si="1"/>
        <v>0.04345049505</v>
      </c>
      <c r="S12" s="1">
        <f t="shared" si="2"/>
        <v>102</v>
      </c>
      <c r="T12" s="1">
        <f t="shared" si="3"/>
        <v>2.02</v>
      </c>
      <c r="U12" s="1">
        <f t="shared" si="4"/>
        <v>0</v>
      </c>
      <c r="V12" s="3">
        <f t="shared" si="5"/>
        <v>1</v>
      </c>
      <c r="W12" s="3" t="str">
        <f>IFERROR(__xludf.DUMMYFUNCTION("split(B12,"" "")"),"J.")</f>
        <v>J.</v>
      </c>
      <c r="X12" s="3" t="str">
        <f>IFERROR(__xludf.DUMMYFUNCTION("""COMPUTED_VALUE"""),"Allen")</f>
        <v>Allen</v>
      </c>
      <c r="Z12" s="3">
        <v>2.0</v>
      </c>
      <c r="AA12" s="3">
        <f t="shared" si="6"/>
        <v>1</v>
      </c>
      <c r="AB12" s="3">
        <f t="shared" si="7"/>
        <v>0</v>
      </c>
      <c r="AC12" s="3">
        <f t="shared" si="8"/>
        <v>1.02</v>
      </c>
      <c r="AD12" s="3">
        <f t="shared" si="9"/>
        <v>-1</v>
      </c>
      <c r="AE12" s="1" t="s">
        <v>209</v>
      </c>
      <c r="AF12" s="3">
        <f>COUNTIF(AA:AA, "=0")</f>
        <v>94</v>
      </c>
      <c r="AG12" s="3">
        <f>countif('Week 1'!AB:AB, "=0")</f>
        <v>303</v>
      </c>
      <c r="AH12" s="3">
        <f t="shared" si="11"/>
        <v>0.3102310231</v>
      </c>
    </row>
    <row r="13">
      <c r="A13" s="1" t="s">
        <v>10</v>
      </c>
      <c r="B13" s="1" t="s">
        <v>204</v>
      </c>
      <c r="C13" s="1" t="s">
        <v>21</v>
      </c>
      <c r="D13" s="1" t="s">
        <v>105</v>
      </c>
      <c r="E13" s="1" t="s">
        <v>104</v>
      </c>
      <c r="F13" s="1" t="s">
        <v>59</v>
      </c>
      <c r="G13" s="1">
        <v>31.5</v>
      </c>
      <c r="H13" s="1" t="s">
        <v>60</v>
      </c>
      <c r="I13" s="1">
        <v>-118.0</v>
      </c>
      <c r="J13" s="1">
        <v>-0.115010650663705</v>
      </c>
      <c r="K13" s="1" t="s">
        <v>61</v>
      </c>
      <c r="L13" s="1" t="s">
        <v>61</v>
      </c>
      <c r="M13" s="1" t="s">
        <v>62</v>
      </c>
      <c r="N13" s="1">
        <v>-113.0</v>
      </c>
      <c r="O13" s="1">
        <v>0.0432452285657145</v>
      </c>
      <c r="P13" s="1" t="s">
        <v>61</v>
      </c>
      <c r="Q13" s="1" t="s">
        <v>61</v>
      </c>
      <c r="R13" s="1">
        <f t="shared" si="1"/>
        <v>0.04324522857</v>
      </c>
      <c r="S13" s="1">
        <f t="shared" si="2"/>
        <v>-113</v>
      </c>
      <c r="T13" s="1">
        <f t="shared" si="3"/>
        <v>1.884955752</v>
      </c>
      <c r="U13" s="1">
        <f t="shared" si="4"/>
        <v>0</v>
      </c>
      <c r="V13" s="3">
        <f t="shared" si="5"/>
        <v>1</v>
      </c>
      <c r="W13" s="3" t="str">
        <f>IFERROR(__xludf.DUMMYFUNCTION("split(B13,"" "")"),"K.")</f>
        <v>K.</v>
      </c>
      <c r="X13" s="3" t="str">
        <f>IFERROR(__xludf.DUMMYFUNCTION("""COMPUTED_VALUE"""),"Murray")</f>
        <v>Murray</v>
      </c>
      <c r="Z13" s="3">
        <v>57.0</v>
      </c>
      <c r="AA13" s="3">
        <f t="shared" si="6"/>
        <v>1</v>
      </c>
      <c r="AB13" s="3">
        <f t="shared" si="7"/>
        <v>0</v>
      </c>
      <c r="AC13" s="3">
        <f t="shared" si="8"/>
        <v>0.8849557522</v>
      </c>
      <c r="AD13" s="3">
        <f t="shared" si="9"/>
        <v>-1</v>
      </c>
    </row>
    <row r="14">
      <c r="A14" s="1" t="s">
        <v>9</v>
      </c>
      <c r="B14" s="1" t="s">
        <v>289</v>
      </c>
      <c r="C14" s="1" t="s">
        <v>19</v>
      </c>
      <c r="D14" s="1" t="s">
        <v>94</v>
      </c>
      <c r="E14" s="1" t="s">
        <v>93</v>
      </c>
      <c r="F14" s="1" t="s">
        <v>59</v>
      </c>
      <c r="G14" s="1">
        <v>80.5</v>
      </c>
      <c r="H14" s="1" t="s">
        <v>60</v>
      </c>
      <c r="I14" s="1">
        <v>-117.0</v>
      </c>
      <c r="J14" s="1">
        <v>-0.112796263815785</v>
      </c>
      <c r="K14" s="1" t="s">
        <v>61</v>
      </c>
      <c r="L14" s="1" t="s">
        <v>61</v>
      </c>
      <c r="M14" s="1" t="s">
        <v>62</v>
      </c>
      <c r="N14" s="1">
        <v>-113.0</v>
      </c>
      <c r="O14" s="1">
        <v>0.0431132199543132</v>
      </c>
      <c r="P14" s="1" t="s">
        <v>61</v>
      </c>
      <c r="Q14" s="1" t="s">
        <v>61</v>
      </c>
      <c r="R14" s="1">
        <f t="shared" si="1"/>
        <v>0.04311321995</v>
      </c>
      <c r="S14" s="1">
        <f t="shared" si="2"/>
        <v>-113</v>
      </c>
      <c r="T14" s="1">
        <f t="shared" si="3"/>
        <v>1.884955752</v>
      </c>
      <c r="U14" s="1">
        <f t="shared" si="4"/>
        <v>0</v>
      </c>
      <c r="V14" s="3">
        <f t="shared" si="5"/>
        <v>1</v>
      </c>
      <c r="W14" s="3" t="str">
        <f>IFERROR(__xludf.DUMMYFUNCTION("split(B14,"" "")"),"D.")</f>
        <v>D.</v>
      </c>
      <c r="X14" s="3" t="str">
        <f>IFERROR(__xludf.DUMMYFUNCTION("""COMPUTED_VALUE"""),"Achane")</f>
        <v>Achane</v>
      </c>
      <c r="Z14" s="3">
        <v>100.0</v>
      </c>
      <c r="AA14" s="3">
        <f t="shared" si="6"/>
        <v>1</v>
      </c>
      <c r="AB14" s="3">
        <f t="shared" si="7"/>
        <v>0</v>
      </c>
      <c r="AC14" s="3">
        <f t="shared" si="8"/>
        <v>0.8849557522</v>
      </c>
      <c r="AD14" s="3">
        <f t="shared" si="9"/>
        <v>-1</v>
      </c>
    </row>
    <row r="15">
      <c r="A15" s="1" t="s">
        <v>9</v>
      </c>
      <c r="B15" s="1" t="s">
        <v>483</v>
      </c>
      <c r="C15" s="1" t="s">
        <v>18</v>
      </c>
      <c r="D15" s="1" t="s">
        <v>147</v>
      </c>
      <c r="E15" s="1" t="s">
        <v>146</v>
      </c>
      <c r="F15" s="1" t="s">
        <v>59</v>
      </c>
      <c r="G15" s="1">
        <v>27.5</v>
      </c>
      <c r="H15" s="1" t="s">
        <v>60</v>
      </c>
      <c r="I15" s="1">
        <v>-115.0</v>
      </c>
      <c r="J15" s="1">
        <v>0.0430736502585643</v>
      </c>
      <c r="K15" s="1" t="s">
        <v>61</v>
      </c>
      <c r="L15" s="1" t="s">
        <v>61</v>
      </c>
      <c r="M15" s="1" t="s">
        <v>62</v>
      </c>
      <c r="N15" s="1">
        <v>-120.0</v>
      </c>
      <c r="O15" s="1">
        <v>-0.123404553485043</v>
      </c>
      <c r="P15" s="1" t="s">
        <v>61</v>
      </c>
      <c r="Q15" s="1" t="s">
        <v>61</v>
      </c>
      <c r="R15" s="1">
        <f t="shared" si="1"/>
        <v>0.04307365026</v>
      </c>
      <c r="S15" s="1">
        <f t="shared" si="2"/>
        <v>-115</v>
      </c>
      <c r="T15" s="1">
        <f t="shared" si="3"/>
        <v>1.869565217</v>
      </c>
      <c r="U15" s="1">
        <f t="shared" si="4"/>
        <v>1</v>
      </c>
      <c r="V15" s="3">
        <f t="shared" si="5"/>
        <v>1</v>
      </c>
      <c r="W15" s="3" t="str">
        <f>IFERROR(__xludf.DUMMYFUNCTION("split(B15,"" "")"),"D.")</f>
        <v>D.</v>
      </c>
      <c r="X15" s="3" t="str">
        <f>IFERROR(__xludf.DUMMYFUNCTION("""COMPUTED_VALUE"""),"Slayton")</f>
        <v>Slayton</v>
      </c>
      <c r="Z15" s="3">
        <v>26.0</v>
      </c>
      <c r="AA15" s="3">
        <f t="shared" si="6"/>
        <v>0</v>
      </c>
      <c r="AB15" s="3">
        <f t="shared" si="7"/>
        <v>0</v>
      </c>
      <c r="AC15" s="3">
        <f t="shared" si="8"/>
        <v>0.8695652174</v>
      </c>
      <c r="AD15" s="3">
        <f t="shared" si="9"/>
        <v>-1</v>
      </c>
    </row>
    <row r="16">
      <c r="A16" s="1" t="s">
        <v>17</v>
      </c>
      <c r="B16" s="1" t="s">
        <v>328</v>
      </c>
      <c r="C16" s="1" t="s">
        <v>21</v>
      </c>
      <c r="D16" s="1" t="s">
        <v>109</v>
      </c>
      <c r="E16" s="1" t="s">
        <v>110</v>
      </c>
      <c r="F16" s="1" t="s">
        <v>59</v>
      </c>
      <c r="G16" s="1">
        <v>0.5</v>
      </c>
      <c r="H16" s="1" t="s">
        <v>60</v>
      </c>
      <c r="I16" s="1">
        <v>-129.0</v>
      </c>
      <c r="J16" s="1">
        <v>-0.115318777292576</v>
      </c>
      <c r="K16" s="1" t="s">
        <v>61</v>
      </c>
      <c r="L16" s="1" t="s">
        <v>61</v>
      </c>
      <c r="M16" s="1" t="s">
        <v>62</v>
      </c>
      <c r="N16" s="1">
        <v>-104.0</v>
      </c>
      <c r="O16" s="1">
        <v>0.0421960784313726</v>
      </c>
      <c r="P16" s="1" t="s">
        <v>61</v>
      </c>
      <c r="Q16" s="1" t="s">
        <v>61</v>
      </c>
      <c r="R16" s="1">
        <f t="shared" si="1"/>
        <v>0.04219607843</v>
      </c>
      <c r="S16" s="1">
        <f t="shared" si="2"/>
        <v>-104</v>
      </c>
      <c r="T16" s="1">
        <f t="shared" si="3"/>
        <v>1.961538462</v>
      </c>
      <c r="U16" s="1">
        <f t="shared" si="4"/>
        <v>0</v>
      </c>
      <c r="V16" s="3">
        <f t="shared" si="5"/>
        <v>1</v>
      </c>
      <c r="W16" s="3" t="str">
        <f>IFERROR(__xludf.DUMMYFUNCTION("split(B16,"" "")"),"K.")</f>
        <v>K.</v>
      </c>
      <c r="X16" s="3" t="str">
        <f>IFERROR(__xludf.DUMMYFUNCTION("""COMPUTED_VALUE"""),"Cousins")</f>
        <v>Cousins</v>
      </c>
      <c r="Z16" s="3">
        <v>2.0</v>
      </c>
      <c r="AA16" s="3">
        <f t="shared" si="6"/>
        <v>1</v>
      </c>
      <c r="AB16" s="3">
        <f t="shared" si="7"/>
        <v>0</v>
      </c>
      <c r="AC16" s="3">
        <f t="shared" si="8"/>
        <v>0.9615384615</v>
      </c>
      <c r="AD16" s="3">
        <f t="shared" si="9"/>
        <v>-1</v>
      </c>
    </row>
    <row r="17">
      <c r="A17" s="1" t="s">
        <v>9</v>
      </c>
      <c r="B17" s="1" t="s">
        <v>233</v>
      </c>
      <c r="C17" s="1" t="s">
        <v>18</v>
      </c>
      <c r="D17" s="1" t="s">
        <v>105</v>
      </c>
      <c r="E17" s="1" t="s">
        <v>104</v>
      </c>
      <c r="F17" s="1" t="s">
        <v>59</v>
      </c>
      <c r="G17" s="1">
        <v>29.5</v>
      </c>
      <c r="H17" s="1" t="s">
        <v>60</v>
      </c>
      <c r="I17" s="1">
        <v>-110.0</v>
      </c>
      <c r="J17" s="1">
        <v>0.0410470197321205</v>
      </c>
      <c r="K17" s="1" t="s">
        <v>61</v>
      </c>
      <c r="L17" s="1" t="s">
        <v>61</v>
      </c>
      <c r="M17" s="1" t="s">
        <v>62</v>
      </c>
      <c r="N17" s="1">
        <v>-120.0</v>
      </c>
      <c r="O17" s="1">
        <v>-0.110304768056792</v>
      </c>
      <c r="P17" s="1" t="s">
        <v>61</v>
      </c>
      <c r="Q17" s="1" t="s">
        <v>61</v>
      </c>
      <c r="R17" s="1">
        <f t="shared" si="1"/>
        <v>0.04104701973</v>
      </c>
      <c r="S17" s="1">
        <f t="shared" si="2"/>
        <v>-110</v>
      </c>
      <c r="T17" s="1">
        <f t="shared" si="3"/>
        <v>1.909090909</v>
      </c>
      <c r="U17" s="1">
        <f t="shared" si="4"/>
        <v>1</v>
      </c>
      <c r="V17" s="3">
        <f t="shared" si="5"/>
        <v>1</v>
      </c>
      <c r="W17" s="3" t="str">
        <f>IFERROR(__xludf.DUMMYFUNCTION("split(B17,"" "")"),"M.")</f>
        <v>M.</v>
      </c>
      <c r="X17" s="3" t="str">
        <f>IFERROR(__xludf.DUMMYFUNCTION("""COMPUTED_VALUE"""),"Wilson")</f>
        <v>Wilson</v>
      </c>
      <c r="Z17" s="3">
        <v>5.0</v>
      </c>
      <c r="AA17" s="3">
        <f t="shared" si="6"/>
        <v>0</v>
      </c>
      <c r="AB17" s="3">
        <f t="shared" si="7"/>
        <v>0</v>
      </c>
      <c r="AC17" s="3">
        <f t="shared" si="8"/>
        <v>0.9090909091</v>
      </c>
      <c r="AD17" s="3">
        <f t="shared" si="9"/>
        <v>-1</v>
      </c>
    </row>
    <row r="18">
      <c r="A18" s="1" t="s">
        <v>10</v>
      </c>
      <c r="B18" s="1" t="s">
        <v>464</v>
      </c>
      <c r="C18" s="1" t="s">
        <v>21</v>
      </c>
      <c r="D18" s="1" t="s">
        <v>83</v>
      </c>
      <c r="E18" s="1" t="s">
        <v>82</v>
      </c>
      <c r="F18" s="1" t="s">
        <v>84</v>
      </c>
      <c r="G18" s="1">
        <v>18.5</v>
      </c>
      <c r="H18" s="1" t="s">
        <v>60</v>
      </c>
      <c r="I18" s="1">
        <v>-115.0</v>
      </c>
      <c r="J18" s="1">
        <v>-0.11071440535527</v>
      </c>
      <c r="K18" s="1" t="s">
        <v>61</v>
      </c>
      <c r="L18" s="1" t="s">
        <v>61</v>
      </c>
      <c r="M18" s="1" t="s">
        <v>62</v>
      </c>
      <c r="N18" s="1">
        <v>-115.0</v>
      </c>
      <c r="O18" s="1">
        <v>0.0409815661585609</v>
      </c>
      <c r="P18" s="1" t="s">
        <v>61</v>
      </c>
      <c r="Q18" s="1" t="s">
        <v>61</v>
      </c>
      <c r="R18" s="1">
        <f t="shared" si="1"/>
        <v>0.04098156616</v>
      </c>
      <c r="S18" s="1">
        <f t="shared" si="2"/>
        <v>-115</v>
      </c>
      <c r="T18" s="1">
        <f t="shared" si="3"/>
        <v>1.869565217</v>
      </c>
      <c r="U18" s="1">
        <f t="shared" si="4"/>
        <v>0</v>
      </c>
      <c r="V18" s="3">
        <f t="shared" si="5"/>
        <v>1</v>
      </c>
      <c r="W18" s="3" t="str">
        <f>IFERROR(__xludf.DUMMYFUNCTION("split(B18,"" "")"),"B.")</f>
        <v>B.</v>
      </c>
      <c r="X18" s="3" t="str">
        <f>IFERROR(__xludf.DUMMYFUNCTION("""COMPUTED_VALUE"""),"Nix")</f>
        <v>Nix</v>
      </c>
      <c r="Z18" s="3">
        <v>35.0</v>
      </c>
      <c r="AA18" s="3">
        <f t="shared" si="6"/>
        <v>1</v>
      </c>
      <c r="AB18" s="3">
        <f t="shared" si="7"/>
        <v>0</v>
      </c>
      <c r="AC18" s="3">
        <f t="shared" si="8"/>
        <v>0.8695652174</v>
      </c>
      <c r="AD18" s="3">
        <f t="shared" si="9"/>
        <v>-1</v>
      </c>
    </row>
    <row r="19">
      <c r="A19" s="1" t="s">
        <v>11</v>
      </c>
      <c r="B19" s="1" t="s">
        <v>309</v>
      </c>
      <c r="C19" s="1" t="s">
        <v>19</v>
      </c>
      <c r="D19" s="1" t="s">
        <v>77</v>
      </c>
      <c r="E19" s="1" t="s">
        <v>76</v>
      </c>
      <c r="F19" s="1" t="s">
        <v>78</v>
      </c>
      <c r="G19" s="1">
        <v>7.5</v>
      </c>
      <c r="H19" s="1" t="s">
        <v>60</v>
      </c>
      <c r="I19" s="1">
        <v>-120.0</v>
      </c>
      <c r="J19" s="6">
        <v>0.0398512478856749</v>
      </c>
      <c r="K19" s="1" t="s">
        <v>61</v>
      </c>
      <c r="L19" s="1" t="s">
        <v>61</v>
      </c>
      <c r="M19" s="1" t="s">
        <v>62</v>
      </c>
      <c r="N19" s="1">
        <v>-107.0</v>
      </c>
      <c r="O19" s="6">
        <v>-0.102187361122163</v>
      </c>
      <c r="P19" s="1" t="s">
        <v>61</v>
      </c>
      <c r="Q19" s="1" t="s">
        <v>61</v>
      </c>
      <c r="R19" s="6">
        <f t="shared" si="1"/>
        <v>0.03985124789</v>
      </c>
      <c r="S19" s="1">
        <f t="shared" si="2"/>
        <v>-120</v>
      </c>
      <c r="T19" s="1">
        <f t="shared" si="3"/>
        <v>1.833333333</v>
      </c>
      <c r="U19" s="1">
        <f t="shared" si="4"/>
        <v>1</v>
      </c>
      <c r="V19" s="3">
        <f t="shared" si="5"/>
        <v>1</v>
      </c>
      <c r="W19" s="3" t="str">
        <f>IFERROR(__xludf.DUMMYFUNCTION("split(B19,"" "")"),"D.")</f>
        <v>D.</v>
      </c>
      <c r="X19" s="3" t="str">
        <f>IFERROR(__xludf.DUMMYFUNCTION("""COMPUTED_VALUE"""),"Henry")</f>
        <v>Henry</v>
      </c>
      <c r="Z19" s="3">
        <v>0.0</v>
      </c>
      <c r="AA19" s="3">
        <f t="shared" si="6"/>
        <v>0</v>
      </c>
      <c r="AB19" s="3">
        <f t="shared" si="7"/>
        <v>0</v>
      </c>
      <c r="AC19" s="3">
        <f t="shared" si="8"/>
        <v>0.8333333333</v>
      </c>
      <c r="AD19" s="3">
        <f t="shared" si="9"/>
        <v>-1</v>
      </c>
    </row>
    <row r="20">
      <c r="A20" s="1" t="s">
        <v>17</v>
      </c>
      <c r="B20" s="1" t="s">
        <v>297</v>
      </c>
      <c r="C20" s="1" t="s">
        <v>21</v>
      </c>
      <c r="D20" s="1" t="s">
        <v>157</v>
      </c>
      <c r="E20" s="1" t="s">
        <v>156</v>
      </c>
      <c r="F20" s="1" t="s">
        <v>158</v>
      </c>
      <c r="G20" s="1">
        <v>0.5</v>
      </c>
      <c r="H20" s="1" t="s">
        <v>60</v>
      </c>
      <c r="I20" s="1">
        <v>-136.0</v>
      </c>
      <c r="J20" s="6">
        <v>-0.118528813559322</v>
      </c>
      <c r="K20" s="1" t="s">
        <v>61</v>
      </c>
      <c r="L20" s="1" t="s">
        <v>61</v>
      </c>
      <c r="M20" s="1" t="s">
        <v>62</v>
      </c>
      <c r="N20" s="1">
        <v>-101.0</v>
      </c>
      <c r="O20" s="6">
        <v>0.0397621890547262</v>
      </c>
      <c r="P20" s="1" t="s">
        <v>61</v>
      </c>
      <c r="Q20" s="1" t="s">
        <v>61</v>
      </c>
      <c r="R20" s="6">
        <f t="shared" si="1"/>
        <v>0.03976218905</v>
      </c>
      <c r="S20" s="1">
        <f t="shared" si="2"/>
        <v>-101</v>
      </c>
      <c r="T20" s="1">
        <f t="shared" si="3"/>
        <v>1.99009901</v>
      </c>
      <c r="U20" s="1">
        <f t="shared" si="4"/>
        <v>0</v>
      </c>
      <c r="V20" s="3">
        <f t="shared" si="5"/>
        <v>1</v>
      </c>
      <c r="W20" s="3" t="str">
        <f>IFERROR(__xludf.DUMMYFUNCTION("split(B20,"" "")"),"J.")</f>
        <v>J.</v>
      </c>
      <c r="X20" s="3" t="str">
        <f>IFERROR(__xludf.DUMMYFUNCTION("""COMPUTED_VALUE"""),"Love")</f>
        <v>Love</v>
      </c>
      <c r="Z20" s="3">
        <v>1.0</v>
      </c>
      <c r="AA20" s="3">
        <f t="shared" si="6"/>
        <v>1</v>
      </c>
      <c r="AB20" s="3">
        <f t="shared" si="7"/>
        <v>0</v>
      </c>
      <c r="AC20" s="3">
        <f t="shared" si="8"/>
        <v>0.9900990099</v>
      </c>
      <c r="AD20" s="3">
        <f t="shared" si="9"/>
        <v>-1</v>
      </c>
    </row>
    <row r="21">
      <c r="A21" s="1" t="s">
        <v>10</v>
      </c>
      <c r="B21" s="1" t="s">
        <v>462</v>
      </c>
      <c r="C21" s="1" t="s">
        <v>21</v>
      </c>
      <c r="D21" s="1" t="s">
        <v>89</v>
      </c>
      <c r="E21" s="1" t="s">
        <v>88</v>
      </c>
      <c r="F21" s="1" t="s">
        <v>90</v>
      </c>
      <c r="G21" s="1">
        <v>20.5</v>
      </c>
      <c r="H21" s="1" t="s">
        <v>60</v>
      </c>
      <c r="I21" s="1">
        <v>-115.0</v>
      </c>
      <c r="J21" s="1">
        <v>-0.10908165556122</v>
      </c>
      <c r="K21" s="1" t="s">
        <v>61</v>
      </c>
      <c r="L21" s="1" t="s">
        <v>61</v>
      </c>
      <c r="M21" s="1" t="s">
        <v>62</v>
      </c>
      <c r="N21" s="1">
        <v>-115.0</v>
      </c>
      <c r="O21" s="1">
        <v>0.0393889038954037</v>
      </c>
      <c r="P21" s="1" t="s">
        <v>61</v>
      </c>
      <c r="Q21" s="1" t="s">
        <v>61</v>
      </c>
      <c r="R21" s="1">
        <f t="shared" si="1"/>
        <v>0.0393889039</v>
      </c>
      <c r="S21" s="1">
        <f t="shared" si="2"/>
        <v>-115</v>
      </c>
      <c r="T21" s="1">
        <f t="shared" si="3"/>
        <v>1.869565217</v>
      </c>
      <c r="U21" s="1">
        <f t="shared" si="4"/>
        <v>0</v>
      </c>
      <c r="V21" s="3">
        <f t="shared" si="5"/>
        <v>1</v>
      </c>
      <c r="W21" s="3" t="str">
        <f>IFERROR(__xludf.DUMMYFUNCTION("split(B21,"" "")"),"D.")</f>
        <v>D.</v>
      </c>
      <c r="X21" s="3" t="str">
        <f>IFERROR(__xludf.DUMMYFUNCTION("""COMPUTED_VALUE"""),"Watson")</f>
        <v>Watson</v>
      </c>
      <c r="Z21" s="3">
        <v>39.0</v>
      </c>
      <c r="AA21" s="3">
        <f t="shared" si="6"/>
        <v>1</v>
      </c>
      <c r="AB21" s="3">
        <f t="shared" si="7"/>
        <v>0</v>
      </c>
      <c r="AC21" s="3">
        <f t="shared" si="8"/>
        <v>0.8695652174</v>
      </c>
      <c r="AD21" s="3">
        <f t="shared" si="9"/>
        <v>-1</v>
      </c>
    </row>
    <row r="22">
      <c r="A22" s="1" t="s">
        <v>9</v>
      </c>
      <c r="B22" s="1" t="s">
        <v>417</v>
      </c>
      <c r="C22" s="1" t="s">
        <v>19</v>
      </c>
      <c r="D22" s="1" t="s">
        <v>113</v>
      </c>
      <c r="E22" s="1" t="s">
        <v>114</v>
      </c>
      <c r="F22" s="1" t="s">
        <v>90</v>
      </c>
      <c r="G22" s="1">
        <v>84.5</v>
      </c>
      <c r="H22" s="1" t="s">
        <v>60</v>
      </c>
      <c r="I22" s="1">
        <v>-115.0</v>
      </c>
      <c r="J22" s="1">
        <v>-0.108313393208534</v>
      </c>
      <c r="K22" s="1" t="s">
        <v>61</v>
      </c>
      <c r="L22" s="1" t="s">
        <v>61</v>
      </c>
      <c r="M22" s="1" t="s">
        <v>62</v>
      </c>
      <c r="N22" s="1">
        <v>-115.0</v>
      </c>
      <c r="O22" s="1">
        <v>0.0385654021898144</v>
      </c>
      <c r="P22" s="1" t="s">
        <v>61</v>
      </c>
      <c r="Q22" s="1" t="s">
        <v>61</v>
      </c>
      <c r="R22" s="1">
        <f t="shared" si="1"/>
        <v>0.03856540219</v>
      </c>
      <c r="S22" s="1">
        <f t="shared" si="2"/>
        <v>-115</v>
      </c>
      <c r="T22" s="1">
        <f t="shared" si="3"/>
        <v>1.869565217</v>
      </c>
      <c r="U22" s="1">
        <f t="shared" si="4"/>
        <v>0</v>
      </c>
      <c r="V22" s="3">
        <f t="shared" si="5"/>
        <v>1</v>
      </c>
      <c r="W22" s="3" t="str">
        <f>IFERROR(__xludf.DUMMYFUNCTION("split(B22,"" "")"),"R.")</f>
        <v>R.</v>
      </c>
      <c r="X22" s="3" t="str">
        <f>IFERROR(__xludf.DUMMYFUNCTION("""COMPUTED_VALUE"""),"White")</f>
        <v>White</v>
      </c>
      <c r="Z22" s="3">
        <v>106.0</v>
      </c>
      <c r="AA22" s="3">
        <f t="shared" si="6"/>
        <v>1</v>
      </c>
      <c r="AB22" s="3">
        <f t="shared" si="7"/>
        <v>0</v>
      </c>
      <c r="AC22" s="3">
        <f t="shared" si="8"/>
        <v>0.8695652174</v>
      </c>
      <c r="AD22" s="3">
        <f t="shared" si="9"/>
        <v>-1</v>
      </c>
    </row>
    <row r="23">
      <c r="A23" s="1" t="s">
        <v>10</v>
      </c>
      <c r="B23" s="1" t="s">
        <v>123</v>
      </c>
      <c r="C23" s="1" t="s">
        <v>19</v>
      </c>
      <c r="D23" s="1" t="s">
        <v>110</v>
      </c>
      <c r="E23" s="1" t="s">
        <v>109</v>
      </c>
      <c r="F23" s="1" t="s">
        <v>59</v>
      </c>
      <c r="G23" s="1">
        <v>53.5</v>
      </c>
      <c r="H23" s="1" t="s">
        <v>60</v>
      </c>
      <c r="I23" s="1">
        <v>-124.0</v>
      </c>
      <c r="J23" s="1">
        <v>-0.108717385657402</v>
      </c>
      <c r="K23" s="1" t="s">
        <v>61</v>
      </c>
      <c r="L23" s="1" t="s">
        <v>61</v>
      </c>
      <c r="M23" s="1" t="s">
        <v>62</v>
      </c>
      <c r="N23" s="1">
        <v>-107.0</v>
      </c>
      <c r="O23" s="1">
        <v>0.0382424360436498</v>
      </c>
      <c r="P23" s="1" t="s">
        <v>61</v>
      </c>
      <c r="Q23" s="1" t="s">
        <v>61</v>
      </c>
      <c r="R23" s="1">
        <f t="shared" si="1"/>
        <v>0.03824243604</v>
      </c>
      <c r="S23" s="1">
        <f t="shared" si="2"/>
        <v>-107</v>
      </c>
      <c r="T23" s="1">
        <f t="shared" si="3"/>
        <v>1.934579439</v>
      </c>
      <c r="U23" s="1">
        <f t="shared" si="4"/>
        <v>0</v>
      </c>
      <c r="V23" s="3">
        <f t="shared" si="5"/>
        <v>1</v>
      </c>
      <c r="W23" s="3" t="str">
        <f>IFERROR(__xludf.DUMMYFUNCTION("split(B23,"" "")"),"N.")</f>
        <v>N.</v>
      </c>
      <c r="X23" s="3" t="str">
        <f>IFERROR(__xludf.DUMMYFUNCTION("""COMPUTED_VALUE"""),"Harris")</f>
        <v>Harris</v>
      </c>
      <c r="Z23" s="3">
        <v>70.0</v>
      </c>
      <c r="AA23" s="3">
        <f t="shared" si="6"/>
        <v>1</v>
      </c>
      <c r="AB23" s="3">
        <f t="shared" si="7"/>
        <v>0</v>
      </c>
      <c r="AC23" s="3">
        <f t="shared" si="8"/>
        <v>0.9345794393</v>
      </c>
      <c r="AD23" s="3">
        <f t="shared" si="9"/>
        <v>-1</v>
      </c>
    </row>
    <row r="24">
      <c r="A24" s="1" t="s">
        <v>11</v>
      </c>
      <c r="B24" s="1" t="s">
        <v>484</v>
      </c>
      <c r="C24" s="1" t="s">
        <v>18</v>
      </c>
      <c r="D24" s="1" t="s">
        <v>76</v>
      </c>
      <c r="E24" s="1" t="s">
        <v>77</v>
      </c>
      <c r="F24" s="1" t="s">
        <v>78</v>
      </c>
      <c r="G24" s="1">
        <v>8.5</v>
      </c>
      <c r="H24" s="1" t="s">
        <v>60</v>
      </c>
      <c r="I24" s="1">
        <v>-105.0</v>
      </c>
      <c r="J24" s="6">
        <v>0.0382390594505007</v>
      </c>
      <c r="K24" s="1" t="s">
        <v>61</v>
      </c>
      <c r="L24" s="1" t="s">
        <v>61</v>
      </c>
      <c r="M24" s="1" t="s">
        <v>62</v>
      </c>
      <c r="N24" s="1">
        <v>-130.0</v>
      </c>
      <c r="O24" s="6">
        <v>-0.115656997145906</v>
      </c>
      <c r="P24" s="1" t="s">
        <v>61</v>
      </c>
      <c r="Q24" s="1" t="s">
        <v>61</v>
      </c>
      <c r="R24" s="6">
        <f t="shared" si="1"/>
        <v>0.03823905945</v>
      </c>
      <c r="S24" s="1">
        <f t="shared" si="2"/>
        <v>-105</v>
      </c>
      <c r="T24" s="1">
        <f t="shared" si="3"/>
        <v>1.952380952</v>
      </c>
      <c r="U24" s="1">
        <f t="shared" si="4"/>
        <v>1</v>
      </c>
      <c r="V24" s="3">
        <f t="shared" si="5"/>
        <v>1</v>
      </c>
      <c r="W24" s="3" t="str">
        <f>IFERROR(__xludf.DUMMYFUNCTION("split(B24,"" "")"),"M.")</f>
        <v>M.</v>
      </c>
      <c r="X24" s="3" t="str">
        <f>IFERROR(__xludf.DUMMYFUNCTION("""COMPUTED_VALUE"""),"Hardman")</f>
        <v>Hardman</v>
      </c>
      <c r="Y24" s="3" t="str">
        <f>IFERROR(__xludf.DUMMYFUNCTION("""COMPUTED_VALUE"""),"Jr.")</f>
        <v>Jr.</v>
      </c>
      <c r="Z24" s="3">
        <v>0.0</v>
      </c>
      <c r="AA24" s="3">
        <f t="shared" si="6"/>
        <v>0</v>
      </c>
      <c r="AB24" s="3">
        <f t="shared" si="7"/>
        <v>0</v>
      </c>
      <c r="AC24" s="3">
        <f t="shared" si="8"/>
        <v>0.9523809524</v>
      </c>
      <c r="AD24" s="3">
        <f t="shared" si="9"/>
        <v>-1</v>
      </c>
    </row>
    <row r="25">
      <c r="A25" s="1" t="s">
        <v>17</v>
      </c>
      <c r="B25" s="1" t="s">
        <v>75</v>
      </c>
      <c r="C25" s="1" t="s">
        <v>21</v>
      </c>
      <c r="D25" s="1" t="s">
        <v>76</v>
      </c>
      <c r="E25" s="1" t="s">
        <v>77</v>
      </c>
      <c r="F25" s="1" t="s">
        <v>78</v>
      </c>
      <c r="G25" s="1">
        <v>0.5</v>
      </c>
      <c r="H25" s="1" t="s">
        <v>60</v>
      </c>
      <c r="I25" s="1">
        <v>-120.0</v>
      </c>
      <c r="J25" s="6">
        <v>-0.11410909090909</v>
      </c>
      <c r="K25" s="1" t="s">
        <v>61</v>
      </c>
      <c r="L25" s="1" t="s">
        <v>61</v>
      </c>
      <c r="M25" s="1" t="s">
        <v>62</v>
      </c>
      <c r="N25" s="1">
        <v>-113.0</v>
      </c>
      <c r="O25" s="6">
        <v>0.0381305164319248</v>
      </c>
      <c r="P25" s="1" t="s">
        <v>61</v>
      </c>
      <c r="Q25" s="1" t="s">
        <v>61</v>
      </c>
      <c r="R25" s="6">
        <f t="shared" si="1"/>
        <v>0.03813051643</v>
      </c>
      <c r="S25" s="1">
        <f t="shared" si="2"/>
        <v>-113</v>
      </c>
      <c r="T25" s="1">
        <f t="shared" si="3"/>
        <v>1.884955752</v>
      </c>
      <c r="U25" s="1">
        <f t="shared" si="4"/>
        <v>0</v>
      </c>
      <c r="V25" s="3">
        <f t="shared" si="5"/>
        <v>1</v>
      </c>
      <c r="W25" s="3" t="str">
        <f>IFERROR(__xludf.DUMMYFUNCTION("split(B25,"" "")"),"P.")</f>
        <v>P.</v>
      </c>
      <c r="X25" s="3" t="str">
        <f>IFERROR(__xludf.DUMMYFUNCTION("""COMPUTED_VALUE"""),"Mahomes")</f>
        <v>Mahomes</v>
      </c>
      <c r="Z25" s="3">
        <v>1.0</v>
      </c>
      <c r="AA25" s="3">
        <f t="shared" si="6"/>
        <v>1</v>
      </c>
      <c r="AB25" s="3">
        <f t="shared" si="7"/>
        <v>0</v>
      </c>
      <c r="AC25" s="3">
        <f t="shared" si="8"/>
        <v>0.8849557522</v>
      </c>
      <c r="AD25" s="3">
        <f t="shared" si="9"/>
        <v>-1</v>
      </c>
    </row>
    <row r="26">
      <c r="A26" s="1" t="s">
        <v>17</v>
      </c>
      <c r="B26" s="1" t="s">
        <v>200</v>
      </c>
      <c r="C26" s="1" t="s">
        <v>21</v>
      </c>
      <c r="D26" s="1" t="s">
        <v>71</v>
      </c>
      <c r="E26" s="1" t="s">
        <v>72</v>
      </c>
      <c r="F26" s="1" t="s">
        <v>59</v>
      </c>
      <c r="G26" s="1">
        <v>0.5</v>
      </c>
      <c r="H26" s="1" t="s">
        <v>60</v>
      </c>
      <c r="I26" s="1">
        <v>-126.0</v>
      </c>
      <c r="J26" s="1">
        <v>-0.112266371681415</v>
      </c>
      <c r="K26" s="1" t="s">
        <v>61</v>
      </c>
      <c r="L26" s="1" t="s">
        <v>61</v>
      </c>
      <c r="M26" s="1" t="s">
        <v>62</v>
      </c>
      <c r="N26" s="1">
        <v>-107.0</v>
      </c>
      <c r="O26" s="1">
        <v>0.0378434782608695</v>
      </c>
      <c r="P26" s="1" t="s">
        <v>61</v>
      </c>
      <c r="Q26" s="1" t="s">
        <v>61</v>
      </c>
      <c r="R26" s="1">
        <f t="shared" si="1"/>
        <v>0.03784347826</v>
      </c>
      <c r="S26" s="1">
        <f t="shared" si="2"/>
        <v>-107</v>
      </c>
      <c r="T26" s="1">
        <f t="shared" si="3"/>
        <v>1.934579439</v>
      </c>
      <c r="U26" s="1">
        <f t="shared" si="4"/>
        <v>0</v>
      </c>
      <c r="V26" s="3">
        <f t="shared" si="5"/>
        <v>1</v>
      </c>
      <c r="W26" s="3" t="str">
        <f>IFERROR(__xludf.DUMMYFUNCTION("split(B26,"" "")"),"A.")</f>
        <v>A.</v>
      </c>
      <c r="X26" s="3" t="str">
        <f>IFERROR(__xludf.DUMMYFUNCTION("""COMPUTED_VALUE"""),"Richardson")</f>
        <v>Richardson</v>
      </c>
      <c r="Z26" s="3">
        <v>1.0</v>
      </c>
      <c r="AA26" s="3">
        <f t="shared" si="6"/>
        <v>1</v>
      </c>
      <c r="AB26" s="3">
        <f t="shared" si="7"/>
        <v>0</v>
      </c>
      <c r="AC26" s="3">
        <f t="shared" si="8"/>
        <v>0.9345794393</v>
      </c>
      <c r="AD26" s="3">
        <f t="shared" si="9"/>
        <v>-1</v>
      </c>
    </row>
    <row r="27">
      <c r="A27" s="1" t="s">
        <v>12</v>
      </c>
      <c r="B27" s="1" t="s">
        <v>363</v>
      </c>
      <c r="C27" s="1" t="s">
        <v>20</v>
      </c>
      <c r="D27" s="1" t="s">
        <v>93</v>
      </c>
      <c r="E27" s="1" t="s">
        <v>94</v>
      </c>
      <c r="F27" s="1" t="s">
        <v>59</v>
      </c>
      <c r="G27" s="1">
        <v>5.5</v>
      </c>
      <c r="H27" s="1" t="s">
        <v>60</v>
      </c>
      <c r="I27" s="1">
        <v>119.0</v>
      </c>
      <c r="J27" s="1">
        <v>0.0377246575342464</v>
      </c>
      <c r="K27" s="1" t="s">
        <v>61</v>
      </c>
      <c r="L27" s="1" t="s">
        <v>61</v>
      </c>
      <c r="M27" s="1" t="s">
        <v>62</v>
      </c>
      <c r="N27" s="1">
        <v>-157.0</v>
      </c>
      <c r="O27" s="1">
        <v>-0.105233852140077</v>
      </c>
      <c r="P27" s="1" t="s">
        <v>61</v>
      </c>
      <c r="Q27" s="1" t="s">
        <v>61</v>
      </c>
      <c r="R27" s="1">
        <f t="shared" si="1"/>
        <v>0.03772465753</v>
      </c>
      <c r="S27" s="1">
        <f t="shared" si="2"/>
        <v>119</v>
      </c>
      <c r="T27" s="1">
        <f t="shared" si="3"/>
        <v>2.19</v>
      </c>
      <c r="U27" s="1">
        <f t="shared" si="4"/>
        <v>1</v>
      </c>
      <c r="V27" s="3">
        <f t="shared" si="5"/>
        <v>1</v>
      </c>
      <c r="W27" s="3" t="str">
        <f>IFERROR(__xludf.DUMMYFUNCTION("split(B27,"" "")"),"E.")</f>
        <v>E.</v>
      </c>
      <c r="X27" s="3" t="str">
        <f>IFERROR(__xludf.DUMMYFUNCTION("""COMPUTED_VALUE"""),"Engram")</f>
        <v>Engram</v>
      </c>
      <c r="Z27" s="3">
        <v>1.0</v>
      </c>
      <c r="AA27" s="3">
        <f t="shared" si="6"/>
        <v>0</v>
      </c>
      <c r="AB27" s="3">
        <f t="shared" si="7"/>
        <v>0</v>
      </c>
      <c r="AC27" s="3">
        <f t="shared" si="8"/>
        <v>1.19</v>
      </c>
      <c r="AD27" s="3">
        <f t="shared" si="9"/>
        <v>-1</v>
      </c>
    </row>
    <row r="28">
      <c r="A28" s="1" t="s">
        <v>12</v>
      </c>
      <c r="B28" s="1" t="s">
        <v>368</v>
      </c>
      <c r="C28" s="1" t="s">
        <v>19</v>
      </c>
      <c r="D28" s="1" t="s">
        <v>196</v>
      </c>
      <c r="E28" s="1" t="s">
        <v>197</v>
      </c>
      <c r="F28" s="1" t="s">
        <v>198</v>
      </c>
      <c r="G28" s="1">
        <v>2.5</v>
      </c>
      <c r="H28" s="1" t="s">
        <v>60</v>
      </c>
      <c r="I28" s="1">
        <v>121.0</v>
      </c>
      <c r="J28" s="1">
        <v>-0.107896154726696</v>
      </c>
      <c r="K28" s="1" t="s">
        <v>61</v>
      </c>
      <c r="L28" s="1" t="s">
        <v>61</v>
      </c>
      <c r="M28" s="1" t="s">
        <v>62</v>
      </c>
      <c r="N28" s="1">
        <v>-162.0</v>
      </c>
      <c r="O28" s="1">
        <v>0.0371007548900764</v>
      </c>
      <c r="P28" s="1" t="s">
        <v>61</v>
      </c>
      <c r="Q28" s="1" t="s">
        <v>61</v>
      </c>
      <c r="R28" s="1">
        <f t="shared" si="1"/>
        <v>0.03710075489</v>
      </c>
      <c r="S28" s="1">
        <f t="shared" si="2"/>
        <v>-162</v>
      </c>
      <c r="T28" s="1">
        <f t="shared" si="3"/>
        <v>1.617283951</v>
      </c>
      <c r="U28" s="1">
        <f t="shared" si="4"/>
        <v>0</v>
      </c>
      <c r="V28" s="3">
        <f t="shared" si="5"/>
        <v>1</v>
      </c>
      <c r="W28" s="3" t="str">
        <f>IFERROR(__xludf.DUMMYFUNCTION("split(B28,"" "")"),"K.")</f>
        <v>K.</v>
      </c>
      <c r="X28" s="3" t="str">
        <f>IFERROR(__xludf.DUMMYFUNCTION("""COMPUTED_VALUE"""),"Williams")</f>
        <v>Williams</v>
      </c>
      <c r="Z28" s="3">
        <v>3.0</v>
      </c>
      <c r="AA28" s="3">
        <f t="shared" si="6"/>
        <v>1</v>
      </c>
      <c r="AB28" s="3">
        <f t="shared" si="7"/>
        <v>0</v>
      </c>
      <c r="AC28" s="3">
        <f t="shared" si="8"/>
        <v>0.6172839506</v>
      </c>
      <c r="AD28" s="3">
        <f t="shared" si="9"/>
        <v>-1</v>
      </c>
    </row>
    <row r="29">
      <c r="A29" s="1" t="s">
        <v>15</v>
      </c>
      <c r="B29" s="1" t="s">
        <v>405</v>
      </c>
      <c r="C29" s="1" t="s">
        <v>21</v>
      </c>
      <c r="D29" s="1" t="s">
        <v>135</v>
      </c>
      <c r="E29" s="1" t="s">
        <v>134</v>
      </c>
      <c r="F29" s="1" t="s">
        <v>84</v>
      </c>
      <c r="G29" s="1">
        <v>21.5</v>
      </c>
      <c r="H29" s="1" t="s">
        <v>60</v>
      </c>
      <c r="I29" s="1">
        <v>-105.0</v>
      </c>
      <c r="J29" s="1">
        <v>0.0368048780487805</v>
      </c>
      <c r="K29" s="1" t="s">
        <v>61</v>
      </c>
      <c r="L29" s="1" t="s">
        <v>61</v>
      </c>
      <c r="M29" s="1" t="s">
        <v>62</v>
      </c>
      <c r="N29" s="1">
        <v>-128.0</v>
      </c>
      <c r="O29" s="1">
        <v>-0.110403508771929</v>
      </c>
      <c r="P29" s="1" t="s">
        <v>61</v>
      </c>
      <c r="Q29" s="1" t="s">
        <v>61</v>
      </c>
      <c r="R29" s="1">
        <f t="shared" si="1"/>
        <v>0.03680487805</v>
      </c>
      <c r="S29" s="1">
        <f t="shared" si="2"/>
        <v>-105</v>
      </c>
      <c r="T29" s="1">
        <f t="shared" si="3"/>
        <v>1.952380952</v>
      </c>
      <c r="U29" s="1">
        <f t="shared" si="4"/>
        <v>1</v>
      </c>
      <c r="V29" s="3">
        <f t="shared" si="5"/>
        <v>1</v>
      </c>
      <c r="W29" s="3" t="str">
        <f>IFERROR(__xludf.DUMMYFUNCTION("split(B29,"" "")"),"J.")</f>
        <v>J.</v>
      </c>
      <c r="X29" s="3" t="str">
        <f>IFERROR(__xludf.DUMMYFUNCTION("""COMPUTED_VALUE"""),"Herbert")</f>
        <v>Herbert</v>
      </c>
      <c r="Z29" s="3">
        <v>17.0</v>
      </c>
      <c r="AA29" s="3">
        <f t="shared" si="6"/>
        <v>0</v>
      </c>
      <c r="AB29" s="3">
        <f t="shared" si="7"/>
        <v>0</v>
      </c>
      <c r="AC29" s="3">
        <f t="shared" si="8"/>
        <v>0.9523809524</v>
      </c>
      <c r="AD29" s="3">
        <f t="shared" si="9"/>
        <v>-1</v>
      </c>
    </row>
    <row r="30">
      <c r="A30" s="1" t="s">
        <v>11</v>
      </c>
      <c r="B30" s="1" t="s">
        <v>485</v>
      </c>
      <c r="C30" s="1" t="s">
        <v>19</v>
      </c>
      <c r="D30" s="1" t="s">
        <v>135</v>
      </c>
      <c r="E30" s="1" t="s">
        <v>134</v>
      </c>
      <c r="F30" s="1" t="s">
        <v>84</v>
      </c>
      <c r="G30" s="1">
        <v>8.5</v>
      </c>
      <c r="H30" s="1" t="s">
        <v>60</v>
      </c>
      <c r="I30" s="1">
        <v>-119.0</v>
      </c>
      <c r="J30" s="1">
        <v>0.0362696870199105</v>
      </c>
      <c r="K30" s="1" t="s">
        <v>61</v>
      </c>
      <c r="L30" s="1" t="s">
        <v>61</v>
      </c>
      <c r="M30" s="1" t="s">
        <v>62</v>
      </c>
      <c r="N30" s="1">
        <v>-111.0</v>
      </c>
      <c r="O30" s="1">
        <v>-0.105692019988957</v>
      </c>
      <c r="P30" s="1" t="s">
        <v>61</v>
      </c>
      <c r="Q30" s="1" t="s">
        <v>61</v>
      </c>
      <c r="R30" s="1">
        <f t="shared" si="1"/>
        <v>0.03626968702</v>
      </c>
      <c r="S30" s="1">
        <f t="shared" si="2"/>
        <v>-119</v>
      </c>
      <c r="T30" s="1">
        <f t="shared" si="3"/>
        <v>1.840336134</v>
      </c>
      <c r="U30" s="1">
        <f t="shared" si="4"/>
        <v>1</v>
      </c>
      <c r="V30" s="3">
        <f t="shared" si="5"/>
        <v>1</v>
      </c>
      <c r="W30" s="3" t="str">
        <f>IFERROR(__xludf.DUMMYFUNCTION("split(B30,"" "")"),"J.")</f>
        <v>J.</v>
      </c>
      <c r="X30" s="3" t="str">
        <f>IFERROR(__xludf.DUMMYFUNCTION("""COMPUTED_VALUE"""),"Dobbins")</f>
        <v>Dobbins</v>
      </c>
      <c r="Z30" s="3">
        <v>4.0</v>
      </c>
      <c r="AA30" s="3">
        <f t="shared" si="6"/>
        <v>0</v>
      </c>
      <c r="AB30" s="3">
        <f t="shared" si="7"/>
        <v>0</v>
      </c>
      <c r="AC30" s="3">
        <f t="shared" si="8"/>
        <v>0.8403361345</v>
      </c>
      <c r="AD30" s="3">
        <f t="shared" si="9"/>
        <v>-1</v>
      </c>
    </row>
    <row r="31">
      <c r="A31" s="1" t="s">
        <v>11</v>
      </c>
      <c r="B31" s="1" t="s">
        <v>354</v>
      </c>
      <c r="C31" s="1" t="s">
        <v>18</v>
      </c>
      <c r="D31" s="1" t="s">
        <v>147</v>
      </c>
      <c r="E31" s="1" t="s">
        <v>146</v>
      </c>
      <c r="F31" s="1" t="s">
        <v>59</v>
      </c>
      <c r="G31" s="1">
        <v>28.5</v>
      </c>
      <c r="H31" s="1" t="s">
        <v>60</v>
      </c>
      <c r="I31" s="1">
        <v>-118.0</v>
      </c>
      <c r="J31" s="1">
        <v>-0.107512994639449</v>
      </c>
      <c r="K31" s="1" t="s">
        <v>61</v>
      </c>
      <c r="L31" s="1" t="s">
        <v>61</v>
      </c>
      <c r="M31" s="1" t="s">
        <v>62</v>
      </c>
      <c r="N31" s="1">
        <v>-113.0</v>
      </c>
      <c r="O31" s="1">
        <v>0.0357792445985072</v>
      </c>
      <c r="P31" s="1" t="s">
        <v>61</v>
      </c>
      <c r="Q31" s="1" t="s">
        <v>61</v>
      </c>
      <c r="R31" s="1">
        <f t="shared" si="1"/>
        <v>0.0357792446</v>
      </c>
      <c r="S31" s="1">
        <f t="shared" si="2"/>
        <v>-113</v>
      </c>
      <c r="T31" s="1">
        <f t="shared" si="3"/>
        <v>1.884955752</v>
      </c>
      <c r="U31" s="1">
        <f t="shared" si="4"/>
        <v>0</v>
      </c>
      <c r="V31" s="3">
        <f t="shared" si="5"/>
        <v>1</v>
      </c>
      <c r="W31" s="3" t="str">
        <f>IFERROR(__xludf.DUMMYFUNCTION("split(B31,"" "")"),"W.")</f>
        <v>W.</v>
      </c>
      <c r="X31" s="3" t="str">
        <f>IFERROR(__xludf.DUMMYFUNCTION("""COMPUTED_VALUE"""),"Robinson")</f>
        <v>Robinson</v>
      </c>
      <c r="Z31" s="3">
        <v>44.0</v>
      </c>
      <c r="AA31" s="3">
        <f t="shared" si="6"/>
        <v>1</v>
      </c>
      <c r="AB31" s="3">
        <f t="shared" si="7"/>
        <v>0</v>
      </c>
      <c r="AC31" s="3">
        <f t="shared" si="8"/>
        <v>0.8849557522</v>
      </c>
      <c r="AD31" s="3">
        <f t="shared" si="9"/>
        <v>-1</v>
      </c>
    </row>
    <row r="32">
      <c r="A32" s="1" t="s">
        <v>10</v>
      </c>
      <c r="B32" s="1" t="s">
        <v>187</v>
      </c>
      <c r="C32" s="1" t="s">
        <v>19</v>
      </c>
      <c r="D32" s="1" t="s">
        <v>157</v>
      </c>
      <c r="E32" s="1" t="s">
        <v>156</v>
      </c>
      <c r="F32" s="1" t="s">
        <v>158</v>
      </c>
      <c r="G32" s="1">
        <v>61.5</v>
      </c>
      <c r="H32" s="1" t="s">
        <v>60</v>
      </c>
      <c r="I32" s="1">
        <v>-115.0</v>
      </c>
      <c r="J32" s="6">
        <v>-0.0979173891868339</v>
      </c>
      <c r="K32" s="1" t="s">
        <v>61</v>
      </c>
      <c r="L32" s="1" t="s">
        <v>61</v>
      </c>
      <c r="M32" s="1" t="s">
        <v>62</v>
      </c>
      <c r="N32" s="1">
        <v>-112.0</v>
      </c>
      <c r="O32" s="6">
        <v>0.034749267474298</v>
      </c>
      <c r="P32" s="1" t="s">
        <v>61</v>
      </c>
      <c r="Q32" s="1" t="s">
        <v>61</v>
      </c>
      <c r="R32" s="6">
        <f t="shared" si="1"/>
        <v>0.03474926747</v>
      </c>
      <c r="S32" s="1">
        <f t="shared" si="2"/>
        <v>-112</v>
      </c>
      <c r="T32" s="1">
        <f t="shared" si="3"/>
        <v>1.892857143</v>
      </c>
      <c r="U32" s="1">
        <f t="shared" si="4"/>
        <v>0</v>
      </c>
      <c r="V32" s="3">
        <f t="shared" si="5"/>
        <v>1</v>
      </c>
      <c r="W32" s="3" t="str">
        <f>IFERROR(__xludf.DUMMYFUNCTION("split(B32,"" "")"),"J.")</f>
        <v>J.</v>
      </c>
      <c r="X32" s="3" t="str">
        <f>IFERROR(__xludf.DUMMYFUNCTION("""COMPUTED_VALUE"""),"Jacobs")</f>
        <v>Jacobs</v>
      </c>
      <c r="Z32" s="3">
        <v>84.0</v>
      </c>
      <c r="AA32" s="3">
        <f t="shared" si="6"/>
        <v>1</v>
      </c>
      <c r="AB32" s="3">
        <f t="shared" si="7"/>
        <v>0</v>
      </c>
      <c r="AC32" s="3">
        <f t="shared" si="8"/>
        <v>0.8928571429</v>
      </c>
      <c r="AD32" s="3">
        <f t="shared" si="9"/>
        <v>-1</v>
      </c>
    </row>
    <row r="33">
      <c r="A33" s="1" t="s">
        <v>11</v>
      </c>
      <c r="B33" s="1" t="s">
        <v>486</v>
      </c>
      <c r="C33" s="1" t="s">
        <v>18</v>
      </c>
      <c r="D33" s="1" t="s">
        <v>134</v>
      </c>
      <c r="E33" s="1" t="s">
        <v>135</v>
      </c>
      <c r="F33" s="1" t="s">
        <v>84</v>
      </c>
      <c r="G33" s="1">
        <v>21.5</v>
      </c>
      <c r="H33" s="1" t="s">
        <v>60</v>
      </c>
      <c r="I33" s="1">
        <v>-115.0</v>
      </c>
      <c r="J33" s="1">
        <v>-0.103683322758548</v>
      </c>
      <c r="K33" s="1" t="s">
        <v>61</v>
      </c>
      <c r="L33" s="1" t="s">
        <v>61</v>
      </c>
      <c r="M33" s="1" t="s">
        <v>62</v>
      </c>
      <c r="N33" s="1">
        <v>-115.0</v>
      </c>
      <c r="O33" s="1">
        <v>0.0339308211723311</v>
      </c>
      <c r="P33" s="1" t="s">
        <v>61</v>
      </c>
      <c r="Q33" s="1" t="s">
        <v>61</v>
      </c>
      <c r="R33" s="1">
        <f t="shared" si="1"/>
        <v>0.03393082117</v>
      </c>
      <c r="S33" s="1">
        <f t="shared" si="2"/>
        <v>-115</v>
      </c>
      <c r="T33" s="1">
        <f t="shared" si="3"/>
        <v>1.869565217</v>
      </c>
      <c r="U33" s="1">
        <f t="shared" si="4"/>
        <v>0</v>
      </c>
      <c r="V33" s="3">
        <f t="shared" si="5"/>
        <v>1</v>
      </c>
      <c r="W33" s="3" t="str">
        <f>IFERROR(__xludf.DUMMYFUNCTION("split(B33,"" "")"),"T.")</f>
        <v>T.</v>
      </c>
      <c r="X33" s="3" t="str">
        <f>IFERROR(__xludf.DUMMYFUNCTION("""COMPUTED_VALUE"""),"Tucker")</f>
        <v>Tucker</v>
      </c>
      <c r="Z33" s="3">
        <v>22.0</v>
      </c>
      <c r="AA33" s="3">
        <f t="shared" si="6"/>
        <v>1</v>
      </c>
      <c r="AB33" s="3">
        <f t="shared" si="7"/>
        <v>0</v>
      </c>
      <c r="AC33" s="3">
        <f t="shared" si="8"/>
        <v>0.8695652174</v>
      </c>
      <c r="AD33" s="3">
        <f t="shared" si="9"/>
        <v>-1</v>
      </c>
    </row>
    <row r="34">
      <c r="A34" s="1" t="s">
        <v>14</v>
      </c>
      <c r="B34" s="1" t="s">
        <v>260</v>
      </c>
      <c r="C34" s="1" t="s">
        <v>21</v>
      </c>
      <c r="D34" s="1" t="s">
        <v>147</v>
      </c>
      <c r="E34" s="1" t="s">
        <v>146</v>
      </c>
      <c r="F34" s="1" t="s">
        <v>59</v>
      </c>
      <c r="G34" s="1">
        <v>1.5</v>
      </c>
      <c r="H34" s="1" t="s">
        <v>60</v>
      </c>
      <c r="I34" s="1">
        <v>177.0</v>
      </c>
      <c r="J34" s="1">
        <v>0.0335891696750902</v>
      </c>
      <c r="K34" s="1" t="s">
        <v>61</v>
      </c>
      <c r="L34" s="1" t="s">
        <v>61</v>
      </c>
      <c r="M34" s="1" t="s">
        <v>62</v>
      </c>
      <c r="N34" s="1">
        <v>-241.0</v>
      </c>
      <c r="O34" s="1">
        <v>-0.10134486803519</v>
      </c>
      <c r="P34" s="1" t="s">
        <v>61</v>
      </c>
      <c r="Q34" s="1" t="s">
        <v>61</v>
      </c>
      <c r="R34" s="1">
        <f t="shared" si="1"/>
        <v>0.03358916968</v>
      </c>
      <c r="S34" s="1">
        <f t="shared" si="2"/>
        <v>177</v>
      </c>
      <c r="T34" s="1">
        <f t="shared" si="3"/>
        <v>2.77</v>
      </c>
      <c r="U34" s="1">
        <f t="shared" si="4"/>
        <v>1</v>
      </c>
      <c r="V34" s="3">
        <f t="shared" si="5"/>
        <v>1</v>
      </c>
      <c r="W34" s="3" t="str">
        <f>IFERROR(__xludf.DUMMYFUNCTION("split(B34,"" "")"),"D.")</f>
        <v>D.</v>
      </c>
      <c r="X34" s="3" t="str">
        <f>IFERROR(__xludf.DUMMYFUNCTION("""COMPUTED_VALUE"""),"Jones")</f>
        <v>Jones</v>
      </c>
      <c r="Z34" s="3">
        <v>0.0</v>
      </c>
      <c r="AA34" s="3">
        <f t="shared" si="6"/>
        <v>0</v>
      </c>
      <c r="AB34" s="3">
        <f t="shared" si="7"/>
        <v>0</v>
      </c>
      <c r="AC34" s="3">
        <f t="shared" si="8"/>
        <v>1.77</v>
      </c>
      <c r="AD34" s="3">
        <f t="shared" si="9"/>
        <v>-1</v>
      </c>
    </row>
    <row r="35">
      <c r="A35" s="1" t="s">
        <v>11</v>
      </c>
      <c r="B35" s="1" t="s">
        <v>487</v>
      </c>
      <c r="C35" s="1" t="s">
        <v>18</v>
      </c>
      <c r="D35" s="1" t="s">
        <v>157</v>
      </c>
      <c r="E35" s="1" t="s">
        <v>156</v>
      </c>
      <c r="F35" s="1" t="s">
        <v>158</v>
      </c>
      <c r="G35" s="1">
        <v>41.5</v>
      </c>
      <c r="H35" s="1" t="s">
        <v>60</v>
      </c>
      <c r="I35" s="1">
        <v>-116.0</v>
      </c>
      <c r="J35" s="6">
        <v>-0.0942328683779629</v>
      </c>
      <c r="K35" s="1" t="s">
        <v>61</v>
      </c>
      <c r="L35" s="1" t="s">
        <v>61</v>
      </c>
      <c r="M35" s="1" t="s">
        <v>62</v>
      </c>
      <c r="N35" s="1">
        <v>-110.0</v>
      </c>
      <c r="O35" s="6">
        <v>0.0333973268906665</v>
      </c>
      <c r="P35" s="1" t="s">
        <v>61</v>
      </c>
      <c r="Q35" s="1" t="s">
        <v>61</v>
      </c>
      <c r="R35" s="6">
        <f t="shared" si="1"/>
        <v>0.03339732689</v>
      </c>
      <c r="S35" s="1">
        <f t="shared" si="2"/>
        <v>-110</v>
      </c>
      <c r="T35" s="1">
        <f t="shared" si="3"/>
        <v>1.909090909</v>
      </c>
      <c r="U35" s="1">
        <f t="shared" si="4"/>
        <v>0</v>
      </c>
      <c r="V35" s="3">
        <f t="shared" si="5"/>
        <v>1</v>
      </c>
      <c r="W35" s="3" t="str">
        <f>IFERROR(__xludf.DUMMYFUNCTION("split(B35,"" "")"),"J.")</f>
        <v>J.</v>
      </c>
      <c r="X35" s="3" t="str">
        <f>IFERROR(__xludf.DUMMYFUNCTION("""COMPUTED_VALUE"""),"Reed")</f>
        <v>Reed</v>
      </c>
      <c r="Z35" s="3">
        <v>138.0</v>
      </c>
      <c r="AA35" s="3">
        <f t="shared" si="6"/>
        <v>1</v>
      </c>
      <c r="AB35" s="3">
        <f t="shared" si="7"/>
        <v>0</v>
      </c>
      <c r="AC35" s="3">
        <f t="shared" si="8"/>
        <v>0.9090909091</v>
      </c>
      <c r="AD35" s="3">
        <f t="shared" si="9"/>
        <v>-1</v>
      </c>
    </row>
    <row r="36">
      <c r="A36" s="1" t="s">
        <v>17</v>
      </c>
      <c r="B36" s="1" t="s">
        <v>145</v>
      </c>
      <c r="C36" s="1" t="s">
        <v>21</v>
      </c>
      <c r="D36" s="1" t="s">
        <v>146</v>
      </c>
      <c r="E36" s="1" t="s">
        <v>147</v>
      </c>
      <c r="F36" s="1" t="s">
        <v>59</v>
      </c>
      <c r="G36" s="1">
        <v>0.5</v>
      </c>
      <c r="H36" s="1" t="s">
        <v>60</v>
      </c>
      <c r="I36" s="1">
        <v>-136.0</v>
      </c>
      <c r="J36" s="1">
        <v>-0.109171186440678</v>
      </c>
      <c r="K36" s="1" t="s">
        <v>61</v>
      </c>
      <c r="L36" s="1" t="s">
        <v>61</v>
      </c>
      <c r="M36" s="1" t="s">
        <v>62</v>
      </c>
      <c r="N36" s="1">
        <v>100.0</v>
      </c>
      <c r="O36" s="1">
        <v>0.0329</v>
      </c>
      <c r="P36" s="1" t="s">
        <v>61</v>
      </c>
      <c r="Q36" s="1" t="s">
        <v>61</v>
      </c>
      <c r="R36" s="1">
        <f t="shared" si="1"/>
        <v>0.0329</v>
      </c>
      <c r="S36" s="1">
        <f t="shared" si="2"/>
        <v>100</v>
      </c>
      <c r="T36" s="1">
        <f t="shared" si="3"/>
        <v>2</v>
      </c>
      <c r="U36" s="1">
        <f t="shared" si="4"/>
        <v>0</v>
      </c>
      <c r="V36" s="3">
        <f t="shared" si="5"/>
        <v>1</v>
      </c>
      <c r="W36" s="3" t="str">
        <f>IFERROR(__xludf.DUMMYFUNCTION("split(B36,"" "")"),"S.")</f>
        <v>S.</v>
      </c>
      <c r="X36" s="3" t="str">
        <f>IFERROR(__xludf.DUMMYFUNCTION("""COMPUTED_VALUE"""),"Darnold")</f>
        <v>Darnold</v>
      </c>
      <c r="Z36" s="3">
        <v>1.0</v>
      </c>
      <c r="AA36" s="3">
        <f t="shared" si="6"/>
        <v>1</v>
      </c>
      <c r="AB36" s="3">
        <f t="shared" si="7"/>
        <v>0</v>
      </c>
      <c r="AC36" s="3">
        <f t="shared" si="8"/>
        <v>1</v>
      </c>
      <c r="AD36" s="3">
        <f t="shared" si="9"/>
        <v>-1</v>
      </c>
    </row>
    <row r="37">
      <c r="A37" s="1" t="s">
        <v>11</v>
      </c>
      <c r="B37" s="1" t="s">
        <v>488</v>
      </c>
      <c r="C37" s="1" t="s">
        <v>20</v>
      </c>
      <c r="D37" s="1" t="s">
        <v>114</v>
      </c>
      <c r="E37" s="1" t="s">
        <v>113</v>
      </c>
      <c r="F37" s="1" t="s">
        <v>90</v>
      </c>
      <c r="G37" s="1">
        <v>26.5</v>
      </c>
      <c r="H37" s="1" t="s">
        <v>60</v>
      </c>
      <c r="I37" s="1">
        <v>-115.0</v>
      </c>
      <c r="J37" s="1">
        <v>-0.101785866420837</v>
      </c>
      <c r="K37" s="1" t="s">
        <v>61</v>
      </c>
      <c r="L37" s="1" t="s">
        <v>61</v>
      </c>
      <c r="M37" s="1" t="s">
        <v>62</v>
      </c>
      <c r="N37" s="1">
        <v>-115.0</v>
      </c>
      <c r="O37" s="1">
        <v>0.0320637463839628</v>
      </c>
      <c r="P37" s="1" t="s">
        <v>61</v>
      </c>
      <c r="Q37" s="1" t="s">
        <v>61</v>
      </c>
      <c r="R37" s="1">
        <f t="shared" si="1"/>
        <v>0.03206374638</v>
      </c>
      <c r="S37" s="1">
        <f t="shared" si="2"/>
        <v>-115</v>
      </c>
      <c r="T37" s="1">
        <f t="shared" si="3"/>
        <v>1.869565217</v>
      </c>
      <c r="U37" s="1">
        <f t="shared" si="4"/>
        <v>0</v>
      </c>
      <c r="V37" s="3">
        <f t="shared" si="5"/>
        <v>1</v>
      </c>
      <c r="W37" s="3" t="str">
        <f>IFERROR(__xludf.DUMMYFUNCTION("split(B37,"" "")"),"Z.")</f>
        <v>Z.</v>
      </c>
      <c r="X37" s="3" t="str">
        <f>IFERROR(__xludf.DUMMYFUNCTION("""COMPUTED_VALUE"""),"Ertz")</f>
        <v>Ertz</v>
      </c>
      <c r="Z37" s="3">
        <v>28.0</v>
      </c>
      <c r="AA37" s="3">
        <f t="shared" si="6"/>
        <v>1</v>
      </c>
      <c r="AB37" s="3">
        <f t="shared" si="7"/>
        <v>0</v>
      </c>
      <c r="AC37" s="3">
        <f t="shared" si="8"/>
        <v>0.8695652174</v>
      </c>
      <c r="AD37" s="3">
        <f t="shared" si="9"/>
        <v>-1</v>
      </c>
    </row>
    <row r="38">
      <c r="A38" s="1" t="s">
        <v>12</v>
      </c>
      <c r="B38" s="1" t="s">
        <v>489</v>
      </c>
      <c r="C38" s="1" t="s">
        <v>20</v>
      </c>
      <c r="D38" s="1" t="s">
        <v>110</v>
      </c>
      <c r="E38" s="1" t="s">
        <v>109</v>
      </c>
      <c r="F38" s="1" t="s">
        <v>59</v>
      </c>
      <c r="G38" s="1">
        <v>3.5</v>
      </c>
      <c r="H38" s="1" t="s">
        <v>60</v>
      </c>
      <c r="I38" s="1">
        <v>122.0</v>
      </c>
      <c r="J38" s="1">
        <v>-0.0975054054054054</v>
      </c>
      <c r="K38" s="1" t="s">
        <v>61</v>
      </c>
      <c r="L38" s="1" t="s">
        <v>61</v>
      </c>
      <c r="M38" s="1" t="s">
        <v>62</v>
      </c>
      <c r="N38" s="1">
        <v>-160.0</v>
      </c>
      <c r="O38" s="1">
        <v>0.031676923076923</v>
      </c>
      <c r="P38" s="1" t="s">
        <v>61</v>
      </c>
      <c r="Q38" s="1" t="s">
        <v>61</v>
      </c>
      <c r="R38" s="1">
        <f t="shared" si="1"/>
        <v>0.03167692308</v>
      </c>
      <c r="S38" s="1">
        <f t="shared" si="2"/>
        <v>-160</v>
      </c>
      <c r="T38" s="1">
        <f t="shared" si="3"/>
        <v>1.625</v>
      </c>
      <c r="U38" s="1">
        <f t="shared" si="4"/>
        <v>0</v>
      </c>
      <c r="V38" s="3">
        <f t="shared" si="5"/>
        <v>1</v>
      </c>
      <c r="W38" s="3" t="str">
        <f>IFERROR(__xludf.DUMMYFUNCTION("split(B38,"" "")"),"P.")</f>
        <v>P.</v>
      </c>
      <c r="X38" s="3" t="str">
        <f>IFERROR(__xludf.DUMMYFUNCTION("""COMPUTED_VALUE"""),"Freiermuth")</f>
        <v>Freiermuth</v>
      </c>
      <c r="Z38" s="3">
        <v>4.0</v>
      </c>
      <c r="AA38" s="3">
        <f t="shared" si="6"/>
        <v>1</v>
      </c>
      <c r="AB38" s="3">
        <f t="shared" si="7"/>
        <v>0</v>
      </c>
      <c r="AC38" s="3">
        <f t="shared" si="8"/>
        <v>0.625</v>
      </c>
      <c r="AD38" s="3">
        <f t="shared" si="9"/>
        <v>-1</v>
      </c>
    </row>
    <row r="39">
      <c r="A39" s="1" t="s">
        <v>9</v>
      </c>
      <c r="B39" s="1" t="s">
        <v>245</v>
      </c>
      <c r="C39" s="1" t="s">
        <v>18</v>
      </c>
      <c r="D39" s="1" t="s">
        <v>157</v>
      </c>
      <c r="E39" s="1" t="s">
        <v>156</v>
      </c>
      <c r="F39" s="1" t="s">
        <v>158</v>
      </c>
      <c r="G39" s="1">
        <v>30.0</v>
      </c>
      <c r="H39" s="1" t="s">
        <v>60</v>
      </c>
      <c r="I39" s="1">
        <v>-119.0</v>
      </c>
      <c r="J39" s="6">
        <v>0.0308949369330474</v>
      </c>
      <c r="K39" s="1" t="s">
        <v>61</v>
      </c>
      <c r="L39" s="1" t="s">
        <v>61</v>
      </c>
      <c r="M39" s="1" t="s">
        <v>62</v>
      </c>
      <c r="N39" s="1">
        <v>-114.0</v>
      </c>
      <c r="O39" s="6">
        <v>-0.106080037171516</v>
      </c>
      <c r="P39" s="1" t="s">
        <v>61</v>
      </c>
      <c r="Q39" s="1" t="s">
        <v>61</v>
      </c>
      <c r="R39" s="6">
        <f t="shared" si="1"/>
        <v>0.03089493693</v>
      </c>
      <c r="S39" s="1">
        <f t="shared" si="2"/>
        <v>-119</v>
      </c>
      <c r="T39" s="1">
        <f t="shared" si="3"/>
        <v>1.840336134</v>
      </c>
      <c r="U39" s="1">
        <f t="shared" si="4"/>
        <v>1</v>
      </c>
      <c r="V39" s="3">
        <f t="shared" si="5"/>
        <v>1</v>
      </c>
      <c r="W39" s="3" t="str">
        <f>IFERROR(__xludf.DUMMYFUNCTION("split(B39,"" "")"),"D.")</f>
        <v>D.</v>
      </c>
      <c r="X39" s="3" t="str">
        <f>IFERROR(__xludf.DUMMYFUNCTION("""COMPUTED_VALUE"""),"Wicks")</f>
        <v>Wicks</v>
      </c>
      <c r="Z39" s="3">
        <v>0.0</v>
      </c>
      <c r="AA39" s="3">
        <f t="shared" si="6"/>
        <v>0</v>
      </c>
      <c r="AB39" s="3">
        <f t="shared" si="7"/>
        <v>0</v>
      </c>
      <c r="AC39" s="3">
        <f t="shared" si="8"/>
        <v>0.8403361345</v>
      </c>
      <c r="AD39" s="3">
        <f t="shared" si="9"/>
        <v>-1</v>
      </c>
    </row>
    <row r="40">
      <c r="A40" s="1" t="s">
        <v>12</v>
      </c>
      <c r="B40" s="1" t="s">
        <v>349</v>
      </c>
      <c r="C40" s="1" t="s">
        <v>20</v>
      </c>
      <c r="D40" s="1" t="s">
        <v>105</v>
      </c>
      <c r="E40" s="1" t="s">
        <v>104</v>
      </c>
      <c r="F40" s="1" t="s">
        <v>59</v>
      </c>
      <c r="G40" s="1">
        <v>5.5</v>
      </c>
      <c r="H40" s="1" t="s">
        <v>60</v>
      </c>
      <c r="I40" s="1">
        <v>-101.0</v>
      </c>
      <c r="J40" s="1">
        <v>0.0301626865671641</v>
      </c>
      <c r="K40" s="1" t="s">
        <v>61</v>
      </c>
      <c r="L40" s="1" t="s">
        <v>61</v>
      </c>
      <c r="M40" s="1" t="s">
        <v>62</v>
      </c>
      <c r="N40" s="1">
        <v>-132.0</v>
      </c>
      <c r="O40" s="1">
        <v>-0.101608620689655</v>
      </c>
      <c r="P40" s="1" t="s">
        <v>61</v>
      </c>
      <c r="Q40" s="1" t="s">
        <v>61</v>
      </c>
      <c r="R40" s="1">
        <f t="shared" si="1"/>
        <v>0.03016268657</v>
      </c>
      <c r="S40" s="1">
        <f t="shared" si="2"/>
        <v>-101</v>
      </c>
      <c r="T40" s="1">
        <f t="shared" si="3"/>
        <v>1.99009901</v>
      </c>
      <c r="U40" s="1">
        <f t="shared" si="4"/>
        <v>1</v>
      </c>
      <c r="V40" s="3">
        <f t="shared" si="5"/>
        <v>1</v>
      </c>
      <c r="W40" s="3" t="str">
        <f>IFERROR(__xludf.DUMMYFUNCTION("split(B40,"" "")"),"T.")</f>
        <v>T.</v>
      </c>
      <c r="X40" s="3" t="str">
        <f>IFERROR(__xludf.DUMMYFUNCTION("""COMPUTED_VALUE"""),"McBride")</f>
        <v>McBride</v>
      </c>
      <c r="Z40" s="3">
        <v>5.0</v>
      </c>
      <c r="AA40" s="3">
        <f t="shared" si="6"/>
        <v>0</v>
      </c>
      <c r="AB40" s="3">
        <f t="shared" si="7"/>
        <v>0</v>
      </c>
      <c r="AC40" s="3">
        <f t="shared" si="8"/>
        <v>0.9900990099</v>
      </c>
      <c r="AD40" s="3">
        <f t="shared" si="9"/>
        <v>-1</v>
      </c>
    </row>
    <row r="41">
      <c r="A41" s="1" t="s">
        <v>11</v>
      </c>
      <c r="B41" s="1" t="s">
        <v>435</v>
      </c>
      <c r="C41" s="1" t="s">
        <v>20</v>
      </c>
      <c r="D41" s="1" t="s">
        <v>89</v>
      </c>
      <c r="E41" s="1" t="s">
        <v>88</v>
      </c>
      <c r="F41" s="1" t="s">
        <v>90</v>
      </c>
      <c r="G41" s="1">
        <v>43.5</v>
      </c>
      <c r="H41" s="1" t="s">
        <v>60</v>
      </c>
      <c r="I41" s="1">
        <v>-110.0</v>
      </c>
      <c r="J41" s="1">
        <v>-0.0986687956742856</v>
      </c>
      <c r="K41" s="1" t="s">
        <v>61</v>
      </c>
      <c r="L41" s="1" t="s">
        <v>61</v>
      </c>
      <c r="M41" s="1" t="s">
        <v>62</v>
      </c>
      <c r="N41" s="1">
        <v>-120.0</v>
      </c>
      <c r="O41" s="1">
        <v>0.0293826767658181</v>
      </c>
      <c r="P41" s="1" t="s">
        <v>61</v>
      </c>
      <c r="Q41" s="1" t="s">
        <v>61</v>
      </c>
      <c r="R41" s="1">
        <f t="shared" si="1"/>
        <v>0.02938267677</v>
      </c>
      <c r="S41" s="1">
        <f t="shared" si="2"/>
        <v>-120</v>
      </c>
      <c r="T41" s="1">
        <f t="shared" si="3"/>
        <v>1.833333333</v>
      </c>
      <c r="U41" s="1">
        <f t="shared" si="4"/>
        <v>0</v>
      </c>
      <c r="V41" s="3">
        <f t="shared" si="5"/>
        <v>1</v>
      </c>
      <c r="W41" s="3" t="str">
        <f>IFERROR(__xludf.DUMMYFUNCTION("split(B41,"" "")"),"D.")</f>
        <v>D.</v>
      </c>
      <c r="X41" s="3" t="str">
        <f>IFERROR(__xludf.DUMMYFUNCTION("""COMPUTED_VALUE"""),"Njoku")</f>
        <v>Njoku</v>
      </c>
      <c r="Z41" s="3">
        <v>44.0</v>
      </c>
      <c r="AA41" s="3">
        <f t="shared" si="6"/>
        <v>1</v>
      </c>
      <c r="AB41" s="3">
        <f t="shared" si="7"/>
        <v>0</v>
      </c>
      <c r="AC41" s="3">
        <f t="shared" si="8"/>
        <v>0.8333333333</v>
      </c>
      <c r="AD41" s="3">
        <f t="shared" si="9"/>
        <v>-1</v>
      </c>
    </row>
    <row r="42">
      <c r="A42" s="1" t="s">
        <v>10</v>
      </c>
      <c r="B42" s="1" t="s">
        <v>328</v>
      </c>
      <c r="C42" s="1" t="s">
        <v>21</v>
      </c>
      <c r="D42" s="1" t="s">
        <v>109</v>
      </c>
      <c r="E42" s="1" t="s">
        <v>110</v>
      </c>
      <c r="F42" s="1" t="s">
        <v>59</v>
      </c>
      <c r="G42" s="1">
        <v>2.5</v>
      </c>
      <c r="H42" s="1" t="s">
        <v>60</v>
      </c>
      <c r="I42" s="1">
        <v>-123.0</v>
      </c>
      <c r="J42" s="1">
        <v>0.0292821166390377</v>
      </c>
      <c r="K42" s="1" t="s">
        <v>61</v>
      </c>
      <c r="L42" s="1" t="s">
        <v>61</v>
      </c>
      <c r="M42" s="1" t="s">
        <v>62</v>
      </c>
      <c r="N42" s="1">
        <v>-108.0</v>
      </c>
      <c r="O42" s="1">
        <v>-0.100074754669939</v>
      </c>
      <c r="P42" s="1" t="s">
        <v>61</v>
      </c>
      <c r="Q42" s="1" t="s">
        <v>61</v>
      </c>
      <c r="R42" s="1">
        <f t="shared" si="1"/>
        <v>0.02928211664</v>
      </c>
      <c r="S42" s="1">
        <f t="shared" si="2"/>
        <v>-123</v>
      </c>
      <c r="T42" s="1">
        <f t="shared" si="3"/>
        <v>1.81300813</v>
      </c>
      <c r="U42" s="1">
        <f t="shared" si="4"/>
        <v>1</v>
      </c>
      <c r="V42" s="3">
        <f t="shared" si="5"/>
        <v>1</v>
      </c>
      <c r="W42" s="3" t="str">
        <f>IFERROR(__xludf.DUMMYFUNCTION("split(B42,"" "")"),"K.")</f>
        <v>K.</v>
      </c>
      <c r="X42" s="3" t="str">
        <f>IFERROR(__xludf.DUMMYFUNCTION("""COMPUTED_VALUE"""),"Cousins")</f>
        <v>Cousins</v>
      </c>
      <c r="Z42" s="3">
        <v>0.0</v>
      </c>
      <c r="AA42" s="3">
        <f t="shared" si="6"/>
        <v>0</v>
      </c>
      <c r="AB42" s="3">
        <f t="shared" si="7"/>
        <v>0</v>
      </c>
      <c r="AC42" s="3">
        <f t="shared" si="8"/>
        <v>0.8130081301</v>
      </c>
      <c r="AD42" s="3">
        <f t="shared" si="9"/>
        <v>-1</v>
      </c>
    </row>
    <row r="43">
      <c r="A43" s="1" t="s">
        <v>11</v>
      </c>
      <c r="B43" s="1" t="s">
        <v>482</v>
      </c>
      <c r="C43" s="1" t="s">
        <v>18</v>
      </c>
      <c r="D43" s="1" t="s">
        <v>157</v>
      </c>
      <c r="E43" s="1" t="s">
        <v>156</v>
      </c>
      <c r="F43" s="1" t="s">
        <v>158</v>
      </c>
      <c r="G43" s="1">
        <v>39.5</v>
      </c>
      <c r="H43" s="1" t="s">
        <v>60</v>
      </c>
      <c r="I43" s="1">
        <v>-112.0</v>
      </c>
      <c r="J43" s="6">
        <v>-0.0878525085329245</v>
      </c>
      <c r="K43" s="1" t="s">
        <v>61</v>
      </c>
      <c r="L43" s="1" t="s">
        <v>61</v>
      </c>
      <c r="M43" s="1" t="s">
        <v>62</v>
      </c>
      <c r="N43" s="1">
        <v>-113.0</v>
      </c>
      <c r="O43" s="6">
        <v>0.0290150699138264</v>
      </c>
      <c r="P43" s="1" t="s">
        <v>61</v>
      </c>
      <c r="Q43" s="1" t="s">
        <v>61</v>
      </c>
      <c r="R43" s="6">
        <f t="shared" si="1"/>
        <v>0.02901506991</v>
      </c>
      <c r="S43" s="1">
        <f t="shared" si="2"/>
        <v>-113</v>
      </c>
      <c r="T43" s="1">
        <f t="shared" si="3"/>
        <v>1.884955752</v>
      </c>
      <c r="U43" s="1">
        <f t="shared" si="4"/>
        <v>0</v>
      </c>
      <c r="V43" s="3">
        <f t="shared" si="5"/>
        <v>1</v>
      </c>
      <c r="W43" s="3" t="str">
        <f>IFERROR(__xludf.DUMMYFUNCTION("split(B43,"" "")"),"R.")</f>
        <v>R.</v>
      </c>
      <c r="X43" s="3" t="str">
        <f>IFERROR(__xludf.DUMMYFUNCTION("""COMPUTED_VALUE"""),"Doubs")</f>
        <v>Doubs</v>
      </c>
      <c r="Z43" s="3">
        <v>50.0</v>
      </c>
      <c r="AA43" s="3">
        <f t="shared" si="6"/>
        <v>1</v>
      </c>
      <c r="AB43" s="3">
        <f t="shared" si="7"/>
        <v>0</v>
      </c>
      <c r="AC43" s="3">
        <f t="shared" si="8"/>
        <v>0.8849557522</v>
      </c>
      <c r="AD43" s="3">
        <f t="shared" si="9"/>
        <v>-1</v>
      </c>
    </row>
    <row r="44">
      <c r="A44" s="1" t="s">
        <v>12</v>
      </c>
      <c r="B44" s="1" t="s">
        <v>452</v>
      </c>
      <c r="C44" s="1" t="s">
        <v>18</v>
      </c>
      <c r="D44" s="1" t="s">
        <v>105</v>
      </c>
      <c r="E44" s="1" t="s">
        <v>104</v>
      </c>
      <c r="F44" s="1" t="s">
        <v>59</v>
      </c>
      <c r="G44" s="1">
        <v>5.5</v>
      </c>
      <c r="H44" s="1" t="s">
        <v>60</v>
      </c>
      <c r="I44" s="1">
        <v>107.0</v>
      </c>
      <c r="J44" s="1">
        <v>0.0267082125603865</v>
      </c>
      <c r="K44" s="1" t="s">
        <v>61</v>
      </c>
      <c r="L44" s="1" t="s">
        <v>61</v>
      </c>
      <c r="M44" s="1" t="s">
        <v>62</v>
      </c>
      <c r="N44" s="1">
        <v>-141.0</v>
      </c>
      <c r="O44" s="1">
        <v>-0.0948622406639003</v>
      </c>
      <c r="P44" s="1" t="s">
        <v>61</v>
      </c>
      <c r="Q44" s="1" t="s">
        <v>61</v>
      </c>
      <c r="R44" s="1">
        <f t="shared" si="1"/>
        <v>0.02670821256</v>
      </c>
      <c r="S44" s="1">
        <f t="shared" si="2"/>
        <v>107</v>
      </c>
      <c r="T44" s="1">
        <f t="shared" si="3"/>
        <v>2.07</v>
      </c>
      <c r="U44" s="1">
        <f t="shared" si="4"/>
        <v>1</v>
      </c>
      <c r="V44" s="3">
        <f t="shared" si="5"/>
        <v>1</v>
      </c>
      <c r="W44" s="3" t="str">
        <f>IFERROR(__xludf.DUMMYFUNCTION("split(B44,"" "")"),"M.")</f>
        <v>M.</v>
      </c>
      <c r="X44" s="3" t="str">
        <f>IFERROR(__xludf.DUMMYFUNCTION("""COMPUTED_VALUE"""),"Harrison")</f>
        <v>Harrison</v>
      </c>
      <c r="Y44" s="3" t="str">
        <f>IFERROR(__xludf.DUMMYFUNCTION("""COMPUTED_VALUE"""),"Jr.")</f>
        <v>Jr.</v>
      </c>
      <c r="Z44" s="3">
        <v>1.0</v>
      </c>
      <c r="AA44" s="3">
        <f t="shared" si="6"/>
        <v>0</v>
      </c>
      <c r="AB44" s="3">
        <f t="shared" si="7"/>
        <v>0</v>
      </c>
      <c r="AC44" s="3">
        <f t="shared" si="8"/>
        <v>1.07</v>
      </c>
      <c r="AD44" s="3">
        <f t="shared" si="9"/>
        <v>-1</v>
      </c>
    </row>
    <row r="45">
      <c r="A45" s="1" t="s">
        <v>11</v>
      </c>
      <c r="B45" s="1" t="s">
        <v>239</v>
      </c>
      <c r="C45" s="1" t="s">
        <v>18</v>
      </c>
      <c r="D45" s="1" t="s">
        <v>77</v>
      </c>
      <c r="E45" s="1" t="s">
        <v>76</v>
      </c>
      <c r="F45" s="1" t="s">
        <v>78</v>
      </c>
      <c r="G45" s="1">
        <v>30.5</v>
      </c>
      <c r="H45" s="1" t="s">
        <v>60</v>
      </c>
      <c r="I45" s="1">
        <v>-115.0</v>
      </c>
      <c r="J45" s="6">
        <v>-0.0917307988804186</v>
      </c>
      <c r="K45" s="1" t="s">
        <v>61</v>
      </c>
      <c r="L45" s="1" t="s">
        <v>61</v>
      </c>
      <c r="M45" s="1" t="s">
        <v>62</v>
      </c>
      <c r="N45" s="1">
        <v>-113.0</v>
      </c>
      <c r="O45" s="6">
        <v>0.0263784876139798</v>
      </c>
      <c r="P45" s="1" t="s">
        <v>61</v>
      </c>
      <c r="Q45" s="1" t="s">
        <v>61</v>
      </c>
      <c r="R45" s="6">
        <f t="shared" si="1"/>
        <v>0.02637848761</v>
      </c>
      <c r="S45" s="1">
        <f t="shared" si="2"/>
        <v>-113</v>
      </c>
      <c r="T45" s="1">
        <f t="shared" si="3"/>
        <v>1.884955752</v>
      </c>
      <c r="U45" s="1">
        <f t="shared" si="4"/>
        <v>0</v>
      </c>
      <c r="V45" s="3">
        <f t="shared" si="5"/>
        <v>1</v>
      </c>
      <c r="W45" s="3" t="str">
        <f>IFERROR(__xludf.DUMMYFUNCTION("split(B45,"" "")"),"R.")</f>
        <v>R.</v>
      </c>
      <c r="X45" s="3" t="str">
        <f>IFERROR(__xludf.DUMMYFUNCTION("""COMPUTED_VALUE"""),"Bateman")</f>
        <v>Bateman</v>
      </c>
      <c r="Z45" s="3">
        <v>53.0</v>
      </c>
      <c r="AA45" s="3">
        <f t="shared" si="6"/>
        <v>1</v>
      </c>
      <c r="AB45" s="3">
        <f t="shared" si="7"/>
        <v>0</v>
      </c>
      <c r="AC45" s="3">
        <f t="shared" si="8"/>
        <v>0.8849557522</v>
      </c>
      <c r="AD45" s="3">
        <f t="shared" si="9"/>
        <v>-1</v>
      </c>
    </row>
    <row r="46">
      <c r="A46" s="1" t="s">
        <v>10</v>
      </c>
      <c r="B46" s="1" t="s">
        <v>155</v>
      </c>
      <c r="C46" s="1" t="s">
        <v>19</v>
      </c>
      <c r="D46" s="1" t="s">
        <v>156</v>
      </c>
      <c r="E46" s="1" t="s">
        <v>157</v>
      </c>
      <c r="F46" s="1" t="s">
        <v>158</v>
      </c>
      <c r="G46" s="1">
        <v>64.5</v>
      </c>
      <c r="H46" s="1" t="s">
        <v>60</v>
      </c>
      <c r="I46" s="1">
        <v>-113.0</v>
      </c>
      <c r="J46" s="6">
        <v>-0.087262732579902</v>
      </c>
      <c r="K46" s="1" t="s">
        <v>61</v>
      </c>
      <c r="L46" s="1" t="s">
        <v>61</v>
      </c>
      <c r="M46" s="1" t="s">
        <v>62</v>
      </c>
      <c r="N46" s="1">
        <v>-113.0</v>
      </c>
      <c r="O46" s="6">
        <v>0.0262225764685394</v>
      </c>
      <c r="P46" s="1" t="s">
        <v>61</v>
      </c>
      <c r="Q46" s="1" t="s">
        <v>61</v>
      </c>
      <c r="R46" s="6">
        <f t="shared" si="1"/>
        <v>0.02622257647</v>
      </c>
      <c r="S46" s="1">
        <f t="shared" si="2"/>
        <v>-113</v>
      </c>
      <c r="T46" s="1">
        <f t="shared" si="3"/>
        <v>1.884955752</v>
      </c>
      <c r="U46" s="1">
        <f t="shared" si="4"/>
        <v>0</v>
      </c>
      <c r="V46" s="3">
        <f t="shared" si="5"/>
        <v>1</v>
      </c>
      <c r="W46" s="3" t="str">
        <f>IFERROR(__xludf.DUMMYFUNCTION("split(B46,"" "")"),"S.")</f>
        <v>S.</v>
      </c>
      <c r="X46" s="3" t="str">
        <f>IFERROR(__xludf.DUMMYFUNCTION("""COMPUTED_VALUE"""),"Barkley")</f>
        <v>Barkley</v>
      </c>
      <c r="Z46" s="3">
        <v>109.0</v>
      </c>
      <c r="AA46" s="3">
        <f t="shared" si="6"/>
        <v>1</v>
      </c>
      <c r="AB46" s="3">
        <f t="shared" si="7"/>
        <v>0</v>
      </c>
      <c r="AC46" s="3">
        <f t="shared" si="8"/>
        <v>0.8849557522</v>
      </c>
      <c r="AD46" s="3">
        <f t="shared" si="9"/>
        <v>-1</v>
      </c>
    </row>
    <row r="47">
      <c r="A47" s="1" t="s">
        <v>9</v>
      </c>
      <c r="B47" s="1" t="s">
        <v>103</v>
      </c>
      <c r="C47" s="1" t="s">
        <v>18</v>
      </c>
      <c r="D47" s="1" t="s">
        <v>104</v>
      </c>
      <c r="E47" s="1" t="s">
        <v>105</v>
      </c>
      <c r="F47" s="1" t="s">
        <v>59</v>
      </c>
      <c r="G47" s="1">
        <v>31.5</v>
      </c>
      <c r="H47" s="1" t="s">
        <v>60</v>
      </c>
      <c r="I47" s="1">
        <v>-120.0</v>
      </c>
      <c r="J47" s="1">
        <v>0.025510793641524</v>
      </c>
      <c r="K47" s="1" t="s">
        <v>61</v>
      </c>
      <c r="L47" s="1" t="s">
        <v>61</v>
      </c>
      <c r="M47" s="1" t="s">
        <v>62</v>
      </c>
      <c r="N47" s="1">
        <v>-110.0</v>
      </c>
      <c r="O47" s="1">
        <v>-0.0947543431488039</v>
      </c>
      <c r="P47" s="1" t="s">
        <v>61</v>
      </c>
      <c r="Q47" s="1" t="s">
        <v>61</v>
      </c>
      <c r="R47" s="1">
        <f t="shared" si="1"/>
        <v>0.02551079364</v>
      </c>
      <c r="S47" s="1">
        <f t="shared" si="2"/>
        <v>-120</v>
      </c>
      <c r="T47" s="1">
        <f t="shared" si="3"/>
        <v>1.833333333</v>
      </c>
      <c r="U47" s="1">
        <f t="shared" si="4"/>
        <v>1</v>
      </c>
      <c r="V47" s="3">
        <f t="shared" si="5"/>
        <v>1</v>
      </c>
      <c r="W47" s="3" t="str">
        <f>IFERROR(__xludf.DUMMYFUNCTION("split(B47,"" "")"),"C.")</f>
        <v>C.</v>
      </c>
      <c r="X47" s="3" t="str">
        <f>IFERROR(__xludf.DUMMYFUNCTION("""COMPUTED_VALUE"""),"Samuel")</f>
        <v>Samuel</v>
      </c>
      <c r="Z47" s="3">
        <v>15.0</v>
      </c>
      <c r="AA47" s="3">
        <f t="shared" si="6"/>
        <v>0</v>
      </c>
      <c r="AB47" s="3">
        <f t="shared" si="7"/>
        <v>0</v>
      </c>
      <c r="AC47" s="3">
        <f t="shared" si="8"/>
        <v>0.8333333333</v>
      </c>
      <c r="AD47" s="3">
        <f t="shared" si="9"/>
        <v>-1</v>
      </c>
    </row>
    <row r="48">
      <c r="A48" s="1" t="s">
        <v>11</v>
      </c>
      <c r="B48" s="1" t="s">
        <v>469</v>
      </c>
      <c r="C48" s="1" t="s">
        <v>18</v>
      </c>
      <c r="D48" s="1" t="s">
        <v>196</v>
      </c>
      <c r="E48" s="1" t="s">
        <v>197</v>
      </c>
      <c r="F48" s="1" t="s">
        <v>198</v>
      </c>
      <c r="G48" s="1">
        <v>68.5</v>
      </c>
      <c r="H48" s="1" t="s">
        <v>60</v>
      </c>
      <c r="I48" s="1">
        <v>-115.0</v>
      </c>
      <c r="J48" s="1">
        <v>-0.0943376768727982</v>
      </c>
      <c r="K48" s="1" t="s">
        <v>61</v>
      </c>
      <c r="L48" s="1" t="s">
        <v>61</v>
      </c>
      <c r="M48" s="1" t="s">
        <v>62</v>
      </c>
      <c r="N48" s="1">
        <v>-115.0</v>
      </c>
      <c r="O48" s="1">
        <v>0.0245628155241678</v>
      </c>
      <c r="P48" s="1" t="s">
        <v>61</v>
      </c>
      <c r="Q48" s="1" t="s">
        <v>61</v>
      </c>
      <c r="R48" s="1">
        <f t="shared" si="1"/>
        <v>0.02456281552</v>
      </c>
      <c r="S48" s="1">
        <f t="shared" si="2"/>
        <v>-115</v>
      </c>
      <c r="T48" s="1">
        <f t="shared" si="3"/>
        <v>1.869565217</v>
      </c>
      <c r="U48" s="1">
        <f t="shared" si="4"/>
        <v>0</v>
      </c>
      <c r="V48" s="3">
        <f t="shared" si="5"/>
        <v>1</v>
      </c>
      <c r="W48" s="3" t="str">
        <f>IFERROR(__xludf.DUMMYFUNCTION("split(B48,"" "")"),"C.")</f>
        <v>C.</v>
      </c>
      <c r="X48" s="3" t="str">
        <f>IFERROR(__xludf.DUMMYFUNCTION("""COMPUTED_VALUE"""),"Kupp")</f>
        <v>Kupp</v>
      </c>
      <c r="Z48" s="3">
        <v>110.0</v>
      </c>
      <c r="AA48" s="3">
        <f t="shared" si="6"/>
        <v>1</v>
      </c>
      <c r="AB48" s="3">
        <f t="shared" si="7"/>
        <v>0</v>
      </c>
      <c r="AC48" s="3">
        <f t="shared" si="8"/>
        <v>0.8695652174</v>
      </c>
      <c r="AD48" s="3">
        <f t="shared" si="9"/>
        <v>-1</v>
      </c>
    </row>
    <row r="49">
      <c r="A49" s="1" t="s">
        <v>9</v>
      </c>
      <c r="B49" s="1" t="s">
        <v>490</v>
      </c>
      <c r="C49" s="1" t="s">
        <v>19</v>
      </c>
      <c r="D49" s="1" t="s">
        <v>82</v>
      </c>
      <c r="E49" s="1" t="s">
        <v>83</v>
      </c>
      <c r="F49" s="1" t="s">
        <v>84</v>
      </c>
      <c r="G49" s="1">
        <v>81.5</v>
      </c>
      <c r="H49" s="1" t="s">
        <v>60</v>
      </c>
      <c r="I49" s="1">
        <v>-115.0</v>
      </c>
      <c r="J49" s="1">
        <v>-0.0955432285666382</v>
      </c>
      <c r="K49" s="1" t="s">
        <v>61</v>
      </c>
      <c r="L49" s="1" t="s">
        <v>61</v>
      </c>
      <c r="M49" s="1" t="s">
        <v>62</v>
      </c>
      <c r="N49" s="1">
        <v>-116.0</v>
      </c>
      <c r="O49" s="1">
        <v>0.0236780611320348</v>
      </c>
      <c r="P49" s="1" t="s">
        <v>61</v>
      </c>
      <c r="Q49" s="1" t="s">
        <v>61</v>
      </c>
      <c r="R49" s="1">
        <f t="shared" si="1"/>
        <v>0.02367806113</v>
      </c>
      <c r="S49" s="1">
        <f t="shared" si="2"/>
        <v>-116</v>
      </c>
      <c r="T49" s="1">
        <f t="shared" si="3"/>
        <v>1.862068966</v>
      </c>
      <c r="U49" s="1">
        <f t="shared" si="4"/>
        <v>0</v>
      </c>
      <c r="V49" s="3">
        <f t="shared" si="5"/>
        <v>1</v>
      </c>
      <c r="W49" s="3" t="str">
        <f>IFERROR(__xludf.DUMMYFUNCTION("split(B49,"" "")"),"K.")</f>
        <v>K.</v>
      </c>
      <c r="X49" s="3" t="str">
        <f>IFERROR(__xludf.DUMMYFUNCTION("""COMPUTED_VALUE"""),"Walker")</f>
        <v>Walker</v>
      </c>
      <c r="Y49" s="3" t="str">
        <f>IFERROR(__xludf.DUMMYFUNCTION("""COMPUTED_VALUE"""),"III")</f>
        <v>III</v>
      </c>
      <c r="Z49" s="3">
        <v>109.0</v>
      </c>
      <c r="AA49" s="3">
        <f t="shared" si="6"/>
        <v>1</v>
      </c>
      <c r="AB49" s="3">
        <f t="shared" si="7"/>
        <v>0</v>
      </c>
      <c r="AC49" s="3">
        <f t="shared" si="8"/>
        <v>0.8620689655</v>
      </c>
      <c r="AD49" s="3">
        <f t="shared" si="9"/>
        <v>-1</v>
      </c>
    </row>
    <row r="50">
      <c r="A50" s="1" t="s">
        <v>9</v>
      </c>
      <c r="B50" s="1" t="s">
        <v>469</v>
      </c>
      <c r="C50" s="1" t="s">
        <v>18</v>
      </c>
      <c r="D50" s="1" t="s">
        <v>196</v>
      </c>
      <c r="E50" s="1" t="s">
        <v>197</v>
      </c>
      <c r="F50" s="1" t="s">
        <v>198</v>
      </c>
      <c r="G50" s="1">
        <v>68.0</v>
      </c>
      <c r="H50" s="1" t="s">
        <v>60</v>
      </c>
      <c r="I50" s="1">
        <v>-116.0</v>
      </c>
      <c r="J50" s="1">
        <v>-0.0962191349068262</v>
      </c>
      <c r="K50" s="1" t="s">
        <v>61</v>
      </c>
      <c r="L50" s="1" t="s">
        <v>61</v>
      </c>
      <c r="M50" s="1" t="s">
        <v>62</v>
      </c>
      <c r="N50" s="1">
        <v>-116.0</v>
      </c>
      <c r="O50" s="1">
        <v>0.0233261964919183</v>
      </c>
      <c r="P50" s="1" t="s">
        <v>61</v>
      </c>
      <c r="Q50" s="1" t="s">
        <v>61</v>
      </c>
      <c r="R50" s="1">
        <f t="shared" si="1"/>
        <v>0.02332619649</v>
      </c>
      <c r="S50" s="1">
        <f t="shared" si="2"/>
        <v>-116</v>
      </c>
      <c r="T50" s="1">
        <f t="shared" si="3"/>
        <v>1.862068966</v>
      </c>
      <c r="U50" s="1">
        <f t="shared" si="4"/>
        <v>0</v>
      </c>
      <c r="V50" s="3">
        <f t="shared" si="5"/>
        <v>1</v>
      </c>
      <c r="W50" s="3" t="str">
        <f>IFERROR(__xludf.DUMMYFUNCTION("split(B50,"" "")"),"C.")</f>
        <v>C.</v>
      </c>
      <c r="X50" s="3" t="str">
        <f>IFERROR(__xludf.DUMMYFUNCTION("""COMPUTED_VALUE"""),"Kupp")</f>
        <v>Kupp</v>
      </c>
      <c r="Z50" s="3">
        <v>120.0</v>
      </c>
      <c r="AA50" s="3">
        <f t="shared" si="6"/>
        <v>1</v>
      </c>
      <c r="AB50" s="3">
        <f t="shared" si="7"/>
        <v>0</v>
      </c>
      <c r="AC50" s="3">
        <f t="shared" si="8"/>
        <v>0.8620689655</v>
      </c>
      <c r="AD50" s="3">
        <f t="shared" si="9"/>
        <v>-1</v>
      </c>
    </row>
    <row r="51">
      <c r="A51" s="1" t="s">
        <v>9</v>
      </c>
      <c r="B51" s="1" t="s">
        <v>155</v>
      </c>
      <c r="C51" s="1" t="s">
        <v>19</v>
      </c>
      <c r="D51" s="1" t="s">
        <v>156</v>
      </c>
      <c r="E51" s="1" t="s">
        <v>157</v>
      </c>
      <c r="F51" s="1" t="s">
        <v>158</v>
      </c>
      <c r="G51" s="1">
        <v>86.0</v>
      </c>
      <c r="H51" s="1" t="s">
        <v>60</v>
      </c>
      <c r="I51" s="1">
        <v>-113.0</v>
      </c>
      <c r="J51" s="6">
        <v>-0.0937119054414257</v>
      </c>
      <c r="K51" s="1" t="s">
        <v>61</v>
      </c>
      <c r="L51" s="1" t="s">
        <v>61</v>
      </c>
      <c r="M51" s="1" t="s">
        <v>62</v>
      </c>
      <c r="N51" s="1">
        <v>-118.0</v>
      </c>
      <c r="O51" s="6">
        <v>0.0224900593396879</v>
      </c>
      <c r="P51" s="1" t="s">
        <v>61</v>
      </c>
      <c r="Q51" s="1" t="s">
        <v>61</v>
      </c>
      <c r="R51" s="6">
        <f t="shared" si="1"/>
        <v>0.02249005934</v>
      </c>
      <c r="S51" s="1">
        <f t="shared" si="2"/>
        <v>-118</v>
      </c>
      <c r="T51" s="1">
        <f t="shared" si="3"/>
        <v>1.847457627</v>
      </c>
      <c r="U51" s="1">
        <f t="shared" si="4"/>
        <v>0</v>
      </c>
      <c r="V51" s="3">
        <f t="shared" si="5"/>
        <v>1</v>
      </c>
      <c r="W51" s="3" t="str">
        <f>IFERROR(__xludf.DUMMYFUNCTION("split(B51,"" "")"),"S.")</f>
        <v>S.</v>
      </c>
      <c r="X51" s="3" t="str">
        <f>IFERROR(__xludf.DUMMYFUNCTION("""COMPUTED_VALUE"""),"Barkley")</f>
        <v>Barkley</v>
      </c>
      <c r="Z51" s="3">
        <v>132.0</v>
      </c>
      <c r="AA51" s="3">
        <f t="shared" si="6"/>
        <v>1</v>
      </c>
      <c r="AB51" s="3">
        <f t="shared" si="7"/>
        <v>0</v>
      </c>
      <c r="AC51" s="3">
        <f t="shared" si="8"/>
        <v>0.8474576271</v>
      </c>
      <c r="AD51" s="3">
        <f t="shared" si="9"/>
        <v>-1</v>
      </c>
    </row>
    <row r="52">
      <c r="A52" s="1" t="s">
        <v>9</v>
      </c>
      <c r="B52" s="1" t="s">
        <v>467</v>
      </c>
      <c r="C52" s="1" t="s">
        <v>18</v>
      </c>
      <c r="D52" s="1" t="s">
        <v>93</v>
      </c>
      <c r="E52" s="1" t="s">
        <v>94</v>
      </c>
      <c r="F52" s="1" t="s">
        <v>59</v>
      </c>
      <c r="G52" s="1">
        <v>38.0</v>
      </c>
      <c r="H52" s="1" t="s">
        <v>60</v>
      </c>
      <c r="I52" s="1">
        <v>-115.0</v>
      </c>
      <c r="J52" s="1">
        <v>0.0207592575246442</v>
      </c>
      <c r="K52" s="1" t="s">
        <v>61</v>
      </c>
      <c r="L52" s="1" t="s">
        <v>61</v>
      </c>
      <c r="M52" s="1" t="s">
        <v>62</v>
      </c>
      <c r="N52" s="1">
        <v>-118.0</v>
      </c>
      <c r="O52" s="1">
        <v>-0.0964758882293681</v>
      </c>
      <c r="P52" s="1" t="s">
        <v>61</v>
      </c>
      <c r="Q52" s="1" t="s">
        <v>61</v>
      </c>
      <c r="R52" s="1">
        <f t="shared" si="1"/>
        <v>0.02075925752</v>
      </c>
      <c r="S52" s="1">
        <f t="shared" si="2"/>
        <v>-115</v>
      </c>
      <c r="T52" s="1">
        <f t="shared" si="3"/>
        <v>1.869565217</v>
      </c>
      <c r="U52" s="1">
        <f t="shared" si="4"/>
        <v>1</v>
      </c>
      <c r="V52" s="3">
        <f t="shared" si="5"/>
        <v>1</v>
      </c>
      <c r="W52" s="3" t="str">
        <f>IFERROR(__xludf.DUMMYFUNCTION("split(B52,"" "")"),"G.")</f>
        <v>G.</v>
      </c>
      <c r="X52" s="3" t="str">
        <f>IFERROR(__xludf.DUMMYFUNCTION("""COMPUTED_VALUE"""),"Davis")</f>
        <v>Davis</v>
      </c>
      <c r="Z52" s="3">
        <v>0.0</v>
      </c>
      <c r="AA52" s="3">
        <f t="shared" si="6"/>
        <v>0</v>
      </c>
      <c r="AB52" s="3">
        <f t="shared" si="7"/>
        <v>0</v>
      </c>
      <c r="AC52" s="3">
        <f t="shared" si="8"/>
        <v>0.8695652174</v>
      </c>
      <c r="AD52" s="3">
        <f t="shared" si="9"/>
        <v>-1</v>
      </c>
    </row>
    <row r="53">
      <c r="A53" s="1" t="s">
        <v>12</v>
      </c>
      <c r="B53" s="1" t="s">
        <v>491</v>
      </c>
      <c r="C53" s="1" t="s">
        <v>18</v>
      </c>
      <c r="D53" s="1" t="s">
        <v>58</v>
      </c>
      <c r="E53" s="1" t="s">
        <v>57</v>
      </c>
      <c r="F53" s="1" t="s">
        <v>59</v>
      </c>
      <c r="G53" s="1">
        <v>5.5</v>
      </c>
      <c r="H53" s="1" t="s">
        <v>60</v>
      </c>
      <c r="I53" s="1">
        <v>-103.0</v>
      </c>
      <c r="J53" s="1">
        <v>0.0202615763546797</v>
      </c>
      <c r="K53" s="1" t="s">
        <v>61</v>
      </c>
      <c r="L53" s="1" t="s">
        <v>61</v>
      </c>
      <c r="M53" s="1" t="s">
        <v>62</v>
      </c>
      <c r="N53" s="1">
        <v>-130.0</v>
      </c>
      <c r="O53" s="1">
        <v>-0.0928608695652175</v>
      </c>
      <c r="P53" s="1" t="s">
        <v>61</v>
      </c>
      <c r="Q53" s="1" t="s">
        <v>61</v>
      </c>
      <c r="R53" s="1">
        <f t="shared" si="1"/>
        <v>0.02026157635</v>
      </c>
      <c r="S53" s="1">
        <f t="shared" si="2"/>
        <v>-103</v>
      </c>
      <c r="T53" s="1">
        <f t="shared" si="3"/>
        <v>1.970873786</v>
      </c>
      <c r="U53" s="1">
        <f t="shared" si="4"/>
        <v>1</v>
      </c>
      <c r="V53" s="3">
        <f t="shared" si="5"/>
        <v>1</v>
      </c>
      <c r="W53" s="3" t="str">
        <f>IFERROR(__xludf.DUMMYFUNCTION("split(B53,"" "")"),"C.")</f>
        <v>C.</v>
      </c>
      <c r="X53" s="3" t="str">
        <f>IFERROR(__xludf.DUMMYFUNCTION("""COMPUTED_VALUE"""),"Olave")</f>
        <v>Olave</v>
      </c>
      <c r="Z53" s="3">
        <v>2.0</v>
      </c>
      <c r="AA53" s="3">
        <f t="shared" si="6"/>
        <v>0</v>
      </c>
      <c r="AB53" s="3">
        <f t="shared" si="7"/>
        <v>0</v>
      </c>
      <c r="AC53" s="3">
        <f t="shared" si="8"/>
        <v>0.9708737864</v>
      </c>
      <c r="AD53" s="3">
        <f t="shared" si="9"/>
        <v>-1</v>
      </c>
    </row>
    <row r="54">
      <c r="A54" s="1" t="s">
        <v>10</v>
      </c>
      <c r="B54" s="1" t="s">
        <v>446</v>
      </c>
      <c r="C54" s="1" t="s">
        <v>19</v>
      </c>
      <c r="D54" s="1" t="s">
        <v>197</v>
      </c>
      <c r="E54" s="1" t="s">
        <v>196</v>
      </c>
      <c r="F54" s="1" t="s">
        <v>198</v>
      </c>
      <c r="G54" s="1">
        <v>53.5</v>
      </c>
      <c r="H54" s="1" t="s">
        <v>60</v>
      </c>
      <c r="I54" s="1">
        <v>-120.0</v>
      </c>
      <c r="J54" s="1">
        <v>-0.0894766936532164</v>
      </c>
      <c r="K54" s="1" t="s">
        <v>61</v>
      </c>
      <c r="L54" s="1" t="s">
        <v>61</v>
      </c>
      <c r="M54" s="1" t="s">
        <v>62</v>
      </c>
      <c r="N54" s="1">
        <v>-110.0</v>
      </c>
      <c r="O54" s="1">
        <v>0.0202595726038019</v>
      </c>
      <c r="P54" s="1" t="s">
        <v>61</v>
      </c>
      <c r="Q54" s="1" t="s">
        <v>61</v>
      </c>
      <c r="R54" s="1">
        <f t="shared" si="1"/>
        <v>0.0202595726</v>
      </c>
      <c r="S54" s="1">
        <f t="shared" si="2"/>
        <v>-110</v>
      </c>
      <c r="T54" s="1">
        <f t="shared" si="3"/>
        <v>1.909090909</v>
      </c>
      <c r="U54" s="1">
        <f t="shared" si="4"/>
        <v>0</v>
      </c>
      <c r="V54" s="3">
        <f t="shared" si="5"/>
        <v>1</v>
      </c>
      <c r="W54" s="3" t="str">
        <f>IFERROR(__xludf.DUMMYFUNCTION("split(B54,"" "")"),"D.")</f>
        <v>D.</v>
      </c>
      <c r="X54" s="3" t="str">
        <f>IFERROR(__xludf.DUMMYFUNCTION("""COMPUTED_VALUE"""),"Montgomery")</f>
        <v>Montgomery</v>
      </c>
      <c r="Z54" s="3">
        <v>91.0</v>
      </c>
      <c r="AA54" s="3">
        <f t="shared" si="6"/>
        <v>1</v>
      </c>
      <c r="AB54" s="3">
        <f t="shared" si="7"/>
        <v>0</v>
      </c>
      <c r="AC54" s="3">
        <f t="shared" si="8"/>
        <v>0.9090909091</v>
      </c>
      <c r="AD54" s="3">
        <f t="shared" si="9"/>
        <v>-1</v>
      </c>
    </row>
    <row r="55">
      <c r="A55" s="1" t="s">
        <v>9</v>
      </c>
      <c r="B55" s="1" t="s">
        <v>441</v>
      </c>
      <c r="C55" s="1" t="s">
        <v>18</v>
      </c>
      <c r="D55" s="1" t="s">
        <v>94</v>
      </c>
      <c r="E55" s="1" t="s">
        <v>93</v>
      </c>
      <c r="F55" s="1" t="s">
        <v>59</v>
      </c>
      <c r="G55" s="1">
        <v>98.5</v>
      </c>
      <c r="H55" s="1" t="s">
        <v>60</v>
      </c>
      <c r="I55" s="1">
        <v>-110.0</v>
      </c>
      <c r="J55" s="1">
        <v>-0.0870903361862238</v>
      </c>
      <c r="K55" s="1" t="s">
        <v>61</v>
      </c>
      <c r="L55" s="1" t="s">
        <v>61</v>
      </c>
      <c r="M55" s="1" t="s">
        <v>62</v>
      </c>
      <c r="N55" s="1">
        <v>-120.0</v>
      </c>
      <c r="O55" s="1">
        <v>0.0178813113987654</v>
      </c>
      <c r="P55" s="1" t="s">
        <v>61</v>
      </c>
      <c r="Q55" s="1" t="s">
        <v>61</v>
      </c>
      <c r="R55" s="1">
        <f t="shared" si="1"/>
        <v>0.0178813114</v>
      </c>
      <c r="S55" s="1">
        <f t="shared" si="2"/>
        <v>-120</v>
      </c>
      <c r="T55" s="1">
        <f t="shared" si="3"/>
        <v>1.833333333</v>
      </c>
      <c r="U55" s="1">
        <f t="shared" si="4"/>
        <v>0</v>
      </c>
      <c r="V55" s="3">
        <f t="shared" si="5"/>
        <v>1</v>
      </c>
      <c r="W55" s="3" t="str">
        <f>IFERROR(__xludf.DUMMYFUNCTION("split(B55,"" "")"),"T.")</f>
        <v>T.</v>
      </c>
      <c r="X55" s="3" t="str">
        <f>IFERROR(__xludf.DUMMYFUNCTION("""COMPUTED_VALUE"""),"Hill")</f>
        <v>Hill</v>
      </c>
      <c r="Z55" s="3">
        <v>130.0</v>
      </c>
      <c r="AA55" s="3">
        <f t="shared" si="6"/>
        <v>1</v>
      </c>
      <c r="AB55" s="3">
        <f t="shared" si="7"/>
        <v>0</v>
      </c>
      <c r="AC55" s="3">
        <f t="shared" si="8"/>
        <v>0.8333333333</v>
      </c>
      <c r="AD55" s="3">
        <f t="shared" si="9"/>
        <v>-1</v>
      </c>
    </row>
    <row r="56">
      <c r="A56" s="1" t="s">
        <v>17</v>
      </c>
      <c r="B56" s="1" t="s">
        <v>338</v>
      </c>
      <c r="C56" s="1" t="s">
        <v>21</v>
      </c>
      <c r="D56" s="1" t="s">
        <v>156</v>
      </c>
      <c r="E56" s="1" t="s">
        <v>157</v>
      </c>
      <c r="F56" s="1" t="s">
        <v>158</v>
      </c>
      <c r="G56" s="1">
        <v>0.5</v>
      </c>
      <c r="H56" s="1" t="s">
        <v>60</v>
      </c>
      <c r="I56" s="1">
        <v>-116.0</v>
      </c>
      <c r="J56" s="6">
        <v>-0.091337037037037</v>
      </c>
      <c r="K56" s="1" t="s">
        <v>61</v>
      </c>
      <c r="L56" s="1" t="s">
        <v>61</v>
      </c>
      <c r="M56" s="1" t="s">
        <v>62</v>
      </c>
      <c r="N56" s="1">
        <v>-116.0</v>
      </c>
      <c r="O56" s="6">
        <v>0.0172629629629629</v>
      </c>
      <c r="P56" s="1" t="s">
        <v>61</v>
      </c>
      <c r="Q56" s="1" t="s">
        <v>61</v>
      </c>
      <c r="R56" s="6">
        <f t="shared" si="1"/>
        <v>0.01726296296</v>
      </c>
      <c r="S56" s="1">
        <f t="shared" si="2"/>
        <v>-116</v>
      </c>
      <c r="T56" s="1">
        <f t="shared" si="3"/>
        <v>1.862068966</v>
      </c>
      <c r="U56" s="1">
        <f t="shared" si="4"/>
        <v>0</v>
      </c>
      <c r="V56" s="3">
        <f t="shared" si="5"/>
        <v>1</v>
      </c>
      <c r="W56" s="3" t="str">
        <f>IFERROR(__xludf.DUMMYFUNCTION("split(B56,"" "")"),"J.")</f>
        <v>J.</v>
      </c>
      <c r="X56" s="3" t="str">
        <f>IFERROR(__xludf.DUMMYFUNCTION("""COMPUTED_VALUE"""),"Hurts")</f>
        <v>Hurts</v>
      </c>
      <c r="Z56" s="3">
        <v>2.0</v>
      </c>
      <c r="AA56" s="3">
        <f t="shared" si="6"/>
        <v>1</v>
      </c>
      <c r="AB56" s="3">
        <f t="shared" si="7"/>
        <v>0</v>
      </c>
      <c r="AC56" s="3">
        <f t="shared" si="8"/>
        <v>0.8620689655</v>
      </c>
      <c r="AD56" s="3">
        <f t="shared" si="9"/>
        <v>-1</v>
      </c>
    </row>
    <row r="57">
      <c r="A57" s="1" t="s">
        <v>9</v>
      </c>
      <c r="B57" s="1" t="s">
        <v>217</v>
      </c>
      <c r="C57" s="1" t="s">
        <v>18</v>
      </c>
      <c r="D57" s="1" t="s">
        <v>71</v>
      </c>
      <c r="E57" s="1" t="s">
        <v>72</v>
      </c>
      <c r="F57" s="1" t="s">
        <v>59</v>
      </c>
      <c r="G57" s="1">
        <v>33.5</v>
      </c>
      <c r="H57" s="1" t="s">
        <v>60</v>
      </c>
      <c r="I57" s="1">
        <v>-115.0</v>
      </c>
      <c r="J57" s="1">
        <v>0.0172047016887122</v>
      </c>
      <c r="K57" s="1" t="s">
        <v>61</v>
      </c>
      <c r="L57" s="1" t="s">
        <v>61</v>
      </c>
      <c r="M57" s="1" t="s">
        <v>62</v>
      </c>
      <c r="N57" s="1">
        <v>-115.0</v>
      </c>
      <c r="O57" s="1">
        <v>-0.0870004069420191</v>
      </c>
      <c r="P57" s="1" t="s">
        <v>61</v>
      </c>
      <c r="Q57" s="1" t="s">
        <v>61</v>
      </c>
      <c r="R57" s="1">
        <f t="shared" si="1"/>
        <v>0.01720470169</v>
      </c>
      <c r="S57" s="1">
        <f t="shared" si="2"/>
        <v>-115</v>
      </c>
      <c r="T57" s="1">
        <f t="shared" si="3"/>
        <v>1.869565217</v>
      </c>
      <c r="U57" s="1">
        <f t="shared" si="4"/>
        <v>1</v>
      </c>
      <c r="V57" s="3">
        <f t="shared" si="5"/>
        <v>1</v>
      </c>
      <c r="W57" s="3" t="str">
        <f>IFERROR(__xludf.DUMMYFUNCTION("split(B57,"" "")"),"A.")</f>
        <v>A.</v>
      </c>
      <c r="X57" s="3" t="str">
        <f>IFERROR(__xludf.DUMMYFUNCTION("""COMPUTED_VALUE"""),"Pierce")</f>
        <v>Pierce</v>
      </c>
      <c r="Z57" s="3">
        <v>16.0</v>
      </c>
      <c r="AA57" s="3">
        <f t="shared" si="6"/>
        <v>0</v>
      </c>
      <c r="AB57" s="3">
        <f t="shared" si="7"/>
        <v>0</v>
      </c>
      <c r="AC57" s="3">
        <f t="shared" si="8"/>
        <v>0.8695652174</v>
      </c>
      <c r="AD57" s="3">
        <f t="shared" si="9"/>
        <v>-1</v>
      </c>
    </row>
    <row r="58">
      <c r="A58" s="1" t="s">
        <v>11</v>
      </c>
      <c r="B58" s="1" t="s">
        <v>264</v>
      </c>
      <c r="C58" s="1" t="s">
        <v>19</v>
      </c>
      <c r="D58" s="1" t="s">
        <v>109</v>
      </c>
      <c r="E58" s="1" t="s">
        <v>110</v>
      </c>
      <c r="F58" s="1" t="s">
        <v>59</v>
      </c>
      <c r="G58" s="1">
        <v>26.5</v>
      </c>
      <c r="H58" s="1" t="s">
        <v>60</v>
      </c>
      <c r="I58" s="1">
        <v>-113.0</v>
      </c>
      <c r="J58" s="1">
        <v>-0.0888664869680798</v>
      </c>
      <c r="K58" s="1" t="s">
        <v>61</v>
      </c>
      <c r="L58" s="1" t="s">
        <v>61</v>
      </c>
      <c r="M58" s="1" t="s">
        <v>62</v>
      </c>
      <c r="N58" s="1">
        <v>-118.0</v>
      </c>
      <c r="O58" s="1">
        <v>0.0171191873144824</v>
      </c>
      <c r="P58" s="1" t="s">
        <v>61</v>
      </c>
      <c r="Q58" s="1" t="s">
        <v>61</v>
      </c>
      <c r="R58" s="1">
        <f t="shared" si="1"/>
        <v>0.01711918731</v>
      </c>
      <c r="S58" s="1">
        <f t="shared" si="2"/>
        <v>-118</v>
      </c>
      <c r="T58" s="1">
        <f t="shared" si="3"/>
        <v>1.847457627</v>
      </c>
      <c r="U58" s="1">
        <f t="shared" si="4"/>
        <v>0</v>
      </c>
      <c r="V58" s="3">
        <f t="shared" si="5"/>
        <v>1</v>
      </c>
      <c r="W58" s="3" t="str">
        <f>IFERROR(__xludf.DUMMYFUNCTION("split(B58,"" "")"),"B.")</f>
        <v>B.</v>
      </c>
      <c r="X58" s="3" t="str">
        <f>IFERROR(__xludf.DUMMYFUNCTION("""COMPUTED_VALUE"""),"Robinson")</f>
        <v>Robinson</v>
      </c>
      <c r="Z58" s="3">
        <v>43.0</v>
      </c>
      <c r="AA58" s="3">
        <f t="shared" si="6"/>
        <v>1</v>
      </c>
      <c r="AB58" s="3">
        <f t="shared" si="7"/>
        <v>0</v>
      </c>
      <c r="AC58" s="3">
        <f t="shared" si="8"/>
        <v>0.8474576271</v>
      </c>
      <c r="AD58" s="3">
        <f t="shared" si="9"/>
        <v>-1</v>
      </c>
    </row>
    <row r="59">
      <c r="A59" s="1" t="s">
        <v>11</v>
      </c>
      <c r="B59" s="1" t="s">
        <v>417</v>
      </c>
      <c r="C59" s="1" t="s">
        <v>19</v>
      </c>
      <c r="D59" s="1" t="s">
        <v>113</v>
      </c>
      <c r="E59" s="1" t="s">
        <v>114</v>
      </c>
      <c r="F59" s="1" t="s">
        <v>90</v>
      </c>
      <c r="G59" s="1">
        <v>20.5</v>
      </c>
      <c r="H59" s="1" t="s">
        <v>60</v>
      </c>
      <c r="I59" s="1">
        <v>-120.0</v>
      </c>
      <c r="J59" s="1">
        <v>-0.0908668073872092</v>
      </c>
      <c r="K59" s="1" t="s">
        <v>61</v>
      </c>
      <c r="L59" s="1" t="s">
        <v>61</v>
      </c>
      <c r="M59" s="1" t="s">
        <v>62</v>
      </c>
      <c r="N59" s="1">
        <v>-112.0</v>
      </c>
      <c r="O59" s="1">
        <v>0.0171123648123036</v>
      </c>
      <c r="P59" s="1" t="s">
        <v>61</v>
      </c>
      <c r="Q59" s="1" t="s">
        <v>61</v>
      </c>
      <c r="R59" s="1">
        <f t="shared" si="1"/>
        <v>0.01711236481</v>
      </c>
      <c r="S59" s="1">
        <f t="shared" si="2"/>
        <v>-112</v>
      </c>
      <c r="T59" s="1">
        <f t="shared" si="3"/>
        <v>1.892857143</v>
      </c>
      <c r="U59" s="1">
        <f t="shared" si="4"/>
        <v>0</v>
      </c>
      <c r="V59" s="3">
        <f t="shared" si="5"/>
        <v>1</v>
      </c>
      <c r="W59" s="3" t="str">
        <f>IFERROR(__xludf.DUMMYFUNCTION("split(B59,"" "")"),"R.")</f>
        <v>R.</v>
      </c>
      <c r="X59" s="3" t="str">
        <f>IFERROR(__xludf.DUMMYFUNCTION("""COMPUTED_VALUE"""),"White")</f>
        <v>White</v>
      </c>
      <c r="Z59" s="3">
        <v>75.0</v>
      </c>
      <c r="AA59" s="3">
        <f t="shared" si="6"/>
        <v>1</v>
      </c>
      <c r="AB59" s="3">
        <f t="shared" si="7"/>
        <v>0</v>
      </c>
      <c r="AC59" s="3">
        <f t="shared" si="8"/>
        <v>0.8928571429</v>
      </c>
      <c r="AD59" s="3">
        <f t="shared" si="9"/>
        <v>-1</v>
      </c>
    </row>
    <row r="60">
      <c r="A60" s="1" t="s">
        <v>10</v>
      </c>
      <c r="B60" s="1" t="s">
        <v>347</v>
      </c>
      <c r="C60" s="1" t="s">
        <v>21</v>
      </c>
      <c r="D60" s="1" t="s">
        <v>77</v>
      </c>
      <c r="E60" s="1" t="s">
        <v>76</v>
      </c>
      <c r="F60" s="1" t="s">
        <v>78</v>
      </c>
      <c r="G60" s="1">
        <v>49.5</v>
      </c>
      <c r="H60" s="1" t="s">
        <v>60</v>
      </c>
      <c r="I60" s="1">
        <v>-118.0</v>
      </c>
      <c r="J60" s="6">
        <v>-0.0883219186951803</v>
      </c>
      <c r="K60" s="1" t="s">
        <v>61</v>
      </c>
      <c r="L60" s="1" t="s">
        <v>61</v>
      </c>
      <c r="M60" s="1" t="s">
        <v>62</v>
      </c>
      <c r="N60" s="1">
        <v>-113.0</v>
      </c>
      <c r="O60" s="6">
        <v>0.0165112484259648</v>
      </c>
      <c r="P60" s="1" t="s">
        <v>61</v>
      </c>
      <c r="Q60" s="1" t="s">
        <v>61</v>
      </c>
      <c r="R60" s="6">
        <f t="shared" si="1"/>
        <v>0.01651124843</v>
      </c>
      <c r="S60" s="1">
        <f t="shared" si="2"/>
        <v>-113</v>
      </c>
      <c r="T60" s="1">
        <f t="shared" si="3"/>
        <v>1.884955752</v>
      </c>
      <c r="U60" s="1">
        <f t="shared" si="4"/>
        <v>0</v>
      </c>
      <c r="V60" s="3">
        <f t="shared" si="5"/>
        <v>1</v>
      </c>
      <c r="W60" s="3" t="str">
        <f>IFERROR(__xludf.DUMMYFUNCTION("split(B60,"" "")"),"L.")</f>
        <v>L.</v>
      </c>
      <c r="X60" s="3" t="str">
        <f>IFERROR(__xludf.DUMMYFUNCTION("""COMPUTED_VALUE"""),"Jackson")</f>
        <v>Jackson</v>
      </c>
      <c r="Z60" s="3">
        <v>122.0</v>
      </c>
      <c r="AA60" s="3">
        <f t="shared" si="6"/>
        <v>1</v>
      </c>
      <c r="AB60" s="3">
        <f t="shared" si="7"/>
        <v>0</v>
      </c>
      <c r="AC60" s="3">
        <f t="shared" si="8"/>
        <v>0.8849557522</v>
      </c>
      <c r="AD60" s="3">
        <f t="shared" si="9"/>
        <v>-1</v>
      </c>
    </row>
    <row r="61">
      <c r="A61" s="1" t="s">
        <v>15</v>
      </c>
      <c r="B61" s="1" t="s">
        <v>434</v>
      </c>
      <c r="C61" s="1" t="s">
        <v>21</v>
      </c>
      <c r="D61" s="1" t="s">
        <v>104</v>
      </c>
      <c r="E61" s="1" t="s">
        <v>105</v>
      </c>
      <c r="F61" s="1" t="s">
        <v>59</v>
      </c>
      <c r="G61" s="1">
        <v>22.5</v>
      </c>
      <c r="H61" s="1" t="s">
        <v>60</v>
      </c>
      <c r="I61" s="1">
        <v>100.0</v>
      </c>
      <c r="J61" s="1">
        <v>0.0165</v>
      </c>
      <c r="K61" s="1" t="s">
        <v>61</v>
      </c>
      <c r="L61" s="1" t="s">
        <v>61</v>
      </c>
      <c r="M61" s="1" t="s">
        <v>62</v>
      </c>
      <c r="N61" s="1">
        <v>-133.0</v>
      </c>
      <c r="O61" s="1">
        <v>-0.0873154506437767</v>
      </c>
      <c r="P61" s="1" t="s">
        <v>61</v>
      </c>
      <c r="Q61" s="1" t="s">
        <v>61</v>
      </c>
      <c r="R61" s="1">
        <f t="shared" si="1"/>
        <v>0.0165</v>
      </c>
      <c r="S61" s="1">
        <f t="shared" si="2"/>
        <v>100</v>
      </c>
      <c r="T61" s="1">
        <f t="shared" si="3"/>
        <v>2</v>
      </c>
      <c r="U61" s="1">
        <f t="shared" si="4"/>
        <v>1</v>
      </c>
      <c r="V61" s="3">
        <f t="shared" si="5"/>
        <v>1</v>
      </c>
      <c r="W61" s="3" t="str">
        <f>IFERROR(__xludf.DUMMYFUNCTION("split(B61,"" "")"),"J.")</f>
        <v>J.</v>
      </c>
      <c r="X61" s="3" t="str">
        <f>IFERROR(__xludf.DUMMYFUNCTION("""COMPUTED_VALUE"""),"Allen")</f>
        <v>Allen</v>
      </c>
      <c r="Z61" s="3">
        <v>18.0</v>
      </c>
      <c r="AA61" s="3">
        <f t="shared" si="6"/>
        <v>0</v>
      </c>
      <c r="AB61" s="3">
        <f t="shared" si="7"/>
        <v>0</v>
      </c>
      <c r="AC61" s="3">
        <f t="shared" si="8"/>
        <v>1</v>
      </c>
      <c r="AD61" s="3">
        <f t="shared" si="9"/>
        <v>-1</v>
      </c>
    </row>
    <row r="62">
      <c r="A62" s="1" t="s">
        <v>10</v>
      </c>
      <c r="B62" s="1" t="s">
        <v>465</v>
      </c>
      <c r="C62" s="1" t="s">
        <v>19</v>
      </c>
      <c r="D62" s="1" t="s">
        <v>83</v>
      </c>
      <c r="E62" s="1" t="s">
        <v>82</v>
      </c>
      <c r="F62" s="1" t="s">
        <v>84</v>
      </c>
      <c r="G62" s="1">
        <v>22.5</v>
      </c>
      <c r="H62" s="1" t="s">
        <v>60</v>
      </c>
      <c r="I62" s="1">
        <v>-113.0</v>
      </c>
      <c r="J62" s="1">
        <v>-0.0861428723179603</v>
      </c>
      <c r="K62" s="1" t="s">
        <v>61</v>
      </c>
      <c r="L62" s="1" t="s">
        <v>61</v>
      </c>
      <c r="M62" s="1" t="s">
        <v>62</v>
      </c>
      <c r="N62" s="1">
        <v>-117.0</v>
      </c>
      <c r="O62" s="1">
        <v>0.0164747014302253</v>
      </c>
      <c r="P62" s="1" t="s">
        <v>61</v>
      </c>
      <c r="Q62" s="1" t="s">
        <v>61</v>
      </c>
      <c r="R62" s="1">
        <f t="shared" si="1"/>
        <v>0.01647470143</v>
      </c>
      <c r="S62" s="1">
        <f t="shared" si="2"/>
        <v>-117</v>
      </c>
      <c r="T62" s="1">
        <f t="shared" si="3"/>
        <v>1.854700855</v>
      </c>
      <c r="U62" s="1">
        <f t="shared" si="4"/>
        <v>0</v>
      </c>
      <c r="V62" s="3">
        <f t="shared" si="5"/>
        <v>1</v>
      </c>
      <c r="W62" s="3" t="str">
        <f>IFERROR(__xludf.DUMMYFUNCTION("split(B62,"" "")"),"J.")</f>
        <v>J.</v>
      </c>
      <c r="X62" s="3" t="str">
        <f>IFERROR(__xludf.DUMMYFUNCTION("""COMPUTED_VALUE"""),"McLaughlin")</f>
        <v>McLaughlin</v>
      </c>
      <c r="Z62" s="3">
        <v>27.0</v>
      </c>
      <c r="AA62" s="3">
        <f t="shared" si="6"/>
        <v>1</v>
      </c>
      <c r="AB62" s="3">
        <f t="shared" si="7"/>
        <v>0</v>
      </c>
      <c r="AC62" s="3">
        <f t="shared" si="8"/>
        <v>0.8547008547</v>
      </c>
      <c r="AD62" s="3">
        <f t="shared" si="9"/>
        <v>-1</v>
      </c>
    </row>
    <row r="63">
      <c r="A63" s="1" t="s">
        <v>12</v>
      </c>
      <c r="B63" s="1" t="s">
        <v>284</v>
      </c>
      <c r="C63" s="1" t="s">
        <v>18</v>
      </c>
      <c r="D63" s="1" t="s">
        <v>196</v>
      </c>
      <c r="E63" s="1" t="s">
        <v>197</v>
      </c>
      <c r="F63" s="1" t="s">
        <v>198</v>
      </c>
      <c r="G63" s="1">
        <v>2.5</v>
      </c>
      <c r="H63" s="1" t="s">
        <v>60</v>
      </c>
      <c r="I63" s="1">
        <v>117.0</v>
      </c>
      <c r="J63" s="1">
        <v>-0.085926719702304</v>
      </c>
      <c r="K63" s="1" t="s">
        <v>61</v>
      </c>
      <c r="L63" s="1" t="s">
        <v>61</v>
      </c>
      <c r="M63" s="1" t="s">
        <v>62</v>
      </c>
      <c r="N63" s="1">
        <v>-156.0</v>
      </c>
      <c r="O63" s="1">
        <v>0.015721865496875</v>
      </c>
      <c r="P63" s="1" t="s">
        <v>61</v>
      </c>
      <c r="Q63" s="1" t="s">
        <v>61</v>
      </c>
      <c r="R63" s="1">
        <f t="shared" si="1"/>
        <v>0.0157218655</v>
      </c>
      <c r="S63" s="1">
        <f t="shared" si="2"/>
        <v>-156</v>
      </c>
      <c r="T63" s="1">
        <f t="shared" si="3"/>
        <v>1.641025641</v>
      </c>
      <c r="U63" s="1">
        <f t="shared" si="4"/>
        <v>0</v>
      </c>
      <c r="V63" s="3">
        <f t="shared" si="5"/>
        <v>1</v>
      </c>
      <c r="W63" s="3" t="str">
        <f>IFERROR(__xludf.DUMMYFUNCTION("split(B63,"" "")"),"D.")</f>
        <v>D.</v>
      </c>
      <c r="X63" s="3" t="str">
        <f>IFERROR(__xludf.DUMMYFUNCTION("""COMPUTED_VALUE"""),"Robinson")</f>
        <v>Robinson</v>
      </c>
      <c r="Z63" s="3">
        <v>4.0</v>
      </c>
      <c r="AA63" s="3">
        <f t="shared" si="6"/>
        <v>1</v>
      </c>
      <c r="AB63" s="3">
        <f t="shared" si="7"/>
        <v>0</v>
      </c>
      <c r="AC63" s="3">
        <f t="shared" si="8"/>
        <v>0.641025641</v>
      </c>
      <c r="AD63" s="3">
        <f t="shared" si="9"/>
        <v>-1</v>
      </c>
    </row>
    <row r="64">
      <c r="A64" s="1" t="s">
        <v>9</v>
      </c>
      <c r="B64" s="1" t="s">
        <v>177</v>
      </c>
      <c r="C64" s="1" t="s">
        <v>19</v>
      </c>
      <c r="D64" s="1" t="s">
        <v>110</v>
      </c>
      <c r="E64" s="1" t="s">
        <v>109</v>
      </c>
      <c r="F64" s="1" t="s">
        <v>59</v>
      </c>
      <c r="G64" s="1">
        <v>44.5</v>
      </c>
      <c r="H64" s="1" t="s">
        <v>60</v>
      </c>
      <c r="I64" s="1">
        <v>-117.0</v>
      </c>
      <c r="J64" s="1">
        <v>0.0155926038851549</v>
      </c>
      <c r="K64" s="1" t="s">
        <v>61</v>
      </c>
      <c r="L64" s="1" t="s">
        <v>61</v>
      </c>
      <c r="M64" s="1" t="s">
        <v>62</v>
      </c>
      <c r="N64" s="1">
        <v>-112.0</v>
      </c>
      <c r="O64" s="1">
        <v>-0.0830742379634342</v>
      </c>
      <c r="P64" s="1" t="s">
        <v>61</v>
      </c>
      <c r="Q64" s="1" t="s">
        <v>61</v>
      </c>
      <c r="R64" s="1">
        <f t="shared" si="1"/>
        <v>0.01559260389</v>
      </c>
      <c r="S64" s="1">
        <f t="shared" si="2"/>
        <v>-117</v>
      </c>
      <c r="T64" s="1">
        <f t="shared" si="3"/>
        <v>1.854700855</v>
      </c>
      <c r="U64" s="1">
        <f t="shared" si="4"/>
        <v>1</v>
      </c>
      <c r="V64" s="3">
        <f t="shared" si="5"/>
        <v>1</v>
      </c>
      <c r="W64" s="3" t="str">
        <f>IFERROR(__xludf.DUMMYFUNCTION("split(B64,"" "")"),"J.")</f>
        <v>J.</v>
      </c>
      <c r="X64" s="3" t="str">
        <f>IFERROR(__xludf.DUMMYFUNCTION("""COMPUTED_VALUE"""),"Warren")</f>
        <v>Warren</v>
      </c>
      <c r="Z64" s="3">
        <v>20.0</v>
      </c>
      <c r="AA64" s="3">
        <f t="shared" si="6"/>
        <v>0</v>
      </c>
      <c r="AB64" s="3">
        <f t="shared" si="7"/>
        <v>0</v>
      </c>
      <c r="AC64" s="3">
        <f t="shared" si="8"/>
        <v>0.8547008547</v>
      </c>
      <c r="AD64" s="3">
        <f t="shared" si="9"/>
        <v>-1</v>
      </c>
    </row>
    <row r="65">
      <c r="A65" s="1" t="s">
        <v>10</v>
      </c>
      <c r="B65" s="1" t="s">
        <v>490</v>
      </c>
      <c r="C65" s="1" t="s">
        <v>19</v>
      </c>
      <c r="D65" s="1" t="s">
        <v>82</v>
      </c>
      <c r="E65" s="1" t="s">
        <v>83</v>
      </c>
      <c r="F65" s="1" t="s">
        <v>84</v>
      </c>
      <c r="G65" s="1">
        <v>67.5</v>
      </c>
      <c r="H65" s="1" t="s">
        <v>60</v>
      </c>
      <c r="I65" s="1">
        <v>-115.0</v>
      </c>
      <c r="J65" s="1">
        <v>-0.0842224965484543</v>
      </c>
      <c r="K65" s="1" t="s">
        <v>61</v>
      </c>
      <c r="L65" s="1" t="s">
        <v>61</v>
      </c>
      <c r="M65" s="1" t="s">
        <v>62</v>
      </c>
      <c r="N65" s="1">
        <v>-115.0</v>
      </c>
      <c r="O65" s="1">
        <v>0.0144743681351072</v>
      </c>
      <c r="P65" s="1" t="s">
        <v>61</v>
      </c>
      <c r="Q65" s="1" t="s">
        <v>61</v>
      </c>
      <c r="R65" s="1">
        <f t="shared" si="1"/>
        <v>0.01447436814</v>
      </c>
      <c r="S65" s="1">
        <f t="shared" si="2"/>
        <v>-115</v>
      </c>
      <c r="T65" s="1">
        <f t="shared" si="3"/>
        <v>1.869565217</v>
      </c>
      <c r="U65" s="1">
        <f t="shared" si="4"/>
        <v>0</v>
      </c>
      <c r="V65" s="3">
        <f t="shared" si="5"/>
        <v>1</v>
      </c>
      <c r="W65" s="3" t="str">
        <f>IFERROR(__xludf.DUMMYFUNCTION("split(B65,"" "")"),"K.")</f>
        <v>K.</v>
      </c>
      <c r="X65" s="3" t="str">
        <f>IFERROR(__xludf.DUMMYFUNCTION("""COMPUTED_VALUE"""),"Walker")</f>
        <v>Walker</v>
      </c>
      <c r="Y65" s="3" t="str">
        <f>IFERROR(__xludf.DUMMYFUNCTION("""COMPUTED_VALUE"""),"III")</f>
        <v>III</v>
      </c>
      <c r="Z65" s="3">
        <v>103.0</v>
      </c>
      <c r="AA65" s="3">
        <f t="shared" si="6"/>
        <v>1</v>
      </c>
      <c r="AB65" s="3">
        <f t="shared" si="7"/>
        <v>0</v>
      </c>
      <c r="AC65" s="3">
        <f t="shared" si="8"/>
        <v>0.8695652174</v>
      </c>
      <c r="AD65" s="3">
        <f t="shared" si="9"/>
        <v>-1</v>
      </c>
    </row>
    <row r="66">
      <c r="A66" s="1" t="s">
        <v>14</v>
      </c>
      <c r="B66" s="1" t="s">
        <v>320</v>
      </c>
      <c r="C66" s="1" t="s">
        <v>21</v>
      </c>
      <c r="D66" s="1" t="s">
        <v>114</v>
      </c>
      <c r="E66" s="1" t="s">
        <v>113</v>
      </c>
      <c r="F66" s="1" t="s">
        <v>90</v>
      </c>
      <c r="G66" s="1">
        <v>1.5</v>
      </c>
      <c r="H66" s="1" t="s">
        <v>60</v>
      </c>
      <c r="I66" s="1">
        <v>167.0</v>
      </c>
      <c r="J66" s="1">
        <v>0.0142681647940074</v>
      </c>
      <c r="K66" s="1" t="s">
        <v>61</v>
      </c>
      <c r="L66" s="1" t="s">
        <v>61</v>
      </c>
      <c r="M66" s="1" t="s">
        <v>62</v>
      </c>
      <c r="N66" s="1">
        <v>-232.0</v>
      </c>
      <c r="O66" s="1">
        <v>-0.0875951807228915</v>
      </c>
      <c r="P66" s="1" t="s">
        <v>61</v>
      </c>
      <c r="Q66" s="1" t="s">
        <v>61</v>
      </c>
      <c r="R66" s="1">
        <f t="shared" si="1"/>
        <v>0.01426816479</v>
      </c>
      <c r="S66" s="1">
        <f t="shared" si="2"/>
        <v>167</v>
      </c>
      <c r="T66" s="1">
        <f t="shared" si="3"/>
        <v>2.67</v>
      </c>
      <c r="U66" s="1">
        <f t="shared" si="4"/>
        <v>1</v>
      </c>
      <c r="V66" s="3">
        <f t="shared" si="5"/>
        <v>1</v>
      </c>
      <c r="W66" s="3" t="str">
        <f>IFERROR(__xludf.DUMMYFUNCTION("split(B66,"" "")"),"J.")</f>
        <v>J.</v>
      </c>
      <c r="X66" s="3" t="str">
        <f>IFERROR(__xludf.DUMMYFUNCTION("""COMPUTED_VALUE"""),"Daniels")</f>
        <v>Daniels</v>
      </c>
      <c r="Z66" s="3">
        <v>0.0</v>
      </c>
      <c r="AA66" s="3">
        <f t="shared" si="6"/>
        <v>0</v>
      </c>
      <c r="AB66" s="3">
        <f t="shared" si="7"/>
        <v>0</v>
      </c>
      <c r="AC66" s="3">
        <f t="shared" si="8"/>
        <v>1.67</v>
      </c>
      <c r="AD66" s="3">
        <f t="shared" si="9"/>
        <v>-1</v>
      </c>
    </row>
    <row r="67">
      <c r="A67" s="1" t="s">
        <v>9</v>
      </c>
      <c r="B67" s="1" t="s">
        <v>202</v>
      </c>
      <c r="C67" s="1" t="s">
        <v>19</v>
      </c>
      <c r="D67" s="1" t="s">
        <v>109</v>
      </c>
      <c r="E67" s="1" t="s">
        <v>110</v>
      </c>
      <c r="F67" s="1" t="s">
        <v>59</v>
      </c>
      <c r="G67" s="1">
        <v>34.5</v>
      </c>
      <c r="H67" s="1" t="s">
        <v>60</v>
      </c>
      <c r="I67" s="1">
        <v>-115.0</v>
      </c>
      <c r="J67" s="1">
        <v>0.0142349428429175</v>
      </c>
      <c r="K67" s="1" t="s">
        <v>61</v>
      </c>
      <c r="L67" s="1" t="s">
        <v>61</v>
      </c>
      <c r="M67" s="1" t="s">
        <v>62</v>
      </c>
      <c r="N67" s="1">
        <v>-115.0</v>
      </c>
      <c r="O67" s="1">
        <v>-0.0839601842693553</v>
      </c>
      <c r="P67" s="1" t="s">
        <v>61</v>
      </c>
      <c r="Q67" s="1" t="s">
        <v>61</v>
      </c>
      <c r="R67" s="1">
        <f t="shared" si="1"/>
        <v>0.01423494284</v>
      </c>
      <c r="S67" s="1">
        <f t="shared" si="2"/>
        <v>-115</v>
      </c>
      <c r="T67" s="1">
        <f t="shared" si="3"/>
        <v>1.869565217</v>
      </c>
      <c r="U67" s="1">
        <f t="shared" si="4"/>
        <v>1</v>
      </c>
      <c r="V67" s="3">
        <f t="shared" si="5"/>
        <v>1</v>
      </c>
      <c r="W67" s="3" t="str">
        <f>IFERROR(__xludf.DUMMYFUNCTION("split(B67,"" "")"),"T.")</f>
        <v>T.</v>
      </c>
      <c r="X67" s="3" t="str">
        <f>IFERROR(__xludf.DUMMYFUNCTION("""COMPUTED_VALUE"""),"Allgeier")</f>
        <v>Allgeier</v>
      </c>
      <c r="Z67" s="3">
        <v>21.0</v>
      </c>
      <c r="AA67" s="3">
        <f t="shared" si="6"/>
        <v>0</v>
      </c>
      <c r="AB67" s="3">
        <f t="shared" si="7"/>
        <v>0</v>
      </c>
      <c r="AC67" s="3">
        <f t="shared" si="8"/>
        <v>0.8695652174</v>
      </c>
      <c r="AD67" s="3">
        <f t="shared" si="9"/>
        <v>-1</v>
      </c>
    </row>
    <row r="68">
      <c r="A68" s="1" t="s">
        <v>9</v>
      </c>
      <c r="B68" s="1" t="s">
        <v>458</v>
      </c>
      <c r="C68" s="1" t="s">
        <v>19</v>
      </c>
      <c r="D68" s="1" t="s">
        <v>104</v>
      </c>
      <c r="E68" s="1" t="s">
        <v>105</v>
      </c>
      <c r="F68" s="1" t="s">
        <v>59</v>
      </c>
      <c r="G68" s="1">
        <v>84.0</v>
      </c>
      <c r="H68" s="1" t="s">
        <v>60</v>
      </c>
      <c r="I68" s="1">
        <v>-117.0</v>
      </c>
      <c r="J68" s="1">
        <v>-0.0895799793528578</v>
      </c>
      <c r="K68" s="1" t="s">
        <v>61</v>
      </c>
      <c r="L68" s="1" t="s">
        <v>61</v>
      </c>
      <c r="M68" s="1" t="s">
        <v>62</v>
      </c>
      <c r="N68" s="1">
        <v>-116.0</v>
      </c>
      <c r="O68" s="1">
        <v>0.0141165384422099</v>
      </c>
      <c r="P68" s="1" t="s">
        <v>61</v>
      </c>
      <c r="Q68" s="1" t="s">
        <v>61</v>
      </c>
      <c r="R68" s="1">
        <f t="shared" si="1"/>
        <v>0.01411653844</v>
      </c>
      <c r="S68" s="1">
        <f t="shared" si="2"/>
        <v>-116</v>
      </c>
      <c r="T68" s="1">
        <f t="shared" si="3"/>
        <v>1.862068966</v>
      </c>
      <c r="U68" s="1">
        <f t="shared" si="4"/>
        <v>0</v>
      </c>
      <c r="V68" s="3">
        <f t="shared" si="5"/>
        <v>1</v>
      </c>
      <c r="W68" s="3" t="str">
        <f>IFERROR(__xludf.DUMMYFUNCTION("split(B68,"" "")"),"J.")</f>
        <v>J.</v>
      </c>
      <c r="X68" s="3" t="str">
        <f>IFERROR(__xludf.DUMMYFUNCTION("""COMPUTED_VALUE"""),"Cook")</f>
        <v>Cook</v>
      </c>
      <c r="Z68" s="3">
        <v>103.0</v>
      </c>
      <c r="AA68" s="3">
        <f t="shared" si="6"/>
        <v>1</v>
      </c>
      <c r="AB68" s="3">
        <f t="shared" si="7"/>
        <v>0</v>
      </c>
      <c r="AC68" s="3">
        <f t="shared" si="8"/>
        <v>0.8620689655</v>
      </c>
      <c r="AD68" s="3">
        <f t="shared" si="9"/>
        <v>-1</v>
      </c>
    </row>
    <row r="69">
      <c r="A69" s="1" t="s">
        <v>10</v>
      </c>
      <c r="B69" s="1" t="s">
        <v>282</v>
      </c>
      <c r="C69" s="1" t="s">
        <v>19</v>
      </c>
      <c r="D69" s="1" t="s">
        <v>58</v>
      </c>
      <c r="E69" s="1" t="s">
        <v>57</v>
      </c>
      <c r="F69" s="1" t="s">
        <v>59</v>
      </c>
      <c r="G69" s="1">
        <v>52.5</v>
      </c>
      <c r="H69" s="1" t="s">
        <v>60</v>
      </c>
      <c r="I69" s="1">
        <v>-112.0</v>
      </c>
      <c r="J69" s="1">
        <v>-0.0898761325419291</v>
      </c>
      <c r="K69" s="1" t="s">
        <v>61</v>
      </c>
      <c r="L69" s="1" t="s">
        <v>61</v>
      </c>
      <c r="M69" s="1" t="s">
        <v>62</v>
      </c>
      <c r="N69" s="1">
        <v>-121.0</v>
      </c>
      <c r="O69" s="1">
        <v>0.0140908986499966</v>
      </c>
      <c r="P69" s="1" t="s">
        <v>61</v>
      </c>
      <c r="Q69" s="1" t="s">
        <v>61</v>
      </c>
      <c r="R69" s="1">
        <f t="shared" si="1"/>
        <v>0.01409089865</v>
      </c>
      <c r="S69" s="1">
        <f t="shared" si="2"/>
        <v>-121</v>
      </c>
      <c r="T69" s="1">
        <f t="shared" si="3"/>
        <v>1.826446281</v>
      </c>
      <c r="U69" s="1">
        <f t="shared" si="4"/>
        <v>0</v>
      </c>
      <c r="V69" s="3">
        <f t="shared" si="5"/>
        <v>1</v>
      </c>
      <c r="W69" s="3" t="str">
        <f>IFERROR(__xludf.DUMMYFUNCTION("split(B69,"" "")"),"A.")</f>
        <v>A.</v>
      </c>
      <c r="X69" s="3" t="str">
        <f>IFERROR(__xludf.DUMMYFUNCTION("""COMPUTED_VALUE"""),"Kamara")</f>
        <v>Kamara</v>
      </c>
      <c r="Z69" s="3">
        <v>83.0</v>
      </c>
      <c r="AA69" s="3">
        <f t="shared" si="6"/>
        <v>1</v>
      </c>
      <c r="AB69" s="3">
        <f t="shared" si="7"/>
        <v>0</v>
      </c>
      <c r="AC69" s="3">
        <f t="shared" si="8"/>
        <v>0.826446281</v>
      </c>
      <c r="AD69" s="3">
        <f t="shared" si="9"/>
        <v>-1</v>
      </c>
    </row>
    <row r="70">
      <c r="A70" s="1" t="s">
        <v>12</v>
      </c>
      <c r="B70" s="1" t="s">
        <v>492</v>
      </c>
      <c r="C70" s="1" t="s">
        <v>18</v>
      </c>
      <c r="D70" s="1" t="s">
        <v>156</v>
      </c>
      <c r="E70" s="1" t="s">
        <v>157</v>
      </c>
      <c r="F70" s="1" t="s">
        <v>158</v>
      </c>
      <c r="G70" s="1">
        <v>5.5</v>
      </c>
      <c r="H70" s="1" t="s">
        <v>60</v>
      </c>
      <c r="I70" s="1">
        <v>-120.0</v>
      </c>
      <c r="J70" s="6">
        <v>0.0140454545454545</v>
      </c>
      <c r="K70" s="1" t="s">
        <v>61</v>
      </c>
      <c r="L70" s="1" t="s">
        <v>61</v>
      </c>
      <c r="M70" s="1" t="s">
        <v>62</v>
      </c>
      <c r="N70" s="1">
        <v>-109.0</v>
      </c>
      <c r="O70" s="6">
        <v>-0.0810311004784687</v>
      </c>
      <c r="P70" s="1" t="s">
        <v>61</v>
      </c>
      <c r="Q70" s="1" t="s">
        <v>61</v>
      </c>
      <c r="R70" s="6">
        <f t="shared" si="1"/>
        <v>0.01404545455</v>
      </c>
      <c r="S70" s="1">
        <f t="shared" si="2"/>
        <v>-120</v>
      </c>
      <c r="T70" s="1">
        <f t="shared" si="3"/>
        <v>1.833333333</v>
      </c>
      <c r="U70" s="1">
        <f t="shared" si="4"/>
        <v>1</v>
      </c>
      <c r="V70" s="3">
        <f t="shared" si="5"/>
        <v>1</v>
      </c>
      <c r="W70" s="3" t="str">
        <f>IFERROR(__xludf.DUMMYFUNCTION("split(B70,"" "")"),"A.")</f>
        <v>A.</v>
      </c>
      <c r="X70" s="3" t="str">
        <f>IFERROR(__xludf.DUMMYFUNCTION("""COMPUTED_VALUE"""),"Brown")</f>
        <v>Brown</v>
      </c>
      <c r="Z70" s="3">
        <v>5.0</v>
      </c>
      <c r="AA70" s="3">
        <f t="shared" si="6"/>
        <v>0</v>
      </c>
      <c r="AB70" s="3">
        <f t="shared" si="7"/>
        <v>0</v>
      </c>
      <c r="AC70" s="3">
        <f t="shared" si="8"/>
        <v>0.8333333333</v>
      </c>
      <c r="AD70" s="3">
        <f t="shared" si="9"/>
        <v>-1</v>
      </c>
    </row>
    <row r="71">
      <c r="A71" s="1" t="s">
        <v>11</v>
      </c>
      <c r="B71" s="1" t="s">
        <v>480</v>
      </c>
      <c r="C71" s="1" t="s">
        <v>18</v>
      </c>
      <c r="D71" s="1" t="s">
        <v>82</v>
      </c>
      <c r="E71" s="1" t="s">
        <v>83</v>
      </c>
      <c r="F71" s="1" t="s">
        <v>84</v>
      </c>
      <c r="G71" s="1">
        <v>40.5</v>
      </c>
      <c r="H71" s="1" t="s">
        <v>60</v>
      </c>
      <c r="I71" s="1">
        <v>-117.0</v>
      </c>
      <c r="J71" s="1">
        <v>-0.0831963085368203</v>
      </c>
      <c r="K71" s="1" t="s">
        <v>61</v>
      </c>
      <c r="L71" s="1" t="s">
        <v>61</v>
      </c>
      <c r="M71" s="1" t="s">
        <v>62</v>
      </c>
      <c r="N71" s="1">
        <v>-113.0</v>
      </c>
      <c r="O71" s="1">
        <v>0.0135568363900752</v>
      </c>
      <c r="P71" s="1" t="s">
        <v>61</v>
      </c>
      <c r="Q71" s="1" t="s">
        <v>61</v>
      </c>
      <c r="R71" s="1">
        <f t="shared" si="1"/>
        <v>0.01355683639</v>
      </c>
      <c r="S71" s="1">
        <f t="shared" si="2"/>
        <v>-113</v>
      </c>
      <c r="T71" s="1">
        <f t="shared" si="3"/>
        <v>1.884955752</v>
      </c>
      <c r="U71" s="1">
        <f t="shared" si="4"/>
        <v>0</v>
      </c>
      <c r="V71" s="3">
        <f t="shared" si="5"/>
        <v>1</v>
      </c>
      <c r="W71" s="3" t="str">
        <f>IFERROR(__xludf.DUMMYFUNCTION("split(B71,"" "")"),"T.")</f>
        <v>T.</v>
      </c>
      <c r="X71" s="3" t="str">
        <f>IFERROR(__xludf.DUMMYFUNCTION("""COMPUTED_VALUE"""),"Lockett")</f>
        <v>Lockett</v>
      </c>
      <c r="Z71" s="3">
        <v>77.0</v>
      </c>
      <c r="AA71" s="3">
        <f t="shared" si="6"/>
        <v>1</v>
      </c>
      <c r="AB71" s="3">
        <f t="shared" si="7"/>
        <v>0</v>
      </c>
      <c r="AC71" s="3">
        <f t="shared" si="8"/>
        <v>0.8849557522</v>
      </c>
      <c r="AD71" s="3">
        <f t="shared" si="9"/>
        <v>-1</v>
      </c>
    </row>
    <row r="72">
      <c r="A72" s="1" t="s">
        <v>11</v>
      </c>
      <c r="B72" s="1" t="s">
        <v>463</v>
      </c>
      <c r="C72" s="1" t="s">
        <v>18</v>
      </c>
      <c r="D72" s="1" t="s">
        <v>88</v>
      </c>
      <c r="E72" s="1" t="s">
        <v>89</v>
      </c>
      <c r="F72" s="1" t="s">
        <v>90</v>
      </c>
      <c r="G72" s="1">
        <v>39.0</v>
      </c>
      <c r="H72" s="1" t="s">
        <v>60</v>
      </c>
      <c r="I72" s="1">
        <v>-113.0</v>
      </c>
      <c r="J72" s="1">
        <v>-0.0820282634576996</v>
      </c>
      <c r="K72" s="1" t="s">
        <v>61</v>
      </c>
      <c r="L72" s="1" t="s">
        <v>61</v>
      </c>
      <c r="M72" s="1" t="s">
        <v>62</v>
      </c>
      <c r="N72" s="1">
        <v>-117.0</v>
      </c>
      <c r="O72" s="1">
        <v>0.0133221582180922</v>
      </c>
      <c r="P72" s="1" t="s">
        <v>61</v>
      </c>
      <c r="Q72" s="1" t="s">
        <v>61</v>
      </c>
      <c r="R72" s="1">
        <f t="shared" si="1"/>
        <v>0.01332215822</v>
      </c>
      <c r="S72" s="1">
        <f t="shared" si="2"/>
        <v>-117</v>
      </c>
      <c r="T72" s="1">
        <f t="shared" si="3"/>
        <v>1.854700855</v>
      </c>
      <c r="U72" s="1">
        <f t="shared" si="4"/>
        <v>0</v>
      </c>
      <c r="V72" s="3">
        <f t="shared" si="5"/>
        <v>1</v>
      </c>
      <c r="W72" s="3" t="str">
        <f>IFERROR(__xludf.DUMMYFUNCTION("split(B72,"" "")"),"B.")</f>
        <v>B.</v>
      </c>
      <c r="X72" s="3" t="str">
        <f>IFERROR(__xludf.DUMMYFUNCTION("""COMPUTED_VALUE"""),"Cooks")</f>
        <v>Cooks</v>
      </c>
      <c r="Z72" s="3">
        <v>40.0</v>
      </c>
      <c r="AA72" s="3">
        <f t="shared" si="6"/>
        <v>1</v>
      </c>
      <c r="AB72" s="3">
        <f t="shared" si="7"/>
        <v>0</v>
      </c>
      <c r="AC72" s="3">
        <f t="shared" si="8"/>
        <v>0.8547008547</v>
      </c>
      <c r="AD72" s="3">
        <f t="shared" si="9"/>
        <v>-1</v>
      </c>
    </row>
    <row r="73">
      <c r="A73" s="1" t="s">
        <v>13</v>
      </c>
      <c r="B73" s="1" t="s">
        <v>75</v>
      </c>
      <c r="C73" s="1" t="s">
        <v>21</v>
      </c>
      <c r="D73" s="1" t="s">
        <v>76</v>
      </c>
      <c r="E73" s="1" t="s">
        <v>77</v>
      </c>
      <c r="F73" s="1" t="s">
        <v>78</v>
      </c>
      <c r="G73" s="1">
        <v>269.0</v>
      </c>
      <c r="H73" s="1" t="s">
        <v>60</v>
      </c>
      <c r="I73" s="1">
        <v>-116.0</v>
      </c>
      <c r="J73" s="6">
        <v>-0.0795992123537038</v>
      </c>
      <c r="K73" s="1" t="s">
        <v>61</v>
      </c>
      <c r="L73" s="1" t="s">
        <v>61</v>
      </c>
      <c r="M73" s="1" t="s">
        <v>62</v>
      </c>
      <c r="N73" s="1">
        <v>-113.0</v>
      </c>
      <c r="O73" s="6">
        <v>0.0123020797652582</v>
      </c>
      <c r="P73" s="1" t="s">
        <v>61</v>
      </c>
      <c r="Q73" s="1" t="s">
        <v>61</v>
      </c>
      <c r="R73" s="6">
        <f t="shared" si="1"/>
        <v>0.01230207977</v>
      </c>
      <c r="S73" s="1">
        <f t="shared" si="2"/>
        <v>-113</v>
      </c>
      <c r="T73" s="1">
        <f t="shared" si="3"/>
        <v>1.884955752</v>
      </c>
      <c r="U73" s="1">
        <f t="shared" si="4"/>
        <v>0</v>
      </c>
      <c r="V73" s="3">
        <f t="shared" si="5"/>
        <v>1</v>
      </c>
      <c r="W73" s="3" t="str">
        <f>IFERROR(__xludf.DUMMYFUNCTION("split(B73,"" "")"),"P.")</f>
        <v>P.</v>
      </c>
      <c r="X73" s="3" t="str">
        <f>IFERROR(__xludf.DUMMYFUNCTION("""COMPUTED_VALUE"""),"Mahomes")</f>
        <v>Mahomes</v>
      </c>
      <c r="Z73" s="3">
        <v>291.0</v>
      </c>
      <c r="AA73" s="3">
        <f t="shared" si="6"/>
        <v>1</v>
      </c>
      <c r="AB73" s="3">
        <f t="shared" si="7"/>
        <v>0</v>
      </c>
      <c r="AC73" s="3">
        <f t="shared" si="8"/>
        <v>0.8849557522</v>
      </c>
      <c r="AD73" s="3">
        <f t="shared" si="9"/>
        <v>-1</v>
      </c>
    </row>
    <row r="74">
      <c r="A74" s="1" t="s">
        <v>11</v>
      </c>
      <c r="B74" s="1" t="s">
        <v>152</v>
      </c>
      <c r="C74" s="1" t="s">
        <v>19</v>
      </c>
      <c r="D74" s="1" t="s">
        <v>88</v>
      </c>
      <c r="E74" s="1" t="s">
        <v>89</v>
      </c>
      <c r="F74" s="1" t="s">
        <v>90</v>
      </c>
      <c r="G74" s="1">
        <v>8.5</v>
      </c>
      <c r="H74" s="1" t="s">
        <v>60</v>
      </c>
      <c r="I74" s="1">
        <v>-120.0</v>
      </c>
      <c r="J74" s="1">
        <v>0.0115188888458227</v>
      </c>
      <c r="K74" s="1" t="s">
        <v>61</v>
      </c>
      <c r="L74" s="1" t="s">
        <v>61</v>
      </c>
      <c r="M74" s="1" t="s">
        <v>62</v>
      </c>
      <c r="N74" s="1">
        <v>-110.0</v>
      </c>
      <c r="O74" s="1">
        <v>-0.0807179576223289</v>
      </c>
      <c r="P74" s="1" t="s">
        <v>61</v>
      </c>
      <c r="Q74" s="1" t="s">
        <v>61</v>
      </c>
      <c r="R74" s="1">
        <f t="shared" si="1"/>
        <v>0.01151888885</v>
      </c>
      <c r="S74" s="1">
        <f t="shared" si="2"/>
        <v>-120</v>
      </c>
      <c r="T74" s="1">
        <f t="shared" si="3"/>
        <v>1.833333333</v>
      </c>
      <c r="U74" s="1">
        <f t="shared" si="4"/>
        <v>1</v>
      </c>
      <c r="V74" s="3">
        <f t="shared" si="5"/>
        <v>1</v>
      </c>
      <c r="W74" s="3" t="str">
        <f>IFERROR(__xludf.DUMMYFUNCTION("split(B74,"" "")"),"R.")</f>
        <v>R.</v>
      </c>
      <c r="X74" s="3" t="str">
        <f>IFERROR(__xludf.DUMMYFUNCTION("""COMPUTED_VALUE"""),"Dowdle")</f>
        <v>Dowdle</v>
      </c>
      <c r="Z74" s="3">
        <v>6.0</v>
      </c>
      <c r="AA74" s="3">
        <f t="shared" si="6"/>
        <v>0</v>
      </c>
      <c r="AB74" s="3">
        <f t="shared" si="7"/>
        <v>0</v>
      </c>
      <c r="AC74" s="3">
        <f t="shared" si="8"/>
        <v>0.8333333333</v>
      </c>
      <c r="AD74" s="3">
        <f t="shared" si="9"/>
        <v>-1</v>
      </c>
    </row>
    <row r="75">
      <c r="A75" s="1" t="s">
        <v>11</v>
      </c>
      <c r="B75" s="1" t="s">
        <v>133</v>
      </c>
      <c r="C75" s="1" t="s">
        <v>19</v>
      </c>
      <c r="D75" s="1" t="s">
        <v>134</v>
      </c>
      <c r="E75" s="1" t="s">
        <v>135</v>
      </c>
      <c r="F75" s="1" t="s">
        <v>84</v>
      </c>
      <c r="G75" s="1">
        <v>9.5</v>
      </c>
      <c r="H75" s="1" t="s">
        <v>60</v>
      </c>
      <c r="I75" s="1">
        <v>-113.0</v>
      </c>
      <c r="J75" s="1">
        <v>0.0110747254841589</v>
      </c>
      <c r="K75" s="1" t="s">
        <v>61</v>
      </c>
      <c r="L75" s="1" t="s">
        <v>61</v>
      </c>
      <c r="M75" s="1" t="s">
        <v>62</v>
      </c>
      <c r="N75" s="1">
        <v>-118.0</v>
      </c>
      <c r="O75" s="1">
        <v>-0.0828436215742593</v>
      </c>
      <c r="P75" s="1" t="s">
        <v>61</v>
      </c>
      <c r="Q75" s="1" t="s">
        <v>61</v>
      </c>
      <c r="R75" s="1">
        <f t="shared" si="1"/>
        <v>0.01107472548</v>
      </c>
      <c r="S75" s="1">
        <f t="shared" si="2"/>
        <v>-113</v>
      </c>
      <c r="T75" s="1">
        <f t="shared" si="3"/>
        <v>1.884955752</v>
      </c>
      <c r="U75" s="1">
        <f t="shared" si="4"/>
        <v>1</v>
      </c>
      <c r="V75" s="3">
        <f t="shared" si="5"/>
        <v>1</v>
      </c>
      <c r="W75" s="3" t="str">
        <f>IFERROR(__xludf.DUMMYFUNCTION("split(B75,"" "")"),"Z.")</f>
        <v>Z.</v>
      </c>
      <c r="X75" s="3" t="str">
        <f>IFERROR(__xludf.DUMMYFUNCTION("""COMPUTED_VALUE"""),"White")</f>
        <v>White</v>
      </c>
      <c r="Z75" s="3">
        <v>2.0</v>
      </c>
      <c r="AA75" s="3">
        <f t="shared" si="6"/>
        <v>0</v>
      </c>
      <c r="AB75" s="3">
        <f t="shared" si="7"/>
        <v>0</v>
      </c>
      <c r="AC75" s="3">
        <f t="shared" si="8"/>
        <v>0.8849557522</v>
      </c>
      <c r="AD75" s="3">
        <f t="shared" si="9"/>
        <v>-1</v>
      </c>
    </row>
    <row r="76">
      <c r="A76" s="1" t="s">
        <v>9</v>
      </c>
      <c r="B76" s="1" t="s">
        <v>152</v>
      </c>
      <c r="C76" s="1" t="s">
        <v>19</v>
      </c>
      <c r="D76" s="1" t="s">
        <v>88</v>
      </c>
      <c r="E76" s="1" t="s">
        <v>89</v>
      </c>
      <c r="F76" s="1" t="s">
        <v>90</v>
      </c>
      <c r="G76" s="1">
        <v>36.5</v>
      </c>
      <c r="H76" s="1" t="s">
        <v>60</v>
      </c>
      <c r="I76" s="1">
        <v>-115.0</v>
      </c>
      <c r="J76" s="1">
        <v>0.0104490053189921</v>
      </c>
      <c r="K76" s="1" t="s">
        <v>61</v>
      </c>
      <c r="L76" s="1" t="s">
        <v>61</v>
      </c>
      <c r="M76" s="1" t="s">
        <v>62</v>
      </c>
      <c r="N76" s="1">
        <v>-115.0</v>
      </c>
      <c r="O76" s="1">
        <v>-0.0802063561168411</v>
      </c>
      <c r="P76" s="1" t="s">
        <v>61</v>
      </c>
      <c r="Q76" s="1" t="s">
        <v>61</v>
      </c>
      <c r="R76" s="1">
        <f t="shared" si="1"/>
        <v>0.01044900532</v>
      </c>
      <c r="S76" s="1">
        <f t="shared" si="2"/>
        <v>-115</v>
      </c>
      <c r="T76" s="1">
        <f t="shared" si="3"/>
        <v>1.869565217</v>
      </c>
      <c r="U76" s="1">
        <f t="shared" si="4"/>
        <v>1</v>
      </c>
      <c r="V76" s="3">
        <f t="shared" si="5"/>
        <v>1</v>
      </c>
      <c r="W76" s="3" t="str">
        <f>IFERROR(__xludf.DUMMYFUNCTION("split(B76,"" "")"),"R.")</f>
        <v>R.</v>
      </c>
      <c r="X76" s="3" t="str">
        <f>IFERROR(__xludf.DUMMYFUNCTION("""COMPUTED_VALUE"""),"Dowdle")</f>
        <v>Dowdle</v>
      </c>
      <c r="Z76" s="3">
        <v>32.0</v>
      </c>
      <c r="AA76" s="3">
        <f t="shared" si="6"/>
        <v>0</v>
      </c>
      <c r="AB76" s="3">
        <f t="shared" si="7"/>
        <v>0</v>
      </c>
      <c r="AC76" s="3">
        <f t="shared" si="8"/>
        <v>0.8695652174</v>
      </c>
      <c r="AD76" s="3">
        <f t="shared" si="9"/>
        <v>-1</v>
      </c>
    </row>
    <row r="77">
      <c r="A77" s="1" t="s">
        <v>14</v>
      </c>
      <c r="B77" s="1" t="s">
        <v>474</v>
      </c>
      <c r="C77" s="1" t="s">
        <v>21</v>
      </c>
      <c r="D77" s="1" t="s">
        <v>134</v>
      </c>
      <c r="E77" s="1" t="s">
        <v>135</v>
      </c>
      <c r="F77" s="1" t="s">
        <v>84</v>
      </c>
      <c r="G77" s="1">
        <v>1.5</v>
      </c>
      <c r="H77" s="1" t="s">
        <v>60</v>
      </c>
      <c r="I77" s="1">
        <v>144.0</v>
      </c>
      <c r="J77" s="1">
        <v>0.0099639344262295</v>
      </c>
      <c r="K77" s="1" t="s">
        <v>61</v>
      </c>
      <c r="L77" s="1" t="s">
        <v>61</v>
      </c>
      <c r="M77" s="1" t="s">
        <v>62</v>
      </c>
      <c r="N77" s="1">
        <v>-196.0</v>
      </c>
      <c r="O77" s="1">
        <v>-0.0819621621621621</v>
      </c>
      <c r="P77" s="1" t="s">
        <v>61</v>
      </c>
      <c r="Q77" s="1" t="s">
        <v>61</v>
      </c>
      <c r="R77" s="1">
        <f t="shared" si="1"/>
        <v>0.009963934426</v>
      </c>
      <c r="S77" s="1">
        <f t="shared" si="2"/>
        <v>144</v>
      </c>
      <c r="T77" s="1">
        <f t="shared" si="3"/>
        <v>2.44</v>
      </c>
      <c r="U77" s="1">
        <f t="shared" si="4"/>
        <v>1</v>
      </c>
      <c r="V77" s="3">
        <f t="shared" si="5"/>
        <v>1</v>
      </c>
      <c r="W77" s="3" t="str">
        <f>IFERROR(__xludf.DUMMYFUNCTION("split(B77,"" "")"),"G.")</f>
        <v>G.</v>
      </c>
      <c r="X77" s="3" t="str">
        <f>IFERROR(__xludf.DUMMYFUNCTION("""COMPUTED_VALUE"""),"Minshew")</f>
        <v>Minshew</v>
      </c>
      <c r="Z77" s="3">
        <v>1.0</v>
      </c>
      <c r="AA77" s="3">
        <f t="shared" si="6"/>
        <v>0</v>
      </c>
      <c r="AB77" s="3">
        <f t="shared" si="7"/>
        <v>0</v>
      </c>
      <c r="AC77" s="3">
        <f t="shared" si="8"/>
        <v>1.44</v>
      </c>
      <c r="AD77" s="3">
        <f t="shared" si="9"/>
        <v>-1</v>
      </c>
    </row>
    <row r="78">
      <c r="A78" s="1" t="s">
        <v>13</v>
      </c>
      <c r="B78" s="1" t="s">
        <v>405</v>
      </c>
      <c r="C78" s="1" t="s">
        <v>21</v>
      </c>
      <c r="D78" s="1" t="s">
        <v>135</v>
      </c>
      <c r="E78" s="1" t="s">
        <v>134</v>
      </c>
      <c r="F78" s="1" t="s">
        <v>84</v>
      </c>
      <c r="G78" s="1">
        <v>225.5</v>
      </c>
      <c r="H78" s="1" t="s">
        <v>60</v>
      </c>
      <c r="I78" s="1">
        <v>-115.0</v>
      </c>
      <c r="J78" s="1">
        <v>0.00981627906976689</v>
      </c>
      <c r="K78" s="1" t="s">
        <v>61</v>
      </c>
      <c r="L78" s="1" t="s">
        <v>61</v>
      </c>
      <c r="M78" s="1" t="s">
        <v>62</v>
      </c>
      <c r="N78" s="1">
        <v>-115.0</v>
      </c>
      <c r="O78" s="1">
        <v>-0.0795837209302321</v>
      </c>
      <c r="P78" s="1" t="s">
        <v>61</v>
      </c>
      <c r="Q78" s="1" t="s">
        <v>61</v>
      </c>
      <c r="R78" s="1">
        <f t="shared" si="1"/>
        <v>0.00981627907</v>
      </c>
      <c r="S78" s="1">
        <f t="shared" si="2"/>
        <v>-115</v>
      </c>
      <c r="T78" s="1">
        <f t="shared" si="3"/>
        <v>1.869565217</v>
      </c>
      <c r="U78" s="1">
        <f t="shared" si="4"/>
        <v>1</v>
      </c>
      <c r="V78" s="3">
        <f t="shared" si="5"/>
        <v>1</v>
      </c>
      <c r="W78" s="3" t="str">
        <f>IFERROR(__xludf.DUMMYFUNCTION("split(B78,"" "")"),"J.")</f>
        <v>J.</v>
      </c>
      <c r="X78" s="3" t="str">
        <f>IFERROR(__xludf.DUMMYFUNCTION("""COMPUTED_VALUE"""),"Herbert")</f>
        <v>Herbert</v>
      </c>
      <c r="Z78" s="3">
        <v>144.0</v>
      </c>
      <c r="AA78" s="3">
        <f t="shared" si="6"/>
        <v>0</v>
      </c>
      <c r="AB78" s="3">
        <f t="shared" si="7"/>
        <v>0</v>
      </c>
      <c r="AC78" s="3">
        <f t="shared" si="8"/>
        <v>0.8695652174</v>
      </c>
      <c r="AD78" s="3">
        <f t="shared" si="9"/>
        <v>-1</v>
      </c>
    </row>
    <row r="79">
      <c r="A79" s="1" t="s">
        <v>11</v>
      </c>
      <c r="B79" s="1" t="s">
        <v>278</v>
      </c>
      <c r="C79" s="1" t="s">
        <v>18</v>
      </c>
      <c r="D79" s="1" t="s">
        <v>134</v>
      </c>
      <c r="E79" s="1" t="s">
        <v>135</v>
      </c>
      <c r="F79" s="1" t="s">
        <v>84</v>
      </c>
      <c r="G79" s="1">
        <v>40.5</v>
      </c>
      <c r="H79" s="1" t="s">
        <v>60</v>
      </c>
      <c r="I79" s="1">
        <v>-115.0</v>
      </c>
      <c r="J79" s="1">
        <v>-0.0834224149409304</v>
      </c>
      <c r="K79" s="1" t="s">
        <v>61</v>
      </c>
      <c r="L79" s="1" t="s">
        <v>61</v>
      </c>
      <c r="M79" s="1" t="s">
        <v>62</v>
      </c>
      <c r="N79" s="1">
        <v>-117.0</v>
      </c>
      <c r="O79" s="1">
        <v>0.00938825980929503</v>
      </c>
      <c r="P79" s="1" t="s">
        <v>61</v>
      </c>
      <c r="Q79" s="1" t="s">
        <v>61</v>
      </c>
      <c r="R79" s="1">
        <f t="shared" si="1"/>
        <v>0.009388259809</v>
      </c>
      <c r="S79" s="1">
        <f t="shared" si="2"/>
        <v>-117</v>
      </c>
      <c r="T79" s="1">
        <f t="shared" si="3"/>
        <v>1.854700855</v>
      </c>
      <c r="U79" s="1">
        <f t="shared" si="4"/>
        <v>0</v>
      </c>
      <c r="V79" s="3">
        <f t="shared" si="5"/>
        <v>1</v>
      </c>
      <c r="W79" s="3" t="str">
        <f>IFERROR(__xludf.DUMMYFUNCTION("split(B79,"" "")"),"J.")</f>
        <v>J.</v>
      </c>
      <c r="X79" s="3" t="str">
        <f>IFERROR(__xludf.DUMMYFUNCTION("""COMPUTED_VALUE"""),"Meyers")</f>
        <v>Meyers</v>
      </c>
      <c r="Z79" s="3">
        <v>61.0</v>
      </c>
      <c r="AA79" s="3">
        <f t="shared" si="6"/>
        <v>1</v>
      </c>
      <c r="AB79" s="3">
        <f t="shared" si="7"/>
        <v>0</v>
      </c>
      <c r="AC79" s="3">
        <f t="shared" si="8"/>
        <v>0.8547008547</v>
      </c>
      <c r="AD79" s="3">
        <f t="shared" si="9"/>
        <v>-1</v>
      </c>
    </row>
    <row r="80">
      <c r="A80" s="1" t="s">
        <v>12</v>
      </c>
      <c r="B80" s="1" t="s">
        <v>493</v>
      </c>
      <c r="C80" s="1" t="s">
        <v>18</v>
      </c>
      <c r="D80" s="1" t="s">
        <v>76</v>
      </c>
      <c r="E80" s="1" t="s">
        <v>77</v>
      </c>
      <c r="F80" s="1" t="s">
        <v>78</v>
      </c>
      <c r="G80" s="1">
        <v>5.5</v>
      </c>
      <c r="H80" s="1" t="s">
        <v>60</v>
      </c>
      <c r="I80" s="1">
        <v>-137.0</v>
      </c>
      <c r="J80" s="6">
        <v>-0.0776012658227848</v>
      </c>
      <c r="K80" s="1" t="s">
        <v>61</v>
      </c>
      <c r="L80" s="1" t="s">
        <v>61</v>
      </c>
      <c r="M80" s="1" t="s">
        <v>62</v>
      </c>
      <c r="N80" s="1">
        <v>104.0</v>
      </c>
      <c r="O80" s="6">
        <v>0.00935294117647062</v>
      </c>
      <c r="P80" s="1" t="s">
        <v>61</v>
      </c>
      <c r="Q80" s="1" t="s">
        <v>61</v>
      </c>
      <c r="R80" s="6">
        <f t="shared" si="1"/>
        <v>0.009352941176</v>
      </c>
      <c r="S80" s="1">
        <f t="shared" si="2"/>
        <v>104</v>
      </c>
      <c r="T80" s="1">
        <f t="shared" si="3"/>
        <v>2.04</v>
      </c>
      <c r="U80" s="1">
        <f t="shared" si="4"/>
        <v>0</v>
      </c>
      <c r="V80" s="3">
        <f t="shared" si="5"/>
        <v>1</v>
      </c>
      <c r="W80" s="3" t="str">
        <f>IFERROR(__xludf.DUMMYFUNCTION("split(B80,"" "")"),"R.")</f>
        <v>R.</v>
      </c>
      <c r="X80" s="3" t="str">
        <f>IFERROR(__xludf.DUMMYFUNCTION("""COMPUTED_VALUE"""),"Rice")</f>
        <v>Rice</v>
      </c>
      <c r="Z80" s="3">
        <v>7.0</v>
      </c>
      <c r="AA80" s="3">
        <f t="shared" si="6"/>
        <v>1</v>
      </c>
      <c r="AB80" s="3">
        <f t="shared" si="7"/>
        <v>0</v>
      </c>
      <c r="AC80" s="3">
        <f t="shared" si="8"/>
        <v>1.04</v>
      </c>
      <c r="AD80" s="3">
        <f t="shared" si="9"/>
        <v>-1</v>
      </c>
    </row>
    <row r="81">
      <c r="A81" s="1" t="s">
        <v>10</v>
      </c>
      <c r="B81" s="1" t="s">
        <v>424</v>
      </c>
      <c r="C81" s="1" t="s">
        <v>19</v>
      </c>
      <c r="D81" s="1" t="s">
        <v>76</v>
      </c>
      <c r="E81" s="1" t="s">
        <v>77</v>
      </c>
      <c r="F81" s="1" t="s">
        <v>78</v>
      </c>
      <c r="G81" s="1">
        <v>7.5</v>
      </c>
      <c r="H81" s="1" t="s">
        <v>60</v>
      </c>
      <c r="I81" s="1">
        <v>-115.0</v>
      </c>
      <c r="J81" s="6">
        <v>0.00894016318033685</v>
      </c>
      <c r="K81" s="1" t="s">
        <v>61</v>
      </c>
      <c r="L81" s="1" t="s">
        <v>61</v>
      </c>
      <c r="M81" s="1" t="s">
        <v>62</v>
      </c>
      <c r="N81" s="1">
        <v>-115.0</v>
      </c>
      <c r="O81" s="6">
        <v>-0.0786811876573874</v>
      </c>
      <c r="P81" s="1" t="s">
        <v>61</v>
      </c>
      <c r="Q81" s="1" t="s">
        <v>61</v>
      </c>
      <c r="R81" s="6">
        <f t="shared" si="1"/>
        <v>0.00894016318</v>
      </c>
      <c r="S81" s="1">
        <f t="shared" si="2"/>
        <v>-115</v>
      </c>
      <c r="T81" s="1">
        <f t="shared" si="3"/>
        <v>1.869565217</v>
      </c>
      <c r="U81" s="1">
        <f t="shared" si="4"/>
        <v>1</v>
      </c>
      <c r="V81" s="3">
        <f t="shared" si="5"/>
        <v>1</v>
      </c>
      <c r="W81" s="3" t="str">
        <f>IFERROR(__xludf.DUMMYFUNCTION("split(B81,"" "")"),"S.")</f>
        <v>S.</v>
      </c>
      <c r="X81" s="3" t="str">
        <f>IFERROR(__xludf.DUMMYFUNCTION("""COMPUTED_VALUE"""),"Perine")</f>
        <v>Perine</v>
      </c>
      <c r="Z81" s="3">
        <v>0.0</v>
      </c>
      <c r="AA81" s="3">
        <f t="shared" si="6"/>
        <v>0</v>
      </c>
      <c r="AB81" s="3">
        <f t="shared" si="7"/>
        <v>0</v>
      </c>
      <c r="AC81" s="3">
        <f t="shared" si="8"/>
        <v>0.8695652174</v>
      </c>
      <c r="AD81" s="3">
        <f t="shared" si="9"/>
        <v>-1</v>
      </c>
    </row>
    <row r="82">
      <c r="A82" s="1" t="s">
        <v>11</v>
      </c>
      <c r="B82" s="1" t="s">
        <v>478</v>
      </c>
      <c r="C82" s="1" t="s">
        <v>18</v>
      </c>
      <c r="D82" s="1" t="s">
        <v>147</v>
      </c>
      <c r="E82" s="1" t="s">
        <v>146</v>
      </c>
      <c r="F82" s="1" t="s">
        <v>59</v>
      </c>
      <c r="G82" s="1">
        <v>63.5</v>
      </c>
      <c r="H82" s="1" t="s">
        <v>60</v>
      </c>
      <c r="I82" s="1">
        <v>-118.0</v>
      </c>
      <c r="J82" s="1">
        <v>-0.0804319071459355</v>
      </c>
      <c r="K82" s="1" t="s">
        <v>61</v>
      </c>
      <c r="L82" s="1" t="s">
        <v>61</v>
      </c>
      <c r="M82" s="1" t="s">
        <v>62</v>
      </c>
      <c r="N82" s="1">
        <v>-113.0</v>
      </c>
      <c r="O82" s="1">
        <v>0.00863777074689475</v>
      </c>
      <c r="P82" s="1" t="s">
        <v>61</v>
      </c>
      <c r="Q82" s="1" t="s">
        <v>61</v>
      </c>
      <c r="R82" s="1">
        <f t="shared" si="1"/>
        <v>0.008637770747</v>
      </c>
      <c r="S82" s="1">
        <f t="shared" si="2"/>
        <v>-113</v>
      </c>
      <c r="T82" s="1">
        <f t="shared" si="3"/>
        <v>1.884955752</v>
      </c>
      <c r="U82" s="1">
        <f t="shared" si="4"/>
        <v>0</v>
      </c>
      <c r="V82" s="3">
        <f t="shared" si="5"/>
        <v>1</v>
      </c>
      <c r="W82" s="3" t="str">
        <f>IFERROR(__xludf.DUMMYFUNCTION("split(B82,"" "")"),"M.")</f>
        <v>M.</v>
      </c>
      <c r="X82" s="3" t="str">
        <f>IFERROR(__xludf.DUMMYFUNCTION("""COMPUTED_VALUE"""),"Nabers")</f>
        <v>Nabers</v>
      </c>
      <c r="Z82" s="3">
        <v>66.0</v>
      </c>
      <c r="AA82" s="3">
        <f t="shared" si="6"/>
        <v>1</v>
      </c>
      <c r="AB82" s="3">
        <f t="shared" si="7"/>
        <v>0</v>
      </c>
      <c r="AC82" s="3">
        <f t="shared" si="8"/>
        <v>0.8849557522</v>
      </c>
      <c r="AD82" s="3">
        <f t="shared" si="9"/>
        <v>-1</v>
      </c>
    </row>
    <row r="83">
      <c r="A83" s="1" t="s">
        <v>9</v>
      </c>
      <c r="B83" s="1" t="s">
        <v>355</v>
      </c>
      <c r="C83" s="1" t="s">
        <v>18</v>
      </c>
      <c r="D83" s="1" t="s">
        <v>109</v>
      </c>
      <c r="E83" s="1" t="s">
        <v>110</v>
      </c>
      <c r="F83" s="1" t="s">
        <v>59</v>
      </c>
      <c r="G83" s="1">
        <v>35.5</v>
      </c>
      <c r="H83" s="1" t="s">
        <v>60</v>
      </c>
      <c r="I83" s="1">
        <v>-115.0</v>
      </c>
      <c r="J83" s="1">
        <v>0.00861211297412567</v>
      </c>
      <c r="K83" s="1" t="s">
        <v>61</v>
      </c>
      <c r="L83" s="1" t="s">
        <v>61</v>
      </c>
      <c r="M83" s="1" t="s">
        <v>62</v>
      </c>
      <c r="N83" s="1">
        <v>-117.0</v>
      </c>
      <c r="O83" s="1">
        <v>-0.0826656775052595</v>
      </c>
      <c r="P83" s="1" t="s">
        <v>61</v>
      </c>
      <c r="Q83" s="1" t="s">
        <v>61</v>
      </c>
      <c r="R83" s="1">
        <f t="shared" si="1"/>
        <v>0.008612112974</v>
      </c>
      <c r="S83" s="1">
        <f t="shared" si="2"/>
        <v>-115</v>
      </c>
      <c r="T83" s="1">
        <f t="shared" si="3"/>
        <v>1.869565217</v>
      </c>
      <c r="U83" s="1">
        <f t="shared" si="4"/>
        <v>1</v>
      </c>
      <c r="V83" s="3">
        <f t="shared" si="5"/>
        <v>1</v>
      </c>
      <c r="W83" s="3" t="str">
        <f>IFERROR(__xludf.DUMMYFUNCTION("split(B83,"" "")"),"D.")</f>
        <v>D.</v>
      </c>
      <c r="X83" s="3" t="str">
        <f>IFERROR(__xludf.DUMMYFUNCTION("""COMPUTED_VALUE"""),"Mooney")</f>
        <v>Mooney</v>
      </c>
      <c r="Z83" s="3">
        <v>15.0</v>
      </c>
      <c r="AA83" s="3">
        <f t="shared" si="6"/>
        <v>0</v>
      </c>
      <c r="AB83" s="3">
        <f t="shared" si="7"/>
        <v>0</v>
      </c>
      <c r="AC83" s="3">
        <f t="shared" si="8"/>
        <v>0.8695652174</v>
      </c>
      <c r="AD83" s="3">
        <f t="shared" si="9"/>
        <v>-1</v>
      </c>
    </row>
    <row r="84">
      <c r="A84" s="1" t="s">
        <v>9</v>
      </c>
      <c r="B84" s="1" t="s">
        <v>493</v>
      </c>
      <c r="C84" s="1" t="s">
        <v>18</v>
      </c>
      <c r="D84" s="1" t="s">
        <v>76</v>
      </c>
      <c r="E84" s="1" t="s">
        <v>77</v>
      </c>
      <c r="F84" s="1" t="s">
        <v>78</v>
      </c>
      <c r="G84" s="1">
        <v>62.5</v>
      </c>
      <c r="H84" s="1" t="s">
        <v>60</v>
      </c>
      <c r="I84" s="1">
        <v>-116.0</v>
      </c>
      <c r="J84" s="6">
        <v>-0.082204569508929</v>
      </c>
      <c r="K84" s="1" t="s">
        <v>61</v>
      </c>
      <c r="L84" s="1" t="s">
        <v>61</v>
      </c>
      <c r="M84" s="1" t="s">
        <v>62</v>
      </c>
      <c r="N84" s="1">
        <v>-116.0</v>
      </c>
      <c r="O84" s="6">
        <v>0.00815730063035757</v>
      </c>
      <c r="P84" s="1" t="s">
        <v>61</v>
      </c>
      <c r="Q84" s="1" t="s">
        <v>61</v>
      </c>
      <c r="R84" s="6">
        <f t="shared" si="1"/>
        <v>0.00815730063</v>
      </c>
      <c r="S84" s="1">
        <f t="shared" si="2"/>
        <v>-116</v>
      </c>
      <c r="T84" s="1">
        <f t="shared" si="3"/>
        <v>1.862068966</v>
      </c>
      <c r="U84" s="1">
        <f t="shared" si="4"/>
        <v>0</v>
      </c>
      <c r="V84" s="3">
        <f t="shared" si="5"/>
        <v>1</v>
      </c>
      <c r="W84" s="3" t="str">
        <f>IFERROR(__xludf.DUMMYFUNCTION("split(B84,"" "")"),"R.")</f>
        <v>R.</v>
      </c>
      <c r="X84" s="3" t="str">
        <f>IFERROR(__xludf.DUMMYFUNCTION("""COMPUTED_VALUE"""),"Rice")</f>
        <v>Rice</v>
      </c>
      <c r="Z84" s="3">
        <v>103.0</v>
      </c>
      <c r="AA84" s="3">
        <f t="shared" si="6"/>
        <v>1</v>
      </c>
      <c r="AB84" s="3">
        <f t="shared" si="7"/>
        <v>0</v>
      </c>
      <c r="AC84" s="3">
        <f t="shared" si="8"/>
        <v>0.8620689655</v>
      </c>
      <c r="AD84" s="3">
        <f t="shared" si="9"/>
        <v>-1</v>
      </c>
    </row>
    <row r="85">
      <c r="A85" s="1" t="s">
        <v>17</v>
      </c>
      <c r="B85" s="1" t="s">
        <v>56</v>
      </c>
      <c r="C85" s="1" t="s">
        <v>21</v>
      </c>
      <c r="D85" s="1" t="s">
        <v>57</v>
      </c>
      <c r="E85" s="1" t="s">
        <v>58</v>
      </c>
      <c r="F85" s="1" t="s">
        <v>59</v>
      </c>
      <c r="G85" s="1">
        <v>0.5</v>
      </c>
      <c r="H85" s="1" t="s">
        <v>60</v>
      </c>
      <c r="I85" s="1">
        <v>-107.0</v>
      </c>
      <c r="J85" s="1">
        <v>-0.0805565217391303</v>
      </c>
      <c r="K85" s="1" t="s">
        <v>61</v>
      </c>
      <c r="L85" s="1" t="s">
        <v>61</v>
      </c>
      <c r="M85" s="1" t="s">
        <v>62</v>
      </c>
      <c r="N85" s="1">
        <v>-125.0</v>
      </c>
      <c r="O85" s="1">
        <v>0.00809999999999999</v>
      </c>
      <c r="P85" s="1" t="s">
        <v>61</v>
      </c>
      <c r="Q85" s="1" t="s">
        <v>61</v>
      </c>
      <c r="R85" s="1">
        <f t="shared" si="1"/>
        <v>0.0081</v>
      </c>
      <c r="S85" s="1">
        <f t="shared" si="2"/>
        <v>-125</v>
      </c>
      <c r="T85" s="1">
        <f t="shared" si="3"/>
        <v>1.8</v>
      </c>
      <c r="U85" s="1">
        <f t="shared" si="4"/>
        <v>0</v>
      </c>
      <c r="V85" s="3">
        <f t="shared" si="5"/>
        <v>1</v>
      </c>
      <c r="W85" s="3" t="str">
        <f>IFERROR(__xludf.DUMMYFUNCTION("split(B85,"" "")"),"B.")</f>
        <v>B.</v>
      </c>
      <c r="X85" s="3" t="str">
        <f>IFERROR(__xludf.DUMMYFUNCTION("""COMPUTED_VALUE"""),"Young")</f>
        <v>Young</v>
      </c>
      <c r="Z85" s="3">
        <v>2.0</v>
      </c>
      <c r="AA85" s="3">
        <f t="shared" si="6"/>
        <v>1</v>
      </c>
      <c r="AB85" s="3">
        <f t="shared" si="7"/>
        <v>0</v>
      </c>
      <c r="AC85" s="3">
        <f t="shared" si="8"/>
        <v>0.8</v>
      </c>
      <c r="AD85" s="3">
        <f t="shared" si="9"/>
        <v>-1</v>
      </c>
    </row>
    <row r="86">
      <c r="A86" s="1" t="s">
        <v>9</v>
      </c>
      <c r="B86" s="1" t="s">
        <v>345</v>
      </c>
      <c r="C86" s="1" t="s">
        <v>19</v>
      </c>
      <c r="D86" s="1" t="s">
        <v>105</v>
      </c>
      <c r="E86" s="1" t="s">
        <v>104</v>
      </c>
      <c r="F86" s="1" t="s">
        <v>59</v>
      </c>
      <c r="G86" s="1">
        <v>68.0</v>
      </c>
      <c r="H86" s="1" t="s">
        <v>60</v>
      </c>
      <c r="I86" s="1">
        <v>-118.0</v>
      </c>
      <c r="J86" s="1">
        <v>-0.0807975408419792</v>
      </c>
      <c r="K86" s="1" t="s">
        <v>61</v>
      </c>
      <c r="L86" s="1" t="s">
        <v>61</v>
      </c>
      <c r="M86" s="1" t="s">
        <v>62</v>
      </c>
      <c r="N86" s="1">
        <v>-114.0</v>
      </c>
      <c r="O86" s="1">
        <v>0.00798252733667603</v>
      </c>
      <c r="P86" s="1" t="s">
        <v>61</v>
      </c>
      <c r="Q86" s="1" t="s">
        <v>61</v>
      </c>
      <c r="R86" s="1">
        <f t="shared" si="1"/>
        <v>0.007982527337</v>
      </c>
      <c r="S86" s="1">
        <f t="shared" si="2"/>
        <v>-114</v>
      </c>
      <c r="T86" s="1">
        <f t="shared" si="3"/>
        <v>1.877192982</v>
      </c>
      <c r="U86" s="1">
        <f t="shared" si="4"/>
        <v>0</v>
      </c>
      <c r="V86" s="3">
        <f t="shared" si="5"/>
        <v>1</v>
      </c>
      <c r="W86" s="3" t="str">
        <f>IFERROR(__xludf.DUMMYFUNCTION("split(B86,"" "")"),"J.")</f>
        <v>J.</v>
      </c>
      <c r="X86" s="3" t="str">
        <f>IFERROR(__xludf.DUMMYFUNCTION("""COMPUTED_VALUE"""),"Conner")</f>
        <v>Conner</v>
      </c>
      <c r="Z86" s="3">
        <v>83.0</v>
      </c>
      <c r="AA86" s="3">
        <f t="shared" si="6"/>
        <v>1</v>
      </c>
      <c r="AB86" s="3">
        <f t="shared" si="7"/>
        <v>0</v>
      </c>
      <c r="AC86" s="3">
        <f t="shared" si="8"/>
        <v>0.8771929825</v>
      </c>
      <c r="AD86" s="3">
        <f t="shared" si="9"/>
        <v>-1</v>
      </c>
    </row>
    <row r="87">
      <c r="A87" s="1" t="s">
        <v>10</v>
      </c>
      <c r="B87" s="1" t="s">
        <v>441</v>
      </c>
      <c r="C87" s="1" t="s">
        <v>20</v>
      </c>
      <c r="D87" s="1" t="s">
        <v>58</v>
      </c>
      <c r="E87" s="1" t="s">
        <v>57</v>
      </c>
      <c r="F87" s="1" t="s">
        <v>59</v>
      </c>
      <c r="G87" s="1">
        <v>15.5</v>
      </c>
      <c r="H87" s="1" t="s">
        <v>60</v>
      </c>
      <c r="I87" s="1">
        <v>-110.0</v>
      </c>
      <c r="J87" s="1">
        <v>-0.0763026365259636</v>
      </c>
      <c r="K87" s="1" t="s">
        <v>61</v>
      </c>
      <c r="L87" s="1" t="s">
        <v>61</v>
      </c>
      <c r="M87" s="1" t="s">
        <v>62</v>
      </c>
      <c r="N87" s="1">
        <v>-120.0</v>
      </c>
      <c r="O87" s="1">
        <v>0.00702302002064914</v>
      </c>
      <c r="P87" s="1" t="s">
        <v>61</v>
      </c>
      <c r="Q87" s="1" t="s">
        <v>61</v>
      </c>
      <c r="R87" s="1">
        <f t="shared" si="1"/>
        <v>0.007023020021</v>
      </c>
      <c r="S87" s="1">
        <f t="shared" si="2"/>
        <v>-120</v>
      </c>
      <c r="T87" s="1">
        <f t="shared" si="3"/>
        <v>1.833333333</v>
      </c>
      <c r="U87" s="1">
        <f t="shared" si="4"/>
        <v>0</v>
      </c>
      <c r="V87" s="3">
        <f t="shared" si="5"/>
        <v>1</v>
      </c>
      <c r="W87" s="3" t="str">
        <f>IFERROR(__xludf.DUMMYFUNCTION("split(B87,"" "")"),"T.")</f>
        <v>T.</v>
      </c>
      <c r="X87" s="3" t="str">
        <f>IFERROR(__xludf.DUMMYFUNCTION("""COMPUTED_VALUE"""),"Hill")</f>
        <v>Hill</v>
      </c>
      <c r="Z87" s="3">
        <v>35.0</v>
      </c>
      <c r="AA87" s="3">
        <f t="shared" si="6"/>
        <v>1</v>
      </c>
      <c r="AB87" s="3">
        <f t="shared" si="7"/>
        <v>0</v>
      </c>
      <c r="AC87" s="3">
        <f t="shared" si="8"/>
        <v>0.8333333333</v>
      </c>
      <c r="AD87" s="3">
        <f t="shared" si="9"/>
        <v>-1</v>
      </c>
    </row>
    <row r="88">
      <c r="A88" s="1" t="s">
        <v>9</v>
      </c>
      <c r="B88" s="1" t="s">
        <v>383</v>
      </c>
      <c r="C88" s="1" t="s">
        <v>19</v>
      </c>
      <c r="D88" s="1" t="s">
        <v>66</v>
      </c>
      <c r="E88" s="1" t="s">
        <v>67</v>
      </c>
      <c r="F88" s="1" t="s">
        <v>59</v>
      </c>
      <c r="G88" s="1">
        <v>36.5</v>
      </c>
      <c r="H88" s="1" t="s">
        <v>60</v>
      </c>
      <c r="I88" s="1">
        <v>-110.0</v>
      </c>
      <c r="J88" s="1">
        <v>0.00673082392749557</v>
      </c>
      <c r="K88" s="1" t="s">
        <v>61</v>
      </c>
      <c r="L88" s="1" t="s">
        <v>61</v>
      </c>
      <c r="M88" s="1" t="s">
        <v>62</v>
      </c>
      <c r="N88" s="1">
        <v>-120.0</v>
      </c>
      <c r="O88" s="1">
        <v>-0.0760007619533132</v>
      </c>
      <c r="P88" s="1" t="s">
        <v>61</v>
      </c>
      <c r="Q88" s="1" t="s">
        <v>61</v>
      </c>
      <c r="R88" s="1">
        <f t="shared" si="1"/>
        <v>0.006730823927</v>
      </c>
      <c r="S88" s="1">
        <f t="shared" si="2"/>
        <v>-110</v>
      </c>
      <c r="T88" s="1">
        <f t="shared" si="3"/>
        <v>1.909090909</v>
      </c>
      <c r="U88" s="1">
        <f t="shared" si="4"/>
        <v>1</v>
      </c>
      <c r="V88" s="3">
        <f t="shared" si="5"/>
        <v>1</v>
      </c>
      <c r="W88" s="3" t="str">
        <f>IFERROR(__xludf.DUMMYFUNCTION("split(B88,"" "")"),"A.")</f>
        <v>A.</v>
      </c>
      <c r="X88" s="3" t="str">
        <f>IFERROR(__xludf.DUMMYFUNCTION("""COMPUTED_VALUE"""),"Gibson")</f>
        <v>Gibson</v>
      </c>
      <c r="Z88" s="3">
        <v>18.0</v>
      </c>
      <c r="AA88" s="3">
        <f t="shared" si="6"/>
        <v>0</v>
      </c>
      <c r="AB88" s="3">
        <f t="shared" si="7"/>
        <v>0</v>
      </c>
      <c r="AC88" s="3">
        <f t="shared" si="8"/>
        <v>0.9090909091</v>
      </c>
      <c r="AD88" s="3">
        <f t="shared" si="9"/>
        <v>-1</v>
      </c>
    </row>
    <row r="89">
      <c r="A89" s="1" t="s">
        <v>10</v>
      </c>
      <c r="B89" s="1" t="s">
        <v>297</v>
      </c>
      <c r="C89" s="1" t="s">
        <v>21</v>
      </c>
      <c r="D89" s="1" t="s">
        <v>157</v>
      </c>
      <c r="E89" s="1" t="s">
        <v>156</v>
      </c>
      <c r="F89" s="1" t="s">
        <v>158</v>
      </c>
      <c r="G89" s="1">
        <v>7.5</v>
      </c>
      <c r="H89" s="1" t="s">
        <v>60</v>
      </c>
      <c r="I89" s="1">
        <v>-119.0</v>
      </c>
      <c r="J89" s="6">
        <v>0.00549603703604817</v>
      </c>
      <c r="K89" s="1" t="s">
        <v>61</v>
      </c>
      <c r="L89" s="1" t="s">
        <v>61</v>
      </c>
      <c r="M89" s="1" t="s">
        <v>62</v>
      </c>
      <c r="N89" s="1">
        <v>-109.0</v>
      </c>
      <c r="O89" s="6">
        <v>-0.0703883684252393</v>
      </c>
      <c r="P89" s="1" t="s">
        <v>61</v>
      </c>
      <c r="Q89" s="1" t="s">
        <v>61</v>
      </c>
      <c r="R89" s="6">
        <f t="shared" si="1"/>
        <v>0.005496037036</v>
      </c>
      <c r="S89" s="1">
        <f t="shared" si="2"/>
        <v>-119</v>
      </c>
      <c r="T89" s="1">
        <f t="shared" si="3"/>
        <v>1.840336134</v>
      </c>
      <c r="U89" s="1">
        <f t="shared" si="4"/>
        <v>1</v>
      </c>
      <c r="V89" s="3">
        <f t="shared" si="5"/>
        <v>1</v>
      </c>
      <c r="W89" s="3" t="str">
        <f>IFERROR(__xludf.DUMMYFUNCTION("split(B89,"" "")"),"J.")</f>
        <v>J.</v>
      </c>
      <c r="X89" s="3" t="str">
        <f>IFERROR(__xludf.DUMMYFUNCTION("""COMPUTED_VALUE"""),"Love")</f>
        <v>Love</v>
      </c>
      <c r="Z89" s="3">
        <v>0.0</v>
      </c>
      <c r="AA89" s="3">
        <f t="shared" si="6"/>
        <v>0</v>
      </c>
      <c r="AB89" s="3">
        <f t="shared" si="7"/>
        <v>0</v>
      </c>
      <c r="AC89" s="3">
        <f t="shared" si="8"/>
        <v>0.8403361345</v>
      </c>
      <c r="AD89" s="3">
        <f t="shared" si="9"/>
        <v>-1</v>
      </c>
    </row>
    <row r="90">
      <c r="A90" s="1" t="s">
        <v>8</v>
      </c>
      <c r="B90" s="1" t="s">
        <v>179</v>
      </c>
      <c r="C90" s="1" t="s">
        <v>19</v>
      </c>
      <c r="D90" s="1" t="s">
        <v>76</v>
      </c>
      <c r="E90" s="1" t="s">
        <v>77</v>
      </c>
      <c r="F90" s="1" t="s">
        <v>78</v>
      </c>
      <c r="G90" s="1">
        <v>14.5</v>
      </c>
      <c r="H90" s="1" t="s">
        <v>60</v>
      </c>
      <c r="I90" s="1">
        <v>-117.0</v>
      </c>
      <c r="J90" s="6">
        <v>-0.0777242772718894</v>
      </c>
      <c r="K90" s="1" t="s">
        <v>61</v>
      </c>
      <c r="L90" s="1" t="s">
        <v>61</v>
      </c>
      <c r="M90" s="1" t="s">
        <v>62</v>
      </c>
      <c r="N90" s="1">
        <v>-115.0</v>
      </c>
      <c r="O90" s="6">
        <v>0.0036626204334883</v>
      </c>
      <c r="P90" s="1" t="s">
        <v>61</v>
      </c>
      <c r="Q90" s="1" t="s">
        <v>61</v>
      </c>
      <c r="R90" s="6">
        <f t="shared" si="1"/>
        <v>0.003662620433</v>
      </c>
      <c r="S90" s="1">
        <f t="shared" si="2"/>
        <v>-115</v>
      </c>
      <c r="T90" s="1">
        <f t="shared" si="3"/>
        <v>1.869565217</v>
      </c>
      <c r="U90" s="1">
        <f t="shared" si="4"/>
        <v>0</v>
      </c>
      <c r="V90" s="3">
        <f t="shared" si="5"/>
        <v>1</v>
      </c>
      <c r="W90" s="3" t="str">
        <f>IFERROR(__xludf.DUMMYFUNCTION("split(B90,"" "")"),"I.")</f>
        <v>I.</v>
      </c>
      <c r="X90" s="3" t="str">
        <f>IFERROR(__xludf.DUMMYFUNCTION("""COMPUTED_VALUE"""),"Pacheco")</f>
        <v>Pacheco</v>
      </c>
      <c r="Z90" s="3">
        <v>15.0</v>
      </c>
      <c r="AA90" s="3">
        <f t="shared" si="6"/>
        <v>1</v>
      </c>
      <c r="AB90" s="3">
        <f t="shared" si="7"/>
        <v>0</v>
      </c>
      <c r="AC90" s="3">
        <f t="shared" si="8"/>
        <v>0.8695652174</v>
      </c>
      <c r="AD90" s="3">
        <f t="shared" si="9"/>
        <v>-1</v>
      </c>
    </row>
    <row r="91">
      <c r="A91" s="1" t="s">
        <v>11</v>
      </c>
      <c r="B91" s="1" t="s">
        <v>494</v>
      </c>
      <c r="C91" s="1" t="s">
        <v>20</v>
      </c>
      <c r="D91" s="1" t="s">
        <v>134</v>
      </c>
      <c r="E91" s="1" t="s">
        <v>135</v>
      </c>
      <c r="F91" s="1" t="s">
        <v>84</v>
      </c>
      <c r="G91" s="1">
        <v>34.5</v>
      </c>
      <c r="H91" s="1" t="s">
        <v>60</v>
      </c>
      <c r="I91" s="1">
        <v>-115.0</v>
      </c>
      <c r="J91" s="1">
        <v>-0.0730944946723723</v>
      </c>
      <c r="K91" s="1" t="s">
        <v>61</v>
      </c>
      <c r="L91" s="1" t="s">
        <v>61</v>
      </c>
      <c r="M91" s="1" t="s">
        <v>62</v>
      </c>
      <c r="N91" s="1">
        <v>-115.0</v>
      </c>
      <c r="O91" s="1">
        <v>0.00337250200822802</v>
      </c>
      <c r="P91" s="1" t="s">
        <v>61</v>
      </c>
      <c r="Q91" s="1" t="s">
        <v>61</v>
      </c>
      <c r="R91" s="1">
        <f t="shared" si="1"/>
        <v>0.003372502008</v>
      </c>
      <c r="S91" s="1">
        <f t="shared" si="2"/>
        <v>-115</v>
      </c>
      <c r="T91" s="1">
        <f t="shared" si="3"/>
        <v>1.869565217</v>
      </c>
      <c r="U91" s="1">
        <f t="shared" si="4"/>
        <v>0</v>
      </c>
      <c r="V91" s="3">
        <f t="shared" si="5"/>
        <v>1</v>
      </c>
      <c r="W91" s="3" t="str">
        <f>IFERROR(__xludf.DUMMYFUNCTION("split(B91,"" "")"),"B.")</f>
        <v>B.</v>
      </c>
      <c r="X91" s="3" t="str">
        <f>IFERROR(__xludf.DUMMYFUNCTION("""COMPUTED_VALUE"""),"Bowers")</f>
        <v>Bowers</v>
      </c>
      <c r="Z91" s="3">
        <v>58.0</v>
      </c>
      <c r="AA91" s="3">
        <f t="shared" si="6"/>
        <v>1</v>
      </c>
      <c r="AB91" s="3">
        <f t="shared" si="7"/>
        <v>0</v>
      </c>
      <c r="AC91" s="3">
        <f t="shared" si="8"/>
        <v>0.8695652174</v>
      </c>
      <c r="AD91" s="3">
        <f t="shared" si="9"/>
        <v>-1</v>
      </c>
    </row>
    <row r="92">
      <c r="A92" s="1" t="s">
        <v>9</v>
      </c>
      <c r="B92" s="1" t="s">
        <v>314</v>
      </c>
      <c r="C92" s="1" t="s">
        <v>18</v>
      </c>
      <c r="D92" s="1" t="s">
        <v>113</v>
      </c>
      <c r="E92" s="1" t="s">
        <v>114</v>
      </c>
      <c r="F92" s="1" t="s">
        <v>90</v>
      </c>
      <c r="G92" s="1">
        <v>60.0</v>
      </c>
      <c r="H92" s="1" t="s">
        <v>60</v>
      </c>
      <c r="I92" s="1">
        <v>-116.0</v>
      </c>
      <c r="J92" s="1">
        <v>-0.076158083228262</v>
      </c>
      <c r="K92" s="1" t="s">
        <v>61</v>
      </c>
      <c r="L92" s="1" t="s">
        <v>61</v>
      </c>
      <c r="M92" s="1" t="s">
        <v>62</v>
      </c>
      <c r="N92" s="1">
        <v>-116.0</v>
      </c>
      <c r="O92" s="1">
        <v>0.00290337654478389</v>
      </c>
      <c r="P92" s="1" t="s">
        <v>61</v>
      </c>
      <c r="Q92" s="1" t="s">
        <v>61</v>
      </c>
      <c r="R92" s="1">
        <f t="shared" si="1"/>
        <v>0.002903376545</v>
      </c>
      <c r="S92" s="1">
        <f t="shared" si="2"/>
        <v>-116</v>
      </c>
      <c r="T92" s="1">
        <f t="shared" si="3"/>
        <v>1.862068966</v>
      </c>
      <c r="U92" s="1">
        <f t="shared" si="4"/>
        <v>0</v>
      </c>
      <c r="V92" s="3">
        <f t="shared" si="5"/>
        <v>1</v>
      </c>
      <c r="W92" s="3" t="str">
        <f>IFERROR(__xludf.DUMMYFUNCTION("split(B92,"" "")"),"C.")</f>
        <v>C.</v>
      </c>
      <c r="X92" s="3" t="str">
        <f>IFERROR(__xludf.DUMMYFUNCTION("""COMPUTED_VALUE"""),"Godwin")</f>
        <v>Godwin</v>
      </c>
      <c r="Z92" s="3">
        <v>83.0</v>
      </c>
      <c r="AA92" s="3">
        <f t="shared" si="6"/>
        <v>1</v>
      </c>
      <c r="AB92" s="3">
        <f t="shared" si="7"/>
        <v>0</v>
      </c>
      <c r="AC92" s="3">
        <f t="shared" si="8"/>
        <v>0.8620689655</v>
      </c>
      <c r="AD92" s="3">
        <f t="shared" si="9"/>
        <v>-1</v>
      </c>
    </row>
    <row r="93">
      <c r="A93" s="1" t="s">
        <v>11</v>
      </c>
      <c r="B93" s="1" t="s">
        <v>289</v>
      </c>
      <c r="C93" s="1" t="s">
        <v>19</v>
      </c>
      <c r="D93" s="1" t="s">
        <v>94</v>
      </c>
      <c r="E93" s="1" t="s">
        <v>93</v>
      </c>
      <c r="F93" s="1" t="s">
        <v>59</v>
      </c>
      <c r="G93" s="1">
        <v>22.5</v>
      </c>
      <c r="H93" s="1" t="s">
        <v>60</v>
      </c>
      <c r="I93" s="1">
        <v>-113.0</v>
      </c>
      <c r="J93" s="1">
        <v>-0.0746585078906103</v>
      </c>
      <c r="K93" s="1" t="s">
        <v>61</v>
      </c>
      <c r="L93" s="1" t="s">
        <v>61</v>
      </c>
      <c r="M93" s="1" t="s">
        <v>62</v>
      </c>
      <c r="N93" s="1">
        <v>-118.0</v>
      </c>
      <c r="O93" s="1">
        <v>0.00283352006066983</v>
      </c>
      <c r="P93" s="1" t="s">
        <v>61</v>
      </c>
      <c r="Q93" s="1" t="s">
        <v>61</v>
      </c>
      <c r="R93" s="1">
        <f t="shared" si="1"/>
        <v>0.002833520061</v>
      </c>
      <c r="S93" s="1">
        <f t="shared" si="2"/>
        <v>-118</v>
      </c>
      <c r="T93" s="1">
        <f t="shared" si="3"/>
        <v>1.847457627</v>
      </c>
      <c r="U93" s="1">
        <f t="shared" si="4"/>
        <v>0</v>
      </c>
      <c r="V93" s="3">
        <f t="shared" si="5"/>
        <v>1</v>
      </c>
      <c r="W93" s="3" t="str">
        <f>IFERROR(__xludf.DUMMYFUNCTION("split(B93,"" "")"),"D.")</f>
        <v>D.</v>
      </c>
      <c r="X93" s="3" t="str">
        <f>IFERROR(__xludf.DUMMYFUNCTION("""COMPUTED_VALUE"""),"Achane")</f>
        <v>Achane</v>
      </c>
      <c r="Z93" s="3">
        <v>76.0</v>
      </c>
      <c r="AA93" s="3">
        <f t="shared" si="6"/>
        <v>1</v>
      </c>
      <c r="AB93" s="3">
        <f t="shared" si="7"/>
        <v>0</v>
      </c>
      <c r="AC93" s="3">
        <f t="shared" si="8"/>
        <v>0.8474576271</v>
      </c>
      <c r="AD93" s="3">
        <f t="shared" si="9"/>
        <v>-1</v>
      </c>
    </row>
    <row r="94">
      <c r="A94" s="1" t="s">
        <v>12</v>
      </c>
      <c r="B94" s="1" t="s">
        <v>395</v>
      </c>
      <c r="C94" s="1" t="s">
        <v>18</v>
      </c>
      <c r="D94" s="1" t="s">
        <v>88</v>
      </c>
      <c r="E94" s="1" t="s">
        <v>89</v>
      </c>
      <c r="F94" s="1" t="s">
        <v>90</v>
      </c>
      <c r="G94" s="1">
        <v>6.5</v>
      </c>
      <c r="H94" s="1" t="s">
        <v>60</v>
      </c>
      <c r="I94" s="1">
        <v>-144.0</v>
      </c>
      <c r="J94" s="1">
        <v>0.00263606557377049</v>
      </c>
      <c r="K94" s="1" t="s">
        <v>61</v>
      </c>
      <c r="L94" s="1" t="s">
        <v>61</v>
      </c>
      <c r="M94" s="1" t="s">
        <v>62</v>
      </c>
      <c r="N94" s="1">
        <v>111.0</v>
      </c>
      <c r="O94" s="1">
        <v>-0.0667336492890994</v>
      </c>
      <c r="P94" s="1" t="s">
        <v>61</v>
      </c>
      <c r="Q94" s="1" t="s">
        <v>61</v>
      </c>
      <c r="R94" s="1">
        <f t="shared" si="1"/>
        <v>0.002636065574</v>
      </c>
      <c r="S94" s="1">
        <f t="shared" si="2"/>
        <v>-144</v>
      </c>
      <c r="T94" s="1">
        <f t="shared" si="3"/>
        <v>1.694444444</v>
      </c>
      <c r="U94" s="1">
        <f t="shared" si="4"/>
        <v>1</v>
      </c>
      <c r="V94" s="3">
        <f t="shared" si="5"/>
        <v>1</v>
      </c>
      <c r="W94" s="3" t="str">
        <f>IFERROR(__xludf.DUMMYFUNCTION("split(B94,"" "")"),"C.")</f>
        <v>C.</v>
      </c>
      <c r="X94" s="3" t="str">
        <f>IFERROR(__xludf.DUMMYFUNCTION("""COMPUTED_VALUE"""),"Lamb")</f>
        <v>Lamb</v>
      </c>
      <c r="Z94" s="3">
        <v>5.0</v>
      </c>
      <c r="AA94" s="3">
        <f t="shared" si="6"/>
        <v>0</v>
      </c>
      <c r="AB94" s="3">
        <f t="shared" si="7"/>
        <v>0</v>
      </c>
      <c r="AC94" s="3">
        <f t="shared" si="8"/>
        <v>0.6944444444</v>
      </c>
      <c r="AD94" s="3">
        <f t="shared" si="9"/>
        <v>-1</v>
      </c>
    </row>
    <row r="95">
      <c r="A95" s="1" t="s">
        <v>11</v>
      </c>
      <c r="B95" s="1" t="s">
        <v>307</v>
      </c>
      <c r="C95" s="1" t="s">
        <v>18</v>
      </c>
      <c r="D95" s="1" t="s">
        <v>113</v>
      </c>
      <c r="E95" s="1" t="s">
        <v>114</v>
      </c>
      <c r="F95" s="1" t="s">
        <v>90</v>
      </c>
      <c r="G95" s="1">
        <v>24.5</v>
      </c>
      <c r="H95" s="1" t="s">
        <v>60</v>
      </c>
      <c r="I95" s="1">
        <v>-118.0</v>
      </c>
      <c r="J95" s="1">
        <v>-0.0743732234516605</v>
      </c>
      <c r="K95" s="1" t="s">
        <v>61</v>
      </c>
      <c r="L95" s="1" t="s">
        <v>61</v>
      </c>
      <c r="M95" s="1" t="s">
        <v>62</v>
      </c>
      <c r="N95" s="1">
        <v>-113.0</v>
      </c>
      <c r="O95" s="1">
        <v>0.00263324819287358</v>
      </c>
      <c r="P95" s="1" t="s">
        <v>61</v>
      </c>
      <c r="Q95" s="1" t="s">
        <v>61</v>
      </c>
      <c r="R95" s="1">
        <f t="shared" si="1"/>
        <v>0.002633248193</v>
      </c>
      <c r="S95" s="1">
        <f t="shared" si="2"/>
        <v>-113</v>
      </c>
      <c r="T95" s="1">
        <f t="shared" si="3"/>
        <v>1.884955752</v>
      </c>
      <c r="U95" s="1">
        <f t="shared" si="4"/>
        <v>0</v>
      </c>
      <c r="V95" s="3">
        <f t="shared" si="5"/>
        <v>1</v>
      </c>
      <c r="W95" s="3" t="str">
        <f>IFERROR(__xludf.DUMMYFUNCTION("split(B95,"" "")"),"J.")</f>
        <v>J.</v>
      </c>
      <c r="X95" s="3" t="str">
        <f>IFERROR(__xludf.DUMMYFUNCTION("""COMPUTED_VALUE"""),"McMillan")</f>
        <v>McMillan</v>
      </c>
      <c r="Z95" s="3">
        <v>32.0</v>
      </c>
      <c r="AA95" s="3">
        <f t="shared" si="6"/>
        <v>1</v>
      </c>
      <c r="AB95" s="3">
        <f t="shared" si="7"/>
        <v>0</v>
      </c>
      <c r="AC95" s="3">
        <f t="shared" si="8"/>
        <v>0.8849557522</v>
      </c>
      <c r="AD95" s="3">
        <f t="shared" si="9"/>
        <v>-1</v>
      </c>
    </row>
    <row r="96">
      <c r="A96" s="1" t="s">
        <v>11</v>
      </c>
      <c r="B96" s="1" t="s">
        <v>466</v>
      </c>
      <c r="C96" s="1" t="s">
        <v>18</v>
      </c>
      <c r="D96" s="1" t="s">
        <v>93</v>
      </c>
      <c r="E96" s="1" t="s">
        <v>94</v>
      </c>
      <c r="F96" s="1" t="s">
        <v>59</v>
      </c>
      <c r="G96" s="1">
        <v>41.5</v>
      </c>
      <c r="H96" s="1" t="s">
        <v>60</v>
      </c>
      <c r="I96" s="1">
        <v>-118.0</v>
      </c>
      <c r="J96" s="1">
        <v>-0.0737311000483487</v>
      </c>
      <c r="K96" s="1" t="s">
        <v>61</v>
      </c>
      <c r="L96" s="1" t="s">
        <v>61</v>
      </c>
      <c r="M96" s="1" t="s">
        <v>62</v>
      </c>
      <c r="N96" s="1">
        <v>-113.0</v>
      </c>
      <c r="O96" s="1">
        <v>0.00193617610510343</v>
      </c>
      <c r="P96" s="1" t="s">
        <v>61</v>
      </c>
      <c r="Q96" s="1" t="s">
        <v>61</v>
      </c>
      <c r="R96" s="1">
        <f t="shared" si="1"/>
        <v>0.001936176105</v>
      </c>
      <c r="S96" s="1">
        <f t="shared" si="2"/>
        <v>-113</v>
      </c>
      <c r="T96" s="1">
        <f t="shared" si="3"/>
        <v>1.884955752</v>
      </c>
      <c r="U96" s="1">
        <f t="shared" si="4"/>
        <v>0</v>
      </c>
      <c r="V96" s="3">
        <f t="shared" si="5"/>
        <v>1</v>
      </c>
      <c r="W96" s="3" t="str">
        <f>IFERROR(__xludf.DUMMYFUNCTION("split(B96,"" "")"),"B.")</f>
        <v>B.</v>
      </c>
      <c r="X96" s="3" t="str">
        <f>IFERROR(__xludf.DUMMYFUNCTION("""COMPUTED_VALUE"""),"Thomas")</f>
        <v>Thomas</v>
      </c>
      <c r="Y96" s="3" t="str">
        <f>IFERROR(__xludf.DUMMYFUNCTION("""COMPUTED_VALUE"""),"Jr.")</f>
        <v>Jr.</v>
      </c>
      <c r="Z96" s="3">
        <v>47.0</v>
      </c>
      <c r="AA96" s="3">
        <f t="shared" si="6"/>
        <v>1</v>
      </c>
      <c r="AB96" s="3">
        <f t="shared" si="7"/>
        <v>0</v>
      </c>
      <c r="AC96" s="3">
        <f t="shared" si="8"/>
        <v>0.8849557522</v>
      </c>
      <c r="AD96" s="3">
        <f t="shared" si="9"/>
        <v>-1</v>
      </c>
    </row>
    <row r="97">
      <c r="A97" s="1" t="s">
        <v>11</v>
      </c>
      <c r="B97" s="1" t="s">
        <v>408</v>
      </c>
      <c r="C97" s="1" t="s">
        <v>19</v>
      </c>
      <c r="D97" s="1" t="s">
        <v>114</v>
      </c>
      <c r="E97" s="1" t="s">
        <v>113</v>
      </c>
      <c r="F97" s="1" t="s">
        <v>90</v>
      </c>
      <c r="G97" s="1">
        <v>19.5</v>
      </c>
      <c r="H97" s="1" t="s">
        <v>60</v>
      </c>
      <c r="I97" s="1">
        <v>-113.0</v>
      </c>
      <c r="J97" s="1">
        <v>-0.0733632141747088</v>
      </c>
      <c r="K97" s="1" t="s">
        <v>61</v>
      </c>
      <c r="L97" s="1" t="s">
        <v>61</v>
      </c>
      <c r="M97" s="1" t="s">
        <v>62</v>
      </c>
      <c r="N97" s="1">
        <v>-118.0</v>
      </c>
      <c r="O97" s="1">
        <v>0.00156953325996023</v>
      </c>
      <c r="P97" s="1" t="s">
        <v>61</v>
      </c>
      <c r="Q97" s="1" t="s">
        <v>61</v>
      </c>
      <c r="R97" s="1">
        <f t="shared" si="1"/>
        <v>0.00156953326</v>
      </c>
      <c r="S97" s="1">
        <f t="shared" si="2"/>
        <v>-118</v>
      </c>
      <c r="T97" s="1">
        <f t="shared" si="3"/>
        <v>1.847457627</v>
      </c>
      <c r="U97" s="1">
        <f t="shared" si="4"/>
        <v>0</v>
      </c>
      <c r="V97" s="3">
        <f t="shared" si="5"/>
        <v>1</v>
      </c>
      <c r="W97" s="3" t="str">
        <f>IFERROR(__xludf.DUMMYFUNCTION("split(B97,"" "")"),"A.")</f>
        <v>A.</v>
      </c>
      <c r="X97" s="3" t="str">
        <f>IFERROR(__xludf.DUMMYFUNCTION("""COMPUTED_VALUE"""),"Ekeler")</f>
        <v>Ekeler</v>
      </c>
      <c r="Z97" s="3">
        <v>52.0</v>
      </c>
      <c r="AA97" s="3">
        <f t="shared" si="6"/>
        <v>1</v>
      </c>
      <c r="AB97" s="3">
        <f t="shared" si="7"/>
        <v>0</v>
      </c>
      <c r="AC97" s="3">
        <f t="shared" si="8"/>
        <v>0.8474576271</v>
      </c>
      <c r="AD97" s="3">
        <f t="shared" si="9"/>
        <v>-1</v>
      </c>
    </row>
    <row r="98">
      <c r="A98" s="1" t="s">
        <v>12</v>
      </c>
      <c r="B98" s="1" t="s">
        <v>334</v>
      </c>
      <c r="C98" s="1" t="s">
        <v>18</v>
      </c>
      <c r="D98" s="1" t="s">
        <v>82</v>
      </c>
      <c r="E98" s="1" t="s">
        <v>83</v>
      </c>
      <c r="F98" s="1" t="s">
        <v>84</v>
      </c>
      <c r="G98" s="1">
        <v>4.5</v>
      </c>
      <c r="H98" s="1" t="s">
        <v>60</v>
      </c>
      <c r="I98" s="1">
        <v>125.0</v>
      </c>
      <c r="J98" s="1">
        <v>5.11111111111128E-4</v>
      </c>
      <c r="K98" s="1" t="s">
        <v>61</v>
      </c>
      <c r="L98" s="1" t="s">
        <v>61</v>
      </c>
      <c r="M98" s="1" t="s">
        <v>62</v>
      </c>
      <c r="N98" s="1">
        <v>-164.0</v>
      </c>
      <c r="O98" s="1">
        <v>-0.0661742424242425</v>
      </c>
      <c r="P98" s="1" t="s">
        <v>61</v>
      </c>
      <c r="Q98" s="1" t="s">
        <v>61</v>
      </c>
      <c r="R98" s="1">
        <f t="shared" si="1"/>
        <v>0.0005111111111</v>
      </c>
      <c r="S98" s="1">
        <f t="shared" si="2"/>
        <v>125</v>
      </c>
      <c r="T98" s="1">
        <f t="shared" si="3"/>
        <v>2.25</v>
      </c>
      <c r="U98" s="1">
        <f t="shared" si="4"/>
        <v>1</v>
      </c>
      <c r="V98" s="3">
        <f t="shared" si="5"/>
        <v>1</v>
      </c>
      <c r="W98" s="3" t="str">
        <f>IFERROR(__xludf.DUMMYFUNCTION("split(B98,"" "")"),"J.")</f>
        <v>J.</v>
      </c>
      <c r="X98" s="3" t="str">
        <f>IFERROR(__xludf.DUMMYFUNCTION("""COMPUTED_VALUE"""),"Smith-Njigba")</f>
        <v>Smith-Njigba</v>
      </c>
      <c r="Z98" s="3">
        <v>2.0</v>
      </c>
      <c r="AA98" s="3">
        <f t="shared" si="6"/>
        <v>0</v>
      </c>
      <c r="AB98" s="3">
        <f t="shared" si="7"/>
        <v>0</v>
      </c>
      <c r="AC98" s="3">
        <f t="shared" si="8"/>
        <v>1.25</v>
      </c>
      <c r="AD98" s="3">
        <f t="shared" si="9"/>
        <v>-1</v>
      </c>
    </row>
    <row r="99">
      <c r="A99" s="1" t="s">
        <v>9</v>
      </c>
      <c r="B99" s="1" t="s">
        <v>344</v>
      </c>
      <c r="C99" s="1" t="s">
        <v>18</v>
      </c>
      <c r="D99" s="1" t="s">
        <v>157</v>
      </c>
      <c r="E99" s="1" t="s">
        <v>156</v>
      </c>
      <c r="F99" s="1" t="s">
        <v>158</v>
      </c>
      <c r="G99" s="1">
        <v>39.5</v>
      </c>
      <c r="H99" s="1" t="s">
        <v>60</v>
      </c>
      <c r="I99" s="1">
        <v>-118.0</v>
      </c>
      <c r="J99" s="6">
        <v>3.72895270274065E-4</v>
      </c>
      <c r="K99" s="1" t="s">
        <v>61</v>
      </c>
      <c r="L99" s="1" t="s">
        <v>61</v>
      </c>
      <c r="M99" s="1" t="s">
        <v>62</v>
      </c>
      <c r="N99" s="1">
        <v>-115.0</v>
      </c>
      <c r="O99" s="6">
        <v>-0.0765007202058499</v>
      </c>
      <c r="P99" s="1" t="s">
        <v>61</v>
      </c>
      <c r="Q99" s="1" t="s">
        <v>61</v>
      </c>
      <c r="R99" s="6">
        <f t="shared" si="1"/>
        <v>0.0003728952703</v>
      </c>
      <c r="S99" s="1">
        <f t="shared" si="2"/>
        <v>-118</v>
      </c>
      <c r="T99" s="1">
        <f t="shared" si="3"/>
        <v>1.847457627</v>
      </c>
      <c r="U99" s="1">
        <f t="shared" si="4"/>
        <v>1</v>
      </c>
      <c r="V99" s="3">
        <f t="shared" si="5"/>
        <v>1</v>
      </c>
      <c r="W99" s="3" t="str">
        <f>IFERROR(__xludf.DUMMYFUNCTION("split(B99,"" "")"),"C.")</f>
        <v>C.</v>
      </c>
      <c r="X99" s="3" t="str">
        <f>IFERROR(__xludf.DUMMYFUNCTION("""COMPUTED_VALUE"""),"Watson")</f>
        <v>Watson</v>
      </c>
      <c r="Z99" s="3">
        <v>25.0</v>
      </c>
      <c r="AA99" s="3">
        <f t="shared" si="6"/>
        <v>0</v>
      </c>
      <c r="AB99" s="3">
        <f t="shared" si="7"/>
        <v>0</v>
      </c>
      <c r="AC99" s="3">
        <f t="shared" si="8"/>
        <v>0.8474576271</v>
      </c>
      <c r="AD99" s="3">
        <f t="shared" si="9"/>
        <v>-1</v>
      </c>
    </row>
    <row r="100">
      <c r="A100" s="1" t="s">
        <v>8</v>
      </c>
      <c r="B100" s="1" t="s">
        <v>309</v>
      </c>
      <c r="C100" s="1" t="s">
        <v>19</v>
      </c>
      <c r="D100" s="1" t="s">
        <v>77</v>
      </c>
      <c r="E100" s="1" t="s">
        <v>76</v>
      </c>
      <c r="F100" s="1" t="s">
        <v>78</v>
      </c>
      <c r="G100" s="1">
        <v>15.5</v>
      </c>
      <c r="H100" s="1" t="s">
        <v>60</v>
      </c>
      <c r="I100" s="1">
        <v>-127.0</v>
      </c>
      <c r="J100" s="6">
        <v>3.29695198237889E-4</v>
      </c>
      <c r="K100" s="1" t="s">
        <v>61</v>
      </c>
      <c r="L100" s="1" t="s">
        <v>61</v>
      </c>
      <c r="M100" s="1" t="s">
        <v>62</v>
      </c>
      <c r="N100" s="1">
        <v>-105.0</v>
      </c>
      <c r="O100" s="6">
        <v>-0.0719963553682926</v>
      </c>
      <c r="P100" s="1" t="s">
        <v>61</v>
      </c>
      <c r="Q100" s="1" t="s">
        <v>61</v>
      </c>
      <c r="R100" s="6">
        <f t="shared" si="1"/>
        <v>0.0003296951982</v>
      </c>
      <c r="S100" s="1">
        <f t="shared" si="2"/>
        <v>-127</v>
      </c>
      <c r="T100" s="1">
        <f t="shared" si="3"/>
        <v>1.787401575</v>
      </c>
      <c r="U100" s="1">
        <f t="shared" si="4"/>
        <v>1</v>
      </c>
      <c r="V100" s="3">
        <f t="shared" si="5"/>
        <v>1</v>
      </c>
      <c r="W100" s="3" t="str">
        <f>IFERROR(__xludf.DUMMYFUNCTION("split(B100,"" "")"),"D.")</f>
        <v>D.</v>
      </c>
      <c r="X100" s="3" t="str">
        <f>IFERROR(__xludf.DUMMYFUNCTION("""COMPUTED_VALUE"""),"Henry")</f>
        <v>Henry</v>
      </c>
      <c r="Z100" s="3">
        <v>13.0</v>
      </c>
      <c r="AA100" s="3">
        <f t="shared" si="6"/>
        <v>0</v>
      </c>
      <c r="AB100" s="3">
        <f t="shared" si="7"/>
        <v>0</v>
      </c>
      <c r="AC100" s="3">
        <f t="shared" si="8"/>
        <v>0.7874015748</v>
      </c>
      <c r="AD100" s="3">
        <f t="shared" si="9"/>
        <v>-1</v>
      </c>
    </row>
    <row r="101">
      <c r="A101" s="1" t="s">
        <v>9</v>
      </c>
      <c r="B101" s="1" t="s">
        <v>359</v>
      </c>
      <c r="C101" s="1" t="s">
        <v>19</v>
      </c>
      <c r="D101" s="1" t="s">
        <v>72</v>
      </c>
      <c r="E101" s="1" t="s">
        <v>71</v>
      </c>
      <c r="F101" s="1" t="s">
        <v>59</v>
      </c>
      <c r="G101" s="1">
        <v>72.5</v>
      </c>
      <c r="H101" s="1" t="s">
        <v>60</v>
      </c>
      <c r="I101" s="1">
        <v>-117.0</v>
      </c>
      <c r="J101" s="1">
        <v>-0.0743664879846989</v>
      </c>
      <c r="K101" s="1" t="s">
        <v>61</v>
      </c>
      <c r="L101" s="1" t="s">
        <v>61</v>
      </c>
      <c r="M101" s="1" t="s">
        <v>62</v>
      </c>
      <c r="N101" s="1">
        <v>-115.0</v>
      </c>
      <c r="O101" s="1">
        <v>2.79474774798171E-4</v>
      </c>
      <c r="P101" s="1" t="s">
        <v>61</v>
      </c>
      <c r="Q101" s="1" t="s">
        <v>61</v>
      </c>
      <c r="R101" s="1">
        <f t="shared" si="1"/>
        <v>0.0002794747748</v>
      </c>
      <c r="S101" s="1">
        <f t="shared" si="2"/>
        <v>-115</v>
      </c>
      <c r="T101" s="1">
        <f t="shared" si="3"/>
        <v>1.869565217</v>
      </c>
      <c r="U101" s="1">
        <f t="shared" si="4"/>
        <v>0</v>
      </c>
      <c r="V101" s="3">
        <f t="shared" si="5"/>
        <v>1</v>
      </c>
      <c r="W101" s="3" t="str">
        <f>IFERROR(__xludf.DUMMYFUNCTION("split(B101,"" "")"),"J.")</f>
        <v>J.</v>
      </c>
      <c r="X101" s="3" t="str">
        <f>IFERROR(__xludf.DUMMYFUNCTION("""COMPUTED_VALUE"""),"Mixon")</f>
        <v>Mixon</v>
      </c>
      <c r="Z101" s="3">
        <v>178.0</v>
      </c>
      <c r="AA101" s="3">
        <f t="shared" si="6"/>
        <v>1</v>
      </c>
      <c r="AB101" s="3">
        <f t="shared" si="7"/>
        <v>0</v>
      </c>
      <c r="AC101" s="3">
        <f t="shared" si="8"/>
        <v>0.8695652174</v>
      </c>
      <c r="AD101" s="3">
        <f t="shared" si="9"/>
        <v>-1</v>
      </c>
    </row>
    <row r="102">
      <c r="A102" s="1" t="s">
        <v>9</v>
      </c>
      <c r="B102" s="1" t="s">
        <v>495</v>
      </c>
      <c r="C102" s="1" t="s">
        <v>18</v>
      </c>
      <c r="D102" s="1" t="s">
        <v>72</v>
      </c>
      <c r="E102" s="1" t="s">
        <v>71</v>
      </c>
      <c r="F102" s="1" t="s">
        <v>59</v>
      </c>
      <c r="G102" s="1">
        <v>68.0</v>
      </c>
      <c r="H102" s="1" t="s">
        <v>60</v>
      </c>
      <c r="I102" s="1">
        <v>-117.0</v>
      </c>
      <c r="J102" s="1">
        <v>-0.0793792990126538</v>
      </c>
      <c r="K102" s="1" t="s">
        <v>61</v>
      </c>
      <c r="L102" s="1" t="s">
        <v>61</v>
      </c>
      <c r="M102" s="1" t="s">
        <v>62</v>
      </c>
      <c r="N102" s="1">
        <v>-118.0</v>
      </c>
      <c r="O102" s="1">
        <v>1.82950941193471E-4</v>
      </c>
      <c r="P102" s="1" t="s">
        <v>61</v>
      </c>
      <c r="Q102" s="1" t="s">
        <v>61</v>
      </c>
      <c r="R102" s="1">
        <f t="shared" si="1"/>
        <v>0.0001829509412</v>
      </c>
      <c r="S102" s="1">
        <f t="shared" si="2"/>
        <v>-118</v>
      </c>
      <c r="T102" s="1">
        <f t="shared" si="3"/>
        <v>1.847457627</v>
      </c>
      <c r="U102" s="1">
        <f t="shared" si="4"/>
        <v>0</v>
      </c>
      <c r="V102" s="3">
        <f t="shared" si="5"/>
        <v>1</v>
      </c>
      <c r="W102" s="3" t="str">
        <f>IFERROR(__xludf.DUMMYFUNCTION("split(B102,"" "")"),"N.")</f>
        <v>N.</v>
      </c>
      <c r="X102" s="3" t="str">
        <f>IFERROR(__xludf.DUMMYFUNCTION("""COMPUTED_VALUE"""),"Collins")</f>
        <v>Collins</v>
      </c>
      <c r="Z102" s="3">
        <v>117.0</v>
      </c>
      <c r="AA102" s="3">
        <f t="shared" si="6"/>
        <v>1</v>
      </c>
      <c r="AB102" s="3">
        <f t="shared" si="7"/>
        <v>0</v>
      </c>
      <c r="AC102" s="3">
        <f t="shared" si="8"/>
        <v>0.8474576271</v>
      </c>
      <c r="AD102" s="3">
        <f t="shared" si="9"/>
        <v>-1</v>
      </c>
    </row>
    <row r="103">
      <c r="A103" s="1" t="s">
        <v>11</v>
      </c>
      <c r="B103" s="1" t="s">
        <v>496</v>
      </c>
      <c r="C103" s="1" t="s">
        <v>18</v>
      </c>
      <c r="D103" s="1" t="s">
        <v>164</v>
      </c>
      <c r="E103" s="1" t="s">
        <v>165</v>
      </c>
      <c r="F103" s="1" t="s">
        <v>166</v>
      </c>
      <c r="G103" s="1">
        <v>51.5</v>
      </c>
      <c r="H103" s="1" t="s">
        <v>60</v>
      </c>
      <c r="I103" s="1">
        <v>-125.0</v>
      </c>
      <c r="J103" s="1">
        <v>-0.117445154669666</v>
      </c>
      <c r="K103" s="1" t="s">
        <v>61</v>
      </c>
      <c r="L103" s="1" t="s">
        <v>61</v>
      </c>
      <c r="M103" s="1" t="s">
        <v>62</v>
      </c>
      <c r="N103" s="1">
        <v>-108.0</v>
      </c>
      <c r="O103" s="1">
        <v>0.0426734293564615</v>
      </c>
      <c r="P103" s="1" t="s">
        <v>61</v>
      </c>
      <c r="Q103" s="1" t="s">
        <v>61</v>
      </c>
      <c r="R103" s="1">
        <f t="shared" si="1"/>
        <v>0.04267342936</v>
      </c>
      <c r="S103" s="1">
        <f t="shared" si="2"/>
        <v>-108</v>
      </c>
      <c r="T103" s="1">
        <f t="shared" si="3"/>
        <v>1.925925926</v>
      </c>
      <c r="U103" s="1">
        <f t="shared" si="4"/>
        <v>0</v>
      </c>
      <c r="V103" s="3">
        <f t="shared" si="5"/>
        <v>1</v>
      </c>
      <c r="W103" s="3" t="str">
        <f>IFERROR(__xludf.DUMMYFUNCTION("split(B103,"" "")"),"D.")</f>
        <v>D.</v>
      </c>
      <c r="X103" s="3" t="str">
        <f>IFERROR(__xludf.DUMMYFUNCTION("""COMPUTED_VALUE"""),"Samuel")</f>
        <v>Samuel</v>
      </c>
      <c r="Z103" s="3">
        <v>54.0</v>
      </c>
      <c r="AA103" s="3">
        <f t="shared" si="6"/>
        <v>1</v>
      </c>
      <c r="AB103" s="3">
        <f t="shared" si="7"/>
        <v>0</v>
      </c>
      <c r="AC103" s="3">
        <f t="shared" si="8"/>
        <v>0.9259259259</v>
      </c>
      <c r="AD103" s="3">
        <f t="shared" si="9"/>
        <v>-1</v>
      </c>
    </row>
    <row r="104">
      <c r="A104" s="1" t="s">
        <v>9</v>
      </c>
      <c r="B104" s="1" t="s">
        <v>496</v>
      </c>
      <c r="C104" s="1" t="s">
        <v>18</v>
      </c>
      <c r="D104" s="1" t="s">
        <v>164</v>
      </c>
      <c r="E104" s="1" t="s">
        <v>165</v>
      </c>
      <c r="F104" s="1" t="s">
        <v>166</v>
      </c>
      <c r="G104" s="1">
        <v>71.5</v>
      </c>
      <c r="H104" s="1" t="s">
        <v>60</v>
      </c>
      <c r="I104" s="1">
        <v>-121.0</v>
      </c>
      <c r="J104" s="1">
        <v>-0.11706369873819</v>
      </c>
      <c r="K104" s="1" t="s">
        <v>61</v>
      </c>
      <c r="L104" s="1" t="s">
        <v>61</v>
      </c>
      <c r="M104" s="1" t="s">
        <v>62</v>
      </c>
      <c r="N104" s="1">
        <v>-113.0</v>
      </c>
      <c r="O104" s="1">
        <v>0.0390622323281145</v>
      </c>
      <c r="P104" s="1" t="s">
        <v>61</v>
      </c>
      <c r="Q104" s="1" t="s">
        <v>61</v>
      </c>
      <c r="R104" s="1">
        <f t="shared" si="1"/>
        <v>0.03906223233</v>
      </c>
      <c r="S104" s="1">
        <f t="shared" si="2"/>
        <v>-113</v>
      </c>
      <c r="T104" s="1">
        <f t="shared" si="3"/>
        <v>1.884955752</v>
      </c>
      <c r="U104" s="1">
        <f t="shared" si="4"/>
        <v>0</v>
      </c>
      <c r="V104" s="3">
        <f t="shared" si="5"/>
        <v>1</v>
      </c>
      <c r="W104" s="3" t="str">
        <f>IFERROR(__xludf.DUMMYFUNCTION("split(B104,"" "")"),"D.")</f>
        <v>D.</v>
      </c>
      <c r="X104" s="3" t="str">
        <f>IFERROR(__xludf.DUMMYFUNCTION("""COMPUTED_VALUE"""),"Samuel")</f>
        <v>Samuel</v>
      </c>
      <c r="Z104" s="3">
        <v>77.0</v>
      </c>
      <c r="AA104" s="3">
        <f t="shared" si="6"/>
        <v>1</v>
      </c>
      <c r="AB104" s="3">
        <f t="shared" si="7"/>
        <v>0</v>
      </c>
      <c r="AC104" s="3">
        <f t="shared" si="8"/>
        <v>0.8849557522</v>
      </c>
      <c r="AD104" s="3">
        <f t="shared" si="9"/>
        <v>-1</v>
      </c>
    </row>
    <row r="105">
      <c r="A105" s="1" t="s">
        <v>11</v>
      </c>
      <c r="B105" s="1" t="s">
        <v>336</v>
      </c>
      <c r="C105" s="1" t="s">
        <v>19</v>
      </c>
      <c r="D105" s="1" t="s">
        <v>165</v>
      </c>
      <c r="E105" s="1" t="s">
        <v>164</v>
      </c>
      <c r="F105" s="1" t="s">
        <v>166</v>
      </c>
      <c r="G105" s="1">
        <v>28.5</v>
      </c>
      <c r="H105" s="1" t="s">
        <v>60</v>
      </c>
      <c r="I105" s="1">
        <v>-121.0</v>
      </c>
      <c r="J105" s="1">
        <v>-0.106086665338778</v>
      </c>
      <c r="K105" s="1" t="s">
        <v>61</v>
      </c>
      <c r="L105" s="1" t="s">
        <v>61</v>
      </c>
      <c r="M105" s="1" t="s">
        <v>62</v>
      </c>
      <c r="N105" s="1">
        <v>-109.0</v>
      </c>
      <c r="O105" s="1">
        <v>0.0371015254232456</v>
      </c>
      <c r="P105" s="1" t="s">
        <v>61</v>
      </c>
      <c r="Q105" s="1" t="s">
        <v>61</v>
      </c>
      <c r="R105" s="1">
        <f t="shared" si="1"/>
        <v>0.03710152542</v>
      </c>
      <c r="S105" s="1">
        <f t="shared" si="2"/>
        <v>-109</v>
      </c>
      <c r="T105" s="1">
        <f t="shared" si="3"/>
        <v>1.917431193</v>
      </c>
      <c r="U105" s="1">
        <f t="shared" si="4"/>
        <v>0</v>
      </c>
      <c r="V105" s="3">
        <f t="shared" si="5"/>
        <v>1</v>
      </c>
      <c r="W105" s="3" t="str">
        <f>IFERROR(__xludf.DUMMYFUNCTION("split(B105,"" "")"),"B.")</f>
        <v>B.</v>
      </c>
      <c r="X105" s="3" t="str">
        <f>IFERROR(__xludf.DUMMYFUNCTION("""COMPUTED_VALUE"""),"Hall")</f>
        <v>Hall</v>
      </c>
      <c r="Z105" s="3">
        <v>39.0</v>
      </c>
      <c r="AA105" s="3">
        <f t="shared" si="6"/>
        <v>1</v>
      </c>
      <c r="AB105" s="3">
        <f t="shared" si="7"/>
        <v>0</v>
      </c>
      <c r="AC105" s="3">
        <f t="shared" si="8"/>
        <v>0.9174311927</v>
      </c>
      <c r="AD105" s="3">
        <f t="shared" si="9"/>
        <v>-1</v>
      </c>
    </row>
    <row r="106">
      <c r="A106" s="1" t="s">
        <v>9</v>
      </c>
      <c r="B106" s="1" t="s">
        <v>255</v>
      </c>
      <c r="C106" s="1" t="s">
        <v>18</v>
      </c>
      <c r="D106" s="1" t="s">
        <v>164</v>
      </c>
      <c r="E106" s="1" t="s">
        <v>165</v>
      </c>
      <c r="F106" s="1" t="s">
        <v>166</v>
      </c>
      <c r="G106" s="1">
        <v>52.5</v>
      </c>
      <c r="H106" s="1" t="s">
        <v>60</v>
      </c>
      <c r="I106" s="1">
        <v>-110.0</v>
      </c>
      <c r="J106" s="1">
        <v>0.0211626910775367</v>
      </c>
      <c r="K106" s="1" t="s">
        <v>61</v>
      </c>
      <c r="L106" s="1" t="s">
        <v>61</v>
      </c>
      <c r="M106" s="1" t="s">
        <v>62</v>
      </c>
      <c r="N106" s="1">
        <v>-120.0</v>
      </c>
      <c r="O106" s="1">
        <v>-0.090422718870633</v>
      </c>
      <c r="P106" s="1" t="s">
        <v>61</v>
      </c>
      <c r="Q106" s="1" t="s">
        <v>61</v>
      </c>
      <c r="R106" s="1">
        <f t="shared" si="1"/>
        <v>0.02116269108</v>
      </c>
      <c r="S106" s="1">
        <f t="shared" si="2"/>
        <v>-110</v>
      </c>
      <c r="T106" s="1">
        <f t="shared" si="3"/>
        <v>1.909090909</v>
      </c>
      <c r="U106" s="1">
        <f t="shared" si="4"/>
        <v>1</v>
      </c>
      <c r="V106" s="3">
        <f t="shared" si="5"/>
        <v>1</v>
      </c>
      <c r="W106" s="3" t="str">
        <f>IFERROR(__xludf.DUMMYFUNCTION("split(B106,"" "")"),"B.")</f>
        <v>B.</v>
      </c>
      <c r="X106" s="3" t="str">
        <f>IFERROR(__xludf.DUMMYFUNCTION("""COMPUTED_VALUE"""),"Aiyuk")</f>
        <v>Aiyuk</v>
      </c>
      <c r="Z106" s="3">
        <v>28.0</v>
      </c>
      <c r="AA106" s="3">
        <f t="shared" si="6"/>
        <v>0</v>
      </c>
      <c r="AB106" s="3">
        <f t="shared" si="7"/>
        <v>0</v>
      </c>
      <c r="AC106" s="3">
        <f t="shared" si="8"/>
        <v>0.9090909091</v>
      </c>
      <c r="AD106" s="3">
        <f t="shared" si="9"/>
        <v>-1</v>
      </c>
    </row>
    <row r="107">
      <c r="A107" s="1" t="s">
        <v>11</v>
      </c>
      <c r="B107" s="1" t="s">
        <v>285</v>
      </c>
      <c r="C107" s="1" t="s">
        <v>18</v>
      </c>
      <c r="D107" s="1" t="s">
        <v>164</v>
      </c>
      <c r="E107" s="1" t="s">
        <v>165</v>
      </c>
      <c r="F107" s="1" t="s">
        <v>166</v>
      </c>
      <c r="G107" s="1">
        <v>20.5</v>
      </c>
      <c r="H107" s="1" t="s">
        <v>60</v>
      </c>
      <c r="I107" s="1">
        <v>-117.0</v>
      </c>
      <c r="J107" s="1">
        <v>-0.0947152075537465</v>
      </c>
      <c r="K107" s="1" t="s">
        <v>61</v>
      </c>
      <c r="L107" s="1" t="s">
        <v>61</v>
      </c>
      <c r="M107" s="1" t="s">
        <v>62</v>
      </c>
      <c r="N107" s="1">
        <v>-116.0</v>
      </c>
      <c r="O107" s="1">
        <v>0.0185315928029123</v>
      </c>
      <c r="P107" s="1" t="s">
        <v>61</v>
      </c>
      <c r="Q107" s="1" t="s">
        <v>61</v>
      </c>
      <c r="R107" s="1">
        <f t="shared" si="1"/>
        <v>0.0185315928</v>
      </c>
      <c r="S107" s="1">
        <f t="shared" si="2"/>
        <v>-116</v>
      </c>
      <c r="T107" s="1">
        <f t="shared" si="3"/>
        <v>1.862068966</v>
      </c>
      <c r="U107" s="1">
        <f t="shared" si="4"/>
        <v>0</v>
      </c>
      <c r="V107" s="3">
        <f t="shared" si="5"/>
        <v>1</v>
      </c>
      <c r="W107" s="3" t="str">
        <f>IFERROR(__xludf.DUMMYFUNCTION("split(B107,"" "")"),"J.")</f>
        <v>J.</v>
      </c>
      <c r="X107" s="3" t="str">
        <f>IFERROR(__xludf.DUMMYFUNCTION("""COMPUTED_VALUE"""),"Jennings")</f>
        <v>Jennings</v>
      </c>
      <c r="Z107" s="3">
        <v>64.0</v>
      </c>
      <c r="AA107" s="3">
        <f t="shared" si="6"/>
        <v>1</v>
      </c>
      <c r="AB107" s="3">
        <f t="shared" si="7"/>
        <v>0</v>
      </c>
      <c r="AC107" s="3">
        <f t="shared" si="8"/>
        <v>0.8620689655</v>
      </c>
      <c r="AD107" s="3">
        <f t="shared" si="9"/>
        <v>-1</v>
      </c>
    </row>
    <row r="108">
      <c r="A108" s="1" t="s">
        <v>8</v>
      </c>
      <c r="B108" s="1" t="s">
        <v>336</v>
      </c>
      <c r="C108" s="1" t="s">
        <v>19</v>
      </c>
      <c r="D108" s="1" t="s">
        <v>165</v>
      </c>
      <c r="E108" s="1" t="s">
        <v>164</v>
      </c>
      <c r="F108" s="1" t="s">
        <v>166</v>
      </c>
      <c r="G108" s="1">
        <v>15.5</v>
      </c>
      <c r="H108" s="1" t="s">
        <v>60</v>
      </c>
      <c r="I108" s="1">
        <v>-106.0</v>
      </c>
      <c r="J108" s="1">
        <v>-0.0813628815339805</v>
      </c>
      <c r="K108" s="1" t="s">
        <v>61</v>
      </c>
      <c r="L108" s="1" t="s">
        <v>61</v>
      </c>
      <c r="M108" s="1" t="s">
        <v>62</v>
      </c>
      <c r="N108" s="1">
        <v>-125.0</v>
      </c>
      <c r="O108" s="1">
        <v>0.0112441866444443</v>
      </c>
      <c r="P108" s="1" t="s">
        <v>61</v>
      </c>
      <c r="Q108" s="1" t="s">
        <v>61</v>
      </c>
      <c r="R108" s="1">
        <f t="shared" si="1"/>
        <v>0.01124418664</v>
      </c>
      <c r="S108" s="1">
        <f t="shared" si="2"/>
        <v>-125</v>
      </c>
      <c r="T108" s="1">
        <f t="shared" si="3"/>
        <v>1.8</v>
      </c>
      <c r="U108" s="1">
        <f t="shared" si="4"/>
        <v>0</v>
      </c>
      <c r="V108" s="3">
        <f t="shared" si="5"/>
        <v>1</v>
      </c>
      <c r="W108" s="3" t="str">
        <f>IFERROR(__xludf.DUMMYFUNCTION("split(B108,"" "")"),"B.")</f>
        <v>B.</v>
      </c>
      <c r="X108" s="3" t="str">
        <f>IFERROR(__xludf.DUMMYFUNCTION("""COMPUTED_VALUE"""),"Hall")</f>
        <v>Hall</v>
      </c>
      <c r="Z108" s="3">
        <v>16.0</v>
      </c>
      <c r="AA108" s="3">
        <f t="shared" si="6"/>
        <v>1</v>
      </c>
      <c r="AB108" s="3">
        <f t="shared" si="7"/>
        <v>0</v>
      </c>
      <c r="AC108" s="3">
        <f t="shared" si="8"/>
        <v>0.8</v>
      </c>
      <c r="AD108" s="3">
        <f t="shared" si="9"/>
        <v>-1</v>
      </c>
    </row>
    <row r="109">
      <c r="A109" s="1" t="s">
        <v>12</v>
      </c>
      <c r="B109" s="1" t="s">
        <v>336</v>
      </c>
      <c r="C109" s="1" t="s">
        <v>19</v>
      </c>
      <c r="D109" s="1" t="s">
        <v>165</v>
      </c>
      <c r="E109" s="1" t="s">
        <v>164</v>
      </c>
      <c r="F109" s="1" t="s">
        <v>166</v>
      </c>
      <c r="G109" s="1">
        <v>4.5</v>
      </c>
      <c r="H109" s="1" t="s">
        <v>60</v>
      </c>
      <c r="I109" s="1">
        <v>118.0</v>
      </c>
      <c r="J109" s="1">
        <v>-0.0758155963302753</v>
      </c>
      <c r="K109" s="1" t="s">
        <v>61</v>
      </c>
      <c r="L109" s="1" t="s">
        <v>61</v>
      </c>
      <c r="M109" s="1" t="s">
        <v>62</v>
      </c>
      <c r="N109" s="1">
        <v>-160.0</v>
      </c>
      <c r="O109" s="1">
        <v>0.00171538461538456</v>
      </c>
      <c r="P109" s="1" t="s">
        <v>61</v>
      </c>
      <c r="Q109" s="1" t="s">
        <v>61</v>
      </c>
      <c r="R109" s="1">
        <f t="shared" si="1"/>
        <v>0.001715384615</v>
      </c>
      <c r="S109" s="1">
        <f t="shared" si="2"/>
        <v>-160</v>
      </c>
      <c r="T109" s="1">
        <f t="shared" si="3"/>
        <v>1.625</v>
      </c>
      <c r="U109" s="1">
        <f t="shared" si="4"/>
        <v>0</v>
      </c>
      <c r="V109" s="3">
        <f t="shared" si="5"/>
        <v>1</v>
      </c>
      <c r="W109" s="3" t="str">
        <f>IFERROR(__xludf.DUMMYFUNCTION("split(B109,"" "")"),"B.")</f>
        <v>B.</v>
      </c>
      <c r="X109" s="3" t="str">
        <f>IFERROR(__xludf.DUMMYFUNCTION("""COMPUTED_VALUE"""),"Hall")</f>
        <v>Hall</v>
      </c>
      <c r="Z109" s="3">
        <v>5.0</v>
      </c>
      <c r="AA109" s="3">
        <f t="shared" si="6"/>
        <v>1</v>
      </c>
      <c r="AB109" s="3">
        <f t="shared" si="7"/>
        <v>0</v>
      </c>
      <c r="AC109" s="3">
        <f t="shared" si="8"/>
        <v>0.625</v>
      </c>
      <c r="AD109" s="3">
        <f t="shared" si="9"/>
        <v>-1</v>
      </c>
    </row>
    <row r="110">
      <c r="A110" s="1" t="s">
        <v>10</v>
      </c>
      <c r="B110" s="1" t="s">
        <v>497</v>
      </c>
      <c r="C110" s="1" t="s">
        <v>19</v>
      </c>
      <c r="D110" s="1" t="s">
        <v>164</v>
      </c>
      <c r="E110" s="1" t="s">
        <v>165</v>
      </c>
      <c r="F110" s="1" t="s">
        <v>166</v>
      </c>
      <c r="G110" s="1">
        <v>11.5</v>
      </c>
      <c r="H110" s="1" t="s">
        <v>60</v>
      </c>
      <c r="I110" s="1">
        <v>-145.0</v>
      </c>
      <c r="J110" s="1">
        <v>-0.078369558737758</v>
      </c>
      <c r="K110" s="1" t="s">
        <v>61</v>
      </c>
      <c r="L110" s="1" t="s">
        <v>61</v>
      </c>
      <c r="M110" s="1" t="s">
        <v>62</v>
      </c>
      <c r="N110" s="1">
        <v>106.0</v>
      </c>
      <c r="O110" s="1">
        <v>0.00110214510073164</v>
      </c>
      <c r="P110" s="1" t="s">
        <v>61</v>
      </c>
      <c r="Q110" s="1" t="s">
        <v>61</v>
      </c>
      <c r="R110" s="1">
        <f t="shared" si="1"/>
        <v>0.001102145101</v>
      </c>
      <c r="S110" s="1">
        <f t="shared" si="2"/>
        <v>106</v>
      </c>
      <c r="T110" s="1">
        <f t="shared" si="3"/>
        <v>2.06</v>
      </c>
      <c r="U110" s="1">
        <f t="shared" si="4"/>
        <v>0</v>
      </c>
      <c r="V110" s="3">
        <f t="shared" si="5"/>
        <v>1</v>
      </c>
      <c r="W110" s="3" t="str">
        <f>IFERROR(__xludf.DUMMYFUNCTION("split(B110,"" "")"),"J.")</f>
        <v>J.</v>
      </c>
      <c r="X110" s="3" t="str">
        <f>IFERROR(__xludf.DUMMYFUNCTION("""COMPUTED_VALUE"""),"Mason")</f>
        <v>Mason</v>
      </c>
      <c r="Z110" s="3">
        <v>147.0</v>
      </c>
      <c r="AA110" s="3">
        <f t="shared" si="6"/>
        <v>1</v>
      </c>
      <c r="AB110" s="3">
        <f t="shared" si="7"/>
        <v>0</v>
      </c>
      <c r="AC110" s="3">
        <f t="shared" si="8"/>
        <v>1.06</v>
      </c>
      <c r="AD110" s="3">
        <f t="shared" si="9"/>
        <v>-1</v>
      </c>
    </row>
    <row r="111">
      <c r="A111" s="1" t="s">
        <v>8</v>
      </c>
      <c r="B111" s="1" t="s">
        <v>361</v>
      </c>
      <c r="C111" s="1" t="s">
        <v>19</v>
      </c>
      <c r="D111" s="1" t="s">
        <v>82</v>
      </c>
      <c r="E111" s="1" t="s">
        <v>83</v>
      </c>
      <c r="F111" s="1" t="s">
        <v>84</v>
      </c>
      <c r="G111" s="1">
        <v>6.5</v>
      </c>
      <c r="H111" s="1" t="s">
        <v>60</v>
      </c>
      <c r="I111" s="1">
        <v>104.0</v>
      </c>
      <c r="J111" s="1">
        <v>-0.166037580437241</v>
      </c>
      <c r="K111" s="1" t="s">
        <v>61</v>
      </c>
      <c r="L111" s="1" t="s">
        <v>61</v>
      </c>
      <c r="M111" s="1" t="s">
        <v>62</v>
      </c>
      <c r="N111" s="1">
        <v>-136.0</v>
      </c>
      <c r="O111" s="1">
        <v>0.099588764327364</v>
      </c>
      <c r="P111" s="1" t="s">
        <v>61</v>
      </c>
      <c r="Q111" s="1" t="s">
        <v>61</v>
      </c>
      <c r="R111" s="1">
        <f t="shared" si="1"/>
        <v>0.09958876433</v>
      </c>
      <c r="S111" s="1">
        <f t="shared" si="2"/>
        <v>-136</v>
      </c>
      <c r="T111" s="1">
        <f t="shared" si="3"/>
        <v>1.735294118</v>
      </c>
      <c r="U111" s="1">
        <f t="shared" si="4"/>
        <v>0</v>
      </c>
      <c r="V111" s="3">
        <f t="shared" si="5"/>
        <v>2</v>
      </c>
      <c r="W111" s="3" t="str">
        <f>IFERROR(__xludf.DUMMYFUNCTION("split(B111,"" "")"),"Z.")</f>
        <v>Z.</v>
      </c>
      <c r="X111" s="3" t="str">
        <f>IFERROR(__xludf.DUMMYFUNCTION("""COMPUTED_VALUE"""),"Charbonnet")</f>
        <v>Charbonnet</v>
      </c>
      <c r="Z111" s="3">
        <v>8.0</v>
      </c>
      <c r="AA111" s="3">
        <f t="shared" si="6"/>
        <v>1</v>
      </c>
      <c r="AB111" s="3">
        <f t="shared" si="7"/>
        <v>0</v>
      </c>
      <c r="AC111" s="3">
        <f t="shared" si="8"/>
        <v>1.470588235</v>
      </c>
      <c r="AD111" s="3">
        <f t="shared" si="9"/>
        <v>-2</v>
      </c>
    </row>
    <row r="112">
      <c r="A112" s="1" t="s">
        <v>12</v>
      </c>
      <c r="B112" s="1" t="s">
        <v>498</v>
      </c>
      <c r="C112" s="1" t="s">
        <v>20</v>
      </c>
      <c r="D112" s="1" t="s">
        <v>197</v>
      </c>
      <c r="E112" s="1" t="s">
        <v>196</v>
      </c>
      <c r="F112" s="1" t="s">
        <v>198</v>
      </c>
      <c r="G112" s="1">
        <v>5.5</v>
      </c>
      <c r="H112" s="1" t="s">
        <v>60</v>
      </c>
      <c r="I112" s="1">
        <v>119.0</v>
      </c>
      <c r="J112" s="1">
        <v>0.0983703196347032</v>
      </c>
      <c r="K112" s="1" t="s">
        <v>61</v>
      </c>
      <c r="L112" s="1" t="s">
        <v>61</v>
      </c>
      <c r="M112" s="1" t="s">
        <v>62</v>
      </c>
      <c r="N112" s="1">
        <v>-159.0</v>
      </c>
      <c r="O112" s="1">
        <v>-0.168876833976834</v>
      </c>
      <c r="P112" s="1" t="s">
        <v>61</v>
      </c>
      <c r="Q112" s="1" t="s">
        <v>61</v>
      </c>
      <c r="R112" s="1">
        <f t="shared" si="1"/>
        <v>0.09837031963</v>
      </c>
      <c r="S112" s="1">
        <f t="shared" si="2"/>
        <v>119</v>
      </c>
      <c r="T112" s="1">
        <f t="shared" si="3"/>
        <v>2.19</v>
      </c>
      <c r="U112" s="1">
        <f t="shared" si="4"/>
        <v>1</v>
      </c>
      <c r="V112" s="3">
        <f t="shared" si="5"/>
        <v>2</v>
      </c>
      <c r="W112" s="3" t="str">
        <f>IFERROR(__xludf.DUMMYFUNCTION("split(B112,"" "")"),"S.")</f>
        <v>S.</v>
      </c>
      <c r="X112" s="3" t="str">
        <f>IFERROR(__xludf.DUMMYFUNCTION("""COMPUTED_VALUE"""),"LaPorta")</f>
        <v>LaPorta</v>
      </c>
      <c r="Z112" s="3">
        <v>4.0</v>
      </c>
      <c r="AA112" s="3">
        <f t="shared" si="6"/>
        <v>0</v>
      </c>
      <c r="AB112" s="3">
        <f t="shared" si="7"/>
        <v>0</v>
      </c>
      <c r="AC112" s="3">
        <f t="shared" si="8"/>
        <v>2.38</v>
      </c>
      <c r="AD112" s="3">
        <f t="shared" si="9"/>
        <v>-2</v>
      </c>
    </row>
    <row r="113">
      <c r="A113" s="1" t="s">
        <v>12</v>
      </c>
      <c r="B113" s="1" t="s">
        <v>428</v>
      </c>
      <c r="C113" s="1" t="s">
        <v>18</v>
      </c>
      <c r="D113" s="1" t="s">
        <v>58</v>
      </c>
      <c r="E113" s="1" t="s">
        <v>57</v>
      </c>
      <c r="F113" s="1" t="s">
        <v>59</v>
      </c>
      <c r="G113" s="1">
        <v>3.0</v>
      </c>
      <c r="H113" s="1" t="s">
        <v>60</v>
      </c>
      <c r="I113" s="1">
        <v>-109.0</v>
      </c>
      <c r="J113" s="1">
        <v>-0.170685873397129</v>
      </c>
      <c r="K113" s="1" t="s">
        <v>61</v>
      </c>
      <c r="L113" s="1" t="s">
        <v>61</v>
      </c>
      <c r="M113" s="1" t="s">
        <v>62</v>
      </c>
      <c r="N113" s="1">
        <v>-132.0</v>
      </c>
      <c r="O113" s="1">
        <v>0.0965411325551723</v>
      </c>
      <c r="P113" s="1" t="s">
        <v>61</v>
      </c>
      <c r="Q113" s="1" t="s">
        <v>61</v>
      </c>
      <c r="R113" s="1">
        <f t="shared" si="1"/>
        <v>0.09654113256</v>
      </c>
      <c r="S113" s="1">
        <f t="shared" si="2"/>
        <v>-132</v>
      </c>
      <c r="T113" s="1">
        <f t="shared" si="3"/>
        <v>1.757575758</v>
      </c>
      <c r="U113" s="1">
        <f t="shared" si="4"/>
        <v>0</v>
      </c>
      <c r="V113" s="3">
        <f t="shared" si="5"/>
        <v>2</v>
      </c>
      <c r="W113" s="3" t="str">
        <f>IFERROR(__xludf.DUMMYFUNCTION("split(B113,"" "")"),"R.")</f>
        <v>R.</v>
      </c>
      <c r="X113" s="3" t="str">
        <f>IFERROR(__xludf.DUMMYFUNCTION("""COMPUTED_VALUE"""),"Shaheed")</f>
        <v>Shaheed</v>
      </c>
      <c r="Z113" s="3">
        <v>3.0</v>
      </c>
      <c r="AA113" s="3">
        <f t="shared" si="6"/>
        <v>1</v>
      </c>
      <c r="AB113" s="3">
        <f t="shared" si="7"/>
        <v>0</v>
      </c>
      <c r="AC113" s="3">
        <f t="shared" si="8"/>
        <v>1.515151515</v>
      </c>
      <c r="AD113" s="3">
        <f t="shared" si="9"/>
        <v>-2</v>
      </c>
    </row>
    <row r="114">
      <c r="A114" s="1" t="s">
        <v>12</v>
      </c>
      <c r="B114" s="1" t="s">
        <v>468</v>
      </c>
      <c r="C114" s="1" t="s">
        <v>20</v>
      </c>
      <c r="D114" s="1" t="s">
        <v>76</v>
      </c>
      <c r="E114" s="1" t="s">
        <v>77</v>
      </c>
      <c r="F114" s="1" t="s">
        <v>78</v>
      </c>
      <c r="G114" s="1">
        <v>1.5</v>
      </c>
      <c r="H114" s="1" t="s">
        <v>60</v>
      </c>
      <c r="I114" s="1">
        <v>-103.0</v>
      </c>
      <c r="J114" s="6">
        <v>-0.170133042896551</v>
      </c>
      <c r="K114" s="1" t="s">
        <v>61</v>
      </c>
      <c r="L114" s="1" t="s">
        <v>61</v>
      </c>
      <c r="M114" s="1" t="s">
        <v>62</v>
      </c>
      <c r="N114" s="1">
        <v>-131.0</v>
      </c>
      <c r="O114" s="6">
        <v>0.0956358272618181</v>
      </c>
      <c r="P114" s="1" t="s">
        <v>61</v>
      </c>
      <c r="Q114" s="1" t="s">
        <v>61</v>
      </c>
      <c r="R114" s="6">
        <f t="shared" si="1"/>
        <v>0.09563582726</v>
      </c>
      <c r="S114" s="1">
        <f t="shared" si="2"/>
        <v>-131</v>
      </c>
      <c r="T114" s="1">
        <f t="shared" si="3"/>
        <v>1.763358779</v>
      </c>
      <c r="U114" s="1">
        <f t="shared" si="4"/>
        <v>0</v>
      </c>
      <c r="V114" s="3">
        <f t="shared" si="5"/>
        <v>2</v>
      </c>
      <c r="W114" s="3" t="str">
        <f>IFERROR(__xludf.DUMMYFUNCTION("split(B114,"" "")"),"N.")</f>
        <v>N.</v>
      </c>
      <c r="X114" s="3" t="str">
        <f>IFERROR(__xludf.DUMMYFUNCTION("""COMPUTED_VALUE"""),"Gray")</f>
        <v>Gray</v>
      </c>
      <c r="Z114" s="3">
        <v>3.0</v>
      </c>
      <c r="AA114" s="3">
        <f t="shared" si="6"/>
        <v>1</v>
      </c>
      <c r="AB114" s="3">
        <f t="shared" si="7"/>
        <v>0</v>
      </c>
      <c r="AC114" s="3">
        <f t="shared" si="8"/>
        <v>1.526717557</v>
      </c>
      <c r="AD114" s="3">
        <f t="shared" si="9"/>
        <v>-2</v>
      </c>
    </row>
    <row r="115">
      <c r="A115" s="1" t="s">
        <v>12</v>
      </c>
      <c r="B115" s="1" t="s">
        <v>359</v>
      </c>
      <c r="C115" s="1" t="s">
        <v>19</v>
      </c>
      <c r="D115" s="1" t="s">
        <v>72</v>
      </c>
      <c r="E115" s="1" t="s">
        <v>71</v>
      </c>
      <c r="F115" s="1" t="s">
        <v>59</v>
      </c>
      <c r="G115" s="1">
        <v>2.5</v>
      </c>
      <c r="H115" s="1" t="s">
        <v>60</v>
      </c>
      <c r="I115" s="1">
        <v>107.0</v>
      </c>
      <c r="J115" s="1">
        <v>-0.167038708823188</v>
      </c>
      <c r="K115" s="1" t="s">
        <v>61</v>
      </c>
      <c r="L115" s="1" t="s">
        <v>61</v>
      </c>
      <c r="M115" s="1" t="s">
        <v>62</v>
      </c>
      <c r="N115" s="1">
        <v>-143.0</v>
      </c>
      <c r="O115" s="1">
        <v>0.0954622060641974</v>
      </c>
      <c r="P115" s="1" t="s">
        <v>61</v>
      </c>
      <c r="Q115" s="1" t="s">
        <v>61</v>
      </c>
      <c r="R115" s="1">
        <f t="shared" si="1"/>
        <v>0.09546220606</v>
      </c>
      <c r="S115" s="1">
        <f t="shared" si="2"/>
        <v>-143</v>
      </c>
      <c r="T115" s="1">
        <f t="shared" si="3"/>
        <v>1.699300699</v>
      </c>
      <c r="U115" s="1">
        <f t="shared" si="4"/>
        <v>0</v>
      </c>
      <c r="V115" s="3">
        <f t="shared" si="5"/>
        <v>2</v>
      </c>
      <c r="W115" s="3" t="str">
        <f>IFERROR(__xludf.DUMMYFUNCTION("split(B115,"" "")"),"J.")</f>
        <v>J.</v>
      </c>
      <c r="X115" s="3" t="str">
        <f>IFERROR(__xludf.DUMMYFUNCTION("""COMPUTED_VALUE"""),"Mixon")</f>
        <v>Mixon</v>
      </c>
      <c r="Z115" s="3">
        <v>3.0</v>
      </c>
      <c r="AA115" s="3">
        <f t="shared" si="6"/>
        <v>1</v>
      </c>
      <c r="AB115" s="3">
        <f t="shared" si="7"/>
        <v>0</v>
      </c>
      <c r="AC115" s="3">
        <f t="shared" si="8"/>
        <v>1.398601399</v>
      </c>
      <c r="AD115" s="3">
        <f t="shared" si="9"/>
        <v>-2</v>
      </c>
    </row>
    <row r="116">
      <c r="A116" s="1" t="s">
        <v>12</v>
      </c>
      <c r="B116" s="1" t="s">
        <v>207</v>
      </c>
      <c r="C116" s="1" t="s">
        <v>18</v>
      </c>
      <c r="D116" s="1" t="s">
        <v>57</v>
      </c>
      <c r="E116" s="1" t="s">
        <v>58</v>
      </c>
      <c r="F116" s="1" t="s">
        <v>59</v>
      </c>
      <c r="G116" s="1">
        <v>1.5</v>
      </c>
      <c r="H116" s="1" t="s">
        <v>60</v>
      </c>
      <c r="I116" s="1">
        <v>100.0</v>
      </c>
      <c r="J116" s="1">
        <v>-0.159842757069999</v>
      </c>
      <c r="K116" s="1" t="s">
        <v>61</v>
      </c>
      <c r="L116" s="1" t="s">
        <v>61</v>
      </c>
      <c r="M116" s="1" t="s">
        <v>62</v>
      </c>
      <c r="N116" s="1">
        <v>-130.0</v>
      </c>
      <c r="O116" s="1">
        <v>0.0946178992965216</v>
      </c>
      <c r="P116" s="1" t="s">
        <v>61</v>
      </c>
      <c r="Q116" s="1" t="s">
        <v>61</v>
      </c>
      <c r="R116" s="1">
        <f t="shared" si="1"/>
        <v>0.0946178993</v>
      </c>
      <c r="S116" s="1">
        <f t="shared" si="2"/>
        <v>-130</v>
      </c>
      <c r="T116" s="1">
        <f t="shared" si="3"/>
        <v>1.769230769</v>
      </c>
      <c r="U116" s="1">
        <f t="shared" si="4"/>
        <v>0</v>
      </c>
      <c r="V116" s="3">
        <f t="shared" si="5"/>
        <v>2</v>
      </c>
      <c r="W116" s="3" t="str">
        <f>IFERROR(__xludf.DUMMYFUNCTION("split(B116,"" "")"),"J.")</f>
        <v>J.</v>
      </c>
      <c r="X116" s="3" t="str">
        <f>IFERROR(__xludf.DUMMYFUNCTION("""COMPUTED_VALUE"""),"Mingo")</f>
        <v>Mingo</v>
      </c>
      <c r="Z116" s="3">
        <v>2.0</v>
      </c>
      <c r="AA116" s="3">
        <f t="shared" si="6"/>
        <v>1</v>
      </c>
      <c r="AB116" s="3">
        <f t="shared" si="7"/>
        <v>0</v>
      </c>
      <c r="AC116" s="3">
        <f t="shared" si="8"/>
        <v>1.538461538</v>
      </c>
      <c r="AD116" s="3">
        <f t="shared" si="9"/>
        <v>-2</v>
      </c>
    </row>
    <row r="117">
      <c r="A117" s="1" t="s">
        <v>10</v>
      </c>
      <c r="B117" s="1" t="s">
        <v>320</v>
      </c>
      <c r="C117" s="1" t="s">
        <v>21</v>
      </c>
      <c r="D117" s="1" t="s">
        <v>114</v>
      </c>
      <c r="E117" s="1" t="s">
        <v>113</v>
      </c>
      <c r="F117" s="1" t="s">
        <v>90</v>
      </c>
      <c r="G117" s="1">
        <v>39.5</v>
      </c>
      <c r="H117" s="1" t="s">
        <v>60</v>
      </c>
      <c r="I117" s="1">
        <v>-112.0</v>
      </c>
      <c r="J117" s="1">
        <v>-0.163123017135205</v>
      </c>
      <c r="K117" s="1" t="s">
        <v>61</v>
      </c>
      <c r="L117" s="1" t="s">
        <v>61</v>
      </c>
      <c r="M117" s="1" t="s">
        <v>62</v>
      </c>
      <c r="N117" s="1">
        <v>-118.0</v>
      </c>
      <c r="O117" s="1">
        <v>0.0935103392960684</v>
      </c>
      <c r="P117" s="1" t="s">
        <v>61</v>
      </c>
      <c r="Q117" s="1" t="s">
        <v>61</v>
      </c>
      <c r="R117" s="1">
        <f t="shared" si="1"/>
        <v>0.0935103393</v>
      </c>
      <c r="S117" s="1">
        <f t="shared" si="2"/>
        <v>-118</v>
      </c>
      <c r="T117" s="1">
        <f t="shared" si="3"/>
        <v>1.847457627</v>
      </c>
      <c r="U117" s="1">
        <f t="shared" si="4"/>
        <v>0</v>
      </c>
      <c r="V117" s="3">
        <f t="shared" si="5"/>
        <v>2</v>
      </c>
      <c r="W117" s="3" t="str">
        <f>IFERROR(__xludf.DUMMYFUNCTION("split(B117,"" "")"),"J.")</f>
        <v>J.</v>
      </c>
      <c r="X117" s="3" t="str">
        <f>IFERROR(__xludf.DUMMYFUNCTION("""COMPUTED_VALUE"""),"Daniels")</f>
        <v>Daniels</v>
      </c>
      <c r="Z117" s="3">
        <v>88.0</v>
      </c>
      <c r="AA117" s="3">
        <f t="shared" si="6"/>
        <v>1</v>
      </c>
      <c r="AB117" s="3">
        <f t="shared" si="7"/>
        <v>0</v>
      </c>
      <c r="AC117" s="3">
        <f t="shared" si="8"/>
        <v>1.694915254</v>
      </c>
      <c r="AD117" s="3">
        <f t="shared" si="9"/>
        <v>-2</v>
      </c>
    </row>
    <row r="118">
      <c r="A118" s="1" t="s">
        <v>9</v>
      </c>
      <c r="B118" s="1" t="s">
        <v>403</v>
      </c>
      <c r="C118" s="1" t="s">
        <v>18</v>
      </c>
      <c r="D118" s="1" t="s">
        <v>110</v>
      </c>
      <c r="E118" s="1" t="s">
        <v>109</v>
      </c>
      <c r="F118" s="1" t="s">
        <v>59</v>
      </c>
      <c r="G118" s="1">
        <v>19.5</v>
      </c>
      <c r="H118" s="1" t="s">
        <v>60</v>
      </c>
      <c r="I118" s="1">
        <v>-115.0</v>
      </c>
      <c r="J118" s="1">
        <v>0.0910841267937728</v>
      </c>
      <c r="K118" s="1" t="s">
        <v>61</v>
      </c>
      <c r="L118" s="1" t="s">
        <v>61</v>
      </c>
      <c r="M118" s="1" t="s">
        <v>62</v>
      </c>
      <c r="N118" s="1">
        <v>-115.0</v>
      </c>
      <c r="O118" s="1">
        <v>-0.160816745812839</v>
      </c>
      <c r="P118" s="1" t="s">
        <v>61</v>
      </c>
      <c r="Q118" s="1" t="s">
        <v>61</v>
      </c>
      <c r="R118" s="1">
        <f t="shared" si="1"/>
        <v>0.09108412679</v>
      </c>
      <c r="S118" s="1">
        <f t="shared" si="2"/>
        <v>-115</v>
      </c>
      <c r="T118" s="1">
        <f t="shared" si="3"/>
        <v>1.869565217</v>
      </c>
      <c r="U118" s="1">
        <f t="shared" si="4"/>
        <v>1</v>
      </c>
      <c r="V118" s="3">
        <f t="shared" si="5"/>
        <v>2</v>
      </c>
      <c r="W118" s="3" t="str">
        <f>IFERROR(__xludf.DUMMYFUNCTION("split(B118,"" "")"),"V.")</f>
        <v>V.</v>
      </c>
      <c r="X118" s="3" t="str">
        <f>IFERROR(__xludf.DUMMYFUNCTION("""COMPUTED_VALUE"""),"Jefferson")</f>
        <v>Jefferson</v>
      </c>
      <c r="Z118" s="3">
        <v>1.0</v>
      </c>
      <c r="AA118" s="3">
        <f t="shared" si="6"/>
        <v>0</v>
      </c>
      <c r="AB118" s="3">
        <f t="shared" si="7"/>
        <v>0</v>
      </c>
      <c r="AC118" s="3">
        <f t="shared" si="8"/>
        <v>1.739130435</v>
      </c>
      <c r="AD118" s="3">
        <f t="shared" si="9"/>
        <v>-2</v>
      </c>
    </row>
    <row r="119">
      <c r="A119" s="1" t="s">
        <v>8</v>
      </c>
      <c r="B119" s="1" t="s">
        <v>253</v>
      </c>
      <c r="C119" s="1" t="s">
        <v>21</v>
      </c>
      <c r="D119" s="1" t="s">
        <v>113</v>
      </c>
      <c r="E119" s="1" t="s">
        <v>114</v>
      </c>
      <c r="F119" s="1" t="s">
        <v>90</v>
      </c>
      <c r="G119" s="1">
        <v>2.5</v>
      </c>
      <c r="H119" s="1" t="s">
        <v>60</v>
      </c>
      <c r="I119" s="1">
        <v>-120.0</v>
      </c>
      <c r="J119" s="1">
        <v>-0.158139194202336</v>
      </c>
      <c r="K119" s="1" t="s">
        <v>61</v>
      </c>
      <c r="L119" s="1" t="s">
        <v>61</v>
      </c>
      <c r="M119" s="1" t="s">
        <v>62</v>
      </c>
      <c r="N119" s="1">
        <v>-110.0</v>
      </c>
      <c r="O119" s="1">
        <v>0.0888880237950732</v>
      </c>
      <c r="P119" s="1" t="s">
        <v>61</v>
      </c>
      <c r="Q119" s="1" t="s">
        <v>61</v>
      </c>
      <c r="R119" s="1">
        <f t="shared" si="1"/>
        <v>0.0888880238</v>
      </c>
      <c r="S119" s="1">
        <f t="shared" si="2"/>
        <v>-110</v>
      </c>
      <c r="T119" s="1">
        <f t="shared" si="3"/>
        <v>1.909090909</v>
      </c>
      <c r="U119" s="1">
        <f t="shared" si="4"/>
        <v>0</v>
      </c>
      <c r="V119" s="3">
        <f t="shared" si="5"/>
        <v>2</v>
      </c>
      <c r="W119" s="3" t="str">
        <f>IFERROR(__xludf.DUMMYFUNCTION("split(B119,"" "")"),"B.")</f>
        <v>B.</v>
      </c>
      <c r="X119" s="3" t="str">
        <f>IFERROR(__xludf.DUMMYFUNCTION("""COMPUTED_VALUE"""),"Mayfield")</f>
        <v>Mayfield</v>
      </c>
      <c r="Z119" s="3">
        <v>3.0</v>
      </c>
      <c r="AA119" s="3">
        <f t="shared" si="6"/>
        <v>1</v>
      </c>
      <c r="AB119" s="3">
        <f t="shared" si="7"/>
        <v>0</v>
      </c>
      <c r="AC119" s="3">
        <f t="shared" si="8"/>
        <v>1.818181818</v>
      </c>
      <c r="AD119" s="3">
        <f t="shared" si="9"/>
        <v>-2</v>
      </c>
    </row>
    <row r="120">
      <c r="A120" s="1" t="s">
        <v>12</v>
      </c>
      <c r="B120" s="1" t="s">
        <v>466</v>
      </c>
      <c r="C120" s="1" t="s">
        <v>18</v>
      </c>
      <c r="D120" s="1" t="s">
        <v>93</v>
      </c>
      <c r="E120" s="1" t="s">
        <v>94</v>
      </c>
      <c r="F120" s="1" t="s">
        <v>59</v>
      </c>
      <c r="G120" s="1">
        <v>3.5</v>
      </c>
      <c r="H120" s="1" t="s">
        <v>60</v>
      </c>
      <c r="I120" s="1">
        <v>-118.0</v>
      </c>
      <c r="J120" s="1">
        <v>-0.157284403669724</v>
      </c>
      <c r="K120" s="1" t="s">
        <v>61</v>
      </c>
      <c r="L120" s="1" t="s">
        <v>61</v>
      </c>
      <c r="M120" s="1" t="s">
        <v>62</v>
      </c>
      <c r="N120" s="1">
        <v>-112.0</v>
      </c>
      <c r="O120" s="1">
        <v>0.0876981132075472</v>
      </c>
      <c r="P120" s="1" t="s">
        <v>61</v>
      </c>
      <c r="Q120" s="1" t="s">
        <v>61</v>
      </c>
      <c r="R120" s="1">
        <f t="shared" si="1"/>
        <v>0.08769811321</v>
      </c>
      <c r="S120" s="1">
        <f t="shared" si="2"/>
        <v>-112</v>
      </c>
      <c r="T120" s="1">
        <f t="shared" si="3"/>
        <v>1.892857143</v>
      </c>
      <c r="U120" s="1">
        <f t="shared" si="4"/>
        <v>0</v>
      </c>
      <c r="V120" s="3">
        <f t="shared" si="5"/>
        <v>2</v>
      </c>
      <c r="W120" s="3" t="str">
        <f>IFERROR(__xludf.DUMMYFUNCTION("split(B120,"" "")"),"B.")</f>
        <v>B.</v>
      </c>
      <c r="X120" s="3" t="str">
        <f>IFERROR(__xludf.DUMMYFUNCTION("""COMPUTED_VALUE"""),"Thomas")</f>
        <v>Thomas</v>
      </c>
      <c r="Y120" s="3" t="str">
        <f>IFERROR(__xludf.DUMMYFUNCTION("""COMPUTED_VALUE"""),"Jr.")</f>
        <v>Jr.</v>
      </c>
      <c r="Z120" s="3">
        <v>4.0</v>
      </c>
      <c r="AA120" s="3">
        <f t="shared" si="6"/>
        <v>1</v>
      </c>
      <c r="AB120" s="3">
        <f t="shared" si="7"/>
        <v>0</v>
      </c>
      <c r="AC120" s="3">
        <f t="shared" si="8"/>
        <v>1.785714286</v>
      </c>
      <c r="AD120" s="3">
        <f t="shared" si="9"/>
        <v>-2</v>
      </c>
    </row>
    <row r="121">
      <c r="A121" s="1" t="s">
        <v>17</v>
      </c>
      <c r="B121" s="1" t="s">
        <v>275</v>
      </c>
      <c r="C121" s="1" t="s">
        <v>21</v>
      </c>
      <c r="D121" s="1" t="s">
        <v>100</v>
      </c>
      <c r="E121" s="1" t="s">
        <v>99</v>
      </c>
      <c r="F121" s="1" t="s">
        <v>59</v>
      </c>
      <c r="G121" s="1">
        <v>0.5</v>
      </c>
      <c r="H121" s="1" t="s">
        <v>60</v>
      </c>
      <c r="I121" s="1">
        <v>-153.0</v>
      </c>
      <c r="J121" s="1">
        <v>-0.160343083003952</v>
      </c>
      <c r="K121" s="1" t="s">
        <v>61</v>
      </c>
      <c r="L121" s="1" t="s">
        <v>61</v>
      </c>
      <c r="M121" s="1" t="s">
        <v>62</v>
      </c>
      <c r="N121" s="1">
        <v>113.0</v>
      </c>
      <c r="O121" s="1">
        <v>0.0861164319248826</v>
      </c>
      <c r="P121" s="1" t="s">
        <v>61</v>
      </c>
      <c r="Q121" s="1" t="s">
        <v>61</v>
      </c>
      <c r="R121" s="1">
        <f t="shared" si="1"/>
        <v>0.08611643192</v>
      </c>
      <c r="S121" s="1">
        <f t="shared" si="2"/>
        <v>113</v>
      </c>
      <c r="T121" s="1">
        <f t="shared" si="3"/>
        <v>2.13</v>
      </c>
      <c r="U121" s="1">
        <f t="shared" si="4"/>
        <v>0</v>
      </c>
      <c r="V121" s="3">
        <f t="shared" si="5"/>
        <v>2</v>
      </c>
      <c r="W121" s="3" t="str">
        <f>IFERROR(__xludf.DUMMYFUNCTION("split(B121,"" "")"),"W.")</f>
        <v>W.</v>
      </c>
      <c r="X121" s="3" t="str">
        <f>IFERROR(__xludf.DUMMYFUNCTION("""COMPUTED_VALUE"""),"Levis")</f>
        <v>Levis</v>
      </c>
      <c r="Z121" s="3">
        <v>2.0</v>
      </c>
      <c r="AA121" s="3">
        <f t="shared" si="6"/>
        <v>1</v>
      </c>
      <c r="AB121" s="3">
        <f t="shared" si="7"/>
        <v>0</v>
      </c>
      <c r="AC121" s="3">
        <f t="shared" si="8"/>
        <v>2.26</v>
      </c>
      <c r="AD121" s="3">
        <f t="shared" si="9"/>
        <v>-2</v>
      </c>
    </row>
    <row r="122">
      <c r="A122" s="1" t="s">
        <v>12</v>
      </c>
      <c r="B122" s="1" t="s">
        <v>483</v>
      </c>
      <c r="C122" s="1" t="s">
        <v>18</v>
      </c>
      <c r="D122" s="1" t="s">
        <v>147</v>
      </c>
      <c r="E122" s="1" t="s">
        <v>146</v>
      </c>
      <c r="F122" s="1" t="s">
        <v>59</v>
      </c>
      <c r="G122" s="1">
        <v>2.5</v>
      </c>
      <c r="H122" s="1" t="s">
        <v>60</v>
      </c>
      <c r="I122" s="1">
        <v>117.0</v>
      </c>
      <c r="J122" s="1">
        <v>-0.153223297533179</v>
      </c>
      <c r="K122" s="1" t="s">
        <v>61</v>
      </c>
      <c r="L122" s="1" t="s">
        <v>61</v>
      </c>
      <c r="M122" s="1" t="s">
        <v>62</v>
      </c>
      <c r="N122" s="1">
        <v>-154.0</v>
      </c>
      <c r="O122" s="1">
        <v>0.0860938204779527</v>
      </c>
      <c r="P122" s="1" t="s">
        <v>61</v>
      </c>
      <c r="Q122" s="1" t="s">
        <v>61</v>
      </c>
      <c r="R122" s="1">
        <f t="shared" si="1"/>
        <v>0.08609382048</v>
      </c>
      <c r="S122" s="1">
        <f t="shared" si="2"/>
        <v>-154</v>
      </c>
      <c r="T122" s="1">
        <f t="shared" si="3"/>
        <v>1.649350649</v>
      </c>
      <c r="U122" s="1">
        <f t="shared" si="4"/>
        <v>0</v>
      </c>
      <c r="V122" s="3">
        <f t="shared" si="5"/>
        <v>2</v>
      </c>
      <c r="W122" s="3" t="str">
        <f>IFERROR(__xludf.DUMMYFUNCTION("split(B122,"" "")"),"D.")</f>
        <v>D.</v>
      </c>
      <c r="X122" s="3" t="str">
        <f>IFERROR(__xludf.DUMMYFUNCTION("""COMPUTED_VALUE"""),"Slayton")</f>
        <v>Slayton</v>
      </c>
      <c r="Z122" s="3">
        <v>3.0</v>
      </c>
      <c r="AA122" s="3">
        <f t="shared" si="6"/>
        <v>1</v>
      </c>
      <c r="AB122" s="3">
        <f t="shared" si="7"/>
        <v>0</v>
      </c>
      <c r="AC122" s="3">
        <f t="shared" si="8"/>
        <v>1.298701299</v>
      </c>
      <c r="AD122" s="3">
        <f t="shared" si="9"/>
        <v>-2</v>
      </c>
    </row>
    <row r="123">
      <c r="A123" s="1" t="s">
        <v>11</v>
      </c>
      <c r="B123" s="1" t="s">
        <v>446</v>
      </c>
      <c r="C123" s="1" t="s">
        <v>19</v>
      </c>
      <c r="D123" s="1" t="s">
        <v>197</v>
      </c>
      <c r="E123" s="1" t="s">
        <v>196</v>
      </c>
      <c r="F123" s="1" t="s">
        <v>198</v>
      </c>
      <c r="G123" s="1">
        <v>6.5</v>
      </c>
      <c r="H123" s="1" t="s">
        <v>60</v>
      </c>
      <c r="I123" s="1">
        <v>-115.0</v>
      </c>
      <c r="J123" s="1">
        <v>0.0849633323114068</v>
      </c>
      <c r="K123" s="1" t="s">
        <v>61</v>
      </c>
      <c r="L123" s="1" t="s">
        <v>61</v>
      </c>
      <c r="M123" s="1" t="s">
        <v>62</v>
      </c>
      <c r="N123" s="1">
        <v>-115.0</v>
      </c>
      <c r="O123" s="1">
        <v>-0.154707832158117</v>
      </c>
      <c r="P123" s="1" t="s">
        <v>61</v>
      </c>
      <c r="Q123" s="1" t="s">
        <v>61</v>
      </c>
      <c r="R123" s="1">
        <f t="shared" si="1"/>
        <v>0.08496333231</v>
      </c>
      <c r="S123" s="1">
        <f t="shared" si="2"/>
        <v>-115</v>
      </c>
      <c r="T123" s="1">
        <f t="shared" si="3"/>
        <v>1.869565217</v>
      </c>
      <c r="U123" s="1">
        <f t="shared" si="4"/>
        <v>1</v>
      </c>
      <c r="V123" s="3">
        <f t="shared" si="5"/>
        <v>2</v>
      </c>
      <c r="W123" s="3" t="str">
        <f>IFERROR(__xludf.DUMMYFUNCTION("split(B123,"" "")"),"D.")</f>
        <v>D.</v>
      </c>
      <c r="X123" s="3" t="str">
        <f>IFERROR(__xludf.DUMMYFUNCTION("""COMPUTED_VALUE"""),"Montgomery")</f>
        <v>Montgomery</v>
      </c>
      <c r="Z123" s="3">
        <v>2.0</v>
      </c>
      <c r="AA123" s="3">
        <f t="shared" si="6"/>
        <v>0</v>
      </c>
      <c r="AB123" s="3">
        <f t="shared" si="7"/>
        <v>0</v>
      </c>
      <c r="AC123" s="3">
        <f t="shared" si="8"/>
        <v>1.739130435</v>
      </c>
      <c r="AD123" s="3">
        <f t="shared" si="9"/>
        <v>-2</v>
      </c>
    </row>
    <row r="124">
      <c r="A124" s="1" t="s">
        <v>8</v>
      </c>
      <c r="B124" s="1" t="s">
        <v>444</v>
      </c>
      <c r="C124" s="1" t="s">
        <v>19</v>
      </c>
      <c r="D124" s="1" t="s">
        <v>71</v>
      </c>
      <c r="E124" s="1" t="s">
        <v>72</v>
      </c>
      <c r="F124" s="1" t="s">
        <v>59</v>
      </c>
      <c r="G124" s="1">
        <v>18.5</v>
      </c>
      <c r="H124" s="1" t="s">
        <v>60</v>
      </c>
      <c r="I124" s="1">
        <v>105.0</v>
      </c>
      <c r="J124" s="1">
        <v>0.0834920008292682</v>
      </c>
      <c r="K124" s="1" t="s">
        <v>61</v>
      </c>
      <c r="L124" s="1" t="s">
        <v>61</v>
      </c>
      <c r="M124" s="1" t="s">
        <v>62</v>
      </c>
      <c r="N124" s="1">
        <v>-138.0</v>
      </c>
      <c r="O124" s="1">
        <v>-0.151129244411764</v>
      </c>
      <c r="P124" s="1" t="s">
        <v>61</v>
      </c>
      <c r="Q124" s="1" t="s">
        <v>61</v>
      </c>
      <c r="R124" s="1">
        <f t="shared" si="1"/>
        <v>0.08349200083</v>
      </c>
      <c r="S124" s="1">
        <f t="shared" si="2"/>
        <v>105</v>
      </c>
      <c r="T124" s="1">
        <f t="shared" si="3"/>
        <v>2.05</v>
      </c>
      <c r="U124" s="1">
        <f t="shared" si="4"/>
        <v>1</v>
      </c>
      <c r="V124" s="3">
        <f t="shared" si="5"/>
        <v>2</v>
      </c>
      <c r="W124" s="3" t="str">
        <f>IFERROR(__xludf.DUMMYFUNCTION("split(B124,"" "")"),"J.")</f>
        <v>J.</v>
      </c>
      <c r="X124" s="3" t="str">
        <f>IFERROR(__xludf.DUMMYFUNCTION("""COMPUTED_VALUE"""),"Taylor")</f>
        <v>Taylor</v>
      </c>
      <c r="Z124" s="3">
        <v>16.0</v>
      </c>
      <c r="AA124" s="3">
        <f t="shared" si="6"/>
        <v>0</v>
      </c>
      <c r="AB124" s="3">
        <f t="shared" si="7"/>
        <v>0</v>
      </c>
      <c r="AC124" s="3">
        <f t="shared" si="8"/>
        <v>2.1</v>
      </c>
      <c r="AD124" s="3">
        <f t="shared" si="9"/>
        <v>-2</v>
      </c>
    </row>
    <row r="125">
      <c r="A125" s="1" t="s">
        <v>12</v>
      </c>
      <c r="B125" s="1" t="s">
        <v>379</v>
      </c>
      <c r="C125" s="1" t="s">
        <v>18</v>
      </c>
      <c r="D125" s="1" t="s">
        <v>146</v>
      </c>
      <c r="E125" s="1" t="s">
        <v>147</v>
      </c>
      <c r="F125" s="1" t="s">
        <v>59</v>
      </c>
      <c r="G125" s="1">
        <v>6.5</v>
      </c>
      <c r="H125" s="1" t="s">
        <v>60</v>
      </c>
      <c r="I125" s="1">
        <v>-102.0</v>
      </c>
      <c r="J125" s="1">
        <v>0.0807999999999999</v>
      </c>
      <c r="K125" s="1" t="s">
        <v>61</v>
      </c>
      <c r="L125" s="1" t="s">
        <v>61</v>
      </c>
      <c r="M125" s="1" t="s">
        <v>62</v>
      </c>
      <c r="N125" s="1">
        <v>-131.0</v>
      </c>
      <c r="O125" s="1">
        <v>-0.152842857142857</v>
      </c>
      <c r="P125" s="1" t="s">
        <v>61</v>
      </c>
      <c r="Q125" s="1" t="s">
        <v>61</v>
      </c>
      <c r="R125" s="1">
        <f t="shared" si="1"/>
        <v>0.0808</v>
      </c>
      <c r="S125" s="1">
        <f t="shared" si="2"/>
        <v>-102</v>
      </c>
      <c r="T125" s="1">
        <f t="shared" si="3"/>
        <v>1.980392157</v>
      </c>
      <c r="U125" s="1">
        <f t="shared" si="4"/>
        <v>1</v>
      </c>
      <c r="V125" s="3">
        <f t="shared" si="5"/>
        <v>2</v>
      </c>
      <c r="W125" s="3" t="str">
        <f>IFERROR(__xludf.DUMMYFUNCTION("split(B125,"" "")"),"J.")</f>
        <v>J.</v>
      </c>
      <c r="X125" s="3" t="str">
        <f>IFERROR(__xludf.DUMMYFUNCTION("""COMPUTED_VALUE"""),"Jefferson")</f>
        <v>Jefferson</v>
      </c>
      <c r="Z125" s="3">
        <v>4.0</v>
      </c>
      <c r="AA125" s="3">
        <f t="shared" si="6"/>
        <v>0</v>
      </c>
      <c r="AB125" s="3">
        <f t="shared" si="7"/>
        <v>0</v>
      </c>
      <c r="AC125" s="3">
        <f t="shared" si="8"/>
        <v>1.960784314</v>
      </c>
      <c r="AD125" s="3">
        <f t="shared" si="9"/>
        <v>-2</v>
      </c>
    </row>
    <row r="126">
      <c r="A126" s="1" t="s">
        <v>8</v>
      </c>
      <c r="B126" s="1" t="s">
        <v>187</v>
      </c>
      <c r="C126" s="1" t="s">
        <v>19</v>
      </c>
      <c r="D126" s="1" t="s">
        <v>157</v>
      </c>
      <c r="E126" s="1" t="s">
        <v>156</v>
      </c>
      <c r="F126" s="1" t="s">
        <v>158</v>
      </c>
      <c r="G126" s="1">
        <v>15.5</v>
      </c>
      <c r="H126" s="1" t="s">
        <v>60</v>
      </c>
      <c r="I126" s="1">
        <v>-140.0</v>
      </c>
      <c r="J126" s="6">
        <v>-0.143274787324999</v>
      </c>
      <c r="K126" s="1" t="s">
        <v>61</v>
      </c>
      <c r="L126" s="1" t="s">
        <v>61</v>
      </c>
      <c r="M126" s="1" t="s">
        <v>62</v>
      </c>
      <c r="N126" s="1">
        <v>107.0</v>
      </c>
      <c r="O126" s="6">
        <v>0.0768562751594204</v>
      </c>
      <c r="P126" s="1" t="s">
        <v>61</v>
      </c>
      <c r="Q126" s="1" t="s">
        <v>61</v>
      </c>
      <c r="R126" s="6">
        <f t="shared" si="1"/>
        <v>0.07685627516</v>
      </c>
      <c r="S126" s="1">
        <f t="shared" si="2"/>
        <v>107</v>
      </c>
      <c r="T126" s="1">
        <f t="shared" si="3"/>
        <v>2.07</v>
      </c>
      <c r="U126" s="1">
        <f t="shared" si="4"/>
        <v>0</v>
      </c>
      <c r="V126" s="3">
        <f t="shared" si="5"/>
        <v>2</v>
      </c>
      <c r="W126" s="3" t="str">
        <f>IFERROR(__xludf.DUMMYFUNCTION("split(B126,"" "")"),"J.")</f>
        <v>J.</v>
      </c>
      <c r="X126" s="3" t="str">
        <f>IFERROR(__xludf.DUMMYFUNCTION("""COMPUTED_VALUE"""),"Jacobs")</f>
        <v>Jacobs</v>
      </c>
      <c r="Z126" s="3">
        <v>16.0</v>
      </c>
      <c r="AA126" s="3">
        <f t="shared" si="6"/>
        <v>1</v>
      </c>
      <c r="AB126" s="3">
        <f t="shared" si="7"/>
        <v>0</v>
      </c>
      <c r="AC126" s="3">
        <f t="shared" si="8"/>
        <v>2.14</v>
      </c>
      <c r="AD126" s="3">
        <f t="shared" si="9"/>
        <v>-2</v>
      </c>
    </row>
    <row r="127">
      <c r="A127" s="1" t="s">
        <v>16</v>
      </c>
      <c r="B127" s="1" t="s">
        <v>347</v>
      </c>
      <c r="C127" s="1" t="s">
        <v>21</v>
      </c>
      <c r="D127" s="1" t="s">
        <v>77</v>
      </c>
      <c r="E127" s="1" t="s">
        <v>76</v>
      </c>
      <c r="F127" s="1" t="s">
        <v>78</v>
      </c>
      <c r="G127" s="1">
        <v>30.5</v>
      </c>
      <c r="H127" s="1" t="s">
        <v>60</v>
      </c>
      <c r="I127" s="1">
        <v>-122.0</v>
      </c>
      <c r="J127" s="6">
        <v>-0.144922371891891</v>
      </c>
      <c r="K127" s="1" t="s">
        <v>61</v>
      </c>
      <c r="L127" s="1" t="s">
        <v>61</v>
      </c>
      <c r="M127" s="1" t="s">
        <v>62</v>
      </c>
      <c r="N127" s="1">
        <v>-108.0</v>
      </c>
      <c r="O127" s="6">
        <v>0.0761073648307693</v>
      </c>
      <c r="P127" s="1" t="s">
        <v>61</v>
      </c>
      <c r="Q127" s="1" t="s">
        <v>61</v>
      </c>
      <c r="R127" s="6">
        <f t="shared" si="1"/>
        <v>0.07610736483</v>
      </c>
      <c r="S127" s="1">
        <f t="shared" si="2"/>
        <v>-108</v>
      </c>
      <c r="T127" s="1">
        <f t="shared" si="3"/>
        <v>1.925925926</v>
      </c>
      <c r="U127" s="1">
        <f t="shared" si="4"/>
        <v>0</v>
      </c>
      <c r="V127" s="3">
        <f t="shared" si="5"/>
        <v>2</v>
      </c>
      <c r="W127" s="3" t="str">
        <f>IFERROR(__xludf.DUMMYFUNCTION("split(B127,"" "")"),"L.")</f>
        <v>L.</v>
      </c>
      <c r="X127" s="3" t="str">
        <f>IFERROR(__xludf.DUMMYFUNCTION("""COMPUTED_VALUE"""),"Jackson")</f>
        <v>Jackson</v>
      </c>
      <c r="Z127" s="3">
        <v>41.0</v>
      </c>
      <c r="AA127" s="3">
        <f t="shared" si="6"/>
        <v>1</v>
      </c>
      <c r="AB127" s="3">
        <f t="shared" si="7"/>
        <v>0</v>
      </c>
      <c r="AC127" s="3">
        <f t="shared" si="8"/>
        <v>1.851851852</v>
      </c>
      <c r="AD127" s="3">
        <f t="shared" si="9"/>
        <v>-2</v>
      </c>
    </row>
    <row r="128">
      <c r="A128" s="1" t="s">
        <v>8</v>
      </c>
      <c r="B128" s="1" t="s">
        <v>375</v>
      </c>
      <c r="C128" s="1" t="s">
        <v>19</v>
      </c>
      <c r="D128" s="1" t="s">
        <v>88</v>
      </c>
      <c r="E128" s="1" t="s">
        <v>89</v>
      </c>
      <c r="F128" s="1" t="s">
        <v>90</v>
      </c>
      <c r="G128" s="1">
        <v>9.5</v>
      </c>
      <c r="H128" s="1" t="s">
        <v>60</v>
      </c>
      <c r="I128" s="1">
        <v>-115.0</v>
      </c>
      <c r="J128" s="1">
        <v>-0.145626048335414</v>
      </c>
      <c r="K128" s="1" t="s">
        <v>61</v>
      </c>
      <c r="L128" s="1" t="s">
        <v>61</v>
      </c>
      <c r="M128" s="1" t="s">
        <v>62</v>
      </c>
      <c r="N128" s="1">
        <v>-115.0</v>
      </c>
      <c r="O128" s="1">
        <v>0.075864955585726</v>
      </c>
      <c r="P128" s="1" t="s">
        <v>61</v>
      </c>
      <c r="Q128" s="1" t="s">
        <v>61</v>
      </c>
      <c r="R128" s="1">
        <f t="shared" si="1"/>
        <v>0.07586495559</v>
      </c>
      <c r="S128" s="1">
        <f t="shared" si="2"/>
        <v>-115</v>
      </c>
      <c r="T128" s="1">
        <f t="shared" si="3"/>
        <v>1.869565217</v>
      </c>
      <c r="U128" s="1">
        <f t="shared" si="4"/>
        <v>0</v>
      </c>
      <c r="V128" s="3">
        <f t="shared" si="5"/>
        <v>2</v>
      </c>
      <c r="W128" s="3" t="str">
        <f>IFERROR(__xludf.DUMMYFUNCTION("split(B128,"" "")"),"E.")</f>
        <v>E.</v>
      </c>
      <c r="X128" s="3" t="str">
        <f>IFERROR(__xludf.DUMMYFUNCTION("""COMPUTED_VALUE"""),"Elliott")</f>
        <v>Elliott</v>
      </c>
      <c r="Z128" s="3">
        <v>10.0</v>
      </c>
      <c r="AA128" s="3">
        <f t="shared" si="6"/>
        <v>1</v>
      </c>
      <c r="AB128" s="3">
        <f t="shared" si="7"/>
        <v>0</v>
      </c>
      <c r="AC128" s="3">
        <f t="shared" si="8"/>
        <v>1.739130435</v>
      </c>
      <c r="AD128" s="3">
        <f t="shared" si="9"/>
        <v>-2</v>
      </c>
    </row>
    <row r="129">
      <c r="A129" s="1" t="s">
        <v>9</v>
      </c>
      <c r="B129" s="1" t="s">
        <v>243</v>
      </c>
      <c r="C129" s="1" t="s">
        <v>19</v>
      </c>
      <c r="D129" s="1" t="s">
        <v>156</v>
      </c>
      <c r="E129" s="1" t="s">
        <v>157</v>
      </c>
      <c r="F129" s="1" t="s">
        <v>158</v>
      </c>
      <c r="G129" s="1">
        <v>20.0</v>
      </c>
      <c r="H129" s="1" t="s">
        <v>60</v>
      </c>
      <c r="I129" s="1">
        <v>-117.0</v>
      </c>
      <c r="J129" s="6">
        <v>0.0755632008561647</v>
      </c>
      <c r="K129" s="1" t="s">
        <v>61</v>
      </c>
      <c r="L129" s="1" t="s">
        <v>61</v>
      </c>
      <c r="M129" s="1" t="s">
        <v>62</v>
      </c>
      <c r="N129" s="1">
        <v>-112.0</v>
      </c>
      <c r="O129" s="6">
        <v>-0.14134211479284</v>
      </c>
      <c r="P129" s="1" t="s">
        <v>61</v>
      </c>
      <c r="Q129" s="1" t="s">
        <v>61</v>
      </c>
      <c r="R129" s="6">
        <f t="shared" si="1"/>
        <v>0.07556320086</v>
      </c>
      <c r="S129" s="1">
        <f t="shared" si="2"/>
        <v>-117</v>
      </c>
      <c r="T129" s="1">
        <f t="shared" si="3"/>
        <v>1.854700855</v>
      </c>
      <c r="U129" s="1">
        <f t="shared" si="4"/>
        <v>1</v>
      </c>
      <c r="V129" s="3">
        <f t="shared" si="5"/>
        <v>2</v>
      </c>
      <c r="W129" s="3" t="str">
        <f>IFERROR(__xludf.DUMMYFUNCTION("split(B129,"" "")"),"K.")</f>
        <v>K.</v>
      </c>
      <c r="X129" s="3" t="str">
        <f>IFERROR(__xludf.DUMMYFUNCTION("""COMPUTED_VALUE"""),"Gainwell")</f>
        <v>Gainwell</v>
      </c>
      <c r="Z129" s="3">
        <v>12.0</v>
      </c>
      <c r="AA129" s="3">
        <f t="shared" si="6"/>
        <v>0</v>
      </c>
      <c r="AB129" s="3">
        <f t="shared" si="7"/>
        <v>0</v>
      </c>
      <c r="AC129" s="3">
        <f t="shared" si="8"/>
        <v>1.709401709</v>
      </c>
      <c r="AD129" s="3">
        <f t="shared" si="9"/>
        <v>-2</v>
      </c>
    </row>
    <row r="130">
      <c r="A130" s="1" t="s">
        <v>10</v>
      </c>
      <c r="B130" s="1" t="s">
        <v>485</v>
      </c>
      <c r="C130" s="1" t="s">
        <v>19</v>
      </c>
      <c r="D130" s="1" t="s">
        <v>135</v>
      </c>
      <c r="E130" s="1" t="s">
        <v>134</v>
      </c>
      <c r="F130" s="1" t="s">
        <v>84</v>
      </c>
      <c r="G130" s="1">
        <v>35.5</v>
      </c>
      <c r="H130" s="1" t="s">
        <v>60</v>
      </c>
      <c r="I130" s="1">
        <v>-113.0</v>
      </c>
      <c r="J130" s="1">
        <v>-0.144669263054868</v>
      </c>
      <c r="K130" s="1" t="s">
        <v>61</v>
      </c>
      <c r="L130" s="1" t="s">
        <v>61</v>
      </c>
      <c r="M130" s="1" t="s">
        <v>62</v>
      </c>
      <c r="N130" s="1">
        <v>-117.0</v>
      </c>
      <c r="O130" s="1">
        <v>0.0749901661101556</v>
      </c>
      <c r="P130" s="1" t="s">
        <v>61</v>
      </c>
      <c r="Q130" s="1" t="s">
        <v>61</v>
      </c>
      <c r="R130" s="1">
        <f t="shared" si="1"/>
        <v>0.07499016611</v>
      </c>
      <c r="S130" s="1">
        <f t="shared" si="2"/>
        <v>-117</v>
      </c>
      <c r="T130" s="1">
        <f t="shared" si="3"/>
        <v>1.854700855</v>
      </c>
      <c r="U130" s="1">
        <f t="shared" si="4"/>
        <v>0</v>
      </c>
      <c r="V130" s="3">
        <f t="shared" si="5"/>
        <v>2</v>
      </c>
      <c r="W130" s="3" t="str">
        <f>IFERROR(__xludf.DUMMYFUNCTION("split(B130,"" "")"),"J.")</f>
        <v>J.</v>
      </c>
      <c r="X130" s="3" t="str">
        <f>IFERROR(__xludf.DUMMYFUNCTION("""COMPUTED_VALUE"""),"Dobbins")</f>
        <v>Dobbins</v>
      </c>
      <c r="Z130" s="3">
        <v>135.0</v>
      </c>
      <c r="AA130" s="3">
        <f t="shared" si="6"/>
        <v>1</v>
      </c>
      <c r="AB130" s="3">
        <f t="shared" si="7"/>
        <v>0</v>
      </c>
      <c r="AC130" s="3">
        <f t="shared" si="8"/>
        <v>1.709401709</v>
      </c>
      <c r="AD130" s="3">
        <f t="shared" si="9"/>
        <v>-2</v>
      </c>
    </row>
    <row r="131">
      <c r="A131" s="1" t="s">
        <v>17</v>
      </c>
      <c r="B131" s="1" t="s">
        <v>247</v>
      </c>
      <c r="C131" s="1" t="s">
        <v>21</v>
      </c>
      <c r="D131" s="1" t="s">
        <v>196</v>
      </c>
      <c r="E131" s="1" t="s">
        <v>197</v>
      </c>
      <c r="F131" s="1" t="s">
        <v>198</v>
      </c>
      <c r="G131" s="1">
        <v>0.5</v>
      </c>
      <c r="H131" s="1" t="s">
        <v>60</v>
      </c>
      <c r="I131" s="1">
        <v>-149.0</v>
      </c>
      <c r="J131" s="1">
        <v>-0.150853413654618</v>
      </c>
      <c r="K131" s="1" t="s">
        <v>61</v>
      </c>
      <c r="L131" s="1" t="s">
        <v>61</v>
      </c>
      <c r="M131" s="1" t="s">
        <v>62</v>
      </c>
      <c r="N131" s="1">
        <v>109.0</v>
      </c>
      <c r="O131" s="1">
        <v>0.0739832535885167</v>
      </c>
      <c r="P131" s="1" t="s">
        <v>61</v>
      </c>
      <c r="Q131" s="1" t="s">
        <v>61</v>
      </c>
      <c r="R131" s="1">
        <f t="shared" si="1"/>
        <v>0.07398325359</v>
      </c>
      <c r="S131" s="1">
        <f t="shared" si="2"/>
        <v>109</v>
      </c>
      <c r="T131" s="1">
        <f t="shared" si="3"/>
        <v>2.09</v>
      </c>
      <c r="U131" s="1">
        <f t="shared" si="4"/>
        <v>0</v>
      </c>
      <c r="V131" s="3">
        <f t="shared" si="5"/>
        <v>2</v>
      </c>
      <c r="W131" s="3" t="str">
        <f>IFERROR(__xludf.DUMMYFUNCTION("split(B131,"" "")"),"M.")</f>
        <v>M.</v>
      </c>
      <c r="X131" s="3" t="str">
        <f>IFERROR(__xludf.DUMMYFUNCTION("""COMPUTED_VALUE"""),"Stafford")</f>
        <v>Stafford</v>
      </c>
      <c r="Z131" s="3">
        <v>1.0</v>
      </c>
      <c r="AA131" s="3">
        <f t="shared" si="6"/>
        <v>1</v>
      </c>
      <c r="AB131" s="3">
        <f t="shared" si="7"/>
        <v>0</v>
      </c>
      <c r="AC131" s="3">
        <f t="shared" si="8"/>
        <v>2.18</v>
      </c>
      <c r="AD131" s="3">
        <f t="shared" si="9"/>
        <v>-2</v>
      </c>
    </row>
    <row r="132">
      <c r="A132" s="1" t="s">
        <v>11</v>
      </c>
      <c r="B132" s="1" t="s">
        <v>451</v>
      </c>
      <c r="C132" s="1" t="s">
        <v>18</v>
      </c>
      <c r="D132" s="1" t="s">
        <v>105</v>
      </c>
      <c r="E132" s="1" t="s">
        <v>104</v>
      </c>
      <c r="F132" s="1" t="s">
        <v>59</v>
      </c>
      <c r="G132" s="1">
        <v>27.5</v>
      </c>
      <c r="H132" s="1" t="s">
        <v>60</v>
      </c>
      <c r="I132" s="1">
        <v>-120.0</v>
      </c>
      <c r="J132" s="1">
        <v>-0.148617918830749</v>
      </c>
      <c r="K132" s="1" t="s">
        <v>61</v>
      </c>
      <c r="L132" s="1" t="s">
        <v>61</v>
      </c>
      <c r="M132" s="1" t="s">
        <v>62</v>
      </c>
      <c r="N132" s="1">
        <v>-113.0</v>
      </c>
      <c r="O132" s="1">
        <v>0.0726742470484715</v>
      </c>
      <c r="P132" s="1" t="s">
        <v>61</v>
      </c>
      <c r="Q132" s="1" t="s">
        <v>61</v>
      </c>
      <c r="R132" s="1">
        <f t="shared" si="1"/>
        <v>0.07267424705</v>
      </c>
      <c r="S132" s="1">
        <f t="shared" si="2"/>
        <v>-113</v>
      </c>
      <c r="T132" s="1">
        <f t="shared" si="3"/>
        <v>1.884955752</v>
      </c>
      <c r="U132" s="1">
        <f t="shared" si="4"/>
        <v>0</v>
      </c>
      <c r="V132" s="3">
        <f t="shared" si="5"/>
        <v>2</v>
      </c>
      <c r="W132" s="3" t="str">
        <f>IFERROR(__xludf.DUMMYFUNCTION("split(B132,"" "")"),"G.")</f>
        <v>G.</v>
      </c>
      <c r="X132" s="3" t="str">
        <f>IFERROR(__xludf.DUMMYFUNCTION("""COMPUTED_VALUE"""),"Dortch")</f>
        <v>Dortch</v>
      </c>
      <c r="Z132" s="3">
        <v>47.0</v>
      </c>
      <c r="AA132" s="3">
        <f t="shared" si="6"/>
        <v>1</v>
      </c>
      <c r="AB132" s="3">
        <f t="shared" si="7"/>
        <v>0</v>
      </c>
      <c r="AC132" s="3">
        <f t="shared" si="8"/>
        <v>1.769911504</v>
      </c>
      <c r="AD132" s="3">
        <f t="shared" si="9"/>
        <v>-2</v>
      </c>
    </row>
    <row r="133">
      <c r="A133" s="1" t="s">
        <v>10</v>
      </c>
      <c r="B133" s="1" t="s">
        <v>200</v>
      </c>
      <c r="C133" s="1" t="s">
        <v>21</v>
      </c>
      <c r="D133" s="1" t="s">
        <v>71</v>
      </c>
      <c r="E133" s="1" t="s">
        <v>72</v>
      </c>
      <c r="F133" s="1" t="s">
        <v>59</v>
      </c>
      <c r="G133" s="1">
        <v>42.5</v>
      </c>
      <c r="H133" s="1" t="s">
        <v>60</v>
      </c>
      <c r="I133" s="1">
        <v>-120.0</v>
      </c>
      <c r="J133" s="1">
        <v>-0.147782780038209</v>
      </c>
      <c r="K133" s="1" t="s">
        <v>61</v>
      </c>
      <c r="L133" s="1" t="s">
        <v>61</v>
      </c>
      <c r="M133" s="1" t="s">
        <v>62</v>
      </c>
      <c r="N133" s="1">
        <v>-113.0</v>
      </c>
      <c r="O133" s="1">
        <v>0.0718157151629049</v>
      </c>
      <c r="P133" s="1" t="s">
        <v>61</v>
      </c>
      <c r="Q133" s="1" t="s">
        <v>61</v>
      </c>
      <c r="R133" s="1">
        <f t="shared" si="1"/>
        <v>0.07181571516</v>
      </c>
      <c r="S133" s="1">
        <f t="shared" si="2"/>
        <v>-113</v>
      </c>
      <c r="T133" s="1">
        <f t="shared" si="3"/>
        <v>1.884955752</v>
      </c>
      <c r="U133" s="1">
        <f t="shared" si="4"/>
        <v>0</v>
      </c>
      <c r="V133" s="3">
        <f t="shared" si="5"/>
        <v>2</v>
      </c>
      <c r="W133" s="3" t="str">
        <f>IFERROR(__xludf.DUMMYFUNCTION("split(B133,"" "")"),"A.")</f>
        <v>A.</v>
      </c>
      <c r="X133" s="3" t="str">
        <f>IFERROR(__xludf.DUMMYFUNCTION("""COMPUTED_VALUE"""),"Richardson")</f>
        <v>Richardson</v>
      </c>
      <c r="Z133" s="3">
        <v>56.0</v>
      </c>
      <c r="AA133" s="3">
        <f t="shared" si="6"/>
        <v>1</v>
      </c>
      <c r="AB133" s="3">
        <f t="shared" si="7"/>
        <v>0</v>
      </c>
      <c r="AC133" s="3">
        <f t="shared" si="8"/>
        <v>1.769911504</v>
      </c>
      <c r="AD133" s="3">
        <f t="shared" si="9"/>
        <v>-2</v>
      </c>
    </row>
    <row r="134">
      <c r="A134" s="1" t="s">
        <v>12</v>
      </c>
      <c r="B134" s="1" t="s">
        <v>463</v>
      </c>
      <c r="C134" s="1" t="s">
        <v>18</v>
      </c>
      <c r="D134" s="1" t="s">
        <v>88</v>
      </c>
      <c r="E134" s="1" t="s">
        <v>89</v>
      </c>
      <c r="F134" s="1" t="s">
        <v>90</v>
      </c>
      <c r="G134" s="1">
        <v>3.5</v>
      </c>
      <c r="H134" s="1" t="s">
        <v>60</v>
      </c>
      <c r="I134" s="1">
        <v>-101.0</v>
      </c>
      <c r="J134" s="1">
        <v>-0.139337313432835</v>
      </c>
      <c r="K134" s="1" t="s">
        <v>61</v>
      </c>
      <c r="L134" s="1" t="s">
        <v>61</v>
      </c>
      <c r="M134" s="1" t="s">
        <v>62</v>
      </c>
      <c r="N134" s="1">
        <v>-130.0</v>
      </c>
      <c r="O134" s="1">
        <v>0.0716391304347825</v>
      </c>
      <c r="P134" s="1" t="s">
        <v>61</v>
      </c>
      <c r="Q134" s="1" t="s">
        <v>61</v>
      </c>
      <c r="R134" s="1">
        <f t="shared" si="1"/>
        <v>0.07163913043</v>
      </c>
      <c r="S134" s="1">
        <f t="shared" si="2"/>
        <v>-130</v>
      </c>
      <c r="T134" s="1">
        <f t="shared" si="3"/>
        <v>1.769230769</v>
      </c>
      <c r="U134" s="1">
        <f t="shared" si="4"/>
        <v>0</v>
      </c>
      <c r="V134" s="3">
        <f t="shared" si="5"/>
        <v>2</v>
      </c>
      <c r="W134" s="3" t="str">
        <f>IFERROR(__xludf.DUMMYFUNCTION("split(B134,"" "")"),"B.")</f>
        <v>B.</v>
      </c>
      <c r="X134" s="3" t="str">
        <f>IFERROR(__xludf.DUMMYFUNCTION("""COMPUTED_VALUE"""),"Cooks")</f>
        <v>Cooks</v>
      </c>
      <c r="Z134" s="3">
        <v>4.0</v>
      </c>
      <c r="AA134" s="3">
        <f t="shared" si="6"/>
        <v>1</v>
      </c>
      <c r="AB134" s="3">
        <f t="shared" si="7"/>
        <v>0</v>
      </c>
      <c r="AC134" s="3">
        <f t="shared" si="8"/>
        <v>1.538461538</v>
      </c>
      <c r="AD134" s="3">
        <f t="shared" si="9"/>
        <v>-2</v>
      </c>
    </row>
    <row r="135">
      <c r="A135" s="1" t="s">
        <v>12</v>
      </c>
      <c r="B135" s="1" t="s">
        <v>270</v>
      </c>
      <c r="C135" s="1" t="s">
        <v>19</v>
      </c>
      <c r="D135" s="1" t="s">
        <v>147</v>
      </c>
      <c r="E135" s="1" t="s">
        <v>146</v>
      </c>
      <c r="F135" s="1" t="s">
        <v>59</v>
      </c>
      <c r="G135" s="1">
        <v>2.5</v>
      </c>
      <c r="H135" s="1" t="s">
        <v>60</v>
      </c>
      <c r="I135" s="1">
        <v>132.0</v>
      </c>
      <c r="J135" s="1">
        <v>-0.135928873156896</v>
      </c>
      <c r="K135" s="1" t="s">
        <v>61</v>
      </c>
      <c r="L135" s="1" t="s">
        <v>61</v>
      </c>
      <c r="M135" s="1" t="s">
        <v>62</v>
      </c>
      <c r="N135" s="1">
        <v>-173.0</v>
      </c>
      <c r="O135" s="1">
        <v>0.0711941184655676</v>
      </c>
      <c r="P135" s="1" t="s">
        <v>61</v>
      </c>
      <c r="Q135" s="1" t="s">
        <v>61</v>
      </c>
      <c r="R135" s="1">
        <f t="shared" si="1"/>
        <v>0.07119411847</v>
      </c>
      <c r="S135" s="1">
        <f t="shared" si="2"/>
        <v>-173</v>
      </c>
      <c r="T135" s="1">
        <f t="shared" si="3"/>
        <v>1.578034682</v>
      </c>
      <c r="U135" s="1">
        <f t="shared" si="4"/>
        <v>0</v>
      </c>
      <c r="V135" s="3">
        <f t="shared" si="5"/>
        <v>2</v>
      </c>
      <c r="W135" s="3" t="str">
        <f>IFERROR(__xludf.DUMMYFUNCTION("split(B135,"" "")"),"D.")</f>
        <v>D.</v>
      </c>
      <c r="X135" s="3" t="str">
        <f>IFERROR(__xludf.DUMMYFUNCTION("""COMPUTED_VALUE"""),"Singletary")</f>
        <v>Singletary</v>
      </c>
      <c r="Z135" s="3">
        <v>4.0</v>
      </c>
      <c r="AA135" s="3">
        <f t="shared" si="6"/>
        <v>1</v>
      </c>
      <c r="AB135" s="3">
        <f t="shared" si="7"/>
        <v>0</v>
      </c>
      <c r="AC135" s="3">
        <f t="shared" si="8"/>
        <v>1.156069364</v>
      </c>
      <c r="AD135" s="3">
        <f t="shared" si="9"/>
        <v>-2</v>
      </c>
    </row>
    <row r="136">
      <c r="A136" s="1" t="s">
        <v>12</v>
      </c>
      <c r="B136" s="1" t="s">
        <v>426</v>
      </c>
      <c r="C136" s="1" t="s">
        <v>18</v>
      </c>
      <c r="D136" s="1" t="s">
        <v>104</v>
      </c>
      <c r="E136" s="1" t="s">
        <v>105</v>
      </c>
      <c r="F136" s="1" t="s">
        <v>59</v>
      </c>
      <c r="G136" s="1">
        <v>2.5</v>
      </c>
      <c r="H136" s="1" t="s">
        <v>60</v>
      </c>
      <c r="I136" s="1">
        <v>-120.0</v>
      </c>
      <c r="J136" s="1">
        <v>-0.136851258181818</v>
      </c>
      <c r="K136" s="1" t="s">
        <v>61</v>
      </c>
      <c r="L136" s="1" t="s">
        <v>61</v>
      </c>
      <c r="M136" s="1" t="s">
        <v>62</v>
      </c>
      <c r="N136" s="1">
        <v>-109.0</v>
      </c>
      <c r="O136" s="1">
        <v>0.0698651278086124</v>
      </c>
      <c r="P136" s="1" t="s">
        <v>61</v>
      </c>
      <c r="Q136" s="1" t="s">
        <v>61</v>
      </c>
      <c r="R136" s="1">
        <f t="shared" si="1"/>
        <v>0.06986512781</v>
      </c>
      <c r="S136" s="1">
        <f t="shared" si="2"/>
        <v>-109</v>
      </c>
      <c r="T136" s="1">
        <f t="shared" si="3"/>
        <v>1.917431193</v>
      </c>
      <c r="U136" s="1">
        <f t="shared" si="4"/>
        <v>0</v>
      </c>
      <c r="V136" s="3">
        <f t="shared" si="5"/>
        <v>2</v>
      </c>
      <c r="W136" s="3" t="str">
        <f>IFERROR(__xludf.DUMMYFUNCTION("split(B136,"" "")"),"K.")</f>
        <v>K.</v>
      </c>
      <c r="X136" s="3" t="str">
        <f>IFERROR(__xludf.DUMMYFUNCTION("""COMPUTED_VALUE"""),"Coleman")</f>
        <v>Coleman</v>
      </c>
      <c r="Z136" s="3">
        <v>4.0</v>
      </c>
      <c r="AA136" s="3">
        <f t="shared" si="6"/>
        <v>1</v>
      </c>
      <c r="AB136" s="3">
        <f t="shared" si="7"/>
        <v>0</v>
      </c>
      <c r="AC136" s="3">
        <f t="shared" si="8"/>
        <v>1.834862385</v>
      </c>
      <c r="AD136" s="3">
        <f t="shared" si="9"/>
        <v>-2</v>
      </c>
    </row>
    <row r="137">
      <c r="A137" s="1" t="s">
        <v>9</v>
      </c>
      <c r="B137" s="1" t="s">
        <v>282</v>
      </c>
      <c r="C137" s="1" t="s">
        <v>19</v>
      </c>
      <c r="D137" s="1" t="s">
        <v>58</v>
      </c>
      <c r="E137" s="1" t="s">
        <v>57</v>
      </c>
      <c r="F137" s="1" t="s">
        <v>59</v>
      </c>
      <c r="G137" s="1">
        <v>86.5</v>
      </c>
      <c r="H137" s="1" t="s">
        <v>60</v>
      </c>
      <c r="I137" s="1">
        <v>-116.0</v>
      </c>
      <c r="J137" s="1">
        <v>-0.141456169771212</v>
      </c>
      <c r="K137" s="1" t="s">
        <v>61</v>
      </c>
      <c r="L137" s="1" t="s">
        <v>61</v>
      </c>
      <c r="M137" s="1" t="s">
        <v>62</v>
      </c>
      <c r="N137" s="1">
        <v>-115.0</v>
      </c>
      <c r="O137" s="1">
        <v>0.0695694538193909</v>
      </c>
      <c r="P137" s="1" t="s">
        <v>61</v>
      </c>
      <c r="Q137" s="1" t="s">
        <v>61</v>
      </c>
      <c r="R137" s="1">
        <f t="shared" si="1"/>
        <v>0.06956945382</v>
      </c>
      <c r="S137" s="1">
        <f t="shared" si="2"/>
        <v>-115</v>
      </c>
      <c r="T137" s="1">
        <f t="shared" si="3"/>
        <v>1.869565217</v>
      </c>
      <c r="U137" s="1">
        <f t="shared" si="4"/>
        <v>0</v>
      </c>
      <c r="V137" s="3">
        <f t="shared" si="5"/>
        <v>2</v>
      </c>
      <c r="W137" s="3" t="str">
        <f>IFERROR(__xludf.DUMMYFUNCTION("split(B137,"" "")"),"A.")</f>
        <v>A.</v>
      </c>
      <c r="X137" s="3" t="str">
        <f>IFERROR(__xludf.DUMMYFUNCTION("""COMPUTED_VALUE"""),"Kamara")</f>
        <v>Kamara</v>
      </c>
      <c r="Z137" s="3">
        <v>110.0</v>
      </c>
      <c r="AA137" s="3">
        <f t="shared" si="6"/>
        <v>1</v>
      </c>
      <c r="AB137" s="3">
        <f t="shared" si="7"/>
        <v>0</v>
      </c>
      <c r="AC137" s="3">
        <f t="shared" si="8"/>
        <v>1.739130435</v>
      </c>
      <c r="AD137" s="3">
        <f t="shared" si="9"/>
        <v>-2</v>
      </c>
    </row>
    <row r="138">
      <c r="A138" s="1" t="s">
        <v>12</v>
      </c>
      <c r="B138" s="1" t="s">
        <v>282</v>
      </c>
      <c r="C138" s="1" t="s">
        <v>19</v>
      </c>
      <c r="D138" s="1" t="s">
        <v>58</v>
      </c>
      <c r="E138" s="1" t="s">
        <v>57</v>
      </c>
      <c r="F138" s="1" t="s">
        <v>59</v>
      </c>
      <c r="G138" s="1">
        <v>4.5</v>
      </c>
      <c r="H138" s="1" t="s">
        <v>60</v>
      </c>
      <c r="I138" s="1">
        <v>113.0</v>
      </c>
      <c r="J138" s="1">
        <v>-0.137230516431924</v>
      </c>
      <c r="K138" s="1" t="s">
        <v>61</v>
      </c>
      <c r="L138" s="1" t="s">
        <v>61</v>
      </c>
      <c r="M138" s="1" t="s">
        <v>62</v>
      </c>
      <c r="N138" s="1">
        <v>-149.0</v>
      </c>
      <c r="O138" s="1">
        <v>0.0693465863453814</v>
      </c>
      <c r="P138" s="1" t="s">
        <v>61</v>
      </c>
      <c r="Q138" s="1" t="s">
        <v>61</v>
      </c>
      <c r="R138" s="1">
        <f t="shared" si="1"/>
        <v>0.06934658635</v>
      </c>
      <c r="S138" s="1">
        <f t="shared" si="2"/>
        <v>-149</v>
      </c>
      <c r="T138" s="1">
        <f t="shared" si="3"/>
        <v>1.67114094</v>
      </c>
      <c r="U138" s="1">
        <f t="shared" si="4"/>
        <v>0</v>
      </c>
      <c r="V138" s="3">
        <f t="shared" si="5"/>
        <v>2</v>
      </c>
      <c r="W138" s="3" t="str">
        <f>IFERROR(__xludf.DUMMYFUNCTION("split(B138,"" "")"),"A.")</f>
        <v>A.</v>
      </c>
      <c r="X138" s="3" t="str">
        <f>IFERROR(__xludf.DUMMYFUNCTION("""COMPUTED_VALUE"""),"Kamara")</f>
        <v>Kamara</v>
      </c>
      <c r="Z138" s="3">
        <v>5.0</v>
      </c>
      <c r="AA138" s="3">
        <f t="shared" si="6"/>
        <v>1</v>
      </c>
      <c r="AB138" s="3">
        <f t="shared" si="7"/>
        <v>0</v>
      </c>
      <c r="AC138" s="3">
        <f t="shared" si="8"/>
        <v>1.342281879</v>
      </c>
      <c r="AD138" s="3">
        <f t="shared" si="9"/>
        <v>-2</v>
      </c>
    </row>
    <row r="139">
      <c r="A139" s="1" t="s">
        <v>9</v>
      </c>
      <c r="B139" s="1" t="s">
        <v>414</v>
      </c>
      <c r="C139" s="1" t="s">
        <v>18</v>
      </c>
      <c r="D139" s="1" t="s">
        <v>89</v>
      </c>
      <c r="E139" s="1" t="s">
        <v>88</v>
      </c>
      <c r="F139" s="1" t="s">
        <v>90</v>
      </c>
      <c r="G139" s="1">
        <v>21.5</v>
      </c>
      <c r="H139" s="1" t="s">
        <v>60</v>
      </c>
      <c r="I139" s="1">
        <v>-115.0</v>
      </c>
      <c r="J139" s="1">
        <v>0.0692959615369013</v>
      </c>
      <c r="K139" s="1" t="s">
        <v>61</v>
      </c>
      <c r="L139" s="1" t="s">
        <v>61</v>
      </c>
      <c r="M139" s="1" t="s">
        <v>62</v>
      </c>
      <c r="N139" s="1">
        <v>-115.0</v>
      </c>
      <c r="O139" s="1">
        <v>-0.139000355767436</v>
      </c>
      <c r="P139" s="1" t="s">
        <v>61</v>
      </c>
      <c r="Q139" s="1" t="s">
        <v>61</v>
      </c>
      <c r="R139" s="1">
        <f t="shared" si="1"/>
        <v>0.06929596154</v>
      </c>
      <c r="S139" s="1">
        <f t="shared" si="2"/>
        <v>-115</v>
      </c>
      <c r="T139" s="1">
        <f t="shared" si="3"/>
        <v>1.869565217</v>
      </c>
      <c r="U139" s="1">
        <f t="shared" si="4"/>
        <v>1</v>
      </c>
      <c r="V139" s="3">
        <f t="shared" si="5"/>
        <v>2</v>
      </c>
      <c r="W139" s="3" t="str">
        <f>IFERROR(__xludf.DUMMYFUNCTION("split(B139,"" "")"),"E.")</f>
        <v>E.</v>
      </c>
      <c r="X139" s="3" t="str">
        <f>IFERROR(__xludf.DUMMYFUNCTION("""COMPUTED_VALUE"""),"Moore")</f>
        <v>Moore</v>
      </c>
      <c r="Z139" s="3">
        <v>9.0</v>
      </c>
      <c r="AA139" s="3">
        <f t="shared" si="6"/>
        <v>0</v>
      </c>
      <c r="AB139" s="3">
        <f t="shared" si="7"/>
        <v>0</v>
      </c>
      <c r="AC139" s="3">
        <f t="shared" si="8"/>
        <v>1.739130435</v>
      </c>
      <c r="AD139" s="3">
        <f t="shared" si="9"/>
        <v>-2</v>
      </c>
    </row>
    <row r="140">
      <c r="A140" s="1" t="s">
        <v>8</v>
      </c>
      <c r="B140" s="1" t="s">
        <v>318</v>
      </c>
      <c r="C140" s="1" t="s">
        <v>21</v>
      </c>
      <c r="D140" s="1" t="s">
        <v>67</v>
      </c>
      <c r="E140" s="1" t="s">
        <v>66</v>
      </c>
      <c r="F140" s="1" t="s">
        <v>59</v>
      </c>
      <c r="G140" s="1">
        <v>3.5</v>
      </c>
      <c r="H140" s="1" t="s">
        <v>60</v>
      </c>
      <c r="I140" s="1">
        <v>115.0</v>
      </c>
      <c r="J140" s="1">
        <v>-0.140110169856464</v>
      </c>
      <c r="K140" s="1" t="s">
        <v>61</v>
      </c>
      <c r="L140" s="1" t="s">
        <v>61</v>
      </c>
      <c r="M140" s="1" t="s">
        <v>62</v>
      </c>
      <c r="N140" s="1">
        <v>-155.0</v>
      </c>
      <c r="O140" s="1">
        <v>0.0671499202205172</v>
      </c>
      <c r="P140" s="1" t="s">
        <v>61</v>
      </c>
      <c r="Q140" s="1" t="s">
        <v>61</v>
      </c>
      <c r="R140" s="1">
        <f t="shared" si="1"/>
        <v>0.06714992022</v>
      </c>
      <c r="S140" s="1">
        <f t="shared" si="2"/>
        <v>-155</v>
      </c>
      <c r="T140" s="1">
        <f t="shared" si="3"/>
        <v>1.64516129</v>
      </c>
      <c r="U140" s="1">
        <f t="shared" si="4"/>
        <v>0</v>
      </c>
      <c r="V140" s="3">
        <f t="shared" si="5"/>
        <v>2</v>
      </c>
      <c r="W140" s="3" t="str">
        <f>IFERROR(__xludf.DUMMYFUNCTION("split(B140,"" "")"),"J.")</f>
        <v>J.</v>
      </c>
      <c r="X140" s="3" t="str">
        <f>IFERROR(__xludf.DUMMYFUNCTION("""COMPUTED_VALUE"""),"Burrow")</f>
        <v>Burrow</v>
      </c>
      <c r="Z140" s="3">
        <v>4.0</v>
      </c>
      <c r="AA140" s="3">
        <f t="shared" si="6"/>
        <v>1</v>
      </c>
      <c r="AB140" s="3">
        <f t="shared" si="7"/>
        <v>0</v>
      </c>
      <c r="AC140" s="3">
        <f t="shared" si="8"/>
        <v>1.290322581</v>
      </c>
      <c r="AD140" s="3">
        <f t="shared" si="9"/>
        <v>-2</v>
      </c>
    </row>
    <row r="141">
      <c r="A141" s="1" t="s">
        <v>10</v>
      </c>
      <c r="B141" s="1" t="s">
        <v>65</v>
      </c>
      <c r="C141" s="1" t="s">
        <v>21</v>
      </c>
      <c r="D141" s="1" t="s">
        <v>66</v>
      </c>
      <c r="E141" s="1" t="s">
        <v>67</v>
      </c>
      <c r="F141" s="1" t="s">
        <v>59</v>
      </c>
      <c r="G141" s="1">
        <v>10.5</v>
      </c>
      <c r="H141" s="1" t="s">
        <v>60</v>
      </c>
      <c r="I141" s="1">
        <v>-120.0</v>
      </c>
      <c r="J141" s="1">
        <v>-0.135103068600404</v>
      </c>
      <c r="K141" s="1" t="s">
        <v>61</v>
      </c>
      <c r="L141" s="1" t="s">
        <v>61</v>
      </c>
      <c r="M141" s="1" t="s">
        <v>62</v>
      </c>
      <c r="N141" s="1">
        <v>-110.0</v>
      </c>
      <c r="O141" s="1">
        <v>0.0659073457204657</v>
      </c>
      <c r="P141" s="1" t="s">
        <v>61</v>
      </c>
      <c r="Q141" s="1" t="s">
        <v>61</v>
      </c>
      <c r="R141" s="1">
        <f t="shared" si="1"/>
        <v>0.06590734572</v>
      </c>
      <c r="S141" s="1">
        <f t="shared" si="2"/>
        <v>-110</v>
      </c>
      <c r="T141" s="1">
        <f t="shared" si="3"/>
        <v>1.909090909</v>
      </c>
      <c r="U141" s="1">
        <f t="shared" si="4"/>
        <v>0</v>
      </c>
      <c r="V141" s="3">
        <f t="shared" si="5"/>
        <v>2</v>
      </c>
      <c r="W141" s="3" t="str">
        <f>IFERROR(__xludf.DUMMYFUNCTION("split(B141,"" "")"),"J.")</f>
        <v>J.</v>
      </c>
      <c r="X141" s="3" t="str">
        <f>IFERROR(__xludf.DUMMYFUNCTION("""COMPUTED_VALUE"""),"Brissett")</f>
        <v>Brissett</v>
      </c>
      <c r="Z141" s="3">
        <v>32.0</v>
      </c>
      <c r="AA141" s="3">
        <f t="shared" si="6"/>
        <v>1</v>
      </c>
      <c r="AB141" s="3">
        <f t="shared" si="7"/>
        <v>0</v>
      </c>
      <c r="AC141" s="3">
        <f t="shared" si="8"/>
        <v>1.818181818</v>
      </c>
      <c r="AD141" s="3">
        <f t="shared" si="9"/>
        <v>-2</v>
      </c>
    </row>
    <row r="142">
      <c r="A142" s="1" t="s">
        <v>11</v>
      </c>
      <c r="B142" s="1" t="s">
        <v>116</v>
      </c>
      <c r="C142" s="1" t="s">
        <v>18</v>
      </c>
      <c r="D142" s="1" t="s">
        <v>57</v>
      </c>
      <c r="E142" s="1" t="s">
        <v>58</v>
      </c>
      <c r="F142" s="1" t="s">
        <v>59</v>
      </c>
      <c r="G142" s="1">
        <v>39.5</v>
      </c>
      <c r="H142" s="1" t="s">
        <v>60</v>
      </c>
      <c r="I142" s="1">
        <v>-112.0</v>
      </c>
      <c r="J142" s="1">
        <v>-0.138224292369386</v>
      </c>
      <c r="K142" s="1" t="s">
        <v>61</v>
      </c>
      <c r="L142" s="1" t="s">
        <v>61</v>
      </c>
      <c r="M142" s="1" t="s">
        <v>62</v>
      </c>
      <c r="N142" s="1">
        <v>-120.0</v>
      </c>
      <c r="O142" s="1">
        <v>0.0645012795624182</v>
      </c>
      <c r="P142" s="1" t="s">
        <v>61</v>
      </c>
      <c r="Q142" s="1" t="s">
        <v>61</v>
      </c>
      <c r="R142" s="1">
        <f t="shared" si="1"/>
        <v>0.06450127956</v>
      </c>
      <c r="S142" s="1">
        <f t="shared" si="2"/>
        <v>-120</v>
      </c>
      <c r="T142" s="1">
        <f t="shared" si="3"/>
        <v>1.833333333</v>
      </c>
      <c r="U142" s="1">
        <f t="shared" si="4"/>
        <v>0</v>
      </c>
      <c r="V142" s="3">
        <f t="shared" si="5"/>
        <v>2</v>
      </c>
      <c r="W142" s="3" t="str">
        <f>IFERROR(__xludf.DUMMYFUNCTION("split(B142,"" "")"),"A.")</f>
        <v>A.</v>
      </c>
      <c r="X142" s="3" t="str">
        <f>IFERROR(__xludf.DUMMYFUNCTION("""COMPUTED_VALUE"""),"Thielen")</f>
        <v>Thielen</v>
      </c>
      <c r="Z142" s="3">
        <v>49.0</v>
      </c>
      <c r="AA142" s="3">
        <f t="shared" si="6"/>
        <v>1</v>
      </c>
      <c r="AB142" s="3">
        <f t="shared" si="7"/>
        <v>0</v>
      </c>
      <c r="AC142" s="3">
        <f t="shared" si="8"/>
        <v>1.666666667</v>
      </c>
      <c r="AD142" s="3">
        <f t="shared" si="9"/>
        <v>-2</v>
      </c>
    </row>
    <row r="143">
      <c r="A143" s="1" t="s">
        <v>8</v>
      </c>
      <c r="B143" s="1" t="s">
        <v>458</v>
      </c>
      <c r="C143" s="1" t="s">
        <v>19</v>
      </c>
      <c r="D143" s="1" t="s">
        <v>104</v>
      </c>
      <c r="E143" s="1" t="s">
        <v>105</v>
      </c>
      <c r="F143" s="1" t="s">
        <v>59</v>
      </c>
      <c r="G143" s="1">
        <v>13.5</v>
      </c>
      <c r="H143" s="1" t="s">
        <v>60</v>
      </c>
      <c r="I143" s="1">
        <v>-127.0</v>
      </c>
      <c r="J143" s="1">
        <v>-0.133224930897797</v>
      </c>
      <c r="K143" s="1" t="s">
        <v>61</v>
      </c>
      <c r="L143" s="1" t="s">
        <v>61</v>
      </c>
      <c r="M143" s="1" t="s">
        <v>62</v>
      </c>
      <c r="N143" s="1">
        <v>-104.0</v>
      </c>
      <c r="O143" s="1">
        <v>0.0639423415997647</v>
      </c>
      <c r="P143" s="1" t="s">
        <v>61</v>
      </c>
      <c r="Q143" s="1" t="s">
        <v>61</v>
      </c>
      <c r="R143" s="1">
        <f t="shared" si="1"/>
        <v>0.0639423416</v>
      </c>
      <c r="S143" s="1">
        <f t="shared" si="2"/>
        <v>-104</v>
      </c>
      <c r="T143" s="1">
        <f t="shared" si="3"/>
        <v>1.961538462</v>
      </c>
      <c r="U143" s="1">
        <f t="shared" si="4"/>
        <v>0</v>
      </c>
      <c r="V143" s="3">
        <f t="shared" si="5"/>
        <v>2</v>
      </c>
      <c r="W143" s="3" t="str">
        <f>IFERROR(__xludf.DUMMYFUNCTION("split(B143,"" "")"),"J.")</f>
        <v>J.</v>
      </c>
      <c r="X143" s="3" t="str">
        <f>IFERROR(__xludf.DUMMYFUNCTION("""COMPUTED_VALUE"""),"Cook")</f>
        <v>Cook</v>
      </c>
      <c r="Z143" s="3">
        <v>19.0</v>
      </c>
      <c r="AA143" s="3">
        <f t="shared" si="6"/>
        <v>1</v>
      </c>
      <c r="AB143" s="3">
        <f t="shared" si="7"/>
        <v>0</v>
      </c>
      <c r="AC143" s="3">
        <f t="shared" si="8"/>
        <v>1.923076923</v>
      </c>
      <c r="AD143" s="3">
        <f t="shared" si="9"/>
        <v>-2</v>
      </c>
    </row>
    <row r="144">
      <c r="A144" s="1" t="s">
        <v>12</v>
      </c>
      <c r="B144" s="1" t="s">
        <v>494</v>
      </c>
      <c r="C144" s="1" t="s">
        <v>20</v>
      </c>
      <c r="D144" s="1" t="s">
        <v>134</v>
      </c>
      <c r="E144" s="1" t="s">
        <v>135</v>
      </c>
      <c r="F144" s="1" t="s">
        <v>84</v>
      </c>
      <c r="G144" s="1">
        <v>3.5</v>
      </c>
      <c r="H144" s="1" t="s">
        <v>60</v>
      </c>
      <c r="I144" s="1">
        <v>-114.0</v>
      </c>
      <c r="J144" s="1">
        <v>-0.128603738317756</v>
      </c>
      <c r="K144" s="1" t="s">
        <v>61</v>
      </c>
      <c r="L144" s="1" t="s">
        <v>61</v>
      </c>
      <c r="M144" s="1" t="s">
        <v>62</v>
      </c>
      <c r="N144" s="1">
        <v>-114.0</v>
      </c>
      <c r="O144" s="1">
        <v>0.063196261682243</v>
      </c>
      <c r="P144" s="1" t="s">
        <v>61</v>
      </c>
      <c r="Q144" s="1" t="s">
        <v>61</v>
      </c>
      <c r="R144" s="1">
        <f t="shared" si="1"/>
        <v>0.06319626168</v>
      </c>
      <c r="S144" s="1">
        <f t="shared" si="2"/>
        <v>-114</v>
      </c>
      <c r="T144" s="1">
        <f t="shared" si="3"/>
        <v>1.877192982</v>
      </c>
      <c r="U144" s="1">
        <f t="shared" si="4"/>
        <v>0</v>
      </c>
      <c r="V144" s="3">
        <f t="shared" si="5"/>
        <v>2</v>
      </c>
      <c r="W144" s="3" t="str">
        <f>IFERROR(__xludf.DUMMYFUNCTION("split(B144,"" "")"),"B.")</f>
        <v>B.</v>
      </c>
      <c r="X144" s="3" t="str">
        <f>IFERROR(__xludf.DUMMYFUNCTION("""COMPUTED_VALUE"""),"Bowers")</f>
        <v>Bowers</v>
      </c>
      <c r="Z144" s="3">
        <v>6.0</v>
      </c>
      <c r="AA144" s="3">
        <f t="shared" si="6"/>
        <v>1</v>
      </c>
      <c r="AB144" s="3">
        <f t="shared" si="7"/>
        <v>0</v>
      </c>
      <c r="AC144" s="3">
        <f t="shared" si="8"/>
        <v>1.754385965</v>
      </c>
      <c r="AD144" s="3">
        <f t="shared" si="9"/>
        <v>-2</v>
      </c>
    </row>
    <row r="145">
      <c r="A145" s="1" t="s">
        <v>14</v>
      </c>
      <c r="B145" s="1" t="s">
        <v>297</v>
      </c>
      <c r="C145" s="1" t="s">
        <v>21</v>
      </c>
      <c r="D145" s="1" t="s">
        <v>157</v>
      </c>
      <c r="E145" s="1" t="s">
        <v>156</v>
      </c>
      <c r="F145" s="1" t="s">
        <v>158</v>
      </c>
      <c r="G145" s="1">
        <v>1.5</v>
      </c>
      <c r="H145" s="1" t="s">
        <v>60</v>
      </c>
      <c r="I145" s="1">
        <v>-157.0</v>
      </c>
      <c r="J145" s="6">
        <v>-0.125733852140077</v>
      </c>
      <c r="K145" s="1" t="s">
        <v>61</v>
      </c>
      <c r="L145" s="1" t="s">
        <v>61</v>
      </c>
      <c r="M145" s="1" t="s">
        <v>62</v>
      </c>
      <c r="N145" s="1">
        <v>121.0</v>
      </c>
      <c r="O145" s="6">
        <v>0.0623565610859728</v>
      </c>
      <c r="P145" s="1" t="s">
        <v>61</v>
      </c>
      <c r="Q145" s="1" t="s">
        <v>61</v>
      </c>
      <c r="R145" s="6">
        <f t="shared" si="1"/>
        <v>0.06235656109</v>
      </c>
      <c r="S145" s="1">
        <f t="shared" si="2"/>
        <v>121</v>
      </c>
      <c r="T145" s="1">
        <f t="shared" si="3"/>
        <v>2.21</v>
      </c>
      <c r="U145" s="1">
        <f t="shared" si="4"/>
        <v>0</v>
      </c>
      <c r="V145" s="3">
        <f t="shared" si="5"/>
        <v>2</v>
      </c>
      <c r="W145" s="3" t="str">
        <f>IFERROR(__xludf.DUMMYFUNCTION("split(B145,"" "")"),"J.")</f>
        <v>J.</v>
      </c>
      <c r="X145" s="3" t="str">
        <f>IFERROR(__xludf.DUMMYFUNCTION("""COMPUTED_VALUE"""),"Love")</f>
        <v>Love</v>
      </c>
      <c r="Z145" s="3">
        <v>2.0</v>
      </c>
      <c r="AA145" s="3">
        <f t="shared" si="6"/>
        <v>1</v>
      </c>
      <c r="AB145" s="3">
        <f t="shared" si="7"/>
        <v>0</v>
      </c>
      <c r="AC145" s="3">
        <f t="shared" si="8"/>
        <v>2.42</v>
      </c>
      <c r="AD145" s="3">
        <f t="shared" si="9"/>
        <v>-2</v>
      </c>
    </row>
    <row r="146">
      <c r="A146" s="1" t="s">
        <v>11</v>
      </c>
      <c r="B146" s="1" t="s">
        <v>493</v>
      </c>
      <c r="C146" s="1" t="s">
        <v>18</v>
      </c>
      <c r="D146" s="1" t="s">
        <v>76</v>
      </c>
      <c r="E146" s="1" t="s">
        <v>77</v>
      </c>
      <c r="F146" s="1" t="s">
        <v>78</v>
      </c>
      <c r="G146" s="1">
        <v>62.5</v>
      </c>
      <c r="H146" s="1" t="s">
        <v>60</v>
      </c>
      <c r="I146" s="1">
        <v>-118.0</v>
      </c>
      <c r="J146" s="6">
        <v>-0.122656479650622</v>
      </c>
      <c r="K146" s="1" t="s">
        <v>61</v>
      </c>
      <c r="L146" s="1" t="s">
        <v>61</v>
      </c>
      <c r="M146" s="1" t="s">
        <v>62</v>
      </c>
      <c r="N146" s="1">
        <v>-108.0</v>
      </c>
      <c r="O146" s="6">
        <v>0.0621101580334605</v>
      </c>
      <c r="P146" s="1" t="s">
        <v>61</v>
      </c>
      <c r="Q146" s="1" t="s">
        <v>61</v>
      </c>
      <c r="R146" s="6">
        <f t="shared" si="1"/>
        <v>0.06211015803</v>
      </c>
      <c r="S146" s="1">
        <f t="shared" si="2"/>
        <v>-108</v>
      </c>
      <c r="T146" s="1">
        <f t="shared" si="3"/>
        <v>1.925925926</v>
      </c>
      <c r="U146" s="1">
        <f t="shared" si="4"/>
        <v>0</v>
      </c>
      <c r="V146" s="3">
        <f t="shared" si="5"/>
        <v>2</v>
      </c>
      <c r="W146" s="3" t="str">
        <f>IFERROR(__xludf.DUMMYFUNCTION("split(B146,"" "")"),"R.")</f>
        <v>R.</v>
      </c>
      <c r="X146" s="3" t="str">
        <f>IFERROR(__xludf.DUMMYFUNCTION("""COMPUTED_VALUE"""),"Rice")</f>
        <v>Rice</v>
      </c>
      <c r="Z146" s="3">
        <v>103.0</v>
      </c>
      <c r="AA146" s="3">
        <f t="shared" si="6"/>
        <v>1</v>
      </c>
      <c r="AB146" s="3">
        <f t="shared" si="7"/>
        <v>0</v>
      </c>
      <c r="AC146" s="3">
        <f t="shared" si="8"/>
        <v>1.851851852</v>
      </c>
      <c r="AD146" s="3">
        <f t="shared" si="9"/>
        <v>-2</v>
      </c>
    </row>
    <row r="147">
      <c r="A147" s="1" t="s">
        <v>12</v>
      </c>
      <c r="B147" s="1" t="s">
        <v>293</v>
      </c>
      <c r="C147" s="1" t="s">
        <v>19</v>
      </c>
      <c r="D147" s="1" t="s">
        <v>67</v>
      </c>
      <c r="E147" s="1" t="s">
        <v>66</v>
      </c>
      <c r="F147" s="1" t="s">
        <v>59</v>
      </c>
      <c r="G147" s="1">
        <v>2.5</v>
      </c>
      <c r="H147" s="1" t="s">
        <v>60</v>
      </c>
      <c r="I147" s="1">
        <v>130.0</v>
      </c>
      <c r="J147" s="1">
        <v>-0.125275967221739</v>
      </c>
      <c r="K147" s="1" t="s">
        <v>61</v>
      </c>
      <c r="L147" s="1" t="s">
        <v>61</v>
      </c>
      <c r="M147" s="1" t="s">
        <v>62</v>
      </c>
      <c r="N147" s="1">
        <v>-170.0</v>
      </c>
      <c r="O147" s="1">
        <v>0.0608629720333333</v>
      </c>
      <c r="P147" s="1" t="s">
        <v>61</v>
      </c>
      <c r="Q147" s="1" t="s">
        <v>61</v>
      </c>
      <c r="R147" s="1">
        <f t="shared" si="1"/>
        <v>0.06086297203</v>
      </c>
      <c r="S147" s="1">
        <f t="shared" si="2"/>
        <v>-170</v>
      </c>
      <c r="T147" s="1">
        <f t="shared" si="3"/>
        <v>1.588235294</v>
      </c>
      <c r="U147" s="1">
        <f t="shared" si="4"/>
        <v>0</v>
      </c>
      <c r="V147" s="3">
        <f t="shared" si="5"/>
        <v>2</v>
      </c>
      <c r="W147" s="3" t="str">
        <f>IFERROR(__xludf.DUMMYFUNCTION("split(B147,"" "")"),"C.")</f>
        <v>C.</v>
      </c>
      <c r="X147" s="3" t="str">
        <f>IFERROR(__xludf.DUMMYFUNCTION("""COMPUTED_VALUE"""),"Brown")</f>
        <v>Brown</v>
      </c>
      <c r="Z147" s="3">
        <v>3.0</v>
      </c>
      <c r="AA147" s="3">
        <f t="shared" si="6"/>
        <v>1</v>
      </c>
      <c r="AB147" s="3">
        <f t="shared" si="7"/>
        <v>0</v>
      </c>
      <c r="AC147" s="3">
        <f t="shared" si="8"/>
        <v>1.176470588</v>
      </c>
      <c r="AD147" s="3">
        <f t="shared" si="9"/>
        <v>-2</v>
      </c>
    </row>
    <row r="148">
      <c r="A148" s="1" t="s">
        <v>10</v>
      </c>
      <c r="B148" s="1" t="s">
        <v>127</v>
      </c>
      <c r="C148" s="1" t="s">
        <v>19</v>
      </c>
      <c r="D148" s="1" t="s">
        <v>58</v>
      </c>
      <c r="E148" s="1" t="s">
        <v>57</v>
      </c>
      <c r="F148" s="1" t="s">
        <v>59</v>
      </c>
      <c r="G148" s="1">
        <v>24.5</v>
      </c>
      <c r="H148" s="1" t="s">
        <v>60</v>
      </c>
      <c r="I148" s="1">
        <v>-115.0</v>
      </c>
      <c r="J148" s="1">
        <v>-0.131437282689312</v>
      </c>
      <c r="K148" s="1" t="s">
        <v>61</v>
      </c>
      <c r="L148" s="1" t="s">
        <v>61</v>
      </c>
      <c r="M148" s="1" t="s">
        <v>62</v>
      </c>
      <c r="N148" s="1">
        <v>-116.0</v>
      </c>
      <c r="O148" s="1">
        <v>0.0594784180681228</v>
      </c>
      <c r="P148" s="1" t="s">
        <v>61</v>
      </c>
      <c r="Q148" s="1" t="s">
        <v>61</v>
      </c>
      <c r="R148" s="1">
        <f t="shared" si="1"/>
        <v>0.05947841807</v>
      </c>
      <c r="S148" s="1">
        <f t="shared" si="2"/>
        <v>-116</v>
      </c>
      <c r="T148" s="1">
        <f t="shared" si="3"/>
        <v>1.862068966</v>
      </c>
      <c r="U148" s="1">
        <f t="shared" si="4"/>
        <v>0</v>
      </c>
      <c r="V148" s="3">
        <f t="shared" si="5"/>
        <v>2</v>
      </c>
      <c r="W148" s="3" t="str">
        <f>IFERROR(__xludf.DUMMYFUNCTION("split(B148,"" "")"),"J.")</f>
        <v>J.</v>
      </c>
      <c r="X148" s="3" t="str">
        <f>IFERROR(__xludf.DUMMYFUNCTION("""COMPUTED_VALUE"""),"Williams")</f>
        <v>Williams</v>
      </c>
      <c r="Z148" s="3">
        <v>38.0</v>
      </c>
      <c r="AA148" s="3">
        <f t="shared" si="6"/>
        <v>1</v>
      </c>
      <c r="AB148" s="3">
        <f t="shared" si="7"/>
        <v>0</v>
      </c>
      <c r="AC148" s="3">
        <f t="shared" si="8"/>
        <v>1.724137931</v>
      </c>
      <c r="AD148" s="3">
        <f t="shared" si="9"/>
        <v>-2</v>
      </c>
    </row>
    <row r="149">
      <c r="A149" s="1" t="s">
        <v>12</v>
      </c>
      <c r="B149" s="1" t="s">
        <v>475</v>
      </c>
      <c r="C149" s="1" t="s">
        <v>18</v>
      </c>
      <c r="D149" s="1" t="s">
        <v>94</v>
      </c>
      <c r="E149" s="1" t="s">
        <v>93</v>
      </c>
      <c r="F149" s="1" t="s">
        <v>59</v>
      </c>
      <c r="G149" s="1">
        <v>4.5</v>
      </c>
      <c r="H149" s="1" t="s">
        <v>60</v>
      </c>
      <c r="I149" s="1">
        <v>-147.0</v>
      </c>
      <c r="J149" s="1">
        <v>-0.126301214574898</v>
      </c>
      <c r="K149" s="1" t="s">
        <v>61</v>
      </c>
      <c r="L149" s="1" t="s">
        <v>61</v>
      </c>
      <c r="M149" s="1" t="s">
        <v>62</v>
      </c>
      <c r="N149" s="1">
        <v>112.0</v>
      </c>
      <c r="O149" s="1">
        <v>0.0594547169811321</v>
      </c>
      <c r="P149" s="1" t="s">
        <v>61</v>
      </c>
      <c r="Q149" s="1" t="s">
        <v>61</v>
      </c>
      <c r="R149" s="1">
        <f t="shared" si="1"/>
        <v>0.05945471698</v>
      </c>
      <c r="S149" s="1">
        <f t="shared" si="2"/>
        <v>112</v>
      </c>
      <c r="T149" s="1">
        <f t="shared" si="3"/>
        <v>2.12</v>
      </c>
      <c r="U149" s="1">
        <f t="shared" si="4"/>
        <v>0</v>
      </c>
      <c r="V149" s="3">
        <f t="shared" si="5"/>
        <v>2</v>
      </c>
      <c r="W149" s="3" t="str">
        <f>IFERROR(__xludf.DUMMYFUNCTION("split(B149,"" "")"),"J.")</f>
        <v>J.</v>
      </c>
      <c r="X149" s="3" t="str">
        <f>IFERROR(__xludf.DUMMYFUNCTION("""COMPUTED_VALUE"""),"Waddle")</f>
        <v>Waddle</v>
      </c>
      <c r="Z149" s="3">
        <v>5.0</v>
      </c>
      <c r="AA149" s="3">
        <f t="shared" si="6"/>
        <v>1</v>
      </c>
      <c r="AB149" s="3">
        <f t="shared" si="7"/>
        <v>0</v>
      </c>
      <c r="AC149" s="3">
        <f t="shared" si="8"/>
        <v>2.24</v>
      </c>
      <c r="AD149" s="3">
        <f t="shared" si="9"/>
        <v>-2</v>
      </c>
    </row>
    <row r="150">
      <c r="A150" s="1" t="s">
        <v>8</v>
      </c>
      <c r="B150" s="1" t="s">
        <v>345</v>
      </c>
      <c r="C150" s="1" t="s">
        <v>19</v>
      </c>
      <c r="D150" s="1" t="s">
        <v>105</v>
      </c>
      <c r="E150" s="1" t="s">
        <v>104</v>
      </c>
      <c r="F150" s="1" t="s">
        <v>59</v>
      </c>
      <c r="G150" s="1">
        <v>12.5</v>
      </c>
      <c r="H150" s="1" t="s">
        <v>60</v>
      </c>
      <c r="I150" s="1">
        <v>-134.0</v>
      </c>
      <c r="J150" s="1">
        <v>-0.126548549269658</v>
      </c>
      <c r="K150" s="1" t="s">
        <v>61</v>
      </c>
      <c r="L150" s="1" t="s">
        <v>61</v>
      </c>
      <c r="M150" s="1" t="s">
        <v>62</v>
      </c>
      <c r="N150" s="1">
        <v>102.0</v>
      </c>
      <c r="O150" s="1">
        <v>0.0588493095499999</v>
      </c>
      <c r="P150" s="1" t="s">
        <v>61</v>
      </c>
      <c r="Q150" s="1" t="s">
        <v>61</v>
      </c>
      <c r="R150" s="1">
        <f t="shared" si="1"/>
        <v>0.05884930955</v>
      </c>
      <c r="S150" s="1">
        <f t="shared" si="2"/>
        <v>102</v>
      </c>
      <c r="T150" s="1">
        <f t="shared" si="3"/>
        <v>2.02</v>
      </c>
      <c r="U150" s="1">
        <f t="shared" si="4"/>
        <v>0</v>
      </c>
      <c r="V150" s="3">
        <f t="shared" si="5"/>
        <v>2</v>
      </c>
      <c r="W150" s="3" t="str">
        <f>IFERROR(__xludf.DUMMYFUNCTION("split(B150,"" "")"),"J.")</f>
        <v>J.</v>
      </c>
      <c r="X150" s="3" t="str">
        <f>IFERROR(__xludf.DUMMYFUNCTION("""COMPUTED_VALUE"""),"Conner")</f>
        <v>Conner</v>
      </c>
      <c r="Z150" s="3">
        <v>16.0</v>
      </c>
      <c r="AA150" s="3">
        <f t="shared" si="6"/>
        <v>1</v>
      </c>
      <c r="AB150" s="3">
        <f t="shared" si="7"/>
        <v>0</v>
      </c>
      <c r="AC150" s="3">
        <f t="shared" si="8"/>
        <v>2.04</v>
      </c>
      <c r="AD150" s="3">
        <f t="shared" si="9"/>
        <v>-2</v>
      </c>
    </row>
    <row r="151">
      <c r="A151" s="1" t="s">
        <v>17</v>
      </c>
      <c r="B151" s="1" t="s">
        <v>464</v>
      </c>
      <c r="C151" s="1" t="s">
        <v>21</v>
      </c>
      <c r="D151" s="1" t="s">
        <v>83</v>
      </c>
      <c r="E151" s="1" t="s">
        <v>82</v>
      </c>
      <c r="F151" s="1" t="s">
        <v>84</v>
      </c>
      <c r="G151" s="1">
        <v>0.5</v>
      </c>
      <c r="H151" s="1" t="s">
        <v>60</v>
      </c>
      <c r="I151" s="1">
        <v>-151.0</v>
      </c>
      <c r="J151" s="1">
        <v>-0.131993625498007</v>
      </c>
      <c r="K151" s="1" t="s">
        <v>61</v>
      </c>
      <c r="L151" s="1" t="s">
        <v>61</v>
      </c>
      <c r="M151" s="1" t="s">
        <v>62</v>
      </c>
      <c r="N151" s="1">
        <v>112.0</v>
      </c>
      <c r="O151" s="1">
        <v>0.0587018867924528</v>
      </c>
      <c r="P151" s="1" t="s">
        <v>61</v>
      </c>
      <c r="Q151" s="1" t="s">
        <v>61</v>
      </c>
      <c r="R151" s="1">
        <f t="shared" si="1"/>
        <v>0.05870188679</v>
      </c>
      <c r="S151" s="1">
        <f t="shared" si="2"/>
        <v>112</v>
      </c>
      <c r="T151" s="1">
        <f t="shared" si="3"/>
        <v>2.12</v>
      </c>
      <c r="U151" s="1">
        <f t="shared" si="4"/>
        <v>0</v>
      </c>
      <c r="V151" s="3">
        <f t="shared" si="5"/>
        <v>2</v>
      </c>
      <c r="W151" s="3" t="str">
        <f>IFERROR(__xludf.DUMMYFUNCTION("split(B151,"" "")"),"B.")</f>
        <v>B.</v>
      </c>
      <c r="X151" s="3" t="str">
        <f>IFERROR(__xludf.DUMMYFUNCTION("""COMPUTED_VALUE"""),"Nix")</f>
        <v>Nix</v>
      </c>
      <c r="Z151" s="3">
        <v>2.0</v>
      </c>
      <c r="AA151" s="3">
        <f t="shared" si="6"/>
        <v>1</v>
      </c>
      <c r="AB151" s="3">
        <f t="shared" si="7"/>
        <v>0</v>
      </c>
      <c r="AC151" s="3">
        <f t="shared" si="8"/>
        <v>2.24</v>
      </c>
      <c r="AD151" s="3">
        <f t="shared" si="9"/>
        <v>-2</v>
      </c>
    </row>
    <row r="152">
      <c r="A152" s="1" t="s">
        <v>14</v>
      </c>
      <c r="B152" s="1" t="s">
        <v>253</v>
      </c>
      <c r="C152" s="1" t="s">
        <v>21</v>
      </c>
      <c r="D152" s="1" t="s">
        <v>113</v>
      </c>
      <c r="E152" s="1" t="s">
        <v>114</v>
      </c>
      <c r="F152" s="1" t="s">
        <v>90</v>
      </c>
      <c r="G152" s="1">
        <v>1.5</v>
      </c>
      <c r="H152" s="1" t="s">
        <v>60</v>
      </c>
      <c r="I152" s="1">
        <v>-140.0</v>
      </c>
      <c r="J152" s="1">
        <v>-0.129833333333333</v>
      </c>
      <c r="K152" s="1" t="s">
        <v>61</v>
      </c>
      <c r="L152" s="1" t="s">
        <v>61</v>
      </c>
      <c r="M152" s="1" t="s">
        <v>62</v>
      </c>
      <c r="N152" s="1">
        <v>105.0</v>
      </c>
      <c r="O152" s="1">
        <v>0.0586951219512194</v>
      </c>
      <c r="P152" s="1" t="s">
        <v>61</v>
      </c>
      <c r="Q152" s="1" t="s">
        <v>61</v>
      </c>
      <c r="R152" s="1">
        <f t="shared" si="1"/>
        <v>0.05869512195</v>
      </c>
      <c r="S152" s="1">
        <f t="shared" si="2"/>
        <v>105</v>
      </c>
      <c r="T152" s="1">
        <f t="shared" si="3"/>
        <v>2.05</v>
      </c>
      <c r="U152" s="1">
        <f t="shared" si="4"/>
        <v>0</v>
      </c>
      <c r="V152" s="3">
        <f t="shared" si="5"/>
        <v>2</v>
      </c>
      <c r="W152" s="3" t="str">
        <f>IFERROR(__xludf.DUMMYFUNCTION("split(B152,"" "")"),"B.")</f>
        <v>B.</v>
      </c>
      <c r="X152" s="3" t="str">
        <f>IFERROR(__xludf.DUMMYFUNCTION("""COMPUTED_VALUE"""),"Mayfield")</f>
        <v>Mayfield</v>
      </c>
      <c r="Z152" s="3">
        <v>4.0</v>
      </c>
      <c r="AA152" s="3">
        <f t="shared" si="6"/>
        <v>1</v>
      </c>
      <c r="AB152" s="3">
        <f t="shared" si="7"/>
        <v>0</v>
      </c>
      <c r="AC152" s="3">
        <f t="shared" si="8"/>
        <v>2.1</v>
      </c>
      <c r="AD152" s="3">
        <f t="shared" si="9"/>
        <v>-2</v>
      </c>
    </row>
    <row r="153">
      <c r="A153" s="1" t="s">
        <v>12</v>
      </c>
      <c r="B153" s="1" t="s">
        <v>499</v>
      </c>
      <c r="C153" s="1" t="s">
        <v>18</v>
      </c>
      <c r="D153" s="1" t="s">
        <v>109</v>
      </c>
      <c r="E153" s="1" t="s">
        <v>110</v>
      </c>
      <c r="F153" s="1" t="s">
        <v>59</v>
      </c>
      <c r="G153" s="1">
        <v>5.5</v>
      </c>
      <c r="H153" s="1" t="s">
        <v>60</v>
      </c>
      <c r="I153" s="1">
        <v>112.0</v>
      </c>
      <c r="J153" s="1">
        <v>0.0581547169811321</v>
      </c>
      <c r="K153" s="1" t="s">
        <v>61</v>
      </c>
      <c r="L153" s="1" t="s">
        <v>61</v>
      </c>
      <c r="M153" s="1" t="s">
        <v>62</v>
      </c>
      <c r="N153" s="1">
        <v>-152.0</v>
      </c>
      <c r="O153" s="1">
        <v>-0.13303492063492</v>
      </c>
      <c r="P153" s="1" t="s">
        <v>61</v>
      </c>
      <c r="Q153" s="1" t="s">
        <v>61</v>
      </c>
      <c r="R153" s="1">
        <f t="shared" si="1"/>
        <v>0.05815471698</v>
      </c>
      <c r="S153" s="1">
        <f t="shared" si="2"/>
        <v>112</v>
      </c>
      <c r="T153" s="1">
        <f t="shared" si="3"/>
        <v>2.12</v>
      </c>
      <c r="U153" s="1">
        <f t="shared" si="4"/>
        <v>1</v>
      </c>
      <c r="V153" s="3">
        <f t="shared" si="5"/>
        <v>2</v>
      </c>
      <c r="W153" s="3" t="str">
        <f>IFERROR(__xludf.DUMMYFUNCTION("split(B153,"" "")"),"D.")</f>
        <v>D.</v>
      </c>
      <c r="X153" s="3" t="str">
        <f>IFERROR(__xludf.DUMMYFUNCTION("""COMPUTED_VALUE"""),"London")</f>
        <v>London</v>
      </c>
      <c r="Z153" s="3">
        <v>2.0</v>
      </c>
      <c r="AA153" s="3">
        <f t="shared" si="6"/>
        <v>0</v>
      </c>
      <c r="AB153" s="3">
        <f t="shared" si="7"/>
        <v>0</v>
      </c>
      <c r="AC153" s="3">
        <f t="shared" si="8"/>
        <v>2.24</v>
      </c>
      <c r="AD153" s="3">
        <f t="shared" si="9"/>
        <v>-2</v>
      </c>
    </row>
    <row r="154">
      <c r="A154" s="1" t="s">
        <v>8</v>
      </c>
      <c r="B154" s="1" t="s">
        <v>274</v>
      </c>
      <c r="C154" s="1" t="s">
        <v>21</v>
      </c>
      <c r="D154" s="1" t="s">
        <v>99</v>
      </c>
      <c r="E154" s="1" t="s">
        <v>100</v>
      </c>
      <c r="F154" s="1" t="s">
        <v>59</v>
      </c>
      <c r="G154" s="1">
        <v>4.5</v>
      </c>
      <c r="H154" s="1" t="s">
        <v>60</v>
      </c>
      <c r="I154" s="1">
        <v>108.0</v>
      </c>
      <c r="J154" s="1">
        <v>-0.12095895945649</v>
      </c>
      <c r="K154" s="1" t="s">
        <v>61</v>
      </c>
      <c r="L154" s="1" t="s">
        <v>61</v>
      </c>
      <c r="M154" s="1" t="s">
        <v>62</v>
      </c>
      <c r="N154" s="1">
        <v>-140.0</v>
      </c>
      <c r="O154" s="1">
        <v>0.0568551272906255</v>
      </c>
      <c r="P154" s="1" t="s">
        <v>61</v>
      </c>
      <c r="Q154" s="1" t="s">
        <v>61</v>
      </c>
      <c r="R154" s="1">
        <f t="shared" si="1"/>
        <v>0.05685512729</v>
      </c>
      <c r="S154" s="1">
        <f t="shared" si="2"/>
        <v>-140</v>
      </c>
      <c r="T154" s="1">
        <f t="shared" si="3"/>
        <v>1.714285714</v>
      </c>
      <c r="U154" s="1">
        <f t="shared" si="4"/>
        <v>0</v>
      </c>
      <c r="V154" s="3">
        <f t="shared" si="5"/>
        <v>2</v>
      </c>
      <c r="W154" s="3" t="str">
        <f>IFERROR(__xludf.DUMMYFUNCTION("split(B154,"" "")"),"C.")</f>
        <v>C.</v>
      </c>
      <c r="X154" s="3" t="str">
        <f>IFERROR(__xludf.DUMMYFUNCTION("""COMPUTED_VALUE"""),"Williams")</f>
        <v>Williams</v>
      </c>
      <c r="Z154" s="3">
        <v>5.0</v>
      </c>
      <c r="AA154" s="3">
        <f t="shared" si="6"/>
        <v>1</v>
      </c>
      <c r="AB154" s="3">
        <f t="shared" si="7"/>
        <v>0</v>
      </c>
      <c r="AC154" s="3">
        <f t="shared" si="8"/>
        <v>1.428571429</v>
      </c>
      <c r="AD154" s="3">
        <f t="shared" si="9"/>
        <v>-2</v>
      </c>
    </row>
    <row r="155">
      <c r="A155" s="1" t="s">
        <v>12</v>
      </c>
      <c r="B155" s="1" t="s">
        <v>399</v>
      </c>
      <c r="C155" s="1" t="s">
        <v>18</v>
      </c>
      <c r="D155" s="1" t="s">
        <v>77</v>
      </c>
      <c r="E155" s="1" t="s">
        <v>76</v>
      </c>
      <c r="F155" s="1" t="s">
        <v>78</v>
      </c>
      <c r="G155" s="1">
        <v>4.5</v>
      </c>
      <c r="H155" s="1" t="s">
        <v>60</v>
      </c>
      <c r="I155" s="1">
        <v>-127.0</v>
      </c>
      <c r="J155" s="6">
        <v>-0.128471365638766</v>
      </c>
      <c r="K155" s="1" t="s">
        <v>61</v>
      </c>
      <c r="L155" s="1" t="s">
        <v>61</v>
      </c>
      <c r="M155" s="1" t="s">
        <v>62</v>
      </c>
      <c r="N155" s="1">
        <v>-105.0</v>
      </c>
      <c r="O155" s="6">
        <v>0.0568048780487804</v>
      </c>
      <c r="P155" s="1" t="s">
        <v>61</v>
      </c>
      <c r="Q155" s="1" t="s">
        <v>61</v>
      </c>
      <c r="R155" s="6">
        <f t="shared" si="1"/>
        <v>0.05680487805</v>
      </c>
      <c r="S155" s="1">
        <f t="shared" si="2"/>
        <v>-105</v>
      </c>
      <c r="T155" s="1">
        <f t="shared" si="3"/>
        <v>1.952380952</v>
      </c>
      <c r="U155" s="1">
        <f t="shared" si="4"/>
        <v>0</v>
      </c>
      <c r="V155" s="3">
        <f t="shared" si="5"/>
        <v>2</v>
      </c>
      <c r="W155" s="3" t="str">
        <f>IFERROR(__xludf.DUMMYFUNCTION("split(B155,"" "")"),"Z.")</f>
        <v>Z.</v>
      </c>
      <c r="X155" s="3" t="str">
        <f>IFERROR(__xludf.DUMMYFUNCTION("""COMPUTED_VALUE"""),"Flowers")</f>
        <v>Flowers</v>
      </c>
      <c r="Z155" s="3">
        <v>6.0</v>
      </c>
      <c r="AA155" s="3">
        <f t="shared" si="6"/>
        <v>1</v>
      </c>
      <c r="AB155" s="3">
        <f t="shared" si="7"/>
        <v>0</v>
      </c>
      <c r="AC155" s="3">
        <f t="shared" si="8"/>
        <v>1.904761905</v>
      </c>
      <c r="AD155" s="3">
        <f t="shared" si="9"/>
        <v>-2</v>
      </c>
    </row>
    <row r="156">
      <c r="A156" s="1" t="s">
        <v>12</v>
      </c>
      <c r="B156" s="1" t="s">
        <v>481</v>
      </c>
      <c r="C156" s="1" t="s">
        <v>18</v>
      </c>
      <c r="D156" s="1" t="s">
        <v>113</v>
      </c>
      <c r="E156" s="1" t="s">
        <v>114</v>
      </c>
      <c r="F156" s="1" t="s">
        <v>90</v>
      </c>
      <c r="G156" s="1">
        <v>4.5</v>
      </c>
      <c r="H156" s="1" t="s">
        <v>60</v>
      </c>
      <c r="I156" s="1">
        <v>-140.0</v>
      </c>
      <c r="J156" s="1">
        <v>-0.125375</v>
      </c>
      <c r="K156" s="1" t="s">
        <v>61</v>
      </c>
      <c r="L156" s="1" t="s">
        <v>61</v>
      </c>
      <c r="M156" s="1" t="s">
        <v>62</v>
      </c>
      <c r="N156" s="1">
        <v>106.0</v>
      </c>
      <c r="O156" s="1">
        <v>0.0566116504854369</v>
      </c>
      <c r="P156" s="1" t="s">
        <v>61</v>
      </c>
      <c r="Q156" s="1" t="s">
        <v>61</v>
      </c>
      <c r="R156" s="1">
        <f t="shared" si="1"/>
        <v>0.05661165049</v>
      </c>
      <c r="S156" s="1">
        <f t="shared" si="2"/>
        <v>106</v>
      </c>
      <c r="T156" s="1">
        <f t="shared" si="3"/>
        <v>2.06</v>
      </c>
      <c r="U156" s="1">
        <f t="shared" si="4"/>
        <v>0</v>
      </c>
      <c r="V156" s="3">
        <f t="shared" si="5"/>
        <v>2</v>
      </c>
      <c r="W156" s="3" t="str">
        <f>IFERROR(__xludf.DUMMYFUNCTION("split(B156,"" "")"),"M.")</f>
        <v>M.</v>
      </c>
      <c r="X156" s="3" t="str">
        <f>IFERROR(__xludf.DUMMYFUNCTION("""COMPUTED_VALUE"""),"Evans")</f>
        <v>Evans</v>
      </c>
      <c r="Z156" s="3">
        <v>5.0</v>
      </c>
      <c r="AA156" s="3">
        <f t="shared" si="6"/>
        <v>1</v>
      </c>
      <c r="AB156" s="3">
        <f t="shared" si="7"/>
        <v>0</v>
      </c>
      <c r="AC156" s="3">
        <f t="shared" si="8"/>
        <v>2.12</v>
      </c>
      <c r="AD156" s="3">
        <f t="shared" si="9"/>
        <v>-2</v>
      </c>
    </row>
    <row r="157">
      <c r="A157" s="1" t="s">
        <v>12</v>
      </c>
      <c r="B157" s="1" t="s">
        <v>357</v>
      </c>
      <c r="C157" s="1" t="s">
        <v>18</v>
      </c>
      <c r="D157" s="1" t="s">
        <v>57</v>
      </c>
      <c r="E157" s="1" t="s">
        <v>58</v>
      </c>
      <c r="F157" s="1" t="s">
        <v>59</v>
      </c>
      <c r="G157" s="1">
        <v>1.5</v>
      </c>
      <c r="H157" s="1" t="s">
        <v>60</v>
      </c>
      <c r="I157" s="1">
        <v>-105.0</v>
      </c>
      <c r="J157" s="1">
        <v>-0.123791508365853</v>
      </c>
      <c r="K157" s="1" t="s">
        <v>61</v>
      </c>
      <c r="L157" s="1" t="s">
        <v>61</v>
      </c>
      <c r="M157" s="1" t="s">
        <v>62</v>
      </c>
      <c r="N157" s="1">
        <v>-125.0</v>
      </c>
      <c r="O157" s="1">
        <v>0.0560542178611109</v>
      </c>
      <c r="P157" s="1" t="s">
        <v>61</v>
      </c>
      <c r="Q157" s="1" t="s">
        <v>61</v>
      </c>
      <c r="R157" s="1">
        <f t="shared" si="1"/>
        <v>0.05605421786</v>
      </c>
      <c r="S157" s="1">
        <f t="shared" si="2"/>
        <v>-125</v>
      </c>
      <c r="T157" s="1">
        <f t="shared" si="3"/>
        <v>1.8</v>
      </c>
      <c r="U157" s="1">
        <f t="shared" si="4"/>
        <v>0</v>
      </c>
      <c r="V157" s="3">
        <f t="shared" si="5"/>
        <v>2</v>
      </c>
      <c r="W157" s="3" t="str">
        <f>IFERROR(__xludf.DUMMYFUNCTION("split(B157,"" "")"),"X.")</f>
        <v>X.</v>
      </c>
      <c r="X157" s="3" t="str">
        <f>IFERROR(__xludf.DUMMYFUNCTION("""COMPUTED_VALUE"""),"Legette")</f>
        <v>Legette</v>
      </c>
      <c r="Z157" s="3">
        <v>4.0</v>
      </c>
      <c r="AA157" s="3">
        <f t="shared" si="6"/>
        <v>1</v>
      </c>
      <c r="AB157" s="3">
        <f t="shared" si="7"/>
        <v>0</v>
      </c>
      <c r="AC157" s="3">
        <f t="shared" si="8"/>
        <v>1.6</v>
      </c>
      <c r="AD157" s="3">
        <f t="shared" si="9"/>
        <v>-2</v>
      </c>
    </row>
    <row r="158">
      <c r="A158" s="1" t="s">
        <v>17</v>
      </c>
      <c r="B158" s="1" t="s">
        <v>462</v>
      </c>
      <c r="C158" s="1" t="s">
        <v>21</v>
      </c>
      <c r="D158" s="1" t="s">
        <v>89</v>
      </c>
      <c r="E158" s="1" t="s">
        <v>88</v>
      </c>
      <c r="F158" s="1" t="s">
        <v>90</v>
      </c>
      <c r="G158" s="1">
        <v>0.5</v>
      </c>
      <c r="H158" s="1" t="s">
        <v>60</v>
      </c>
      <c r="I158" s="1">
        <v>-130.0</v>
      </c>
      <c r="J158" s="1">
        <v>-0.133160869565217</v>
      </c>
      <c r="K158" s="1" t="s">
        <v>61</v>
      </c>
      <c r="L158" s="1" t="s">
        <v>61</v>
      </c>
      <c r="M158" s="1" t="s">
        <v>62</v>
      </c>
      <c r="N158" s="1">
        <v>-105.0</v>
      </c>
      <c r="O158" s="1">
        <v>0.0557560975609755</v>
      </c>
      <c r="P158" s="1" t="s">
        <v>61</v>
      </c>
      <c r="Q158" s="1" t="s">
        <v>61</v>
      </c>
      <c r="R158" s="1">
        <f t="shared" si="1"/>
        <v>0.05575609756</v>
      </c>
      <c r="S158" s="1">
        <f t="shared" si="2"/>
        <v>-105</v>
      </c>
      <c r="T158" s="1">
        <f t="shared" si="3"/>
        <v>1.952380952</v>
      </c>
      <c r="U158" s="1">
        <f t="shared" si="4"/>
        <v>0</v>
      </c>
      <c r="V158" s="3">
        <f t="shared" si="5"/>
        <v>2</v>
      </c>
      <c r="W158" s="3" t="str">
        <f>IFERROR(__xludf.DUMMYFUNCTION("split(B158,"" "")"),"D.")</f>
        <v>D.</v>
      </c>
      <c r="X158" s="3" t="str">
        <f>IFERROR(__xludf.DUMMYFUNCTION("""COMPUTED_VALUE"""),"Watson")</f>
        <v>Watson</v>
      </c>
      <c r="Z158" s="3">
        <v>2.0</v>
      </c>
      <c r="AA158" s="3">
        <f t="shared" si="6"/>
        <v>1</v>
      </c>
      <c r="AB158" s="3">
        <f t="shared" si="7"/>
        <v>0</v>
      </c>
      <c r="AC158" s="3">
        <f t="shared" si="8"/>
        <v>1.904761905</v>
      </c>
      <c r="AD158" s="3">
        <f t="shared" si="9"/>
        <v>-2</v>
      </c>
    </row>
    <row r="159">
      <c r="A159" s="1" t="s">
        <v>8</v>
      </c>
      <c r="B159" s="1" t="s">
        <v>282</v>
      </c>
      <c r="C159" s="1" t="s">
        <v>19</v>
      </c>
      <c r="D159" s="1" t="s">
        <v>58</v>
      </c>
      <c r="E159" s="1" t="s">
        <v>57</v>
      </c>
      <c r="F159" s="1" t="s">
        <v>59</v>
      </c>
      <c r="G159" s="1">
        <v>12.5</v>
      </c>
      <c r="H159" s="1" t="s">
        <v>60</v>
      </c>
      <c r="I159" s="1">
        <v>-110.0</v>
      </c>
      <c r="J159" s="1">
        <v>-0.123408865686666</v>
      </c>
      <c r="K159" s="1" t="s">
        <v>61</v>
      </c>
      <c r="L159" s="1" t="s">
        <v>61</v>
      </c>
      <c r="M159" s="1" t="s">
        <v>62</v>
      </c>
      <c r="N159" s="1">
        <v>-120.0</v>
      </c>
      <c r="O159" s="1">
        <v>0.0541447006956363</v>
      </c>
      <c r="P159" s="1" t="s">
        <v>61</v>
      </c>
      <c r="Q159" s="1" t="s">
        <v>61</v>
      </c>
      <c r="R159" s="1">
        <f t="shared" si="1"/>
        <v>0.0541447007</v>
      </c>
      <c r="S159" s="1">
        <f t="shared" si="2"/>
        <v>-120</v>
      </c>
      <c r="T159" s="1">
        <f t="shared" si="3"/>
        <v>1.833333333</v>
      </c>
      <c r="U159" s="1">
        <f t="shared" si="4"/>
        <v>0</v>
      </c>
      <c r="V159" s="3">
        <f t="shared" si="5"/>
        <v>2</v>
      </c>
      <c r="W159" s="3" t="str">
        <f>IFERROR(__xludf.DUMMYFUNCTION("split(B159,"" "")"),"A.")</f>
        <v>A.</v>
      </c>
      <c r="X159" s="3" t="str">
        <f>IFERROR(__xludf.DUMMYFUNCTION("""COMPUTED_VALUE"""),"Kamara")</f>
        <v>Kamara</v>
      </c>
      <c r="Z159" s="3">
        <v>15.0</v>
      </c>
      <c r="AA159" s="3">
        <f t="shared" si="6"/>
        <v>1</v>
      </c>
      <c r="AB159" s="3">
        <f t="shared" si="7"/>
        <v>0</v>
      </c>
      <c r="AC159" s="3">
        <f t="shared" si="8"/>
        <v>1.666666667</v>
      </c>
      <c r="AD159" s="3">
        <f t="shared" si="9"/>
        <v>-2</v>
      </c>
    </row>
    <row r="160">
      <c r="A160" s="1" t="s">
        <v>12</v>
      </c>
      <c r="B160" s="1" t="s">
        <v>470</v>
      </c>
      <c r="C160" s="1" t="s">
        <v>20</v>
      </c>
      <c r="D160" s="1" t="s">
        <v>196</v>
      </c>
      <c r="E160" s="1" t="s">
        <v>197</v>
      </c>
      <c r="F160" s="1" t="s">
        <v>198</v>
      </c>
      <c r="G160" s="1">
        <v>2.5</v>
      </c>
      <c r="H160" s="1" t="s">
        <v>60</v>
      </c>
      <c r="I160" s="1">
        <v>-101.0</v>
      </c>
      <c r="J160" s="1">
        <v>-0.123184883980099</v>
      </c>
      <c r="K160" s="1" t="s">
        <v>61</v>
      </c>
      <c r="L160" s="1" t="s">
        <v>61</v>
      </c>
      <c r="M160" s="1" t="s">
        <v>62</v>
      </c>
      <c r="N160" s="1">
        <v>-131.0</v>
      </c>
      <c r="O160" s="1">
        <v>0.0535973800900433</v>
      </c>
      <c r="P160" s="1" t="s">
        <v>61</v>
      </c>
      <c r="Q160" s="1" t="s">
        <v>61</v>
      </c>
      <c r="R160" s="1">
        <f t="shared" si="1"/>
        <v>0.05359738009</v>
      </c>
      <c r="S160" s="1">
        <f t="shared" si="2"/>
        <v>-131</v>
      </c>
      <c r="T160" s="1">
        <f t="shared" si="3"/>
        <v>1.763358779</v>
      </c>
      <c r="U160" s="1">
        <f t="shared" si="4"/>
        <v>0</v>
      </c>
      <c r="V160" s="3">
        <f t="shared" si="5"/>
        <v>2</v>
      </c>
      <c r="W160" s="3" t="str">
        <f>IFERROR(__xludf.DUMMYFUNCTION("split(B160,"" "")"),"C.")</f>
        <v>C.</v>
      </c>
      <c r="X160" s="3" t="str">
        <f>IFERROR(__xludf.DUMMYFUNCTION("""COMPUTED_VALUE"""),"Parkinson")</f>
        <v>Parkinson</v>
      </c>
      <c r="Z160" s="3">
        <v>4.0</v>
      </c>
      <c r="AA160" s="3">
        <f t="shared" si="6"/>
        <v>1</v>
      </c>
      <c r="AB160" s="3">
        <f t="shared" si="7"/>
        <v>0</v>
      </c>
      <c r="AC160" s="3">
        <f t="shared" si="8"/>
        <v>1.526717557</v>
      </c>
      <c r="AD160" s="3">
        <f t="shared" si="9"/>
        <v>-2</v>
      </c>
    </row>
    <row r="161">
      <c r="A161" s="1" t="s">
        <v>8</v>
      </c>
      <c r="B161" s="1" t="s">
        <v>446</v>
      </c>
      <c r="C161" s="1" t="s">
        <v>19</v>
      </c>
      <c r="D161" s="1" t="s">
        <v>197</v>
      </c>
      <c r="E161" s="1" t="s">
        <v>196</v>
      </c>
      <c r="F161" s="1" t="s">
        <v>198</v>
      </c>
      <c r="G161" s="1">
        <v>12.5</v>
      </c>
      <c r="H161" s="1" t="s">
        <v>60</v>
      </c>
      <c r="I161" s="1">
        <v>-115.0</v>
      </c>
      <c r="J161" s="1">
        <v>-0.122229487094883</v>
      </c>
      <c r="K161" s="1" t="s">
        <v>61</v>
      </c>
      <c r="L161" s="1" t="s">
        <v>61</v>
      </c>
      <c r="M161" s="1" t="s">
        <v>62</v>
      </c>
      <c r="N161" s="1">
        <v>-115.0</v>
      </c>
      <c r="O161" s="1">
        <v>0.0524689101591161</v>
      </c>
      <c r="P161" s="1" t="s">
        <v>61</v>
      </c>
      <c r="Q161" s="1" t="s">
        <v>61</v>
      </c>
      <c r="R161" s="1">
        <f t="shared" si="1"/>
        <v>0.05246891016</v>
      </c>
      <c r="S161" s="1">
        <f t="shared" si="2"/>
        <v>-115</v>
      </c>
      <c r="T161" s="1">
        <f t="shared" si="3"/>
        <v>1.869565217</v>
      </c>
      <c r="U161" s="1">
        <f t="shared" si="4"/>
        <v>0</v>
      </c>
      <c r="V161" s="3">
        <f t="shared" si="5"/>
        <v>2</v>
      </c>
      <c r="W161" s="3" t="str">
        <f>IFERROR(__xludf.DUMMYFUNCTION("split(B161,"" "")"),"D.")</f>
        <v>D.</v>
      </c>
      <c r="X161" s="3" t="str">
        <f>IFERROR(__xludf.DUMMYFUNCTION("""COMPUTED_VALUE"""),"Montgomery")</f>
        <v>Montgomery</v>
      </c>
      <c r="Z161" s="3">
        <v>17.0</v>
      </c>
      <c r="AA161" s="3">
        <f t="shared" si="6"/>
        <v>1</v>
      </c>
      <c r="AB161" s="3">
        <f t="shared" si="7"/>
        <v>0</v>
      </c>
      <c r="AC161" s="3">
        <f t="shared" si="8"/>
        <v>1.739130435</v>
      </c>
      <c r="AD161" s="3">
        <f t="shared" si="9"/>
        <v>-2</v>
      </c>
    </row>
    <row r="162">
      <c r="A162" s="1" t="s">
        <v>15</v>
      </c>
      <c r="B162" s="1" t="s">
        <v>464</v>
      </c>
      <c r="C162" s="1" t="s">
        <v>21</v>
      </c>
      <c r="D162" s="1" t="s">
        <v>83</v>
      </c>
      <c r="E162" s="1" t="s">
        <v>82</v>
      </c>
      <c r="F162" s="1" t="s">
        <v>84</v>
      </c>
      <c r="G162" s="1">
        <v>19.5</v>
      </c>
      <c r="H162" s="1" t="s">
        <v>60</v>
      </c>
      <c r="I162" s="1">
        <v>-119.0</v>
      </c>
      <c r="J162" s="1">
        <v>-0.126169257945205</v>
      </c>
      <c r="K162" s="1" t="s">
        <v>61</v>
      </c>
      <c r="L162" s="1" t="s">
        <v>61</v>
      </c>
      <c r="M162" s="1" t="s">
        <v>62</v>
      </c>
      <c r="N162" s="1">
        <v>-113.0</v>
      </c>
      <c r="O162" s="1">
        <v>0.0522884378577465</v>
      </c>
      <c r="P162" s="1" t="s">
        <v>61</v>
      </c>
      <c r="Q162" s="1" t="s">
        <v>61</v>
      </c>
      <c r="R162" s="1">
        <f t="shared" si="1"/>
        <v>0.05228843786</v>
      </c>
      <c r="S162" s="1">
        <f t="shared" si="2"/>
        <v>-113</v>
      </c>
      <c r="T162" s="1">
        <f t="shared" si="3"/>
        <v>1.884955752</v>
      </c>
      <c r="U162" s="1">
        <f t="shared" si="4"/>
        <v>0</v>
      </c>
      <c r="V162" s="3">
        <f t="shared" si="5"/>
        <v>2</v>
      </c>
      <c r="W162" s="3" t="str">
        <f>IFERROR(__xludf.DUMMYFUNCTION("split(B162,"" "")"),"B.")</f>
        <v>B.</v>
      </c>
      <c r="X162" s="3" t="str">
        <f>IFERROR(__xludf.DUMMYFUNCTION("""COMPUTED_VALUE"""),"Nix")</f>
        <v>Nix</v>
      </c>
      <c r="Z162" s="3">
        <v>26.0</v>
      </c>
      <c r="AA162" s="3">
        <f t="shared" si="6"/>
        <v>1</v>
      </c>
      <c r="AB162" s="3">
        <f t="shared" si="7"/>
        <v>0</v>
      </c>
      <c r="AC162" s="3">
        <f t="shared" si="8"/>
        <v>1.769911504</v>
      </c>
      <c r="AD162" s="3">
        <f t="shared" si="9"/>
        <v>-2</v>
      </c>
    </row>
    <row r="163">
      <c r="A163" s="1" t="s">
        <v>8</v>
      </c>
      <c r="B163" s="1" t="s">
        <v>304</v>
      </c>
      <c r="C163" s="1" t="s">
        <v>19</v>
      </c>
      <c r="D163" s="1" t="s">
        <v>146</v>
      </c>
      <c r="E163" s="1" t="s">
        <v>147</v>
      </c>
      <c r="F163" s="1" t="s">
        <v>59</v>
      </c>
      <c r="G163" s="1">
        <v>13.5</v>
      </c>
      <c r="H163" s="1" t="s">
        <v>60</v>
      </c>
      <c r="I163" s="1">
        <v>-112.0</v>
      </c>
      <c r="J163" s="1">
        <v>-0.119446978229717</v>
      </c>
      <c r="K163" s="1" t="s">
        <v>61</v>
      </c>
      <c r="L163" s="1" t="s">
        <v>61</v>
      </c>
      <c r="M163" s="1" t="s">
        <v>62</v>
      </c>
      <c r="N163" s="1">
        <v>-117.0</v>
      </c>
      <c r="O163" s="1">
        <v>0.0519810344705023</v>
      </c>
      <c r="P163" s="1" t="s">
        <v>61</v>
      </c>
      <c r="Q163" s="1" t="s">
        <v>61</v>
      </c>
      <c r="R163" s="1">
        <f t="shared" si="1"/>
        <v>0.05198103447</v>
      </c>
      <c r="S163" s="1">
        <f t="shared" si="2"/>
        <v>-117</v>
      </c>
      <c r="T163" s="1">
        <f t="shared" si="3"/>
        <v>1.854700855</v>
      </c>
      <c r="U163" s="1">
        <f t="shared" si="4"/>
        <v>0</v>
      </c>
      <c r="V163" s="3">
        <f t="shared" si="5"/>
        <v>2</v>
      </c>
      <c r="W163" s="3" t="str">
        <f>IFERROR(__xludf.DUMMYFUNCTION("split(B163,"" "")"),"A.")</f>
        <v>A.</v>
      </c>
      <c r="X163" s="3" t="str">
        <f>IFERROR(__xludf.DUMMYFUNCTION("""COMPUTED_VALUE"""),"Jones")</f>
        <v>Jones</v>
      </c>
      <c r="Z163" s="3">
        <v>14.0</v>
      </c>
      <c r="AA163" s="3">
        <f t="shared" si="6"/>
        <v>1</v>
      </c>
      <c r="AB163" s="3">
        <f t="shared" si="7"/>
        <v>0</v>
      </c>
      <c r="AC163" s="3">
        <f t="shared" si="8"/>
        <v>1.709401709</v>
      </c>
      <c r="AD163" s="3">
        <f t="shared" si="9"/>
        <v>-2</v>
      </c>
    </row>
    <row r="164">
      <c r="A164" s="1" t="s">
        <v>10</v>
      </c>
      <c r="B164" s="1" t="s">
        <v>330</v>
      </c>
      <c r="C164" s="1" t="s">
        <v>21</v>
      </c>
      <c r="D164" s="1" t="s">
        <v>165</v>
      </c>
      <c r="E164" s="1" t="s">
        <v>164</v>
      </c>
      <c r="F164" s="1" t="s">
        <v>166</v>
      </c>
      <c r="G164" s="1">
        <v>1.5</v>
      </c>
      <c r="H164" s="1" t="s">
        <v>60</v>
      </c>
      <c r="I164" s="1">
        <v>-114.0</v>
      </c>
      <c r="J164" s="1">
        <v>0.0993097233498089</v>
      </c>
      <c r="K164" s="1" t="s">
        <v>61</v>
      </c>
      <c r="L164" s="1" t="s">
        <v>61</v>
      </c>
      <c r="M164" s="1" t="s">
        <v>62</v>
      </c>
      <c r="N164" s="1">
        <v>-117.0</v>
      </c>
      <c r="O164" s="1">
        <v>-0.171147440241129</v>
      </c>
      <c r="P164" s="1" t="s">
        <v>61</v>
      </c>
      <c r="Q164" s="1" t="s">
        <v>61</v>
      </c>
      <c r="R164" s="1">
        <f t="shared" si="1"/>
        <v>0.09930972335</v>
      </c>
      <c r="S164" s="1">
        <f t="shared" si="2"/>
        <v>-114</v>
      </c>
      <c r="T164" s="1">
        <f t="shared" si="3"/>
        <v>1.877192982</v>
      </c>
      <c r="U164" s="1">
        <f t="shared" si="4"/>
        <v>1</v>
      </c>
      <c r="V164" s="3">
        <f t="shared" si="5"/>
        <v>2</v>
      </c>
      <c r="W164" s="3" t="str">
        <f>IFERROR(__xludf.DUMMYFUNCTION("split(B164,"" "")"),"A.")</f>
        <v>A.</v>
      </c>
      <c r="X164" s="3" t="str">
        <f>IFERROR(__xludf.DUMMYFUNCTION("""COMPUTED_VALUE"""),"Rodgers")</f>
        <v>Rodgers</v>
      </c>
      <c r="Z164" s="3">
        <v>-1.0</v>
      </c>
      <c r="AA164" s="3">
        <f t="shared" si="6"/>
        <v>0</v>
      </c>
      <c r="AB164" s="3">
        <f t="shared" si="7"/>
        <v>0</v>
      </c>
      <c r="AC164" s="3">
        <f t="shared" si="8"/>
        <v>1.754385965</v>
      </c>
      <c r="AD164" s="3">
        <f t="shared" si="9"/>
        <v>-2</v>
      </c>
    </row>
    <row r="165">
      <c r="A165" s="1" t="s">
        <v>11</v>
      </c>
      <c r="B165" s="1" t="s">
        <v>291</v>
      </c>
      <c r="C165" s="1" t="s">
        <v>18</v>
      </c>
      <c r="D165" s="1" t="s">
        <v>165</v>
      </c>
      <c r="E165" s="1" t="s">
        <v>164</v>
      </c>
      <c r="F165" s="1" t="s">
        <v>166</v>
      </c>
      <c r="G165" s="1">
        <v>18.5</v>
      </c>
      <c r="H165" s="1" t="s">
        <v>60</v>
      </c>
      <c r="I165" s="1">
        <v>-115.0</v>
      </c>
      <c r="J165" s="1">
        <v>-0.134230525258619</v>
      </c>
      <c r="K165" s="1" t="s">
        <v>61</v>
      </c>
      <c r="L165" s="1" t="s">
        <v>61</v>
      </c>
      <c r="M165" s="1" t="s">
        <v>62</v>
      </c>
      <c r="N165" s="1">
        <v>-110.0</v>
      </c>
      <c r="O165" s="1">
        <v>0.0755558058269691</v>
      </c>
      <c r="P165" s="1" t="s">
        <v>61</v>
      </c>
      <c r="Q165" s="1" t="s">
        <v>61</v>
      </c>
      <c r="R165" s="1">
        <f t="shared" si="1"/>
        <v>0.07555580583</v>
      </c>
      <c r="S165" s="1">
        <f t="shared" si="2"/>
        <v>-110</v>
      </c>
      <c r="T165" s="1">
        <f t="shared" si="3"/>
        <v>1.909090909</v>
      </c>
      <c r="U165" s="1">
        <f t="shared" si="4"/>
        <v>0</v>
      </c>
      <c r="V165" s="3">
        <f t="shared" si="5"/>
        <v>2</v>
      </c>
      <c r="W165" s="3" t="str">
        <f>IFERROR(__xludf.DUMMYFUNCTION("split(B165,"" "")"),"A.")</f>
        <v>A.</v>
      </c>
      <c r="X165" s="3" t="str">
        <f>IFERROR(__xludf.DUMMYFUNCTION("""COMPUTED_VALUE"""),"Lazard")</f>
        <v>Lazard</v>
      </c>
      <c r="Z165" s="3">
        <v>89.0</v>
      </c>
      <c r="AA165" s="3">
        <f t="shared" si="6"/>
        <v>1</v>
      </c>
      <c r="AB165" s="3">
        <f t="shared" si="7"/>
        <v>0</v>
      </c>
      <c r="AC165" s="3">
        <f t="shared" si="8"/>
        <v>1.818181818</v>
      </c>
      <c r="AD165" s="3">
        <f t="shared" si="9"/>
        <v>-2</v>
      </c>
    </row>
    <row r="166">
      <c r="A166" s="1" t="s">
        <v>12</v>
      </c>
      <c r="B166" s="1" t="s">
        <v>496</v>
      </c>
      <c r="C166" s="1" t="s">
        <v>18</v>
      </c>
      <c r="D166" s="1" t="s">
        <v>164</v>
      </c>
      <c r="E166" s="1" t="s">
        <v>165</v>
      </c>
      <c r="F166" s="1" t="s">
        <v>166</v>
      </c>
      <c r="G166" s="1">
        <v>4.5</v>
      </c>
      <c r="H166" s="1" t="s">
        <v>60</v>
      </c>
      <c r="I166" s="1">
        <v>-125.0</v>
      </c>
      <c r="J166" s="1">
        <v>-0.145599999999999</v>
      </c>
      <c r="K166" s="1" t="s">
        <v>61</v>
      </c>
      <c r="L166" s="1" t="s">
        <v>61</v>
      </c>
      <c r="M166" s="1" t="s">
        <v>62</v>
      </c>
      <c r="N166" s="1">
        <v>-110.0</v>
      </c>
      <c r="O166" s="1">
        <v>0.066242857142857</v>
      </c>
      <c r="P166" s="1" t="s">
        <v>61</v>
      </c>
      <c r="Q166" s="1" t="s">
        <v>61</v>
      </c>
      <c r="R166" s="1">
        <f t="shared" si="1"/>
        <v>0.06624285714</v>
      </c>
      <c r="S166" s="1">
        <f t="shared" si="2"/>
        <v>-110</v>
      </c>
      <c r="T166" s="1">
        <f t="shared" si="3"/>
        <v>1.909090909</v>
      </c>
      <c r="U166" s="1">
        <f t="shared" si="4"/>
        <v>0</v>
      </c>
      <c r="V166" s="3">
        <f t="shared" si="5"/>
        <v>2</v>
      </c>
      <c r="W166" s="3" t="str">
        <f>IFERROR(__xludf.DUMMYFUNCTION("split(B166,"" "")"),"D.")</f>
        <v>D.</v>
      </c>
      <c r="X166" s="3" t="str">
        <f>IFERROR(__xludf.DUMMYFUNCTION("""COMPUTED_VALUE"""),"Samuel")</f>
        <v>Samuel</v>
      </c>
      <c r="Z166" s="3">
        <v>5.0</v>
      </c>
      <c r="AA166" s="3">
        <f t="shared" si="6"/>
        <v>1</v>
      </c>
      <c r="AB166" s="3">
        <f t="shared" si="7"/>
        <v>0</v>
      </c>
      <c r="AC166" s="3">
        <f t="shared" si="8"/>
        <v>1.818181818</v>
      </c>
      <c r="AD166" s="3">
        <f t="shared" si="9"/>
        <v>-2</v>
      </c>
    </row>
    <row r="167">
      <c r="A167" s="1" t="s">
        <v>8</v>
      </c>
      <c r="B167" s="1" t="s">
        <v>420</v>
      </c>
      <c r="C167" s="1" t="s">
        <v>19</v>
      </c>
      <c r="D167" s="1" t="s">
        <v>164</v>
      </c>
      <c r="E167" s="1" t="s">
        <v>165</v>
      </c>
      <c r="F167" s="1" t="s">
        <v>166</v>
      </c>
      <c r="G167" s="1">
        <v>16.5</v>
      </c>
      <c r="H167" s="1" t="s">
        <v>60</v>
      </c>
      <c r="I167" s="1">
        <v>-113.0</v>
      </c>
      <c r="J167" s="1">
        <v>0.0569817678873239</v>
      </c>
      <c r="K167" s="1" t="s">
        <v>61</v>
      </c>
      <c r="L167" s="1" t="s">
        <v>61</v>
      </c>
      <c r="M167" s="1" t="s">
        <v>62</v>
      </c>
      <c r="N167" s="1">
        <v>-118.0</v>
      </c>
      <c r="O167" s="1">
        <v>-0.128797621746788</v>
      </c>
      <c r="P167" s="1" t="s">
        <v>61</v>
      </c>
      <c r="Q167" s="1" t="s">
        <v>61</v>
      </c>
      <c r="R167" s="1">
        <f t="shared" si="1"/>
        <v>0.05698176789</v>
      </c>
      <c r="S167" s="1">
        <f t="shared" si="2"/>
        <v>-113</v>
      </c>
      <c r="T167" s="1">
        <f t="shared" si="3"/>
        <v>1.884955752</v>
      </c>
      <c r="U167" s="1">
        <f t="shared" si="4"/>
        <v>1</v>
      </c>
      <c r="V167" s="3">
        <f t="shared" si="5"/>
        <v>2</v>
      </c>
      <c r="W167" s="3" t="str">
        <f>IFERROR(__xludf.DUMMYFUNCTION("split(B167,"" "")"),"C.")</f>
        <v>C.</v>
      </c>
      <c r="X167" s="3" t="str">
        <f>IFERROR(__xludf.DUMMYFUNCTION("""COMPUTED_VALUE"""),"McCaffrey")</f>
        <v>McCaffrey</v>
      </c>
      <c r="Z167" s="3">
        <v>0.0</v>
      </c>
      <c r="AA167" s="3">
        <f t="shared" si="6"/>
        <v>0</v>
      </c>
      <c r="AB167" s="3">
        <f t="shared" si="7"/>
        <v>0</v>
      </c>
      <c r="AC167" s="3">
        <f t="shared" si="8"/>
        <v>1.769911504</v>
      </c>
      <c r="AD167" s="3">
        <f t="shared" si="9"/>
        <v>-2</v>
      </c>
    </row>
    <row r="168">
      <c r="A168" s="1" t="s">
        <v>10</v>
      </c>
      <c r="B168" s="1" t="s">
        <v>496</v>
      </c>
      <c r="C168" s="1" t="s">
        <v>18</v>
      </c>
      <c r="D168" s="1" t="s">
        <v>164</v>
      </c>
      <c r="E168" s="1" t="s">
        <v>165</v>
      </c>
      <c r="F168" s="1" t="s">
        <v>166</v>
      </c>
      <c r="G168" s="1">
        <v>14.5</v>
      </c>
      <c r="H168" s="1" t="s">
        <v>60</v>
      </c>
      <c r="I168" s="1">
        <v>-119.0</v>
      </c>
      <c r="J168" s="1">
        <v>-0.131379715272511</v>
      </c>
      <c r="K168" s="1" t="s">
        <v>61</v>
      </c>
      <c r="L168" s="1" t="s">
        <v>61</v>
      </c>
      <c r="M168" s="1" t="s">
        <v>62</v>
      </c>
      <c r="N168" s="1">
        <v>-115.0</v>
      </c>
      <c r="O168" s="1">
        <v>0.0530999827506145</v>
      </c>
      <c r="P168" s="1" t="s">
        <v>61</v>
      </c>
      <c r="Q168" s="1" t="s">
        <v>61</v>
      </c>
      <c r="R168" s="1">
        <f t="shared" si="1"/>
        <v>0.05309998275</v>
      </c>
      <c r="S168" s="1">
        <f t="shared" si="2"/>
        <v>-115</v>
      </c>
      <c r="T168" s="1">
        <f t="shared" si="3"/>
        <v>1.869565217</v>
      </c>
      <c r="U168" s="1">
        <f t="shared" si="4"/>
        <v>0</v>
      </c>
      <c r="V168" s="3">
        <f t="shared" si="5"/>
        <v>2</v>
      </c>
      <c r="W168" s="3" t="str">
        <f>IFERROR(__xludf.DUMMYFUNCTION("split(B168,"" "")"),"D.")</f>
        <v>D.</v>
      </c>
      <c r="X168" s="3" t="str">
        <f>IFERROR(__xludf.DUMMYFUNCTION("""COMPUTED_VALUE"""),"Samuel")</f>
        <v>Samuel</v>
      </c>
      <c r="Z168" s="3">
        <v>23.0</v>
      </c>
      <c r="AA168" s="3">
        <f t="shared" si="6"/>
        <v>1</v>
      </c>
      <c r="AB168" s="3">
        <f t="shared" si="7"/>
        <v>0</v>
      </c>
      <c r="AC168" s="3">
        <f t="shared" si="8"/>
        <v>1.739130435</v>
      </c>
      <c r="AD168" s="3">
        <f t="shared" si="9"/>
        <v>-2</v>
      </c>
    </row>
    <row r="169">
      <c r="A169" s="1" t="s">
        <v>17</v>
      </c>
      <c r="B169" s="1" t="s">
        <v>330</v>
      </c>
      <c r="C169" s="1" t="s">
        <v>21</v>
      </c>
      <c r="D169" s="1" t="s">
        <v>165</v>
      </c>
      <c r="E169" s="1" t="s">
        <v>164</v>
      </c>
      <c r="F169" s="1" t="s">
        <v>166</v>
      </c>
      <c r="G169" s="1">
        <v>0.5</v>
      </c>
      <c r="H169" s="1" t="s">
        <v>60</v>
      </c>
      <c r="I169" s="1">
        <v>-127.0</v>
      </c>
      <c r="J169" s="1">
        <v>-0.134015418502202</v>
      </c>
      <c r="K169" s="1" t="s">
        <v>61</v>
      </c>
      <c r="L169" s="1" t="s">
        <v>61</v>
      </c>
      <c r="M169" s="1" t="s">
        <v>62</v>
      </c>
      <c r="N169" s="1">
        <v>-110.0</v>
      </c>
      <c r="O169" s="1">
        <v>0.050742857142857</v>
      </c>
      <c r="P169" s="1" t="s">
        <v>61</v>
      </c>
      <c r="Q169" s="1" t="s">
        <v>61</v>
      </c>
      <c r="R169" s="1">
        <f t="shared" si="1"/>
        <v>0.05074285714</v>
      </c>
      <c r="S169" s="1">
        <f t="shared" si="2"/>
        <v>-110</v>
      </c>
      <c r="T169" s="1">
        <f t="shared" si="3"/>
        <v>1.909090909</v>
      </c>
      <c r="U169" s="1">
        <f t="shared" si="4"/>
        <v>0</v>
      </c>
      <c r="V169" s="3">
        <f t="shared" si="5"/>
        <v>2</v>
      </c>
      <c r="W169" s="3" t="str">
        <f>IFERROR(__xludf.DUMMYFUNCTION("split(B169,"" "")"),"A.")</f>
        <v>A.</v>
      </c>
      <c r="X169" s="3" t="str">
        <f>IFERROR(__xludf.DUMMYFUNCTION("""COMPUTED_VALUE"""),"Rodgers")</f>
        <v>Rodgers</v>
      </c>
      <c r="Z169" s="3">
        <v>1.0</v>
      </c>
      <c r="AA169" s="3">
        <f t="shared" si="6"/>
        <v>1</v>
      </c>
      <c r="AB169" s="3">
        <f t="shared" si="7"/>
        <v>0</v>
      </c>
      <c r="AC169" s="3">
        <f t="shared" si="8"/>
        <v>1.818181818</v>
      </c>
      <c r="AD169" s="3">
        <f t="shared" si="9"/>
        <v>-2</v>
      </c>
    </row>
    <row r="170">
      <c r="A170" s="1" t="s">
        <v>8</v>
      </c>
      <c r="B170" s="1" t="s">
        <v>65</v>
      </c>
      <c r="C170" s="1" t="s">
        <v>21</v>
      </c>
      <c r="D170" s="1" t="s">
        <v>66</v>
      </c>
      <c r="E170" s="1" t="s">
        <v>67</v>
      </c>
      <c r="F170" s="1" t="s">
        <v>59</v>
      </c>
      <c r="G170" s="1">
        <v>2.5</v>
      </c>
      <c r="H170" s="1" t="s">
        <v>60</v>
      </c>
      <c r="I170" s="1">
        <v>-165.0</v>
      </c>
      <c r="J170" s="1">
        <v>-0.325007996952075</v>
      </c>
      <c r="K170" s="1" t="s">
        <v>61</v>
      </c>
      <c r="L170" s="1" t="s">
        <v>61</v>
      </c>
      <c r="M170" s="1" t="s">
        <v>62</v>
      </c>
      <c r="N170" s="1">
        <v>125.0</v>
      </c>
      <c r="O170" s="1">
        <v>0.257933863076888</v>
      </c>
      <c r="P170" s="1" t="s">
        <v>61</v>
      </c>
      <c r="Q170" s="1" t="s">
        <v>61</v>
      </c>
      <c r="R170" s="1">
        <f t="shared" si="1"/>
        <v>0.2579338631</v>
      </c>
      <c r="S170" s="1">
        <f t="shared" si="2"/>
        <v>125</v>
      </c>
      <c r="T170" s="1">
        <f t="shared" si="3"/>
        <v>2.25</v>
      </c>
      <c r="U170" s="1">
        <f t="shared" si="4"/>
        <v>0</v>
      </c>
      <c r="V170" s="3">
        <f t="shared" si="5"/>
        <v>3</v>
      </c>
      <c r="W170" s="3" t="str">
        <f>IFERROR(__xludf.DUMMYFUNCTION("split(B170,"" "")"),"J.")</f>
        <v>J.</v>
      </c>
      <c r="X170" s="3" t="str">
        <f>IFERROR(__xludf.DUMMYFUNCTION("""COMPUTED_VALUE"""),"Brissett")</f>
        <v>Brissett</v>
      </c>
      <c r="Z170" s="3">
        <v>7.0</v>
      </c>
      <c r="AA170" s="3">
        <f t="shared" si="6"/>
        <v>1</v>
      </c>
      <c r="AB170" s="3">
        <f t="shared" si="7"/>
        <v>0</v>
      </c>
      <c r="AC170" s="3">
        <f t="shared" si="8"/>
        <v>3.75</v>
      </c>
      <c r="AD170" s="3">
        <f t="shared" si="9"/>
        <v>-3</v>
      </c>
    </row>
    <row r="171">
      <c r="A171" s="1" t="s">
        <v>12</v>
      </c>
      <c r="B171" s="1" t="s">
        <v>414</v>
      </c>
      <c r="C171" s="1" t="s">
        <v>18</v>
      </c>
      <c r="D171" s="1" t="s">
        <v>89</v>
      </c>
      <c r="E171" s="1" t="s">
        <v>88</v>
      </c>
      <c r="F171" s="1" t="s">
        <v>90</v>
      </c>
      <c r="G171" s="1">
        <v>1.5</v>
      </c>
      <c r="H171" s="1" t="s">
        <v>60</v>
      </c>
      <c r="I171" s="1">
        <v>-173.0</v>
      </c>
      <c r="J171" s="1">
        <v>-0.284693684446886</v>
      </c>
      <c r="K171" s="1" t="s">
        <v>61</v>
      </c>
      <c r="L171" s="1" t="s">
        <v>61</v>
      </c>
      <c r="M171" s="1" t="s">
        <v>62</v>
      </c>
      <c r="N171" s="1">
        <v>132.0</v>
      </c>
      <c r="O171" s="1">
        <v>0.219958516612069</v>
      </c>
      <c r="P171" s="1" t="s">
        <v>61</v>
      </c>
      <c r="Q171" s="1" t="s">
        <v>61</v>
      </c>
      <c r="R171" s="1">
        <f t="shared" si="1"/>
        <v>0.2199585166</v>
      </c>
      <c r="S171" s="1">
        <f t="shared" si="2"/>
        <v>132</v>
      </c>
      <c r="T171" s="1">
        <f t="shared" si="3"/>
        <v>2.32</v>
      </c>
      <c r="U171" s="1">
        <f t="shared" si="4"/>
        <v>0</v>
      </c>
      <c r="V171" s="3">
        <f t="shared" si="5"/>
        <v>3</v>
      </c>
      <c r="W171" s="3" t="str">
        <f>IFERROR(__xludf.DUMMYFUNCTION("split(B171,"" "")"),"E.")</f>
        <v>E.</v>
      </c>
      <c r="X171" s="3" t="str">
        <f>IFERROR(__xludf.DUMMYFUNCTION("""COMPUTED_VALUE"""),"Moore")</f>
        <v>Moore</v>
      </c>
      <c r="Z171" s="3">
        <v>3.0</v>
      </c>
      <c r="AA171" s="3">
        <f t="shared" si="6"/>
        <v>1</v>
      </c>
      <c r="AB171" s="3">
        <f t="shared" si="7"/>
        <v>0</v>
      </c>
      <c r="AC171" s="3">
        <f t="shared" si="8"/>
        <v>3.96</v>
      </c>
      <c r="AD171" s="3">
        <f t="shared" si="9"/>
        <v>-3</v>
      </c>
    </row>
    <row r="172">
      <c r="A172" s="1" t="s">
        <v>8</v>
      </c>
      <c r="B172" s="1" t="s">
        <v>465</v>
      </c>
      <c r="C172" s="1" t="s">
        <v>19</v>
      </c>
      <c r="D172" s="1" t="s">
        <v>83</v>
      </c>
      <c r="E172" s="1" t="s">
        <v>82</v>
      </c>
      <c r="F172" s="1" t="s">
        <v>84</v>
      </c>
      <c r="G172" s="1">
        <v>5.5</v>
      </c>
      <c r="H172" s="1" t="s">
        <v>60</v>
      </c>
      <c r="I172" s="1">
        <v>-156.0</v>
      </c>
      <c r="J172" s="1">
        <v>-0.278801792694958</v>
      </c>
      <c r="K172" s="1" t="s">
        <v>61</v>
      </c>
      <c r="L172" s="1" t="s">
        <v>61</v>
      </c>
      <c r="M172" s="1" t="s">
        <v>62</v>
      </c>
      <c r="N172" s="1">
        <v>120.0</v>
      </c>
      <c r="O172" s="1">
        <v>0.214885722408678</v>
      </c>
      <c r="P172" s="1" t="s">
        <v>61</v>
      </c>
      <c r="Q172" s="1" t="s">
        <v>61</v>
      </c>
      <c r="R172" s="1">
        <f t="shared" si="1"/>
        <v>0.2148857224</v>
      </c>
      <c r="S172" s="1">
        <f t="shared" si="2"/>
        <v>120</v>
      </c>
      <c r="T172" s="1">
        <f t="shared" si="3"/>
        <v>2.2</v>
      </c>
      <c r="U172" s="1">
        <f t="shared" si="4"/>
        <v>0</v>
      </c>
      <c r="V172" s="3">
        <f t="shared" si="5"/>
        <v>3</v>
      </c>
      <c r="W172" s="3" t="str">
        <f>IFERROR(__xludf.DUMMYFUNCTION("split(B172,"" "")"),"J.")</f>
        <v>J.</v>
      </c>
      <c r="X172" s="3" t="str">
        <f>IFERROR(__xludf.DUMMYFUNCTION("""COMPUTED_VALUE"""),"McLaughlin")</f>
        <v>McLaughlin</v>
      </c>
      <c r="Z172" s="3">
        <v>10.0</v>
      </c>
      <c r="AA172" s="3">
        <f t="shared" si="6"/>
        <v>1</v>
      </c>
      <c r="AB172" s="3">
        <f t="shared" si="7"/>
        <v>0</v>
      </c>
      <c r="AC172" s="3">
        <f t="shared" si="8"/>
        <v>3.6</v>
      </c>
      <c r="AD172" s="3">
        <f t="shared" si="9"/>
        <v>-3</v>
      </c>
    </row>
    <row r="173">
      <c r="A173" s="1" t="s">
        <v>12</v>
      </c>
      <c r="B173" s="1" t="s">
        <v>385</v>
      </c>
      <c r="C173" s="1" t="s">
        <v>18</v>
      </c>
      <c r="D173" s="1" t="s">
        <v>197</v>
      </c>
      <c r="E173" s="1" t="s">
        <v>196</v>
      </c>
      <c r="F173" s="1" t="s">
        <v>198</v>
      </c>
      <c r="G173" s="1">
        <v>7.5</v>
      </c>
      <c r="H173" s="1" t="s">
        <v>60</v>
      </c>
      <c r="I173" s="1">
        <v>110.0</v>
      </c>
      <c r="J173" s="1">
        <v>0.209409523809523</v>
      </c>
      <c r="K173" s="1" t="s">
        <v>61</v>
      </c>
      <c r="L173" s="1" t="s">
        <v>61</v>
      </c>
      <c r="M173" s="1" t="s">
        <v>62</v>
      </c>
      <c r="N173" s="1">
        <v>-145.0</v>
      </c>
      <c r="O173" s="1">
        <v>-0.277436734693877</v>
      </c>
      <c r="P173" s="1" t="s">
        <v>61</v>
      </c>
      <c r="Q173" s="1" t="s">
        <v>61</v>
      </c>
      <c r="R173" s="1">
        <f t="shared" si="1"/>
        <v>0.2094095238</v>
      </c>
      <c r="S173" s="1">
        <f t="shared" si="2"/>
        <v>110</v>
      </c>
      <c r="T173" s="1">
        <f t="shared" si="3"/>
        <v>2.1</v>
      </c>
      <c r="U173" s="1">
        <f t="shared" si="4"/>
        <v>1</v>
      </c>
      <c r="V173" s="3">
        <f t="shared" si="5"/>
        <v>3</v>
      </c>
      <c r="W173" s="3" t="str">
        <f>IFERROR(__xludf.DUMMYFUNCTION("split(B173,"" "")"),"A.")</f>
        <v>A.</v>
      </c>
      <c r="X173" s="3" t="str">
        <f>IFERROR(__xludf.DUMMYFUNCTION("""COMPUTED_VALUE"""),"St.")</f>
        <v>St.</v>
      </c>
      <c r="Y173" s="3" t="str">
        <f>IFERROR(__xludf.DUMMYFUNCTION("""COMPUTED_VALUE"""),"Brown")</f>
        <v>Brown</v>
      </c>
      <c r="Z173" s="3">
        <v>3.0</v>
      </c>
      <c r="AA173" s="3">
        <f t="shared" si="6"/>
        <v>0</v>
      </c>
      <c r="AB173" s="3">
        <f t="shared" si="7"/>
        <v>0</v>
      </c>
      <c r="AC173" s="3">
        <f t="shared" si="8"/>
        <v>3.3</v>
      </c>
      <c r="AD173" s="3">
        <f t="shared" si="9"/>
        <v>-3</v>
      </c>
    </row>
    <row r="174">
      <c r="A174" s="1" t="s">
        <v>12</v>
      </c>
      <c r="B174" s="1" t="s">
        <v>490</v>
      </c>
      <c r="C174" s="1" t="s">
        <v>19</v>
      </c>
      <c r="D174" s="1" t="s">
        <v>82</v>
      </c>
      <c r="E174" s="1" t="s">
        <v>83</v>
      </c>
      <c r="F174" s="1" t="s">
        <v>84</v>
      </c>
      <c r="G174" s="1">
        <v>1.5</v>
      </c>
      <c r="H174" s="1" t="s">
        <v>60</v>
      </c>
      <c r="I174" s="1">
        <v>-188.0</v>
      </c>
      <c r="J174" s="1">
        <v>-0.277777079763888</v>
      </c>
      <c r="K174" s="1" t="s">
        <v>61</v>
      </c>
      <c r="L174" s="1" t="s">
        <v>61</v>
      </c>
      <c r="M174" s="1" t="s">
        <v>62</v>
      </c>
      <c r="N174" s="1">
        <v>140.0</v>
      </c>
      <c r="O174" s="1">
        <v>0.208332495716666</v>
      </c>
      <c r="P174" s="1" t="s">
        <v>61</v>
      </c>
      <c r="Q174" s="1" t="s">
        <v>61</v>
      </c>
      <c r="R174" s="1">
        <f t="shared" si="1"/>
        <v>0.2083324957</v>
      </c>
      <c r="S174" s="1">
        <f t="shared" si="2"/>
        <v>140</v>
      </c>
      <c r="T174" s="1">
        <f t="shared" si="3"/>
        <v>2.4</v>
      </c>
      <c r="U174" s="1">
        <f t="shared" si="4"/>
        <v>0</v>
      </c>
      <c r="V174" s="3">
        <f t="shared" si="5"/>
        <v>3</v>
      </c>
      <c r="W174" s="3" t="str">
        <f>IFERROR(__xludf.DUMMYFUNCTION("split(B174,"" "")"),"K.")</f>
        <v>K.</v>
      </c>
      <c r="X174" s="3" t="str">
        <f>IFERROR(__xludf.DUMMYFUNCTION("""COMPUTED_VALUE"""),"Walker")</f>
        <v>Walker</v>
      </c>
      <c r="Y174" s="3" t="str">
        <f>IFERROR(__xludf.DUMMYFUNCTION("""COMPUTED_VALUE"""),"III")</f>
        <v>III</v>
      </c>
      <c r="Z174" s="3">
        <v>2.0</v>
      </c>
      <c r="AA174" s="3">
        <f t="shared" si="6"/>
        <v>1</v>
      </c>
      <c r="AB174" s="3">
        <f t="shared" si="7"/>
        <v>0</v>
      </c>
      <c r="AC174" s="3">
        <f t="shared" si="8"/>
        <v>4.2</v>
      </c>
      <c r="AD174" s="3">
        <f t="shared" si="9"/>
        <v>-3</v>
      </c>
    </row>
    <row r="175">
      <c r="A175" s="1" t="s">
        <v>12</v>
      </c>
      <c r="B175" s="1" t="s">
        <v>133</v>
      </c>
      <c r="C175" s="1" t="s">
        <v>19</v>
      </c>
      <c r="D175" s="1" t="s">
        <v>134</v>
      </c>
      <c r="E175" s="1" t="s">
        <v>135</v>
      </c>
      <c r="F175" s="1" t="s">
        <v>84</v>
      </c>
      <c r="G175" s="1">
        <v>1.5</v>
      </c>
      <c r="H175" s="1" t="s">
        <v>60</v>
      </c>
      <c r="I175" s="1">
        <v>-158.0</v>
      </c>
      <c r="J175" s="1">
        <v>-0.270497358937984</v>
      </c>
      <c r="K175" s="1" t="s">
        <v>61</v>
      </c>
      <c r="L175" s="1" t="s">
        <v>61</v>
      </c>
      <c r="M175" s="1" t="s">
        <v>62</v>
      </c>
      <c r="N175" s="1">
        <v>120.0</v>
      </c>
      <c r="O175" s="1">
        <v>0.203547811845454</v>
      </c>
      <c r="P175" s="1" t="s">
        <v>61</v>
      </c>
      <c r="Q175" s="1" t="s">
        <v>61</v>
      </c>
      <c r="R175" s="1">
        <f t="shared" si="1"/>
        <v>0.2035478118</v>
      </c>
      <c r="S175" s="1">
        <f t="shared" si="2"/>
        <v>120</v>
      </c>
      <c r="T175" s="1">
        <f t="shared" si="3"/>
        <v>2.2</v>
      </c>
      <c r="U175" s="1">
        <f t="shared" si="4"/>
        <v>0</v>
      </c>
      <c r="V175" s="3">
        <f t="shared" si="5"/>
        <v>3</v>
      </c>
      <c r="W175" s="3" t="str">
        <f>IFERROR(__xludf.DUMMYFUNCTION("split(B175,"" "")"),"Z.")</f>
        <v>Z.</v>
      </c>
      <c r="X175" s="3" t="str">
        <f>IFERROR(__xludf.DUMMYFUNCTION("""COMPUTED_VALUE"""),"White")</f>
        <v>White</v>
      </c>
      <c r="Z175" s="3">
        <v>2.0</v>
      </c>
      <c r="AA175" s="3">
        <f t="shared" si="6"/>
        <v>1</v>
      </c>
      <c r="AB175" s="3">
        <f t="shared" si="7"/>
        <v>0</v>
      </c>
      <c r="AC175" s="3">
        <f t="shared" si="8"/>
        <v>3.6</v>
      </c>
      <c r="AD175" s="3">
        <f t="shared" si="9"/>
        <v>-3</v>
      </c>
    </row>
    <row r="176">
      <c r="A176" s="1" t="s">
        <v>12</v>
      </c>
      <c r="B176" s="1" t="s">
        <v>340</v>
      </c>
      <c r="C176" s="1" t="s">
        <v>19</v>
      </c>
      <c r="D176" s="1" t="s">
        <v>100</v>
      </c>
      <c r="E176" s="1" t="s">
        <v>99</v>
      </c>
      <c r="F176" s="1" t="s">
        <v>59</v>
      </c>
      <c r="G176" s="1">
        <v>1.5</v>
      </c>
      <c r="H176" s="1" t="s">
        <v>60</v>
      </c>
      <c r="I176" s="1">
        <v>-163.0</v>
      </c>
      <c r="J176" s="1">
        <v>-0.266903393813688</v>
      </c>
      <c r="K176" s="1" t="s">
        <v>61</v>
      </c>
      <c r="L176" s="1" t="s">
        <v>61</v>
      </c>
      <c r="M176" s="1" t="s">
        <v>62</v>
      </c>
      <c r="N176" s="1">
        <v>125.0</v>
      </c>
      <c r="O176" s="1">
        <v>0.202692411435555</v>
      </c>
      <c r="P176" s="1" t="s">
        <v>61</v>
      </c>
      <c r="Q176" s="1" t="s">
        <v>61</v>
      </c>
      <c r="R176" s="1">
        <f t="shared" si="1"/>
        <v>0.2026924114</v>
      </c>
      <c r="S176" s="1">
        <f t="shared" si="2"/>
        <v>125</v>
      </c>
      <c r="T176" s="1">
        <f t="shared" si="3"/>
        <v>2.25</v>
      </c>
      <c r="U176" s="1">
        <f t="shared" si="4"/>
        <v>0</v>
      </c>
      <c r="V176" s="3">
        <f t="shared" si="5"/>
        <v>3</v>
      </c>
      <c r="W176" s="3" t="str">
        <f>IFERROR(__xludf.DUMMYFUNCTION("split(B176,"" "")"),"T.")</f>
        <v>T.</v>
      </c>
      <c r="X176" s="3" t="str">
        <f>IFERROR(__xludf.DUMMYFUNCTION("""COMPUTED_VALUE"""),"Pollard")</f>
        <v>Pollard</v>
      </c>
      <c r="Z176" s="3">
        <v>3.0</v>
      </c>
      <c r="AA176" s="3">
        <f t="shared" si="6"/>
        <v>1</v>
      </c>
      <c r="AB176" s="3">
        <f t="shared" si="7"/>
        <v>0</v>
      </c>
      <c r="AC176" s="3">
        <f t="shared" si="8"/>
        <v>3.75</v>
      </c>
      <c r="AD176" s="3">
        <f t="shared" si="9"/>
        <v>-3</v>
      </c>
    </row>
    <row r="177">
      <c r="A177" s="1" t="s">
        <v>12</v>
      </c>
      <c r="B177" s="1" t="s">
        <v>345</v>
      </c>
      <c r="C177" s="1" t="s">
        <v>19</v>
      </c>
      <c r="D177" s="1" t="s">
        <v>105</v>
      </c>
      <c r="E177" s="1" t="s">
        <v>104</v>
      </c>
      <c r="F177" s="1" t="s">
        <v>59</v>
      </c>
      <c r="G177" s="1">
        <v>1.5</v>
      </c>
      <c r="H177" s="1" t="s">
        <v>60</v>
      </c>
      <c r="I177" s="1">
        <v>-165.0</v>
      </c>
      <c r="J177" s="1">
        <v>-0.261572108913207</v>
      </c>
      <c r="K177" s="1" t="s">
        <v>61</v>
      </c>
      <c r="L177" s="1" t="s">
        <v>61</v>
      </c>
      <c r="M177" s="1" t="s">
        <v>62</v>
      </c>
      <c r="N177" s="1">
        <v>127.0</v>
      </c>
      <c r="O177" s="1">
        <v>0.198407087497797</v>
      </c>
      <c r="P177" s="1" t="s">
        <v>61</v>
      </c>
      <c r="Q177" s="1" t="s">
        <v>61</v>
      </c>
      <c r="R177" s="1">
        <f t="shared" si="1"/>
        <v>0.1984070875</v>
      </c>
      <c r="S177" s="1">
        <f t="shared" si="2"/>
        <v>127</v>
      </c>
      <c r="T177" s="1">
        <f t="shared" si="3"/>
        <v>2.27</v>
      </c>
      <c r="U177" s="1">
        <f t="shared" si="4"/>
        <v>0</v>
      </c>
      <c r="V177" s="3">
        <f t="shared" si="5"/>
        <v>3</v>
      </c>
      <c r="W177" s="3" t="str">
        <f>IFERROR(__xludf.DUMMYFUNCTION("split(B177,"" "")"),"J.")</f>
        <v>J.</v>
      </c>
      <c r="X177" s="3" t="str">
        <f>IFERROR(__xludf.DUMMYFUNCTION("""COMPUTED_VALUE"""),"Conner")</f>
        <v>Conner</v>
      </c>
      <c r="Z177" s="3">
        <v>3.0</v>
      </c>
      <c r="AA177" s="3">
        <f t="shared" si="6"/>
        <v>1</v>
      </c>
      <c r="AB177" s="3">
        <f t="shared" si="7"/>
        <v>0</v>
      </c>
      <c r="AC177" s="3">
        <f t="shared" si="8"/>
        <v>3.81</v>
      </c>
      <c r="AD177" s="3">
        <f t="shared" si="9"/>
        <v>-3</v>
      </c>
    </row>
    <row r="178">
      <c r="A178" s="1" t="s">
        <v>8</v>
      </c>
      <c r="B178" s="1" t="s">
        <v>127</v>
      </c>
      <c r="C178" s="1" t="s">
        <v>19</v>
      </c>
      <c r="D178" s="1" t="s">
        <v>58</v>
      </c>
      <c r="E178" s="1" t="s">
        <v>57</v>
      </c>
      <c r="F178" s="1" t="s">
        <v>59</v>
      </c>
      <c r="G178" s="1">
        <v>6.5</v>
      </c>
      <c r="H178" s="1" t="s">
        <v>60</v>
      </c>
      <c r="I178" s="1">
        <v>-120.0</v>
      </c>
      <c r="J178" s="1">
        <v>-0.263294045817754</v>
      </c>
      <c r="K178" s="1" t="s">
        <v>61</v>
      </c>
      <c r="L178" s="1" t="s">
        <v>61</v>
      </c>
      <c r="M178" s="1" t="s">
        <v>62</v>
      </c>
      <c r="N178" s="1">
        <v>-109.0</v>
      </c>
      <c r="O178" s="1">
        <v>0.196314220990897</v>
      </c>
      <c r="P178" s="1" t="s">
        <v>61</v>
      </c>
      <c r="Q178" s="1" t="s">
        <v>61</v>
      </c>
      <c r="R178" s="1">
        <f t="shared" si="1"/>
        <v>0.196314221</v>
      </c>
      <c r="S178" s="1">
        <f t="shared" si="2"/>
        <v>-109</v>
      </c>
      <c r="T178" s="1">
        <f t="shared" si="3"/>
        <v>1.917431193</v>
      </c>
      <c r="U178" s="1">
        <f t="shared" si="4"/>
        <v>0</v>
      </c>
      <c r="V178" s="3">
        <f t="shared" si="5"/>
        <v>3</v>
      </c>
      <c r="W178" s="3" t="str">
        <f>IFERROR(__xludf.DUMMYFUNCTION("split(B178,"" "")"),"J.")</f>
        <v>J.</v>
      </c>
      <c r="X178" s="3" t="str">
        <f>IFERROR(__xludf.DUMMYFUNCTION("""COMPUTED_VALUE"""),"Williams")</f>
        <v>Williams</v>
      </c>
      <c r="Z178" s="3">
        <v>11.0</v>
      </c>
      <c r="AA178" s="3">
        <f t="shared" si="6"/>
        <v>1</v>
      </c>
      <c r="AB178" s="3">
        <f t="shared" si="7"/>
        <v>0</v>
      </c>
      <c r="AC178" s="3">
        <f t="shared" si="8"/>
        <v>2.752293578</v>
      </c>
      <c r="AD178" s="3">
        <f t="shared" si="9"/>
        <v>-3</v>
      </c>
    </row>
    <row r="179">
      <c r="A179" s="1" t="s">
        <v>12</v>
      </c>
      <c r="B179" s="1" t="s">
        <v>476</v>
      </c>
      <c r="C179" s="1" t="s">
        <v>19</v>
      </c>
      <c r="D179" s="1" t="s">
        <v>66</v>
      </c>
      <c r="E179" s="1" t="s">
        <v>67</v>
      </c>
      <c r="F179" s="1" t="s">
        <v>59</v>
      </c>
      <c r="G179" s="1">
        <v>2.5</v>
      </c>
      <c r="H179" s="1" t="s">
        <v>60</v>
      </c>
      <c r="I179" s="1">
        <v>-120.0</v>
      </c>
      <c r="J179" s="1">
        <v>-0.258905069454545</v>
      </c>
      <c r="K179" s="1" t="s">
        <v>61</v>
      </c>
      <c r="L179" s="1" t="s">
        <v>61</v>
      </c>
      <c r="M179" s="1" t="s">
        <v>62</v>
      </c>
      <c r="N179" s="1">
        <v>-108.0</v>
      </c>
      <c r="O179" s="1">
        <v>0.194212713953846</v>
      </c>
      <c r="P179" s="1" t="s">
        <v>61</v>
      </c>
      <c r="Q179" s="1" t="s">
        <v>61</v>
      </c>
      <c r="R179" s="1">
        <f t="shared" si="1"/>
        <v>0.194212714</v>
      </c>
      <c r="S179" s="1">
        <f t="shared" si="2"/>
        <v>-108</v>
      </c>
      <c r="T179" s="1">
        <f t="shared" si="3"/>
        <v>1.925925926</v>
      </c>
      <c r="U179" s="1">
        <f t="shared" si="4"/>
        <v>0</v>
      </c>
      <c r="V179" s="3">
        <f t="shared" si="5"/>
        <v>3</v>
      </c>
      <c r="W179" s="3" t="str">
        <f>IFERROR(__xludf.DUMMYFUNCTION("split(B179,"" "")"),"R.")</f>
        <v>R.</v>
      </c>
      <c r="X179" s="3" t="str">
        <f>IFERROR(__xludf.DUMMYFUNCTION("""COMPUTED_VALUE"""),"Stevenson")</f>
        <v>Stevenson</v>
      </c>
      <c r="Z179" s="3">
        <v>3.0</v>
      </c>
      <c r="AA179" s="3">
        <f t="shared" si="6"/>
        <v>1</v>
      </c>
      <c r="AB179" s="3">
        <f t="shared" si="7"/>
        <v>0</v>
      </c>
      <c r="AC179" s="3">
        <f t="shared" si="8"/>
        <v>2.777777778</v>
      </c>
      <c r="AD179" s="3">
        <f t="shared" si="9"/>
        <v>-3</v>
      </c>
    </row>
    <row r="180">
      <c r="A180" s="1" t="s">
        <v>12</v>
      </c>
      <c r="B180" s="1" t="s">
        <v>289</v>
      </c>
      <c r="C180" s="1" t="s">
        <v>19</v>
      </c>
      <c r="D180" s="1" t="s">
        <v>94</v>
      </c>
      <c r="E180" s="1" t="s">
        <v>93</v>
      </c>
      <c r="F180" s="1" t="s">
        <v>59</v>
      </c>
      <c r="G180" s="1">
        <v>2.5</v>
      </c>
      <c r="H180" s="1" t="s">
        <v>60</v>
      </c>
      <c r="I180" s="1">
        <v>-184.0</v>
      </c>
      <c r="J180" s="1">
        <v>-0.250320251901408</v>
      </c>
      <c r="K180" s="1" t="s">
        <v>61</v>
      </c>
      <c r="L180" s="1" t="s">
        <v>61</v>
      </c>
      <c r="M180" s="1" t="s">
        <v>62</v>
      </c>
      <c r="N180" s="1">
        <v>140.0</v>
      </c>
      <c r="O180" s="1">
        <v>0.185772298083333</v>
      </c>
      <c r="P180" s="1" t="s">
        <v>61</v>
      </c>
      <c r="Q180" s="1" t="s">
        <v>61</v>
      </c>
      <c r="R180" s="1">
        <f t="shared" si="1"/>
        <v>0.1857722981</v>
      </c>
      <c r="S180" s="1">
        <f t="shared" si="2"/>
        <v>140</v>
      </c>
      <c r="T180" s="1">
        <f t="shared" si="3"/>
        <v>2.4</v>
      </c>
      <c r="U180" s="1">
        <f t="shared" si="4"/>
        <v>0</v>
      </c>
      <c r="V180" s="3">
        <f t="shared" si="5"/>
        <v>3</v>
      </c>
      <c r="W180" s="3" t="str">
        <f>IFERROR(__xludf.DUMMYFUNCTION("split(B180,"" "")"),"D.")</f>
        <v>D.</v>
      </c>
      <c r="X180" s="3" t="str">
        <f>IFERROR(__xludf.DUMMYFUNCTION("""COMPUTED_VALUE"""),"Achane")</f>
        <v>Achane</v>
      </c>
      <c r="Z180" s="3">
        <v>7.0</v>
      </c>
      <c r="AA180" s="3">
        <f t="shared" si="6"/>
        <v>1</v>
      </c>
      <c r="AB180" s="3">
        <f t="shared" si="7"/>
        <v>0</v>
      </c>
      <c r="AC180" s="3">
        <f t="shared" si="8"/>
        <v>4.2</v>
      </c>
      <c r="AD180" s="3">
        <f t="shared" si="9"/>
        <v>-3</v>
      </c>
    </row>
    <row r="181">
      <c r="A181" s="1" t="s">
        <v>12</v>
      </c>
      <c r="B181" s="1" t="s">
        <v>488</v>
      </c>
      <c r="C181" s="1" t="s">
        <v>20</v>
      </c>
      <c r="D181" s="1" t="s">
        <v>114</v>
      </c>
      <c r="E181" s="1" t="s">
        <v>113</v>
      </c>
      <c r="F181" s="1" t="s">
        <v>90</v>
      </c>
      <c r="G181" s="1">
        <v>2.5</v>
      </c>
      <c r="H181" s="1" t="s">
        <v>60</v>
      </c>
      <c r="I181" s="1">
        <v>-153.0</v>
      </c>
      <c r="J181" s="1">
        <v>-0.251241463003952</v>
      </c>
      <c r="K181" s="1" t="s">
        <v>61</v>
      </c>
      <c r="L181" s="1" t="s">
        <v>61</v>
      </c>
      <c r="M181" s="1" t="s">
        <v>62</v>
      </c>
      <c r="N181" s="1">
        <v>117.0</v>
      </c>
      <c r="O181" s="1">
        <v>0.185668618156682</v>
      </c>
      <c r="P181" s="1" t="s">
        <v>61</v>
      </c>
      <c r="Q181" s="1" t="s">
        <v>61</v>
      </c>
      <c r="R181" s="1">
        <f t="shared" si="1"/>
        <v>0.1856686182</v>
      </c>
      <c r="S181" s="1">
        <f t="shared" si="2"/>
        <v>117</v>
      </c>
      <c r="T181" s="1">
        <f t="shared" si="3"/>
        <v>2.17</v>
      </c>
      <c r="U181" s="1">
        <f t="shared" si="4"/>
        <v>0</v>
      </c>
      <c r="V181" s="3">
        <f t="shared" si="5"/>
        <v>3</v>
      </c>
      <c r="W181" s="3" t="str">
        <f>IFERROR(__xludf.DUMMYFUNCTION("split(B181,"" "")"),"Z.")</f>
        <v>Z.</v>
      </c>
      <c r="X181" s="3" t="str">
        <f>IFERROR(__xludf.DUMMYFUNCTION("""COMPUTED_VALUE"""),"Ertz")</f>
        <v>Ertz</v>
      </c>
      <c r="Z181" s="3">
        <v>3.0</v>
      </c>
      <c r="AA181" s="3">
        <f t="shared" si="6"/>
        <v>1</v>
      </c>
      <c r="AB181" s="3">
        <f t="shared" si="7"/>
        <v>0</v>
      </c>
      <c r="AC181" s="3">
        <f t="shared" si="8"/>
        <v>3.51</v>
      </c>
      <c r="AD181" s="3">
        <f t="shared" si="9"/>
        <v>-3</v>
      </c>
    </row>
    <row r="182">
      <c r="A182" s="1" t="s">
        <v>12</v>
      </c>
      <c r="B182" s="1" t="s">
        <v>467</v>
      </c>
      <c r="C182" s="1" t="s">
        <v>18</v>
      </c>
      <c r="D182" s="1" t="s">
        <v>93</v>
      </c>
      <c r="E182" s="1" t="s">
        <v>94</v>
      </c>
      <c r="F182" s="1" t="s">
        <v>59</v>
      </c>
      <c r="G182" s="1">
        <v>2.5</v>
      </c>
      <c r="H182" s="1" t="s">
        <v>60</v>
      </c>
      <c r="I182" s="1">
        <v>-157.0</v>
      </c>
      <c r="J182" s="1">
        <v>-0.254732212840467</v>
      </c>
      <c r="K182" s="1" t="s">
        <v>61</v>
      </c>
      <c r="L182" s="1" t="s">
        <v>61</v>
      </c>
      <c r="M182" s="1" t="s">
        <v>62</v>
      </c>
      <c r="N182" s="1">
        <v>118.0</v>
      </c>
      <c r="O182" s="1">
        <v>0.18512834266055</v>
      </c>
      <c r="P182" s="1" t="s">
        <v>61</v>
      </c>
      <c r="Q182" s="1" t="s">
        <v>61</v>
      </c>
      <c r="R182" s="1">
        <f t="shared" si="1"/>
        <v>0.1851283427</v>
      </c>
      <c r="S182" s="1">
        <f t="shared" si="2"/>
        <v>118</v>
      </c>
      <c r="T182" s="1">
        <f t="shared" si="3"/>
        <v>2.18</v>
      </c>
      <c r="U182" s="1">
        <f t="shared" si="4"/>
        <v>0</v>
      </c>
      <c r="V182" s="3">
        <f t="shared" si="5"/>
        <v>3</v>
      </c>
      <c r="W182" s="3" t="str">
        <f>IFERROR(__xludf.DUMMYFUNCTION("split(B182,"" "")"),"G.")</f>
        <v>G.</v>
      </c>
      <c r="X182" s="3" t="str">
        <f>IFERROR(__xludf.DUMMYFUNCTION("""COMPUTED_VALUE"""),"Davis")</f>
        <v>Davis</v>
      </c>
      <c r="Z182" s="3">
        <v>3.0</v>
      </c>
      <c r="AA182" s="3">
        <f t="shared" si="6"/>
        <v>1</v>
      </c>
      <c r="AB182" s="3">
        <f t="shared" si="7"/>
        <v>0</v>
      </c>
      <c r="AC182" s="3">
        <f t="shared" si="8"/>
        <v>3.54</v>
      </c>
      <c r="AD182" s="3">
        <f t="shared" si="9"/>
        <v>-3</v>
      </c>
    </row>
    <row r="183">
      <c r="A183" s="1" t="s">
        <v>12</v>
      </c>
      <c r="B183" s="1" t="s">
        <v>408</v>
      </c>
      <c r="C183" s="1" t="s">
        <v>19</v>
      </c>
      <c r="D183" s="1" t="s">
        <v>114</v>
      </c>
      <c r="E183" s="1" t="s">
        <v>113</v>
      </c>
      <c r="F183" s="1" t="s">
        <v>90</v>
      </c>
      <c r="G183" s="1">
        <v>2.5</v>
      </c>
      <c r="H183" s="1" t="s">
        <v>60</v>
      </c>
      <c r="I183" s="1">
        <v>-158.0</v>
      </c>
      <c r="J183" s="1">
        <v>-0.242062441240309</v>
      </c>
      <c r="K183" s="1" t="s">
        <v>61</v>
      </c>
      <c r="L183" s="1" t="s">
        <v>61</v>
      </c>
      <c r="M183" s="1" t="s">
        <v>62</v>
      </c>
      <c r="N183" s="1">
        <v>120.0</v>
      </c>
      <c r="O183" s="1">
        <v>0.17510686290909</v>
      </c>
      <c r="P183" s="1" t="s">
        <v>61</v>
      </c>
      <c r="Q183" s="1" t="s">
        <v>61</v>
      </c>
      <c r="R183" s="1">
        <f t="shared" si="1"/>
        <v>0.1751068629</v>
      </c>
      <c r="S183" s="1">
        <f t="shared" si="2"/>
        <v>120</v>
      </c>
      <c r="T183" s="1">
        <f t="shared" si="3"/>
        <v>2.2</v>
      </c>
      <c r="U183" s="1">
        <f t="shared" si="4"/>
        <v>0</v>
      </c>
      <c r="V183" s="3">
        <f t="shared" si="5"/>
        <v>3</v>
      </c>
      <c r="W183" s="3" t="str">
        <f>IFERROR(__xludf.DUMMYFUNCTION("split(B183,"" "")"),"A.")</f>
        <v>A.</v>
      </c>
      <c r="X183" s="3" t="str">
        <f>IFERROR(__xludf.DUMMYFUNCTION("""COMPUTED_VALUE"""),"Ekeler")</f>
        <v>Ekeler</v>
      </c>
      <c r="Z183" s="3">
        <v>4.0</v>
      </c>
      <c r="AA183" s="3">
        <f t="shared" si="6"/>
        <v>1</v>
      </c>
      <c r="AB183" s="3">
        <f t="shared" si="7"/>
        <v>0</v>
      </c>
      <c r="AC183" s="3">
        <f t="shared" si="8"/>
        <v>3.6</v>
      </c>
      <c r="AD183" s="3">
        <f t="shared" si="9"/>
        <v>-3</v>
      </c>
    </row>
    <row r="184">
      <c r="A184" s="1" t="s">
        <v>12</v>
      </c>
      <c r="B184" s="1" t="s">
        <v>465</v>
      </c>
      <c r="C184" s="1" t="s">
        <v>19</v>
      </c>
      <c r="D184" s="1" t="s">
        <v>83</v>
      </c>
      <c r="E184" s="1" t="s">
        <v>82</v>
      </c>
      <c r="F184" s="1" t="s">
        <v>84</v>
      </c>
      <c r="G184" s="1">
        <v>1.5</v>
      </c>
      <c r="H184" s="1" t="s">
        <v>60</v>
      </c>
      <c r="I184" s="1">
        <v>-183.0</v>
      </c>
      <c r="J184" s="1">
        <v>-0.247106792561837</v>
      </c>
      <c r="K184" s="1" t="s">
        <v>61</v>
      </c>
      <c r="L184" s="1" t="s">
        <v>61</v>
      </c>
      <c r="M184" s="1" t="s">
        <v>62</v>
      </c>
      <c r="N184" s="1">
        <v>135.0</v>
      </c>
      <c r="O184" s="1">
        <v>0.174924350191489</v>
      </c>
      <c r="P184" s="1" t="s">
        <v>61</v>
      </c>
      <c r="Q184" s="1" t="s">
        <v>61</v>
      </c>
      <c r="R184" s="1">
        <f t="shared" si="1"/>
        <v>0.1749243502</v>
      </c>
      <c r="S184" s="1">
        <f t="shared" si="2"/>
        <v>135</v>
      </c>
      <c r="T184" s="1">
        <f t="shared" si="3"/>
        <v>2.35</v>
      </c>
      <c r="U184" s="1">
        <f t="shared" si="4"/>
        <v>0</v>
      </c>
      <c r="V184" s="3">
        <f t="shared" si="5"/>
        <v>3</v>
      </c>
      <c r="W184" s="3" t="str">
        <f>IFERROR(__xludf.DUMMYFUNCTION("split(B184,"" "")"),"J.")</f>
        <v>J.</v>
      </c>
      <c r="X184" s="3" t="str">
        <f>IFERROR(__xludf.DUMMYFUNCTION("""COMPUTED_VALUE"""),"McLaughlin")</f>
        <v>McLaughlin</v>
      </c>
      <c r="Z184" s="3">
        <v>5.0</v>
      </c>
      <c r="AA184" s="3">
        <f t="shared" si="6"/>
        <v>1</v>
      </c>
      <c r="AB184" s="3">
        <f t="shared" si="7"/>
        <v>0</v>
      </c>
      <c r="AC184" s="3">
        <f t="shared" si="8"/>
        <v>4.05</v>
      </c>
      <c r="AD184" s="3">
        <f t="shared" si="9"/>
        <v>-3</v>
      </c>
    </row>
    <row r="185">
      <c r="A185" s="1" t="s">
        <v>8</v>
      </c>
      <c r="B185" s="1" t="s">
        <v>434</v>
      </c>
      <c r="C185" s="1" t="s">
        <v>21</v>
      </c>
      <c r="D185" s="1" t="s">
        <v>104</v>
      </c>
      <c r="E185" s="1" t="s">
        <v>105</v>
      </c>
      <c r="F185" s="1" t="s">
        <v>59</v>
      </c>
      <c r="G185" s="1">
        <v>7.0</v>
      </c>
      <c r="H185" s="1" t="s">
        <v>60</v>
      </c>
      <c r="I185" s="1">
        <v>-121.0</v>
      </c>
      <c r="J185" s="1">
        <v>-0.233144092631218</v>
      </c>
      <c r="K185" s="1" t="s">
        <v>61</v>
      </c>
      <c r="L185" s="1" t="s">
        <v>61</v>
      </c>
      <c r="M185" s="1" t="s">
        <v>62</v>
      </c>
      <c r="N185" s="1">
        <v>-108.0</v>
      </c>
      <c r="O185" s="1">
        <v>0.171672596294323</v>
      </c>
      <c r="P185" s="1" t="s">
        <v>61</v>
      </c>
      <c r="Q185" s="1" t="s">
        <v>61</v>
      </c>
      <c r="R185" s="1">
        <f t="shared" si="1"/>
        <v>0.1716725963</v>
      </c>
      <c r="S185" s="1">
        <f t="shared" si="2"/>
        <v>-108</v>
      </c>
      <c r="T185" s="1">
        <f t="shared" si="3"/>
        <v>1.925925926</v>
      </c>
      <c r="U185" s="1">
        <f t="shared" si="4"/>
        <v>0</v>
      </c>
      <c r="V185" s="3">
        <f t="shared" si="5"/>
        <v>3</v>
      </c>
      <c r="W185" s="3" t="str">
        <f>IFERROR(__xludf.DUMMYFUNCTION("split(B185,"" "")"),"J.")</f>
        <v>J.</v>
      </c>
      <c r="X185" s="3" t="str">
        <f>IFERROR(__xludf.DUMMYFUNCTION("""COMPUTED_VALUE"""),"Allen")</f>
        <v>Allen</v>
      </c>
      <c r="Z185" s="3">
        <v>9.0</v>
      </c>
      <c r="AA185" s="3">
        <f t="shared" si="6"/>
        <v>1</v>
      </c>
      <c r="AB185" s="3">
        <f t="shared" si="7"/>
        <v>0</v>
      </c>
      <c r="AC185" s="3">
        <f t="shared" si="8"/>
        <v>2.777777778</v>
      </c>
      <c r="AD185" s="3">
        <f t="shared" si="9"/>
        <v>-3</v>
      </c>
    </row>
    <row r="186">
      <c r="A186" s="1" t="s">
        <v>12</v>
      </c>
      <c r="B186" s="1" t="s">
        <v>393</v>
      </c>
      <c r="C186" s="1" t="s">
        <v>19</v>
      </c>
      <c r="D186" s="1" t="s">
        <v>197</v>
      </c>
      <c r="E186" s="1" t="s">
        <v>196</v>
      </c>
      <c r="F186" s="1" t="s">
        <v>198</v>
      </c>
      <c r="G186" s="1">
        <v>2.5</v>
      </c>
      <c r="H186" s="1" t="s">
        <v>60</v>
      </c>
      <c r="I186" s="1">
        <v>-173.0</v>
      </c>
      <c r="J186" s="1">
        <v>-0.233260559230769</v>
      </c>
      <c r="K186" s="1" t="s">
        <v>61</v>
      </c>
      <c r="L186" s="1" t="s">
        <v>61</v>
      </c>
      <c r="M186" s="1" t="s">
        <v>62</v>
      </c>
      <c r="N186" s="1">
        <v>132.0</v>
      </c>
      <c r="O186" s="1">
        <v>0.168519537370689</v>
      </c>
      <c r="P186" s="1" t="s">
        <v>61</v>
      </c>
      <c r="Q186" s="1" t="s">
        <v>61</v>
      </c>
      <c r="R186" s="1">
        <f t="shared" si="1"/>
        <v>0.1685195374</v>
      </c>
      <c r="S186" s="1">
        <f t="shared" si="2"/>
        <v>132</v>
      </c>
      <c r="T186" s="1">
        <f t="shared" si="3"/>
        <v>2.32</v>
      </c>
      <c r="U186" s="1">
        <f t="shared" si="4"/>
        <v>0</v>
      </c>
      <c r="V186" s="3">
        <f t="shared" si="5"/>
        <v>3</v>
      </c>
      <c r="W186" s="3" t="str">
        <f>IFERROR(__xludf.DUMMYFUNCTION("split(B186,"" "")"),"J.")</f>
        <v>J.</v>
      </c>
      <c r="X186" s="3" t="str">
        <f>IFERROR(__xludf.DUMMYFUNCTION("""COMPUTED_VALUE"""),"Gibbs")</f>
        <v>Gibbs</v>
      </c>
      <c r="Z186" s="3">
        <v>4.0</v>
      </c>
      <c r="AA186" s="3">
        <f t="shared" si="6"/>
        <v>1</v>
      </c>
      <c r="AB186" s="3">
        <f t="shared" si="7"/>
        <v>0</v>
      </c>
      <c r="AC186" s="3">
        <f t="shared" si="8"/>
        <v>3.96</v>
      </c>
      <c r="AD186" s="3">
        <f t="shared" si="9"/>
        <v>-3</v>
      </c>
    </row>
    <row r="187">
      <c r="A187" s="1" t="s">
        <v>8</v>
      </c>
      <c r="B187" s="1" t="s">
        <v>405</v>
      </c>
      <c r="C187" s="1" t="s">
        <v>21</v>
      </c>
      <c r="D187" s="1" t="s">
        <v>135</v>
      </c>
      <c r="E187" s="1" t="s">
        <v>134</v>
      </c>
      <c r="F187" s="1" t="s">
        <v>84</v>
      </c>
      <c r="G187" s="1">
        <v>3.5</v>
      </c>
      <c r="H187" s="1" t="s">
        <v>60</v>
      </c>
      <c r="I187" s="1">
        <v>-135.0</v>
      </c>
      <c r="J187" s="1">
        <v>-0.242905338562626</v>
      </c>
      <c r="K187" s="1" t="s">
        <v>61</v>
      </c>
      <c r="L187" s="1" t="s">
        <v>61</v>
      </c>
      <c r="M187" s="1" t="s">
        <v>62</v>
      </c>
      <c r="N187" s="1">
        <v>100.0</v>
      </c>
      <c r="O187" s="1">
        <v>0.168443772811085</v>
      </c>
      <c r="P187" s="1" t="s">
        <v>61</v>
      </c>
      <c r="Q187" s="1" t="s">
        <v>61</v>
      </c>
      <c r="R187" s="1">
        <f t="shared" si="1"/>
        <v>0.1684437728</v>
      </c>
      <c r="S187" s="1">
        <f t="shared" si="2"/>
        <v>100</v>
      </c>
      <c r="T187" s="1">
        <f t="shared" si="3"/>
        <v>2</v>
      </c>
      <c r="U187" s="1">
        <f t="shared" si="4"/>
        <v>0</v>
      </c>
      <c r="V187" s="3">
        <f t="shared" si="5"/>
        <v>3</v>
      </c>
      <c r="W187" s="3" t="str">
        <f>IFERROR(__xludf.DUMMYFUNCTION("split(B187,"" "")"),"J.")</f>
        <v>J.</v>
      </c>
      <c r="X187" s="3" t="str">
        <f>IFERROR(__xludf.DUMMYFUNCTION("""COMPUTED_VALUE"""),"Herbert")</f>
        <v>Herbert</v>
      </c>
      <c r="Z187" s="3">
        <v>4.0</v>
      </c>
      <c r="AA187" s="3">
        <f t="shared" si="6"/>
        <v>1</v>
      </c>
      <c r="AB187" s="3">
        <f t="shared" si="7"/>
        <v>0</v>
      </c>
      <c r="AC187" s="3">
        <f t="shared" si="8"/>
        <v>3</v>
      </c>
      <c r="AD187" s="3">
        <f t="shared" si="9"/>
        <v>-3</v>
      </c>
    </row>
    <row r="188">
      <c r="A188" s="1" t="s">
        <v>12</v>
      </c>
      <c r="B188" s="1" t="s">
        <v>375</v>
      </c>
      <c r="C188" s="1" t="s">
        <v>19</v>
      </c>
      <c r="D188" s="1" t="s">
        <v>88</v>
      </c>
      <c r="E188" s="1" t="s">
        <v>89</v>
      </c>
      <c r="F188" s="1" t="s">
        <v>90</v>
      </c>
      <c r="G188" s="1">
        <v>1.5</v>
      </c>
      <c r="H188" s="1" t="s">
        <v>60</v>
      </c>
      <c r="I188" s="1">
        <v>-143.0</v>
      </c>
      <c r="J188" s="1">
        <v>-0.232352354855967</v>
      </c>
      <c r="K188" s="1" t="s">
        <v>61</v>
      </c>
      <c r="L188" s="1" t="s">
        <v>61</v>
      </c>
      <c r="M188" s="1" t="s">
        <v>62</v>
      </c>
      <c r="N188" s="1">
        <v>110.0</v>
      </c>
      <c r="O188" s="1">
        <v>0.167696296333333</v>
      </c>
      <c r="P188" s="1" t="s">
        <v>61</v>
      </c>
      <c r="Q188" s="1" t="s">
        <v>61</v>
      </c>
      <c r="R188" s="1">
        <f t="shared" si="1"/>
        <v>0.1676962963</v>
      </c>
      <c r="S188" s="1">
        <f t="shared" si="2"/>
        <v>110</v>
      </c>
      <c r="T188" s="1">
        <f t="shared" si="3"/>
        <v>2.1</v>
      </c>
      <c r="U188" s="1">
        <f t="shared" si="4"/>
        <v>0</v>
      </c>
      <c r="V188" s="3">
        <f t="shared" si="5"/>
        <v>3</v>
      </c>
      <c r="W188" s="3" t="str">
        <f>IFERROR(__xludf.DUMMYFUNCTION("split(B188,"" "")"),"E.")</f>
        <v>E.</v>
      </c>
      <c r="X188" s="3" t="str">
        <f>IFERROR(__xludf.DUMMYFUNCTION("""COMPUTED_VALUE"""),"Elliott")</f>
        <v>Elliott</v>
      </c>
      <c r="Z188" s="3">
        <v>2.0</v>
      </c>
      <c r="AA188" s="3">
        <f t="shared" si="6"/>
        <v>1</v>
      </c>
      <c r="AB188" s="3">
        <f t="shared" si="7"/>
        <v>0</v>
      </c>
      <c r="AC188" s="3">
        <f t="shared" si="8"/>
        <v>3.3</v>
      </c>
      <c r="AD188" s="3">
        <f t="shared" si="9"/>
        <v>-3</v>
      </c>
    </row>
    <row r="189">
      <c r="A189" s="1" t="s">
        <v>12</v>
      </c>
      <c r="B189" s="1" t="s">
        <v>454</v>
      </c>
      <c r="C189" s="1" t="s">
        <v>20</v>
      </c>
      <c r="D189" s="1" t="s">
        <v>77</v>
      </c>
      <c r="E189" s="1" t="s">
        <v>76</v>
      </c>
      <c r="F189" s="1" t="s">
        <v>78</v>
      </c>
      <c r="G189" s="1">
        <v>1.5</v>
      </c>
      <c r="H189" s="1" t="s">
        <v>60</v>
      </c>
      <c r="I189" s="1">
        <v>-139.0</v>
      </c>
      <c r="J189" s="6">
        <v>-0.231983107686192</v>
      </c>
      <c r="K189" s="1" t="s">
        <v>61</v>
      </c>
      <c r="L189" s="1" t="s">
        <v>61</v>
      </c>
      <c r="M189" s="1" t="s">
        <v>62</v>
      </c>
      <c r="N189" s="1">
        <v>107.0</v>
      </c>
      <c r="O189" s="6">
        <v>0.167300303077294</v>
      </c>
      <c r="P189" s="1" t="s">
        <v>61</v>
      </c>
      <c r="Q189" s="1" t="s">
        <v>61</v>
      </c>
      <c r="R189" s="6">
        <f t="shared" si="1"/>
        <v>0.1673003031</v>
      </c>
      <c r="S189" s="1">
        <f t="shared" si="2"/>
        <v>107</v>
      </c>
      <c r="T189" s="1">
        <f t="shared" si="3"/>
        <v>2.07</v>
      </c>
      <c r="U189" s="1">
        <f t="shared" si="4"/>
        <v>0</v>
      </c>
      <c r="V189" s="3">
        <f t="shared" si="5"/>
        <v>3</v>
      </c>
      <c r="W189" s="3" t="str">
        <f>IFERROR(__xludf.DUMMYFUNCTION("split(B189,"". "")"),"I")</f>
        <v>I</v>
      </c>
      <c r="X189" s="3" t="str">
        <f>IFERROR(__xludf.DUMMYFUNCTION("""COMPUTED_VALUE"""),"Likely")</f>
        <v>Likely</v>
      </c>
      <c r="Z189" s="3">
        <v>9.0</v>
      </c>
      <c r="AA189" s="3">
        <f t="shared" si="6"/>
        <v>1</v>
      </c>
      <c r="AB189" s="3">
        <f t="shared" si="7"/>
        <v>0</v>
      </c>
      <c r="AC189" s="3">
        <f t="shared" si="8"/>
        <v>3.21</v>
      </c>
      <c r="AD189" s="3">
        <f t="shared" si="9"/>
        <v>-3</v>
      </c>
    </row>
    <row r="190">
      <c r="A190" s="1" t="s">
        <v>9</v>
      </c>
      <c r="B190" s="1" t="s">
        <v>484</v>
      </c>
      <c r="C190" s="1" t="s">
        <v>18</v>
      </c>
      <c r="D190" s="1" t="s">
        <v>76</v>
      </c>
      <c r="E190" s="1" t="s">
        <v>77</v>
      </c>
      <c r="F190" s="1" t="s">
        <v>78</v>
      </c>
      <c r="G190" s="1">
        <v>10.5</v>
      </c>
      <c r="H190" s="1" t="s">
        <v>60</v>
      </c>
      <c r="I190" s="1">
        <v>-121.0</v>
      </c>
      <c r="J190" s="6">
        <v>0.166864400913326</v>
      </c>
      <c r="K190" s="1" t="s">
        <v>61</v>
      </c>
      <c r="L190" s="1" t="s">
        <v>61</v>
      </c>
      <c r="M190" s="1" t="s">
        <v>62</v>
      </c>
      <c r="N190" s="1">
        <v>-113.0</v>
      </c>
      <c r="O190" s="6">
        <v>-0.244870712864248</v>
      </c>
      <c r="P190" s="1" t="s">
        <v>61</v>
      </c>
      <c r="Q190" s="1" t="s">
        <v>61</v>
      </c>
      <c r="R190" s="6">
        <f t="shared" si="1"/>
        <v>0.1668644009</v>
      </c>
      <c r="S190" s="1">
        <f t="shared" si="2"/>
        <v>-121</v>
      </c>
      <c r="T190" s="1">
        <f t="shared" si="3"/>
        <v>1.826446281</v>
      </c>
      <c r="U190" s="1">
        <f t="shared" si="4"/>
        <v>1</v>
      </c>
      <c r="V190" s="3">
        <f t="shared" si="5"/>
        <v>3</v>
      </c>
      <c r="W190" s="3" t="str">
        <f>IFERROR(__xludf.DUMMYFUNCTION("split(B190,"". "")"),"M")</f>
        <v>M</v>
      </c>
      <c r="X190" s="3" t="str">
        <f>IFERROR(__xludf.DUMMYFUNCTION("""COMPUTED_VALUE"""),"Hardman")</f>
        <v>Hardman</v>
      </c>
      <c r="Y190" s="3" t="str">
        <f>IFERROR(__xludf.DUMMYFUNCTION("""COMPUTED_VALUE"""),"Jr")</f>
        <v>Jr</v>
      </c>
      <c r="Z190" s="3">
        <v>0.0</v>
      </c>
      <c r="AA190" s="3">
        <f t="shared" si="6"/>
        <v>0</v>
      </c>
      <c r="AB190" s="3">
        <f t="shared" si="7"/>
        <v>0</v>
      </c>
      <c r="AC190" s="3">
        <f t="shared" si="8"/>
        <v>2.479338843</v>
      </c>
      <c r="AD190" s="3">
        <f t="shared" si="9"/>
        <v>-3</v>
      </c>
    </row>
    <row r="191">
      <c r="A191" s="1" t="s">
        <v>11</v>
      </c>
      <c r="B191" s="1" t="s">
        <v>202</v>
      </c>
      <c r="C191" s="1" t="s">
        <v>19</v>
      </c>
      <c r="D191" s="1" t="s">
        <v>109</v>
      </c>
      <c r="E191" s="1" t="s">
        <v>110</v>
      </c>
      <c r="F191" s="1" t="s">
        <v>59</v>
      </c>
      <c r="G191" s="1">
        <v>0.5</v>
      </c>
      <c r="H191" s="1" t="s">
        <v>60</v>
      </c>
      <c r="I191" s="1">
        <v>-115.0</v>
      </c>
      <c r="J191" s="1">
        <v>0.165819224330871</v>
      </c>
      <c r="K191" s="1" t="s">
        <v>61</v>
      </c>
      <c r="L191" s="1" t="s">
        <v>61</v>
      </c>
      <c r="M191" s="1" t="s">
        <v>62</v>
      </c>
      <c r="N191" s="1">
        <v>-115.0</v>
      </c>
      <c r="O191" s="1">
        <v>-0.235572107980501</v>
      </c>
      <c r="P191" s="1" t="s">
        <v>61</v>
      </c>
      <c r="Q191" s="1" t="s">
        <v>61</v>
      </c>
      <c r="R191" s="1">
        <f t="shared" si="1"/>
        <v>0.1658192243</v>
      </c>
      <c r="S191" s="1">
        <f t="shared" si="2"/>
        <v>-115</v>
      </c>
      <c r="T191" s="1">
        <f t="shared" si="3"/>
        <v>1.869565217</v>
      </c>
      <c r="U191" s="1">
        <f t="shared" si="4"/>
        <v>1</v>
      </c>
      <c r="V191" s="3">
        <f t="shared" si="5"/>
        <v>3</v>
      </c>
      <c r="W191" s="3" t="str">
        <f>IFERROR(__xludf.DUMMYFUNCTION("split(B191,"" "")"),"T.")</f>
        <v>T.</v>
      </c>
      <c r="X191" s="3" t="str">
        <f>IFERROR(__xludf.DUMMYFUNCTION("""COMPUTED_VALUE"""),"Allgeier")</f>
        <v>Allgeier</v>
      </c>
      <c r="Z191" s="3">
        <v>0.0</v>
      </c>
      <c r="AA191" s="3">
        <f t="shared" si="6"/>
        <v>0</v>
      </c>
      <c r="AB191" s="3">
        <f t="shared" si="7"/>
        <v>0</v>
      </c>
      <c r="AC191" s="3">
        <f t="shared" si="8"/>
        <v>2.608695652</v>
      </c>
      <c r="AD191" s="3">
        <f t="shared" si="9"/>
        <v>-3</v>
      </c>
    </row>
    <row r="192">
      <c r="A192" s="1" t="s">
        <v>8</v>
      </c>
      <c r="B192" s="1" t="s">
        <v>485</v>
      </c>
      <c r="C192" s="1" t="s">
        <v>19</v>
      </c>
      <c r="D192" s="1" t="s">
        <v>135</v>
      </c>
      <c r="E192" s="1" t="s">
        <v>134</v>
      </c>
      <c r="F192" s="1" t="s">
        <v>84</v>
      </c>
      <c r="G192" s="1">
        <v>9.5</v>
      </c>
      <c r="H192" s="1" t="s">
        <v>60</v>
      </c>
      <c r="I192" s="1">
        <v>102.0</v>
      </c>
      <c r="J192" s="1">
        <v>-0.234746159829725</v>
      </c>
      <c r="K192" s="1" t="s">
        <v>61</v>
      </c>
      <c r="L192" s="1" t="s">
        <v>61</v>
      </c>
      <c r="M192" s="1" t="s">
        <v>62</v>
      </c>
      <c r="N192" s="1">
        <v>-135.0</v>
      </c>
      <c r="O192" s="1">
        <v>0.165255643661102</v>
      </c>
      <c r="P192" s="1" t="s">
        <v>61</v>
      </c>
      <c r="Q192" s="1" t="s">
        <v>61</v>
      </c>
      <c r="R192" s="1">
        <f t="shared" si="1"/>
        <v>0.1652556437</v>
      </c>
      <c r="S192" s="1">
        <f t="shared" si="2"/>
        <v>-135</v>
      </c>
      <c r="T192" s="1">
        <f t="shared" si="3"/>
        <v>1.740740741</v>
      </c>
      <c r="U192" s="1">
        <f t="shared" si="4"/>
        <v>0</v>
      </c>
      <c r="V192" s="3">
        <f t="shared" si="5"/>
        <v>3</v>
      </c>
      <c r="W192" s="3" t="str">
        <f>IFERROR(__xludf.DUMMYFUNCTION("split(B192,"" "")"),"J.")</f>
        <v>J.</v>
      </c>
      <c r="X192" s="3" t="str">
        <f>IFERROR(__xludf.DUMMYFUNCTION("""COMPUTED_VALUE"""),"Dobbins")</f>
        <v>Dobbins</v>
      </c>
      <c r="Z192" s="3">
        <v>10.0</v>
      </c>
      <c r="AA192" s="3">
        <f t="shared" si="6"/>
        <v>1</v>
      </c>
      <c r="AB192" s="3">
        <f t="shared" si="7"/>
        <v>0</v>
      </c>
      <c r="AC192" s="3">
        <f t="shared" si="8"/>
        <v>2.222222222</v>
      </c>
      <c r="AD192" s="3">
        <f t="shared" si="9"/>
        <v>-3</v>
      </c>
    </row>
    <row r="193">
      <c r="A193" s="1" t="s">
        <v>8</v>
      </c>
      <c r="B193" s="1" t="s">
        <v>260</v>
      </c>
      <c r="C193" s="1" t="s">
        <v>21</v>
      </c>
      <c r="D193" s="1" t="s">
        <v>147</v>
      </c>
      <c r="E193" s="1" t="s">
        <v>146</v>
      </c>
      <c r="F193" s="1" t="s">
        <v>59</v>
      </c>
      <c r="G193" s="1">
        <v>5.5</v>
      </c>
      <c r="H193" s="1" t="s">
        <v>60</v>
      </c>
      <c r="I193" s="1">
        <v>-150.0</v>
      </c>
      <c r="J193" s="1">
        <v>-0.228615300882911</v>
      </c>
      <c r="K193" s="1" t="s">
        <v>61</v>
      </c>
      <c r="L193" s="1" t="s">
        <v>61</v>
      </c>
      <c r="M193" s="1" t="s">
        <v>62</v>
      </c>
      <c r="N193" s="1">
        <v>115.0</v>
      </c>
      <c r="O193" s="1">
        <v>0.16348523358478</v>
      </c>
      <c r="P193" s="1" t="s">
        <v>61</v>
      </c>
      <c r="Q193" s="1" t="s">
        <v>61</v>
      </c>
      <c r="R193" s="1">
        <f t="shared" si="1"/>
        <v>0.1634852336</v>
      </c>
      <c r="S193" s="1">
        <f t="shared" si="2"/>
        <v>115</v>
      </c>
      <c r="T193" s="1">
        <f t="shared" si="3"/>
        <v>2.15</v>
      </c>
      <c r="U193" s="1">
        <f t="shared" si="4"/>
        <v>0</v>
      </c>
      <c r="V193" s="3">
        <f t="shared" si="5"/>
        <v>3</v>
      </c>
      <c r="W193" s="3" t="str">
        <f>IFERROR(__xludf.DUMMYFUNCTION("split(B193,"" "")"),"D.")</f>
        <v>D.</v>
      </c>
      <c r="X193" s="3" t="str">
        <f>IFERROR(__xludf.DUMMYFUNCTION("""COMPUTED_VALUE"""),"Jones")</f>
        <v>Jones</v>
      </c>
      <c r="Z193" s="3">
        <v>14.0</v>
      </c>
      <c r="AA193" s="3">
        <f t="shared" si="6"/>
        <v>1</v>
      </c>
      <c r="AB193" s="3">
        <f t="shared" si="7"/>
        <v>0</v>
      </c>
      <c r="AC193" s="3">
        <f t="shared" si="8"/>
        <v>3.45</v>
      </c>
      <c r="AD193" s="3">
        <f t="shared" si="9"/>
        <v>-3</v>
      </c>
    </row>
    <row r="194">
      <c r="A194" s="1" t="s">
        <v>8</v>
      </c>
      <c r="B194" s="1" t="s">
        <v>369</v>
      </c>
      <c r="C194" s="1" t="s">
        <v>21</v>
      </c>
      <c r="D194" s="1" t="s">
        <v>72</v>
      </c>
      <c r="E194" s="1" t="s">
        <v>71</v>
      </c>
      <c r="F194" s="1" t="s">
        <v>59</v>
      </c>
      <c r="G194" s="1">
        <v>2.5</v>
      </c>
      <c r="H194" s="1" t="s">
        <v>60</v>
      </c>
      <c r="I194" s="1">
        <v>-145.0</v>
      </c>
      <c r="J194" s="1">
        <v>-0.227010789303717</v>
      </c>
      <c r="K194" s="1" t="s">
        <v>61</v>
      </c>
      <c r="L194" s="1" t="s">
        <v>61</v>
      </c>
      <c r="M194" s="1" t="s">
        <v>62</v>
      </c>
      <c r="N194" s="1">
        <v>110.0</v>
      </c>
      <c r="O194" s="1">
        <v>0.158995920854337</v>
      </c>
      <c r="P194" s="1" t="s">
        <v>61</v>
      </c>
      <c r="Q194" s="1" t="s">
        <v>61</v>
      </c>
      <c r="R194" s="1">
        <f t="shared" si="1"/>
        <v>0.1589959209</v>
      </c>
      <c r="S194" s="1">
        <f t="shared" si="2"/>
        <v>110</v>
      </c>
      <c r="T194" s="1">
        <f t="shared" si="3"/>
        <v>2.1</v>
      </c>
      <c r="U194" s="1">
        <f t="shared" si="4"/>
        <v>0</v>
      </c>
      <c r="V194" s="3">
        <f t="shared" si="5"/>
        <v>3</v>
      </c>
      <c r="W194" s="3" t="str">
        <f>IFERROR(__xludf.DUMMYFUNCTION("split(B194,"" "")"),"C.")</f>
        <v>C.</v>
      </c>
      <c r="X194" s="3" t="str">
        <f>IFERROR(__xludf.DUMMYFUNCTION("""COMPUTED_VALUE"""),"Stroud")</f>
        <v>Stroud</v>
      </c>
      <c r="Z194" s="3">
        <v>4.0</v>
      </c>
      <c r="AA194" s="3">
        <f t="shared" si="6"/>
        <v>1</v>
      </c>
      <c r="AB194" s="3">
        <f t="shared" si="7"/>
        <v>0</v>
      </c>
      <c r="AC194" s="3">
        <f t="shared" si="8"/>
        <v>3.3</v>
      </c>
      <c r="AD194" s="3">
        <f t="shared" si="9"/>
        <v>-3</v>
      </c>
    </row>
    <row r="195">
      <c r="A195" s="1" t="s">
        <v>12</v>
      </c>
      <c r="B195" s="1" t="s">
        <v>168</v>
      </c>
      <c r="C195" s="1" t="s">
        <v>19</v>
      </c>
      <c r="D195" s="1" t="s">
        <v>67</v>
      </c>
      <c r="E195" s="1" t="s">
        <v>66</v>
      </c>
      <c r="F195" s="1" t="s">
        <v>59</v>
      </c>
      <c r="G195" s="1">
        <v>1.5</v>
      </c>
      <c r="H195" s="1" t="s">
        <v>60</v>
      </c>
      <c r="I195" s="1">
        <v>-148.0</v>
      </c>
      <c r="J195" s="1">
        <v>-0.218813670459677</v>
      </c>
      <c r="K195" s="1" t="s">
        <v>61</v>
      </c>
      <c r="L195" s="1" t="s">
        <v>61</v>
      </c>
      <c r="M195" s="1" t="s">
        <v>62</v>
      </c>
      <c r="N195" s="1">
        <v>115.0</v>
      </c>
      <c r="O195" s="1">
        <v>0.156929257088372</v>
      </c>
      <c r="P195" s="1" t="s">
        <v>61</v>
      </c>
      <c r="Q195" s="1" t="s">
        <v>61</v>
      </c>
      <c r="R195" s="1">
        <f t="shared" si="1"/>
        <v>0.1569292571</v>
      </c>
      <c r="S195" s="1">
        <f t="shared" si="2"/>
        <v>115</v>
      </c>
      <c r="T195" s="1">
        <f t="shared" si="3"/>
        <v>2.15</v>
      </c>
      <c r="U195" s="1">
        <f t="shared" si="4"/>
        <v>0</v>
      </c>
      <c r="V195" s="3">
        <f t="shared" si="5"/>
        <v>3</v>
      </c>
      <c r="W195" s="3" t="str">
        <f>IFERROR(__xludf.DUMMYFUNCTION("split(B195,"" "")"),"Z.")</f>
        <v>Z.</v>
      </c>
      <c r="X195" s="3" t="str">
        <f>IFERROR(__xludf.DUMMYFUNCTION("""COMPUTED_VALUE"""),"Moss")</f>
        <v>Moss</v>
      </c>
      <c r="Z195" s="3">
        <v>2.0</v>
      </c>
      <c r="AA195" s="3">
        <f t="shared" si="6"/>
        <v>1</v>
      </c>
      <c r="AB195" s="3">
        <f t="shared" si="7"/>
        <v>0</v>
      </c>
      <c r="AC195" s="3">
        <f t="shared" si="8"/>
        <v>3.45</v>
      </c>
      <c r="AD195" s="3">
        <f t="shared" si="9"/>
        <v>-3</v>
      </c>
    </row>
    <row r="196">
      <c r="A196" s="1" t="s">
        <v>8</v>
      </c>
      <c r="B196" s="1" t="s">
        <v>152</v>
      </c>
      <c r="C196" s="1" t="s">
        <v>19</v>
      </c>
      <c r="D196" s="1" t="s">
        <v>88</v>
      </c>
      <c r="E196" s="1" t="s">
        <v>89</v>
      </c>
      <c r="F196" s="1" t="s">
        <v>90</v>
      </c>
      <c r="G196" s="1">
        <v>6.5</v>
      </c>
      <c r="H196" s="1" t="s">
        <v>60</v>
      </c>
      <c r="I196" s="1">
        <v>-140.0</v>
      </c>
      <c r="J196" s="1">
        <v>-0.214042461125897</v>
      </c>
      <c r="K196" s="1" t="s">
        <v>61</v>
      </c>
      <c r="L196" s="1" t="s">
        <v>61</v>
      </c>
      <c r="M196" s="1" t="s">
        <v>62</v>
      </c>
      <c r="N196" s="1">
        <v>110.0</v>
      </c>
      <c r="O196" s="1">
        <v>0.15453424128674</v>
      </c>
      <c r="P196" s="1" t="s">
        <v>61</v>
      </c>
      <c r="Q196" s="1" t="s">
        <v>61</v>
      </c>
      <c r="R196" s="1">
        <f t="shared" si="1"/>
        <v>0.1545342413</v>
      </c>
      <c r="S196" s="1">
        <f t="shared" si="2"/>
        <v>110</v>
      </c>
      <c r="T196" s="1">
        <f t="shared" si="3"/>
        <v>2.1</v>
      </c>
      <c r="U196" s="1">
        <f t="shared" si="4"/>
        <v>0</v>
      </c>
      <c r="V196" s="3">
        <f t="shared" si="5"/>
        <v>3</v>
      </c>
      <c r="W196" s="3" t="str">
        <f>IFERROR(__xludf.DUMMYFUNCTION("split(B196,"" "")"),"R.")</f>
        <v>R.</v>
      </c>
      <c r="X196" s="3" t="str">
        <f>IFERROR(__xludf.DUMMYFUNCTION("""COMPUTED_VALUE"""),"Dowdle")</f>
        <v>Dowdle</v>
      </c>
      <c r="Z196" s="3">
        <v>8.0</v>
      </c>
      <c r="AA196" s="3">
        <f t="shared" si="6"/>
        <v>1</v>
      </c>
      <c r="AB196" s="3">
        <f t="shared" si="7"/>
        <v>0</v>
      </c>
      <c r="AC196" s="3">
        <f t="shared" si="8"/>
        <v>3.3</v>
      </c>
      <c r="AD196" s="3">
        <f t="shared" si="9"/>
        <v>-3</v>
      </c>
    </row>
    <row r="197">
      <c r="A197" s="1" t="s">
        <v>8</v>
      </c>
      <c r="B197" s="1" t="s">
        <v>500</v>
      </c>
      <c r="C197" s="1" t="s">
        <v>21</v>
      </c>
      <c r="D197" s="1" t="s">
        <v>82</v>
      </c>
      <c r="E197" s="1" t="s">
        <v>83</v>
      </c>
      <c r="F197" s="1" t="s">
        <v>84</v>
      </c>
      <c r="G197" s="1">
        <v>2.5</v>
      </c>
      <c r="H197" s="1" t="s">
        <v>60</v>
      </c>
      <c r="I197" s="1">
        <v>-150.0</v>
      </c>
      <c r="J197" s="1">
        <v>-0.23003210444512</v>
      </c>
      <c r="K197" s="1" t="s">
        <v>61</v>
      </c>
      <c r="L197" s="1" t="s">
        <v>61</v>
      </c>
      <c r="M197" s="1" t="s">
        <v>62</v>
      </c>
      <c r="N197" s="1">
        <v>110.0</v>
      </c>
      <c r="O197" s="1">
        <v>0.153847743387048</v>
      </c>
      <c r="P197" s="1" t="s">
        <v>61</v>
      </c>
      <c r="Q197" s="1" t="s">
        <v>61</v>
      </c>
      <c r="R197" s="1">
        <f t="shared" si="1"/>
        <v>0.1538477434</v>
      </c>
      <c r="S197" s="1">
        <f t="shared" si="2"/>
        <v>110</v>
      </c>
      <c r="T197" s="1">
        <f t="shared" si="3"/>
        <v>2.1</v>
      </c>
      <c r="U197" s="1">
        <f t="shared" si="4"/>
        <v>0</v>
      </c>
      <c r="V197" s="3">
        <f t="shared" si="5"/>
        <v>3</v>
      </c>
      <c r="W197" s="3" t="str">
        <f>IFERROR(__xludf.DUMMYFUNCTION("split(B197,"" "")"),"G.")</f>
        <v>G.</v>
      </c>
      <c r="X197" s="3" t="str">
        <f>IFERROR(__xludf.DUMMYFUNCTION("""COMPUTED_VALUE"""),"Smith")</f>
        <v>Smith</v>
      </c>
      <c r="Z197" s="3">
        <v>4.0</v>
      </c>
      <c r="AA197" s="3">
        <f t="shared" si="6"/>
        <v>1</v>
      </c>
      <c r="AB197" s="3">
        <f t="shared" si="7"/>
        <v>0</v>
      </c>
      <c r="AC197" s="3">
        <f t="shared" si="8"/>
        <v>3.3</v>
      </c>
      <c r="AD197" s="3">
        <f t="shared" si="9"/>
        <v>-3</v>
      </c>
    </row>
    <row r="198">
      <c r="A198" s="1" t="s">
        <v>9</v>
      </c>
      <c r="B198" s="1" t="s">
        <v>138</v>
      </c>
      <c r="C198" s="1" t="s">
        <v>18</v>
      </c>
      <c r="D198" s="1" t="s">
        <v>77</v>
      </c>
      <c r="E198" s="1" t="s">
        <v>76</v>
      </c>
      <c r="F198" s="1" t="s">
        <v>78</v>
      </c>
      <c r="G198" s="1">
        <v>17.5</v>
      </c>
      <c r="H198" s="1" t="s">
        <v>60</v>
      </c>
      <c r="I198" s="1">
        <v>-110.0</v>
      </c>
      <c r="J198" s="6">
        <v>0.145397137673025</v>
      </c>
      <c r="K198" s="1" t="s">
        <v>61</v>
      </c>
      <c r="L198" s="1" t="s">
        <v>61</v>
      </c>
      <c r="M198" s="1" t="s">
        <v>62</v>
      </c>
      <c r="N198" s="1">
        <v>-120.0</v>
      </c>
      <c r="O198" s="6">
        <v>-0.21463308497092</v>
      </c>
      <c r="P198" s="1" t="s">
        <v>61</v>
      </c>
      <c r="Q198" s="1" t="s">
        <v>61</v>
      </c>
      <c r="R198" s="6">
        <f t="shared" si="1"/>
        <v>0.1453971377</v>
      </c>
      <c r="S198" s="1">
        <f t="shared" si="2"/>
        <v>-110</v>
      </c>
      <c r="T198" s="1">
        <f t="shared" si="3"/>
        <v>1.909090909</v>
      </c>
      <c r="U198" s="1">
        <f t="shared" si="4"/>
        <v>1</v>
      </c>
      <c r="V198" s="3">
        <f t="shared" si="5"/>
        <v>3</v>
      </c>
      <c r="W198" s="3" t="str">
        <f>IFERROR(__xludf.DUMMYFUNCTION("split(B198,"" "")"),"N.")</f>
        <v>N.</v>
      </c>
      <c r="X198" s="3" t="str">
        <f>IFERROR(__xludf.DUMMYFUNCTION("""COMPUTED_VALUE"""),"Agholor")</f>
        <v>Agholor</v>
      </c>
      <c r="Z198" s="3">
        <v>6.0</v>
      </c>
      <c r="AA198" s="3">
        <f t="shared" si="6"/>
        <v>0</v>
      </c>
      <c r="AB198" s="3">
        <f t="shared" si="7"/>
        <v>0</v>
      </c>
      <c r="AC198" s="3">
        <f t="shared" si="8"/>
        <v>2.727272727</v>
      </c>
      <c r="AD198" s="3">
        <f t="shared" si="9"/>
        <v>-3</v>
      </c>
    </row>
    <row r="199">
      <c r="A199" s="1" t="s">
        <v>8</v>
      </c>
      <c r="B199" s="1" t="s">
        <v>462</v>
      </c>
      <c r="C199" s="1" t="s">
        <v>21</v>
      </c>
      <c r="D199" s="1" t="s">
        <v>89</v>
      </c>
      <c r="E199" s="1" t="s">
        <v>88</v>
      </c>
      <c r="F199" s="1" t="s">
        <v>90</v>
      </c>
      <c r="G199" s="1">
        <v>4.5</v>
      </c>
      <c r="H199" s="1" t="s">
        <v>60</v>
      </c>
      <c r="I199" s="1">
        <v>-135.0</v>
      </c>
      <c r="J199" s="1">
        <v>-0.219202720040737</v>
      </c>
      <c r="K199" s="1" t="s">
        <v>61</v>
      </c>
      <c r="L199" s="1" t="s">
        <v>61</v>
      </c>
      <c r="M199" s="1" t="s">
        <v>62</v>
      </c>
      <c r="N199" s="1">
        <v>100.0</v>
      </c>
      <c r="O199" s="1">
        <v>0.144740696047866</v>
      </c>
      <c r="P199" s="1" t="s">
        <v>61</v>
      </c>
      <c r="Q199" s="1" t="s">
        <v>61</v>
      </c>
      <c r="R199" s="1">
        <f t="shared" si="1"/>
        <v>0.144740696</v>
      </c>
      <c r="S199" s="1">
        <f t="shared" si="2"/>
        <v>100</v>
      </c>
      <c r="T199" s="1">
        <f t="shared" si="3"/>
        <v>2</v>
      </c>
      <c r="U199" s="1">
        <f t="shared" si="4"/>
        <v>0</v>
      </c>
      <c r="V199" s="3">
        <f t="shared" si="5"/>
        <v>3</v>
      </c>
      <c r="W199" s="3" t="str">
        <f>IFERROR(__xludf.DUMMYFUNCTION("split(B199,"" "")"),"D.")</f>
        <v>D.</v>
      </c>
      <c r="X199" s="3" t="str">
        <f>IFERROR(__xludf.DUMMYFUNCTION("""COMPUTED_VALUE"""),"Watson")</f>
        <v>Watson</v>
      </c>
      <c r="Z199" s="3">
        <v>5.0</v>
      </c>
      <c r="AA199" s="3">
        <f t="shared" si="6"/>
        <v>1</v>
      </c>
      <c r="AB199" s="3">
        <f t="shared" si="7"/>
        <v>0</v>
      </c>
      <c r="AC199" s="3">
        <f t="shared" si="8"/>
        <v>3</v>
      </c>
      <c r="AD199" s="3">
        <f t="shared" si="9"/>
        <v>-3</v>
      </c>
    </row>
    <row r="200">
      <c r="A200" s="1" t="s">
        <v>12</v>
      </c>
      <c r="B200" s="1" t="s">
        <v>501</v>
      </c>
      <c r="C200" s="1" t="s">
        <v>18</v>
      </c>
      <c r="D200" s="1" t="s">
        <v>109</v>
      </c>
      <c r="E200" s="1" t="s">
        <v>110</v>
      </c>
      <c r="F200" s="1" t="s">
        <v>59</v>
      </c>
      <c r="G200" s="1">
        <v>1.5</v>
      </c>
      <c r="H200" s="1" t="s">
        <v>60</v>
      </c>
      <c r="I200" s="1">
        <v>-155.0</v>
      </c>
      <c r="J200" s="1">
        <v>-0.210420507505882</v>
      </c>
      <c r="K200" s="1" t="s">
        <v>61</v>
      </c>
      <c r="L200" s="1" t="s">
        <v>61</v>
      </c>
      <c r="M200" s="1" t="s">
        <v>62</v>
      </c>
      <c r="N200" s="1">
        <v>117.0</v>
      </c>
      <c r="O200" s="1">
        <v>0.141761425870967</v>
      </c>
      <c r="P200" s="1" t="s">
        <v>61</v>
      </c>
      <c r="Q200" s="1" t="s">
        <v>61</v>
      </c>
      <c r="R200" s="1">
        <f t="shared" si="1"/>
        <v>0.1417614259</v>
      </c>
      <c r="S200" s="1">
        <f t="shared" si="2"/>
        <v>117</v>
      </c>
      <c r="T200" s="1">
        <f t="shared" si="3"/>
        <v>2.17</v>
      </c>
      <c r="U200" s="1">
        <f t="shared" si="4"/>
        <v>0</v>
      </c>
      <c r="V200" s="3">
        <f t="shared" si="5"/>
        <v>3</v>
      </c>
      <c r="W200" s="3" t="str">
        <f>IFERROR(__xludf.DUMMYFUNCTION("split(B200,"" "")"),"R.")</f>
        <v>R.</v>
      </c>
      <c r="X200" s="3" t="str">
        <f>IFERROR(__xludf.DUMMYFUNCTION("""COMPUTED_VALUE"""),"McCloud")</f>
        <v>McCloud</v>
      </c>
      <c r="Y200" s="3" t="str">
        <f>IFERROR(__xludf.DUMMYFUNCTION("""COMPUTED_VALUE"""),"III")</f>
        <v>III</v>
      </c>
      <c r="Z200" s="3">
        <v>4.0</v>
      </c>
      <c r="AA200" s="3">
        <f t="shared" si="6"/>
        <v>1</v>
      </c>
      <c r="AB200" s="3">
        <f t="shared" si="7"/>
        <v>0</v>
      </c>
      <c r="AC200" s="3">
        <f t="shared" si="8"/>
        <v>3.51</v>
      </c>
      <c r="AD200" s="3">
        <f t="shared" si="9"/>
        <v>-3</v>
      </c>
    </row>
    <row r="201">
      <c r="A201" s="1" t="s">
        <v>9</v>
      </c>
      <c r="B201" s="1" t="s">
        <v>210</v>
      </c>
      <c r="C201" s="1" t="s">
        <v>18</v>
      </c>
      <c r="D201" s="1" t="s">
        <v>156</v>
      </c>
      <c r="E201" s="1" t="s">
        <v>157</v>
      </c>
      <c r="F201" s="1" t="s">
        <v>158</v>
      </c>
      <c r="G201" s="1">
        <v>15.5</v>
      </c>
      <c r="H201" s="1" t="s">
        <v>60</v>
      </c>
      <c r="I201" s="1">
        <v>-115.0</v>
      </c>
      <c r="J201" s="6">
        <v>0.141573753547091</v>
      </c>
      <c r="K201" s="1" t="s">
        <v>61</v>
      </c>
      <c r="L201" s="1" t="s">
        <v>61</v>
      </c>
      <c r="M201" s="1" t="s">
        <v>62</v>
      </c>
      <c r="N201" s="1">
        <v>-115.0</v>
      </c>
      <c r="O201" s="6">
        <v>-0.211334816579155</v>
      </c>
      <c r="P201" s="1" t="s">
        <v>61</v>
      </c>
      <c r="Q201" s="1" t="s">
        <v>61</v>
      </c>
      <c r="R201" s="6">
        <f t="shared" si="1"/>
        <v>0.1415737535</v>
      </c>
      <c r="S201" s="1">
        <f t="shared" si="2"/>
        <v>-115</v>
      </c>
      <c r="T201" s="1">
        <f t="shared" si="3"/>
        <v>1.869565217</v>
      </c>
      <c r="U201" s="1">
        <f t="shared" si="4"/>
        <v>1</v>
      </c>
      <c r="V201" s="3">
        <f t="shared" si="5"/>
        <v>3</v>
      </c>
      <c r="W201" s="3" t="str">
        <f>IFERROR(__xludf.DUMMYFUNCTION("split(B201,"" "")"),"J.")</f>
        <v>J.</v>
      </c>
      <c r="X201" s="3" t="str">
        <f>IFERROR(__xludf.DUMMYFUNCTION("""COMPUTED_VALUE"""),"Dotson")</f>
        <v>Dotson</v>
      </c>
      <c r="Z201" s="3">
        <v>0.0</v>
      </c>
      <c r="AA201" s="3">
        <f t="shared" si="6"/>
        <v>0</v>
      </c>
      <c r="AB201" s="3">
        <f t="shared" si="7"/>
        <v>0</v>
      </c>
      <c r="AC201" s="3">
        <f t="shared" si="8"/>
        <v>2.608695652</v>
      </c>
      <c r="AD201" s="3">
        <f t="shared" si="9"/>
        <v>-3</v>
      </c>
    </row>
    <row r="202">
      <c r="A202" s="1" t="s">
        <v>12</v>
      </c>
      <c r="B202" s="1" t="s">
        <v>324</v>
      </c>
      <c r="C202" s="1" t="s">
        <v>19</v>
      </c>
      <c r="D202" s="1" t="s">
        <v>89</v>
      </c>
      <c r="E202" s="1" t="s">
        <v>88</v>
      </c>
      <c r="F202" s="1" t="s">
        <v>90</v>
      </c>
      <c r="G202" s="1">
        <v>2.5</v>
      </c>
      <c r="H202" s="1" t="s">
        <v>60</v>
      </c>
      <c r="I202" s="1">
        <v>102.0</v>
      </c>
      <c r="J202" s="1">
        <v>-0.208845053458415</v>
      </c>
      <c r="K202" s="1" t="s">
        <v>61</v>
      </c>
      <c r="L202" s="1" t="s">
        <v>61</v>
      </c>
      <c r="M202" s="1" t="s">
        <v>62</v>
      </c>
      <c r="N202" s="1">
        <v>-134.0</v>
      </c>
      <c r="O202" s="1">
        <v>0.141145379043589</v>
      </c>
      <c r="P202" s="1" t="s">
        <v>61</v>
      </c>
      <c r="Q202" s="1" t="s">
        <v>61</v>
      </c>
      <c r="R202" s="1">
        <f t="shared" si="1"/>
        <v>0.141145379</v>
      </c>
      <c r="S202" s="1">
        <f t="shared" si="2"/>
        <v>-134</v>
      </c>
      <c r="T202" s="1">
        <f t="shared" si="3"/>
        <v>1.746268657</v>
      </c>
      <c r="U202" s="1">
        <f t="shared" si="4"/>
        <v>0</v>
      </c>
      <c r="V202" s="3">
        <f t="shared" si="5"/>
        <v>3</v>
      </c>
      <c r="W202" s="3" t="str">
        <f>IFERROR(__xludf.DUMMYFUNCTION("split(B202,"" "")"),"J.")</f>
        <v>J.</v>
      </c>
      <c r="X202" s="3" t="str">
        <f>IFERROR(__xludf.DUMMYFUNCTION("""COMPUTED_VALUE"""),"Ford")</f>
        <v>Ford</v>
      </c>
      <c r="Z202" s="3">
        <v>6.0</v>
      </c>
      <c r="AA202" s="3">
        <f t="shared" si="6"/>
        <v>1</v>
      </c>
      <c r="AB202" s="3">
        <f t="shared" si="7"/>
        <v>0</v>
      </c>
      <c r="AC202" s="3">
        <f t="shared" si="8"/>
        <v>2.23880597</v>
      </c>
      <c r="AD202" s="3">
        <f t="shared" si="9"/>
        <v>-3</v>
      </c>
    </row>
    <row r="203">
      <c r="A203" s="1" t="s">
        <v>9</v>
      </c>
      <c r="B203" s="1" t="s">
        <v>424</v>
      </c>
      <c r="C203" s="1" t="s">
        <v>19</v>
      </c>
      <c r="D203" s="1" t="s">
        <v>76</v>
      </c>
      <c r="E203" s="1" t="s">
        <v>77</v>
      </c>
      <c r="F203" s="1" t="s">
        <v>78</v>
      </c>
      <c r="G203" s="1">
        <v>18.5</v>
      </c>
      <c r="H203" s="1" t="s">
        <v>60</v>
      </c>
      <c r="I203" s="1">
        <v>-110.0</v>
      </c>
      <c r="J203" s="6">
        <v>0.138054244430956</v>
      </c>
      <c r="K203" s="1" t="s">
        <v>61</v>
      </c>
      <c r="L203" s="1" t="s">
        <v>61</v>
      </c>
      <c r="M203" s="1" t="s">
        <v>62</v>
      </c>
      <c r="N203" s="1">
        <v>-120.0</v>
      </c>
      <c r="O203" s="6">
        <v>-0.207254861802732</v>
      </c>
      <c r="P203" s="1" t="s">
        <v>61</v>
      </c>
      <c r="Q203" s="1" t="s">
        <v>61</v>
      </c>
      <c r="R203" s="6">
        <f t="shared" si="1"/>
        <v>0.1380542444</v>
      </c>
      <c r="S203" s="1">
        <f t="shared" si="2"/>
        <v>-110</v>
      </c>
      <c r="T203" s="1">
        <f t="shared" si="3"/>
        <v>1.909090909</v>
      </c>
      <c r="U203" s="1">
        <f t="shared" si="4"/>
        <v>1</v>
      </c>
      <c r="V203" s="3">
        <f t="shared" si="5"/>
        <v>3</v>
      </c>
      <c r="W203" s="3" t="str">
        <f>IFERROR(__xludf.DUMMYFUNCTION("split(B203,"" "")"),"S.")</f>
        <v>S.</v>
      </c>
      <c r="X203" s="3" t="str">
        <f>IFERROR(__xludf.DUMMYFUNCTION("""COMPUTED_VALUE"""),"Perine")</f>
        <v>Perine</v>
      </c>
      <c r="Z203" s="3">
        <v>10.0</v>
      </c>
      <c r="AA203" s="3">
        <f t="shared" si="6"/>
        <v>0</v>
      </c>
      <c r="AB203" s="3">
        <f t="shared" si="7"/>
        <v>0</v>
      </c>
      <c r="AC203" s="3">
        <f t="shared" si="8"/>
        <v>2.727272727</v>
      </c>
      <c r="AD203" s="3">
        <f t="shared" si="9"/>
        <v>-3</v>
      </c>
    </row>
    <row r="204">
      <c r="A204" s="1" t="s">
        <v>12</v>
      </c>
      <c r="B204" s="1" t="s">
        <v>480</v>
      </c>
      <c r="C204" s="1" t="s">
        <v>18</v>
      </c>
      <c r="D204" s="1" t="s">
        <v>82</v>
      </c>
      <c r="E204" s="1" t="s">
        <v>83</v>
      </c>
      <c r="F204" s="1" t="s">
        <v>84</v>
      </c>
      <c r="G204" s="1">
        <v>3.5</v>
      </c>
      <c r="H204" s="1" t="s">
        <v>60</v>
      </c>
      <c r="I204" s="1">
        <v>-146.0</v>
      </c>
      <c r="J204" s="1">
        <v>-0.199036585365853</v>
      </c>
      <c r="K204" s="1" t="s">
        <v>61</v>
      </c>
      <c r="L204" s="1" t="s">
        <v>61</v>
      </c>
      <c r="M204" s="1" t="s">
        <v>62</v>
      </c>
      <c r="N204" s="1">
        <v>112.0</v>
      </c>
      <c r="O204" s="1">
        <v>0.133849056603773</v>
      </c>
      <c r="P204" s="1" t="s">
        <v>61</v>
      </c>
      <c r="Q204" s="1" t="s">
        <v>61</v>
      </c>
      <c r="R204" s="1">
        <f t="shared" si="1"/>
        <v>0.1338490566</v>
      </c>
      <c r="S204" s="1">
        <f t="shared" si="2"/>
        <v>112</v>
      </c>
      <c r="T204" s="1">
        <f t="shared" si="3"/>
        <v>2.12</v>
      </c>
      <c r="U204" s="1">
        <f t="shared" si="4"/>
        <v>0</v>
      </c>
      <c r="V204" s="3">
        <f t="shared" si="5"/>
        <v>3</v>
      </c>
      <c r="W204" s="3" t="str">
        <f>IFERROR(__xludf.DUMMYFUNCTION("split(B204,"" "")"),"T.")</f>
        <v>T.</v>
      </c>
      <c r="X204" s="3" t="str">
        <f>IFERROR(__xludf.DUMMYFUNCTION("""COMPUTED_VALUE"""),"Lockett")</f>
        <v>Lockett</v>
      </c>
      <c r="Z204" s="3">
        <v>6.0</v>
      </c>
      <c r="AA204" s="3">
        <f t="shared" si="6"/>
        <v>1</v>
      </c>
      <c r="AB204" s="3">
        <f t="shared" si="7"/>
        <v>0</v>
      </c>
      <c r="AC204" s="3">
        <f t="shared" si="8"/>
        <v>3.36</v>
      </c>
      <c r="AD204" s="3">
        <f t="shared" si="9"/>
        <v>-3</v>
      </c>
    </row>
    <row r="205">
      <c r="A205" s="1" t="s">
        <v>12</v>
      </c>
      <c r="B205" s="1" t="s">
        <v>264</v>
      </c>
      <c r="C205" s="1" t="s">
        <v>19</v>
      </c>
      <c r="D205" s="1" t="s">
        <v>114</v>
      </c>
      <c r="E205" s="1" t="s">
        <v>113</v>
      </c>
      <c r="F205" s="1" t="s">
        <v>90</v>
      </c>
      <c r="G205" s="1">
        <v>1.5</v>
      </c>
      <c r="H205" s="1" t="s">
        <v>60</v>
      </c>
      <c r="I205" s="1">
        <v>-120.0</v>
      </c>
      <c r="J205" s="1">
        <v>-0.202347707018181</v>
      </c>
      <c r="K205" s="1" t="s">
        <v>61</v>
      </c>
      <c r="L205" s="1" t="s">
        <v>61</v>
      </c>
      <c r="M205" s="1" t="s">
        <v>62</v>
      </c>
      <c r="N205" s="1">
        <v>-110.0</v>
      </c>
      <c r="O205" s="1">
        <v>0.133082595706666</v>
      </c>
      <c r="P205" s="1" t="s">
        <v>61</v>
      </c>
      <c r="Q205" s="1" t="s">
        <v>61</v>
      </c>
      <c r="R205" s="1">
        <f t="shared" si="1"/>
        <v>0.1330825957</v>
      </c>
      <c r="S205" s="1">
        <f t="shared" si="2"/>
        <v>-110</v>
      </c>
      <c r="T205" s="1">
        <f t="shared" si="3"/>
        <v>1.909090909</v>
      </c>
      <c r="U205" s="1">
        <f t="shared" si="4"/>
        <v>0</v>
      </c>
      <c r="V205" s="3">
        <f t="shared" si="5"/>
        <v>3</v>
      </c>
      <c r="W205" s="3" t="str">
        <f>IFERROR(__xludf.DUMMYFUNCTION("split(B205,"" "")"),"B.")</f>
        <v>B.</v>
      </c>
      <c r="X205" s="3" t="str">
        <f>IFERROR(__xludf.DUMMYFUNCTION("""COMPUTED_VALUE"""),"Robinson")</f>
        <v>Robinson</v>
      </c>
      <c r="Z205" s="3">
        <v>3.0</v>
      </c>
      <c r="AA205" s="3">
        <f t="shared" si="6"/>
        <v>1</v>
      </c>
      <c r="AB205" s="3">
        <f t="shared" si="7"/>
        <v>0</v>
      </c>
      <c r="AC205" s="3">
        <f t="shared" si="8"/>
        <v>2.727272727</v>
      </c>
      <c r="AD205" s="3">
        <f t="shared" si="9"/>
        <v>-3</v>
      </c>
    </row>
    <row r="206">
      <c r="A206" s="1" t="s">
        <v>12</v>
      </c>
      <c r="B206" s="1" t="s">
        <v>301</v>
      </c>
      <c r="C206" s="1" t="s">
        <v>19</v>
      </c>
      <c r="D206" s="1" t="s">
        <v>100</v>
      </c>
      <c r="E206" s="1" t="s">
        <v>99</v>
      </c>
      <c r="F206" s="1" t="s">
        <v>59</v>
      </c>
      <c r="G206" s="1">
        <v>2.5</v>
      </c>
      <c r="H206" s="1" t="s">
        <v>60</v>
      </c>
      <c r="I206" s="1">
        <v>-101.0</v>
      </c>
      <c r="J206" s="1">
        <v>-0.202581856318408</v>
      </c>
      <c r="K206" s="1" t="s">
        <v>61</v>
      </c>
      <c r="L206" s="1" t="s">
        <v>61</v>
      </c>
      <c r="M206" s="1" t="s">
        <v>62</v>
      </c>
      <c r="N206" s="1">
        <v>-131.0</v>
      </c>
      <c r="O206" s="1">
        <v>0.133007915961904</v>
      </c>
      <c r="P206" s="1" t="s">
        <v>61</v>
      </c>
      <c r="Q206" s="1" t="s">
        <v>61</v>
      </c>
      <c r="R206" s="1">
        <f t="shared" si="1"/>
        <v>0.133007916</v>
      </c>
      <c r="S206" s="1">
        <f t="shared" si="2"/>
        <v>-131</v>
      </c>
      <c r="T206" s="1">
        <f t="shared" si="3"/>
        <v>1.763358779</v>
      </c>
      <c r="U206" s="1">
        <f t="shared" si="4"/>
        <v>0</v>
      </c>
      <c r="V206" s="3">
        <f t="shared" si="5"/>
        <v>3</v>
      </c>
      <c r="W206" s="3" t="str">
        <f>IFERROR(__xludf.DUMMYFUNCTION("split(B206,"" "")"),"T.")</f>
        <v>T.</v>
      </c>
      <c r="X206" s="3" t="str">
        <f>IFERROR(__xludf.DUMMYFUNCTION("""COMPUTED_VALUE"""),"Spears")</f>
        <v>Spears</v>
      </c>
      <c r="Z206" s="3">
        <v>4.0</v>
      </c>
      <c r="AA206" s="3">
        <f t="shared" si="6"/>
        <v>1</v>
      </c>
      <c r="AB206" s="3">
        <f t="shared" si="7"/>
        <v>0</v>
      </c>
      <c r="AC206" s="3">
        <f t="shared" si="8"/>
        <v>2.290076336</v>
      </c>
      <c r="AD206" s="3">
        <f t="shared" si="9"/>
        <v>-3</v>
      </c>
    </row>
    <row r="207">
      <c r="A207" s="1" t="s">
        <v>9</v>
      </c>
      <c r="B207" s="1" t="s">
        <v>502</v>
      </c>
      <c r="C207" s="1" t="s">
        <v>18</v>
      </c>
      <c r="D207" s="1" t="s">
        <v>89</v>
      </c>
      <c r="E207" s="1" t="s">
        <v>88</v>
      </c>
      <c r="F207" s="1" t="s">
        <v>90</v>
      </c>
      <c r="G207" s="1">
        <v>14.5</v>
      </c>
      <c r="H207" s="1" t="s">
        <v>60</v>
      </c>
      <c r="I207" s="1">
        <v>-115.0</v>
      </c>
      <c r="J207" s="1">
        <v>0.132720536654582</v>
      </c>
      <c r="K207" s="1" t="s">
        <v>61</v>
      </c>
      <c r="L207" s="1" t="s">
        <v>61</v>
      </c>
      <c r="M207" s="1" t="s">
        <v>62</v>
      </c>
      <c r="N207" s="1">
        <v>-115.0</v>
      </c>
      <c r="O207" s="1">
        <v>-0.202488617152769</v>
      </c>
      <c r="P207" s="1" t="s">
        <v>61</v>
      </c>
      <c r="Q207" s="1" t="s">
        <v>61</v>
      </c>
      <c r="R207" s="1">
        <f t="shared" si="1"/>
        <v>0.1327205367</v>
      </c>
      <c r="S207" s="1">
        <f t="shared" si="2"/>
        <v>-115</v>
      </c>
      <c r="T207" s="1">
        <f t="shared" si="3"/>
        <v>1.869565217</v>
      </c>
      <c r="U207" s="1">
        <f t="shared" si="4"/>
        <v>1</v>
      </c>
      <c r="V207" s="3">
        <f t="shared" si="5"/>
        <v>3</v>
      </c>
      <c r="W207" s="3" t="str">
        <f>IFERROR(__xludf.DUMMYFUNCTION("split(B207,"" "")"),"C.")</f>
        <v>C.</v>
      </c>
      <c r="X207" s="3" t="str">
        <f>IFERROR(__xludf.DUMMYFUNCTION("""COMPUTED_VALUE"""),"Tillman")</f>
        <v>Tillman</v>
      </c>
      <c r="Z207" s="3">
        <v>3.0</v>
      </c>
      <c r="AA207" s="3">
        <f t="shared" si="6"/>
        <v>0</v>
      </c>
      <c r="AB207" s="3">
        <f t="shared" si="7"/>
        <v>0</v>
      </c>
      <c r="AC207" s="3">
        <f t="shared" si="8"/>
        <v>2.608695652</v>
      </c>
      <c r="AD207" s="3">
        <f t="shared" si="9"/>
        <v>-3</v>
      </c>
    </row>
    <row r="208">
      <c r="A208" s="1" t="s">
        <v>8</v>
      </c>
      <c r="B208" s="1" t="s">
        <v>347</v>
      </c>
      <c r="C208" s="1" t="s">
        <v>21</v>
      </c>
      <c r="D208" s="1" t="s">
        <v>77</v>
      </c>
      <c r="E208" s="1" t="s">
        <v>76</v>
      </c>
      <c r="F208" s="1" t="s">
        <v>78</v>
      </c>
      <c r="G208" s="1">
        <v>8.5</v>
      </c>
      <c r="H208" s="1" t="s">
        <v>60</v>
      </c>
      <c r="I208" s="1">
        <v>-112.0</v>
      </c>
      <c r="J208" s="6">
        <v>-0.201696467900923</v>
      </c>
      <c r="K208" s="1" t="s">
        <v>61</v>
      </c>
      <c r="L208" s="1" t="s">
        <v>61</v>
      </c>
      <c r="M208" s="1" t="s">
        <v>62</v>
      </c>
      <c r="N208" s="1">
        <v>-118.0</v>
      </c>
      <c r="O208" s="6">
        <v>0.132109378027958</v>
      </c>
      <c r="P208" s="1" t="s">
        <v>61</v>
      </c>
      <c r="Q208" s="1" t="s">
        <v>61</v>
      </c>
      <c r="R208" s="6">
        <f t="shared" si="1"/>
        <v>0.132109378</v>
      </c>
      <c r="S208" s="1">
        <f t="shared" si="2"/>
        <v>-118</v>
      </c>
      <c r="T208" s="1">
        <f t="shared" si="3"/>
        <v>1.847457627</v>
      </c>
      <c r="U208" s="1">
        <f t="shared" si="4"/>
        <v>0</v>
      </c>
      <c r="V208" s="3">
        <f t="shared" si="5"/>
        <v>3</v>
      </c>
      <c r="W208" s="3" t="str">
        <f>IFERROR(__xludf.DUMMYFUNCTION("split(B208,"" "")"),"L.")</f>
        <v>L.</v>
      </c>
      <c r="X208" s="3" t="str">
        <f>IFERROR(__xludf.DUMMYFUNCTION("""COMPUTED_VALUE"""),"Jackson")</f>
        <v>Jackson</v>
      </c>
      <c r="Z208" s="3">
        <v>16.0</v>
      </c>
      <c r="AA208" s="3">
        <f t="shared" si="6"/>
        <v>1</v>
      </c>
      <c r="AB208" s="3">
        <f t="shared" si="7"/>
        <v>0</v>
      </c>
      <c r="AC208" s="3">
        <f t="shared" si="8"/>
        <v>2.542372881</v>
      </c>
      <c r="AD208" s="3">
        <f t="shared" si="9"/>
        <v>-3</v>
      </c>
    </row>
    <row r="209">
      <c r="A209" s="1" t="s">
        <v>8</v>
      </c>
      <c r="B209" s="1" t="s">
        <v>464</v>
      </c>
      <c r="C209" s="1" t="s">
        <v>21</v>
      </c>
      <c r="D209" s="1" t="s">
        <v>83</v>
      </c>
      <c r="E209" s="1" t="s">
        <v>82</v>
      </c>
      <c r="F209" s="1" t="s">
        <v>84</v>
      </c>
      <c r="G209" s="1">
        <v>3.5</v>
      </c>
      <c r="H209" s="1" t="s">
        <v>60</v>
      </c>
      <c r="I209" s="1">
        <v>-140.0</v>
      </c>
      <c r="J209" s="1">
        <v>-0.202812076972471</v>
      </c>
      <c r="K209" s="1" t="s">
        <v>61</v>
      </c>
      <c r="L209" s="1" t="s">
        <v>61</v>
      </c>
      <c r="M209" s="1" t="s">
        <v>62</v>
      </c>
      <c r="N209" s="1">
        <v>105.0</v>
      </c>
      <c r="O209" s="1">
        <v>0.131687309626308</v>
      </c>
      <c r="P209" s="1" t="s">
        <v>61</v>
      </c>
      <c r="Q209" s="1" t="s">
        <v>61</v>
      </c>
      <c r="R209" s="1">
        <f t="shared" si="1"/>
        <v>0.1316873096</v>
      </c>
      <c r="S209" s="1">
        <f t="shared" si="2"/>
        <v>105</v>
      </c>
      <c r="T209" s="1">
        <f t="shared" si="3"/>
        <v>2.05</v>
      </c>
      <c r="U209" s="1">
        <f t="shared" si="4"/>
        <v>0</v>
      </c>
      <c r="V209" s="3">
        <f t="shared" si="5"/>
        <v>3</v>
      </c>
      <c r="W209" s="3" t="str">
        <f>IFERROR(__xludf.DUMMYFUNCTION("split(B209,"" "")"),"B.")</f>
        <v>B.</v>
      </c>
      <c r="X209" s="3" t="str">
        <f>IFERROR(__xludf.DUMMYFUNCTION("""COMPUTED_VALUE"""),"Nix")</f>
        <v>Nix</v>
      </c>
      <c r="Z209" s="3">
        <v>5.0</v>
      </c>
      <c r="AA209" s="3">
        <f t="shared" si="6"/>
        <v>1</v>
      </c>
      <c r="AB209" s="3">
        <f t="shared" si="7"/>
        <v>0</v>
      </c>
      <c r="AC209" s="3">
        <f t="shared" si="8"/>
        <v>3.15</v>
      </c>
      <c r="AD209" s="3">
        <f t="shared" si="9"/>
        <v>-3</v>
      </c>
    </row>
    <row r="210">
      <c r="A210" s="1" t="s">
        <v>8</v>
      </c>
      <c r="B210" s="1" t="s">
        <v>56</v>
      </c>
      <c r="C210" s="1" t="s">
        <v>21</v>
      </c>
      <c r="D210" s="1" t="s">
        <v>57</v>
      </c>
      <c r="E210" s="1" t="s">
        <v>58</v>
      </c>
      <c r="F210" s="1" t="s">
        <v>59</v>
      </c>
      <c r="G210" s="1">
        <v>2.5</v>
      </c>
      <c r="H210" s="1" t="s">
        <v>60</v>
      </c>
      <c r="I210" s="1">
        <v>-145.0</v>
      </c>
      <c r="J210" s="1">
        <v>-0.210268275200616</v>
      </c>
      <c r="K210" s="1" t="s">
        <v>61</v>
      </c>
      <c r="L210" s="1" t="s">
        <v>61</v>
      </c>
      <c r="M210" s="1" t="s">
        <v>62</v>
      </c>
      <c r="N210" s="1">
        <v>105.0</v>
      </c>
      <c r="O210" s="1">
        <v>0.130632816703176</v>
      </c>
      <c r="P210" s="1" t="s">
        <v>61</v>
      </c>
      <c r="Q210" s="1" t="s">
        <v>61</v>
      </c>
      <c r="R210" s="1">
        <f t="shared" si="1"/>
        <v>0.1306328167</v>
      </c>
      <c r="S210" s="1">
        <f t="shared" si="2"/>
        <v>105</v>
      </c>
      <c r="T210" s="1">
        <f t="shared" si="3"/>
        <v>2.05</v>
      </c>
      <c r="U210" s="1">
        <f t="shared" si="4"/>
        <v>0</v>
      </c>
      <c r="V210" s="3">
        <f t="shared" si="5"/>
        <v>3</v>
      </c>
      <c r="W210" s="3" t="str">
        <f>IFERROR(__xludf.DUMMYFUNCTION("split(B210,"" "")"),"B.")</f>
        <v>B.</v>
      </c>
      <c r="X210" s="3" t="str">
        <f>IFERROR(__xludf.DUMMYFUNCTION("""COMPUTED_VALUE"""),"Young")</f>
        <v>Young</v>
      </c>
      <c r="Z210" s="3">
        <v>4.0</v>
      </c>
      <c r="AA210" s="3">
        <f t="shared" si="6"/>
        <v>1</v>
      </c>
      <c r="AB210" s="3">
        <f t="shared" si="7"/>
        <v>0</v>
      </c>
      <c r="AC210" s="3">
        <f t="shared" si="8"/>
        <v>3.15</v>
      </c>
      <c r="AD210" s="3">
        <f t="shared" si="9"/>
        <v>-3</v>
      </c>
    </row>
    <row r="211">
      <c r="A211" s="1" t="s">
        <v>9</v>
      </c>
      <c r="B211" s="1" t="s">
        <v>87</v>
      </c>
      <c r="C211" s="1" t="s">
        <v>18</v>
      </c>
      <c r="D211" s="1" t="s">
        <v>88</v>
      </c>
      <c r="E211" s="1" t="s">
        <v>89</v>
      </c>
      <c r="F211" s="1" t="s">
        <v>90</v>
      </c>
      <c r="G211" s="1">
        <v>19.5</v>
      </c>
      <c r="H211" s="1" t="s">
        <v>60</v>
      </c>
      <c r="I211" s="1">
        <v>-115.0</v>
      </c>
      <c r="J211" s="1">
        <v>0.130211655783131</v>
      </c>
      <c r="K211" s="1" t="s">
        <v>61</v>
      </c>
      <c r="L211" s="1" t="s">
        <v>61</v>
      </c>
      <c r="M211" s="1" t="s">
        <v>62</v>
      </c>
      <c r="N211" s="1">
        <v>-115.0</v>
      </c>
      <c r="O211" s="1">
        <v>-0.199993404150601</v>
      </c>
      <c r="P211" s="1" t="s">
        <v>61</v>
      </c>
      <c r="Q211" s="1" t="s">
        <v>61</v>
      </c>
      <c r="R211" s="1">
        <f t="shared" si="1"/>
        <v>0.1302116558</v>
      </c>
      <c r="S211" s="1">
        <f t="shared" si="2"/>
        <v>-115</v>
      </c>
      <c r="T211" s="1">
        <f t="shared" si="3"/>
        <v>1.869565217</v>
      </c>
      <c r="U211" s="1">
        <f t="shared" si="4"/>
        <v>1</v>
      </c>
      <c r="V211" s="3">
        <f t="shared" si="5"/>
        <v>3</v>
      </c>
      <c r="W211" s="3" t="str">
        <f>IFERROR(__xludf.DUMMYFUNCTION("split(B211,"" "")"),"J.")</f>
        <v>J.</v>
      </c>
      <c r="X211" s="3" t="str">
        <f>IFERROR(__xludf.DUMMYFUNCTION("""COMPUTED_VALUE"""),"Tolbert")</f>
        <v>Tolbert</v>
      </c>
      <c r="Z211" s="3">
        <v>12.0</v>
      </c>
      <c r="AA211" s="3">
        <f t="shared" si="6"/>
        <v>0</v>
      </c>
      <c r="AB211" s="3">
        <f t="shared" si="7"/>
        <v>0</v>
      </c>
      <c r="AC211" s="3">
        <f t="shared" si="8"/>
        <v>2.608695652</v>
      </c>
      <c r="AD211" s="3">
        <f t="shared" si="9"/>
        <v>-3</v>
      </c>
    </row>
    <row r="212">
      <c r="A212" s="1" t="s">
        <v>10</v>
      </c>
      <c r="B212" s="1" t="s">
        <v>247</v>
      </c>
      <c r="C212" s="1" t="s">
        <v>21</v>
      </c>
      <c r="D212" s="1" t="s">
        <v>196</v>
      </c>
      <c r="E212" s="1" t="s">
        <v>197</v>
      </c>
      <c r="F212" s="1" t="s">
        <v>198</v>
      </c>
      <c r="G212" s="1">
        <v>0.5</v>
      </c>
      <c r="H212" s="1" t="s">
        <v>60</v>
      </c>
      <c r="I212" s="1">
        <v>-103.0</v>
      </c>
      <c r="J212" s="1">
        <v>0.128376626473808</v>
      </c>
      <c r="K212" s="1" t="s">
        <v>61</v>
      </c>
      <c r="L212" s="1" t="s">
        <v>61</v>
      </c>
      <c r="M212" s="1" t="s">
        <v>62</v>
      </c>
      <c r="N212" s="1">
        <v>-131.0</v>
      </c>
      <c r="O212" s="1">
        <v>-0.202814822447954</v>
      </c>
      <c r="P212" s="1" t="s">
        <v>61</v>
      </c>
      <c r="Q212" s="1" t="s">
        <v>61</v>
      </c>
      <c r="R212" s="1">
        <f t="shared" si="1"/>
        <v>0.1283766265</v>
      </c>
      <c r="S212" s="1">
        <f t="shared" si="2"/>
        <v>-103</v>
      </c>
      <c r="T212" s="1">
        <f t="shared" si="3"/>
        <v>1.970873786</v>
      </c>
      <c r="U212" s="1">
        <f t="shared" si="4"/>
        <v>1</v>
      </c>
      <c r="V212" s="3">
        <f t="shared" si="5"/>
        <v>3</v>
      </c>
      <c r="W212" s="3" t="str">
        <f>IFERROR(__xludf.DUMMYFUNCTION("split(B212,"" "")"),"M.")</f>
        <v>M.</v>
      </c>
      <c r="X212" s="3" t="str">
        <f>IFERROR(__xludf.DUMMYFUNCTION("""COMPUTED_VALUE"""),"Stafford")</f>
        <v>Stafford</v>
      </c>
      <c r="Z212" s="3">
        <v>0.0</v>
      </c>
      <c r="AA212" s="3">
        <f t="shared" si="6"/>
        <v>0</v>
      </c>
      <c r="AB212" s="3">
        <f t="shared" si="7"/>
        <v>0</v>
      </c>
      <c r="AC212" s="3">
        <f t="shared" si="8"/>
        <v>2.912621359</v>
      </c>
      <c r="AD212" s="3">
        <f t="shared" si="9"/>
        <v>-3</v>
      </c>
    </row>
    <row r="213">
      <c r="A213" s="1" t="s">
        <v>12</v>
      </c>
      <c r="B213" s="1" t="s">
        <v>397</v>
      </c>
      <c r="C213" s="1" t="s">
        <v>18</v>
      </c>
      <c r="D213" s="1" t="s">
        <v>196</v>
      </c>
      <c r="E213" s="1" t="s">
        <v>197</v>
      </c>
      <c r="F213" s="1" t="s">
        <v>198</v>
      </c>
      <c r="G213" s="1">
        <v>6.5</v>
      </c>
      <c r="H213" s="1" t="s">
        <v>60</v>
      </c>
      <c r="I213" s="1">
        <v>115.0</v>
      </c>
      <c r="J213" s="1">
        <v>0.127637209302325</v>
      </c>
      <c r="K213" s="1" t="s">
        <v>61</v>
      </c>
      <c r="L213" s="1" t="s">
        <v>61</v>
      </c>
      <c r="M213" s="1" t="s">
        <v>62</v>
      </c>
      <c r="N213" s="1">
        <v>-150.0</v>
      </c>
      <c r="O213" s="1">
        <v>-0.19276</v>
      </c>
      <c r="P213" s="1" t="s">
        <v>61</v>
      </c>
      <c r="Q213" s="1" t="s">
        <v>61</v>
      </c>
      <c r="R213" s="1">
        <f t="shared" si="1"/>
        <v>0.1276372093</v>
      </c>
      <c r="S213" s="1">
        <f t="shared" si="2"/>
        <v>115</v>
      </c>
      <c r="T213" s="1">
        <f t="shared" si="3"/>
        <v>2.15</v>
      </c>
      <c r="U213" s="1">
        <f t="shared" si="4"/>
        <v>1</v>
      </c>
      <c r="V213" s="3">
        <f t="shared" si="5"/>
        <v>3</v>
      </c>
      <c r="W213" s="3" t="str">
        <f>IFERROR(__xludf.DUMMYFUNCTION("split(B213,"" "")"),"P.")</f>
        <v>P.</v>
      </c>
      <c r="X213" s="3" t="str">
        <f>IFERROR(__xludf.DUMMYFUNCTION("""COMPUTED_VALUE"""),"Nacua")</f>
        <v>Nacua</v>
      </c>
      <c r="Z213" s="3">
        <v>4.0</v>
      </c>
      <c r="AA213" s="3">
        <f t="shared" si="6"/>
        <v>0</v>
      </c>
      <c r="AB213" s="3">
        <f t="shared" si="7"/>
        <v>0</v>
      </c>
      <c r="AC213" s="3">
        <f t="shared" si="8"/>
        <v>3.45</v>
      </c>
      <c r="AD213" s="3">
        <f t="shared" si="9"/>
        <v>-3</v>
      </c>
    </row>
    <row r="214">
      <c r="A214" s="1" t="s">
        <v>9</v>
      </c>
      <c r="B214" s="1" t="s">
        <v>272</v>
      </c>
      <c r="C214" s="1" t="s">
        <v>18</v>
      </c>
      <c r="D214" s="1" t="s">
        <v>197</v>
      </c>
      <c r="E214" s="1" t="s">
        <v>196</v>
      </c>
      <c r="F214" s="1" t="s">
        <v>198</v>
      </c>
      <c r="G214" s="1">
        <v>18.5</v>
      </c>
      <c r="H214" s="1" t="s">
        <v>60</v>
      </c>
      <c r="I214" s="1">
        <v>-120.0</v>
      </c>
      <c r="J214" s="1">
        <v>0.124460146096068</v>
      </c>
      <c r="K214" s="1" t="s">
        <v>61</v>
      </c>
      <c r="L214" s="1" t="s">
        <v>61</v>
      </c>
      <c r="M214" s="1" t="s">
        <v>62</v>
      </c>
      <c r="N214" s="1">
        <v>-110.0</v>
      </c>
      <c r="O214" s="1">
        <v>-0.193695977882136</v>
      </c>
      <c r="P214" s="1" t="s">
        <v>61</v>
      </c>
      <c r="Q214" s="1" t="s">
        <v>61</v>
      </c>
      <c r="R214" s="1">
        <f t="shared" si="1"/>
        <v>0.1244601461</v>
      </c>
      <c r="S214" s="1">
        <f t="shared" si="2"/>
        <v>-120</v>
      </c>
      <c r="T214" s="1">
        <f t="shared" si="3"/>
        <v>1.833333333</v>
      </c>
      <c r="U214" s="1">
        <f t="shared" si="4"/>
        <v>1</v>
      </c>
      <c r="V214" s="3">
        <f t="shared" si="5"/>
        <v>3</v>
      </c>
      <c r="W214" s="3" t="str">
        <f>IFERROR(__xludf.DUMMYFUNCTION("split(B214,"" "")"),"K.")</f>
        <v>K.</v>
      </c>
      <c r="X214" s="3" t="str">
        <f>IFERROR(__xludf.DUMMYFUNCTION("""COMPUTED_VALUE"""),"Raymond")</f>
        <v>Raymond</v>
      </c>
      <c r="Z214" s="3">
        <v>12.0</v>
      </c>
      <c r="AA214" s="3">
        <f t="shared" si="6"/>
        <v>0</v>
      </c>
      <c r="AB214" s="3">
        <f t="shared" si="7"/>
        <v>0</v>
      </c>
      <c r="AC214" s="3">
        <f t="shared" si="8"/>
        <v>2.5</v>
      </c>
      <c r="AD214" s="3">
        <f t="shared" si="9"/>
        <v>-3</v>
      </c>
    </row>
    <row r="215">
      <c r="A215" s="1" t="s">
        <v>12</v>
      </c>
      <c r="B215" s="1" t="s">
        <v>487</v>
      </c>
      <c r="C215" s="1" t="s">
        <v>18</v>
      </c>
      <c r="D215" s="1" t="s">
        <v>157</v>
      </c>
      <c r="E215" s="1" t="s">
        <v>156</v>
      </c>
      <c r="F215" s="1" t="s">
        <v>158</v>
      </c>
      <c r="G215" s="1">
        <v>3.5</v>
      </c>
      <c r="H215" s="1" t="s">
        <v>60</v>
      </c>
      <c r="I215" s="1">
        <v>-141.0</v>
      </c>
      <c r="J215" s="6">
        <v>-0.193820746887966</v>
      </c>
      <c r="K215" s="1" t="s">
        <v>61</v>
      </c>
      <c r="L215" s="1" t="s">
        <v>61</v>
      </c>
      <c r="M215" s="1" t="s">
        <v>62</v>
      </c>
      <c r="N215" s="1">
        <v>106.0</v>
      </c>
      <c r="O215" s="6">
        <v>0.123314563106796</v>
      </c>
      <c r="P215" s="1" t="s">
        <v>61</v>
      </c>
      <c r="Q215" s="1" t="s">
        <v>61</v>
      </c>
      <c r="R215" s="6">
        <f t="shared" si="1"/>
        <v>0.1233145631</v>
      </c>
      <c r="S215" s="1">
        <f t="shared" si="2"/>
        <v>106</v>
      </c>
      <c r="T215" s="1">
        <f t="shared" si="3"/>
        <v>2.06</v>
      </c>
      <c r="U215" s="1">
        <f t="shared" si="4"/>
        <v>0</v>
      </c>
      <c r="V215" s="3">
        <f t="shared" si="5"/>
        <v>3</v>
      </c>
      <c r="W215" s="3" t="str">
        <f>IFERROR(__xludf.DUMMYFUNCTION("split(B215,"" "")"),"J.")</f>
        <v>J.</v>
      </c>
      <c r="X215" s="3" t="str">
        <f>IFERROR(__xludf.DUMMYFUNCTION("""COMPUTED_VALUE"""),"Reed")</f>
        <v>Reed</v>
      </c>
      <c r="Z215" s="3">
        <v>4.0</v>
      </c>
      <c r="AA215" s="3">
        <f t="shared" si="6"/>
        <v>1</v>
      </c>
      <c r="AB215" s="3">
        <f t="shared" si="7"/>
        <v>0</v>
      </c>
      <c r="AC215" s="3">
        <f t="shared" si="8"/>
        <v>3.18</v>
      </c>
      <c r="AD215" s="3">
        <f t="shared" si="9"/>
        <v>-3</v>
      </c>
    </row>
    <row r="216">
      <c r="A216" s="1" t="s">
        <v>8</v>
      </c>
      <c r="B216" s="1" t="s">
        <v>275</v>
      </c>
      <c r="C216" s="1" t="s">
        <v>21</v>
      </c>
      <c r="D216" s="1" t="s">
        <v>100</v>
      </c>
      <c r="E216" s="1" t="s">
        <v>99</v>
      </c>
      <c r="F216" s="1" t="s">
        <v>59</v>
      </c>
      <c r="G216" s="1">
        <v>2.5</v>
      </c>
      <c r="H216" s="1" t="s">
        <v>60</v>
      </c>
      <c r="I216" s="1">
        <v>-140.0</v>
      </c>
      <c r="J216" s="1">
        <v>-0.194244139225202</v>
      </c>
      <c r="K216" s="1" t="s">
        <v>61</v>
      </c>
      <c r="L216" s="1" t="s">
        <v>61</v>
      </c>
      <c r="M216" s="1" t="s">
        <v>62</v>
      </c>
      <c r="N216" s="1">
        <v>105.0</v>
      </c>
      <c r="O216" s="1">
        <v>0.123090699580724</v>
      </c>
      <c r="P216" s="1" t="s">
        <v>61</v>
      </c>
      <c r="Q216" s="1" t="s">
        <v>61</v>
      </c>
      <c r="R216" s="1">
        <f t="shared" si="1"/>
        <v>0.1230906996</v>
      </c>
      <c r="S216" s="1">
        <f t="shared" si="2"/>
        <v>105</v>
      </c>
      <c r="T216" s="1">
        <f t="shared" si="3"/>
        <v>2.05</v>
      </c>
      <c r="U216" s="1">
        <f t="shared" si="4"/>
        <v>0</v>
      </c>
      <c r="V216" s="3">
        <f t="shared" si="5"/>
        <v>3</v>
      </c>
      <c r="W216" s="3" t="str">
        <f>IFERROR(__xludf.DUMMYFUNCTION("split(B216,"" "")"),"W.")</f>
        <v>W.</v>
      </c>
      <c r="X216" s="3" t="str">
        <f>IFERROR(__xludf.DUMMYFUNCTION("""COMPUTED_VALUE"""),"Levis")</f>
        <v>Levis</v>
      </c>
      <c r="Z216" s="3">
        <v>4.0</v>
      </c>
      <c r="AA216" s="3">
        <f t="shared" si="6"/>
        <v>1</v>
      </c>
      <c r="AB216" s="3">
        <f t="shared" si="7"/>
        <v>0</v>
      </c>
      <c r="AC216" s="3">
        <f t="shared" si="8"/>
        <v>3.15</v>
      </c>
      <c r="AD216" s="3">
        <f t="shared" si="9"/>
        <v>-3</v>
      </c>
    </row>
    <row r="217">
      <c r="A217" s="1" t="s">
        <v>12</v>
      </c>
      <c r="B217" s="1" t="s">
        <v>377</v>
      </c>
      <c r="C217" s="1" t="s">
        <v>19</v>
      </c>
      <c r="D217" s="1" t="s">
        <v>146</v>
      </c>
      <c r="E217" s="1" t="s">
        <v>147</v>
      </c>
      <c r="F217" s="1" t="s">
        <v>59</v>
      </c>
      <c r="G217" s="1">
        <v>1.5</v>
      </c>
      <c r="H217" s="1" t="s">
        <v>60</v>
      </c>
      <c r="I217" s="1">
        <v>115.0</v>
      </c>
      <c r="J217" s="1">
        <v>-0.177760495371627</v>
      </c>
      <c r="K217" s="1" t="s">
        <v>61</v>
      </c>
      <c r="L217" s="1" t="s">
        <v>61</v>
      </c>
      <c r="M217" s="1" t="s">
        <v>62</v>
      </c>
      <c r="N217" s="1">
        <v>-145.0</v>
      </c>
      <c r="O217" s="1">
        <v>0.120812189643673</v>
      </c>
      <c r="P217" s="1" t="s">
        <v>61</v>
      </c>
      <c r="Q217" s="1" t="s">
        <v>61</v>
      </c>
      <c r="R217" s="1">
        <f t="shared" si="1"/>
        <v>0.1208121896</v>
      </c>
      <c r="S217" s="1">
        <f t="shared" si="2"/>
        <v>-145</v>
      </c>
      <c r="T217" s="1">
        <f t="shared" si="3"/>
        <v>1.689655172</v>
      </c>
      <c r="U217" s="1">
        <f t="shared" si="4"/>
        <v>0</v>
      </c>
      <c r="V217" s="3">
        <f t="shared" si="5"/>
        <v>3</v>
      </c>
      <c r="W217" s="3" t="str">
        <f>IFERROR(__xludf.DUMMYFUNCTION("split(B217,"" "")"),"T.")</f>
        <v>T.</v>
      </c>
      <c r="X217" s="3" t="str">
        <f>IFERROR(__xludf.DUMMYFUNCTION("""COMPUTED_VALUE"""),"Chandler")</f>
        <v>Chandler</v>
      </c>
      <c r="Z217" s="3">
        <v>3.0</v>
      </c>
      <c r="AA217" s="3">
        <f t="shared" si="6"/>
        <v>1</v>
      </c>
      <c r="AB217" s="3">
        <f t="shared" si="7"/>
        <v>0</v>
      </c>
      <c r="AC217" s="3">
        <f t="shared" si="8"/>
        <v>2.068965517</v>
      </c>
      <c r="AD217" s="3">
        <f t="shared" si="9"/>
        <v>-3</v>
      </c>
    </row>
    <row r="218">
      <c r="A218" s="1" t="s">
        <v>8</v>
      </c>
      <c r="B218" s="1" t="s">
        <v>338</v>
      </c>
      <c r="C218" s="1" t="s">
        <v>21</v>
      </c>
      <c r="D218" s="1" t="s">
        <v>156</v>
      </c>
      <c r="E218" s="1" t="s">
        <v>157</v>
      </c>
      <c r="F218" s="1" t="s">
        <v>158</v>
      </c>
      <c r="G218" s="1">
        <v>8.5</v>
      </c>
      <c r="H218" s="1" t="s">
        <v>60</v>
      </c>
      <c r="I218" s="1">
        <v>-118.0</v>
      </c>
      <c r="J218" s="6">
        <v>-0.190583070021339</v>
      </c>
      <c r="K218" s="1" t="s">
        <v>61</v>
      </c>
      <c r="L218" s="1" t="s">
        <v>61</v>
      </c>
      <c r="M218" s="1" t="s">
        <v>62</v>
      </c>
      <c r="N218" s="1">
        <v>-114.0</v>
      </c>
      <c r="O218" s="6">
        <v>0.11658817084908</v>
      </c>
      <c r="P218" s="1" t="s">
        <v>61</v>
      </c>
      <c r="Q218" s="1" t="s">
        <v>61</v>
      </c>
      <c r="R218" s="6">
        <f t="shared" si="1"/>
        <v>0.1165881708</v>
      </c>
      <c r="S218" s="1">
        <f t="shared" si="2"/>
        <v>-114</v>
      </c>
      <c r="T218" s="1">
        <f t="shared" si="3"/>
        <v>1.877192982</v>
      </c>
      <c r="U218" s="1">
        <f t="shared" si="4"/>
        <v>0</v>
      </c>
      <c r="V218" s="3">
        <f t="shared" si="5"/>
        <v>3</v>
      </c>
      <c r="W218" s="3" t="str">
        <f>IFERROR(__xludf.DUMMYFUNCTION("split(B218,"" "")"),"J.")</f>
        <v>J.</v>
      </c>
      <c r="X218" s="3" t="str">
        <f>IFERROR(__xludf.DUMMYFUNCTION("""COMPUTED_VALUE"""),"Hurts")</f>
        <v>Hurts</v>
      </c>
      <c r="Z218" s="3">
        <v>13.0</v>
      </c>
      <c r="AA218" s="3">
        <f t="shared" si="6"/>
        <v>1</v>
      </c>
      <c r="AB218" s="3">
        <f t="shared" si="7"/>
        <v>0</v>
      </c>
      <c r="AC218" s="3">
        <f t="shared" si="8"/>
        <v>2.631578947</v>
      </c>
      <c r="AD218" s="3">
        <f t="shared" si="9"/>
        <v>-3</v>
      </c>
    </row>
    <row r="219">
      <c r="A219" s="1" t="s">
        <v>15</v>
      </c>
      <c r="B219" s="1" t="s">
        <v>462</v>
      </c>
      <c r="C219" s="1" t="s">
        <v>21</v>
      </c>
      <c r="D219" s="1" t="s">
        <v>89</v>
      </c>
      <c r="E219" s="1" t="s">
        <v>88</v>
      </c>
      <c r="F219" s="1" t="s">
        <v>90</v>
      </c>
      <c r="G219" s="1">
        <v>19.5</v>
      </c>
      <c r="H219" s="1" t="s">
        <v>60</v>
      </c>
      <c r="I219" s="1">
        <v>-127.0</v>
      </c>
      <c r="J219" s="1">
        <v>-0.186938549603524</v>
      </c>
      <c r="K219" s="1" t="s">
        <v>61</v>
      </c>
      <c r="L219" s="1" t="s">
        <v>61</v>
      </c>
      <c r="M219" s="1" t="s">
        <v>62</v>
      </c>
      <c r="N219" s="1">
        <v>-105.0</v>
      </c>
      <c r="O219" s="1">
        <v>0.115250455112195</v>
      </c>
      <c r="P219" s="1" t="s">
        <v>61</v>
      </c>
      <c r="Q219" s="1" t="s">
        <v>61</v>
      </c>
      <c r="R219" s="1">
        <f t="shared" si="1"/>
        <v>0.1152504551</v>
      </c>
      <c r="S219" s="1">
        <f t="shared" si="2"/>
        <v>-105</v>
      </c>
      <c r="T219" s="1">
        <f t="shared" si="3"/>
        <v>1.952380952</v>
      </c>
      <c r="U219" s="1">
        <f t="shared" si="4"/>
        <v>0</v>
      </c>
      <c r="V219" s="3">
        <f t="shared" si="5"/>
        <v>3</v>
      </c>
      <c r="W219" s="3" t="str">
        <f>IFERROR(__xludf.DUMMYFUNCTION("split(B219,"" "")"),"D.")</f>
        <v>D.</v>
      </c>
      <c r="X219" s="3" t="str">
        <f>IFERROR(__xludf.DUMMYFUNCTION("""COMPUTED_VALUE"""),"Watson")</f>
        <v>Watson</v>
      </c>
      <c r="Z219" s="3">
        <v>24.0</v>
      </c>
      <c r="AA219" s="3">
        <f t="shared" si="6"/>
        <v>1</v>
      </c>
      <c r="AB219" s="3">
        <f t="shared" si="7"/>
        <v>0</v>
      </c>
      <c r="AC219" s="3">
        <f t="shared" si="8"/>
        <v>2.857142857</v>
      </c>
      <c r="AD219" s="3">
        <f t="shared" si="9"/>
        <v>-3</v>
      </c>
    </row>
    <row r="220">
      <c r="A220" s="1" t="s">
        <v>8</v>
      </c>
      <c r="B220" s="1" t="s">
        <v>474</v>
      </c>
      <c r="C220" s="1" t="s">
        <v>21</v>
      </c>
      <c r="D220" s="1" t="s">
        <v>134</v>
      </c>
      <c r="E220" s="1" t="s">
        <v>135</v>
      </c>
      <c r="F220" s="1" t="s">
        <v>84</v>
      </c>
      <c r="G220" s="1">
        <v>2.5</v>
      </c>
      <c r="H220" s="1" t="s">
        <v>60</v>
      </c>
      <c r="I220" s="1">
        <v>-125.0</v>
      </c>
      <c r="J220" s="1">
        <v>-0.182479761500723</v>
      </c>
      <c r="K220" s="1" t="s">
        <v>61</v>
      </c>
      <c r="L220" s="1" t="s">
        <v>61</v>
      </c>
      <c r="M220" s="1" t="s">
        <v>62</v>
      </c>
      <c r="N220" s="1">
        <v>-105.0</v>
      </c>
      <c r="O220" s="1">
        <v>0.114748017827052</v>
      </c>
      <c r="P220" s="1" t="s">
        <v>61</v>
      </c>
      <c r="Q220" s="1" t="s">
        <v>61</v>
      </c>
      <c r="R220" s="1">
        <f t="shared" si="1"/>
        <v>0.1147480178</v>
      </c>
      <c r="S220" s="1">
        <f t="shared" si="2"/>
        <v>-105</v>
      </c>
      <c r="T220" s="1">
        <f t="shared" si="3"/>
        <v>1.952380952</v>
      </c>
      <c r="U220" s="1">
        <f t="shared" si="4"/>
        <v>0</v>
      </c>
      <c r="V220" s="3">
        <f t="shared" si="5"/>
        <v>3</v>
      </c>
      <c r="W220" s="3" t="str">
        <f>IFERROR(__xludf.DUMMYFUNCTION("split(B220,"" "")"),"G.")</f>
        <v>G.</v>
      </c>
      <c r="X220" s="3" t="str">
        <f>IFERROR(__xludf.DUMMYFUNCTION("""COMPUTED_VALUE"""),"Minshew")</f>
        <v>Minshew</v>
      </c>
      <c r="Z220" s="3">
        <v>3.0</v>
      </c>
      <c r="AA220" s="3">
        <f t="shared" si="6"/>
        <v>1</v>
      </c>
      <c r="AB220" s="3">
        <f t="shared" si="7"/>
        <v>0</v>
      </c>
      <c r="AC220" s="3">
        <f t="shared" si="8"/>
        <v>2.857142857</v>
      </c>
      <c r="AD220" s="3">
        <f t="shared" si="9"/>
        <v>-3</v>
      </c>
    </row>
    <row r="221">
      <c r="A221" s="1" t="s">
        <v>12</v>
      </c>
      <c r="B221" s="1" t="s">
        <v>264</v>
      </c>
      <c r="C221" s="1" t="s">
        <v>19</v>
      </c>
      <c r="D221" s="1" t="s">
        <v>109</v>
      </c>
      <c r="E221" s="1" t="s">
        <v>110</v>
      </c>
      <c r="F221" s="1" t="s">
        <v>59</v>
      </c>
      <c r="G221" s="1">
        <v>3.5</v>
      </c>
      <c r="H221" s="1" t="s">
        <v>60</v>
      </c>
      <c r="I221" s="1">
        <v>-124.0</v>
      </c>
      <c r="J221" s="1">
        <v>-0.187316071428571</v>
      </c>
      <c r="K221" s="1" t="s">
        <v>61</v>
      </c>
      <c r="L221" s="1" t="s">
        <v>61</v>
      </c>
      <c r="M221" s="1" t="s">
        <v>62</v>
      </c>
      <c r="N221" s="1">
        <v>-108.0</v>
      </c>
      <c r="O221" s="1">
        <v>0.114521153846154</v>
      </c>
      <c r="P221" s="1" t="s">
        <v>61</v>
      </c>
      <c r="Q221" s="1" t="s">
        <v>61</v>
      </c>
      <c r="R221" s="1">
        <f t="shared" si="1"/>
        <v>0.1145211538</v>
      </c>
      <c r="S221" s="1">
        <f t="shared" si="2"/>
        <v>-108</v>
      </c>
      <c r="T221" s="1">
        <f t="shared" si="3"/>
        <v>1.925925926</v>
      </c>
      <c r="U221" s="1">
        <f t="shared" si="4"/>
        <v>0</v>
      </c>
      <c r="V221" s="3">
        <f t="shared" si="5"/>
        <v>3</v>
      </c>
      <c r="W221" s="3" t="str">
        <f>IFERROR(__xludf.DUMMYFUNCTION("split(B221,"" "")"),"B.")</f>
        <v>B.</v>
      </c>
      <c r="X221" s="3" t="str">
        <f>IFERROR(__xludf.DUMMYFUNCTION("""COMPUTED_VALUE"""),"Robinson")</f>
        <v>Robinson</v>
      </c>
      <c r="Z221" s="3">
        <v>5.0</v>
      </c>
      <c r="AA221" s="3">
        <f t="shared" si="6"/>
        <v>1</v>
      </c>
      <c r="AB221" s="3">
        <f t="shared" si="7"/>
        <v>0</v>
      </c>
      <c r="AC221" s="3">
        <f t="shared" si="8"/>
        <v>2.777777778</v>
      </c>
      <c r="AD221" s="3">
        <f t="shared" si="9"/>
        <v>-3</v>
      </c>
    </row>
    <row r="222">
      <c r="A222" s="1" t="s">
        <v>12</v>
      </c>
      <c r="B222" s="1" t="s">
        <v>322</v>
      </c>
      <c r="C222" s="1" t="s">
        <v>18</v>
      </c>
      <c r="D222" s="1" t="s">
        <v>134</v>
      </c>
      <c r="E222" s="1" t="s">
        <v>135</v>
      </c>
      <c r="F222" s="1" t="s">
        <v>84</v>
      </c>
      <c r="G222" s="1">
        <v>6.5</v>
      </c>
      <c r="H222" s="1" t="s">
        <v>60</v>
      </c>
      <c r="I222" s="1">
        <v>118.0</v>
      </c>
      <c r="J222" s="1">
        <v>0.114230275229357</v>
      </c>
      <c r="K222" s="1" t="s">
        <v>61</v>
      </c>
      <c r="L222" s="1" t="s">
        <v>61</v>
      </c>
      <c r="M222" s="1" t="s">
        <v>62</v>
      </c>
      <c r="N222" s="1">
        <v>-158.0</v>
      </c>
      <c r="O222" s="1">
        <v>-0.185341860465116</v>
      </c>
      <c r="P222" s="1" t="s">
        <v>61</v>
      </c>
      <c r="Q222" s="1" t="s">
        <v>61</v>
      </c>
      <c r="R222" s="1">
        <f t="shared" si="1"/>
        <v>0.1142302752</v>
      </c>
      <c r="S222" s="1">
        <f t="shared" si="2"/>
        <v>118</v>
      </c>
      <c r="T222" s="1">
        <f t="shared" si="3"/>
        <v>2.18</v>
      </c>
      <c r="U222" s="1">
        <f t="shared" si="4"/>
        <v>1</v>
      </c>
      <c r="V222" s="3">
        <f t="shared" si="5"/>
        <v>3</v>
      </c>
      <c r="W222" s="3" t="str">
        <f>IFERROR(__xludf.DUMMYFUNCTION("split(B222,"" "")"),"D.")</f>
        <v>D.</v>
      </c>
      <c r="X222" s="3" t="str">
        <f>IFERROR(__xludf.DUMMYFUNCTION("""COMPUTED_VALUE"""),"Adams")</f>
        <v>Adams</v>
      </c>
      <c r="Z222" s="3">
        <v>5.0</v>
      </c>
      <c r="AA222" s="3">
        <f t="shared" si="6"/>
        <v>0</v>
      </c>
      <c r="AB222" s="3">
        <f t="shared" si="7"/>
        <v>0</v>
      </c>
      <c r="AC222" s="3">
        <f t="shared" si="8"/>
        <v>3.54</v>
      </c>
      <c r="AD222" s="3">
        <f t="shared" si="9"/>
        <v>-3</v>
      </c>
    </row>
    <row r="223">
      <c r="A223" s="1" t="s">
        <v>11</v>
      </c>
      <c r="B223" s="1" t="s">
        <v>439</v>
      </c>
      <c r="C223" s="1" t="s">
        <v>19</v>
      </c>
      <c r="D223" s="1" t="s">
        <v>135</v>
      </c>
      <c r="E223" s="1" t="s">
        <v>134</v>
      </c>
      <c r="F223" s="1" t="s">
        <v>84</v>
      </c>
      <c r="G223" s="1">
        <v>4.0</v>
      </c>
      <c r="H223" s="1" t="s">
        <v>60</v>
      </c>
      <c r="I223" s="1">
        <v>-115.0</v>
      </c>
      <c r="J223" s="1">
        <v>0.114059167671252</v>
      </c>
      <c r="K223" s="1" t="s">
        <v>61</v>
      </c>
      <c r="L223" s="1" t="s">
        <v>61</v>
      </c>
      <c r="M223" s="1" t="s">
        <v>62</v>
      </c>
      <c r="N223" s="1">
        <v>-115.0</v>
      </c>
      <c r="O223" s="1">
        <v>-0.18200304282194</v>
      </c>
      <c r="P223" s="1" t="s">
        <v>61</v>
      </c>
      <c r="Q223" s="1" t="s">
        <v>61</v>
      </c>
      <c r="R223" s="1">
        <f t="shared" si="1"/>
        <v>0.1140591677</v>
      </c>
      <c r="S223" s="1">
        <f t="shared" si="2"/>
        <v>-115</v>
      </c>
      <c r="T223" s="1">
        <f t="shared" si="3"/>
        <v>1.869565217</v>
      </c>
      <c r="U223" s="1">
        <f t="shared" si="4"/>
        <v>1</v>
      </c>
      <c r="V223" s="3">
        <f t="shared" si="5"/>
        <v>3</v>
      </c>
      <c r="W223" s="3" t="str">
        <f>IFERROR(__xludf.DUMMYFUNCTION("split(B223,"" "")"),"G.")</f>
        <v>G.</v>
      </c>
      <c r="X223" s="3" t="str">
        <f>IFERROR(__xludf.DUMMYFUNCTION("""COMPUTED_VALUE"""),"Edwards")</f>
        <v>Edwards</v>
      </c>
      <c r="Z223" s="3">
        <v>2.0</v>
      </c>
      <c r="AA223" s="3">
        <f t="shared" si="6"/>
        <v>0</v>
      </c>
      <c r="AB223" s="3">
        <f t="shared" si="7"/>
        <v>0</v>
      </c>
      <c r="AC223" s="3">
        <f t="shared" si="8"/>
        <v>2.608695652</v>
      </c>
      <c r="AD223" s="3">
        <f t="shared" si="9"/>
        <v>-3</v>
      </c>
    </row>
    <row r="224">
      <c r="A224" s="1" t="s">
        <v>12</v>
      </c>
      <c r="B224" s="1" t="s">
        <v>361</v>
      </c>
      <c r="C224" s="1" t="s">
        <v>19</v>
      </c>
      <c r="D224" s="1" t="s">
        <v>82</v>
      </c>
      <c r="E224" s="1" t="s">
        <v>83</v>
      </c>
      <c r="F224" s="1" t="s">
        <v>84</v>
      </c>
      <c r="G224" s="1">
        <v>1.5</v>
      </c>
      <c r="H224" s="1" t="s">
        <v>60</v>
      </c>
      <c r="I224" s="1">
        <v>-120.0</v>
      </c>
      <c r="J224" s="1">
        <v>-0.182991245595454</v>
      </c>
      <c r="K224" s="1" t="s">
        <v>61</v>
      </c>
      <c r="L224" s="1" t="s">
        <v>61</v>
      </c>
      <c r="M224" s="1" t="s">
        <v>62</v>
      </c>
      <c r="N224" s="1">
        <v>-110.0</v>
      </c>
      <c r="O224" s="1">
        <v>0.113732768733809</v>
      </c>
      <c r="P224" s="1" t="s">
        <v>61</v>
      </c>
      <c r="Q224" s="1" t="s">
        <v>61</v>
      </c>
      <c r="R224" s="1">
        <f t="shared" si="1"/>
        <v>0.1137327687</v>
      </c>
      <c r="S224" s="1">
        <f t="shared" si="2"/>
        <v>-110</v>
      </c>
      <c r="T224" s="1">
        <f t="shared" si="3"/>
        <v>1.909090909</v>
      </c>
      <c r="U224" s="1">
        <f t="shared" si="4"/>
        <v>0</v>
      </c>
      <c r="V224" s="3">
        <f t="shared" si="5"/>
        <v>3</v>
      </c>
      <c r="W224" s="3" t="str">
        <f>IFERROR(__xludf.DUMMYFUNCTION("split(B224,"" "")"),"Z.")</f>
        <v>Z.</v>
      </c>
      <c r="X224" s="3" t="str">
        <f>IFERROR(__xludf.DUMMYFUNCTION("""COMPUTED_VALUE"""),"Charbonnet")</f>
        <v>Charbonnet</v>
      </c>
      <c r="Z224" s="3">
        <v>2.0</v>
      </c>
      <c r="AA224" s="3">
        <f t="shared" si="6"/>
        <v>1</v>
      </c>
      <c r="AB224" s="3">
        <f t="shared" si="7"/>
        <v>0</v>
      </c>
      <c r="AC224" s="3">
        <f t="shared" si="8"/>
        <v>2.727272727</v>
      </c>
      <c r="AD224" s="3">
        <f t="shared" si="9"/>
        <v>-3</v>
      </c>
    </row>
    <row r="225">
      <c r="A225" s="1" t="s">
        <v>8</v>
      </c>
      <c r="B225" s="1" t="s">
        <v>377</v>
      </c>
      <c r="C225" s="1" t="s">
        <v>19</v>
      </c>
      <c r="D225" s="1" t="s">
        <v>146</v>
      </c>
      <c r="E225" s="1" t="s">
        <v>147</v>
      </c>
      <c r="F225" s="1" t="s">
        <v>59</v>
      </c>
      <c r="G225" s="1">
        <v>7.5</v>
      </c>
      <c r="H225" s="1" t="s">
        <v>60</v>
      </c>
      <c r="I225" s="1">
        <v>105.0</v>
      </c>
      <c r="J225" s="1">
        <v>-0.181294991868912</v>
      </c>
      <c r="K225" s="1" t="s">
        <v>61</v>
      </c>
      <c r="L225" s="1" t="s">
        <v>61</v>
      </c>
      <c r="M225" s="1" t="s">
        <v>62</v>
      </c>
      <c r="N225" s="1">
        <v>-138.0</v>
      </c>
      <c r="O225" s="1">
        <v>0.113670080831193</v>
      </c>
      <c r="P225" s="1" t="s">
        <v>61</v>
      </c>
      <c r="Q225" s="1" t="s">
        <v>61</v>
      </c>
      <c r="R225" s="1">
        <f t="shared" si="1"/>
        <v>0.1136700808</v>
      </c>
      <c r="S225" s="1">
        <f t="shared" si="2"/>
        <v>-138</v>
      </c>
      <c r="T225" s="1">
        <f t="shared" si="3"/>
        <v>1.724637681</v>
      </c>
      <c r="U225" s="1">
        <f t="shared" si="4"/>
        <v>0</v>
      </c>
      <c r="V225" s="3">
        <f t="shared" si="5"/>
        <v>3</v>
      </c>
      <c r="W225" s="3" t="str">
        <f>IFERROR(__xludf.DUMMYFUNCTION("split(B225,"" "")"),"T.")</f>
        <v>T.</v>
      </c>
      <c r="X225" s="3" t="str">
        <f>IFERROR(__xludf.DUMMYFUNCTION("""COMPUTED_VALUE"""),"Chandler")</f>
        <v>Chandler</v>
      </c>
      <c r="Z225" s="3">
        <v>8.0</v>
      </c>
      <c r="AA225" s="3">
        <f t="shared" si="6"/>
        <v>1</v>
      </c>
      <c r="AB225" s="3">
        <f t="shared" si="7"/>
        <v>0</v>
      </c>
      <c r="AC225" s="3">
        <f t="shared" si="8"/>
        <v>2.173913043</v>
      </c>
      <c r="AD225" s="3">
        <f t="shared" si="9"/>
        <v>-3</v>
      </c>
    </row>
    <row r="226">
      <c r="A226" s="1" t="s">
        <v>12</v>
      </c>
      <c r="B226" s="1" t="s">
        <v>351</v>
      </c>
      <c r="C226" s="1" t="s">
        <v>18</v>
      </c>
      <c r="D226" s="1" t="s">
        <v>99</v>
      </c>
      <c r="E226" s="1" t="s">
        <v>100</v>
      </c>
      <c r="F226" s="1" t="s">
        <v>59</v>
      </c>
      <c r="G226" s="1">
        <v>4.5</v>
      </c>
      <c r="H226" s="1" t="s">
        <v>60</v>
      </c>
      <c r="I226" s="1">
        <v>-150.0</v>
      </c>
      <c r="J226" s="1">
        <v>-0.17704</v>
      </c>
      <c r="K226" s="1" t="s">
        <v>61</v>
      </c>
      <c r="L226" s="1" t="s">
        <v>61</v>
      </c>
      <c r="M226" s="1" t="s">
        <v>62</v>
      </c>
      <c r="N226" s="1">
        <v>115.0</v>
      </c>
      <c r="O226" s="1">
        <v>0.111930232558139</v>
      </c>
      <c r="P226" s="1" t="s">
        <v>61</v>
      </c>
      <c r="Q226" s="1" t="s">
        <v>61</v>
      </c>
      <c r="R226" s="1">
        <f t="shared" si="1"/>
        <v>0.1119302326</v>
      </c>
      <c r="S226" s="1">
        <f t="shared" si="2"/>
        <v>115</v>
      </c>
      <c r="T226" s="1">
        <f t="shared" si="3"/>
        <v>2.15</v>
      </c>
      <c r="U226" s="1">
        <f t="shared" si="4"/>
        <v>0</v>
      </c>
      <c r="V226" s="3">
        <f t="shared" si="5"/>
        <v>3</v>
      </c>
      <c r="W226" s="3" t="str">
        <f>IFERROR(__xludf.DUMMYFUNCTION("split(B226,"" "")"),"D.")</f>
        <v>D.</v>
      </c>
      <c r="X226" s="3" t="str">
        <f>IFERROR(__xludf.DUMMYFUNCTION("""COMPUTED_VALUE"""),"Moore")</f>
        <v>Moore</v>
      </c>
      <c r="Z226" s="3">
        <v>5.0</v>
      </c>
      <c r="AA226" s="3">
        <f t="shared" si="6"/>
        <v>1</v>
      </c>
      <c r="AB226" s="3">
        <f t="shared" si="7"/>
        <v>0</v>
      </c>
      <c r="AC226" s="3">
        <f t="shared" si="8"/>
        <v>3.45</v>
      </c>
      <c r="AD226" s="3">
        <f t="shared" si="9"/>
        <v>-3</v>
      </c>
    </row>
    <row r="227">
      <c r="A227" s="1" t="s">
        <v>11</v>
      </c>
      <c r="B227" s="1" t="s">
        <v>143</v>
      </c>
      <c r="C227" s="1" t="s">
        <v>19</v>
      </c>
      <c r="D227" s="1" t="s">
        <v>99</v>
      </c>
      <c r="E227" s="1" t="s">
        <v>100</v>
      </c>
      <c r="F227" s="1" t="s">
        <v>59</v>
      </c>
      <c r="G227" s="1">
        <v>3.5</v>
      </c>
      <c r="H227" s="1" t="s">
        <v>60</v>
      </c>
      <c r="I227" s="1">
        <v>-115.0</v>
      </c>
      <c r="J227" s="1">
        <v>0.10918671992749</v>
      </c>
      <c r="K227" s="1" t="s">
        <v>61</v>
      </c>
      <c r="L227" s="1" t="s">
        <v>61</v>
      </c>
      <c r="M227" s="1" t="s">
        <v>62</v>
      </c>
      <c r="N227" s="1">
        <v>-115.0</v>
      </c>
      <c r="O227" s="1">
        <v>-0.178919727916614</v>
      </c>
      <c r="P227" s="1" t="s">
        <v>61</v>
      </c>
      <c r="Q227" s="1" t="s">
        <v>61</v>
      </c>
      <c r="R227" s="1">
        <f t="shared" si="1"/>
        <v>0.1091867199</v>
      </c>
      <c r="S227" s="1">
        <f t="shared" si="2"/>
        <v>-115</v>
      </c>
      <c r="T227" s="1">
        <f t="shared" si="3"/>
        <v>1.869565217</v>
      </c>
      <c r="U227" s="1">
        <f t="shared" si="4"/>
        <v>1</v>
      </c>
      <c r="V227" s="3">
        <f t="shared" si="5"/>
        <v>3</v>
      </c>
      <c r="W227" s="3" t="str">
        <f>IFERROR(__xludf.DUMMYFUNCTION("split(B227,"" "")"),"K.")</f>
        <v>K.</v>
      </c>
      <c r="X227" s="3" t="str">
        <f>IFERROR(__xludf.DUMMYFUNCTION("""COMPUTED_VALUE"""),"Herbert")</f>
        <v>Herbert</v>
      </c>
      <c r="Z227" s="3">
        <v>0.0</v>
      </c>
      <c r="AA227" s="3">
        <f t="shared" si="6"/>
        <v>0</v>
      </c>
      <c r="AB227" s="3">
        <f t="shared" si="7"/>
        <v>0</v>
      </c>
      <c r="AC227" s="3">
        <f t="shared" si="8"/>
        <v>2.608695652</v>
      </c>
      <c r="AD227" s="3">
        <f t="shared" si="9"/>
        <v>-3</v>
      </c>
    </row>
    <row r="228">
      <c r="A228" s="1" t="s">
        <v>9</v>
      </c>
      <c r="B228" s="1" t="s">
        <v>150</v>
      </c>
      <c r="C228" s="1" t="s">
        <v>18</v>
      </c>
      <c r="D228" s="1" t="s">
        <v>147</v>
      </c>
      <c r="E228" s="1" t="s">
        <v>146</v>
      </c>
      <c r="F228" s="1" t="s">
        <v>59</v>
      </c>
      <c r="G228" s="1">
        <v>18.5</v>
      </c>
      <c r="H228" s="1" t="s">
        <v>60</v>
      </c>
      <c r="I228" s="1">
        <v>-115.0</v>
      </c>
      <c r="J228" s="1">
        <v>0.108084833073562</v>
      </c>
      <c r="K228" s="1" t="s">
        <v>61</v>
      </c>
      <c r="L228" s="1" t="s">
        <v>61</v>
      </c>
      <c r="M228" s="1" t="s">
        <v>62</v>
      </c>
      <c r="N228" s="1">
        <v>-120.0</v>
      </c>
      <c r="O228" s="1">
        <v>-0.188383122422632</v>
      </c>
      <c r="P228" s="1" t="s">
        <v>61</v>
      </c>
      <c r="Q228" s="1" t="s">
        <v>61</v>
      </c>
      <c r="R228" s="1">
        <f t="shared" si="1"/>
        <v>0.1080848331</v>
      </c>
      <c r="S228" s="1">
        <f t="shared" si="2"/>
        <v>-115</v>
      </c>
      <c r="T228" s="1">
        <f t="shared" si="3"/>
        <v>1.869565217</v>
      </c>
      <c r="U228" s="1">
        <f t="shared" si="4"/>
        <v>1</v>
      </c>
      <c r="V228" s="3">
        <f t="shared" si="5"/>
        <v>3</v>
      </c>
      <c r="W228" s="3" t="str">
        <f>IFERROR(__xludf.DUMMYFUNCTION("split(B228,"" "")"),"J.")</f>
        <v>J.</v>
      </c>
      <c r="X228" s="3" t="str">
        <f>IFERROR(__xludf.DUMMYFUNCTION("""COMPUTED_VALUE"""),"Hyatt")</f>
        <v>Hyatt</v>
      </c>
      <c r="Z228" s="3">
        <v>0.0</v>
      </c>
      <c r="AA228" s="3">
        <f t="shared" si="6"/>
        <v>0</v>
      </c>
      <c r="AB228" s="3">
        <f t="shared" si="7"/>
        <v>0</v>
      </c>
      <c r="AC228" s="3">
        <f t="shared" si="8"/>
        <v>2.608695652</v>
      </c>
      <c r="AD228" s="3">
        <f t="shared" si="9"/>
        <v>-3</v>
      </c>
    </row>
    <row r="229">
      <c r="A229" s="1" t="s">
        <v>9</v>
      </c>
      <c r="B229" s="1" t="s">
        <v>448</v>
      </c>
      <c r="C229" s="1" t="s">
        <v>18</v>
      </c>
      <c r="D229" s="1" t="s">
        <v>83</v>
      </c>
      <c r="E229" s="1" t="s">
        <v>82</v>
      </c>
      <c r="F229" s="1" t="s">
        <v>84</v>
      </c>
      <c r="G229" s="1">
        <v>23.5</v>
      </c>
      <c r="H229" s="1" t="s">
        <v>60</v>
      </c>
      <c r="I229" s="1">
        <v>-110.0</v>
      </c>
      <c r="J229" s="1">
        <v>0.107495957595</v>
      </c>
      <c r="K229" s="1" t="s">
        <v>61</v>
      </c>
      <c r="L229" s="1" t="s">
        <v>61</v>
      </c>
      <c r="M229" s="1" t="s">
        <v>62</v>
      </c>
      <c r="N229" s="1">
        <v>-120.0</v>
      </c>
      <c r="O229" s="1">
        <v>-0.176731733245182</v>
      </c>
      <c r="P229" s="1" t="s">
        <v>61</v>
      </c>
      <c r="Q229" s="1" t="s">
        <v>61</v>
      </c>
      <c r="R229" s="1">
        <f t="shared" si="1"/>
        <v>0.1074959576</v>
      </c>
      <c r="S229" s="1">
        <f t="shared" si="2"/>
        <v>-110</v>
      </c>
      <c r="T229" s="1">
        <f t="shared" si="3"/>
        <v>1.909090909</v>
      </c>
      <c r="U229" s="1">
        <f t="shared" si="4"/>
        <v>1</v>
      </c>
      <c r="V229" s="3">
        <f t="shared" si="5"/>
        <v>3</v>
      </c>
      <c r="W229" s="3" t="str">
        <f>IFERROR(__xludf.DUMMYFUNCTION("split(B229,"" "")"),"M.")</f>
        <v>M.</v>
      </c>
      <c r="X229" s="3" t="str">
        <f>IFERROR(__xludf.DUMMYFUNCTION("""COMPUTED_VALUE"""),"Mims")</f>
        <v>Mims</v>
      </c>
      <c r="Y229" s="3" t="str">
        <f>IFERROR(__xludf.DUMMYFUNCTION("""COMPUTED_VALUE"""),"Jr.")</f>
        <v>Jr.</v>
      </c>
      <c r="Z229" s="3">
        <v>0.0</v>
      </c>
      <c r="AA229" s="3">
        <f t="shared" si="6"/>
        <v>0</v>
      </c>
      <c r="AB229" s="3">
        <f t="shared" si="7"/>
        <v>0</v>
      </c>
      <c r="AC229" s="3">
        <f t="shared" si="8"/>
        <v>2.727272727</v>
      </c>
      <c r="AD229" s="3">
        <f t="shared" si="9"/>
        <v>-3</v>
      </c>
    </row>
    <row r="230">
      <c r="A230" s="1" t="s">
        <v>12</v>
      </c>
      <c r="B230" s="1" t="s">
        <v>354</v>
      </c>
      <c r="C230" s="1" t="s">
        <v>18</v>
      </c>
      <c r="D230" s="1" t="s">
        <v>147</v>
      </c>
      <c r="E230" s="1" t="s">
        <v>146</v>
      </c>
      <c r="F230" s="1" t="s">
        <v>59</v>
      </c>
      <c r="G230" s="1">
        <v>3.5</v>
      </c>
      <c r="H230" s="1" t="s">
        <v>60</v>
      </c>
      <c r="I230" s="1">
        <v>-107.0</v>
      </c>
      <c r="J230" s="1">
        <v>-0.183408212560386</v>
      </c>
      <c r="K230" s="1" t="s">
        <v>61</v>
      </c>
      <c r="L230" s="1" t="s">
        <v>61</v>
      </c>
      <c r="M230" s="1" t="s">
        <v>62</v>
      </c>
      <c r="N230" s="1">
        <v>-127.0</v>
      </c>
      <c r="O230" s="1">
        <v>0.107028634361233</v>
      </c>
      <c r="P230" s="1" t="s">
        <v>61</v>
      </c>
      <c r="Q230" s="1" t="s">
        <v>61</v>
      </c>
      <c r="R230" s="1">
        <f t="shared" si="1"/>
        <v>0.1070286344</v>
      </c>
      <c r="S230" s="1">
        <f t="shared" si="2"/>
        <v>-127</v>
      </c>
      <c r="T230" s="1">
        <f t="shared" si="3"/>
        <v>1.787401575</v>
      </c>
      <c r="U230" s="1">
        <f t="shared" si="4"/>
        <v>0</v>
      </c>
      <c r="V230" s="3">
        <f t="shared" si="5"/>
        <v>3</v>
      </c>
      <c r="W230" s="3" t="str">
        <f>IFERROR(__xludf.DUMMYFUNCTION("split(B230,"" "")"),"W.")</f>
        <v>W.</v>
      </c>
      <c r="X230" s="3" t="str">
        <f>IFERROR(__xludf.DUMMYFUNCTION("""COMPUTED_VALUE"""),"Robinson")</f>
        <v>Robinson</v>
      </c>
      <c r="Z230" s="3">
        <v>6.0</v>
      </c>
      <c r="AA230" s="3">
        <f t="shared" si="6"/>
        <v>1</v>
      </c>
      <c r="AB230" s="3">
        <f t="shared" si="7"/>
        <v>0</v>
      </c>
      <c r="AC230" s="3">
        <f t="shared" si="8"/>
        <v>2.362204724</v>
      </c>
      <c r="AD230" s="3">
        <f t="shared" si="9"/>
        <v>-3</v>
      </c>
    </row>
    <row r="231">
      <c r="A231" s="1" t="s">
        <v>8</v>
      </c>
      <c r="B231" s="1" t="s">
        <v>320</v>
      </c>
      <c r="C231" s="1" t="s">
        <v>21</v>
      </c>
      <c r="D231" s="1" t="s">
        <v>114</v>
      </c>
      <c r="E231" s="1" t="s">
        <v>113</v>
      </c>
      <c r="F231" s="1" t="s">
        <v>90</v>
      </c>
      <c r="G231" s="1">
        <v>7.5</v>
      </c>
      <c r="H231" s="1" t="s">
        <v>60</v>
      </c>
      <c r="I231" s="1">
        <v>110.0</v>
      </c>
      <c r="J231" s="1">
        <v>-0.172735453905716</v>
      </c>
      <c r="K231" s="1" t="s">
        <v>61</v>
      </c>
      <c r="L231" s="1" t="s">
        <v>61</v>
      </c>
      <c r="M231" s="1" t="s">
        <v>62</v>
      </c>
      <c r="N231" s="1">
        <v>-145.0</v>
      </c>
      <c r="O231" s="1">
        <v>0.104727071296068</v>
      </c>
      <c r="P231" s="1" t="s">
        <v>61</v>
      </c>
      <c r="Q231" s="1" t="s">
        <v>61</v>
      </c>
      <c r="R231" s="1">
        <f t="shared" si="1"/>
        <v>0.1047270713</v>
      </c>
      <c r="S231" s="1">
        <f t="shared" si="2"/>
        <v>-145</v>
      </c>
      <c r="T231" s="1">
        <f t="shared" si="3"/>
        <v>1.689655172</v>
      </c>
      <c r="U231" s="1">
        <f t="shared" si="4"/>
        <v>0</v>
      </c>
      <c r="V231" s="3">
        <f t="shared" si="5"/>
        <v>3</v>
      </c>
      <c r="W231" s="3" t="str">
        <f>IFERROR(__xludf.DUMMYFUNCTION("split(B231,"" "")"),"J.")</f>
        <v>J.</v>
      </c>
      <c r="X231" s="3" t="str">
        <f>IFERROR(__xludf.DUMMYFUNCTION("""COMPUTED_VALUE"""),"Daniels")</f>
        <v>Daniels</v>
      </c>
      <c r="Z231" s="3">
        <v>16.0</v>
      </c>
      <c r="AA231" s="3">
        <f t="shared" si="6"/>
        <v>1</v>
      </c>
      <c r="AB231" s="3">
        <f t="shared" si="7"/>
        <v>0</v>
      </c>
      <c r="AC231" s="3">
        <f t="shared" si="8"/>
        <v>2.068965517</v>
      </c>
      <c r="AD231" s="3">
        <f t="shared" si="9"/>
        <v>-3</v>
      </c>
    </row>
    <row r="232">
      <c r="A232" s="1" t="s">
        <v>12</v>
      </c>
      <c r="B232" s="1" t="s">
        <v>182</v>
      </c>
      <c r="C232" s="1" t="s">
        <v>19</v>
      </c>
      <c r="D232" s="1" t="s">
        <v>77</v>
      </c>
      <c r="E232" s="1" t="s">
        <v>76</v>
      </c>
      <c r="F232" s="1" t="s">
        <v>78</v>
      </c>
      <c r="G232" s="1">
        <v>1.5</v>
      </c>
      <c r="H232" s="1" t="s">
        <v>60</v>
      </c>
      <c r="I232" s="1">
        <v>-123.0</v>
      </c>
      <c r="J232" s="6">
        <v>-0.175468591022421</v>
      </c>
      <c r="K232" s="1" t="s">
        <v>61</v>
      </c>
      <c r="L232" s="1" t="s">
        <v>61</v>
      </c>
      <c r="M232" s="1" t="s">
        <v>62</v>
      </c>
      <c r="N232" s="1">
        <v>-108.0</v>
      </c>
      <c r="O232" s="6">
        <v>0.104668170489615</v>
      </c>
      <c r="P232" s="1" t="s">
        <v>61</v>
      </c>
      <c r="Q232" s="1" t="s">
        <v>61</v>
      </c>
      <c r="R232" s="6">
        <f t="shared" si="1"/>
        <v>0.1046681705</v>
      </c>
      <c r="S232" s="1">
        <f t="shared" si="2"/>
        <v>-108</v>
      </c>
      <c r="T232" s="1">
        <f t="shared" si="3"/>
        <v>1.925925926</v>
      </c>
      <c r="U232" s="1">
        <f t="shared" si="4"/>
        <v>0</v>
      </c>
      <c r="V232" s="3">
        <f t="shared" si="5"/>
        <v>3</v>
      </c>
      <c r="W232" s="3" t="str">
        <f>IFERROR(__xludf.DUMMYFUNCTION("split(B232,"" "")"),"J.")</f>
        <v>J.</v>
      </c>
      <c r="X232" s="3" t="str">
        <f>IFERROR(__xludf.DUMMYFUNCTION("""COMPUTED_VALUE"""),"Hill")</f>
        <v>Hill</v>
      </c>
      <c r="Z232" s="3">
        <v>6.0</v>
      </c>
      <c r="AA232" s="3">
        <f t="shared" si="6"/>
        <v>1</v>
      </c>
      <c r="AB232" s="3">
        <f t="shared" si="7"/>
        <v>0</v>
      </c>
      <c r="AC232" s="3">
        <f t="shared" si="8"/>
        <v>2.777777778</v>
      </c>
      <c r="AD232" s="3">
        <f t="shared" si="9"/>
        <v>-3</v>
      </c>
    </row>
    <row r="233">
      <c r="A233" s="1" t="s">
        <v>12</v>
      </c>
      <c r="B233" s="1" t="s">
        <v>451</v>
      </c>
      <c r="C233" s="1" t="s">
        <v>18</v>
      </c>
      <c r="D233" s="1" t="s">
        <v>105</v>
      </c>
      <c r="E233" s="1" t="s">
        <v>104</v>
      </c>
      <c r="F233" s="1" t="s">
        <v>59</v>
      </c>
      <c r="G233" s="1">
        <v>3.5</v>
      </c>
      <c r="H233" s="1" t="s">
        <v>60</v>
      </c>
      <c r="I233" s="1">
        <v>132.0</v>
      </c>
      <c r="J233" s="1">
        <v>-0.17172889915862</v>
      </c>
      <c r="K233" s="1" t="s">
        <v>61</v>
      </c>
      <c r="L233" s="1" t="s">
        <v>61</v>
      </c>
      <c r="M233" s="1" t="s">
        <v>62</v>
      </c>
      <c r="N233" s="1">
        <v>-175.0</v>
      </c>
      <c r="O233" s="1">
        <v>0.104330118618181</v>
      </c>
      <c r="P233" s="1" t="s">
        <v>61</v>
      </c>
      <c r="Q233" s="1" t="s">
        <v>61</v>
      </c>
      <c r="R233" s="1">
        <f t="shared" si="1"/>
        <v>0.1043301186</v>
      </c>
      <c r="S233" s="1">
        <f t="shared" si="2"/>
        <v>-175</v>
      </c>
      <c r="T233" s="1">
        <f t="shared" si="3"/>
        <v>1.571428571</v>
      </c>
      <c r="U233" s="1">
        <f t="shared" si="4"/>
        <v>0</v>
      </c>
      <c r="V233" s="3">
        <f t="shared" si="5"/>
        <v>3</v>
      </c>
      <c r="W233" s="3" t="str">
        <f>IFERROR(__xludf.DUMMYFUNCTION("split(B233,"" "")"),"G.")</f>
        <v>G.</v>
      </c>
      <c r="X233" s="3" t="str">
        <f>IFERROR(__xludf.DUMMYFUNCTION("""COMPUTED_VALUE"""),"Dortch")</f>
        <v>Dortch</v>
      </c>
      <c r="Z233" s="3">
        <v>6.0</v>
      </c>
      <c r="AA233" s="3">
        <f t="shared" si="6"/>
        <v>1</v>
      </c>
      <c r="AB233" s="3">
        <f t="shared" si="7"/>
        <v>0</v>
      </c>
      <c r="AC233" s="3">
        <f t="shared" si="8"/>
        <v>1.714285714</v>
      </c>
      <c r="AD233" s="3">
        <f t="shared" si="9"/>
        <v>-3</v>
      </c>
    </row>
    <row r="234">
      <c r="A234" s="1" t="s">
        <v>12</v>
      </c>
      <c r="B234" s="1" t="s">
        <v>458</v>
      </c>
      <c r="C234" s="1" t="s">
        <v>19</v>
      </c>
      <c r="D234" s="1" t="s">
        <v>104</v>
      </c>
      <c r="E234" s="1" t="s">
        <v>105</v>
      </c>
      <c r="F234" s="1" t="s">
        <v>59</v>
      </c>
      <c r="G234" s="1">
        <v>2.5</v>
      </c>
      <c r="H234" s="1" t="s">
        <v>60</v>
      </c>
      <c r="I234" s="1">
        <v>-109.0</v>
      </c>
      <c r="J234" s="1">
        <v>-0.171377058229664</v>
      </c>
      <c r="K234" s="1" t="s">
        <v>61</v>
      </c>
      <c r="L234" s="1" t="s">
        <v>61</v>
      </c>
      <c r="M234" s="1" t="s">
        <v>62</v>
      </c>
      <c r="N234" s="1">
        <v>-121.0</v>
      </c>
      <c r="O234" s="1">
        <v>0.102341277175113</v>
      </c>
      <c r="P234" s="1" t="s">
        <v>61</v>
      </c>
      <c r="Q234" s="1" t="s">
        <v>61</v>
      </c>
      <c r="R234" s="1">
        <f t="shared" si="1"/>
        <v>0.1023412772</v>
      </c>
      <c r="S234" s="1">
        <f t="shared" si="2"/>
        <v>-121</v>
      </c>
      <c r="T234" s="1">
        <f t="shared" si="3"/>
        <v>1.826446281</v>
      </c>
      <c r="U234" s="1">
        <f t="shared" si="4"/>
        <v>0</v>
      </c>
      <c r="V234" s="3">
        <f t="shared" si="5"/>
        <v>3</v>
      </c>
      <c r="W234" s="3" t="str">
        <f>IFERROR(__xludf.DUMMYFUNCTION("split(B234,"" "")"),"J.")</f>
        <v>J.</v>
      </c>
      <c r="X234" s="3" t="str">
        <f>IFERROR(__xludf.DUMMYFUNCTION("""COMPUTED_VALUE"""),"Cook")</f>
        <v>Cook</v>
      </c>
      <c r="Z234" s="3">
        <v>3.0</v>
      </c>
      <c r="AA234" s="3">
        <f t="shared" si="6"/>
        <v>1</v>
      </c>
      <c r="AB234" s="3">
        <f t="shared" si="7"/>
        <v>0</v>
      </c>
      <c r="AC234" s="3">
        <f t="shared" si="8"/>
        <v>2.479338843</v>
      </c>
      <c r="AD234" s="3">
        <f t="shared" si="9"/>
        <v>-3</v>
      </c>
    </row>
    <row r="235">
      <c r="A235" s="1" t="s">
        <v>12</v>
      </c>
      <c r="B235" s="1" t="s">
        <v>422</v>
      </c>
      <c r="C235" s="1" t="s">
        <v>18</v>
      </c>
      <c r="D235" s="1" t="s">
        <v>83</v>
      </c>
      <c r="E235" s="1" t="s">
        <v>82</v>
      </c>
      <c r="F235" s="1" t="s">
        <v>84</v>
      </c>
      <c r="G235" s="1">
        <v>2.5</v>
      </c>
      <c r="H235" s="1" t="s">
        <v>60</v>
      </c>
      <c r="I235" s="1">
        <v>-103.0</v>
      </c>
      <c r="J235" s="1">
        <v>-0.170738226354679</v>
      </c>
      <c r="K235" s="1" t="s">
        <v>61</v>
      </c>
      <c r="L235" s="1" t="s">
        <v>61</v>
      </c>
      <c r="M235" s="1" t="s">
        <v>62</v>
      </c>
      <c r="N235" s="1">
        <v>-128.0</v>
      </c>
      <c r="O235" s="1">
        <v>0.101938441824561</v>
      </c>
      <c r="P235" s="1" t="s">
        <v>61</v>
      </c>
      <c r="Q235" s="1" t="s">
        <v>61</v>
      </c>
      <c r="R235" s="1">
        <f t="shared" si="1"/>
        <v>0.1019384418</v>
      </c>
      <c r="S235" s="1">
        <f t="shared" si="2"/>
        <v>-128</v>
      </c>
      <c r="T235" s="1">
        <f t="shared" si="3"/>
        <v>1.78125</v>
      </c>
      <c r="U235" s="1">
        <f t="shared" si="4"/>
        <v>0</v>
      </c>
      <c r="V235" s="3">
        <f t="shared" si="5"/>
        <v>3</v>
      </c>
      <c r="W235" s="3" t="str">
        <f>IFERROR(__xludf.DUMMYFUNCTION("split(B235,"" "")"),"J.")</f>
        <v>J.</v>
      </c>
      <c r="X235" s="3" t="str">
        <f>IFERROR(__xludf.DUMMYFUNCTION("""COMPUTED_VALUE"""),"Reynolds")</f>
        <v>Reynolds</v>
      </c>
      <c r="Z235" s="3">
        <v>5.0</v>
      </c>
      <c r="AA235" s="3">
        <f t="shared" si="6"/>
        <v>1</v>
      </c>
      <c r="AB235" s="3">
        <f t="shared" si="7"/>
        <v>0</v>
      </c>
      <c r="AC235" s="3">
        <f t="shared" si="8"/>
        <v>2.34375</v>
      </c>
      <c r="AD235" s="3">
        <f t="shared" si="9"/>
        <v>-3</v>
      </c>
    </row>
    <row r="236">
      <c r="A236" s="1" t="s">
        <v>14</v>
      </c>
      <c r="B236" s="1" t="s">
        <v>369</v>
      </c>
      <c r="C236" s="1" t="s">
        <v>21</v>
      </c>
      <c r="D236" s="1" t="s">
        <v>72</v>
      </c>
      <c r="E236" s="1" t="s">
        <v>71</v>
      </c>
      <c r="F236" s="1" t="s">
        <v>59</v>
      </c>
      <c r="G236" s="1">
        <v>1.5</v>
      </c>
      <c r="H236" s="1" t="s">
        <v>60</v>
      </c>
      <c r="I236" s="1">
        <v>-165.0</v>
      </c>
      <c r="J236" s="1">
        <v>-0.169403773584905</v>
      </c>
      <c r="K236" s="1" t="s">
        <v>61</v>
      </c>
      <c r="L236" s="1" t="s">
        <v>61</v>
      </c>
      <c r="M236" s="1" t="s">
        <v>62</v>
      </c>
      <c r="N236" s="1">
        <v>124.0</v>
      </c>
      <c r="O236" s="1">
        <v>0.100326785714285</v>
      </c>
      <c r="P236" s="1" t="s">
        <v>61</v>
      </c>
      <c r="Q236" s="1" t="s">
        <v>61</v>
      </c>
      <c r="R236" s="1">
        <f t="shared" si="1"/>
        <v>0.1003267857</v>
      </c>
      <c r="S236" s="1">
        <f t="shared" si="2"/>
        <v>124</v>
      </c>
      <c r="T236" s="1">
        <f t="shared" si="3"/>
        <v>2.24</v>
      </c>
      <c r="U236" s="1">
        <f t="shared" si="4"/>
        <v>0</v>
      </c>
      <c r="V236" s="3">
        <f t="shared" si="5"/>
        <v>3</v>
      </c>
      <c r="W236" s="3" t="str">
        <f>IFERROR(__xludf.DUMMYFUNCTION("split(B236,"" "")"),"C.")</f>
        <v>C.</v>
      </c>
      <c r="X236" s="3" t="str">
        <f>IFERROR(__xludf.DUMMYFUNCTION("""COMPUTED_VALUE"""),"Stroud")</f>
        <v>Stroud</v>
      </c>
      <c r="Z236" s="3">
        <v>2.0</v>
      </c>
      <c r="AA236" s="3">
        <f t="shared" si="6"/>
        <v>1</v>
      </c>
      <c r="AB236" s="3">
        <f t="shared" si="7"/>
        <v>0</v>
      </c>
      <c r="AC236" s="3">
        <f t="shared" si="8"/>
        <v>3.72</v>
      </c>
      <c r="AD236" s="3">
        <f t="shared" si="9"/>
        <v>-3</v>
      </c>
    </row>
    <row r="237">
      <c r="A237" s="1" t="s">
        <v>12</v>
      </c>
      <c r="B237" s="1" t="s">
        <v>285</v>
      </c>
      <c r="C237" s="1" t="s">
        <v>18</v>
      </c>
      <c r="D237" s="1" t="s">
        <v>164</v>
      </c>
      <c r="E237" s="1" t="s">
        <v>165</v>
      </c>
      <c r="F237" s="1" t="s">
        <v>166</v>
      </c>
      <c r="G237" s="1">
        <v>1.5</v>
      </c>
      <c r="H237" s="1" t="s">
        <v>60</v>
      </c>
      <c r="I237" s="1">
        <v>-195.0</v>
      </c>
      <c r="J237" s="1">
        <v>-0.317579621694915</v>
      </c>
      <c r="K237" s="1" t="s">
        <v>61</v>
      </c>
      <c r="L237" s="1" t="s">
        <v>61</v>
      </c>
      <c r="M237" s="1" t="s">
        <v>62</v>
      </c>
      <c r="N237" s="1">
        <v>141.0</v>
      </c>
      <c r="O237" s="1">
        <v>0.241638956016597</v>
      </c>
      <c r="P237" s="1" t="s">
        <v>61</v>
      </c>
      <c r="Q237" s="1" t="s">
        <v>61</v>
      </c>
      <c r="R237" s="1">
        <f t="shared" si="1"/>
        <v>0.241638956</v>
      </c>
      <c r="S237" s="1">
        <f t="shared" si="2"/>
        <v>141</v>
      </c>
      <c r="T237" s="1">
        <f t="shared" si="3"/>
        <v>2.41</v>
      </c>
      <c r="U237" s="1">
        <f t="shared" si="4"/>
        <v>0</v>
      </c>
      <c r="V237" s="3">
        <f t="shared" si="5"/>
        <v>3</v>
      </c>
      <c r="W237" s="3" t="str">
        <f>IFERROR(__xludf.DUMMYFUNCTION("split(B237,"" "")"),"J.")</f>
        <v>J.</v>
      </c>
      <c r="X237" s="3" t="str">
        <f>IFERROR(__xludf.DUMMYFUNCTION("""COMPUTED_VALUE"""),"Jennings")</f>
        <v>Jennings</v>
      </c>
      <c r="Z237" s="3">
        <v>5.0</v>
      </c>
      <c r="AA237" s="3">
        <f t="shared" si="6"/>
        <v>1</v>
      </c>
      <c r="AB237" s="3">
        <f t="shared" si="7"/>
        <v>0</v>
      </c>
      <c r="AC237" s="3">
        <f t="shared" si="8"/>
        <v>4.23</v>
      </c>
      <c r="AD237" s="3">
        <f t="shared" si="9"/>
        <v>-3</v>
      </c>
    </row>
    <row r="238">
      <c r="A238" s="1" t="s">
        <v>12</v>
      </c>
      <c r="B238" s="1" t="s">
        <v>291</v>
      </c>
      <c r="C238" s="1" t="s">
        <v>18</v>
      </c>
      <c r="D238" s="1" t="s">
        <v>165</v>
      </c>
      <c r="E238" s="1" t="s">
        <v>164</v>
      </c>
      <c r="F238" s="1" t="s">
        <v>166</v>
      </c>
      <c r="G238" s="1">
        <v>1.5</v>
      </c>
      <c r="H238" s="1" t="s">
        <v>60</v>
      </c>
      <c r="I238" s="1">
        <v>-135.0</v>
      </c>
      <c r="J238" s="1">
        <v>-0.297919303613191</v>
      </c>
      <c r="K238" s="1" t="s">
        <v>61</v>
      </c>
      <c r="L238" s="1" t="s">
        <v>61</v>
      </c>
      <c r="M238" s="1" t="s">
        <v>62</v>
      </c>
      <c r="N238" s="1">
        <v>101.0</v>
      </c>
      <c r="O238" s="1">
        <v>0.225930529099999</v>
      </c>
      <c r="P238" s="1" t="s">
        <v>61</v>
      </c>
      <c r="Q238" s="1" t="s">
        <v>61</v>
      </c>
      <c r="R238" s="1">
        <f t="shared" si="1"/>
        <v>0.2259305291</v>
      </c>
      <c r="S238" s="1">
        <f t="shared" si="2"/>
        <v>101</v>
      </c>
      <c r="T238" s="1">
        <f t="shared" si="3"/>
        <v>2.01</v>
      </c>
      <c r="U238" s="1">
        <f t="shared" si="4"/>
        <v>0</v>
      </c>
      <c r="V238" s="3">
        <f t="shared" si="5"/>
        <v>3</v>
      </c>
      <c r="W238" s="3" t="str">
        <f>IFERROR(__xludf.DUMMYFUNCTION("split(B238,"" "")"),"A.")</f>
        <v>A.</v>
      </c>
      <c r="X238" s="3" t="str">
        <f>IFERROR(__xludf.DUMMYFUNCTION("""COMPUTED_VALUE"""),"Lazard")</f>
        <v>Lazard</v>
      </c>
      <c r="Z238" s="3">
        <v>6.0</v>
      </c>
      <c r="AA238" s="3">
        <f t="shared" si="6"/>
        <v>1</v>
      </c>
      <c r="AB238" s="3">
        <f t="shared" si="7"/>
        <v>0</v>
      </c>
      <c r="AC238" s="3">
        <f t="shared" si="8"/>
        <v>3.03</v>
      </c>
      <c r="AD238" s="3">
        <f t="shared" si="9"/>
        <v>-3</v>
      </c>
    </row>
    <row r="239">
      <c r="A239" s="1" t="s">
        <v>12</v>
      </c>
      <c r="B239" s="1" t="s">
        <v>332</v>
      </c>
      <c r="C239" s="1" t="s">
        <v>20</v>
      </c>
      <c r="D239" s="1" t="s">
        <v>164</v>
      </c>
      <c r="E239" s="1" t="s">
        <v>165</v>
      </c>
      <c r="F239" s="1" t="s">
        <v>166</v>
      </c>
      <c r="G239" s="1">
        <v>3.5</v>
      </c>
      <c r="H239" s="1" t="s">
        <v>60</v>
      </c>
      <c r="I239" s="1">
        <v>-150.0</v>
      </c>
      <c r="J239" s="1">
        <v>-0.225059999999999</v>
      </c>
      <c r="K239" s="1" t="s">
        <v>61</v>
      </c>
      <c r="L239" s="1" t="s">
        <v>61</v>
      </c>
      <c r="M239" s="1" t="s">
        <v>62</v>
      </c>
      <c r="N239" s="1">
        <v>110.0</v>
      </c>
      <c r="O239" s="1">
        <v>0.148861904761904</v>
      </c>
      <c r="P239" s="1" t="s">
        <v>61</v>
      </c>
      <c r="Q239" s="1" t="s">
        <v>61</v>
      </c>
      <c r="R239" s="1">
        <f t="shared" si="1"/>
        <v>0.1488619048</v>
      </c>
      <c r="S239" s="1">
        <f t="shared" si="2"/>
        <v>110</v>
      </c>
      <c r="T239" s="1">
        <f t="shared" si="3"/>
        <v>2.1</v>
      </c>
      <c r="U239" s="1">
        <f t="shared" si="4"/>
        <v>0</v>
      </c>
      <c r="V239" s="3">
        <f t="shared" si="5"/>
        <v>3</v>
      </c>
      <c r="W239" s="3" t="str">
        <f>IFERROR(__xludf.DUMMYFUNCTION("split(B239,"" "")"),"G.")</f>
        <v>G.</v>
      </c>
      <c r="X239" s="3" t="str">
        <f>IFERROR(__xludf.DUMMYFUNCTION("""COMPUTED_VALUE"""),"Kittle")</f>
        <v>Kittle</v>
      </c>
      <c r="Z239" s="3">
        <v>4.0</v>
      </c>
      <c r="AA239" s="3">
        <f t="shared" si="6"/>
        <v>1</v>
      </c>
      <c r="AB239" s="3">
        <f t="shared" si="7"/>
        <v>0</v>
      </c>
      <c r="AC239" s="3">
        <f t="shared" si="8"/>
        <v>3.3</v>
      </c>
      <c r="AD239" s="3">
        <f t="shared" si="9"/>
        <v>-3</v>
      </c>
    </row>
    <row r="240">
      <c r="A240" s="1" t="s">
        <v>11</v>
      </c>
      <c r="B240" s="1" t="s">
        <v>503</v>
      </c>
      <c r="C240" s="1" t="s">
        <v>20</v>
      </c>
      <c r="D240" s="1" t="s">
        <v>165</v>
      </c>
      <c r="E240" s="1" t="s">
        <v>164</v>
      </c>
      <c r="F240" s="1" t="s">
        <v>166</v>
      </c>
      <c r="G240" s="1">
        <v>4.5</v>
      </c>
      <c r="H240" s="1" t="s">
        <v>60</v>
      </c>
      <c r="I240" s="1">
        <v>-112.0</v>
      </c>
      <c r="J240" s="1">
        <v>0.129027444464701</v>
      </c>
      <c r="K240" s="1" t="s">
        <v>61</v>
      </c>
      <c r="L240" s="1" t="s">
        <v>61</v>
      </c>
      <c r="M240" s="1" t="s">
        <v>62</v>
      </c>
      <c r="N240" s="1">
        <v>-114.0</v>
      </c>
      <c r="O240" s="1">
        <v>-0.190043405505743</v>
      </c>
      <c r="P240" s="1" t="s">
        <v>61</v>
      </c>
      <c r="Q240" s="1" t="s">
        <v>61</v>
      </c>
      <c r="R240" s="1">
        <f t="shared" si="1"/>
        <v>0.1290274445</v>
      </c>
      <c r="S240" s="1">
        <f t="shared" si="2"/>
        <v>-112</v>
      </c>
      <c r="T240" s="1">
        <f t="shared" si="3"/>
        <v>1.892857143</v>
      </c>
      <c r="U240" s="1">
        <f t="shared" si="4"/>
        <v>1</v>
      </c>
      <c r="V240" s="3">
        <f t="shared" si="5"/>
        <v>3</v>
      </c>
      <c r="W240" s="3" t="str">
        <f>IFERROR(__xludf.DUMMYFUNCTION("split(B240,"" "")"),"J.")</f>
        <v>J.</v>
      </c>
      <c r="X240" s="3" t="str">
        <f>IFERROR(__xludf.DUMMYFUNCTION("""COMPUTED_VALUE"""),"Ruckert")</f>
        <v>Ruckert</v>
      </c>
      <c r="Z240" s="3">
        <v>0.0</v>
      </c>
      <c r="AA240" s="3">
        <f t="shared" si="6"/>
        <v>0</v>
      </c>
      <c r="AB240" s="3">
        <f t="shared" si="7"/>
        <v>0</v>
      </c>
      <c r="AC240" s="3">
        <f t="shared" si="8"/>
        <v>2.678571429</v>
      </c>
      <c r="AD240" s="3">
        <f t="shared" si="9"/>
        <v>-3</v>
      </c>
    </row>
    <row r="241">
      <c r="A241" s="1" t="s">
        <v>8</v>
      </c>
      <c r="B241" s="1" t="s">
        <v>496</v>
      </c>
      <c r="C241" s="1" t="s">
        <v>18</v>
      </c>
      <c r="D241" s="1" t="s">
        <v>164</v>
      </c>
      <c r="E241" s="1" t="s">
        <v>165</v>
      </c>
      <c r="F241" s="1" t="s">
        <v>166</v>
      </c>
      <c r="G241" s="1">
        <v>3.5</v>
      </c>
      <c r="H241" s="1" t="s">
        <v>60</v>
      </c>
      <c r="I241" s="1">
        <v>112.0</v>
      </c>
      <c r="J241" s="1">
        <v>-0.184794524403229</v>
      </c>
      <c r="K241" s="1" t="s">
        <v>61</v>
      </c>
      <c r="L241" s="1" t="s">
        <v>61</v>
      </c>
      <c r="M241" s="1" t="s">
        <v>62</v>
      </c>
      <c r="N241" s="1">
        <v>-146.0</v>
      </c>
      <c r="O241" s="1">
        <v>0.119600033367042</v>
      </c>
      <c r="P241" s="1" t="s">
        <v>61</v>
      </c>
      <c r="Q241" s="1" t="s">
        <v>61</v>
      </c>
      <c r="R241" s="1">
        <f t="shared" si="1"/>
        <v>0.1196000334</v>
      </c>
      <c r="S241" s="1">
        <f t="shared" si="2"/>
        <v>-146</v>
      </c>
      <c r="T241" s="1">
        <f t="shared" si="3"/>
        <v>1.684931507</v>
      </c>
      <c r="U241" s="1">
        <f t="shared" si="4"/>
        <v>0</v>
      </c>
      <c r="V241" s="3">
        <f t="shared" si="5"/>
        <v>3</v>
      </c>
      <c r="W241" s="3" t="str">
        <f>IFERROR(__xludf.DUMMYFUNCTION("split(B241,"" "")"),"D.")</f>
        <v>D.</v>
      </c>
      <c r="X241" s="3" t="str">
        <f>IFERROR(__xludf.DUMMYFUNCTION("""COMPUTED_VALUE"""),"Samuel")</f>
        <v>Samuel</v>
      </c>
      <c r="Z241" s="3">
        <v>8.0</v>
      </c>
      <c r="AA241" s="3">
        <f t="shared" si="6"/>
        <v>1</v>
      </c>
      <c r="AB241" s="3">
        <f t="shared" si="7"/>
        <v>0</v>
      </c>
      <c r="AC241" s="3">
        <f t="shared" si="8"/>
        <v>2.054794521</v>
      </c>
      <c r="AD241" s="3">
        <f t="shared" si="9"/>
        <v>-3</v>
      </c>
    </row>
    <row r="242">
      <c r="A242" s="1" t="s">
        <v>9</v>
      </c>
      <c r="B242" s="1" t="s">
        <v>264</v>
      </c>
      <c r="C242" s="1" t="s">
        <v>19</v>
      </c>
      <c r="D242" s="1" t="s">
        <v>114</v>
      </c>
      <c r="E242" s="1" t="s">
        <v>147</v>
      </c>
      <c r="F242" s="1" t="s">
        <v>455</v>
      </c>
      <c r="G242" s="1">
        <v>68.5</v>
      </c>
      <c r="H242" s="1" t="s">
        <v>60</v>
      </c>
      <c r="I242" s="1">
        <v>-114.0</v>
      </c>
      <c r="J242" s="1">
        <v>-0.0731743227876098</v>
      </c>
      <c r="K242" s="1" t="s">
        <v>61</v>
      </c>
      <c r="L242" s="1" t="s">
        <v>61</v>
      </c>
      <c r="M242" s="1" t="s">
        <v>62</v>
      </c>
      <c r="N242" s="1">
        <v>-117.0</v>
      </c>
      <c r="O242" s="1">
        <v>0.00130338681825703</v>
      </c>
      <c r="P242" s="1" t="s">
        <v>61</v>
      </c>
      <c r="Q242" s="1" t="s">
        <v>61</v>
      </c>
      <c r="R242" s="1">
        <f t="shared" si="1"/>
        <v>0.001303386818</v>
      </c>
      <c r="S242" s="1">
        <f t="shared" si="2"/>
        <v>-117</v>
      </c>
      <c r="T242" s="1">
        <f t="shared" si="3"/>
        <v>1.854700855</v>
      </c>
      <c r="U242" s="1">
        <f t="shared" si="4"/>
        <v>0</v>
      </c>
      <c r="V242" s="3">
        <f t="shared" si="5"/>
        <v>1</v>
      </c>
      <c r="W242" s="3" t="str">
        <f>IFERROR(__xludf.DUMMYFUNCTION("split(B242,"" "")"),"B.")</f>
        <v>B.</v>
      </c>
      <c r="X242" s="3" t="str">
        <f>IFERROR(__xludf.DUMMYFUNCTION("""COMPUTED_VALUE"""),"Robinson")</f>
        <v>Robinson</v>
      </c>
      <c r="Z242" s="3">
        <v>18.0</v>
      </c>
      <c r="AA242" s="3">
        <f t="shared" si="6"/>
        <v>0</v>
      </c>
      <c r="AB242" s="3">
        <f t="shared" si="7"/>
        <v>1</v>
      </c>
      <c r="AC242" s="3">
        <f t="shared" si="8"/>
        <v>0.8547008547</v>
      </c>
      <c r="AD242" s="3">
        <f t="shared" si="9"/>
        <v>0.8547008547</v>
      </c>
    </row>
    <row r="243">
      <c r="A243" s="1" t="s">
        <v>9</v>
      </c>
      <c r="B243" s="1" t="s">
        <v>345</v>
      </c>
      <c r="C243" s="1" t="s">
        <v>19</v>
      </c>
      <c r="D243" s="1" t="s">
        <v>105</v>
      </c>
      <c r="E243" s="1" t="s">
        <v>196</v>
      </c>
      <c r="F243" s="1" t="s">
        <v>450</v>
      </c>
      <c r="G243" s="1">
        <v>82.5</v>
      </c>
      <c r="H243" s="1" t="s">
        <v>60</v>
      </c>
      <c r="I243" s="1">
        <v>-116.0</v>
      </c>
      <c r="J243" s="1">
        <v>-0.125021506770629</v>
      </c>
      <c r="K243" s="1" t="s">
        <v>61</v>
      </c>
      <c r="L243" s="1" t="s">
        <v>61</v>
      </c>
      <c r="M243" s="1" t="s">
        <v>62</v>
      </c>
      <c r="N243" s="1">
        <v>-116.0</v>
      </c>
      <c r="O243" s="1">
        <v>0.0509289478539302</v>
      </c>
      <c r="P243" s="1" t="s">
        <v>61</v>
      </c>
      <c r="Q243" s="1" t="s">
        <v>61</v>
      </c>
      <c r="R243" s="1">
        <f t="shared" si="1"/>
        <v>0.05092894785</v>
      </c>
      <c r="S243" s="1">
        <f t="shared" si="2"/>
        <v>-116</v>
      </c>
      <c r="T243" s="1">
        <f t="shared" si="3"/>
        <v>1.862068966</v>
      </c>
      <c r="U243" s="1">
        <f t="shared" si="4"/>
        <v>0</v>
      </c>
      <c r="V243" s="3">
        <f t="shared" si="5"/>
        <v>2</v>
      </c>
      <c r="W243" s="3" t="str">
        <f>IFERROR(__xludf.DUMMYFUNCTION("split(B243,"" "")"),"J.")</f>
        <v>J.</v>
      </c>
      <c r="X243" s="3" t="str">
        <f>IFERROR(__xludf.DUMMYFUNCTION("""COMPUTED_VALUE"""),"Conner")</f>
        <v>Conner</v>
      </c>
      <c r="Z243" s="3">
        <v>124.0</v>
      </c>
      <c r="AA243" s="3">
        <f t="shared" si="6"/>
        <v>1</v>
      </c>
      <c r="AB243" s="3">
        <f t="shared" si="7"/>
        <v>0</v>
      </c>
      <c r="AC243" s="3">
        <f t="shared" si="8"/>
        <v>1.724137931</v>
      </c>
      <c r="AD243" s="3">
        <f t="shared" si="9"/>
        <v>-2</v>
      </c>
    </row>
    <row r="244">
      <c r="A244" s="1" t="s">
        <v>10</v>
      </c>
      <c r="B244" s="1" t="s">
        <v>204</v>
      </c>
      <c r="C244" s="1" t="s">
        <v>21</v>
      </c>
      <c r="D244" s="1" t="s">
        <v>105</v>
      </c>
      <c r="E244" s="1" t="s">
        <v>196</v>
      </c>
      <c r="F244" s="1" t="s">
        <v>450</v>
      </c>
      <c r="G244" s="1">
        <v>34.5</v>
      </c>
      <c r="H244" s="1" t="s">
        <v>60</v>
      </c>
      <c r="I244" s="1">
        <v>-108.0</v>
      </c>
      <c r="J244" s="1">
        <v>-0.097119809976187</v>
      </c>
      <c r="K244" s="1" t="s">
        <v>61</v>
      </c>
      <c r="L244" s="1" t="s">
        <v>61</v>
      </c>
      <c r="M244" s="1" t="s">
        <v>62</v>
      </c>
      <c r="N244" s="1">
        <v>-123.0</v>
      </c>
      <c r="O244" s="1">
        <v>0.0263915523959986</v>
      </c>
      <c r="P244" s="1" t="s">
        <v>61</v>
      </c>
      <c r="Q244" s="1" t="s">
        <v>61</v>
      </c>
      <c r="R244" s="1">
        <f t="shared" si="1"/>
        <v>0.0263915524</v>
      </c>
      <c r="S244" s="1">
        <f t="shared" si="2"/>
        <v>-123</v>
      </c>
      <c r="T244" s="1">
        <f t="shared" si="3"/>
        <v>1.81300813</v>
      </c>
      <c r="U244" s="1">
        <f t="shared" si="4"/>
        <v>0</v>
      </c>
      <c r="V244" s="3">
        <f t="shared" si="5"/>
        <v>1</v>
      </c>
      <c r="W244" s="3" t="str">
        <f>IFERROR(__xludf.DUMMYFUNCTION("split(B244,"" "")"),"K.")</f>
        <v>K.</v>
      </c>
      <c r="X244" s="3" t="str">
        <f>IFERROR(__xludf.DUMMYFUNCTION("""COMPUTED_VALUE"""),"Murray")</f>
        <v>Murray</v>
      </c>
      <c r="Z244" s="3">
        <v>59.0</v>
      </c>
      <c r="AA244" s="3">
        <f t="shared" si="6"/>
        <v>1</v>
      </c>
      <c r="AB244" s="3">
        <f t="shared" si="7"/>
        <v>0</v>
      </c>
      <c r="AC244" s="3">
        <f t="shared" si="8"/>
        <v>0.8130081301</v>
      </c>
      <c r="AD244" s="3">
        <f t="shared" si="9"/>
        <v>-1</v>
      </c>
    </row>
    <row r="245">
      <c r="A245" s="1" t="s">
        <v>10</v>
      </c>
      <c r="B245" s="1" t="s">
        <v>345</v>
      </c>
      <c r="C245" s="1" t="s">
        <v>19</v>
      </c>
      <c r="D245" s="1" t="s">
        <v>105</v>
      </c>
      <c r="E245" s="1" t="s">
        <v>196</v>
      </c>
      <c r="F245" s="1" t="s">
        <v>450</v>
      </c>
      <c r="G245" s="1">
        <v>63.5</v>
      </c>
      <c r="H245" s="1" t="s">
        <v>60</v>
      </c>
      <c r="I245" s="1">
        <v>-110.0</v>
      </c>
      <c r="J245" s="1">
        <v>-0.0811422462410542</v>
      </c>
      <c r="K245" s="1" t="s">
        <v>61</v>
      </c>
      <c r="L245" s="1" t="s">
        <v>61</v>
      </c>
      <c r="M245" s="1" t="s">
        <v>62</v>
      </c>
      <c r="N245" s="1">
        <v>-119.0</v>
      </c>
      <c r="O245" s="1">
        <v>0.0139861447190414</v>
      </c>
      <c r="P245" s="1" t="s">
        <v>61</v>
      </c>
      <c r="Q245" s="1" t="s">
        <v>61</v>
      </c>
      <c r="R245" s="1">
        <f t="shared" si="1"/>
        <v>0.01398614472</v>
      </c>
      <c r="S245" s="1">
        <f t="shared" si="2"/>
        <v>-119</v>
      </c>
      <c r="T245" s="1">
        <f t="shared" si="3"/>
        <v>1.840336134</v>
      </c>
      <c r="U245" s="1">
        <f t="shared" si="4"/>
        <v>0</v>
      </c>
      <c r="V245" s="3">
        <f t="shared" si="5"/>
        <v>1</v>
      </c>
      <c r="W245" s="3" t="str">
        <f>IFERROR(__xludf.DUMMYFUNCTION("split(B245,"" "")"),"J.")</f>
        <v>J.</v>
      </c>
      <c r="X245" s="3" t="str">
        <f>IFERROR(__xludf.DUMMYFUNCTION("""COMPUTED_VALUE"""),"Conner")</f>
        <v>Conner</v>
      </c>
      <c r="Z245" s="3">
        <v>122.0</v>
      </c>
      <c r="AA245" s="3">
        <f t="shared" si="6"/>
        <v>1</v>
      </c>
      <c r="AB245" s="3">
        <f t="shared" si="7"/>
        <v>0</v>
      </c>
      <c r="AC245" s="3">
        <f t="shared" si="8"/>
        <v>0.8403361345</v>
      </c>
      <c r="AD245" s="3">
        <f t="shared" si="9"/>
        <v>-1</v>
      </c>
    </row>
    <row r="246">
      <c r="A246" s="1" t="s">
        <v>11</v>
      </c>
      <c r="B246" s="1" t="s">
        <v>233</v>
      </c>
      <c r="C246" s="1" t="s">
        <v>18</v>
      </c>
      <c r="D246" s="1" t="s">
        <v>105</v>
      </c>
      <c r="E246" s="1" t="s">
        <v>196</v>
      </c>
      <c r="F246" s="1" t="s">
        <v>450</v>
      </c>
      <c r="G246" s="1">
        <v>30.5</v>
      </c>
      <c r="H246" s="1" t="s">
        <v>60</v>
      </c>
      <c r="I246" s="1">
        <v>-115.0</v>
      </c>
      <c r="J246" s="1">
        <v>-0.0764449787422792</v>
      </c>
      <c r="K246" s="1" t="s">
        <v>61</v>
      </c>
      <c r="L246" s="1" t="s">
        <v>61</v>
      </c>
      <c r="M246" s="1" t="s">
        <v>62</v>
      </c>
      <c r="N246" s="1">
        <v>-114.0</v>
      </c>
      <c r="O246" s="1">
        <v>0.00887364314903105</v>
      </c>
      <c r="P246" s="1" t="s">
        <v>61</v>
      </c>
      <c r="Q246" s="1" t="s">
        <v>61</v>
      </c>
      <c r="R246" s="1">
        <f t="shared" si="1"/>
        <v>0.008873643149</v>
      </c>
      <c r="S246" s="1">
        <f t="shared" si="2"/>
        <v>-114</v>
      </c>
      <c r="T246" s="1">
        <f t="shared" si="3"/>
        <v>1.877192982</v>
      </c>
      <c r="U246" s="1">
        <f t="shared" si="4"/>
        <v>0</v>
      </c>
      <c r="V246" s="3">
        <f t="shared" si="5"/>
        <v>1</v>
      </c>
      <c r="W246" s="3" t="str">
        <f>IFERROR(__xludf.DUMMYFUNCTION("split(B246,"" "")"),"M.")</f>
        <v>M.</v>
      </c>
      <c r="X246" s="3" t="str">
        <f>IFERROR(__xludf.DUMMYFUNCTION("""COMPUTED_VALUE"""),"Wilson")</f>
        <v>Wilson</v>
      </c>
      <c r="Z246" s="3">
        <v>31.0</v>
      </c>
      <c r="AA246" s="3">
        <f t="shared" si="6"/>
        <v>1</v>
      </c>
      <c r="AB246" s="3">
        <f t="shared" si="7"/>
        <v>0</v>
      </c>
      <c r="AC246" s="3">
        <f t="shared" si="8"/>
        <v>0.8771929825</v>
      </c>
      <c r="AD246" s="3">
        <f t="shared" si="9"/>
        <v>-1</v>
      </c>
    </row>
    <row r="247">
      <c r="A247" s="1" t="s">
        <v>15</v>
      </c>
      <c r="B247" s="1" t="s">
        <v>204</v>
      </c>
      <c r="C247" s="1" t="s">
        <v>21</v>
      </c>
      <c r="D247" s="1" t="s">
        <v>105</v>
      </c>
      <c r="E247" s="1" t="s">
        <v>196</v>
      </c>
      <c r="F247" s="1" t="s">
        <v>450</v>
      </c>
      <c r="G247" s="1">
        <v>22.5</v>
      </c>
      <c r="H247" s="1" t="s">
        <v>60</v>
      </c>
      <c r="I247" s="1">
        <v>-102.0</v>
      </c>
      <c r="J247" s="1">
        <v>0.00159900990099015</v>
      </c>
      <c r="K247" s="1" t="s">
        <v>61</v>
      </c>
      <c r="L247" s="1" t="s">
        <v>61</v>
      </c>
      <c r="M247" s="1" t="s">
        <v>62</v>
      </c>
      <c r="N247" s="1">
        <v>-128.0</v>
      </c>
      <c r="O247" s="1">
        <v>-0.067959649122807</v>
      </c>
      <c r="P247" s="1" t="s">
        <v>61</v>
      </c>
      <c r="Q247" s="1" t="s">
        <v>61</v>
      </c>
      <c r="R247" s="1">
        <f t="shared" si="1"/>
        <v>0.001599009901</v>
      </c>
      <c r="S247" s="1">
        <f t="shared" si="2"/>
        <v>-102</v>
      </c>
      <c r="T247" s="1">
        <f t="shared" si="3"/>
        <v>1.980392157</v>
      </c>
      <c r="U247" s="1">
        <f t="shared" si="4"/>
        <v>1</v>
      </c>
      <c r="V247" s="3">
        <f t="shared" si="5"/>
        <v>1</v>
      </c>
      <c r="W247" s="3" t="str">
        <f>IFERROR(__xludf.DUMMYFUNCTION("split(B247,"" "")"),"K.")</f>
        <v>K.</v>
      </c>
      <c r="X247" s="3" t="str">
        <f>IFERROR(__xludf.DUMMYFUNCTION("""COMPUTED_VALUE"""),"Murray")</f>
        <v>Murray</v>
      </c>
      <c r="Z247" s="3">
        <v>17.0</v>
      </c>
      <c r="AA247" s="3">
        <f t="shared" si="6"/>
        <v>0</v>
      </c>
      <c r="AB247" s="3">
        <f t="shared" si="7"/>
        <v>0</v>
      </c>
      <c r="AC247" s="3">
        <f t="shared" si="8"/>
        <v>0.9803921569</v>
      </c>
      <c r="AD247" s="3">
        <f t="shared" si="9"/>
        <v>-1</v>
      </c>
    </row>
    <row r="248">
      <c r="A248" s="1" t="s">
        <v>11</v>
      </c>
      <c r="B248" s="1" t="s">
        <v>355</v>
      </c>
      <c r="C248" s="1" t="s">
        <v>18</v>
      </c>
      <c r="D248" s="1" t="s">
        <v>109</v>
      </c>
      <c r="E248" s="1" t="s">
        <v>156</v>
      </c>
      <c r="F248" s="1" t="s">
        <v>453</v>
      </c>
      <c r="G248" s="1">
        <v>36.5</v>
      </c>
      <c r="H248" s="1" t="s">
        <v>60</v>
      </c>
      <c r="I248" s="1">
        <v>-116.0</v>
      </c>
      <c r="J248" s="1">
        <v>-0.0923100923193519</v>
      </c>
      <c r="K248" s="1" t="s">
        <v>61</v>
      </c>
      <c r="L248" s="1" t="s">
        <v>61</v>
      </c>
      <c r="M248" s="1" t="s">
        <v>62</v>
      </c>
      <c r="N248" s="1">
        <v>-116.0</v>
      </c>
      <c r="O248" s="1">
        <v>0.0182626313784481</v>
      </c>
      <c r="P248" s="1" t="s">
        <v>61</v>
      </c>
      <c r="Q248" s="1" t="s">
        <v>61</v>
      </c>
      <c r="R248" s="1">
        <f t="shared" si="1"/>
        <v>0.01826263138</v>
      </c>
      <c r="S248" s="1">
        <f t="shared" si="2"/>
        <v>-116</v>
      </c>
      <c r="T248" s="1">
        <f t="shared" si="3"/>
        <v>1.862068966</v>
      </c>
      <c r="U248" s="1">
        <f t="shared" si="4"/>
        <v>0</v>
      </c>
      <c r="V248" s="3">
        <f t="shared" si="5"/>
        <v>1</v>
      </c>
      <c r="W248" s="3" t="str">
        <f>IFERROR(__xludf.DUMMYFUNCTION("split(B248,"" "")"),"D.")</f>
        <v>D.</v>
      </c>
      <c r="X248" s="3" t="str">
        <f>IFERROR(__xludf.DUMMYFUNCTION("""COMPUTED_VALUE"""),"Mooney")</f>
        <v>Mooney</v>
      </c>
      <c r="Z248" s="3">
        <v>88.0</v>
      </c>
      <c r="AA248" s="3">
        <f t="shared" si="6"/>
        <v>1</v>
      </c>
      <c r="AB248" s="3">
        <f t="shared" si="7"/>
        <v>0</v>
      </c>
      <c r="AC248" s="3">
        <f t="shared" si="8"/>
        <v>0.8620689655</v>
      </c>
      <c r="AD248" s="3">
        <f t="shared" si="9"/>
        <v>-1</v>
      </c>
    </row>
    <row r="249">
      <c r="A249" s="1" t="s">
        <v>12</v>
      </c>
      <c r="B249" s="1" t="s">
        <v>499</v>
      </c>
      <c r="C249" s="1" t="s">
        <v>18</v>
      </c>
      <c r="D249" s="1" t="s">
        <v>109</v>
      </c>
      <c r="E249" s="1" t="s">
        <v>156</v>
      </c>
      <c r="F249" s="1" t="s">
        <v>453</v>
      </c>
      <c r="G249" s="1">
        <v>4.5</v>
      </c>
      <c r="H249" s="1" t="s">
        <v>60</v>
      </c>
      <c r="I249" s="1">
        <v>-146.0</v>
      </c>
      <c r="J249" s="1">
        <v>-0.0849959349593495</v>
      </c>
      <c r="K249" s="1" t="s">
        <v>61</v>
      </c>
      <c r="L249" s="1" t="s">
        <v>61</v>
      </c>
      <c r="M249" s="1" t="s">
        <v>62</v>
      </c>
      <c r="N249" s="1">
        <v>110.0</v>
      </c>
      <c r="O249" s="1">
        <v>0.0153095238095237</v>
      </c>
      <c r="P249" s="1" t="s">
        <v>61</v>
      </c>
      <c r="Q249" s="1" t="s">
        <v>61</v>
      </c>
      <c r="R249" s="1">
        <f t="shared" si="1"/>
        <v>0.01530952381</v>
      </c>
      <c r="S249" s="1">
        <f t="shared" si="2"/>
        <v>110</v>
      </c>
      <c r="T249" s="1">
        <f t="shared" si="3"/>
        <v>2.1</v>
      </c>
      <c r="U249" s="1">
        <f t="shared" si="4"/>
        <v>0</v>
      </c>
      <c r="V249" s="3">
        <f t="shared" si="5"/>
        <v>1</v>
      </c>
      <c r="W249" s="3" t="str">
        <f>IFERROR(__xludf.DUMMYFUNCTION("split(B249,"" "")"),"D.")</f>
        <v>D.</v>
      </c>
      <c r="X249" s="3" t="str">
        <f>IFERROR(__xludf.DUMMYFUNCTION("""COMPUTED_VALUE"""),"London")</f>
        <v>London</v>
      </c>
      <c r="Z249" s="3">
        <v>6.0</v>
      </c>
      <c r="AA249" s="3">
        <f t="shared" si="6"/>
        <v>1</v>
      </c>
      <c r="AB249" s="3">
        <f t="shared" si="7"/>
        <v>0</v>
      </c>
      <c r="AC249" s="3">
        <f t="shared" si="8"/>
        <v>1.1</v>
      </c>
      <c r="AD249" s="3">
        <f t="shared" si="9"/>
        <v>-1</v>
      </c>
    </row>
    <row r="250">
      <c r="A250" s="1" t="s">
        <v>12</v>
      </c>
      <c r="B250" s="1" t="s">
        <v>239</v>
      </c>
      <c r="C250" s="1" t="s">
        <v>18</v>
      </c>
      <c r="D250" s="1" t="s">
        <v>77</v>
      </c>
      <c r="E250" s="1" t="s">
        <v>134</v>
      </c>
      <c r="F250" s="1" t="s">
        <v>455</v>
      </c>
      <c r="G250" s="1">
        <v>2.5</v>
      </c>
      <c r="H250" s="1" t="s">
        <v>60</v>
      </c>
      <c r="I250" s="1">
        <v>116.0</v>
      </c>
      <c r="J250" s="1">
        <v>-0.150249002038888</v>
      </c>
      <c r="K250" s="1" t="s">
        <v>61</v>
      </c>
      <c r="L250" s="1" t="s">
        <v>61</v>
      </c>
      <c r="M250" s="1" t="s">
        <v>62</v>
      </c>
      <c r="N250" s="1">
        <v>-152.0</v>
      </c>
      <c r="O250" s="1">
        <v>0.0840974013047619</v>
      </c>
      <c r="P250" s="1" t="s">
        <v>61</v>
      </c>
      <c r="Q250" s="1" t="s">
        <v>61</v>
      </c>
      <c r="R250" s="1">
        <f t="shared" si="1"/>
        <v>0.0840974013</v>
      </c>
      <c r="S250" s="1">
        <f t="shared" si="2"/>
        <v>-152</v>
      </c>
      <c r="T250" s="1">
        <f t="shared" si="3"/>
        <v>1.657894737</v>
      </c>
      <c r="U250" s="1">
        <f t="shared" si="4"/>
        <v>0</v>
      </c>
      <c r="V250" s="3">
        <f t="shared" si="5"/>
        <v>2</v>
      </c>
      <c r="W250" s="3" t="str">
        <f>IFERROR(__xludf.DUMMYFUNCTION("split(B250,"" "")"),"R.")</f>
        <v>R.</v>
      </c>
      <c r="X250" s="3" t="str">
        <f>IFERROR(__xludf.DUMMYFUNCTION("""COMPUTED_VALUE"""),"Bateman")</f>
        <v>Bateman</v>
      </c>
      <c r="Z250" s="3">
        <v>3.0</v>
      </c>
      <c r="AA250" s="3">
        <f t="shared" si="6"/>
        <v>1</v>
      </c>
      <c r="AB250" s="3">
        <f t="shared" si="7"/>
        <v>0</v>
      </c>
      <c r="AC250" s="3">
        <f t="shared" si="8"/>
        <v>1.315789474</v>
      </c>
      <c r="AD250" s="3">
        <f t="shared" si="9"/>
        <v>-2</v>
      </c>
    </row>
    <row r="251">
      <c r="A251" s="1" t="s">
        <v>16</v>
      </c>
      <c r="B251" s="1" t="s">
        <v>347</v>
      </c>
      <c r="C251" s="1" t="s">
        <v>21</v>
      </c>
      <c r="D251" s="1" t="s">
        <v>77</v>
      </c>
      <c r="E251" s="1" t="s">
        <v>134</v>
      </c>
      <c r="F251" s="1" t="s">
        <v>455</v>
      </c>
      <c r="G251" s="1">
        <v>29.5</v>
      </c>
      <c r="H251" s="1" t="s">
        <v>60</v>
      </c>
      <c r="I251" s="1">
        <v>-109.0</v>
      </c>
      <c r="J251" s="1">
        <v>-0.126829957320574</v>
      </c>
      <c r="K251" s="1" t="s">
        <v>61</v>
      </c>
      <c r="L251" s="1" t="s">
        <v>61</v>
      </c>
      <c r="M251" s="1" t="s">
        <v>62</v>
      </c>
      <c r="N251" s="1">
        <v>-121.0</v>
      </c>
      <c r="O251" s="1">
        <v>0.0577873796687782</v>
      </c>
      <c r="P251" s="1" t="s">
        <v>61</v>
      </c>
      <c r="Q251" s="1" t="s">
        <v>61</v>
      </c>
      <c r="R251" s="1">
        <f t="shared" si="1"/>
        <v>0.05778737967</v>
      </c>
      <c r="S251" s="1">
        <f t="shared" si="2"/>
        <v>-121</v>
      </c>
      <c r="T251" s="1">
        <f t="shared" si="3"/>
        <v>1.826446281</v>
      </c>
      <c r="U251" s="1">
        <f t="shared" si="4"/>
        <v>0</v>
      </c>
      <c r="V251" s="3">
        <f t="shared" si="5"/>
        <v>2</v>
      </c>
      <c r="W251" s="3" t="str">
        <f>IFERROR(__xludf.DUMMYFUNCTION("split(B251,"" "")"),"L.")</f>
        <v>L.</v>
      </c>
      <c r="X251" s="3" t="str">
        <f>IFERROR(__xludf.DUMMYFUNCTION("""COMPUTED_VALUE"""),"Jackson")</f>
        <v>Jackson</v>
      </c>
      <c r="Z251" s="3">
        <v>34.0</v>
      </c>
      <c r="AA251" s="3">
        <f t="shared" si="6"/>
        <v>1</v>
      </c>
      <c r="AB251" s="3">
        <f t="shared" si="7"/>
        <v>0</v>
      </c>
      <c r="AC251" s="3">
        <f t="shared" si="8"/>
        <v>1.652892562</v>
      </c>
      <c r="AD251" s="3">
        <f t="shared" si="9"/>
        <v>-2</v>
      </c>
    </row>
    <row r="252">
      <c r="A252" s="1" t="s">
        <v>12</v>
      </c>
      <c r="B252" s="1" t="s">
        <v>399</v>
      </c>
      <c r="C252" s="1" t="s">
        <v>18</v>
      </c>
      <c r="D252" s="1" t="s">
        <v>77</v>
      </c>
      <c r="E252" s="1" t="s">
        <v>134</v>
      </c>
      <c r="F252" s="1" t="s">
        <v>455</v>
      </c>
      <c r="G252" s="1">
        <v>4.5</v>
      </c>
      <c r="H252" s="1" t="s">
        <v>60</v>
      </c>
      <c r="I252" s="1">
        <v>-121.0</v>
      </c>
      <c r="J252" s="1">
        <v>-0.107911312217194</v>
      </c>
      <c r="K252" s="1" t="s">
        <v>61</v>
      </c>
      <c r="L252" s="1" t="s">
        <v>61</v>
      </c>
      <c r="M252" s="1" t="s">
        <v>62</v>
      </c>
      <c r="N252" s="1">
        <v>-108.0</v>
      </c>
      <c r="O252" s="1">
        <v>0.0411692307692308</v>
      </c>
      <c r="P252" s="1" t="s">
        <v>61</v>
      </c>
      <c r="Q252" s="1" t="s">
        <v>61</v>
      </c>
      <c r="R252" s="1">
        <f t="shared" si="1"/>
        <v>0.04116923077</v>
      </c>
      <c r="S252" s="1">
        <f t="shared" si="2"/>
        <v>-108</v>
      </c>
      <c r="T252" s="1">
        <f t="shared" si="3"/>
        <v>1.925925926</v>
      </c>
      <c r="U252" s="1">
        <f t="shared" si="4"/>
        <v>0</v>
      </c>
      <c r="V252" s="3">
        <f t="shared" si="5"/>
        <v>1</v>
      </c>
      <c r="W252" s="3" t="str">
        <f>IFERROR(__xludf.DUMMYFUNCTION("split(B252,"" "")"),"Z.")</f>
        <v>Z.</v>
      </c>
      <c r="X252" s="3" t="str">
        <f>IFERROR(__xludf.DUMMYFUNCTION("""COMPUTED_VALUE"""),"Flowers")</f>
        <v>Flowers</v>
      </c>
      <c r="Z252" s="3">
        <v>7.0</v>
      </c>
      <c r="AA252" s="3">
        <f t="shared" si="6"/>
        <v>1</v>
      </c>
      <c r="AB252" s="3">
        <f t="shared" si="7"/>
        <v>0</v>
      </c>
      <c r="AC252" s="3">
        <f t="shared" si="8"/>
        <v>0.9259259259</v>
      </c>
      <c r="AD252" s="3">
        <f t="shared" si="9"/>
        <v>-1</v>
      </c>
    </row>
    <row r="253">
      <c r="A253" s="1" t="s">
        <v>15</v>
      </c>
      <c r="B253" s="1" t="s">
        <v>347</v>
      </c>
      <c r="C253" s="1" t="s">
        <v>21</v>
      </c>
      <c r="D253" s="1" t="s">
        <v>77</v>
      </c>
      <c r="E253" s="1" t="s">
        <v>134</v>
      </c>
      <c r="F253" s="1" t="s">
        <v>455</v>
      </c>
      <c r="G253" s="1">
        <v>19.5</v>
      </c>
      <c r="H253" s="1" t="s">
        <v>60</v>
      </c>
      <c r="I253" s="1">
        <v>-112.0</v>
      </c>
      <c r="J253" s="1">
        <v>-0.110089458443396</v>
      </c>
      <c r="K253" s="1" t="s">
        <v>61</v>
      </c>
      <c r="L253" s="1" t="s">
        <v>61</v>
      </c>
      <c r="M253" s="1" t="s">
        <v>62</v>
      </c>
      <c r="N253" s="1">
        <v>-118.0</v>
      </c>
      <c r="O253" s="1">
        <v>0.0405308391018348</v>
      </c>
      <c r="P253" s="1" t="s">
        <v>61</v>
      </c>
      <c r="Q253" s="1" t="s">
        <v>61</v>
      </c>
      <c r="R253" s="1">
        <f t="shared" si="1"/>
        <v>0.0405308391</v>
      </c>
      <c r="S253" s="1">
        <f t="shared" si="2"/>
        <v>-118</v>
      </c>
      <c r="T253" s="1">
        <f t="shared" si="3"/>
        <v>1.847457627</v>
      </c>
      <c r="U253" s="1">
        <f t="shared" si="4"/>
        <v>0</v>
      </c>
      <c r="V253" s="3">
        <f t="shared" si="5"/>
        <v>1</v>
      </c>
      <c r="W253" s="3" t="str">
        <f>IFERROR(__xludf.DUMMYFUNCTION("split(B253,"" "")"),"L.")</f>
        <v>L.</v>
      </c>
      <c r="X253" s="3" t="str">
        <f>IFERROR(__xludf.DUMMYFUNCTION("""COMPUTED_VALUE"""),"Jackson")</f>
        <v>Jackson</v>
      </c>
      <c r="Z253" s="3">
        <v>21.0</v>
      </c>
      <c r="AA253" s="3">
        <f t="shared" si="6"/>
        <v>1</v>
      </c>
      <c r="AB253" s="3">
        <f t="shared" si="7"/>
        <v>0</v>
      </c>
      <c r="AC253" s="3">
        <f t="shared" si="8"/>
        <v>0.8474576271</v>
      </c>
      <c r="AD253" s="3">
        <f t="shared" si="9"/>
        <v>-1</v>
      </c>
    </row>
    <row r="254">
      <c r="A254" s="1" t="s">
        <v>11</v>
      </c>
      <c r="B254" s="1" t="s">
        <v>239</v>
      </c>
      <c r="C254" s="1" t="s">
        <v>18</v>
      </c>
      <c r="D254" s="1" t="s">
        <v>77</v>
      </c>
      <c r="E254" s="1" t="s">
        <v>134</v>
      </c>
      <c r="F254" s="1" t="s">
        <v>455</v>
      </c>
      <c r="G254" s="1">
        <v>26.5</v>
      </c>
      <c r="H254" s="1" t="s">
        <v>60</v>
      </c>
      <c r="I254" s="1">
        <v>-117.0</v>
      </c>
      <c r="J254" s="1">
        <v>-0.0847954065198156</v>
      </c>
      <c r="K254" s="1" t="s">
        <v>61</v>
      </c>
      <c r="L254" s="1" t="s">
        <v>61</v>
      </c>
      <c r="M254" s="1" t="s">
        <v>62</v>
      </c>
      <c r="N254" s="1">
        <v>-112.0</v>
      </c>
      <c r="O254" s="1">
        <v>0.0173998660404528</v>
      </c>
      <c r="P254" s="1" t="s">
        <v>61</v>
      </c>
      <c r="Q254" s="1" t="s">
        <v>61</v>
      </c>
      <c r="R254" s="1">
        <f t="shared" si="1"/>
        <v>0.01739986604</v>
      </c>
      <c r="S254" s="1">
        <f t="shared" si="2"/>
        <v>-112</v>
      </c>
      <c r="T254" s="1">
        <f t="shared" si="3"/>
        <v>1.892857143</v>
      </c>
      <c r="U254" s="1">
        <f t="shared" si="4"/>
        <v>0</v>
      </c>
      <c r="V254" s="3">
        <f t="shared" si="5"/>
        <v>1</v>
      </c>
      <c r="W254" s="3" t="str">
        <f>IFERROR(__xludf.DUMMYFUNCTION("split(B254,"" "")"),"R.")</f>
        <v>R.</v>
      </c>
      <c r="X254" s="3" t="str">
        <f>IFERROR(__xludf.DUMMYFUNCTION("""COMPUTED_VALUE"""),"Bateman")</f>
        <v>Bateman</v>
      </c>
      <c r="Z254" s="3">
        <v>40.0</v>
      </c>
      <c r="AA254" s="3">
        <f t="shared" si="6"/>
        <v>1</v>
      </c>
      <c r="AB254" s="3">
        <f t="shared" si="7"/>
        <v>0</v>
      </c>
      <c r="AC254" s="3">
        <f t="shared" si="8"/>
        <v>0.8928571429</v>
      </c>
      <c r="AD254" s="3">
        <f t="shared" si="9"/>
        <v>-1</v>
      </c>
    </row>
    <row r="255">
      <c r="A255" s="1" t="s">
        <v>11</v>
      </c>
      <c r="B255" s="1" t="s">
        <v>399</v>
      </c>
      <c r="C255" s="1" t="s">
        <v>18</v>
      </c>
      <c r="D255" s="1" t="s">
        <v>77</v>
      </c>
      <c r="E255" s="1" t="s">
        <v>134</v>
      </c>
      <c r="F255" s="1" t="s">
        <v>455</v>
      </c>
      <c r="G255" s="1">
        <v>53.5</v>
      </c>
      <c r="H255" s="1" t="s">
        <v>60</v>
      </c>
      <c r="I255" s="1">
        <v>-111.0</v>
      </c>
      <c r="J255" s="1">
        <v>-0.0765659117295022</v>
      </c>
      <c r="K255" s="1" t="s">
        <v>61</v>
      </c>
      <c r="L255" s="1" t="s">
        <v>61</v>
      </c>
      <c r="M255" s="1" t="s">
        <v>62</v>
      </c>
      <c r="N255" s="1">
        <v>-118.0</v>
      </c>
      <c r="O255" s="1">
        <v>0.00921483736577977</v>
      </c>
      <c r="P255" s="1" t="s">
        <v>61</v>
      </c>
      <c r="Q255" s="1" t="s">
        <v>61</v>
      </c>
      <c r="R255" s="1">
        <f t="shared" si="1"/>
        <v>0.009214837366</v>
      </c>
      <c r="S255" s="1">
        <f t="shared" si="2"/>
        <v>-118</v>
      </c>
      <c r="T255" s="1">
        <f t="shared" si="3"/>
        <v>1.847457627</v>
      </c>
      <c r="U255" s="1">
        <f t="shared" si="4"/>
        <v>0</v>
      </c>
      <c r="V255" s="3">
        <f t="shared" si="5"/>
        <v>1</v>
      </c>
      <c r="W255" s="3" t="str">
        <f>IFERROR(__xludf.DUMMYFUNCTION("split(B255,"" "")"),"Z.")</f>
        <v>Z.</v>
      </c>
      <c r="X255" s="3" t="str">
        <f>IFERROR(__xludf.DUMMYFUNCTION("""COMPUTED_VALUE"""),"Flowers")</f>
        <v>Flowers</v>
      </c>
      <c r="Z255" s="3">
        <v>91.0</v>
      </c>
      <c r="AA255" s="3">
        <f t="shared" si="6"/>
        <v>1</v>
      </c>
      <c r="AB255" s="3">
        <f t="shared" si="7"/>
        <v>0</v>
      </c>
      <c r="AC255" s="3">
        <f t="shared" si="8"/>
        <v>0.8474576271</v>
      </c>
      <c r="AD255" s="3">
        <f t="shared" si="9"/>
        <v>-1</v>
      </c>
    </row>
    <row r="256">
      <c r="A256" s="1" t="s">
        <v>11</v>
      </c>
      <c r="B256" s="1" t="s">
        <v>418</v>
      </c>
      <c r="C256" s="1" t="s">
        <v>20</v>
      </c>
      <c r="D256" s="1" t="s">
        <v>77</v>
      </c>
      <c r="E256" s="1" t="s">
        <v>134</v>
      </c>
      <c r="F256" s="1" t="s">
        <v>455</v>
      </c>
      <c r="G256" s="1">
        <v>39.5</v>
      </c>
      <c r="H256" s="1" t="s">
        <v>60</v>
      </c>
      <c r="I256" s="1">
        <v>-119.0</v>
      </c>
      <c r="J256" s="1">
        <v>-0.0727932240704566</v>
      </c>
      <c r="K256" s="1" t="s">
        <v>61</v>
      </c>
      <c r="L256" s="1" t="s">
        <v>61</v>
      </c>
      <c r="M256" s="1" t="s">
        <v>62</v>
      </c>
      <c r="N256" s="1">
        <v>-110.0</v>
      </c>
      <c r="O256" s="1">
        <v>0.00566390888380952</v>
      </c>
      <c r="P256" s="1" t="s">
        <v>61</v>
      </c>
      <c r="Q256" s="1" t="s">
        <v>61</v>
      </c>
      <c r="R256" s="1">
        <f t="shared" si="1"/>
        <v>0.005663908884</v>
      </c>
      <c r="S256" s="1">
        <f t="shared" si="2"/>
        <v>-110</v>
      </c>
      <c r="T256" s="1">
        <f t="shared" si="3"/>
        <v>1.909090909</v>
      </c>
      <c r="U256" s="1">
        <f t="shared" si="4"/>
        <v>0</v>
      </c>
      <c r="V256" s="3">
        <f t="shared" si="5"/>
        <v>1</v>
      </c>
      <c r="W256" s="3" t="str">
        <f>IFERROR(__xludf.DUMMYFUNCTION("split(B256,"" "")"),"M.")</f>
        <v>M.</v>
      </c>
      <c r="X256" s="3" t="str">
        <f>IFERROR(__xludf.DUMMYFUNCTION("""COMPUTED_VALUE"""),"Andrews")</f>
        <v>Andrews</v>
      </c>
      <c r="Z256" s="3">
        <v>51.0</v>
      </c>
      <c r="AA256" s="3">
        <f t="shared" si="6"/>
        <v>1</v>
      </c>
      <c r="AB256" s="3">
        <f t="shared" si="7"/>
        <v>0</v>
      </c>
      <c r="AC256" s="3">
        <f t="shared" si="8"/>
        <v>0.9090909091</v>
      </c>
      <c r="AD256" s="3">
        <f t="shared" si="9"/>
        <v>-1</v>
      </c>
    </row>
    <row r="257">
      <c r="A257" s="1" t="s">
        <v>12</v>
      </c>
      <c r="B257" s="1" t="s">
        <v>418</v>
      </c>
      <c r="C257" s="1" t="s">
        <v>20</v>
      </c>
      <c r="D257" s="1" t="s">
        <v>77</v>
      </c>
      <c r="E257" s="1" t="s">
        <v>134</v>
      </c>
      <c r="F257" s="1" t="s">
        <v>455</v>
      </c>
      <c r="G257" s="1">
        <v>3.5</v>
      </c>
      <c r="H257" s="1" t="s">
        <v>60</v>
      </c>
      <c r="I257" s="1">
        <v>106.0</v>
      </c>
      <c r="J257" s="1">
        <v>-0.0690883495145631</v>
      </c>
      <c r="K257" s="1" t="s">
        <v>61</v>
      </c>
      <c r="L257" s="1" t="s">
        <v>61</v>
      </c>
      <c r="M257" s="1" t="s">
        <v>62</v>
      </c>
      <c r="N257" s="1">
        <v>-138.0</v>
      </c>
      <c r="O257" s="1">
        <v>0.00382605042016814</v>
      </c>
      <c r="P257" s="1" t="s">
        <v>61</v>
      </c>
      <c r="Q257" s="1" t="s">
        <v>61</v>
      </c>
      <c r="R257" s="1">
        <f t="shared" si="1"/>
        <v>0.00382605042</v>
      </c>
      <c r="S257" s="1">
        <f t="shared" si="2"/>
        <v>-138</v>
      </c>
      <c r="T257" s="1">
        <f t="shared" si="3"/>
        <v>1.724637681</v>
      </c>
      <c r="U257" s="1">
        <f t="shared" si="4"/>
        <v>0</v>
      </c>
      <c r="V257" s="3">
        <f t="shared" si="5"/>
        <v>1</v>
      </c>
      <c r="W257" s="3" t="str">
        <f>IFERROR(__xludf.DUMMYFUNCTION("split(B257,"" "")"),"M.")</f>
        <v>M.</v>
      </c>
      <c r="X257" s="3" t="str">
        <f>IFERROR(__xludf.DUMMYFUNCTION("""COMPUTED_VALUE"""),"Andrews")</f>
        <v>Andrews</v>
      </c>
      <c r="Z257" s="3">
        <v>4.0</v>
      </c>
      <c r="AA257" s="3">
        <f t="shared" si="6"/>
        <v>1</v>
      </c>
      <c r="AB257" s="3">
        <f t="shared" si="7"/>
        <v>0</v>
      </c>
      <c r="AC257" s="3">
        <f t="shared" si="8"/>
        <v>0.7246376812</v>
      </c>
      <c r="AD257" s="3">
        <f t="shared" si="9"/>
        <v>-1</v>
      </c>
    </row>
    <row r="258">
      <c r="A258" s="1" t="s">
        <v>9</v>
      </c>
      <c r="B258" s="1" t="s">
        <v>457</v>
      </c>
      <c r="C258" s="1" t="s">
        <v>18</v>
      </c>
      <c r="D258" s="1" t="s">
        <v>104</v>
      </c>
      <c r="E258" s="1" t="s">
        <v>94</v>
      </c>
      <c r="F258" s="1" t="s">
        <v>456</v>
      </c>
      <c r="G258" s="1">
        <v>15.5</v>
      </c>
      <c r="H258" s="1" t="s">
        <v>60</v>
      </c>
      <c r="I258" s="1">
        <v>-120.0</v>
      </c>
      <c r="J258" s="1">
        <v>0.100957976325638</v>
      </c>
      <c r="K258" s="1" t="s">
        <v>61</v>
      </c>
      <c r="L258" s="1" t="s">
        <v>61</v>
      </c>
      <c r="M258" s="1" t="s">
        <v>62</v>
      </c>
      <c r="N258" s="1">
        <v>-113.0</v>
      </c>
      <c r="O258" s="1">
        <v>-0.176914332932177</v>
      </c>
      <c r="P258" s="1" t="s">
        <v>61</v>
      </c>
      <c r="Q258" s="1" t="s">
        <v>61</v>
      </c>
      <c r="R258" s="1">
        <f t="shared" si="1"/>
        <v>0.1009579763</v>
      </c>
      <c r="S258" s="1">
        <f t="shared" si="2"/>
        <v>-120</v>
      </c>
      <c r="T258" s="1">
        <f t="shared" si="3"/>
        <v>1.833333333</v>
      </c>
      <c r="U258" s="1">
        <f t="shared" si="4"/>
        <v>1</v>
      </c>
      <c r="V258" s="3">
        <f t="shared" si="5"/>
        <v>3</v>
      </c>
      <c r="W258" s="3" t="str">
        <f>IFERROR(__xludf.DUMMYFUNCTION("split(B258,"" "")"),"M.")</f>
        <v>M.</v>
      </c>
      <c r="X258" s="3" t="str">
        <f>IFERROR(__xludf.DUMMYFUNCTION("""COMPUTED_VALUE"""),"Hollins")</f>
        <v>Hollins</v>
      </c>
      <c r="Z258" s="3">
        <v>0.0</v>
      </c>
      <c r="AA258" s="3">
        <f t="shared" si="6"/>
        <v>0</v>
      </c>
      <c r="AB258" s="3">
        <f t="shared" si="7"/>
        <v>0</v>
      </c>
      <c r="AC258" s="3">
        <f t="shared" si="8"/>
        <v>2.5</v>
      </c>
      <c r="AD258" s="3">
        <f t="shared" si="9"/>
        <v>-3</v>
      </c>
    </row>
    <row r="259">
      <c r="A259" s="1" t="s">
        <v>12</v>
      </c>
      <c r="B259" s="1" t="s">
        <v>189</v>
      </c>
      <c r="C259" s="1" t="s">
        <v>18</v>
      </c>
      <c r="D259" s="1" t="s">
        <v>104</v>
      </c>
      <c r="E259" s="1" t="s">
        <v>94</v>
      </c>
      <c r="F259" s="1" t="s">
        <v>456</v>
      </c>
      <c r="G259" s="1">
        <v>3.5</v>
      </c>
      <c r="H259" s="1" t="s">
        <v>60</v>
      </c>
      <c r="I259" s="1">
        <v>-101.0</v>
      </c>
      <c r="J259" s="1">
        <v>-0.160687562189054</v>
      </c>
      <c r="K259" s="1" t="s">
        <v>61</v>
      </c>
      <c r="L259" s="1" t="s">
        <v>61</v>
      </c>
      <c r="M259" s="1" t="s">
        <v>62</v>
      </c>
      <c r="N259" s="1">
        <v>-130.0</v>
      </c>
      <c r="O259" s="1">
        <v>0.0929826086956521</v>
      </c>
      <c r="P259" s="1" t="s">
        <v>61</v>
      </c>
      <c r="Q259" s="1" t="s">
        <v>61</v>
      </c>
      <c r="R259" s="1">
        <f t="shared" si="1"/>
        <v>0.0929826087</v>
      </c>
      <c r="S259" s="1">
        <f t="shared" si="2"/>
        <v>-130</v>
      </c>
      <c r="T259" s="1">
        <f t="shared" si="3"/>
        <v>1.769230769</v>
      </c>
      <c r="U259" s="1">
        <f t="shared" si="4"/>
        <v>0</v>
      </c>
      <c r="V259" s="3">
        <f t="shared" si="5"/>
        <v>2</v>
      </c>
      <c r="W259" s="3" t="str">
        <f>IFERROR(__xludf.DUMMYFUNCTION("split(B259,"" "")"),"K.")</f>
        <v>K.</v>
      </c>
      <c r="X259" s="3" t="str">
        <f>IFERROR(__xludf.DUMMYFUNCTION("""COMPUTED_VALUE"""),"Shakir")</f>
        <v>Shakir</v>
      </c>
      <c r="Z259" s="3">
        <v>5.0</v>
      </c>
      <c r="AA259" s="3">
        <f t="shared" si="6"/>
        <v>1</v>
      </c>
      <c r="AB259" s="3">
        <f t="shared" si="7"/>
        <v>0</v>
      </c>
      <c r="AC259" s="3">
        <f t="shared" si="8"/>
        <v>1.538461538</v>
      </c>
      <c r="AD259" s="3">
        <f t="shared" si="9"/>
        <v>-2</v>
      </c>
    </row>
    <row r="260">
      <c r="A260" s="1" t="s">
        <v>9</v>
      </c>
      <c r="B260" s="1" t="s">
        <v>458</v>
      </c>
      <c r="C260" s="1" t="s">
        <v>19</v>
      </c>
      <c r="D260" s="1" t="s">
        <v>104</v>
      </c>
      <c r="E260" s="1" t="s">
        <v>94</v>
      </c>
      <c r="F260" s="1" t="s">
        <v>456</v>
      </c>
      <c r="G260" s="1">
        <v>83.5</v>
      </c>
      <c r="H260" s="1" t="s">
        <v>60</v>
      </c>
      <c r="I260" s="1">
        <v>-121.0</v>
      </c>
      <c r="J260" s="1">
        <v>-0.126279914873043</v>
      </c>
      <c r="K260" s="1" t="s">
        <v>61</v>
      </c>
      <c r="L260" s="1" t="s">
        <v>61</v>
      </c>
      <c r="M260" s="1" t="s">
        <v>62</v>
      </c>
      <c r="N260" s="1">
        <v>-110.0</v>
      </c>
      <c r="O260" s="1">
        <v>0.0549856538363654</v>
      </c>
      <c r="P260" s="1" t="s">
        <v>61</v>
      </c>
      <c r="Q260" s="1" t="s">
        <v>61</v>
      </c>
      <c r="R260" s="1">
        <f t="shared" si="1"/>
        <v>0.05498565384</v>
      </c>
      <c r="S260" s="1">
        <f t="shared" si="2"/>
        <v>-110</v>
      </c>
      <c r="T260" s="1">
        <f t="shared" si="3"/>
        <v>1.909090909</v>
      </c>
      <c r="U260" s="1">
        <f t="shared" si="4"/>
        <v>0</v>
      </c>
      <c r="V260" s="3">
        <f t="shared" si="5"/>
        <v>2</v>
      </c>
      <c r="W260" s="3" t="str">
        <f>IFERROR(__xludf.DUMMYFUNCTION("split(B260,"" "")"),"J.")</f>
        <v>J.</v>
      </c>
      <c r="X260" s="3" t="str">
        <f>IFERROR(__xludf.DUMMYFUNCTION("""COMPUTED_VALUE"""),"Cook")</f>
        <v>Cook</v>
      </c>
      <c r="Z260" s="3">
        <v>95.0</v>
      </c>
      <c r="AA260" s="3">
        <f t="shared" si="6"/>
        <v>1</v>
      </c>
      <c r="AB260" s="3">
        <f t="shared" si="7"/>
        <v>0</v>
      </c>
      <c r="AC260" s="3">
        <f t="shared" si="8"/>
        <v>1.818181818</v>
      </c>
      <c r="AD260" s="3">
        <f t="shared" si="9"/>
        <v>-2</v>
      </c>
    </row>
    <row r="261">
      <c r="A261" s="1" t="s">
        <v>10</v>
      </c>
      <c r="B261" s="1" t="s">
        <v>458</v>
      </c>
      <c r="C261" s="1" t="s">
        <v>19</v>
      </c>
      <c r="D261" s="1" t="s">
        <v>104</v>
      </c>
      <c r="E261" s="1" t="s">
        <v>94</v>
      </c>
      <c r="F261" s="1" t="s">
        <v>456</v>
      </c>
      <c r="G261" s="1">
        <v>61.5</v>
      </c>
      <c r="H261" s="1" t="s">
        <v>60</v>
      </c>
      <c r="I261" s="1">
        <v>-117.0</v>
      </c>
      <c r="J261" s="1">
        <v>-0.112658237751179</v>
      </c>
      <c r="K261" s="1" t="s">
        <v>61</v>
      </c>
      <c r="L261" s="1" t="s">
        <v>61</v>
      </c>
      <c r="M261" s="1" t="s">
        <v>62</v>
      </c>
      <c r="N261" s="1">
        <v>-113.0</v>
      </c>
      <c r="O261" s="1">
        <v>0.0429836958887855</v>
      </c>
      <c r="P261" s="1" t="s">
        <v>61</v>
      </c>
      <c r="Q261" s="1" t="s">
        <v>61</v>
      </c>
      <c r="R261" s="1">
        <f t="shared" si="1"/>
        <v>0.04298369589</v>
      </c>
      <c r="S261" s="1">
        <f t="shared" si="2"/>
        <v>-113</v>
      </c>
      <c r="T261" s="1">
        <f t="shared" si="3"/>
        <v>1.884955752</v>
      </c>
      <c r="U261" s="1">
        <f t="shared" si="4"/>
        <v>0</v>
      </c>
      <c r="V261" s="3">
        <f t="shared" si="5"/>
        <v>1</v>
      </c>
      <c r="W261" s="3" t="str">
        <f>IFERROR(__xludf.DUMMYFUNCTION("split(B261,"" "")"),"J.")</f>
        <v>J.</v>
      </c>
      <c r="X261" s="3" t="str">
        <f>IFERROR(__xludf.DUMMYFUNCTION("""COMPUTED_VALUE"""),"Cook")</f>
        <v>Cook</v>
      </c>
      <c r="Z261" s="3">
        <v>78.0</v>
      </c>
      <c r="AA261" s="3">
        <f t="shared" si="6"/>
        <v>1</v>
      </c>
      <c r="AB261" s="3">
        <f t="shared" si="7"/>
        <v>0</v>
      </c>
      <c r="AC261" s="3">
        <f t="shared" si="8"/>
        <v>0.8849557522</v>
      </c>
      <c r="AD261" s="3">
        <f t="shared" si="9"/>
        <v>-1</v>
      </c>
    </row>
    <row r="262">
      <c r="A262" s="1" t="s">
        <v>11</v>
      </c>
      <c r="B262" s="1" t="s">
        <v>189</v>
      </c>
      <c r="C262" s="1" t="s">
        <v>18</v>
      </c>
      <c r="D262" s="1" t="s">
        <v>104</v>
      </c>
      <c r="E262" s="1" t="s">
        <v>94</v>
      </c>
      <c r="F262" s="1" t="s">
        <v>456</v>
      </c>
      <c r="G262" s="1">
        <v>40.5</v>
      </c>
      <c r="H262" s="1" t="s">
        <v>60</v>
      </c>
      <c r="I262" s="1">
        <v>-117.0</v>
      </c>
      <c r="J262" s="1">
        <v>-0.104754096072857</v>
      </c>
      <c r="K262" s="1" t="s">
        <v>61</v>
      </c>
      <c r="L262" s="1" t="s">
        <v>61</v>
      </c>
      <c r="M262" s="1" t="s">
        <v>62</v>
      </c>
      <c r="N262" s="1">
        <v>-112.0</v>
      </c>
      <c r="O262" s="1">
        <v>0.0372934306607171</v>
      </c>
      <c r="P262" s="1" t="s">
        <v>61</v>
      </c>
      <c r="Q262" s="1" t="s">
        <v>61</v>
      </c>
      <c r="R262" s="1">
        <f t="shared" si="1"/>
        <v>0.03729343066</v>
      </c>
      <c r="S262" s="1">
        <f t="shared" si="2"/>
        <v>-112</v>
      </c>
      <c r="T262" s="1">
        <f t="shared" si="3"/>
        <v>1.892857143</v>
      </c>
      <c r="U262" s="1">
        <f t="shared" si="4"/>
        <v>0</v>
      </c>
      <c r="V262" s="3">
        <f t="shared" si="5"/>
        <v>1</v>
      </c>
      <c r="W262" s="3" t="str">
        <f>IFERROR(__xludf.DUMMYFUNCTION("split(B262,"" "")"),"K.")</f>
        <v>K.</v>
      </c>
      <c r="X262" s="3" t="str">
        <f>IFERROR(__xludf.DUMMYFUNCTION("""COMPUTED_VALUE"""),"Shakir")</f>
        <v>Shakir</v>
      </c>
      <c r="Z262" s="3">
        <v>54.0</v>
      </c>
      <c r="AA262" s="3">
        <f t="shared" si="6"/>
        <v>1</v>
      </c>
      <c r="AB262" s="3">
        <f t="shared" si="7"/>
        <v>0</v>
      </c>
      <c r="AC262" s="3">
        <f t="shared" si="8"/>
        <v>0.8928571429</v>
      </c>
      <c r="AD262" s="3">
        <f t="shared" si="9"/>
        <v>-1</v>
      </c>
    </row>
    <row r="263">
      <c r="A263" s="1" t="s">
        <v>15</v>
      </c>
      <c r="B263" s="1" t="s">
        <v>434</v>
      </c>
      <c r="C263" s="1" t="s">
        <v>21</v>
      </c>
      <c r="D263" s="1" t="s">
        <v>104</v>
      </c>
      <c r="E263" s="1" t="s">
        <v>94</v>
      </c>
      <c r="F263" s="1" t="s">
        <v>456</v>
      </c>
      <c r="G263" s="1">
        <v>22.5</v>
      </c>
      <c r="H263" s="1" t="s">
        <v>60</v>
      </c>
      <c r="I263" s="1">
        <v>101.0</v>
      </c>
      <c r="J263" s="1">
        <v>0.0321378109452735</v>
      </c>
      <c r="K263" s="1" t="s">
        <v>61</v>
      </c>
      <c r="L263" s="1" t="s">
        <v>61</v>
      </c>
      <c r="M263" s="1" t="s">
        <v>62</v>
      </c>
      <c r="N263" s="1">
        <v>-131.0</v>
      </c>
      <c r="O263" s="1">
        <v>-0.096756277056277</v>
      </c>
      <c r="P263" s="1" t="s">
        <v>61</v>
      </c>
      <c r="Q263" s="1" t="s">
        <v>61</v>
      </c>
      <c r="R263" s="1">
        <f t="shared" si="1"/>
        <v>0.03213781095</v>
      </c>
      <c r="S263" s="1">
        <f t="shared" si="2"/>
        <v>101</v>
      </c>
      <c r="T263" s="1">
        <f t="shared" si="3"/>
        <v>2.01</v>
      </c>
      <c r="U263" s="1">
        <f t="shared" si="4"/>
        <v>1</v>
      </c>
      <c r="V263" s="3">
        <f t="shared" si="5"/>
        <v>1</v>
      </c>
      <c r="W263" s="3" t="str">
        <f>IFERROR(__xludf.DUMMYFUNCTION("split(B263,"" "")"),"J.")</f>
        <v>J.</v>
      </c>
      <c r="X263" s="3" t="str">
        <f>IFERROR(__xludf.DUMMYFUNCTION("""COMPUTED_VALUE"""),"Allen")</f>
        <v>Allen</v>
      </c>
      <c r="Z263" s="3">
        <v>13.0</v>
      </c>
      <c r="AA263" s="3">
        <f t="shared" si="6"/>
        <v>0</v>
      </c>
      <c r="AB263" s="3">
        <f t="shared" si="7"/>
        <v>0</v>
      </c>
      <c r="AC263" s="3">
        <f t="shared" si="8"/>
        <v>1.01</v>
      </c>
      <c r="AD263" s="3">
        <f t="shared" si="9"/>
        <v>-1</v>
      </c>
    </row>
    <row r="264">
      <c r="A264" s="1" t="s">
        <v>11</v>
      </c>
      <c r="B264" s="1" t="s">
        <v>103</v>
      </c>
      <c r="C264" s="1" t="s">
        <v>18</v>
      </c>
      <c r="D264" s="1" t="s">
        <v>104</v>
      </c>
      <c r="E264" s="1" t="s">
        <v>94</v>
      </c>
      <c r="F264" s="1" t="s">
        <v>456</v>
      </c>
      <c r="G264" s="1">
        <v>17.5</v>
      </c>
      <c r="H264" s="1" t="s">
        <v>60</v>
      </c>
      <c r="I264" s="1">
        <v>-116.0</v>
      </c>
      <c r="J264" s="1">
        <v>0.00993479080070358</v>
      </c>
      <c r="K264" s="1" t="s">
        <v>61</v>
      </c>
      <c r="L264" s="1" t="s">
        <v>61</v>
      </c>
      <c r="M264" s="1" t="s">
        <v>62</v>
      </c>
      <c r="N264" s="1">
        <v>-113.0</v>
      </c>
      <c r="O264" s="1">
        <v>-0.0774841490076795</v>
      </c>
      <c r="P264" s="1" t="s">
        <v>61</v>
      </c>
      <c r="Q264" s="1" t="s">
        <v>61</v>
      </c>
      <c r="R264" s="1">
        <f t="shared" si="1"/>
        <v>0.009934790801</v>
      </c>
      <c r="S264" s="1">
        <f t="shared" si="2"/>
        <v>-116</v>
      </c>
      <c r="T264" s="1">
        <f t="shared" si="3"/>
        <v>1.862068966</v>
      </c>
      <c r="U264" s="1">
        <f t="shared" si="4"/>
        <v>1</v>
      </c>
      <c r="V264" s="3">
        <f t="shared" si="5"/>
        <v>1</v>
      </c>
      <c r="W264" s="3" t="str">
        <f>IFERROR(__xludf.DUMMYFUNCTION("split(B264,"" "")"),"C.")</f>
        <v>C.</v>
      </c>
      <c r="X264" s="3" t="str">
        <f>IFERROR(__xludf.DUMMYFUNCTION("""COMPUTED_VALUE"""),"Samuel")</f>
        <v>Samuel</v>
      </c>
      <c r="Z264" s="3">
        <v>3.0</v>
      </c>
      <c r="AA264" s="3">
        <f t="shared" si="6"/>
        <v>0</v>
      </c>
      <c r="AB264" s="3">
        <f t="shared" si="7"/>
        <v>0</v>
      </c>
      <c r="AC264" s="3">
        <f t="shared" si="8"/>
        <v>0.8620689655</v>
      </c>
      <c r="AD264" s="3">
        <f t="shared" si="9"/>
        <v>-1</v>
      </c>
    </row>
    <row r="265">
      <c r="A265" s="1" t="s">
        <v>12</v>
      </c>
      <c r="B265" s="1" t="s">
        <v>266</v>
      </c>
      <c r="C265" s="1" t="s">
        <v>19</v>
      </c>
      <c r="D265" s="1" t="s">
        <v>57</v>
      </c>
      <c r="E265" s="1" t="s">
        <v>135</v>
      </c>
      <c r="F265" s="1" t="s">
        <v>455</v>
      </c>
      <c r="G265" s="1">
        <v>1.5</v>
      </c>
      <c r="H265" s="1" t="s">
        <v>60</v>
      </c>
      <c r="I265" s="1">
        <v>-185.0</v>
      </c>
      <c r="J265" s="1">
        <v>-0.292851646954385</v>
      </c>
      <c r="K265" s="1" t="s">
        <v>61</v>
      </c>
      <c r="L265" s="1" t="s">
        <v>61</v>
      </c>
      <c r="M265" s="1" t="s">
        <v>62</v>
      </c>
      <c r="N265" s="1">
        <v>140.0</v>
      </c>
      <c r="O265" s="1">
        <v>0.227067580758333</v>
      </c>
      <c r="P265" s="1" t="s">
        <v>61</v>
      </c>
      <c r="Q265" s="1" t="s">
        <v>61</v>
      </c>
      <c r="R265" s="1">
        <f t="shared" si="1"/>
        <v>0.2270675808</v>
      </c>
      <c r="S265" s="1">
        <f t="shared" si="2"/>
        <v>140</v>
      </c>
      <c r="T265" s="1">
        <f t="shared" si="3"/>
        <v>2.4</v>
      </c>
      <c r="U265" s="1">
        <f t="shared" si="4"/>
        <v>0</v>
      </c>
      <c r="V265" s="3">
        <f t="shared" si="5"/>
        <v>3</v>
      </c>
      <c r="W265" s="3" t="str">
        <f>IFERROR(__xludf.DUMMYFUNCTION("split(B265,"" "")"),"C.")</f>
        <v>C.</v>
      </c>
      <c r="X265" s="3" t="str">
        <f>IFERROR(__xludf.DUMMYFUNCTION("""COMPUTED_VALUE"""),"Hubbard")</f>
        <v>Hubbard</v>
      </c>
      <c r="Z265" s="3">
        <v>4.0</v>
      </c>
      <c r="AA265" s="3">
        <f t="shared" si="6"/>
        <v>1</v>
      </c>
      <c r="AB265" s="3">
        <f t="shared" si="7"/>
        <v>0</v>
      </c>
      <c r="AC265" s="3">
        <f t="shared" si="8"/>
        <v>4.2</v>
      </c>
      <c r="AD265" s="3">
        <f t="shared" si="9"/>
        <v>-3</v>
      </c>
    </row>
    <row r="266">
      <c r="A266" s="1" t="s">
        <v>17</v>
      </c>
      <c r="B266" s="1" t="s">
        <v>56</v>
      </c>
      <c r="C266" s="1" t="s">
        <v>21</v>
      </c>
      <c r="D266" s="1" t="s">
        <v>57</v>
      </c>
      <c r="E266" s="1" t="s">
        <v>135</v>
      </c>
      <c r="F266" s="1" t="s">
        <v>455</v>
      </c>
      <c r="G266" s="1">
        <v>0.5</v>
      </c>
      <c r="H266" s="1" t="s">
        <v>60</v>
      </c>
      <c r="I266" s="1">
        <v>-166.0</v>
      </c>
      <c r="J266" s="1">
        <v>-0.191060150375939</v>
      </c>
      <c r="K266" s="1" t="s">
        <v>61</v>
      </c>
      <c r="L266" s="1" t="s">
        <v>61</v>
      </c>
      <c r="M266" s="1" t="s">
        <v>62</v>
      </c>
      <c r="N266" s="1">
        <v>127.0</v>
      </c>
      <c r="O266" s="1">
        <v>0.126471365638766</v>
      </c>
      <c r="P266" s="1" t="s">
        <v>61</v>
      </c>
      <c r="Q266" s="1" t="s">
        <v>61</v>
      </c>
      <c r="R266" s="1">
        <f t="shared" si="1"/>
        <v>0.1264713656</v>
      </c>
      <c r="S266" s="1">
        <f t="shared" si="2"/>
        <v>127</v>
      </c>
      <c r="T266" s="1">
        <f t="shared" si="3"/>
        <v>2.27</v>
      </c>
      <c r="U266" s="1">
        <f t="shared" si="4"/>
        <v>0</v>
      </c>
      <c r="V266" s="3">
        <f t="shared" si="5"/>
        <v>3</v>
      </c>
      <c r="W266" s="3" t="str">
        <f>IFERROR(__xludf.DUMMYFUNCTION("split(B266,"" "")"),"B.")</f>
        <v>B.</v>
      </c>
      <c r="X266" s="3" t="str">
        <f>IFERROR(__xludf.DUMMYFUNCTION("""COMPUTED_VALUE"""),"Young")</f>
        <v>Young</v>
      </c>
      <c r="Z266" s="3">
        <v>1.0</v>
      </c>
      <c r="AA266" s="3">
        <f t="shared" si="6"/>
        <v>1</v>
      </c>
      <c r="AB266" s="3">
        <f t="shared" si="7"/>
        <v>0</v>
      </c>
      <c r="AC266" s="3">
        <f t="shared" si="8"/>
        <v>3.81</v>
      </c>
      <c r="AD266" s="3">
        <f t="shared" si="9"/>
        <v>-3</v>
      </c>
    </row>
    <row r="267">
      <c r="A267" s="1" t="s">
        <v>8</v>
      </c>
      <c r="B267" s="1" t="s">
        <v>274</v>
      </c>
      <c r="C267" s="1" t="s">
        <v>21</v>
      </c>
      <c r="D267" s="1" t="s">
        <v>99</v>
      </c>
      <c r="E267" s="1" t="s">
        <v>72</v>
      </c>
      <c r="F267" s="1" t="s">
        <v>460</v>
      </c>
      <c r="G267" s="1">
        <v>4.5</v>
      </c>
      <c r="H267" s="1" t="s">
        <v>60</v>
      </c>
      <c r="I267" s="1">
        <v>-113.0</v>
      </c>
      <c r="J267" s="1">
        <v>-0.177201790746417</v>
      </c>
      <c r="K267" s="1" t="s">
        <v>61</v>
      </c>
      <c r="L267" s="1" t="s">
        <v>61</v>
      </c>
      <c r="M267" s="1" t="s">
        <v>62</v>
      </c>
      <c r="N267" s="1">
        <v>-117.0</v>
      </c>
      <c r="O267" s="1">
        <v>0.10752752199039</v>
      </c>
      <c r="P267" s="1" t="s">
        <v>61</v>
      </c>
      <c r="Q267" s="1" t="s">
        <v>61</v>
      </c>
      <c r="R267" s="1">
        <f t="shared" si="1"/>
        <v>0.107527522</v>
      </c>
      <c r="S267" s="1">
        <f t="shared" si="2"/>
        <v>-117</v>
      </c>
      <c r="T267" s="1">
        <f t="shared" si="3"/>
        <v>1.854700855</v>
      </c>
      <c r="U267" s="1">
        <f t="shared" si="4"/>
        <v>0</v>
      </c>
      <c r="V267" s="3">
        <f t="shared" si="5"/>
        <v>3</v>
      </c>
      <c r="W267" s="3" t="str">
        <f>IFERROR(__xludf.DUMMYFUNCTION("split(B267,"" "")"),"C.")</f>
        <v>C.</v>
      </c>
      <c r="X267" s="3" t="str">
        <f>IFERROR(__xludf.DUMMYFUNCTION("""COMPUTED_VALUE"""),"Williams")</f>
        <v>Williams</v>
      </c>
      <c r="Z267" s="3">
        <v>5.0</v>
      </c>
      <c r="AA267" s="3">
        <f t="shared" si="6"/>
        <v>1</v>
      </c>
      <c r="AB267" s="3">
        <f t="shared" si="7"/>
        <v>0</v>
      </c>
      <c r="AC267" s="3">
        <f t="shared" si="8"/>
        <v>2.564102564</v>
      </c>
      <c r="AD267" s="3">
        <f t="shared" si="9"/>
        <v>-3</v>
      </c>
    </row>
    <row r="268">
      <c r="A268" s="1" t="s">
        <v>12</v>
      </c>
      <c r="B268" s="1" t="s">
        <v>98</v>
      </c>
      <c r="C268" s="1" t="s">
        <v>19</v>
      </c>
      <c r="D268" s="1" t="s">
        <v>99</v>
      </c>
      <c r="E268" s="1" t="s">
        <v>72</v>
      </c>
      <c r="F268" s="1" t="s">
        <v>460</v>
      </c>
      <c r="G268" s="1">
        <v>2.5</v>
      </c>
      <c r="H268" s="1" t="s">
        <v>60</v>
      </c>
      <c r="I268" s="1">
        <v>121.0</v>
      </c>
      <c r="J268" s="1">
        <v>-0.165629077324434</v>
      </c>
      <c r="K268" s="1" t="s">
        <v>61</v>
      </c>
      <c r="L268" s="1" t="s">
        <v>61</v>
      </c>
      <c r="M268" s="1" t="s">
        <v>62</v>
      </c>
      <c r="N268" s="1">
        <v>-159.0</v>
      </c>
      <c r="O268" s="1">
        <v>0.0992335475957527</v>
      </c>
      <c r="P268" s="1" t="s">
        <v>61</v>
      </c>
      <c r="Q268" s="1" t="s">
        <v>61</v>
      </c>
      <c r="R268" s="1">
        <f t="shared" si="1"/>
        <v>0.0992335476</v>
      </c>
      <c r="S268" s="1">
        <f t="shared" si="2"/>
        <v>-159</v>
      </c>
      <c r="T268" s="1">
        <f t="shared" si="3"/>
        <v>1.628930818</v>
      </c>
      <c r="U268" s="1">
        <f t="shared" si="4"/>
        <v>0</v>
      </c>
      <c r="V268" s="3">
        <f t="shared" si="5"/>
        <v>2</v>
      </c>
      <c r="W268" s="3" t="str">
        <f>IFERROR(__xludf.DUMMYFUNCTION("split(B268,"" "")"),"D.")</f>
        <v>D.</v>
      </c>
      <c r="X268" s="3" t="str">
        <f>IFERROR(__xludf.DUMMYFUNCTION("""COMPUTED_VALUE"""),"Swift")</f>
        <v>Swift</v>
      </c>
      <c r="Z268" s="3">
        <v>4.0</v>
      </c>
      <c r="AA268" s="3">
        <f t="shared" si="6"/>
        <v>1</v>
      </c>
      <c r="AB268" s="3">
        <f t="shared" si="7"/>
        <v>0</v>
      </c>
      <c r="AC268" s="3">
        <f t="shared" si="8"/>
        <v>1.257861635</v>
      </c>
      <c r="AD268" s="3">
        <f t="shared" si="9"/>
        <v>-2</v>
      </c>
    </row>
    <row r="269">
      <c r="A269" s="1" t="s">
        <v>17</v>
      </c>
      <c r="B269" s="1" t="s">
        <v>274</v>
      </c>
      <c r="C269" s="1" t="s">
        <v>21</v>
      </c>
      <c r="D269" s="1" t="s">
        <v>99</v>
      </c>
      <c r="E269" s="1" t="s">
        <v>72</v>
      </c>
      <c r="F269" s="1" t="s">
        <v>460</v>
      </c>
      <c r="G269" s="1">
        <v>0.5</v>
      </c>
      <c r="H269" s="1" t="s">
        <v>60</v>
      </c>
      <c r="I269" s="1">
        <v>-161.0</v>
      </c>
      <c r="J269" s="1">
        <v>-0.161296551724138</v>
      </c>
      <c r="K269" s="1" t="s">
        <v>61</v>
      </c>
      <c r="L269" s="1" t="s">
        <v>61</v>
      </c>
      <c r="M269" s="1" t="s">
        <v>62</v>
      </c>
      <c r="N269" s="1">
        <v>122.0</v>
      </c>
      <c r="O269" s="1">
        <v>0.0939945945945945</v>
      </c>
      <c r="P269" s="1" t="s">
        <v>61</v>
      </c>
      <c r="Q269" s="1" t="s">
        <v>61</v>
      </c>
      <c r="R269" s="1">
        <f t="shared" si="1"/>
        <v>0.09399459459</v>
      </c>
      <c r="S269" s="1">
        <f t="shared" si="2"/>
        <v>122</v>
      </c>
      <c r="T269" s="1">
        <f t="shared" si="3"/>
        <v>2.22</v>
      </c>
      <c r="U269" s="1">
        <f t="shared" si="4"/>
        <v>0</v>
      </c>
      <c r="V269" s="3">
        <f t="shared" si="5"/>
        <v>2</v>
      </c>
      <c r="W269" s="3" t="str">
        <f>IFERROR(__xludf.DUMMYFUNCTION("split(B269,"" "")"),"C.")</f>
        <v>C.</v>
      </c>
      <c r="X269" s="3" t="str">
        <f>IFERROR(__xludf.DUMMYFUNCTION("""COMPUTED_VALUE"""),"Williams")</f>
        <v>Williams</v>
      </c>
      <c r="Z269" s="3">
        <v>2.0</v>
      </c>
      <c r="AA269" s="3">
        <f t="shared" si="6"/>
        <v>1</v>
      </c>
      <c r="AB269" s="3">
        <f t="shared" si="7"/>
        <v>0</v>
      </c>
      <c r="AC269" s="3">
        <f t="shared" si="8"/>
        <v>2.44</v>
      </c>
      <c r="AD269" s="3">
        <f t="shared" si="9"/>
        <v>-2</v>
      </c>
    </row>
    <row r="270">
      <c r="A270" s="1" t="s">
        <v>15</v>
      </c>
      <c r="B270" s="1" t="s">
        <v>274</v>
      </c>
      <c r="C270" s="1" t="s">
        <v>21</v>
      </c>
      <c r="D270" s="1" t="s">
        <v>99</v>
      </c>
      <c r="E270" s="1" t="s">
        <v>72</v>
      </c>
      <c r="F270" s="1" t="s">
        <v>460</v>
      </c>
      <c r="G270" s="1">
        <v>20.5</v>
      </c>
      <c r="H270" s="1" t="s">
        <v>60</v>
      </c>
      <c r="I270" s="1">
        <v>-120.0</v>
      </c>
      <c r="J270" s="1">
        <v>-0.111052420772727</v>
      </c>
      <c r="K270" s="1" t="s">
        <v>61</v>
      </c>
      <c r="L270" s="1" t="s">
        <v>61</v>
      </c>
      <c r="M270" s="1" t="s">
        <v>62</v>
      </c>
      <c r="N270" s="1">
        <v>-110.0</v>
      </c>
      <c r="O270" s="1">
        <v>0.041788027747619</v>
      </c>
      <c r="P270" s="1" t="s">
        <v>61</v>
      </c>
      <c r="Q270" s="1" t="s">
        <v>61</v>
      </c>
      <c r="R270" s="1">
        <f t="shared" si="1"/>
        <v>0.04178802775</v>
      </c>
      <c r="S270" s="1">
        <f t="shared" si="2"/>
        <v>-110</v>
      </c>
      <c r="T270" s="1">
        <f t="shared" si="3"/>
        <v>1.909090909</v>
      </c>
      <c r="U270" s="1">
        <f t="shared" si="4"/>
        <v>0</v>
      </c>
      <c r="V270" s="3">
        <f t="shared" si="5"/>
        <v>1</v>
      </c>
      <c r="W270" s="3" t="str">
        <f>IFERROR(__xludf.DUMMYFUNCTION("split(B270,"" "")"),"C.")</f>
        <v>C.</v>
      </c>
      <c r="X270" s="3" t="str">
        <f>IFERROR(__xludf.DUMMYFUNCTION("""COMPUTED_VALUE"""),"Williams")</f>
        <v>Williams</v>
      </c>
      <c r="Z270" s="3">
        <v>23.0</v>
      </c>
      <c r="AA270" s="3">
        <f t="shared" si="6"/>
        <v>1</v>
      </c>
      <c r="AB270" s="3">
        <f t="shared" si="7"/>
        <v>0</v>
      </c>
      <c r="AC270" s="3">
        <f t="shared" si="8"/>
        <v>0.9090909091</v>
      </c>
      <c r="AD270" s="3">
        <f t="shared" si="9"/>
        <v>-1</v>
      </c>
    </row>
    <row r="271">
      <c r="A271" s="1" t="s">
        <v>10</v>
      </c>
      <c r="B271" s="1" t="s">
        <v>274</v>
      </c>
      <c r="C271" s="1" t="s">
        <v>21</v>
      </c>
      <c r="D271" s="1" t="s">
        <v>99</v>
      </c>
      <c r="E271" s="1" t="s">
        <v>72</v>
      </c>
      <c r="F271" s="1" t="s">
        <v>460</v>
      </c>
      <c r="G271" s="1">
        <v>18.5</v>
      </c>
      <c r="H271" s="1" t="s">
        <v>60</v>
      </c>
      <c r="I271" s="1">
        <v>-110.0</v>
      </c>
      <c r="J271" s="1">
        <v>-0.104695418770136</v>
      </c>
      <c r="K271" s="1" t="s">
        <v>61</v>
      </c>
      <c r="L271" s="1" t="s">
        <v>61</v>
      </c>
      <c r="M271" s="1" t="s">
        <v>62</v>
      </c>
      <c r="N271" s="1">
        <v>-119.0</v>
      </c>
      <c r="O271" s="1">
        <v>0.037533128541813</v>
      </c>
      <c r="P271" s="1" t="s">
        <v>61</v>
      </c>
      <c r="Q271" s="1" t="s">
        <v>61</v>
      </c>
      <c r="R271" s="1">
        <f t="shared" si="1"/>
        <v>0.03753312854</v>
      </c>
      <c r="S271" s="1">
        <f t="shared" si="2"/>
        <v>-119</v>
      </c>
      <c r="T271" s="1">
        <f t="shared" si="3"/>
        <v>1.840336134</v>
      </c>
      <c r="U271" s="1">
        <f t="shared" si="4"/>
        <v>0</v>
      </c>
      <c r="V271" s="3">
        <f t="shared" si="5"/>
        <v>1</v>
      </c>
      <c r="W271" s="3" t="str">
        <f>IFERROR(__xludf.DUMMYFUNCTION("split(B271,"" "")"),"C.")</f>
        <v>C.</v>
      </c>
      <c r="X271" s="3" t="str">
        <f>IFERROR(__xludf.DUMMYFUNCTION("""COMPUTED_VALUE"""),"Williams")</f>
        <v>Williams</v>
      </c>
      <c r="Z271" s="3">
        <v>44.0</v>
      </c>
      <c r="AA271" s="3">
        <f t="shared" si="6"/>
        <v>1</v>
      </c>
      <c r="AB271" s="3">
        <f t="shared" si="7"/>
        <v>0</v>
      </c>
      <c r="AC271" s="3">
        <f t="shared" si="8"/>
        <v>0.8403361345</v>
      </c>
      <c r="AD271" s="3">
        <f t="shared" si="9"/>
        <v>-1</v>
      </c>
    </row>
    <row r="272">
      <c r="A272" s="1" t="s">
        <v>8</v>
      </c>
      <c r="B272" s="1" t="s">
        <v>98</v>
      </c>
      <c r="C272" s="1" t="s">
        <v>19</v>
      </c>
      <c r="D272" s="1" t="s">
        <v>99</v>
      </c>
      <c r="E272" s="1" t="s">
        <v>72</v>
      </c>
      <c r="F272" s="1" t="s">
        <v>460</v>
      </c>
      <c r="G272" s="1">
        <v>10.5</v>
      </c>
      <c r="H272" s="1" t="s">
        <v>60</v>
      </c>
      <c r="I272" s="1">
        <v>-140.0</v>
      </c>
      <c r="J272" s="1">
        <v>-0.0912747475261666</v>
      </c>
      <c r="K272" s="1" t="s">
        <v>61</v>
      </c>
      <c r="L272" s="1" t="s">
        <v>61</v>
      </c>
      <c r="M272" s="1" t="s">
        <v>62</v>
      </c>
      <c r="N272" s="1">
        <v>109.0</v>
      </c>
      <c r="O272" s="1">
        <v>0.0294786574463157</v>
      </c>
      <c r="P272" s="1" t="s">
        <v>61</v>
      </c>
      <c r="Q272" s="1" t="s">
        <v>61</v>
      </c>
      <c r="R272" s="1">
        <f t="shared" si="1"/>
        <v>0.02947865745</v>
      </c>
      <c r="S272" s="1">
        <f t="shared" si="2"/>
        <v>109</v>
      </c>
      <c r="T272" s="1">
        <f t="shared" si="3"/>
        <v>2.09</v>
      </c>
      <c r="U272" s="1">
        <f t="shared" si="4"/>
        <v>0</v>
      </c>
      <c r="V272" s="3">
        <f t="shared" si="5"/>
        <v>1</v>
      </c>
      <c r="W272" s="3" t="str">
        <f>IFERROR(__xludf.DUMMYFUNCTION("split(B272,"" "")"),"D.")</f>
        <v>D.</v>
      </c>
      <c r="X272" s="3" t="str">
        <f>IFERROR(__xludf.DUMMYFUNCTION("""COMPUTED_VALUE"""),"Swift")</f>
        <v>Swift</v>
      </c>
      <c r="Z272" s="3">
        <v>14.0</v>
      </c>
      <c r="AA272" s="3">
        <f t="shared" si="6"/>
        <v>1</v>
      </c>
      <c r="AB272" s="3">
        <f t="shared" si="7"/>
        <v>0</v>
      </c>
      <c r="AC272" s="3">
        <f t="shared" si="8"/>
        <v>1.09</v>
      </c>
      <c r="AD272" s="3">
        <f t="shared" si="9"/>
        <v>-1</v>
      </c>
    </row>
    <row r="273">
      <c r="A273" s="1" t="s">
        <v>16</v>
      </c>
      <c r="B273" s="1" t="s">
        <v>274</v>
      </c>
      <c r="C273" s="1" t="s">
        <v>21</v>
      </c>
      <c r="D273" s="1" t="s">
        <v>99</v>
      </c>
      <c r="E273" s="1" t="s">
        <v>72</v>
      </c>
      <c r="F273" s="1" t="s">
        <v>460</v>
      </c>
      <c r="G273" s="1">
        <v>34.5</v>
      </c>
      <c r="H273" s="1" t="s">
        <v>60</v>
      </c>
      <c r="I273" s="1">
        <v>-103.0</v>
      </c>
      <c r="J273" s="1">
        <v>-0.0813910099655171</v>
      </c>
      <c r="K273" s="1" t="s">
        <v>61</v>
      </c>
      <c r="L273" s="1" t="s">
        <v>61</v>
      </c>
      <c r="M273" s="1" t="s">
        <v>62</v>
      </c>
      <c r="N273" s="1">
        <v>-128.0</v>
      </c>
      <c r="O273" s="1">
        <v>0.0125980881578946</v>
      </c>
      <c r="P273" s="1" t="s">
        <v>61</v>
      </c>
      <c r="Q273" s="1" t="s">
        <v>61</v>
      </c>
      <c r="R273" s="1">
        <f t="shared" si="1"/>
        <v>0.01259808816</v>
      </c>
      <c r="S273" s="1">
        <f t="shared" si="2"/>
        <v>-128</v>
      </c>
      <c r="T273" s="1">
        <f t="shared" si="3"/>
        <v>1.78125</v>
      </c>
      <c r="U273" s="1">
        <f t="shared" si="4"/>
        <v>0</v>
      </c>
      <c r="V273" s="3">
        <f t="shared" si="5"/>
        <v>1</v>
      </c>
      <c r="W273" s="3" t="str">
        <f>IFERROR(__xludf.DUMMYFUNCTION("split(B273,"" "")"),"C.")</f>
        <v>C.</v>
      </c>
      <c r="X273" s="3" t="str">
        <f>IFERROR(__xludf.DUMMYFUNCTION("""COMPUTED_VALUE"""),"Williams")</f>
        <v>Williams</v>
      </c>
      <c r="Z273" s="3">
        <v>37.0</v>
      </c>
      <c r="AA273" s="3">
        <f t="shared" si="6"/>
        <v>1</v>
      </c>
      <c r="AB273" s="3">
        <f t="shared" si="7"/>
        <v>0</v>
      </c>
      <c r="AC273" s="3">
        <f t="shared" si="8"/>
        <v>0.78125</v>
      </c>
      <c r="AD273" s="3">
        <f t="shared" si="9"/>
        <v>-1</v>
      </c>
    </row>
    <row r="274">
      <c r="A274" s="1" t="s">
        <v>14</v>
      </c>
      <c r="B274" s="1" t="s">
        <v>274</v>
      </c>
      <c r="C274" s="1" t="s">
        <v>21</v>
      </c>
      <c r="D274" s="1" t="s">
        <v>99</v>
      </c>
      <c r="E274" s="1" t="s">
        <v>72</v>
      </c>
      <c r="F274" s="1" t="s">
        <v>460</v>
      </c>
      <c r="G274" s="1">
        <v>1.5</v>
      </c>
      <c r="H274" s="1" t="s">
        <v>60</v>
      </c>
      <c r="I274" s="1">
        <v>160.0</v>
      </c>
      <c r="J274" s="1">
        <v>0.0104846153846154</v>
      </c>
      <c r="K274" s="1" t="s">
        <v>61</v>
      </c>
      <c r="L274" s="1" t="s">
        <v>61</v>
      </c>
      <c r="M274" s="1" t="s">
        <v>62</v>
      </c>
      <c r="N274" s="1">
        <v>-215.0</v>
      </c>
      <c r="O274" s="1">
        <v>-0.0776396825396825</v>
      </c>
      <c r="P274" s="1" t="s">
        <v>61</v>
      </c>
      <c r="Q274" s="1" t="s">
        <v>61</v>
      </c>
      <c r="R274" s="1">
        <f t="shared" si="1"/>
        <v>0.01048461538</v>
      </c>
      <c r="S274" s="1">
        <f t="shared" si="2"/>
        <v>160</v>
      </c>
      <c r="T274" s="1">
        <f t="shared" si="3"/>
        <v>2.6</v>
      </c>
      <c r="U274" s="1">
        <f t="shared" si="4"/>
        <v>1</v>
      </c>
      <c r="V274" s="3">
        <f t="shared" si="5"/>
        <v>1</v>
      </c>
      <c r="W274" s="3" t="str">
        <f>IFERROR(__xludf.DUMMYFUNCTION("split(B274,"" "")"),"C.")</f>
        <v>C.</v>
      </c>
      <c r="X274" s="3" t="str">
        <f>IFERROR(__xludf.DUMMYFUNCTION("""COMPUTED_VALUE"""),"Williams")</f>
        <v>Williams</v>
      </c>
      <c r="Z274" s="3">
        <v>0.0</v>
      </c>
      <c r="AA274" s="3">
        <f t="shared" si="6"/>
        <v>0</v>
      </c>
      <c r="AB274" s="3">
        <f t="shared" si="7"/>
        <v>0</v>
      </c>
      <c r="AC274" s="3">
        <f t="shared" si="8"/>
        <v>1.6</v>
      </c>
      <c r="AD274" s="3">
        <f t="shared" si="9"/>
        <v>-1</v>
      </c>
    </row>
    <row r="275">
      <c r="A275" s="1" t="s">
        <v>12</v>
      </c>
      <c r="B275" s="1" t="s">
        <v>389</v>
      </c>
      <c r="C275" s="1" t="s">
        <v>18</v>
      </c>
      <c r="D275" s="1" t="s">
        <v>67</v>
      </c>
      <c r="E275" s="1" t="s">
        <v>76</v>
      </c>
      <c r="F275" s="1" t="s">
        <v>461</v>
      </c>
      <c r="G275" s="1">
        <v>6.5</v>
      </c>
      <c r="H275" s="1" t="s">
        <v>60</v>
      </c>
      <c r="I275" s="1">
        <v>-104.0</v>
      </c>
      <c r="J275" s="1">
        <v>0.146294117647058</v>
      </c>
      <c r="K275" s="1" t="s">
        <v>61</v>
      </c>
      <c r="L275" s="1" t="s">
        <v>61</v>
      </c>
      <c r="M275" s="1" t="s">
        <v>62</v>
      </c>
      <c r="N275" s="1">
        <v>-127.0</v>
      </c>
      <c r="O275" s="1">
        <v>-0.215583259911894</v>
      </c>
      <c r="P275" s="1" t="s">
        <v>61</v>
      </c>
      <c r="Q275" s="1" t="s">
        <v>61</v>
      </c>
      <c r="R275" s="1">
        <f t="shared" si="1"/>
        <v>0.1462941176</v>
      </c>
      <c r="S275" s="1">
        <f t="shared" si="2"/>
        <v>-104</v>
      </c>
      <c r="T275" s="1">
        <f t="shared" si="3"/>
        <v>1.961538462</v>
      </c>
      <c r="U275" s="1">
        <f t="shared" si="4"/>
        <v>1</v>
      </c>
      <c r="V275" s="3">
        <f t="shared" si="5"/>
        <v>3</v>
      </c>
      <c r="W275" s="3" t="str">
        <f>IFERROR(__xludf.DUMMYFUNCTION("split(B275,"" "")"),"J.")</f>
        <v>J.</v>
      </c>
      <c r="X275" s="3" t="str">
        <f>IFERROR(__xludf.DUMMYFUNCTION("""COMPUTED_VALUE"""),"Chase")</f>
        <v>Chase</v>
      </c>
      <c r="Z275" s="3">
        <v>4.0</v>
      </c>
      <c r="AA275" s="3">
        <f t="shared" si="6"/>
        <v>0</v>
      </c>
      <c r="AB275" s="3">
        <f t="shared" si="7"/>
        <v>0</v>
      </c>
      <c r="AC275" s="3">
        <f t="shared" si="8"/>
        <v>2.884615385</v>
      </c>
      <c r="AD275" s="3">
        <f t="shared" si="9"/>
        <v>-3</v>
      </c>
    </row>
    <row r="276">
      <c r="A276" s="1" t="s">
        <v>11</v>
      </c>
      <c r="B276" s="1" t="s">
        <v>504</v>
      </c>
      <c r="C276" s="1" t="s">
        <v>20</v>
      </c>
      <c r="D276" s="1" t="s">
        <v>67</v>
      </c>
      <c r="E276" s="1" t="s">
        <v>76</v>
      </c>
      <c r="F276" s="1" t="s">
        <v>461</v>
      </c>
      <c r="G276" s="1">
        <v>21.5</v>
      </c>
      <c r="H276" s="1" t="s">
        <v>60</v>
      </c>
      <c r="I276" s="1">
        <v>-110.0</v>
      </c>
      <c r="J276" s="1">
        <v>-0.0757679913074286</v>
      </c>
      <c r="K276" s="1" t="s">
        <v>61</v>
      </c>
      <c r="L276" s="1" t="s">
        <v>61</v>
      </c>
      <c r="M276" s="1" t="s">
        <v>62</v>
      </c>
      <c r="N276" s="1">
        <v>-120.0</v>
      </c>
      <c r="O276" s="1">
        <v>0.0065269718612364</v>
      </c>
      <c r="P276" s="1" t="s">
        <v>61</v>
      </c>
      <c r="Q276" s="1" t="s">
        <v>61</v>
      </c>
      <c r="R276" s="1">
        <f t="shared" si="1"/>
        <v>0.006526971861</v>
      </c>
      <c r="S276" s="1">
        <f t="shared" si="2"/>
        <v>-120</v>
      </c>
      <c r="T276" s="1">
        <f t="shared" si="3"/>
        <v>1.833333333</v>
      </c>
      <c r="U276" s="1">
        <f t="shared" si="4"/>
        <v>0</v>
      </c>
      <c r="V276" s="3">
        <f t="shared" si="5"/>
        <v>1</v>
      </c>
      <c r="W276" s="3" t="str">
        <f>IFERROR(__xludf.DUMMYFUNCTION("split(B276,"" "")"),"M.")</f>
        <v>M.</v>
      </c>
      <c r="X276" s="3" t="str">
        <f>IFERROR(__xludf.DUMMYFUNCTION("""COMPUTED_VALUE"""),"Gesicki")</f>
        <v>Gesicki</v>
      </c>
      <c r="Z276" s="3">
        <v>91.0</v>
      </c>
      <c r="AA276" s="3">
        <f t="shared" si="6"/>
        <v>1</v>
      </c>
      <c r="AB276" s="3">
        <f t="shared" si="7"/>
        <v>0</v>
      </c>
      <c r="AC276" s="3">
        <f t="shared" si="8"/>
        <v>0.8333333333</v>
      </c>
      <c r="AD276" s="3">
        <f t="shared" si="9"/>
        <v>-1</v>
      </c>
    </row>
    <row r="277">
      <c r="A277" s="1" t="s">
        <v>12</v>
      </c>
      <c r="B277" s="1" t="s">
        <v>299</v>
      </c>
      <c r="C277" s="1" t="s">
        <v>18</v>
      </c>
      <c r="D277" s="1" t="s">
        <v>89</v>
      </c>
      <c r="E277" s="1" t="s">
        <v>93</v>
      </c>
      <c r="F277" s="1" t="s">
        <v>455</v>
      </c>
      <c r="G277" s="1">
        <v>3.5</v>
      </c>
      <c r="H277" s="1" t="s">
        <v>60</v>
      </c>
      <c r="I277" s="1">
        <v>-129.0</v>
      </c>
      <c r="J277" s="1">
        <v>-0.220175109170305</v>
      </c>
      <c r="K277" s="1" t="s">
        <v>61</v>
      </c>
      <c r="L277" s="1" t="s">
        <v>61</v>
      </c>
      <c r="M277" s="1" t="s">
        <v>62</v>
      </c>
      <c r="N277" s="1">
        <v>-101.0</v>
      </c>
      <c r="O277" s="1">
        <v>0.154362189054726</v>
      </c>
      <c r="P277" s="1" t="s">
        <v>61</v>
      </c>
      <c r="Q277" s="1" t="s">
        <v>61</v>
      </c>
      <c r="R277" s="1">
        <f t="shared" si="1"/>
        <v>0.1543621891</v>
      </c>
      <c r="S277" s="1">
        <f t="shared" si="2"/>
        <v>-101</v>
      </c>
      <c r="T277" s="1">
        <f t="shared" si="3"/>
        <v>1.99009901</v>
      </c>
      <c r="U277" s="1">
        <f t="shared" si="4"/>
        <v>0</v>
      </c>
      <c r="V277" s="3">
        <f t="shared" si="5"/>
        <v>3</v>
      </c>
      <c r="W277" s="3" t="str">
        <f>IFERROR(__xludf.DUMMYFUNCTION("split(B277,"" "")"),"J.")</f>
        <v>J.</v>
      </c>
      <c r="X277" s="3" t="str">
        <f>IFERROR(__xludf.DUMMYFUNCTION("""COMPUTED_VALUE"""),"Jeudy")</f>
        <v>Jeudy</v>
      </c>
      <c r="Z277" s="3">
        <v>5.0</v>
      </c>
      <c r="AA277" s="3">
        <f t="shared" si="6"/>
        <v>1</v>
      </c>
      <c r="AB277" s="3">
        <f t="shared" si="7"/>
        <v>0</v>
      </c>
      <c r="AC277" s="3">
        <f t="shared" si="8"/>
        <v>2.97029703</v>
      </c>
      <c r="AD277" s="3">
        <f t="shared" si="9"/>
        <v>-3</v>
      </c>
    </row>
    <row r="278">
      <c r="A278" s="1" t="s">
        <v>15</v>
      </c>
      <c r="B278" s="1" t="s">
        <v>462</v>
      </c>
      <c r="C278" s="1" t="s">
        <v>21</v>
      </c>
      <c r="D278" s="1" t="s">
        <v>89</v>
      </c>
      <c r="E278" s="1" t="s">
        <v>93</v>
      </c>
      <c r="F278" s="1" t="s">
        <v>455</v>
      </c>
      <c r="G278" s="1">
        <v>20.5</v>
      </c>
      <c r="H278" s="1" t="s">
        <v>60</v>
      </c>
      <c r="I278" s="1">
        <v>-113.0</v>
      </c>
      <c r="J278" s="1">
        <v>-0.145668143004694</v>
      </c>
      <c r="K278" s="1" t="s">
        <v>61</v>
      </c>
      <c r="L278" s="1" t="s">
        <v>61</v>
      </c>
      <c r="M278" s="1" t="s">
        <v>62</v>
      </c>
      <c r="N278" s="1">
        <v>-117.0</v>
      </c>
      <c r="O278" s="1">
        <v>0.075974036489401</v>
      </c>
      <c r="P278" s="1" t="s">
        <v>61</v>
      </c>
      <c r="Q278" s="1" t="s">
        <v>61</v>
      </c>
      <c r="R278" s="1">
        <f t="shared" si="1"/>
        <v>0.07597403649</v>
      </c>
      <c r="S278" s="1">
        <f t="shared" si="2"/>
        <v>-117</v>
      </c>
      <c r="T278" s="1">
        <f t="shared" si="3"/>
        <v>1.854700855</v>
      </c>
      <c r="U278" s="1">
        <f t="shared" si="4"/>
        <v>0</v>
      </c>
      <c r="V278" s="3">
        <f t="shared" si="5"/>
        <v>2</v>
      </c>
      <c r="W278" s="3" t="str">
        <f>IFERROR(__xludf.DUMMYFUNCTION("split(B278,"" "")"),"D.")</f>
        <v>D.</v>
      </c>
      <c r="X278" s="3" t="str">
        <f>IFERROR(__xludf.DUMMYFUNCTION("""COMPUTED_VALUE"""),"Watson")</f>
        <v>Watson</v>
      </c>
      <c r="Z278" s="3">
        <v>22.0</v>
      </c>
      <c r="AA278" s="3">
        <f t="shared" si="6"/>
        <v>1</v>
      </c>
      <c r="AB278" s="3">
        <f t="shared" si="7"/>
        <v>0</v>
      </c>
      <c r="AC278" s="3">
        <f t="shared" si="8"/>
        <v>1.709401709</v>
      </c>
      <c r="AD278" s="3">
        <f t="shared" si="9"/>
        <v>-2</v>
      </c>
    </row>
    <row r="279">
      <c r="A279" s="1" t="s">
        <v>11</v>
      </c>
      <c r="B279" s="1" t="s">
        <v>299</v>
      </c>
      <c r="C279" s="1" t="s">
        <v>18</v>
      </c>
      <c r="D279" s="1" t="s">
        <v>89</v>
      </c>
      <c r="E279" s="1" t="s">
        <v>93</v>
      </c>
      <c r="F279" s="1" t="s">
        <v>455</v>
      </c>
      <c r="G279" s="1">
        <v>45.5</v>
      </c>
      <c r="H279" s="1" t="s">
        <v>60</v>
      </c>
      <c r="I279" s="1">
        <v>-113.0</v>
      </c>
      <c r="J279" s="1">
        <v>-0.116587058261596</v>
      </c>
      <c r="K279" s="1" t="s">
        <v>61</v>
      </c>
      <c r="L279" s="1" t="s">
        <v>61</v>
      </c>
      <c r="M279" s="1" t="s">
        <v>62</v>
      </c>
      <c r="N279" s="1">
        <v>-120.0</v>
      </c>
      <c r="O279" s="1">
        <v>0.0406906978343638</v>
      </c>
      <c r="P279" s="1" t="s">
        <v>61</v>
      </c>
      <c r="Q279" s="1" t="s">
        <v>61</v>
      </c>
      <c r="R279" s="1">
        <f t="shared" si="1"/>
        <v>0.04069069783</v>
      </c>
      <c r="S279" s="1">
        <f t="shared" si="2"/>
        <v>-120</v>
      </c>
      <c r="T279" s="1">
        <f t="shared" si="3"/>
        <v>1.833333333</v>
      </c>
      <c r="U279" s="1">
        <f t="shared" si="4"/>
        <v>0</v>
      </c>
      <c r="V279" s="3">
        <f t="shared" si="5"/>
        <v>1</v>
      </c>
      <c r="W279" s="3" t="str">
        <f>IFERROR(__xludf.DUMMYFUNCTION("split(B279,"" "")"),"J.")</f>
        <v>J.</v>
      </c>
      <c r="X279" s="3" t="str">
        <f>IFERROR(__xludf.DUMMYFUNCTION("""COMPUTED_VALUE"""),"Jeudy")</f>
        <v>Jeudy</v>
      </c>
      <c r="Z279" s="3">
        <v>73.0</v>
      </c>
      <c r="AA279" s="3">
        <f t="shared" si="6"/>
        <v>1</v>
      </c>
      <c r="AB279" s="3">
        <f t="shared" si="7"/>
        <v>0</v>
      </c>
      <c r="AC279" s="3">
        <f t="shared" si="8"/>
        <v>0.8333333333</v>
      </c>
      <c r="AD279" s="3">
        <f t="shared" si="9"/>
        <v>-1</v>
      </c>
    </row>
    <row r="280">
      <c r="A280" s="1" t="s">
        <v>11</v>
      </c>
      <c r="B280" s="1" t="s">
        <v>414</v>
      </c>
      <c r="C280" s="1" t="s">
        <v>18</v>
      </c>
      <c r="D280" s="1" t="s">
        <v>89</v>
      </c>
      <c r="E280" s="1" t="s">
        <v>93</v>
      </c>
      <c r="F280" s="1" t="s">
        <v>455</v>
      </c>
      <c r="G280" s="1">
        <v>20.5</v>
      </c>
      <c r="H280" s="1" t="s">
        <v>60</v>
      </c>
      <c r="I280" s="1">
        <v>-119.0</v>
      </c>
      <c r="J280" s="1">
        <v>-0.0969304566388721</v>
      </c>
      <c r="K280" s="1" t="s">
        <v>61</v>
      </c>
      <c r="L280" s="1" t="s">
        <v>61</v>
      </c>
      <c r="M280" s="1" t="s">
        <v>62</v>
      </c>
      <c r="N280" s="1">
        <v>-110.0</v>
      </c>
      <c r="O280" s="1">
        <v>0.0297495095443062</v>
      </c>
      <c r="P280" s="1" t="s">
        <v>61</v>
      </c>
      <c r="Q280" s="1" t="s">
        <v>61</v>
      </c>
      <c r="R280" s="1">
        <f t="shared" si="1"/>
        <v>0.02974950954</v>
      </c>
      <c r="S280" s="1">
        <f t="shared" si="2"/>
        <v>-110</v>
      </c>
      <c r="T280" s="1">
        <f t="shared" si="3"/>
        <v>1.909090909</v>
      </c>
      <c r="U280" s="1">
        <f t="shared" si="4"/>
        <v>0</v>
      </c>
      <c r="V280" s="3">
        <f t="shared" si="5"/>
        <v>1</v>
      </c>
      <c r="W280" s="3" t="str">
        <f>IFERROR(__xludf.DUMMYFUNCTION("split(B280,"" "")"),"E.")</f>
        <v>E.</v>
      </c>
      <c r="X280" s="3" t="str">
        <f>IFERROR(__xludf.DUMMYFUNCTION("""COMPUTED_VALUE"""),"Moore")</f>
        <v>Moore</v>
      </c>
      <c r="Z280" s="3">
        <v>44.0</v>
      </c>
      <c r="AA280" s="3">
        <f t="shared" si="6"/>
        <v>1</v>
      </c>
      <c r="AB280" s="3">
        <f t="shared" si="7"/>
        <v>0</v>
      </c>
      <c r="AC280" s="3">
        <f t="shared" si="8"/>
        <v>0.9090909091</v>
      </c>
      <c r="AD280" s="3">
        <f t="shared" si="9"/>
        <v>-1</v>
      </c>
    </row>
    <row r="281">
      <c r="A281" s="1" t="s">
        <v>14</v>
      </c>
      <c r="B281" s="1" t="s">
        <v>462</v>
      </c>
      <c r="C281" s="1" t="s">
        <v>21</v>
      </c>
      <c r="D281" s="1" t="s">
        <v>89</v>
      </c>
      <c r="E281" s="1" t="s">
        <v>93</v>
      </c>
      <c r="F281" s="1" t="s">
        <v>455</v>
      </c>
      <c r="G281" s="1">
        <v>1.5</v>
      </c>
      <c r="H281" s="1" t="s">
        <v>60</v>
      </c>
      <c r="I281" s="1">
        <v>176.0</v>
      </c>
      <c r="J281" s="1">
        <v>0.0196811594202898</v>
      </c>
      <c r="K281" s="1" t="s">
        <v>61</v>
      </c>
      <c r="L281" s="1" t="s">
        <v>61</v>
      </c>
      <c r="M281" s="1" t="s">
        <v>62</v>
      </c>
      <c r="N281" s="1">
        <v>-237.0</v>
      </c>
      <c r="O281" s="1">
        <v>-0.0852640949554894</v>
      </c>
      <c r="P281" s="1" t="s">
        <v>61</v>
      </c>
      <c r="Q281" s="1" t="s">
        <v>61</v>
      </c>
      <c r="R281" s="1">
        <f t="shared" si="1"/>
        <v>0.01968115942</v>
      </c>
      <c r="S281" s="1">
        <f t="shared" si="2"/>
        <v>176</v>
      </c>
      <c r="T281" s="1">
        <f t="shared" si="3"/>
        <v>2.76</v>
      </c>
      <c r="U281" s="1">
        <f t="shared" si="4"/>
        <v>1</v>
      </c>
      <c r="V281" s="3">
        <f t="shared" si="5"/>
        <v>1</v>
      </c>
      <c r="W281" s="3" t="str">
        <f>IFERROR(__xludf.DUMMYFUNCTION("split(B281,"" "")"),"D.")</f>
        <v>D.</v>
      </c>
      <c r="X281" s="3" t="str">
        <f>IFERROR(__xludf.DUMMYFUNCTION("""COMPUTED_VALUE"""),"Watson")</f>
        <v>Watson</v>
      </c>
      <c r="Z281" s="3">
        <v>0.0</v>
      </c>
      <c r="AA281" s="3">
        <f t="shared" si="6"/>
        <v>0</v>
      </c>
      <c r="AB281" s="3">
        <f t="shared" si="7"/>
        <v>0</v>
      </c>
      <c r="AC281" s="3">
        <f t="shared" si="8"/>
        <v>1.76</v>
      </c>
      <c r="AD281" s="3">
        <f t="shared" si="9"/>
        <v>-1</v>
      </c>
    </row>
    <row r="282">
      <c r="A282" s="1" t="s">
        <v>16</v>
      </c>
      <c r="B282" s="1" t="s">
        <v>462</v>
      </c>
      <c r="C282" s="1" t="s">
        <v>21</v>
      </c>
      <c r="D282" s="1" t="s">
        <v>89</v>
      </c>
      <c r="E282" s="1" t="s">
        <v>93</v>
      </c>
      <c r="F282" s="1" t="s">
        <v>455</v>
      </c>
      <c r="G282" s="1">
        <v>33.5</v>
      </c>
      <c r="H282" s="1" t="s">
        <v>60</v>
      </c>
      <c r="I282" s="1">
        <v>-102.0</v>
      </c>
      <c r="J282" s="1">
        <v>-0.078452285670297</v>
      </c>
      <c r="K282" s="1" t="s">
        <v>61</v>
      </c>
      <c r="L282" s="1" t="s">
        <v>61</v>
      </c>
      <c r="M282" s="1" t="s">
        <v>62</v>
      </c>
      <c r="N282" s="1">
        <v>-128.0</v>
      </c>
      <c r="O282" s="1">
        <v>0.0121243279385965</v>
      </c>
      <c r="P282" s="1" t="s">
        <v>61</v>
      </c>
      <c r="Q282" s="1" t="s">
        <v>61</v>
      </c>
      <c r="R282" s="1">
        <f t="shared" si="1"/>
        <v>0.01212432794</v>
      </c>
      <c r="S282" s="1">
        <f t="shared" si="2"/>
        <v>-128</v>
      </c>
      <c r="T282" s="1">
        <f t="shared" si="3"/>
        <v>1.78125</v>
      </c>
      <c r="U282" s="1">
        <f t="shared" si="4"/>
        <v>0</v>
      </c>
      <c r="V282" s="3">
        <f t="shared" si="5"/>
        <v>1</v>
      </c>
      <c r="W282" s="3" t="str">
        <f>IFERROR(__xludf.DUMMYFUNCTION("split(B282,"" "")"),"D.")</f>
        <v>D.</v>
      </c>
      <c r="X282" s="3" t="str">
        <f>IFERROR(__xludf.DUMMYFUNCTION("""COMPUTED_VALUE"""),"Watson")</f>
        <v>Watson</v>
      </c>
      <c r="Z282" s="3">
        <v>34.0</v>
      </c>
      <c r="AA282" s="3">
        <f t="shared" si="6"/>
        <v>1</v>
      </c>
      <c r="AB282" s="3">
        <f t="shared" si="7"/>
        <v>0</v>
      </c>
      <c r="AC282" s="3">
        <f t="shared" si="8"/>
        <v>0.78125</v>
      </c>
      <c r="AD282" s="3">
        <f t="shared" si="9"/>
        <v>-1</v>
      </c>
    </row>
    <row r="283">
      <c r="A283" s="1" t="s">
        <v>12</v>
      </c>
      <c r="B283" s="1" t="s">
        <v>152</v>
      </c>
      <c r="C283" s="1" t="s">
        <v>19</v>
      </c>
      <c r="D283" s="1" t="s">
        <v>88</v>
      </c>
      <c r="E283" s="1" t="s">
        <v>58</v>
      </c>
      <c r="F283" s="1" t="s">
        <v>455</v>
      </c>
      <c r="G283" s="1">
        <v>1.5</v>
      </c>
      <c r="H283" s="1" t="s">
        <v>60</v>
      </c>
      <c r="I283" s="1">
        <v>-116.0</v>
      </c>
      <c r="J283" s="1">
        <v>-0.20208448275</v>
      </c>
      <c r="K283" s="1" t="s">
        <v>61</v>
      </c>
      <c r="L283" s="1" t="s">
        <v>61</v>
      </c>
      <c r="M283" s="1" t="s">
        <v>62</v>
      </c>
      <c r="N283" s="1">
        <v>-113.0</v>
      </c>
      <c r="O283" s="1">
        <v>0.13452334530338</v>
      </c>
      <c r="P283" s="1" t="s">
        <v>61</v>
      </c>
      <c r="Q283" s="1" t="s">
        <v>61</v>
      </c>
      <c r="R283" s="1">
        <f t="shared" si="1"/>
        <v>0.1345233453</v>
      </c>
      <c r="S283" s="1">
        <f t="shared" si="2"/>
        <v>-113</v>
      </c>
      <c r="T283" s="1">
        <f t="shared" si="3"/>
        <v>1.884955752</v>
      </c>
      <c r="U283" s="1">
        <f t="shared" si="4"/>
        <v>0</v>
      </c>
      <c r="V283" s="3">
        <f t="shared" si="5"/>
        <v>3</v>
      </c>
      <c r="W283" s="3" t="str">
        <f>IFERROR(__xludf.DUMMYFUNCTION("split(B283,"" "")"),"R.")</f>
        <v>R.</v>
      </c>
      <c r="X283" s="3" t="str">
        <f>IFERROR(__xludf.DUMMYFUNCTION("""COMPUTED_VALUE"""),"Dowdle")</f>
        <v>Dowdle</v>
      </c>
      <c r="Z283" s="3">
        <v>4.0</v>
      </c>
      <c r="AA283" s="3">
        <f t="shared" si="6"/>
        <v>1</v>
      </c>
      <c r="AB283" s="3">
        <f t="shared" si="7"/>
        <v>0</v>
      </c>
      <c r="AC283" s="3">
        <f t="shared" si="8"/>
        <v>2.654867257</v>
      </c>
      <c r="AD283" s="3">
        <f t="shared" si="9"/>
        <v>-3</v>
      </c>
    </row>
    <row r="284">
      <c r="A284" s="1" t="s">
        <v>17</v>
      </c>
      <c r="B284" s="1" t="s">
        <v>251</v>
      </c>
      <c r="C284" s="1" t="s">
        <v>21</v>
      </c>
      <c r="D284" s="1" t="s">
        <v>88</v>
      </c>
      <c r="E284" s="1" t="s">
        <v>58</v>
      </c>
      <c r="F284" s="1" t="s">
        <v>455</v>
      </c>
      <c r="G284" s="1">
        <v>0.5</v>
      </c>
      <c r="H284" s="1" t="s">
        <v>60</v>
      </c>
      <c r="I284" s="1">
        <v>-137.0</v>
      </c>
      <c r="J284" s="1">
        <v>-0.14211687763713</v>
      </c>
      <c r="K284" s="1" t="s">
        <v>61</v>
      </c>
      <c r="L284" s="1" t="s">
        <v>61</v>
      </c>
      <c r="M284" s="1" t="s">
        <v>62</v>
      </c>
      <c r="N284" s="1">
        <v>105.0</v>
      </c>
      <c r="O284" s="1">
        <v>0.0762463414634146</v>
      </c>
      <c r="P284" s="1" t="s">
        <v>61</v>
      </c>
      <c r="Q284" s="1" t="s">
        <v>61</v>
      </c>
      <c r="R284" s="1">
        <f t="shared" si="1"/>
        <v>0.07624634146</v>
      </c>
      <c r="S284" s="1">
        <f t="shared" si="2"/>
        <v>105</v>
      </c>
      <c r="T284" s="1">
        <f t="shared" si="3"/>
        <v>2.05</v>
      </c>
      <c r="U284" s="1">
        <f t="shared" si="4"/>
        <v>0</v>
      </c>
      <c r="V284" s="3">
        <f t="shared" si="5"/>
        <v>2</v>
      </c>
      <c r="W284" s="3" t="str">
        <f>IFERROR(__xludf.DUMMYFUNCTION("split(B284,"" "")"),"D.")</f>
        <v>D.</v>
      </c>
      <c r="X284" s="3" t="str">
        <f>IFERROR(__xludf.DUMMYFUNCTION("""COMPUTED_VALUE"""),"Prescott")</f>
        <v>Prescott</v>
      </c>
      <c r="Z284" s="3">
        <v>2.0</v>
      </c>
      <c r="AA284" s="3">
        <f t="shared" si="6"/>
        <v>1</v>
      </c>
      <c r="AB284" s="3">
        <f t="shared" si="7"/>
        <v>0</v>
      </c>
      <c r="AC284" s="3">
        <f t="shared" si="8"/>
        <v>2.1</v>
      </c>
      <c r="AD284" s="3">
        <f t="shared" si="9"/>
        <v>-2</v>
      </c>
    </row>
    <row r="285">
      <c r="A285" s="1" t="s">
        <v>12</v>
      </c>
      <c r="B285" s="1" t="s">
        <v>395</v>
      </c>
      <c r="C285" s="1" t="s">
        <v>18</v>
      </c>
      <c r="D285" s="1" t="s">
        <v>88</v>
      </c>
      <c r="E285" s="1" t="s">
        <v>58</v>
      </c>
      <c r="F285" s="1" t="s">
        <v>455</v>
      </c>
      <c r="G285" s="1">
        <v>6.5</v>
      </c>
      <c r="H285" s="1" t="s">
        <v>60</v>
      </c>
      <c r="I285" s="1">
        <v>-154.0</v>
      </c>
      <c r="J285" s="1">
        <v>0.0298401574803148</v>
      </c>
      <c r="K285" s="1" t="s">
        <v>61</v>
      </c>
      <c r="L285" s="1" t="s">
        <v>61</v>
      </c>
      <c r="M285" s="1" t="s">
        <v>62</v>
      </c>
      <c r="N285" s="1">
        <v>117.0</v>
      </c>
      <c r="O285" s="1">
        <v>-0.0969755760368663</v>
      </c>
      <c r="P285" s="1" t="s">
        <v>61</v>
      </c>
      <c r="Q285" s="1" t="s">
        <v>61</v>
      </c>
      <c r="R285" s="1">
        <f t="shared" si="1"/>
        <v>0.02984015748</v>
      </c>
      <c r="S285" s="1">
        <f t="shared" si="2"/>
        <v>-154</v>
      </c>
      <c r="T285" s="1">
        <f t="shared" si="3"/>
        <v>1.649350649</v>
      </c>
      <c r="U285" s="1">
        <f t="shared" si="4"/>
        <v>1</v>
      </c>
      <c r="V285" s="3">
        <f t="shared" si="5"/>
        <v>1</v>
      </c>
      <c r="W285" s="3" t="str">
        <f>IFERROR(__xludf.DUMMYFUNCTION("split(B285,"" "")"),"C.")</f>
        <v>C.</v>
      </c>
      <c r="X285" s="3" t="str">
        <f>IFERROR(__xludf.DUMMYFUNCTION("""COMPUTED_VALUE"""),"Lamb")</f>
        <v>Lamb</v>
      </c>
      <c r="Z285" s="3">
        <v>4.0</v>
      </c>
      <c r="AA285" s="3">
        <f t="shared" si="6"/>
        <v>0</v>
      </c>
      <c r="AB285" s="3">
        <f t="shared" si="7"/>
        <v>0</v>
      </c>
      <c r="AC285" s="3">
        <f t="shared" si="8"/>
        <v>0.6493506494</v>
      </c>
      <c r="AD285" s="3">
        <f t="shared" si="9"/>
        <v>-1</v>
      </c>
    </row>
    <row r="286">
      <c r="A286" s="1" t="s">
        <v>12</v>
      </c>
      <c r="B286" s="1" t="s">
        <v>87</v>
      </c>
      <c r="C286" s="1" t="s">
        <v>18</v>
      </c>
      <c r="D286" s="1" t="s">
        <v>88</v>
      </c>
      <c r="E286" s="1" t="s">
        <v>58</v>
      </c>
      <c r="F286" s="1" t="s">
        <v>455</v>
      </c>
      <c r="G286" s="1">
        <v>2.5</v>
      </c>
      <c r="H286" s="1" t="s">
        <v>60</v>
      </c>
      <c r="I286" s="1">
        <v>134.0</v>
      </c>
      <c r="J286" s="1">
        <v>-0.0943485586803419</v>
      </c>
      <c r="K286" s="1" t="s">
        <v>61</v>
      </c>
      <c r="L286" s="1" t="s">
        <v>61</v>
      </c>
      <c r="M286" s="1" t="s">
        <v>62</v>
      </c>
      <c r="N286" s="1">
        <v>-177.0</v>
      </c>
      <c r="O286" s="1">
        <v>0.0280087451754513</v>
      </c>
      <c r="P286" s="1" t="s">
        <v>61</v>
      </c>
      <c r="Q286" s="1" t="s">
        <v>61</v>
      </c>
      <c r="R286" s="1">
        <f t="shared" si="1"/>
        <v>0.02800874518</v>
      </c>
      <c r="S286" s="1">
        <f t="shared" si="2"/>
        <v>-177</v>
      </c>
      <c r="T286" s="1">
        <f t="shared" si="3"/>
        <v>1.564971751</v>
      </c>
      <c r="U286" s="1">
        <f t="shared" si="4"/>
        <v>0</v>
      </c>
      <c r="V286" s="3">
        <f t="shared" si="5"/>
        <v>1</v>
      </c>
      <c r="W286" s="3" t="str">
        <f>IFERROR(__xludf.DUMMYFUNCTION("split(B286,"" "")"),"J.")</f>
        <v>J.</v>
      </c>
      <c r="X286" s="3" t="str">
        <f>IFERROR(__xludf.DUMMYFUNCTION("""COMPUTED_VALUE"""),"Tolbert")</f>
        <v>Tolbert</v>
      </c>
      <c r="Z286" s="3">
        <v>6.0</v>
      </c>
      <c r="AA286" s="3">
        <f t="shared" si="6"/>
        <v>1</v>
      </c>
      <c r="AB286" s="3">
        <f t="shared" si="7"/>
        <v>0</v>
      </c>
      <c r="AC286" s="3">
        <f t="shared" si="8"/>
        <v>0.5649717514</v>
      </c>
      <c r="AD286" s="3">
        <f t="shared" si="9"/>
        <v>-1</v>
      </c>
    </row>
    <row r="287">
      <c r="A287" s="1" t="s">
        <v>12</v>
      </c>
      <c r="B287" s="1" t="s">
        <v>312</v>
      </c>
      <c r="C287" s="1" t="s">
        <v>20</v>
      </c>
      <c r="D287" s="1" t="s">
        <v>83</v>
      </c>
      <c r="E287" s="1" t="s">
        <v>110</v>
      </c>
      <c r="F287" s="1" t="s">
        <v>461</v>
      </c>
      <c r="G287" s="1">
        <v>2.5</v>
      </c>
      <c r="H287" s="1" t="s">
        <v>60</v>
      </c>
      <c r="I287" s="1">
        <v>101.0</v>
      </c>
      <c r="J287" s="1">
        <v>-0.184155999865174</v>
      </c>
      <c r="K287" s="1" t="s">
        <v>61</v>
      </c>
      <c r="L287" s="1" t="s">
        <v>61</v>
      </c>
      <c r="M287" s="1" t="s">
        <v>62</v>
      </c>
      <c r="N287" s="1">
        <v>-132.0</v>
      </c>
      <c r="O287" s="1">
        <v>0.117670578201724</v>
      </c>
      <c r="P287" s="1" t="s">
        <v>61</v>
      </c>
      <c r="Q287" s="1" t="s">
        <v>61</v>
      </c>
      <c r="R287" s="1">
        <f t="shared" si="1"/>
        <v>0.1176705782</v>
      </c>
      <c r="S287" s="1">
        <f t="shared" si="2"/>
        <v>-132</v>
      </c>
      <c r="T287" s="1">
        <f t="shared" si="3"/>
        <v>1.757575758</v>
      </c>
      <c r="U287" s="1">
        <f t="shared" si="4"/>
        <v>0</v>
      </c>
      <c r="V287" s="3">
        <f t="shared" si="5"/>
        <v>3</v>
      </c>
      <c r="W287" s="3" t="str">
        <f>IFERROR(__xludf.DUMMYFUNCTION("split(B287,"" "")"),"G.")</f>
        <v>G.</v>
      </c>
      <c r="X287" s="3" t="str">
        <f>IFERROR(__xludf.DUMMYFUNCTION("""COMPUTED_VALUE"""),"Dulcich")</f>
        <v>Dulcich</v>
      </c>
      <c r="Z287" s="3">
        <v>3.0</v>
      </c>
      <c r="AA287" s="3">
        <f t="shared" si="6"/>
        <v>1</v>
      </c>
      <c r="AB287" s="3">
        <f t="shared" si="7"/>
        <v>0</v>
      </c>
      <c r="AC287" s="3">
        <f t="shared" si="8"/>
        <v>2.272727273</v>
      </c>
      <c r="AD287" s="3">
        <f t="shared" si="9"/>
        <v>-3</v>
      </c>
    </row>
    <row r="288">
      <c r="A288" s="1" t="s">
        <v>10</v>
      </c>
      <c r="B288" s="1" t="s">
        <v>464</v>
      </c>
      <c r="C288" s="1" t="s">
        <v>21</v>
      </c>
      <c r="D288" s="1" t="s">
        <v>83</v>
      </c>
      <c r="E288" s="1" t="s">
        <v>110</v>
      </c>
      <c r="F288" s="1" t="s">
        <v>461</v>
      </c>
      <c r="G288" s="1">
        <v>24.5</v>
      </c>
      <c r="H288" s="1" t="s">
        <v>60</v>
      </c>
      <c r="I288" s="1">
        <v>-113.0</v>
      </c>
      <c r="J288" s="1">
        <v>-0.138272421635727</v>
      </c>
      <c r="K288" s="1" t="s">
        <v>61</v>
      </c>
      <c r="L288" s="1" t="s">
        <v>61</v>
      </c>
      <c r="M288" s="1" t="s">
        <v>62</v>
      </c>
      <c r="N288" s="1">
        <v>-119.0</v>
      </c>
      <c r="O288" s="1">
        <v>0.0644487658082554</v>
      </c>
      <c r="P288" s="1" t="s">
        <v>61</v>
      </c>
      <c r="Q288" s="1" t="s">
        <v>61</v>
      </c>
      <c r="R288" s="1">
        <f t="shared" si="1"/>
        <v>0.06444876581</v>
      </c>
      <c r="S288" s="1">
        <f t="shared" si="2"/>
        <v>-119</v>
      </c>
      <c r="T288" s="1">
        <f t="shared" si="3"/>
        <v>1.840336134</v>
      </c>
      <c r="U288" s="1">
        <f t="shared" si="4"/>
        <v>0</v>
      </c>
      <c r="V288" s="3">
        <f t="shared" si="5"/>
        <v>2</v>
      </c>
      <c r="W288" s="3" t="str">
        <f>IFERROR(__xludf.DUMMYFUNCTION("split(B288,"" "")"),"B.")</f>
        <v>B.</v>
      </c>
      <c r="X288" s="3" t="str">
        <f>IFERROR(__xludf.DUMMYFUNCTION("""COMPUTED_VALUE"""),"Nix")</f>
        <v>Nix</v>
      </c>
      <c r="Z288" s="3">
        <v>25.0</v>
      </c>
      <c r="AA288" s="3">
        <f t="shared" si="6"/>
        <v>1</v>
      </c>
      <c r="AB288" s="3">
        <f t="shared" si="7"/>
        <v>0</v>
      </c>
      <c r="AC288" s="3">
        <f t="shared" si="8"/>
        <v>1.680672269</v>
      </c>
      <c r="AD288" s="3">
        <f t="shared" si="9"/>
        <v>-2</v>
      </c>
    </row>
    <row r="289">
      <c r="A289" s="1" t="s">
        <v>17</v>
      </c>
      <c r="B289" s="1" t="s">
        <v>464</v>
      </c>
      <c r="C289" s="1" t="s">
        <v>21</v>
      </c>
      <c r="D289" s="1" t="s">
        <v>83</v>
      </c>
      <c r="E289" s="1" t="s">
        <v>110</v>
      </c>
      <c r="F289" s="1" t="s">
        <v>461</v>
      </c>
      <c r="G289" s="1">
        <v>0.5</v>
      </c>
      <c r="H289" s="1" t="s">
        <v>60</v>
      </c>
      <c r="I289" s="1">
        <v>-139.0</v>
      </c>
      <c r="J289" s="1">
        <v>-0.121689958158995</v>
      </c>
      <c r="K289" s="1" t="s">
        <v>61</v>
      </c>
      <c r="L289" s="1" t="s">
        <v>61</v>
      </c>
      <c r="M289" s="1" t="s">
        <v>62</v>
      </c>
      <c r="N289" s="1">
        <v>102.0</v>
      </c>
      <c r="O289" s="1">
        <v>0.0450504950495049</v>
      </c>
      <c r="P289" s="1" t="s">
        <v>61</v>
      </c>
      <c r="Q289" s="1" t="s">
        <v>61</v>
      </c>
      <c r="R289" s="1">
        <f t="shared" si="1"/>
        <v>0.04505049505</v>
      </c>
      <c r="S289" s="1">
        <f t="shared" si="2"/>
        <v>102</v>
      </c>
      <c r="T289" s="1">
        <f t="shared" si="3"/>
        <v>2.02</v>
      </c>
      <c r="U289" s="1">
        <f t="shared" si="4"/>
        <v>0</v>
      </c>
      <c r="V289" s="3">
        <f t="shared" si="5"/>
        <v>1</v>
      </c>
      <c r="W289" s="3" t="str">
        <f>IFERROR(__xludf.DUMMYFUNCTION("split(B289,"" "")"),"B.")</f>
        <v>B.</v>
      </c>
      <c r="X289" s="3" t="str">
        <f>IFERROR(__xludf.DUMMYFUNCTION("""COMPUTED_VALUE"""),"Nix")</f>
        <v>Nix</v>
      </c>
      <c r="Z289" s="3">
        <v>2.0</v>
      </c>
      <c r="AA289" s="3">
        <f t="shared" si="6"/>
        <v>1</v>
      </c>
      <c r="AB289" s="3">
        <f t="shared" si="7"/>
        <v>0</v>
      </c>
      <c r="AC289" s="3">
        <f t="shared" si="8"/>
        <v>1.02</v>
      </c>
      <c r="AD289" s="3">
        <f t="shared" si="9"/>
        <v>-1</v>
      </c>
    </row>
    <row r="290">
      <c r="A290" s="1" t="s">
        <v>9</v>
      </c>
      <c r="B290" s="1" t="s">
        <v>401</v>
      </c>
      <c r="C290" s="1" t="s">
        <v>18</v>
      </c>
      <c r="D290" s="1" t="s">
        <v>83</v>
      </c>
      <c r="E290" s="1" t="s">
        <v>110</v>
      </c>
      <c r="F290" s="1" t="s">
        <v>461</v>
      </c>
      <c r="G290" s="1">
        <v>35.5</v>
      </c>
      <c r="H290" s="1" t="s">
        <v>60</v>
      </c>
      <c r="I290" s="1">
        <v>-115.0</v>
      </c>
      <c r="J290" s="1">
        <v>0.0392665563335348</v>
      </c>
      <c r="K290" s="1" t="s">
        <v>61</v>
      </c>
      <c r="L290" s="1" t="s">
        <v>61</v>
      </c>
      <c r="M290" s="1" t="s">
        <v>62</v>
      </c>
      <c r="N290" s="1">
        <v>-117.0</v>
      </c>
      <c r="O290" s="1">
        <v>-0.113281024173735</v>
      </c>
      <c r="P290" s="1" t="s">
        <v>61</v>
      </c>
      <c r="Q290" s="1" t="s">
        <v>61</v>
      </c>
      <c r="R290" s="1">
        <f t="shared" si="1"/>
        <v>0.03926655633</v>
      </c>
      <c r="S290" s="1">
        <f t="shared" si="2"/>
        <v>-115</v>
      </c>
      <c r="T290" s="1">
        <f t="shared" si="3"/>
        <v>1.869565217</v>
      </c>
      <c r="U290" s="1">
        <f t="shared" si="4"/>
        <v>1</v>
      </c>
      <c r="V290" s="3">
        <f t="shared" si="5"/>
        <v>1</v>
      </c>
      <c r="W290" s="3" t="str">
        <f>IFERROR(__xludf.DUMMYFUNCTION("split(B290,"" "")"),"C.")</f>
        <v>C.</v>
      </c>
      <c r="X290" s="3" t="str">
        <f>IFERROR(__xludf.DUMMYFUNCTION("""COMPUTED_VALUE"""),"Sutton")</f>
        <v>Sutton</v>
      </c>
      <c r="Z290" s="3">
        <v>26.0</v>
      </c>
      <c r="AA290" s="3">
        <f t="shared" si="6"/>
        <v>0</v>
      </c>
      <c r="AB290" s="3">
        <f t="shared" si="7"/>
        <v>0</v>
      </c>
      <c r="AC290" s="3">
        <f t="shared" si="8"/>
        <v>0.8695652174</v>
      </c>
      <c r="AD290" s="3">
        <f t="shared" si="9"/>
        <v>-1</v>
      </c>
    </row>
    <row r="291">
      <c r="A291" s="1" t="s">
        <v>11</v>
      </c>
      <c r="B291" s="1" t="s">
        <v>127</v>
      </c>
      <c r="C291" s="1" t="s">
        <v>19</v>
      </c>
      <c r="D291" s="1" t="s">
        <v>83</v>
      </c>
      <c r="E291" s="1" t="s">
        <v>110</v>
      </c>
      <c r="F291" s="1" t="s">
        <v>461</v>
      </c>
      <c r="G291" s="1">
        <v>16.5</v>
      </c>
      <c r="H291" s="1" t="s">
        <v>60</v>
      </c>
      <c r="I291" s="1">
        <v>-117.0</v>
      </c>
      <c r="J291" s="1">
        <v>-0.0770018538809179</v>
      </c>
      <c r="K291" s="1" t="s">
        <v>61</v>
      </c>
      <c r="L291" s="1" t="s">
        <v>61</v>
      </c>
      <c r="M291" s="1" t="s">
        <v>62</v>
      </c>
      <c r="N291" s="1">
        <v>-115.0</v>
      </c>
      <c r="O291" s="1">
        <v>0.00301694249294437</v>
      </c>
      <c r="P291" s="1" t="s">
        <v>61</v>
      </c>
      <c r="Q291" s="1" t="s">
        <v>61</v>
      </c>
      <c r="R291" s="1">
        <f t="shared" si="1"/>
        <v>0.003016942493</v>
      </c>
      <c r="S291" s="1">
        <f t="shared" si="2"/>
        <v>-115</v>
      </c>
      <c r="T291" s="1">
        <f t="shared" si="3"/>
        <v>1.869565217</v>
      </c>
      <c r="U291" s="1">
        <f t="shared" si="4"/>
        <v>0</v>
      </c>
      <c r="V291" s="3">
        <f t="shared" si="5"/>
        <v>1</v>
      </c>
      <c r="W291" s="3" t="str">
        <f>IFERROR(__xludf.DUMMYFUNCTION("split(B291,"" "")"),"J.")</f>
        <v>J.</v>
      </c>
      <c r="X291" s="3" t="str">
        <f>IFERROR(__xludf.DUMMYFUNCTION("""COMPUTED_VALUE"""),"Williams")</f>
        <v>Williams</v>
      </c>
      <c r="Z291" s="3">
        <v>48.0</v>
      </c>
      <c r="AA291" s="3">
        <f t="shared" si="6"/>
        <v>1</v>
      </c>
      <c r="AB291" s="3">
        <f t="shared" si="7"/>
        <v>0</v>
      </c>
      <c r="AC291" s="3">
        <f t="shared" si="8"/>
        <v>0.8695652174</v>
      </c>
      <c r="AD291" s="3">
        <f t="shared" si="9"/>
        <v>-1</v>
      </c>
    </row>
    <row r="292">
      <c r="A292" s="1" t="s">
        <v>12</v>
      </c>
      <c r="B292" s="1" t="s">
        <v>127</v>
      </c>
      <c r="C292" s="1" t="s">
        <v>18</v>
      </c>
      <c r="D292" s="1" t="s">
        <v>197</v>
      </c>
      <c r="E292" s="1" t="s">
        <v>113</v>
      </c>
      <c r="F292" s="1" t="s">
        <v>455</v>
      </c>
      <c r="G292" s="1">
        <v>3.5</v>
      </c>
      <c r="H292" s="1" t="s">
        <v>60</v>
      </c>
      <c r="I292" s="1">
        <v>-102.0</v>
      </c>
      <c r="J292" s="1">
        <v>-0.181999999999999</v>
      </c>
      <c r="K292" s="1" t="s">
        <v>61</v>
      </c>
      <c r="L292" s="1" t="s">
        <v>61</v>
      </c>
      <c r="M292" s="1" t="s">
        <v>62</v>
      </c>
      <c r="N292" s="1">
        <v>-129.0</v>
      </c>
      <c r="O292" s="1">
        <v>0.113737554585152</v>
      </c>
      <c r="P292" s="1" t="s">
        <v>61</v>
      </c>
      <c r="Q292" s="1" t="s">
        <v>61</v>
      </c>
      <c r="R292" s="1">
        <f t="shared" si="1"/>
        <v>0.1137375546</v>
      </c>
      <c r="S292" s="1">
        <f t="shared" si="2"/>
        <v>-129</v>
      </c>
      <c r="T292" s="1">
        <f t="shared" si="3"/>
        <v>1.775193798</v>
      </c>
      <c r="U292" s="1">
        <f t="shared" si="4"/>
        <v>0</v>
      </c>
      <c r="V292" s="3">
        <f t="shared" si="5"/>
        <v>3</v>
      </c>
      <c r="W292" s="3" t="str">
        <f>IFERROR(__xludf.DUMMYFUNCTION("split(B292,"" "")"),"J.")</f>
        <v>J.</v>
      </c>
      <c r="X292" s="3" t="str">
        <f>IFERROR(__xludf.DUMMYFUNCTION("""COMPUTED_VALUE"""),"Williams")</f>
        <v>Williams</v>
      </c>
      <c r="Z292" s="3">
        <v>5.0</v>
      </c>
      <c r="AA292" s="3">
        <f t="shared" si="6"/>
        <v>1</v>
      </c>
      <c r="AB292" s="3">
        <f t="shared" si="7"/>
        <v>0</v>
      </c>
      <c r="AC292" s="3">
        <f t="shared" si="8"/>
        <v>2.325581395</v>
      </c>
      <c r="AD292" s="3">
        <f t="shared" si="9"/>
        <v>-3</v>
      </c>
    </row>
    <row r="293">
      <c r="A293" s="1" t="s">
        <v>12</v>
      </c>
      <c r="B293" s="1" t="s">
        <v>393</v>
      </c>
      <c r="C293" s="1" t="s">
        <v>19</v>
      </c>
      <c r="D293" s="1" t="s">
        <v>197</v>
      </c>
      <c r="E293" s="1" t="s">
        <v>113</v>
      </c>
      <c r="F293" s="1" t="s">
        <v>455</v>
      </c>
      <c r="G293" s="1">
        <v>3.5</v>
      </c>
      <c r="H293" s="1" t="s">
        <v>60</v>
      </c>
      <c r="I293" s="1">
        <v>-120.0</v>
      </c>
      <c r="J293" s="1">
        <v>-0.177145454545454</v>
      </c>
      <c r="K293" s="1" t="s">
        <v>61</v>
      </c>
      <c r="L293" s="1" t="s">
        <v>61</v>
      </c>
      <c r="M293" s="1" t="s">
        <v>62</v>
      </c>
      <c r="N293" s="1">
        <v>-109.0</v>
      </c>
      <c r="O293" s="1">
        <v>0.110173205741626</v>
      </c>
      <c r="P293" s="1" t="s">
        <v>61</v>
      </c>
      <c r="Q293" s="1" t="s">
        <v>61</v>
      </c>
      <c r="R293" s="1">
        <f t="shared" si="1"/>
        <v>0.1101732057</v>
      </c>
      <c r="S293" s="1">
        <f t="shared" si="2"/>
        <v>-109</v>
      </c>
      <c r="T293" s="1">
        <f t="shared" si="3"/>
        <v>1.917431193</v>
      </c>
      <c r="U293" s="1">
        <f t="shared" si="4"/>
        <v>0</v>
      </c>
      <c r="V293" s="3">
        <f t="shared" si="5"/>
        <v>3</v>
      </c>
      <c r="W293" s="3" t="str">
        <f>IFERROR(__xludf.DUMMYFUNCTION("split(B293,"" "")"),"J.")</f>
        <v>J.</v>
      </c>
      <c r="X293" s="3" t="str">
        <f>IFERROR(__xludf.DUMMYFUNCTION("""COMPUTED_VALUE"""),"Gibbs")</f>
        <v>Gibbs</v>
      </c>
      <c r="Z293" s="3">
        <v>7.0</v>
      </c>
      <c r="AA293" s="3">
        <f t="shared" si="6"/>
        <v>1</v>
      </c>
      <c r="AB293" s="3">
        <f t="shared" si="7"/>
        <v>0</v>
      </c>
      <c r="AC293" s="3">
        <f t="shared" si="8"/>
        <v>2.752293578</v>
      </c>
      <c r="AD293" s="3">
        <f t="shared" si="9"/>
        <v>-3</v>
      </c>
    </row>
    <row r="294">
      <c r="A294" s="1" t="s">
        <v>8</v>
      </c>
      <c r="B294" s="1" t="s">
        <v>393</v>
      </c>
      <c r="C294" s="1" t="s">
        <v>19</v>
      </c>
      <c r="D294" s="1" t="s">
        <v>197</v>
      </c>
      <c r="E294" s="1" t="s">
        <v>113</v>
      </c>
      <c r="F294" s="1" t="s">
        <v>455</v>
      </c>
      <c r="G294" s="1">
        <v>10.5</v>
      </c>
      <c r="H294" s="1" t="s">
        <v>60</v>
      </c>
      <c r="I294" s="1">
        <v>-144.0</v>
      </c>
      <c r="J294" s="1">
        <v>-0.156945792233811</v>
      </c>
      <c r="K294" s="1" t="s">
        <v>61</v>
      </c>
      <c r="L294" s="1" t="s">
        <v>61</v>
      </c>
      <c r="M294" s="1" t="s">
        <v>62</v>
      </c>
      <c r="N294" s="1">
        <v>110.0</v>
      </c>
      <c r="O294" s="1">
        <v>0.0906046347859523</v>
      </c>
      <c r="P294" s="1" t="s">
        <v>61</v>
      </c>
      <c r="Q294" s="1" t="s">
        <v>61</v>
      </c>
      <c r="R294" s="1">
        <f t="shared" si="1"/>
        <v>0.09060463479</v>
      </c>
      <c r="S294" s="1">
        <f t="shared" si="2"/>
        <v>110</v>
      </c>
      <c r="T294" s="1">
        <f t="shared" si="3"/>
        <v>2.1</v>
      </c>
      <c r="U294" s="1">
        <f t="shared" si="4"/>
        <v>0</v>
      </c>
      <c r="V294" s="3">
        <f t="shared" si="5"/>
        <v>2</v>
      </c>
      <c r="W294" s="3" t="str">
        <f>IFERROR(__xludf.DUMMYFUNCTION("split(B294,"" "")"),"J.")</f>
        <v>J.</v>
      </c>
      <c r="X294" s="3" t="str">
        <f>IFERROR(__xludf.DUMMYFUNCTION("""COMPUTED_VALUE"""),"Gibbs")</f>
        <v>Gibbs</v>
      </c>
      <c r="Z294" s="3">
        <v>13.0</v>
      </c>
      <c r="AA294" s="3">
        <f t="shared" si="6"/>
        <v>1</v>
      </c>
      <c r="AB294" s="3">
        <f t="shared" si="7"/>
        <v>0</v>
      </c>
      <c r="AC294" s="3">
        <f t="shared" si="8"/>
        <v>2.2</v>
      </c>
      <c r="AD294" s="3">
        <f t="shared" si="9"/>
        <v>-2</v>
      </c>
    </row>
    <row r="295">
      <c r="A295" s="1" t="s">
        <v>12</v>
      </c>
      <c r="B295" s="1" t="s">
        <v>498</v>
      </c>
      <c r="C295" s="1" t="s">
        <v>20</v>
      </c>
      <c r="D295" s="1" t="s">
        <v>197</v>
      </c>
      <c r="E295" s="1" t="s">
        <v>113</v>
      </c>
      <c r="F295" s="1" t="s">
        <v>455</v>
      </c>
      <c r="G295" s="1">
        <v>5.5</v>
      </c>
      <c r="H295" s="1" t="s">
        <v>60</v>
      </c>
      <c r="I295" s="1">
        <v>118.0</v>
      </c>
      <c r="J295" s="1">
        <v>0.0816302752293577</v>
      </c>
      <c r="K295" s="1" t="s">
        <v>61</v>
      </c>
      <c r="L295" s="1" t="s">
        <v>61</v>
      </c>
      <c r="M295" s="1" t="s">
        <v>62</v>
      </c>
      <c r="N295" s="1">
        <v>-154.0</v>
      </c>
      <c r="O295" s="1">
        <v>-0.146638582677165</v>
      </c>
      <c r="P295" s="1" t="s">
        <v>61</v>
      </c>
      <c r="Q295" s="1" t="s">
        <v>61</v>
      </c>
      <c r="R295" s="1">
        <f t="shared" si="1"/>
        <v>0.08163027523</v>
      </c>
      <c r="S295" s="1">
        <f t="shared" si="2"/>
        <v>118</v>
      </c>
      <c r="T295" s="1">
        <f t="shared" si="3"/>
        <v>2.18</v>
      </c>
      <c r="U295" s="1">
        <f t="shared" si="4"/>
        <v>1</v>
      </c>
      <c r="V295" s="3">
        <f t="shared" si="5"/>
        <v>2</v>
      </c>
      <c r="W295" s="3" t="str">
        <f>IFERROR(__xludf.DUMMYFUNCTION("split(B295,"" "")"),"S.")</f>
        <v>S.</v>
      </c>
      <c r="X295" s="3" t="str">
        <f>IFERROR(__xludf.DUMMYFUNCTION("""COMPUTED_VALUE"""),"LaPorta")</f>
        <v>LaPorta</v>
      </c>
      <c r="Z295" s="3">
        <v>2.0</v>
      </c>
      <c r="AA295" s="3">
        <f t="shared" si="6"/>
        <v>0</v>
      </c>
      <c r="AB295" s="3">
        <f t="shared" si="7"/>
        <v>0</v>
      </c>
      <c r="AC295" s="3">
        <f t="shared" si="8"/>
        <v>2.36</v>
      </c>
      <c r="AD295" s="3">
        <f t="shared" si="9"/>
        <v>-2</v>
      </c>
    </row>
    <row r="296">
      <c r="A296" s="1" t="s">
        <v>11</v>
      </c>
      <c r="B296" s="1" t="s">
        <v>127</v>
      </c>
      <c r="C296" s="1" t="s">
        <v>18</v>
      </c>
      <c r="D296" s="1" t="s">
        <v>197</v>
      </c>
      <c r="E296" s="1" t="s">
        <v>113</v>
      </c>
      <c r="F296" s="1" t="s">
        <v>455</v>
      </c>
      <c r="G296" s="1">
        <v>46.5</v>
      </c>
      <c r="H296" s="1" t="s">
        <v>60</v>
      </c>
      <c r="I296" s="1">
        <v>-118.0</v>
      </c>
      <c r="J296" s="1">
        <v>-0.117575198622201</v>
      </c>
      <c r="K296" s="1" t="s">
        <v>61</v>
      </c>
      <c r="L296" s="1" t="s">
        <v>61</v>
      </c>
      <c r="M296" s="1" t="s">
        <v>62</v>
      </c>
      <c r="N296" s="1">
        <v>-111.0</v>
      </c>
      <c r="O296" s="1">
        <v>0.0502367322416399</v>
      </c>
      <c r="P296" s="1" t="s">
        <v>61</v>
      </c>
      <c r="Q296" s="1" t="s">
        <v>61</v>
      </c>
      <c r="R296" s="1">
        <f t="shared" si="1"/>
        <v>0.05023673224</v>
      </c>
      <c r="S296" s="1">
        <f t="shared" si="2"/>
        <v>-111</v>
      </c>
      <c r="T296" s="1">
        <f t="shared" si="3"/>
        <v>1.900900901</v>
      </c>
      <c r="U296" s="1">
        <f t="shared" si="4"/>
        <v>0</v>
      </c>
      <c r="V296" s="3">
        <f t="shared" si="5"/>
        <v>2</v>
      </c>
      <c r="W296" s="3" t="str">
        <f>IFERROR(__xludf.DUMMYFUNCTION("split(B296,"" "")"),"J.")</f>
        <v>J.</v>
      </c>
      <c r="X296" s="3" t="str">
        <f>IFERROR(__xludf.DUMMYFUNCTION("""COMPUTED_VALUE"""),"Williams")</f>
        <v>Williams</v>
      </c>
      <c r="Z296" s="3">
        <v>79.0</v>
      </c>
      <c r="AA296" s="3">
        <f t="shared" si="6"/>
        <v>1</v>
      </c>
      <c r="AB296" s="3">
        <f t="shared" si="7"/>
        <v>0</v>
      </c>
      <c r="AC296" s="3">
        <f t="shared" si="8"/>
        <v>1.801801802</v>
      </c>
      <c r="AD296" s="3">
        <f t="shared" si="9"/>
        <v>-2</v>
      </c>
    </row>
    <row r="297">
      <c r="A297" s="1" t="s">
        <v>9</v>
      </c>
      <c r="B297" s="1" t="s">
        <v>385</v>
      </c>
      <c r="C297" s="1" t="s">
        <v>18</v>
      </c>
      <c r="D297" s="1" t="s">
        <v>197</v>
      </c>
      <c r="E297" s="1" t="s">
        <v>113</v>
      </c>
      <c r="F297" s="1" t="s">
        <v>455</v>
      </c>
      <c r="G297" s="1">
        <v>80.5</v>
      </c>
      <c r="H297" s="1" t="s">
        <v>60</v>
      </c>
      <c r="I297" s="1">
        <v>-119.0</v>
      </c>
      <c r="J297" s="1">
        <v>-0.0933038960313277</v>
      </c>
      <c r="K297" s="1" t="s">
        <v>61</v>
      </c>
      <c r="L297" s="1" t="s">
        <v>61</v>
      </c>
      <c r="M297" s="1" t="s">
        <v>62</v>
      </c>
      <c r="N297" s="1">
        <v>-114.0</v>
      </c>
      <c r="O297" s="1">
        <v>0.0172354330989781</v>
      </c>
      <c r="P297" s="1" t="s">
        <v>61</v>
      </c>
      <c r="Q297" s="1" t="s">
        <v>61</v>
      </c>
      <c r="R297" s="1">
        <f t="shared" si="1"/>
        <v>0.0172354331</v>
      </c>
      <c r="S297" s="1">
        <f t="shared" si="2"/>
        <v>-114</v>
      </c>
      <c r="T297" s="1">
        <f t="shared" si="3"/>
        <v>1.877192982</v>
      </c>
      <c r="U297" s="1">
        <f t="shared" si="4"/>
        <v>0</v>
      </c>
      <c r="V297" s="3">
        <f t="shared" si="5"/>
        <v>1</v>
      </c>
      <c r="W297" s="3" t="str">
        <f>IFERROR(__xludf.DUMMYFUNCTION("split(B297,"" "")"),"A.")</f>
        <v>A.</v>
      </c>
      <c r="X297" s="3" t="str">
        <f>IFERROR(__xludf.DUMMYFUNCTION("""COMPUTED_VALUE"""),"St.")</f>
        <v>St.</v>
      </c>
      <c r="Y297" s="3" t="str">
        <f>IFERROR(__xludf.DUMMYFUNCTION("""COMPUTED_VALUE"""),"Brown")</f>
        <v>Brown</v>
      </c>
      <c r="Z297" s="3">
        <v>119.0</v>
      </c>
      <c r="AA297" s="3">
        <f t="shared" si="6"/>
        <v>1</v>
      </c>
      <c r="AB297" s="3">
        <f t="shared" si="7"/>
        <v>0</v>
      </c>
      <c r="AC297" s="3">
        <f t="shared" si="8"/>
        <v>0.8771929825</v>
      </c>
      <c r="AD297" s="3">
        <f t="shared" si="9"/>
        <v>-1</v>
      </c>
    </row>
    <row r="298">
      <c r="A298" s="1" t="s">
        <v>9</v>
      </c>
      <c r="B298" s="1" t="s">
        <v>393</v>
      </c>
      <c r="C298" s="1" t="s">
        <v>19</v>
      </c>
      <c r="D298" s="1" t="s">
        <v>197</v>
      </c>
      <c r="E298" s="1" t="s">
        <v>113</v>
      </c>
      <c r="F298" s="1" t="s">
        <v>455</v>
      </c>
      <c r="G298" s="1">
        <v>78.5</v>
      </c>
      <c r="H298" s="1" t="s">
        <v>60</v>
      </c>
      <c r="I298" s="1">
        <v>-118.0</v>
      </c>
      <c r="J298" s="1">
        <v>-0.0779310800239582</v>
      </c>
      <c r="K298" s="1" t="s">
        <v>61</v>
      </c>
      <c r="L298" s="1" t="s">
        <v>61</v>
      </c>
      <c r="M298" s="1" t="s">
        <v>62</v>
      </c>
      <c r="N298" s="1">
        <v>-114.0</v>
      </c>
      <c r="O298" s="1">
        <v>0.0039923177923089</v>
      </c>
      <c r="P298" s="1" t="s">
        <v>61</v>
      </c>
      <c r="Q298" s="1" t="s">
        <v>61</v>
      </c>
      <c r="R298" s="1">
        <f t="shared" si="1"/>
        <v>0.003992317792</v>
      </c>
      <c r="S298" s="1">
        <f t="shared" si="2"/>
        <v>-114</v>
      </c>
      <c r="T298" s="1">
        <f t="shared" si="3"/>
        <v>1.877192982</v>
      </c>
      <c r="U298" s="1">
        <f t="shared" si="4"/>
        <v>0</v>
      </c>
      <c r="V298" s="3">
        <f t="shared" si="5"/>
        <v>1</v>
      </c>
      <c r="W298" s="3" t="str">
        <f>IFERROR(__xludf.DUMMYFUNCTION("split(B298,"" "")"),"J.")</f>
        <v>J.</v>
      </c>
      <c r="X298" s="3" t="str">
        <f>IFERROR(__xludf.DUMMYFUNCTION("""COMPUTED_VALUE"""),"Gibbs")</f>
        <v>Gibbs</v>
      </c>
      <c r="Z298" s="3">
        <v>106.0</v>
      </c>
      <c r="AA298" s="3">
        <f t="shared" si="6"/>
        <v>1</v>
      </c>
      <c r="AB298" s="3">
        <f t="shared" si="7"/>
        <v>0</v>
      </c>
      <c r="AC298" s="3">
        <f t="shared" si="8"/>
        <v>0.8771929825</v>
      </c>
      <c r="AD298" s="3">
        <f t="shared" si="9"/>
        <v>-1</v>
      </c>
    </row>
    <row r="299">
      <c r="A299" s="1" t="s">
        <v>13</v>
      </c>
      <c r="B299" s="1" t="s">
        <v>241</v>
      </c>
      <c r="C299" s="1" t="s">
        <v>21</v>
      </c>
      <c r="D299" s="1" t="s">
        <v>197</v>
      </c>
      <c r="E299" s="1" t="s">
        <v>113</v>
      </c>
      <c r="F299" s="1" t="s">
        <v>455</v>
      </c>
      <c r="G299" s="1">
        <v>265.5</v>
      </c>
      <c r="H299" s="1" t="s">
        <v>60</v>
      </c>
      <c r="I299" s="1">
        <v>-119.0</v>
      </c>
      <c r="J299" s="1">
        <v>-0.0698646441570775</v>
      </c>
      <c r="K299" s="1" t="s">
        <v>61</v>
      </c>
      <c r="L299" s="1" t="s">
        <v>61</v>
      </c>
      <c r="M299" s="1" t="s">
        <v>62</v>
      </c>
      <c r="N299" s="1">
        <v>-111.0</v>
      </c>
      <c r="O299" s="1">
        <v>4.46692701421724E-4</v>
      </c>
      <c r="P299" s="1" t="s">
        <v>61</v>
      </c>
      <c r="Q299" s="1" t="s">
        <v>61</v>
      </c>
      <c r="R299" s="1">
        <f t="shared" si="1"/>
        <v>0.0004466927014</v>
      </c>
      <c r="S299" s="1">
        <f t="shared" si="2"/>
        <v>-111</v>
      </c>
      <c r="T299" s="1">
        <f t="shared" si="3"/>
        <v>1.900900901</v>
      </c>
      <c r="U299" s="1">
        <f t="shared" si="4"/>
        <v>0</v>
      </c>
      <c r="V299" s="3">
        <f t="shared" si="5"/>
        <v>1</v>
      </c>
      <c r="W299" s="3" t="str">
        <f>IFERROR(__xludf.DUMMYFUNCTION("split(B299,"" "")"),"J.")</f>
        <v>J.</v>
      </c>
      <c r="X299" s="3" t="str">
        <f>IFERROR(__xludf.DUMMYFUNCTION("""COMPUTED_VALUE"""),"Goff")</f>
        <v>Goff</v>
      </c>
      <c r="Z299" s="3">
        <v>307.0</v>
      </c>
      <c r="AA299" s="3">
        <f t="shared" si="6"/>
        <v>1</v>
      </c>
      <c r="AB299" s="3">
        <f t="shared" si="7"/>
        <v>0</v>
      </c>
      <c r="AC299" s="3">
        <f t="shared" si="8"/>
        <v>0.9009009009</v>
      </c>
      <c r="AD299" s="3">
        <f t="shared" si="9"/>
        <v>-1</v>
      </c>
    </row>
    <row r="300">
      <c r="A300" s="1" t="s">
        <v>14</v>
      </c>
      <c r="B300" s="1" t="s">
        <v>505</v>
      </c>
      <c r="C300" s="1" t="s">
        <v>21</v>
      </c>
      <c r="D300" s="1" t="s">
        <v>157</v>
      </c>
      <c r="E300" s="1" t="s">
        <v>71</v>
      </c>
      <c r="F300" s="1" t="s">
        <v>455</v>
      </c>
      <c r="G300" s="1">
        <v>0.5</v>
      </c>
      <c r="H300" s="1" t="s">
        <v>60</v>
      </c>
      <c r="I300" s="1">
        <v>-240.0</v>
      </c>
      <c r="J300" s="1">
        <v>-0.154182352941176</v>
      </c>
      <c r="K300" s="1" t="s">
        <v>61</v>
      </c>
      <c r="L300" s="1" t="s">
        <v>61</v>
      </c>
      <c r="M300" s="1" t="s">
        <v>62</v>
      </c>
      <c r="N300" s="1">
        <v>176.0</v>
      </c>
      <c r="O300" s="1">
        <v>0.0859811594202897</v>
      </c>
      <c r="P300" s="1" t="s">
        <v>61</v>
      </c>
      <c r="Q300" s="1" t="s">
        <v>61</v>
      </c>
      <c r="R300" s="1">
        <f t="shared" si="1"/>
        <v>0.08598115942</v>
      </c>
      <c r="S300" s="1">
        <f t="shared" si="2"/>
        <v>176</v>
      </c>
      <c r="T300" s="1">
        <f t="shared" si="3"/>
        <v>2.76</v>
      </c>
      <c r="U300" s="1">
        <f t="shared" si="4"/>
        <v>0</v>
      </c>
      <c r="V300" s="3">
        <f t="shared" si="5"/>
        <v>2</v>
      </c>
      <c r="W300" s="3" t="str">
        <f>IFERROR(__xludf.DUMMYFUNCTION("split(B300,"" "")"),"M.")</f>
        <v>M.</v>
      </c>
      <c r="X300" s="3" t="str">
        <f>IFERROR(__xludf.DUMMYFUNCTION("""COMPUTED_VALUE"""),"Willis")</f>
        <v>Willis</v>
      </c>
      <c r="Z300" s="3">
        <v>1.0</v>
      </c>
      <c r="AA300" s="3">
        <f t="shared" si="6"/>
        <v>1</v>
      </c>
      <c r="AB300" s="3">
        <f t="shared" si="7"/>
        <v>0</v>
      </c>
      <c r="AC300" s="3">
        <f t="shared" si="8"/>
        <v>3.52</v>
      </c>
      <c r="AD300" s="3">
        <f t="shared" si="9"/>
        <v>-2</v>
      </c>
    </row>
    <row r="301">
      <c r="A301" s="1" t="s">
        <v>12</v>
      </c>
      <c r="B301" s="1" t="s">
        <v>359</v>
      </c>
      <c r="C301" s="1" t="s">
        <v>19</v>
      </c>
      <c r="D301" s="1" t="s">
        <v>72</v>
      </c>
      <c r="E301" s="1" t="s">
        <v>99</v>
      </c>
      <c r="F301" s="1" t="s">
        <v>460</v>
      </c>
      <c r="G301" s="1">
        <v>2.5</v>
      </c>
      <c r="H301" s="1" t="s">
        <v>60</v>
      </c>
      <c r="I301" s="1">
        <v>-133.0</v>
      </c>
      <c r="J301" s="1">
        <v>-0.253214277381974</v>
      </c>
      <c r="K301" s="1" t="s">
        <v>61</v>
      </c>
      <c r="L301" s="1" t="s">
        <v>61</v>
      </c>
      <c r="M301" s="1" t="s">
        <v>62</v>
      </c>
      <c r="N301" s="1">
        <v>100.0</v>
      </c>
      <c r="O301" s="1">
        <v>0.18239863315</v>
      </c>
      <c r="P301" s="1" t="s">
        <v>61</v>
      </c>
      <c r="Q301" s="1" t="s">
        <v>61</v>
      </c>
      <c r="R301" s="1">
        <f t="shared" si="1"/>
        <v>0.1823986332</v>
      </c>
      <c r="S301" s="1">
        <f t="shared" si="2"/>
        <v>100</v>
      </c>
      <c r="T301" s="1">
        <f t="shared" si="3"/>
        <v>2</v>
      </c>
      <c r="U301" s="1">
        <f t="shared" si="4"/>
        <v>0</v>
      </c>
      <c r="V301" s="3">
        <f t="shared" si="5"/>
        <v>3</v>
      </c>
      <c r="W301" s="3" t="str">
        <f>IFERROR(__xludf.DUMMYFUNCTION("split(B301,"" "")"),"J.")</f>
        <v>J.</v>
      </c>
      <c r="X301" s="3" t="str">
        <f>IFERROR(__xludf.DUMMYFUNCTION("""COMPUTED_VALUE"""),"Mixon")</f>
        <v>Mixon</v>
      </c>
      <c r="Z301" s="3">
        <v>3.0</v>
      </c>
      <c r="AA301" s="3">
        <f t="shared" si="6"/>
        <v>1</v>
      </c>
      <c r="AB301" s="3">
        <f t="shared" si="7"/>
        <v>0</v>
      </c>
      <c r="AC301" s="3">
        <f t="shared" si="8"/>
        <v>3</v>
      </c>
      <c r="AD301" s="3">
        <f t="shared" si="9"/>
        <v>-3</v>
      </c>
    </row>
    <row r="302">
      <c r="A302" s="1" t="s">
        <v>12</v>
      </c>
      <c r="B302" s="1" t="s">
        <v>495</v>
      </c>
      <c r="C302" s="1" t="s">
        <v>18</v>
      </c>
      <c r="D302" s="1" t="s">
        <v>72</v>
      </c>
      <c r="E302" s="1" t="s">
        <v>99</v>
      </c>
      <c r="F302" s="1" t="s">
        <v>460</v>
      </c>
      <c r="G302" s="1">
        <v>4.5</v>
      </c>
      <c r="H302" s="1" t="s">
        <v>60</v>
      </c>
      <c r="I302" s="1">
        <v>-143.0</v>
      </c>
      <c r="J302" s="1">
        <v>-0.149936213991769</v>
      </c>
      <c r="K302" s="1" t="s">
        <v>61</v>
      </c>
      <c r="L302" s="1" t="s">
        <v>61</v>
      </c>
      <c r="M302" s="1" t="s">
        <v>62</v>
      </c>
      <c r="N302" s="1">
        <v>109.0</v>
      </c>
      <c r="O302" s="1">
        <v>0.0829832535885168</v>
      </c>
      <c r="P302" s="1" t="s">
        <v>61</v>
      </c>
      <c r="Q302" s="1" t="s">
        <v>61</v>
      </c>
      <c r="R302" s="1">
        <f t="shared" si="1"/>
        <v>0.08298325359</v>
      </c>
      <c r="S302" s="1">
        <f t="shared" si="2"/>
        <v>109</v>
      </c>
      <c r="T302" s="1">
        <f t="shared" si="3"/>
        <v>2.09</v>
      </c>
      <c r="U302" s="1">
        <f t="shared" si="4"/>
        <v>0</v>
      </c>
      <c r="V302" s="3">
        <f t="shared" si="5"/>
        <v>2</v>
      </c>
      <c r="W302" s="3" t="str">
        <f>IFERROR(__xludf.DUMMYFUNCTION("split(B302,"" "")"),"N.")</f>
        <v>N.</v>
      </c>
      <c r="X302" s="3" t="str">
        <f>IFERROR(__xludf.DUMMYFUNCTION("""COMPUTED_VALUE"""),"Collins")</f>
        <v>Collins</v>
      </c>
      <c r="Z302" s="3">
        <v>8.0</v>
      </c>
      <c r="AA302" s="3">
        <f t="shared" si="6"/>
        <v>1</v>
      </c>
      <c r="AB302" s="3">
        <f t="shared" si="7"/>
        <v>0</v>
      </c>
      <c r="AC302" s="3">
        <f t="shared" si="8"/>
        <v>2.18</v>
      </c>
      <c r="AD302" s="3">
        <f t="shared" si="9"/>
        <v>-2</v>
      </c>
    </row>
    <row r="303">
      <c r="A303" s="1" t="s">
        <v>8</v>
      </c>
      <c r="B303" s="1" t="s">
        <v>359</v>
      </c>
      <c r="C303" s="1" t="s">
        <v>19</v>
      </c>
      <c r="D303" s="1" t="s">
        <v>72</v>
      </c>
      <c r="E303" s="1" t="s">
        <v>99</v>
      </c>
      <c r="F303" s="1" t="s">
        <v>460</v>
      </c>
      <c r="G303" s="1">
        <v>17.5</v>
      </c>
      <c r="H303" s="1" t="s">
        <v>60</v>
      </c>
      <c r="I303" s="1">
        <v>-104.0</v>
      </c>
      <c r="J303" s="1">
        <v>0.0293960784313725</v>
      </c>
      <c r="K303" s="1" t="s">
        <v>61</v>
      </c>
      <c r="L303" s="1" t="s">
        <v>61</v>
      </c>
      <c r="M303" s="1" t="s">
        <v>62</v>
      </c>
      <c r="N303" s="1">
        <v>-128.0</v>
      </c>
      <c r="O303" s="1">
        <v>-0.100603508771929</v>
      </c>
      <c r="P303" s="1" t="s">
        <v>61</v>
      </c>
      <c r="Q303" s="1" t="s">
        <v>61</v>
      </c>
      <c r="R303" s="1">
        <f t="shared" si="1"/>
        <v>0.02939607843</v>
      </c>
      <c r="S303" s="1">
        <f t="shared" si="2"/>
        <v>-104</v>
      </c>
      <c r="T303" s="1">
        <f t="shared" si="3"/>
        <v>1.961538462</v>
      </c>
      <c r="U303" s="1">
        <f t="shared" si="4"/>
        <v>1</v>
      </c>
      <c r="V303" s="3">
        <f t="shared" si="5"/>
        <v>1</v>
      </c>
      <c r="W303" s="3" t="str">
        <f>IFERROR(__xludf.DUMMYFUNCTION("split(B303,"" "")"),"J.")</f>
        <v>J.</v>
      </c>
      <c r="X303" s="3" t="str">
        <f>IFERROR(__xludf.DUMMYFUNCTION("""COMPUTED_VALUE"""),"Mixon")</f>
        <v>Mixon</v>
      </c>
      <c r="Z303" s="3">
        <v>9.0</v>
      </c>
      <c r="AA303" s="3">
        <f t="shared" si="6"/>
        <v>0</v>
      </c>
      <c r="AB303" s="3">
        <f t="shared" si="7"/>
        <v>0</v>
      </c>
      <c r="AC303" s="3">
        <f t="shared" si="8"/>
        <v>0.9615384615</v>
      </c>
      <c r="AD303" s="3">
        <f t="shared" si="9"/>
        <v>-1</v>
      </c>
    </row>
    <row r="304">
      <c r="A304" s="1" t="s">
        <v>11</v>
      </c>
      <c r="B304" s="1" t="s">
        <v>495</v>
      </c>
      <c r="C304" s="1" t="s">
        <v>18</v>
      </c>
      <c r="D304" s="1" t="s">
        <v>72</v>
      </c>
      <c r="E304" s="1" t="s">
        <v>99</v>
      </c>
      <c r="F304" s="1" t="s">
        <v>460</v>
      </c>
      <c r="G304" s="1">
        <v>65.5</v>
      </c>
      <c r="H304" s="1" t="s">
        <v>60</v>
      </c>
      <c r="I304" s="1">
        <v>-117.0</v>
      </c>
      <c r="J304" s="1">
        <v>-0.0725710489727045</v>
      </c>
      <c r="K304" s="1" t="s">
        <v>61</v>
      </c>
      <c r="L304" s="1" t="s">
        <v>61</v>
      </c>
      <c r="M304" s="1" t="s">
        <v>62</v>
      </c>
      <c r="N304" s="1">
        <v>-111.0</v>
      </c>
      <c r="O304" s="1">
        <v>0.0073337773702673</v>
      </c>
      <c r="P304" s="1" t="s">
        <v>61</v>
      </c>
      <c r="Q304" s="1" t="s">
        <v>61</v>
      </c>
      <c r="R304" s="1">
        <f t="shared" si="1"/>
        <v>0.00733377737</v>
      </c>
      <c r="S304" s="1">
        <f t="shared" si="2"/>
        <v>-111</v>
      </c>
      <c r="T304" s="1">
        <f t="shared" si="3"/>
        <v>1.900900901</v>
      </c>
      <c r="U304" s="1">
        <f t="shared" si="4"/>
        <v>0</v>
      </c>
      <c r="V304" s="3">
        <f t="shared" si="5"/>
        <v>1</v>
      </c>
      <c r="W304" s="3" t="str">
        <f>IFERROR(__xludf.DUMMYFUNCTION("split(B304,"" "")"),"N.")</f>
        <v>N.</v>
      </c>
      <c r="X304" s="3" t="str">
        <f>IFERROR(__xludf.DUMMYFUNCTION("""COMPUTED_VALUE"""),"Collins")</f>
        <v>Collins</v>
      </c>
      <c r="Z304" s="3">
        <v>135.0</v>
      </c>
      <c r="AA304" s="3">
        <f t="shared" si="6"/>
        <v>1</v>
      </c>
      <c r="AB304" s="3">
        <f t="shared" si="7"/>
        <v>0</v>
      </c>
      <c r="AC304" s="3">
        <f t="shared" si="8"/>
        <v>0.9009009009</v>
      </c>
      <c r="AD304" s="3">
        <f t="shared" si="9"/>
        <v>-1</v>
      </c>
    </row>
    <row r="305">
      <c r="A305" s="1" t="s">
        <v>11</v>
      </c>
      <c r="B305" s="1" t="s">
        <v>359</v>
      </c>
      <c r="C305" s="1" t="s">
        <v>19</v>
      </c>
      <c r="D305" s="1" t="s">
        <v>72</v>
      </c>
      <c r="E305" s="1" t="s">
        <v>99</v>
      </c>
      <c r="F305" s="1" t="s">
        <v>460</v>
      </c>
      <c r="G305" s="1">
        <v>17.5</v>
      </c>
      <c r="H305" s="1" t="s">
        <v>60</v>
      </c>
      <c r="I305" s="1">
        <v>-113.0</v>
      </c>
      <c r="J305" s="1">
        <v>-0.0731809818436478</v>
      </c>
      <c r="K305" s="1" t="s">
        <v>61</v>
      </c>
      <c r="L305" s="1" t="s">
        <v>61</v>
      </c>
      <c r="M305" s="1" t="s">
        <v>62</v>
      </c>
      <c r="N305" s="1">
        <v>-116.0</v>
      </c>
      <c r="O305" s="1">
        <v>0.00565118978670597</v>
      </c>
      <c r="P305" s="1" t="s">
        <v>61</v>
      </c>
      <c r="Q305" s="1" t="s">
        <v>61</v>
      </c>
      <c r="R305" s="1">
        <f t="shared" si="1"/>
        <v>0.005651189787</v>
      </c>
      <c r="S305" s="1">
        <f t="shared" si="2"/>
        <v>-116</v>
      </c>
      <c r="T305" s="1">
        <f t="shared" si="3"/>
        <v>1.862068966</v>
      </c>
      <c r="U305" s="1">
        <f t="shared" si="4"/>
        <v>0</v>
      </c>
      <c r="V305" s="3">
        <f t="shared" si="5"/>
        <v>1</v>
      </c>
      <c r="W305" s="3" t="str">
        <f>IFERROR(__xludf.DUMMYFUNCTION("split(B305,"" "")"),"J.")</f>
        <v>J.</v>
      </c>
      <c r="X305" s="3" t="str">
        <f>IFERROR(__xludf.DUMMYFUNCTION("""COMPUTED_VALUE"""),"Mixon")</f>
        <v>Mixon</v>
      </c>
      <c r="Z305" s="3">
        <v>25.0</v>
      </c>
      <c r="AA305" s="3">
        <f t="shared" si="6"/>
        <v>1</v>
      </c>
      <c r="AB305" s="3">
        <f t="shared" si="7"/>
        <v>0</v>
      </c>
      <c r="AC305" s="3">
        <f t="shared" si="8"/>
        <v>0.8620689655</v>
      </c>
      <c r="AD305" s="3">
        <f t="shared" si="9"/>
        <v>-1</v>
      </c>
    </row>
    <row r="306">
      <c r="A306" s="1" t="s">
        <v>17</v>
      </c>
      <c r="B306" s="1" t="s">
        <v>200</v>
      </c>
      <c r="C306" s="1" t="s">
        <v>21</v>
      </c>
      <c r="D306" s="1" t="s">
        <v>71</v>
      </c>
      <c r="E306" s="1" t="s">
        <v>157</v>
      </c>
      <c r="F306" s="1" t="s">
        <v>455</v>
      </c>
      <c r="G306" s="1">
        <v>0.5</v>
      </c>
      <c r="H306" s="1" t="s">
        <v>60</v>
      </c>
      <c r="I306" s="1">
        <v>-140.0</v>
      </c>
      <c r="J306" s="1">
        <v>-0.132891666666666</v>
      </c>
      <c r="K306" s="1" t="s">
        <v>61</v>
      </c>
      <c r="L306" s="1" t="s">
        <v>61</v>
      </c>
      <c r="M306" s="1" t="s">
        <v>62</v>
      </c>
      <c r="N306" s="1">
        <v>106.0</v>
      </c>
      <c r="O306" s="1">
        <v>0.0641145631067962</v>
      </c>
      <c r="P306" s="1" t="s">
        <v>61</v>
      </c>
      <c r="Q306" s="1" t="s">
        <v>61</v>
      </c>
      <c r="R306" s="1">
        <f t="shared" si="1"/>
        <v>0.06411456311</v>
      </c>
      <c r="S306" s="1">
        <f t="shared" si="2"/>
        <v>106</v>
      </c>
      <c r="T306" s="1">
        <f t="shared" si="3"/>
        <v>2.06</v>
      </c>
      <c r="U306" s="1">
        <f t="shared" si="4"/>
        <v>0</v>
      </c>
      <c r="V306" s="3">
        <f t="shared" si="5"/>
        <v>2</v>
      </c>
      <c r="W306" s="3" t="str">
        <f>IFERROR(__xludf.DUMMYFUNCTION("split(B306,"" "")"),"A.")</f>
        <v>A.</v>
      </c>
      <c r="X306" s="3" t="str">
        <f>IFERROR(__xludf.DUMMYFUNCTION("""COMPUTED_VALUE"""),"Richardson")</f>
        <v>Richardson</v>
      </c>
      <c r="Z306" s="3">
        <v>3.0</v>
      </c>
      <c r="AA306" s="3">
        <f t="shared" si="6"/>
        <v>1</v>
      </c>
      <c r="AB306" s="3">
        <f t="shared" si="7"/>
        <v>0</v>
      </c>
      <c r="AC306" s="3">
        <f t="shared" si="8"/>
        <v>2.12</v>
      </c>
      <c r="AD306" s="3">
        <f t="shared" si="9"/>
        <v>-2</v>
      </c>
    </row>
    <row r="307">
      <c r="A307" s="1" t="s">
        <v>10</v>
      </c>
      <c r="B307" s="1" t="s">
        <v>444</v>
      </c>
      <c r="C307" s="1" t="s">
        <v>19</v>
      </c>
      <c r="D307" s="1" t="s">
        <v>71</v>
      </c>
      <c r="E307" s="1" t="s">
        <v>157</v>
      </c>
      <c r="F307" s="1" t="s">
        <v>455</v>
      </c>
      <c r="G307" s="1">
        <v>79.5</v>
      </c>
      <c r="H307" s="1" t="s">
        <v>60</v>
      </c>
      <c r="I307" s="1">
        <v>-118.0</v>
      </c>
      <c r="J307" s="1">
        <v>-0.0940847581412906</v>
      </c>
      <c r="K307" s="1" t="s">
        <v>61</v>
      </c>
      <c r="L307" s="1" t="s">
        <v>61</v>
      </c>
      <c r="M307" s="1" t="s">
        <v>62</v>
      </c>
      <c r="N307" s="1">
        <v>-111.0</v>
      </c>
      <c r="O307" s="1">
        <v>0.0267332924662797</v>
      </c>
      <c r="P307" s="1" t="s">
        <v>61</v>
      </c>
      <c r="Q307" s="1" t="s">
        <v>61</v>
      </c>
      <c r="R307" s="1">
        <f t="shared" si="1"/>
        <v>0.02673329247</v>
      </c>
      <c r="S307" s="1">
        <f t="shared" si="2"/>
        <v>-111</v>
      </c>
      <c r="T307" s="1">
        <f t="shared" si="3"/>
        <v>1.900900901</v>
      </c>
      <c r="U307" s="1">
        <f t="shared" si="4"/>
        <v>0</v>
      </c>
      <c r="V307" s="3">
        <f t="shared" si="5"/>
        <v>1</v>
      </c>
      <c r="W307" s="3" t="str">
        <f>IFERROR(__xludf.DUMMYFUNCTION("split(B307,"" "")"),"J.")</f>
        <v>J.</v>
      </c>
      <c r="X307" s="3" t="str">
        <f>IFERROR(__xludf.DUMMYFUNCTION("""COMPUTED_VALUE"""),"Taylor")</f>
        <v>Taylor</v>
      </c>
      <c r="Z307" s="3">
        <v>103.0</v>
      </c>
      <c r="AA307" s="3">
        <f t="shared" si="6"/>
        <v>1</v>
      </c>
      <c r="AB307" s="3">
        <f t="shared" si="7"/>
        <v>0</v>
      </c>
      <c r="AC307" s="3">
        <f t="shared" si="8"/>
        <v>0.9009009009</v>
      </c>
      <c r="AD307" s="3">
        <f t="shared" si="9"/>
        <v>-1</v>
      </c>
    </row>
    <row r="308">
      <c r="A308" s="1" t="s">
        <v>12</v>
      </c>
      <c r="B308" s="1" t="s">
        <v>467</v>
      </c>
      <c r="C308" s="1" t="s">
        <v>18</v>
      </c>
      <c r="D308" s="1" t="s">
        <v>93</v>
      </c>
      <c r="E308" s="1" t="s">
        <v>89</v>
      </c>
      <c r="F308" s="1" t="s">
        <v>455</v>
      </c>
      <c r="G308" s="1">
        <v>2.5</v>
      </c>
      <c r="H308" s="1" t="s">
        <v>60</v>
      </c>
      <c r="I308" s="1">
        <v>-140.0</v>
      </c>
      <c r="J308" s="1">
        <v>-0.242190175833333</v>
      </c>
      <c r="K308" s="1" t="s">
        <v>61</v>
      </c>
      <c r="L308" s="1" t="s">
        <v>61</v>
      </c>
      <c r="M308" s="1" t="s">
        <v>62</v>
      </c>
      <c r="N308" s="1">
        <v>106.0</v>
      </c>
      <c r="O308" s="1">
        <v>0.173412826213592</v>
      </c>
      <c r="P308" s="1" t="s">
        <v>61</v>
      </c>
      <c r="Q308" s="1" t="s">
        <v>61</v>
      </c>
      <c r="R308" s="1">
        <f t="shared" si="1"/>
        <v>0.1734128262</v>
      </c>
      <c r="S308" s="1">
        <f t="shared" si="2"/>
        <v>106</v>
      </c>
      <c r="T308" s="1">
        <f t="shared" si="3"/>
        <v>2.06</v>
      </c>
      <c r="U308" s="1">
        <f t="shared" si="4"/>
        <v>0</v>
      </c>
      <c r="V308" s="3">
        <f t="shared" si="5"/>
        <v>3</v>
      </c>
      <c r="W308" s="3" t="str">
        <f>IFERROR(__xludf.DUMMYFUNCTION("split(B308,"" "")"),"G.")</f>
        <v>G.</v>
      </c>
      <c r="X308" s="3" t="str">
        <f>IFERROR(__xludf.DUMMYFUNCTION("""COMPUTED_VALUE"""),"Davis")</f>
        <v>Davis</v>
      </c>
      <c r="Z308" s="3">
        <v>3.0</v>
      </c>
      <c r="AA308" s="3">
        <f t="shared" si="6"/>
        <v>1</v>
      </c>
      <c r="AB308" s="3">
        <f t="shared" si="7"/>
        <v>0</v>
      </c>
      <c r="AC308" s="3">
        <f t="shared" si="8"/>
        <v>3.18</v>
      </c>
      <c r="AD308" s="3">
        <f t="shared" si="9"/>
        <v>-3</v>
      </c>
    </row>
    <row r="309">
      <c r="A309" s="1" t="s">
        <v>10</v>
      </c>
      <c r="B309" s="1" t="s">
        <v>119</v>
      </c>
      <c r="C309" s="1" t="s">
        <v>21</v>
      </c>
      <c r="D309" s="1" t="s">
        <v>93</v>
      </c>
      <c r="E309" s="1" t="s">
        <v>89</v>
      </c>
      <c r="F309" s="1" t="s">
        <v>455</v>
      </c>
      <c r="G309" s="1">
        <v>14.5</v>
      </c>
      <c r="H309" s="1" t="s">
        <v>60</v>
      </c>
      <c r="I309" s="1">
        <v>-120.0</v>
      </c>
      <c r="J309" s="1">
        <v>-0.107185882971652</v>
      </c>
      <c r="K309" s="1" t="s">
        <v>61</v>
      </c>
      <c r="L309" s="1" t="s">
        <v>61</v>
      </c>
      <c r="M309" s="1" t="s">
        <v>62</v>
      </c>
      <c r="N309" s="1">
        <v>-110.0</v>
      </c>
      <c r="O309" s="1">
        <v>0.0379418270435237</v>
      </c>
      <c r="P309" s="1" t="s">
        <v>61</v>
      </c>
      <c r="Q309" s="1" t="s">
        <v>61</v>
      </c>
      <c r="R309" s="1">
        <f t="shared" si="1"/>
        <v>0.03794182704</v>
      </c>
      <c r="S309" s="1">
        <f t="shared" si="2"/>
        <v>-110</v>
      </c>
      <c r="T309" s="1">
        <f t="shared" si="3"/>
        <v>1.909090909</v>
      </c>
      <c r="U309" s="1">
        <f t="shared" si="4"/>
        <v>0</v>
      </c>
      <c r="V309" s="3">
        <f t="shared" si="5"/>
        <v>1</v>
      </c>
      <c r="W309" s="3" t="str">
        <f>IFERROR(__xludf.DUMMYFUNCTION("split(B309,"" "")"),"T.")</f>
        <v>T.</v>
      </c>
      <c r="X309" s="3" t="str">
        <f>IFERROR(__xludf.DUMMYFUNCTION("""COMPUTED_VALUE"""),"Lawrence")</f>
        <v>Lawrence</v>
      </c>
      <c r="Z309" s="3">
        <v>45.0</v>
      </c>
      <c r="AA309" s="3">
        <f t="shared" si="6"/>
        <v>1</v>
      </c>
      <c r="AB309" s="3">
        <f t="shared" si="7"/>
        <v>0</v>
      </c>
      <c r="AC309" s="3">
        <f t="shared" si="8"/>
        <v>0.9090909091</v>
      </c>
      <c r="AD309" s="3">
        <f t="shared" si="9"/>
        <v>-1</v>
      </c>
    </row>
    <row r="310">
      <c r="A310" s="1" t="s">
        <v>12</v>
      </c>
      <c r="B310" s="1" t="s">
        <v>179</v>
      </c>
      <c r="C310" s="1" t="s">
        <v>19</v>
      </c>
      <c r="D310" s="1" t="s">
        <v>76</v>
      </c>
      <c r="E310" s="1" t="s">
        <v>67</v>
      </c>
      <c r="F310" s="1" t="s">
        <v>461</v>
      </c>
      <c r="G310" s="1">
        <v>2.5</v>
      </c>
      <c r="H310" s="1" t="s">
        <v>60</v>
      </c>
      <c r="I310" s="1">
        <v>-143.0</v>
      </c>
      <c r="J310" s="1">
        <v>-0.257776057736625</v>
      </c>
      <c r="K310" s="1" t="s">
        <v>61</v>
      </c>
      <c r="L310" s="1" t="s">
        <v>61</v>
      </c>
      <c r="M310" s="1" t="s">
        <v>62</v>
      </c>
      <c r="N310" s="1">
        <v>110.0</v>
      </c>
      <c r="O310" s="1">
        <v>0.193108009666666</v>
      </c>
      <c r="P310" s="1" t="s">
        <v>61</v>
      </c>
      <c r="Q310" s="1" t="s">
        <v>61</v>
      </c>
      <c r="R310" s="1">
        <f t="shared" si="1"/>
        <v>0.1931080097</v>
      </c>
      <c r="S310" s="1">
        <f t="shared" si="2"/>
        <v>110</v>
      </c>
      <c r="T310" s="1">
        <f t="shared" si="3"/>
        <v>2.1</v>
      </c>
      <c r="U310" s="1">
        <f t="shared" si="4"/>
        <v>0</v>
      </c>
      <c r="V310" s="3">
        <f t="shared" si="5"/>
        <v>3</v>
      </c>
      <c r="W310" s="3" t="str">
        <f>IFERROR(__xludf.DUMMYFUNCTION("split(B310,"" "")"),"I.")</f>
        <v>I.</v>
      </c>
      <c r="X310" s="3" t="str">
        <f>IFERROR(__xludf.DUMMYFUNCTION("""COMPUTED_VALUE"""),"Pacheco")</f>
        <v>Pacheco</v>
      </c>
      <c r="Z310" s="3">
        <v>5.0</v>
      </c>
      <c r="AA310" s="3">
        <f t="shared" si="6"/>
        <v>1</v>
      </c>
      <c r="AB310" s="3">
        <f t="shared" si="7"/>
        <v>0</v>
      </c>
      <c r="AC310" s="3">
        <f t="shared" si="8"/>
        <v>3.3</v>
      </c>
      <c r="AD310" s="3">
        <f t="shared" si="9"/>
        <v>-3</v>
      </c>
    </row>
    <row r="311">
      <c r="A311" s="1" t="s">
        <v>14</v>
      </c>
      <c r="B311" s="1" t="s">
        <v>75</v>
      </c>
      <c r="C311" s="1" t="s">
        <v>21</v>
      </c>
      <c r="D311" s="1" t="s">
        <v>76</v>
      </c>
      <c r="E311" s="1" t="s">
        <v>67</v>
      </c>
      <c r="F311" s="1" t="s">
        <v>461</v>
      </c>
      <c r="G311" s="1">
        <v>1.5</v>
      </c>
      <c r="H311" s="1" t="s">
        <v>60</v>
      </c>
      <c r="I311" s="1">
        <v>-184.0</v>
      </c>
      <c r="J311" s="1">
        <v>-0.165152112676056</v>
      </c>
      <c r="K311" s="1" t="s">
        <v>61</v>
      </c>
      <c r="L311" s="1" t="s">
        <v>61</v>
      </c>
      <c r="M311" s="1" t="s">
        <v>62</v>
      </c>
      <c r="N311" s="1">
        <v>138.0</v>
      </c>
      <c r="O311" s="1">
        <v>0.0970899159663865</v>
      </c>
      <c r="P311" s="1" t="s">
        <v>61</v>
      </c>
      <c r="Q311" s="1" t="s">
        <v>61</v>
      </c>
      <c r="R311" s="1">
        <f t="shared" si="1"/>
        <v>0.09708991597</v>
      </c>
      <c r="S311" s="1">
        <f t="shared" si="2"/>
        <v>138</v>
      </c>
      <c r="T311" s="1">
        <f t="shared" si="3"/>
        <v>2.38</v>
      </c>
      <c r="U311" s="1">
        <f t="shared" si="4"/>
        <v>0</v>
      </c>
      <c r="V311" s="3">
        <f t="shared" si="5"/>
        <v>2</v>
      </c>
      <c r="W311" s="3" t="str">
        <f>IFERROR(__xludf.DUMMYFUNCTION("split(B311,"" "")"),"P.")</f>
        <v>P.</v>
      </c>
      <c r="X311" s="3" t="str">
        <f>IFERROR(__xludf.DUMMYFUNCTION("""COMPUTED_VALUE"""),"Mahomes")</f>
        <v>Mahomes</v>
      </c>
      <c r="Z311" s="3">
        <v>2.0</v>
      </c>
      <c r="AA311" s="3">
        <f t="shared" si="6"/>
        <v>1</v>
      </c>
      <c r="AB311" s="3">
        <f t="shared" si="7"/>
        <v>0</v>
      </c>
      <c r="AC311" s="3">
        <f t="shared" si="8"/>
        <v>2.76</v>
      </c>
      <c r="AD311" s="3">
        <f t="shared" si="9"/>
        <v>-2</v>
      </c>
    </row>
    <row r="312">
      <c r="A312" s="1" t="s">
        <v>12</v>
      </c>
      <c r="B312" s="1" t="s">
        <v>493</v>
      </c>
      <c r="C312" s="1" t="s">
        <v>18</v>
      </c>
      <c r="D312" s="1" t="s">
        <v>76</v>
      </c>
      <c r="E312" s="1" t="s">
        <v>67</v>
      </c>
      <c r="F312" s="1" t="s">
        <v>461</v>
      </c>
      <c r="G312" s="1">
        <v>6.5</v>
      </c>
      <c r="H312" s="1" t="s">
        <v>60</v>
      </c>
      <c r="I312" s="1">
        <v>118.0</v>
      </c>
      <c r="J312" s="1">
        <v>0.0855385321100916</v>
      </c>
      <c r="K312" s="1" t="s">
        <v>61</v>
      </c>
      <c r="L312" s="1" t="s">
        <v>61</v>
      </c>
      <c r="M312" s="1" t="s">
        <v>62</v>
      </c>
      <c r="N312" s="1">
        <v>-154.0</v>
      </c>
      <c r="O312" s="1">
        <v>-0.150559842519685</v>
      </c>
      <c r="P312" s="1" t="s">
        <v>61</v>
      </c>
      <c r="Q312" s="1" t="s">
        <v>61</v>
      </c>
      <c r="R312" s="1">
        <f t="shared" si="1"/>
        <v>0.08553853211</v>
      </c>
      <c r="S312" s="1">
        <f t="shared" si="2"/>
        <v>118</v>
      </c>
      <c r="T312" s="1">
        <f t="shared" si="3"/>
        <v>2.18</v>
      </c>
      <c r="U312" s="1">
        <f t="shared" si="4"/>
        <v>1</v>
      </c>
      <c r="V312" s="3">
        <f t="shared" si="5"/>
        <v>2</v>
      </c>
      <c r="W312" s="3" t="str">
        <f>IFERROR(__xludf.DUMMYFUNCTION("split(B312,"" "")"),"R.")</f>
        <v>R.</v>
      </c>
      <c r="X312" s="3" t="str">
        <f>IFERROR(__xludf.DUMMYFUNCTION("""COMPUTED_VALUE"""),"Rice")</f>
        <v>Rice</v>
      </c>
      <c r="Z312" s="3">
        <v>5.0</v>
      </c>
      <c r="AA312" s="3">
        <f t="shared" si="6"/>
        <v>0</v>
      </c>
      <c r="AB312" s="3">
        <f t="shared" si="7"/>
        <v>0</v>
      </c>
      <c r="AC312" s="3">
        <f t="shared" si="8"/>
        <v>2.36</v>
      </c>
      <c r="AD312" s="3">
        <f t="shared" si="9"/>
        <v>-2</v>
      </c>
    </row>
    <row r="313">
      <c r="A313" s="1" t="s">
        <v>17</v>
      </c>
      <c r="B313" s="1" t="s">
        <v>75</v>
      </c>
      <c r="C313" s="1" t="s">
        <v>21</v>
      </c>
      <c r="D313" s="1" t="s">
        <v>76</v>
      </c>
      <c r="E313" s="1" t="s">
        <v>67</v>
      </c>
      <c r="F313" s="1" t="s">
        <v>461</v>
      </c>
      <c r="G313" s="1">
        <v>0.5</v>
      </c>
      <c r="H313" s="1" t="s">
        <v>60</v>
      </c>
      <c r="I313" s="1">
        <v>-122.0</v>
      </c>
      <c r="J313" s="1">
        <v>-0.120449549549549</v>
      </c>
      <c r="K313" s="1" t="s">
        <v>61</v>
      </c>
      <c r="L313" s="1" t="s">
        <v>61</v>
      </c>
      <c r="M313" s="1" t="s">
        <v>62</v>
      </c>
      <c r="N313" s="1">
        <v>-109.0</v>
      </c>
      <c r="O313" s="1">
        <v>0.0493688995215311</v>
      </c>
      <c r="P313" s="1" t="s">
        <v>61</v>
      </c>
      <c r="Q313" s="1" t="s">
        <v>61</v>
      </c>
      <c r="R313" s="1">
        <f t="shared" si="1"/>
        <v>0.04936889952</v>
      </c>
      <c r="S313" s="1">
        <f t="shared" si="2"/>
        <v>-109</v>
      </c>
      <c r="T313" s="1">
        <f t="shared" si="3"/>
        <v>1.917431193</v>
      </c>
      <c r="U313" s="1">
        <f t="shared" si="4"/>
        <v>0</v>
      </c>
      <c r="V313" s="3">
        <f t="shared" si="5"/>
        <v>1</v>
      </c>
      <c r="W313" s="3" t="str">
        <f>IFERROR(__xludf.DUMMYFUNCTION("split(B313,"" "")"),"P.")</f>
        <v>P.</v>
      </c>
      <c r="X313" s="3" t="str">
        <f>IFERROR(__xludf.DUMMYFUNCTION("""COMPUTED_VALUE"""),"Mahomes")</f>
        <v>Mahomes</v>
      </c>
      <c r="Z313" s="3">
        <v>2.0</v>
      </c>
      <c r="AA313" s="3">
        <f t="shared" si="6"/>
        <v>1</v>
      </c>
      <c r="AB313" s="3">
        <f t="shared" si="7"/>
        <v>0</v>
      </c>
      <c r="AC313" s="3">
        <f t="shared" si="8"/>
        <v>0.9174311927</v>
      </c>
      <c r="AD313" s="3">
        <f t="shared" si="9"/>
        <v>-1</v>
      </c>
    </row>
    <row r="314">
      <c r="A314" s="1" t="s">
        <v>11</v>
      </c>
      <c r="B314" s="1" t="s">
        <v>493</v>
      </c>
      <c r="C314" s="1" t="s">
        <v>18</v>
      </c>
      <c r="D314" s="1" t="s">
        <v>76</v>
      </c>
      <c r="E314" s="1" t="s">
        <v>67</v>
      </c>
      <c r="F314" s="1" t="s">
        <v>461</v>
      </c>
      <c r="G314" s="1">
        <v>67.5</v>
      </c>
      <c r="H314" s="1" t="s">
        <v>60</v>
      </c>
      <c r="I314" s="1">
        <v>-114.0</v>
      </c>
      <c r="J314" s="1">
        <v>-0.116467498686287</v>
      </c>
      <c r="K314" s="1" t="s">
        <v>61</v>
      </c>
      <c r="L314" s="1" t="s">
        <v>61</v>
      </c>
      <c r="M314" s="1" t="s">
        <v>62</v>
      </c>
      <c r="N314" s="1">
        <v>-117.0</v>
      </c>
      <c r="O314" s="1">
        <v>0.0445639782487501</v>
      </c>
      <c r="P314" s="1" t="s">
        <v>61</v>
      </c>
      <c r="Q314" s="1" t="s">
        <v>61</v>
      </c>
      <c r="R314" s="1">
        <f t="shared" si="1"/>
        <v>0.04456397825</v>
      </c>
      <c r="S314" s="1">
        <f t="shared" si="2"/>
        <v>-117</v>
      </c>
      <c r="T314" s="1">
        <f t="shared" si="3"/>
        <v>1.854700855</v>
      </c>
      <c r="U314" s="1">
        <f t="shared" si="4"/>
        <v>0</v>
      </c>
      <c r="V314" s="3">
        <f t="shared" si="5"/>
        <v>1</v>
      </c>
      <c r="W314" s="3" t="str">
        <f>IFERROR(__xludf.DUMMYFUNCTION("split(B314,"" "")"),"R.")</f>
        <v>R.</v>
      </c>
      <c r="X314" s="3" t="str">
        <f>IFERROR(__xludf.DUMMYFUNCTION("""COMPUTED_VALUE"""),"Rice")</f>
        <v>Rice</v>
      </c>
      <c r="Z314" s="3">
        <v>75.0</v>
      </c>
      <c r="AA314" s="3">
        <f t="shared" si="6"/>
        <v>1</v>
      </c>
      <c r="AB314" s="3">
        <f t="shared" si="7"/>
        <v>0</v>
      </c>
      <c r="AC314" s="3">
        <f t="shared" si="8"/>
        <v>0.8547008547</v>
      </c>
      <c r="AD314" s="3">
        <f t="shared" si="9"/>
        <v>-1</v>
      </c>
    </row>
    <row r="315">
      <c r="A315" s="1" t="s">
        <v>9</v>
      </c>
      <c r="B315" s="1" t="s">
        <v>493</v>
      </c>
      <c r="C315" s="1" t="s">
        <v>18</v>
      </c>
      <c r="D315" s="1" t="s">
        <v>76</v>
      </c>
      <c r="E315" s="1" t="s">
        <v>67</v>
      </c>
      <c r="F315" s="1" t="s">
        <v>461</v>
      </c>
      <c r="G315" s="1">
        <v>68.5</v>
      </c>
      <c r="H315" s="1" t="s">
        <v>60</v>
      </c>
      <c r="I315" s="1">
        <v>-114.0</v>
      </c>
      <c r="J315" s="1">
        <v>-0.109421013196105</v>
      </c>
      <c r="K315" s="1" t="s">
        <v>61</v>
      </c>
      <c r="L315" s="1" t="s">
        <v>61</v>
      </c>
      <c r="M315" s="1" t="s">
        <v>62</v>
      </c>
      <c r="N315" s="1">
        <v>-119.0</v>
      </c>
      <c r="O315" s="1">
        <v>0.0333660512352522</v>
      </c>
      <c r="P315" s="1" t="s">
        <v>61</v>
      </c>
      <c r="Q315" s="1" t="s">
        <v>61</v>
      </c>
      <c r="R315" s="1">
        <f t="shared" si="1"/>
        <v>0.03336605124</v>
      </c>
      <c r="S315" s="1">
        <f t="shared" si="2"/>
        <v>-119</v>
      </c>
      <c r="T315" s="1">
        <f t="shared" si="3"/>
        <v>1.840336134</v>
      </c>
      <c r="U315" s="1">
        <f t="shared" si="4"/>
        <v>0</v>
      </c>
      <c r="V315" s="3">
        <f t="shared" si="5"/>
        <v>1</v>
      </c>
      <c r="W315" s="3" t="str">
        <f>IFERROR(__xludf.DUMMYFUNCTION("split(B315,"" "")"),"R.")</f>
        <v>R.</v>
      </c>
      <c r="X315" s="3" t="str">
        <f>IFERROR(__xludf.DUMMYFUNCTION("""COMPUTED_VALUE"""),"Rice")</f>
        <v>Rice</v>
      </c>
      <c r="Z315" s="3">
        <v>75.0</v>
      </c>
      <c r="AA315" s="3">
        <f t="shared" si="6"/>
        <v>1</v>
      </c>
      <c r="AB315" s="3">
        <f t="shared" si="7"/>
        <v>0</v>
      </c>
      <c r="AC315" s="3">
        <f t="shared" si="8"/>
        <v>0.8403361345</v>
      </c>
      <c r="AD315" s="3">
        <f t="shared" si="9"/>
        <v>-1</v>
      </c>
    </row>
    <row r="316">
      <c r="A316" s="1" t="s">
        <v>10</v>
      </c>
      <c r="B316" s="1" t="s">
        <v>179</v>
      </c>
      <c r="C316" s="1" t="s">
        <v>19</v>
      </c>
      <c r="D316" s="1" t="s">
        <v>76</v>
      </c>
      <c r="E316" s="1" t="s">
        <v>67</v>
      </c>
      <c r="F316" s="1" t="s">
        <v>461</v>
      </c>
      <c r="G316" s="1">
        <v>64.5</v>
      </c>
      <c r="H316" s="1" t="s">
        <v>60</v>
      </c>
      <c r="I316" s="1">
        <v>-126.0</v>
      </c>
      <c r="J316" s="1">
        <v>-0.0971185899822528</v>
      </c>
      <c r="K316" s="1" t="s">
        <v>61</v>
      </c>
      <c r="L316" s="1" t="s">
        <v>61</v>
      </c>
      <c r="M316" s="1" t="s">
        <v>62</v>
      </c>
      <c r="N316" s="1">
        <v>-104.0</v>
      </c>
      <c r="O316" s="1">
        <v>0.0297917252406944</v>
      </c>
      <c r="P316" s="1" t="s">
        <v>61</v>
      </c>
      <c r="Q316" s="1" t="s">
        <v>61</v>
      </c>
      <c r="R316" s="1">
        <f t="shared" si="1"/>
        <v>0.02979172524</v>
      </c>
      <c r="S316" s="1">
        <f t="shared" si="2"/>
        <v>-104</v>
      </c>
      <c r="T316" s="1">
        <f t="shared" si="3"/>
        <v>1.961538462</v>
      </c>
      <c r="U316" s="1">
        <f t="shared" si="4"/>
        <v>0</v>
      </c>
      <c r="V316" s="3">
        <f t="shared" si="5"/>
        <v>1</v>
      </c>
      <c r="W316" s="3" t="str">
        <f>IFERROR(__xludf.DUMMYFUNCTION("split(B316,"" "")"),"I.")</f>
        <v>I.</v>
      </c>
      <c r="X316" s="3" t="str">
        <f>IFERROR(__xludf.DUMMYFUNCTION("""COMPUTED_VALUE"""),"Pacheco")</f>
        <v>Pacheco</v>
      </c>
      <c r="Z316" s="3">
        <v>90.0</v>
      </c>
      <c r="AA316" s="3">
        <f t="shared" si="6"/>
        <v>1</v>
      </c>
      <c r="AB316" s="3">
        <f t="shared" si="7"/>
        <v>0</v>
      </c>
      <c r="AC316" s="3">
        <f t="shared" si="8"/>
        <v>0.9615384615</v>
      </c>
      <c r="AD316" s="3">
        <f t="shared" si="9"/>
        <v>-1</v>
      </c>
    </row>
    <row r="317">
      <c r="A317" s="1" t="s">
        <v>12</v>
      </c>
      <c r="B317" s="1" t="s">
        <v>326</v>
      </c>
      <c r="C317" s="1" t="s">
        <v>20</v>
      </c>
      <c r="D317" s="1" t="s">
        <v>76</v>
      </c>
      <c r="E317" s="1" t="s">
        <v>67</v>
      </c>
      <c r="F317" s="1" t="s">
        <v>461</v>
      </c>
      <c r="G317" s="1">
        <v>5.5</v>
      </c>
      <c r="H317" s="1" t="s">
        <v>60</v>
      </c>
      <c r="I317" s="1">
        <v>115.0</v>
      </c>
      <c r="J317" s="1">
        <v>0.0290837209302325</v>
      </c>
      <c r="K317" s="1" t="s">
        <v>61</v>
      </c>
      <c r="L317" s="1" t="s">
        <v>61</v>
      </c>
      <c r="M317" s="1" t="s">
        <v>62</v>
      </c>
      <c r="N317" s="1">
        <v>-152.0</v>
      </c>
      <c r="O317" s="1">
        <v>-0.0973746031746031</v>
      </c>
      <c r="P317" s="1" t="s">
        <v>61</v>
      </c>
      <c r="Q317" s="1" t="s">
        <v>61</v>
      </c>
      <c r="R317" s="1">
        <f t="shared" si="1"/>
        <v>0.02908372093</v>
      </c>
      <c r="S317" s="1">
        <f t="shared" si="2"/>
        <v>115</v>
      </c>
      <c r="T317" s="1">
        <f t="shared" si="3"/>
        <v>2.15</v>
      </c>
      <c r="U317" s="1">
        <f t="shared" si="4"/>
        <v>1</v>
      </c>
      <c r="V317" s="3">
        <f t="shared" si="5"/>
        <v>1</v>
      </c>
      <c r="W317" s="3" t="str">
        <f>IFERROR(__xludf.DUMMYFUNCTION("split(B317,"" "")"),"T.")</f>
        <v>T.</v>
      </c>
      <c r="X317" s="3" t="str">
        <f>IFERROR(__xludf.DUMMYFUNCTION("""COMPUTED_VALUE"""),"Kelce")</f>
        <v>Kelce</v>
      </c>
      <c r="Z317" s="3">
        <v>1.0</v>
      </c>
      <c r="AA317" s="3">
        <f t="shared" si="6"/>
        <v>0</v>
      </c>
      <c r="AB317" s="3">
        <f t="shared" si="7"/>
        <v>0</v>
      </c>
      <c r="AC317" s="3">
        <f t="shared" si="8"/>
        <v>1.15</v>
      </c>
      <c r="AD317" s="3">
        <f t="shared" si="9"/>
        <v>-1</v>
      </c>
    </row>
    <row r="318">
      <c r="A318" s="1" t="s">
        <v>9</v>
      </c>
      <c r="B318" s="1" t="s">
        <v>179</v>
      </c>
      <c r="C318" s="1" t="s">
        <v>19</v>
      </c>
      <c r="D318" s="1" t="s">
        <v>76</v>
      </c>
      <c r="E318" s="1" t="s">
        <v>67</v>
      </c>
      <c r="F318" s="1" t="s">
        <v>461</v>
      </c>
      <c r="G318" s="1">
        <v>85.5</v>
      </c>
      <c r="H318" s="1" t="s">
        <v>60</v>
      </c>
      <c r="I318" s="1">
        <v>-115.0</v>
      </c>
      <c r="J318" s="1">
        <v>-0.0972253172780669</v>
      </c>
      <c r="K318" s="1" t="s">
        <v>61</v>
      </c>
      <c r="L318" s="1" t="s">
        <v>61</v>
      </c>
      <c r="M318" s="1" t="s">
        <v>62</v>
      </c>
      <c r="N318" s="1">
        <v>-120.0</v>
      </c>
      <c r="O318" s="1">
        <v>0.0168769629897329</v>
      </c>
      <c r="P318" s="1" t="s">
        <v>61</v>
      </c>
      <c r="Q318" s="1" t="s">
        <v>61</v>
      </c>
      <c r="R318" s="1">
        <f t="shared" si="1"/>
        <v>0.01687696299</v>
      </c>
      <c r="S318" s="1">
        <f t="shared" si="2"/>
        <v>-120</v>
      </c>
      <c r="T318" s="1">
        <f t="shared" si="3"/>
        <v>1.833333333</v>
      </c>
      <c r="U318" s="1">
        <f t="shared" si="4"/>
        <v>0</v>
      </c>
      <c r="V318" s="3">
        <f t="shared" si="5"/>
        <v>1</v>
      </c>
      <c r="W318" s="3" t="str">
        <f>IFERROR(__xludf.DUMMYFUNCTION("split(B318,"" "")"),"I.")</f>
        <v>I.</v>
      </c>
      <c r="X318" s="3" t="str">
        <f>IFERROR(__xludf.DUMMYFUNCTION("""COMPUTED_VALUE"""),"Pacheco")</f>
        <v>Pacheco</v>
      </c>
      <c r="Z318" s="3">
        <v>111.0</v>
      </c>
      <c r="AA318" s="3">
        <f t="shared" si="6"/>
        <v>1</v>
      </c>
      <c r="AB318" s="3">
        <f t="shared" si="7"/>
        <v>0</v>
      </c>
      <c r="AC318" s="3">
        <f t="shared" si="8"/>
        <v>0.8333333333</v>
      </c>
      <c r="AD318" s="3">
        <f t="shared" si="9"/>
        <v>-1</v>
      </c>
    </row>
    <row r="319">
      <c r="A319" s="1" t="s">
        <v>10</v>
      </c>
      <c r="B319" s="1" t="s">
        <v>75</v>
      </c>
      <c r="C319" s="1" t="s">
        <v>21</v>
      </c>
      <c r="D319" s="1" t="s">
        <v>76</v>
      </c>
      <c r="E319" s="1" t="s">
        <v>67</v>
      </c>
      <c r="F319" s="1" t="s">
        <v>461</v>
      </c>
      <c r="G319" s="1">
        <v>20.5</v>
      </c>
      <c r="H319" s="1" t="s">
        <v>60</v>
      </c>
      <c r="I319" s="1">
        <v>-110.0</v>
      </c>
      <c r="J319" s="1">
        <v>-0.0841695557077447</v>
      </c>
      <c r="K319" s="1" t="s">
        <v>61</v>
      </c>
      <c r="L319" s="1" t="s">
        <v>61</v>
      </c>
      <c r="M319" s="1" t="s">
        <v>62</v>
      </c>
      <c r="N319" s="1">
        <v>-120.0</v>
      </c>
      <c r="O319" s="1">
        <v>0.0149578547197803</v>
      </c>
      <c r="P319" s="1" t="s">
        <v>61</v>
      </c>
      <c r="Q319" s="1" t="s">
        <v>61</v>
      </c>
      <c r="R319" s="1">
        <f t="shared" si="1"/>
        <v>0.01495785472</v>
      </c>
      <c r="S319" s="1">
        <f t="shared" si="2"/>
        <v>-120</v>
      </c>
      <c r="T319" s="1">
        <f t="shared" si="3"/>
        <v>1.833333333</v>
      </c>
      <c r="U319" s="1">
        <f t="shared" si="4"/>
        <v>0</v>
      </c>
      <c r="V319" s="3">
        <f t="shared" si="5"/>
        <v>1</v>
      </c>
      <c r="W319" s="3" t="str">
        <f>IFERROR(__xludf.DUMMYFUNCTION("split(B319,"" "")"),"P.")</f>
        <v>P.</v>
      </c>
      <c r="X319" s="3" t="str">
        <f>IFERROR(__xludf.DUMMYFUNCTION("""COMPUTED_VALUE"""),"Mahomes")</f>
        <v>Mahomes</v>
      </c>
      <c r="Z319" s="3">
        <v>29.0</v>
      </c>
      <c r="AA319" s="3">
        <f t="shared" si="6"/>
        <v>1</v>
      </c>
      <c r="AB319" s="3">
        <f t="shared" si="7"/>
        <v>0</v>
      </c>
      <c r="AC319" s="3">
        <f t="shared" si="8"/>
        <v>0.8333333333</v>
      </c>
      <c r="AD319" s="3">
        <f t="shared" si="9"/>
        <v>-1</v>
      </c>
    </row>
    <row r="320">
      <c r="A320" s="1" t="s">
        <v>11</v>
      </c>
      <c r="B320" s="1" t="s">
        <v>237</v>
      </c>
      <c r="C320" s="1" t="s">
        <v>18</v>
      </c>
      <c r="D320" s="1" t="s">
        <v>76</v>
      </c>
      <c r="E320" s="1" t="s">
        <v>67</v>
      </c>
      <c r="F320" s="1" t="s">
        <v>461</v>
      </c>
      <c r="G320" s="1">
        <v>15.5</v>
      </c>
      <c r="H320" s="1" t="s">
        <v>60</v>
      </c>
      <c r="I320" s="1">
        <v>-111.0</v>
      </c>
      <c r="J320" s="1">
        <v>-0.0632141184536629</v>
      </c>
      <c r="K320" s="1" t="s">
        <v>61</v>
      </c>
      <c r="L320" s="1" t="s">
        <v>61</v>
      </c>
      <c r="M320" s="1" t="s">
        <v>62</v>
      </c>
      <c r="N320" s="1">
        <v>-114.0</v>
      </c>
      <c r="O320" s="1">
        <v>0.00446821520020612</v>
      </c>
      <c r="P320" s="1" t="s">
        <v>61</v>
      </c>
      <c r="Q320" s="1" t="s">
        <v>61</v>
      </c>
      <c r="R320" s="1">
        <f t="shared" si="1"/>
        <v>0.0044682152</v>
      </c>
      <c r="S320" s="1">
        <f t="shared" si="2"/>
        <v>-114</v>
      </c>
      <c r="T320" s="1">
        <f t="shared" si="3"/>
        <v>1.877192982</v>
      </c>
      <c r="U320" s="1">
        <f t="shared" si="4"/>
        <v>0</v>
      </c>
      <c r="V320" s="3">
        <f t="shared" si="5"/>
        <v>1</v>
      </c>
      <c r="W320" s="3" t="str">
        <f>IFERROR(__xludf.DUMMYFUNCTION("split(B320,"" "")"),"J.")</f>
        <v>J.</v>
      </c>
      <c r="X320" s="3" t="str">
        <f>IFERROR(__xludf.DUMMYFUNCTION("""COMPUTED_VALUE"""),"Watson")</f>
        <v>Watson</v>
      </c>
      <c r="Z320" s="3">
        <v>22.0</v>
      </c>
      <c r="AA320" s="3">
        <f t="shared" si="6"/>
        <v>1</v>
      </c>
      <c r="AB320" s="3">
        <f t="shared" si="7"/>
        <v>0</v>
      </c>
      <c r="AC320" s="3">
        <f t="shared" si="8"/>
        <v>0.8771929825</v>
      </c>
      <c r="AD320" s="3">
        <f t="shared" si="9"/>
        <v>-1</v>
      </c>
    </row>
    <row r="321">
      <c r="A321" s="1" t="s">
        <v>12</v>
      </c>
      <c r="B321" s="1" t="s">
        <v>368</v>
      </c>
      <c r="C321" s="1" t="s">
        <v>19</v>
      </c>
      <c r="D321" s="1" t="s">
        <v>196</v>
      </c>
      <c r="E321" s="1" t="s">
        <v>105</v>
      </c>
      <c r="F321" s="1" t="s">
        <v>450</v>
      </c>
      <c r="G321" s="1">
        <v>2.5</v>
      </c>
      <c r="H321" s="1" t="s">
        <v>60</v>
      </c>
      <c r="I321" s="1">
        <v>-143.0</v>
      </c>
      <c r="J321" s="1">
        <v>-0.246834733415637</v>
      </c>
      <c r="K321" s="1" t="s">
        <v>61</v>
      </c>
      <c r="L321" s="1" t="s">
        <v>61</v>
      </c>
      <c r="M321" s="1" t="s">
        <v>62</v>
      </c>
      <c r="N321" s="1">
        <v>110.0</v>
      </c>
      <c r="O321" s="1">
        <v>0.182160191523809</v>
      </c>
      <c r="P321" s="1" t="s">
        <v>61</v>
      </c>
      <c r="Q321" s="1" t="s">
        <v>61</v>
      </c>
      <c r="R321" s="1">
        <f t="shared" si="1"/>
        <v>0.1821601915</v>
      </c>
      <c r="S321" s="1">
        <f t="shared" si="2"/>
        <v>110</v>
      </c>
      <c r="T321" s="1">
        <f t="shared" si="3"/>
        <v>2.1</v>
      </c>
      <c r="U321" s="1">
        <f t="shared" si="4"/>
        <v>0</v>
      </c>
      <c r="V321" s="3">
        <f t="shared" si="5"/>
        <v>3</v>
      </c>
      <c r="W321" s="3" t="str">
        <f>IFERROR(__xludf.DUMMYFUNCTION("split(B321,"" "")"),"K.")</f>
        <v>K.</v>
      </c>
      <c r="X321" s="3" t="str">
        <f>IFERROR(__xludf.DUMMYFUNCTION("""COMPUTED_VALUE"""),"Williams")</f>
        <v>Williams</v>
      </c>
      <c r="Z321" s="3">
        <v>4.0</v>
      </c>
      <c r="AA321" s="3">
        <f t="shared" si="6"/>
        <v>1</v>
      </c>
      <c r="AB321" s="3">
        <f t="shared" si="7"/>
        <v>0</v>
      </c>
      <c r="AC321" s="3">
        <f t="shared" si="8"/>
        <v>3.3</v>
      </c>
      <c r="AD321" s="3">
        <f t="shared" si="9"/>
        <v>-3</v>
      </c>
    </row>
    <row r="322">
      <c r="A322" s="1" t="s">
        <v>12</v>
      </c>
      <c r="B322" s="1" t="s">
        <v>469</v>
      </c>
      <c r="C322" s="1" t="s">
        <v>18</v>
      </c>
      <c r="D322" s="1" t="s">
        <v>196</v>
      </c>
      <c r="E322" s="1" t="s">
        <v>105</v>
      </c>
      <c r="F322" s="1" t="s">
        <v>450</v>
      </c>
      <c r="G322" s="1">
        <v>7.5</v>
      </c>
      <c r="H322" s="1" t="s">
        <v>60</v>
      </c>
      <c r="I322" s="1">
        <v>-162.0</v>
      </c>
      <c r="J322" s="1">
        <v>0.0561793893129771</v>
      </c>
      <c r="K322" s="1" t="s">
        <v>61</v>
      </c>
      <c r="L322" s="1" t="s">
        <v>61</v>
      </c>
      <c r="M322" s="1" t="s">
        <v>62</v>
      </c>
      <c r="N322" s="1">
        <v>123.0</v>
      </c>
      <c r="O322" s="1">
        <v>-0.122930493273542</v>
      </c>
      <c r="P322" s="1" t="s">
        <v>61</v>
      </c>
      <c r="Q322" s="1" t="s">
        <v>61</v>
      </c>
      <c r="R322" s="1">
        <f t="shared" si="1"/>
        <v>0.05617938931</v>
      </c>
      <c r="S322" s="1">
        <f t="shared" si="2"/>
        <v>-162</v>
      </c>
      <c r="T322" s="1">
        <f t="shared" si="3"/>
        <v>1.617283951</v>
      </c>
      <c r="U322" s="1">
        <f t="shared" si="4"/>
        <v>1</v>
      </c>
      <c r="V322" s="3">
        <f t="shared" si="5"/>
        <v>2</v>
      </c>
      <c r="W322" s="3" t="str">
        <f>IFERROR(__xludf.DUMMYFUNCTION("split(B322,"" "")"),"C.")</f>
        <v>C.</v>
      </c>
      <c r="X322" s="3" t="str">
        <f>IFERROR(__xludf.DUMMYFUNCTION("""COMPUTED_VALUE"""),"Kupp")</f>
        <v>Kupp</v>
      </c>
      <c r="Z322" s="3">
        <v>4.0</v>
      </c>
      <c r="AA322" s="3">
        <f t="shared" si="6"/>
        <v>0</v>
      </c>
      <c r="AB322" s="3">
        <f t="shared" si="7"/>
        <v>0</v>
      </c>
      <c r="AC322" s="3">
        <f t="shared" si="8"/>
        <v>1.234567901</v>
      </c>
      <c r="AD322" s="3">
        <f t="shared" si="9"/>
        <v>-2</v>
      </c>
    </row>
    <row r="323">
      <c r="A323" s="1" t="s">
        <v>8</v>
      </c>
      <c r="B323" s="1" t="s">
        <v>368</v>
      </c>
      <c r="C323" s="1" t="s">
        <v>19</v>
      </c>
      <c r="D323" s="1" t="s">
        <v>196</v>
      </c>
      <c r="E323" s="1" t="s">
        <v>105</v>
      </c>
      <c r="F323" s="1" t="s">
        <v>450</v>
      </c>
      <c r="G323" s="1">
        <v>17.5</v>
      </c>
      <c r="H323" s="1" t="s">
        <v>60</v>
      </c>
      <c r="I323" s="1">
        <v>100.0</v>
      </c>
      <c r="J323" s="1">
        <v>0.02710480095</v>
      </c>
      <c r="K323" s="1" t="s">
        <v>61</v>
      </c>
      <c r="L323" s="1" t="s">
        <v>61</v>
      </c>
      <c r="M323" s="1" t="s">
        <v>62</v>
      </c>
      <c r="N323" s="1">
        <v>-130.0</v>
      </c>
      <c r="O323" s="1">
        <v>-0.0923228184652174</v>
      </c>
      <c r="P323" s="1" t="s">
        <v>61</v>
      </c>
      <c r="Q323" s="1" t="s">
        <v>61</v>
      </c>
      <c r="R323" s="1">
        <f t="shared" si="1"/>
        <v>0.02710480095</v>
      </c>
      <c r="S323" s="1">
        <f t="shared" si="2"/>
        <v>100</v>
      </c>
      <c r="T323" s="1">
        <f t="shared" si="3"/>
        <v>2</v>
      </c>
      <c r="U323" s="1">
        <f t="shared" si="4"/>
        <v>1</v>
      </c>
      <c r="V323" s="3">
        <f t="shared" si="5"/>
        <v>1</v>
      </c>
      <c r="W323" s="3" t="str">
        <f>IFERROR(__xludf.DUMMYFUNCTION("split(B323,"" "")"),"K.")</f>
        <v>K.</v>
      </c>
      <c r="X323" s="3" t="str">
        <f>IFERROR(__xludf.DUMMYFUNCTION("""COMPUTED_VALUE"""),"Williams")</f>
        <v>Williams</v>
      </c>
      <c r="Z323" s="3">
        <v>12.0</v>
      </c>
      <c r="AA323" s="3">
        <f t="shared" si="6"/>
        <v>0</v>
      </c>
      <c r="AB323" s="3">
        <f t="shared" si="7"/>
        <v>0</v>
      </c>
      <c r="AC323" s="3">
        <f t="shared" si="8"/>
        <v>1</v>
      </c>
      <c r="AD323" s="3">
        <f t="shared" si="9"/>
        <v>-1</v>
      </c>
    </row>
    <row r="324">
      <c r="A324" s="1" t="s">
        <v>15</v>
      </c>
      <c r="B324" s="1" t="s">
        <v>247</v>
      </c>
      <c r="C324" s="1" t="s">
        <v>21</v>
      </c>
      <c r="D324" s="1" t="s">
        <v>196</v>
      </c>
      <c r="E324" s="1" t="s">
        <v>105</v>
      </c>
      <c r="F324" s="1" t="s">
        <v>450</v>
      </c>
      <c r="G324" s="1">
        <v>24.5</v>
      </c>
      <c r="H324" s="1" t="s">
        <v>60</v>
      </c>
      <c r="I324" s="1">
        <v>101.0</v>
      </c>
      <c r="J324" s="1">
        <v>0.00363731343283574</v>
      </c>
      <c r="K324" s="1" t="s">
        <v>61</v>
      </c>
      <c r="L324" s="1" t="s">
        <v>61</v>
      </c>
      <c r="M324" s="1" t="s">
        <v>62</v>
      </c>
      <c r="N324" s="1">
        <v>-133.0</v>
      </c>
      <c r="O324" s="1">
        <v>-0.0719583690987125</v>
      </c>
      <c r="P324" s="1" t="s">
        <v>61</v>
      </c>
      <c r="Q324" s="1" t="s">
        <v>61</v>
      </c>
      <c r="R324" s="1">
        <f t="shared" si="1"/>
        <v>0.003637313433</v>
      </c>
      <c r="S324" s="1">
        <f t="shared" si="2"/>
        <v>101</v>
      </c>
      <c r="T324" s="1">
        <f t="shared" si="3"/>
        <v>2.01</v>
      </c>
      <c r="U324" s="1">
        <f t="shared" si="4"/>
        <v>1</v>
      </c>
      <c r="V324" s="3">
        <f t="shared" si="5"/>
        <v>1</v>
      </c>
      <c r="W324" s="3" t="str">
        <f>IFERROR(__xludf.DUMMYFUNCTION("split(B324,"" "")"),"M.")</f>
        <v>M.</v>
      </c>
      <c r="X324" s="3" t="str">
        <f>IFERROR(__xludf.DUMMYFUNCTION("""COMPUTED_VALUE"""),"Stafford")</f>
        <v>Stafford</v>
      </c>
      <c r="Z324" s="3">
        <v>19.0</v>
      </c>
      <c r="AA324" s="3">
        <f t="shared" si="6"/>
        <v>0</v>
      </c>
      <c r="AB324" s="3">
        <f t="shared" si="7"/>
        <v>0</v>
      </c>
      <c r="AC324" s="3">
        <f t="shared" si="8"/>
        <v>1.01</v>
      </c>
      <c r="AD324" s="3">
        <f t="shared" si="9"/>
        <v>-1</v>
      </c>
    </row>
    <row r="325">
      <c r="A325" s="1" t="s">
        <v>8</v>
      </c>
      <c r="B325" s="1" t="s">
        <v>405</v>
      </c>
      <c r="C325" s="1" t="s">
        <v>21</v>
      </c>
      <c r="D325" s="1" t="s">
        <v>135</v>
      </c>
      <c r="E325" s="1" t="s">
        <v>57</v>
      </c>
      <c r="F325" s="1" t="s">
        <v>455</v>
      </c>
      <c r="G325" s="1">
        <v>3.5</v>
      </c>
      <c r="H325" s="1" t="s">
        <v>60</v>
      </c>
      <c r="I325" s="1">
        <v>-120.0</v>
      </c>
      <c r="J325" s="1">
        <v>-0.216449080237127</v>
      </c>
      <c r="K325" s="1" t="s">
        <v>61</v>
      </c>
      <c r="L325" s="1" t="s">
        <v>61</v>
      </c>
      <c r="M325" s="1" t="s">
        <v>62</v>
      </c>
      <c r="N325" s="1">
        <v>-110.0</v>
      </c>
      <c r="O325" s="1">
        <v>0.147184178178023</v>
      </c>
      <c r="P325" s="1" t="s">
        <v>61</v>
      </c>
      <c r="Q325" s="1" t="s">
        <v>61</v>
      </c>
      <c r="R325" s="1">
        <f t="shared" si="1"/>
        <v>0.1471841782</v>
      </c>
      <c r="S325" s="1">
        <f t="shared" si="2"/>
        <v>-110</v>
      </c>
      <c r="T325" s="1">
        <f t="shared" si="3"/>
        <v>1.909090909</v>
      </c>
      <c r="U325" s="1">
        <f t="shared" si="4"/>
        <v>0</v>
      </c>
      <c r="V325" s="3">
        <f t="shared" si="5"/>
        <v>3</v>
      </c>
      <c r="W325" s="3" t="str">
        <f>IFERROR(__xludf.DUMMYFUNCTION("split(B325,"" "")"),"J.")</f>
        <v>J.</v>
      </c>
      <c r="X325" s="3" t="str">
        <f>IFERROR(__xludf.DUMMYFUNCTION("""COMPUTED_VALUE"""),"Herbert")</f>
        <v>Herbert</v>
      </c>
      <c r="Z325" s="3">
        <v>6.0</v>
      </c>
      <c r="AA325" s="3">
        <f t="shared" si="6"/>
        <v>1</v>
      </c>
      <c r="AB325" s="3">
        <f t="shared" si="7"/>
        <v>0</v>
      </c>
      <c r="AC325" s="3">
        <f t="shared" si="8"/>
        <v>2.727272727</v>
      </c>
      <c r="AD325" s="3">
        <f t="shared" si="9"/>
        <v>-3</v>
      </c>
    </row>
    <row r="326">
      <c r="A326" s="1" t="s">
        <v>10</v>
      </c>
      <c r="B326" s="1" t="s">
        <v>485</v>
      </c>
      <c r="C326" s="1" t="s">
        <v>19</v>
      </c>
      <c r="D326" s="1" t="s">
        <v>135</v>
      </c>
      <c r="E326" s="1" t="s">
        <v>57</v>
      </c>
      <c r="F326" s="1" t="s">
        <v>455</v>
      </c>
      <c r="G326" s="1">
        <v>51.5</v>
      </c>
      <c r="H326" s="1" t="s">
        <v>60</v>
      </c>
      <c r="I326" s="1">
        <v>-120.0</v>
      </c>
      <c r="J326" s="1">
        <v>-0.190952312696549</v>
      </c>
      <c r="K326" s="1" t="s">
        <v>61</v>
      </c>
      <c r="L326" s="1" t="s">
        <v>61</v>
      </c>
      <c r="M326" s="1" t="s">
        <v>62</v>
      </c>
      <c r="N326" s="1">
        <v>-110.0</v>
      </c>
      <c r="O326" s="1">
        <v>0.121672425747452</v>
      </c>
      <c r="P326" s="1" t="s">
        <v>61</v>
      </c>
      <c r="Q326" s="1" t="s">
        <v>61</v>
      </c>
      <c r="R326" s="1">
        <f t="shared" si="1"/>
        <v>0.1216724257</v>
      </c>
      <c r="S326" s="1">
        <f t="shared" si="2"/>
        <v>-110</v>
      </c>
      <c r="T326" s="1">
        <f t="shared" si="3"/>
        <v>1.909090909</v>
      </c>
      <c r="U326" s="1">
        <f t="shared" si="4"/>
        <v>0</v>
      </c>
      <c r="V326" s="3">
        <f t="shared" si="5"/>
        <v>3</v>
      </c>
      <c r="W326" s="3" t="str">
        <f>IFERROR(__xludf.DUMMYFUNCTION("split(B326,"" "")"),"J.")</f>
        <v>J.</v>
      </c>
      <c r="X326" s="3" t="str">
        <f>IFERROR(__xludf.DUMMYFUNCTION("""COMPUTED_VALUE"""),"Dobbins")</f>
        <v>Dobbins</v>
      </c>
      <c r="Z326" s="3">
        <v>131.0</v>
      </c>
      <c r="AA326" s="3">
        <f t="shared" si="6"/>
        <v>1</v>
      </c>
      <c r="AB326" s="3">
        <f t="shared" si="7"/>
        <v>0</v>
      </c>
      <c r="AC326" s="3">
        <f t="shared" si="8"/>
        <v>2.727272727</v>
      </c>
      <c r="AD326" s="3">
        <f t="shared" si="9"/>
        <v>-3</v>
      </c>
    </row>
    <row r="327">
      <c r="A327" s="1" t="s">
        <v>11</v>
      </c>
      <c r="B327" s="1" t="s">
        <v>439</v>
      </c>
      <c r="C327" s="1" t="s">
        <v>19</v>
      </c>
      <c r="D327" s="1" t="s">
        <v>135</v>
      </c>
      <c r="E327" s="1" t="s">
        <v>57</v>
      </c>
      <c r="F327" s="1" t="s">
        <v>455</v>
      </c>
      <c r="G327" s="1">
        <v>3.5</v>
      </c>
      <c r="H327" s="1" t="s">
        <v>60</v>
      </c>
      <c r="I327" s="1">
        <v>-121.0</v>
      </c>
      <c r="J327" s="1">
        <v>0.108571845739676</v>
      </c>
      <c r="K327" s="1" t="s">
        <v>61</v>
      </c>
      <c r="L327" s="1" t="s">
        <v>61</v>
      </c>
      <c r="M327" s="1" t="s">
        <v>62</v>
      </c>
      <c r="N327" s="1">
        <v>-106.0</v>
      </c>
      <c r="O327" s="1">
        <v>-0.170643954286293</v>
      </c>
      <c r="P327" s="1" t="s">
        <v>61</v>
      </c>
      <c r="Q327" s="1" t="s">
        <v>61</v>
      </c>
      <c r="R327" s="1">
        <f t="shared" si="1"/>
        <v>0.1085718457</v>
      </c>
      <c r="S327" s="1">
        <f t="shared" si="2"/>
        <v>-121</v>
      </c>
      <c r="T327" s="1">
        <f t="shared" si="3"/>
        <v>1.826446281</v>
      </c>
      <c r="U327" s="1">
        <f t="shared" si="4"/>
        <v>1</v>
      </c>
      <c r="V327" s="3">
        <f t="shared" si="5"/>
        <v>3</v>
      </c>
      <c r="W327" s="3" t="str">
        <f>IFERROR(__xludf.DUMMYFUNCTION("split(B327,"" "")"),"G.")</f>
        <v>G.</v>
      </c>
      <c r="X327" s="3" t="str">
        <f>IFERROR(__xludf.DUMMYFUNCTION("""COMPUTED_VALUE"""),"Edwards")</f>
        <v>Edwards</v>
      </c>
      <c r="Z327" s="3">
        <v>0.0</v>
      </c>
      <c r="AA327" s="3">
        <f t="shared" si="6"/>
        <v>0</v>
      </c>
      <c r="AB327" s="3">
        <f t="shared" si="7"/>
        <v>0</v>
      </c>
      <c r="AC327" s="3">
        <f t="shared" si="8"/>
        <v>2.479338843</v>
      </c>
      <c r="AD327" s="3">
        <f t="shared" si="9"/>
        <v>-3</v>
      </c>
    </row>
    <row r="328">
      <c r="A328" s="1" t="s">
        <v>11</v>
      </c>
      <c r="B328" s="1" t="s">
        <v>506</v>
      </c>
      <c r="C328" s="1" t="s">
        <v>18</v>
      </c>
      <c r="D328" s="1" t="s">
        <v>135</v>
      </c>
      <c r="E328" s="1" t="s">
        <v>57</v>
      </c>
      <c r="F328" s="1" t="s">
        <v>455</v>
      </c>
      <c r="G328" s="1">
        <v>34.5</v>
      </c>
      <c r="H328" s="1" t="s">
        <v>60</v>
      </c>
      <c r="I328" s="1">
        <v>-115.0</v>
      </c>
      <c r="J328" s="1">
        <v>-0.147480928861116</v>
      </c>
      <c r="K328" s="1" t="s">
        <v>61</v>
      </c>
      <c r="L328" s="1" t="s">
        <v>61</v>
      </c>
      <c r="M328" s="1" t="s">
        <v>62</v>
      </c>
      <c r="N328" s="1">
        <v>-114.0</v>
      </c>
      <c r="O328" s="1">
        <v>0.0799290589059329</v>
      </c>
      <c r="P328" s="1" t="s">
        <v>61</v>
      </c>
      <c r="Q328" s="1" t="s">
        <v>61</v>
      </c>
      <c r="R328" s="1">
        <f t="shared" si="1"/>
        <v>0.07992905891</v>
      </c>
      <c r="S328" s="1">
        <f t="shared" si="2"/>
        <v>-114</v>
      </c>
      <c r="T328" s="1">
        <f t="shared" si="3"/>
        <v>1.877192982</v>
      </c>
      <c r="U328" s="1">
        <f t="shared" si="4"/>
        <v>0</v>
      </c>
      <c r="V328" s="3">
        <f t="shared" si="5"/>
        <v>2</v>
      </c>
      <c r="W328" s="3" t="str">
        <f>IFERROR(__xludf.DUMMYFUNCTION("split(B328,"" "")"),"Q.")</f>
        <v>Q.</v>
      </c>
      <c r="X328" s="3" t="str">
        <f>IFERROR(__xludf.DUMMYFUNCTION("""COMPUTED_VALUE"""),"Johnston")</f>
        <v>Johnston</v>
      </c>
      <c r="Z328" s="3">
        <v>51.0</v>
      </c>
      <c r="AA328" s="3">
        <f t="shared" si="6"/>
        <v>1</v>
      </c>
      <c r="AB328" s="3">
        <f t="shared" si="7"/>
        <v>0</v>
      </c>
      <c r="AC328" s="3">
        <f t="shared" si="8"/>
        <v>1.754385965</v>
      </c>
      <c r="AD328" s="3">
        <f t="shared" si="9"/>
        <v>-2</v>
      </c>
    </row>
    <row r="329">
      <c r="A329" s="1" t="s">
        <v>9</v>
      </c>
      <c r="B329" s="1" t="s">
        <v>485</v>
      </c>
      <c r="C329" s="1" t="s">
        <v>19</v>
      </c>
      <c r="D329" s="1" t="s">
        <v>135</v>
      </c>
      <c r="E329" s="1" t="s">
        <v>57</v>
      </c>
      <c r="F329" s="1" t="s">
        <v>455</v>
      </c>
      <c r="G329" s="1">
        <v>66.5</v>
      </c>
      <c r="H329" s="1" t="s">
        <v>60</v>
      </c>
      <c r="I329" s="1">
        <v>-116.0</v>
      </c>
      <c r="J329" s="1">
        <v>-0.146211554593462</v>
      </c>
      <c r="K329" s="1" t="s">
        <v>61</v>
      </c>
      <c r="L329" s="1" t="s">
        <v>61</v>
      </c>
      <c r="M329" s="1" t="s">
        <v>62</v>
      </c>
      <c r="N329" s="1">
        <v>-116.0</v>
      </c>
      <c r="O329" s="1">
        <v>0.072149403328416</v>
      </c>
      <c r="P329" s="1" t="s">
        <v>61</v>
      </c>
      <c r="Q329" s="1" t="s">
        <v>61</v>
      </c>
      <c r="R329" s="1">
        <f t="shared" si="1"/>
        <v>0.07214940333</v>
      </c>
      <c r="S329" s="1">
        <f t="shared" si="2"/>
        <v>-116</v>
      </c>
      <c r="T329" s="1">
        <f t="shared" si="3"/>
        <v>1.862068966</v>
      </c>
      <c r="U329" s="1">
        <f t="shared" si="4"/>
        <v>0</v>
      </c>
      <c r="V329" s="3">
        <f t="shared" si="5"/>
        <v>2</v>
      </c>
      <c r="W329" s="3" t="str">
        <f>IFERROR(__xludf.DUMMYFUNCTION("split(B329,"" "")"),"J.")</f>
        <v>J.</v>
      </c>
      <c r="X329" s="3" t="str">
        <f>IFERROR(__xludf.DUMMYFUNCTION("""COMPUTED_VALUE"""),"Dobbins")</f>
        <v>Dobbins</v>
      </c>
      <c r="Z329" s="3">
        <v>131.0</v>
      </c>
      <c r="AA329" s="3">
        <f t="shared" si="6"/>
        <v>1</v>
      </c>
      <c r="AB329" s="3">
        <f t="shared" si="7"/>
        <v>0</v>
      </c>
      <c r="AC329" s="3">
        <f t="shared" si="8"/>
        <v>1.724137931</v>
      </c>
      <c r="AD329" s="3">
        <f t="shared" si="9"/>
        <v>-2</v>
      </c>
    </row>
    <row r="330">
      <c r="A330" s="1" t="s">
        <v>10</v>
      </c>
      <c r="B330" s="1" t="s">
        <v>405</v>
      </c>
      <c r="C330" s="1" t="s">
        <v>21</v>
      </c>
      <c r="D330" s="1" t="s">
        <v>135</v>
      </c>
      <c r="E330" s="1" t="s">
        <v>57</v>
      </c>
      <c r="F330" s="1" t="s">
        <v>455</v>
      </c>
      <c r="G330" s="1">
        <v>11.5</v>
      </c>
      <c r="H330" s="1" t="s">
        <v>60</v>
      </c>
      <c r="I330" s="1">
        <v>-117.0</v>
      </c>
      <c r="J330" s="1">
        <v>-0.0850473065970371</v>
      </c>
      <c r="K330" s="1" t="s">
        <v>61</v>
      </c>
      <c r="L330" s="1" t="s">
        <v>61</v>
      </c>
      <c r="M330" s="1" t="s">
        <v>62</v>
      </c>
      <c r="N330" s="1">
        <v>-112.0</v>
      </c>
      <c r="O330" s="1">
        <v>0.017600799034641</v>
      </c>
      <c r="P330" s="1" t="s">
        <v>61</v>
      </c>
      <c r="Q330" s="1" t="s">
        <v>61</v>
      </c>
      <c r="R330" s="1">
        <f t="shared" si="1"/>
        <v>0.01760079903</v>
      </c>
      <c r="S330" s="1">
        <f t="shared" si="2"/>
        <v>-112</v>
      </c>
      <c r="T330" s="1">
        <f t="shared" si="3"/>
        <v>1.892857143</v>
      </c>
      <c r="U330" s="1">
        <f t="shared" si="4"/>
        <v>0</v>
      </c>
      <c r="V330" s="3">
        <f t="shared" si="5"/>
        <v>1</v>
      </c>
      <c r="W330" s="3" t="str">
        <f>IFERROR(__xludf.DUMMYFUNCTION("split(B330,"" "")"),"J.")</f>
        <v>J.</v>
      </c>
      <c r="X330" s="3" t="str">
        <f>IFERROR(__xludf.DUMMYFUNCTION("""COMPUTED_VALUE"""),"Herbert")</f>
        <v>Herbert</v>
      </c>
      <c r="Z330" s="3">
        <v>18.0</v>
      </c>
      <c r="AA330" s="3">
        <f t="shared" si="6"/>
        <v>1</v>
      </c>
      <c r="AB330" s="3">
        <f t="shared" si="7"/>
        <v>0</v>
      </c>
      <c r="AC330" s="3">
        <f t="shared" si="8"/>
        <v>0.8928571429</v>
      </c>
      <c r="AD330" s="3">
        <f t="shared" si="9"/>
        <v>-1</v>
      </c>
    </row>
    <row r="331">
      <c r="A331" s="1" t="s">
        <v>13</v>
      </c>
      <c r="B331" s="1" t="s">
        <v>405</v>
      </c>
      <c r="C331" s="1" t="s">
        <v>21</v>
      </c>
      <c r="D331" s="1" t="s">
        <v>135</v>
      </c>
      <c r="E331" s="1" t="s">
        <v>57</v>
      </c>
      <c r="F331" s="1" t="s">
        <v>455</v>
      </c>
      <c r="G331" s="1">
        <v>208.5</v>
      </c>
      <c r="H331" s="1" t="s">
        <v>60</v>
      </c>
      <c r="I331" s="1">
        <v>-115.0</v>
      </c>
      <c r="J331" s="1">
        <v>0.0131195952558132</v>
      </c>
      <c r="K331" s="1" t="s">
        <v>61</v>
      </c>
      <c r="L331" s="1" t="s">
        <v>61</v>
      </c>
      <c r="M331" s="1" t="s">
        <v>62</v>
      </c>
      <c r="N331" s="1">
        <v>-115.0</v>
      </c>
      <c r="O331" s="1">
        <v>-0.0828875345441856</v>
      </c>
      <c r="P331" s="1" t="s">
        <v>61</v>
      </c>
      <c r="Q331" s="1" t="s">
        <v>61</v>
      </c>
      <c r="R331" s="1">
        <f t="shared" si="1"/>
        <v>0.01311959526</v>
      </c>
      <c r="S331" s="1">
        <f t="shared" si="2"/>
        <v>-115</v>
      </c>
      <c r="T331" s="1">
        <f t="shared" si="3"/>
        <v>1.869565217</v>
      </c>
      <c r="U331" s="1">
        <f t="shared" si="4"/>
        <v>1</v>
      </c>
      <c r="V331" s="3">
        <f t="shared" si="5"/>
        <v>1</v>
      </c>
      <c r="W331" s="3" t="str">
        <f>IFERROR(__xludf.DUMMYFUNCTION("split(B331,"" "")"),"J.")</f>
        <v>J.</v>
      </c>
      <c r="X331" s="3" t="str">
        <f>IFERROR(__xludf.DUMMYFUNCTION("""COMPUTED_VALUE"""),"Herbert")</f>
        <v>Herbert</v>
      </c>
      <c r="Z331" s="3">
        <v>130.0</v>
      </c>
      <c r="AA331" s="3">
        <f t="shared" si="6"/>
        <v>0</v>
      </c>
      <c r="AB331" s="3">
        <f t="shared" si="7"/>
        <v>0</v>
      </c>
      <c r="AC331" s="3">
        <f t="shared" si="8"/>
        <v>0.8695652174</v>
      </c>
      <c r="AD331" s="3">
        <f t="shared" si="9"/>
        <v>-1</v>
      </c>
    </row>
    <row r="332">
      <c r="A332" s="1" t="s">
        <v>14</v>
      </c>
      <c r="B332" s="1" t="s">
        <v>474</v>
      </c>
      <c r="C332" s="1" t="s">
        <v>21</v>
      </c>
      <c r="D332" s="1" t="s">
        <v>134</v>
      </c>
      <c r="E332" s="1" t="s">
        <v>77</v>
      </c>
      <c r="F332" s="1" t="s">
        <v>455</v>
      </c>
      <c r="G332" s="1">
        <v>0.5</v>
      </c>
      <c r="H332" s="1" t="s">
        <v>60</v>
      </c>
      <c r="I332" s="1">
        <v>-252.0</v>
      </c>
      <c r="J332" s="1">
        <v>-0.21943591434659</v>
      </c>
      <c r="K332" s="1" t="s">
        <v>61</v>
      </c>
      <c r="L332" s="1" t="s">
        <v>61</v>
      </c>
      <c r="M332" s="1" t="s">
        <v>62</v>
      </c>
      <c r="N332" s="1">
        <v>186.0</v>
      </c>
      <c r="O332" s="1">
        <v>0.153882663811188</v>
      </c>
      <c r="P332" s="1" t="s">
        <v>61</v>
      </c>
      <c r="Q332" s="1" t="s">
        <v>61</v>
      </c>
      <c r="R332" s="1">
        <f t="shared" si="1"/>
        <v>0.1538826638</v>
      </c>
      <c r="S332" s="1">
        <f t="shared" si="2"/>
        <v>186</v>
      </c>
      <c r="T332" s="1">
        <f t="shared" si="3"/>
        <v>2.86</v>
      </c>
      <c r="U332" s="1">
        <f t="shared" si="4"/>
        <v>0</v>
      </c>
      <c r="V332" s="3">
        <f t="shared" si="5"/>
        <v>3</v>
      </c>
      <c r="W332" s="3" t="str">
        <f>IFERROR(__xludf.DUMMYFUNCTION("split(B332,"" "")"),"G.")</f>
        <v>G.</v>
      </c>
      <c r="X332" s="3" t="str">
        <f>IFERROR(__xludf.DUMMYFUNCTION("""COMPUTED_VALUE"""),"Minshew")</f>
        <v>Minshew</v>
      </c>
      <c r="Z332" s="3">
        <v>1.0</v>
      </c>
      <c r="AA332" s="3">
        <f t="shared" si="6"/>
        <v>1</v>
      </c>
      <c r="AB332" s="3">
        <f t="shared" si="7"/>
        <v>0</v>
      </c>
      <c r="AC332" s="3">
        <f t="shared" si="8"/>
        <v>5.58</v>
      </c>
      <c r="AD332" s="3">
        <f t="shared" si="9"/>
        <v>-3</v>
      </c>
    </row>
    <row r="333">
      <c r="A333" s="1" t="s">
        <v>12</v>
      </c>
      <c r="B333" s="1" t="s">
        <v>494</v>
      </c>
      <c r="C333" s="1" t="s">
        <v>20</v>
      </c>
      <c r="D333" s="1" t="s">
        <v>134</v>
      </c>
      <c r="E333" s="1" t="s">
        <v>77</v>
      </c>
      <c r="F333" s="1" t="s">
        <v>455</v>
      </c>
      <c r="G333" s="1">
        <v>3.5</v>
      </c>
      <c r="H333" s="1" t="s">
        <v>60</v>
      </c>
      <c r="I333" s="1">
        <v>-127.0</v>
      </c>
      <c r="J333" s="1">
        <v>-0.165315418502202</v>
      </c>
      <c r="K333" s="1" t="s">
        <v>61</v>
      </c>
      <c r="L333" s="1" t="s">
        <v>61</v>
      </c>
      <c r="M333" s="1" t="s">
        <v>62</v>
      </c>
      <c r="N333" s="1">
        <v>-103.0</v>
      </c>
      <c r="O333" s="1">
        <v>0.0984615763546797</v>
      </c>
      <c r="P333" s="1" t="s">
        <v>61</v>
      </c>
      <c r="Q333" s="1" t="s">
        <v>61</v>
      </c>
      <c r="R333" s="1">
        <f t="shared" si="1"/>
        <v>0.09846157635</v>
      </c>
      <c r="S333" s="1">
        <f t="shared" si="2"/>
        <v>-103</v>
      </c>
      <c r="T333" s="1">
        <f t="shared" si="3"/>
        <v>1.970873786</v>
      </c>
      <c r="U333" s="1">
        <f t="shared" si="4"/>
        <v>0</v>
      </c>
      <c r="V333" s="3">
        <f t="shared" si="5"/>
        <v>2</v>
      </c>
      <c r="W333" s="3" t="str">
        <f>IFERROR(__xludf.DUMMYFUNCTION("split(B333,"" "")"),"B.")</f>
        <v>B.</v>
      </c>
      <c r="X333" s="3" t="str">
        <f>IFERROR(__xludf.DUMMYFUNCTION("""COMPUTED_VALUE"""),"Bowers")</f>
        <v>Bowers</v>
      </c>
      <c r="Z333" s="3">
        <v>9.0</v>
      </c>
      <c r="AA333" s="3">
        <f t="shared" si="6"/>
        <v>1</v>
      </c>
      <c r="AB333" s="3">
        <f t="shared" si="7"/>
        <v>0</v>
      </c>
      <c r="AC333" s="3">
        <f t="shared" si="8"/>
        <v>1.941747573</v>
      </c>
      <c r="AD333" s="3">
        <f t="shared" si="9"/>
        <v>-2</v>
      </c>
    </row>
    <row r="334">
      <c r="A334" s="1" t="s">
        <v>17</v>
      </c>
      <c r="B334" s="1" t="s">
        <v>474</v>
      </c>
      <c r="C334" s="1" t="s">
        <v>21</v>
      </c>
      <c r="D334" s="1" t="s">
        <v>134</v>
      </c>
      <c r="E334" s="1" t="s">
        <v>77</v>
      </c>
      <c r="F334" s="1" t="s">
        <v>455</v>
      </c>
      <c r="G334" s="1">
        <v>0.5</v>
      </c>
      <c r="H334" s="1" t="s">
        <v>60</v>
      </c>
      <c r="I334" s="1">
        <v>-146.0</v>
      </c>
      <c r="J334" s="1">
        <v>-0.157936585365853</v>
      </c>
      <c r="K334" s="1" t="s">
        <v>61</v>
      </c>
      <c r="L334" s="1" t="s">
        <v>61</v>
      </c>
      <c r="M334" s="1" t="s">
        <v>62</v>
      </c>
      <c r="N334" s="1">
        <v>112.0</v>
      </c>
      <c r="O334" s="1">
        <v>0.0927490566037736</v>
      </c>
      <c r="P334" s="1" t="s">
        <v>61</v>
      </c>
      <c r="Q334" s="1" t="s">
        <v>61</v>
      </c>
      <c r="R334" s="1">
        <f t="shared" si="1"/>
        <v>0.0927490566</v>
      </c>
      <c r="S334" s="1">
        <f t="shared" si="2"/>
        <v>112</v>
      </c>
      <c r="T334" s="1">
        <f t="shared" si="3"/>
        <v>2.12</v>
      </c>
      <c r="U334" s="1">
        <f t="shared" si="4"/>
        <v>0</v>
      </c>
      <c r="V334" s="3">
        <f t="shared" si="5"/>
        <v>2</v>
      </c>
      <c r="W334" s="3" t="str">
        <f>IFERROR(__xludf.DUMMYFUNCTION("split(B334,"" "")"),"G.")</f>
        <v>G.</v>
      </c>
      <c r="X334" s="3" t="str">
        <f>IFERROR(__xludf.DUMMYFUNCTION("""COMPUTED_VALUE"""),"Minshew")</f>
        <v>Minshew</v>
      </c>
      <c r="Z334" s="3">
        <v>1.0</v>
      </c>
      <c r="AA334" s="3">
        <f t="shared" si="6"/>
        <v>1</v>
      </c>
      <c r="AB334" s="3">
        <f t="shared" si="7"/>
        <v>0</v>
      </c>
      <c r="AC334" s="3">
        <f t="shared" si="8"/>
        <v>2.24</v>
      </c>
      <c r="AD334" s="3">
        <f t="shared" si="9"/>
        <v>-2</v>
      </c>
    </row>
    <row r="335">
      <c r="A335" s="1" t="s">
        <v>15</v>
      </c>
      <c r="B335" s="1" t="s">
        <v>474</v>
      </c>
      <c r="C335" s="1" t="s">
        <v>21</v>
      </c>
      <c r="D335" s="1" t="s">
        <v>134</v>
      </c>
      <c r="E335" s="1" t="s">
        <v>77</v>
      </c>
      <c r="F335" s="1" t="s">
        <v>455</v>
      </c>
      <c r="G335" s="1">
        <v>19.5</v>
      </c>
      <c r="H335" s="1" t="s">
        <v>60</v>
      </c>
      <c r="I335" s="1">
        <v>-109.0</v>
      </c>
      <c r="J335" s="1">
        <v>-0.107125709999999</v>
      </c>
      <c r="K335" s="1" t="s">
        <v>61</v>
      </c>
      <c r="L335" s="1" t="s">
        <v>61</v>
      </c>
      <c r="M335" s="1" t="s">
        <v>62</v>
      </c>
      <c r="N335" s="1">
        <v>-121.0</v>
      </c>
      <c r="O335" s="1">
        <v>0.0380969493298641</v>
      </c>
      <c r="P335" s="1" t="s">
        <v>61</v>
      </c>
      <c r="Q335" s="1" t="s">
        <v>61</v>
      </c>
      <c r="R335" s="1">
        <f t="shared" si="1"/>
        <v>0.03809694933</v>
      </c>
      <c r="S335" s="1">
        <f t="shared" si="2"/>
        <v>-121</v>
      </c>
      <c r="T335" s="1">
        <f t="shared" si="3"/>
        <v>1.826446281</v>
      </c>
      <c r="U335" s="1">
        <f t="shared" si="4"/>
        <v>0</v>
      </c>
      <c r="V335" s="3">
        <f t="shared" si="5"/>
        <v>1</v>
      </c>
      <c r="W335" s="3" t="str">
        <f>IFERROR(__xludf.DUMMYFUNCTION("split(B335,"" "")"),"G.")</f>
        <v>G.</v>
      </c>
      <c r="X335" s="3" t="str">
        <f>IFERROR(__xludf.DUMMYFUNCTION("""COMPUTED_VALUE"""),"Minshew")</f>
        <v>Minshew</v>
      </c>
      <c r="Z335" s="3">
        <v>30.0</v>
      </c>
      <c r="AA335" s="3">
        <f t="shared" si="6"/>
        <v>1</v>
      </c>
      <c r="AB335" s="3">
        <f t="shared" si="7"/>
        <v>0</v>
      </c>
      <c r="AC335" s="3">
        <f t="shared" si="8"/>
        <v>0.826446281</v>
      </c>
      <c r="AD335" s="3">
        <f t="shared" si="9"/>
        <v>-1</v>
      </c>
    </row>
    <row r="336">
      <c r="A336" s="1" t="s">
        <v>12</v>
      </c>
      <c r="B336" s="1" t="s">
        <v>133</v>
      </c>
      <c r="C336" s="1" t="s">
        <v>19</v>
      </c>
      <c r="D336" s="1" t="s">
        <v>134</v>
      </c>
      <c r="E336" s="1" t="s">
        <v>77</v>
      </c>
      <c r="F336" s="1" t="s">
        <v>455</v>
      </c>
      <c r="G336" s="1">
        <v>1.5</v>
      </c>
      <c r="H336" s="1" t="s">
        <v>60</v>
      </c>
      <c r="I336" s="1">
        <v>128.0</v>
      </c>
      <c r="J336" s="1">
        <v>-0.0989445506863158</v>
      </c>
      <c r="K336" s="1" t="s">
        <v>61</v>
      </c>
      <c r="L336" s="1" t="s">
        <v>61</v>
      </c>
      <c r="M336" s="1" t="s">
        <v>62</v>
      </c>
      <c r="N336" s="1">
        <v>-170.0</v>
      </c>
      <c r="O336" s="1">
        <v>0.0307242703877778</v>
      </c>
      <c r="P336" s="1" t="s">
        <v>61</v>
      </c>
      <c r="Q336" s="1" t="s">
        <v>61</v>
      </c>
      <c r="R336" s="1">
        <f t="shared" si="1"/>
        <v>0.03072427039</v>
      </c>
      <c r="S336" s="1">
        <f t="shared" si="2"/>
        <v>-170</v>
      </c>
      <c r="T336" s="1">
        <f t="shared" si="3"/>
        <v>1.588235294</v>
      </c>
      <c r="U336" s="1">
        <f t="shared" si="4"/>
        <v>0</v>
      </c>
      <c r="V336" s="3">
        <f t="shared" si="5"/>
        <v>1</v>
      </c>
      <c r="W336" s="3" t="str">
        <f>IFERROR(__xludf.DUMMYFUNCTION("split(B336,"" "")"),"Z.")</f>
        <v>Z.</v>
      </c>
      <c r="X336" s="3" t="str">
        <f>IFERROR(__xludf.DUMMYFUNCTION("""COMPUTED_VALUE"""),"White")</f>
        <v>White</v>
      </c>
      <c r="Z336" s="3">
        <v>3.0</v>
      </c>
      <c r="AA336" s="3">
        <f t="shared" si="6"/>
        <v>1</v>
      </c>
      <c r="AB336" s="3">
        <f t="shared" si="7"/>
        <v>0</v>
      </c>
      <c r="AC336" s="3">
        <f t="shared" si="8"/>
        <v>0.5882352941</v>
      </c>
      <c r="AD336" s="3">
        <f t="shared" si="9"/>
        <v>-1</v>
      </c>
    </row>
    <row r="337">
      <c r="A337" s="1" t="s">
        <v>12</v>
      </c>
      <c r="B337" s="1" t="s">
        <v>278</v>
      </c>
      <c r="C337" s="1" t="s">
        <v>18</v>
      </c>
      <c r="D337" s="1" t="s">
        <v>134</v>
      </c>
      <c r="E337" s="1" t="s">
        <v>77</v>
      </c>
      <c r="F337" s="1" t="s">
        <v>455</v>
      </c>
      <c r="G337" s="1">
        <v>3.5</v>
      </c>
      <c r="H337" s="1" t="s">
        <v>60</v>
      </c>
      <c r="I337" s="1">
        <v>115.0</v>
      </c>
      <c r="J337" s="1">
        <v>-0.0926697674418604</v>
      </c>
      <c r="K337" s="1" t="s">
        <v>61</v>
      </c>
      <c r="L337" s="1" t="s">
        <v>61</v>
      </c>
      <c r="M337" s="1" t="s">
        <v>62</v>
      </c>
      <c r="N337" s="1">
        <v>-150.0</v>
      </c>
      <c r="O337" s="1">
        <v>0.0275599999999998</v>
      </c>
      <c r="P337" s="1" t="s">
        <v>61</v>
      </c>
      <c r="Q337" s="1" t="s">
        <v>61</v>
      </c>
      <c r="R337" s="1">
        <f t="shared" si="1"/>
        <v>0.02756</v>
      </c>
      <c r="S337" s="1">
        <f t="shared" si="2"/>
        <v>-150</v>
      </c>
      <c r="T337" s="1">
        <f t="shared" si="3"/>
        <v>1.666666667</v>
      </c>
      <c r="U337" s="1">
        <f t="shared" si="4"/>
        <v>0</v>
      </c>
      <c r="V337" s="3">
        <f t="shared" si="5"/>
        <v>1</v>
      </c>
      <c r="W337" s="3" t="str">
        <f>IFERROR(__xludf.DUMMYFUNCTION("split(B337,"" "")"),"J.")</f>
        <v>J.</v>
      </c>
      <c r="X337" s="3" t="str">
        <f>IFERROR(__xludf.DUMMYFUNCTION("""COMPUTED_VALUE"""),"Meyers")</f>
        <v>Meyers</v>
      </c>
      <c r="Z337" s="3">
        <v>4.0</v>
      </c>
      <c r="AA337" s="3">
        <f t="shared" si="6"/>
        <v>1</v>
      </c>
      <c r="AB337" s="3">
        <f t="shared" si="7"/>
        <v>0</v>
      </c>
      <c r="AC337" s="3">
        <f t="shared" si="8"/>
        <v>0.6666666667</v>
      </c>
      <c r="AD337" s="3">
        <f t="shared" si="9"/>
        <v>-1</v>
      </c>
    </row>
    <row r="338">
      <c r="A338" s="1" t="s">
        <v>11</v>
      </c>
      <c r="B338" s="1" t="s">
        <v>494</v>
      </c>
      <c r="C338" s="1" t="s">
        <v>20</v>
      </c>
      <c r="D338" s="1" t="s">
        <v>134</v>
      </c>
      <c r="E338" s="1" t="s">
        <v>77</v>
      </c>
      <c r="F338" s="1" t="s">
        <v>455</v>
      </c>
      <c r="G338" s="1">
        <v>34.5</v>
      </c>
      <c r="H338" s="1" t="s">
        <v>60</v>
      </c>
      <c r="I338" s="1">
        <v>-113.0</v>
      </c>
      <c r="J338" s="1">
        <v>-0.0760439701969483</v>
      </c>
      <c r="K338" s="1" t="s">
        <v>61</v>
      </c>
      <c r="L338" s="1" t="s">
        <v>61</v>
      </c>
      <c r="M338" s="1" t="s">
        <v>62</v>
      </c>
      <c r="N338" s="1">
        <v>-116.0</v>
      </c>
      <c r="O338" s="1">
        <v>0.0085076014326203</v>
      </c>
      <c r="P338" s="1" t="s">
        <v>61</v>
      </c>
      <c r="Q338" s="1" t="s">
        <v>61</v>
      </c>
      <c r="R338" s="1">
        <f t="shared" si="1"/>
        <v>0.008507601433</v>
      </c>
      <c r="S338" s="1">
        <f t="shared" si="2"/>
        <v>-116</v>
      </c>
      <c r="T338" s="1">
        <f t="shared" si="3"/>
        <v>1.862068966</v>
      </c>
      <c r="U338" s="1">
        <f t="shared" si="4"/>
        <v>0</v>
      </c>
      <c r="V338" s="3">
        <f t="shared" si="5"/>
        <v>1</v>
      </c>
      <c r="W338" s="3" t="str">
        <f>IFERROR(__xludf.DUMMYFUNCTION("split(B338,"" "")"),"B.")</f>
        <v>B.</v>
      </c>
      <c r="X338" s="3" t="str">
        <f>IFERROR(__xludf.DUMMYFUNCTION("""COMPUTED_VALUE"""),"Bowers")</f>
        <v>Bowers</v>
      </c>
      <c r="Z338" s="3">
        <v>98.0</v>
      </c>
      <c r="AA338" s="3">
        <f t="shared" si="6"/>
        <v>1</v>
      </c>
      <c r="AB338" s="3">
        <f t="shared" si="7"/>
        <v>0</v>
      </c>
      <c r="AC338" s="3">
        <f t="shared" si="8"/>
        <v>0.8620689655</v>
      </c>
      <c r="AD338" s="3">
        <f t="shared" si="9"/>
        <v>-1</v>
      </c>
    </row>
    <row r="339">
      <c r="A339" s="1" t="s">
        <v>9</v>
      </c>
      <c r="B339" s="1" t="s">
        <v>133</v>
      </c>
      <c r="C339" s="1" t="s">
        <v>19</v>
      </c>
      <c r="D339" s="1" t="s">
        <v>134</v>
      </c>
      <c r="E339" s="1" t="s">
        <v>77</v>
      </c>
      <c r="F339" s="1" t="s">
        <v>455</v>
      </c>
      <c r="G339" s="1">
        <v>50.5</v>
      </c>
      <c r="H339" s="1" t="s">
        <v>60</v>
      </c>
      <c r="I339" s="1">
        <v>-115.0</v>
      </c>
      <c r="J339" s="1">
        <v>3.94106620980827E-4</v>
      </c>
      <c r="K339" s="1" t="s">
        <v>61</v>
      </c>
      <c r="L339" s="1" t="s">
        <v>61</v>
      </c>
      <c r="M339" s="1" t="s">
        <v>62</v>
      </c>
      <c r="N339" s="1">
        <v>-117.0</v>
      </c>
      <c r="O339" s="1">
        <v>-0.0744288825829849</v>
      </c>
      <c r="P339" s="1" t="s">
        <v>61</v>
      </c>
      <c r="Q339" s="1" t="s">
        <v>61</v>
      </c>
      <c r="R339" s="1">
        <f t="shared" si="1"/>
        <v>0.000394106621</v>
      </c>
      <c r="S339" s="1">
        <f t="shared" si="2"/>
        <v>-115</v>
      </c>
      <c r="T339" s="1">
        <f t="shared" si="3"/>
        <v>1.869565217</v>
      </c>
      <c r="U339" s="1">
        <f t="shared" si="4"/>
        <v>1</v>
      </c>
      <c r="V339" s="3">
        <f t="shared" si="5"/>
        <v>1</v>
      </c>
      <c r="W339" s="3" t="str">
        <f>IFERROR(__xludf.DUMMYFUNCTION("split(B339,"" "")"),"Z.")</f>
        <v>Z.</v>
      </c>
      <c r="X339" s="3" t="str">
        <f>IFERROR(__xludf.DUMMYFUNCTION("""COMPUTED_VALUE"""),"White")</f>
        <v>White</v>
      </c>
      <c r="Z339" s="3">
        <v>38.0</v>
      </c>
      <c r="AA339" s="3">
        <f t="shared" si="6"/>
        <v>0</v>
      </c>
      <c r="AB339" s="3">
        <f t="shared" si="7"/>
        <v>0</v>
      </c>
      <c r="AC339" s="3">
        <f t="shared" si="8"/>
        <v>0.8695652174</v>
      </c>
      <c r="AD339" s="3">
        <f t="shared" si="9"/>
        <v>-1</v>
      </c>
    </row>
    <row r="340">
      <c r="A340" s="1" t="s">
        <v>12</v>
      </c>
      <c r="B340" s="1" t="s">
        <v>220</v>
      </c>
      <c r="C340" s="1" t="s">
        <v>20</v>
      </c>
      <c r="D340" s="1" t="s">
        <v>94</v>
      </c>
      <c r="E340" s="1" t="s">
        <v>104</v>
      </c>
      <c r="F340" s="1" t="s">
        <v>456</v>
      </c>
      <c r="G340" s="1">
        <v>1.5</v>
      </c>
      <c r="H340" s="1" t="s">
        <v>60</v>
      </c>
      <c r="I340" s="1">
        <v>-151.0</v>
      </c>
      <c r="J340" s="1">
        <v>-0.179892161286852</v>
      </c>
      <c r="K340" s="1" t="s">
        <v>61</v>
      </c>
      <c r="L340" s="1" t="s">
        <v>61</v>
      </c>
      <c r="M340" s="1" t="s">
        <v>62</v>
      </c>
      <c r="N340" s="1">
        <v>116.0</v>
      </c>
      <c r="O340" s="1">
        <v>0.115335335569444</v>
      </c>
      <c r="P340" s="1" t="s">
        <v>61</v>
      </c>
      <c r="Q340" s="1" t="s">
        <v>61</v>
      </c>
      <c r="R340" s="1">
        <f t="shared" si="1"/>
        <v>0.1153353356</v>
      </c>
      <c r="S340" s="1">
        <f t="shared" si="2"/>
        <v>116</v>
      </c>
      <c r="T340" s="1">
        <f t="shared" si="3"/>
        <v>2.16</v>
      </c>
      <c r="U340" s="1">
        <f t="shared" si="4"/>
        <v>0</v>
      </c>
      <c r="V340" s="3">
        <f t="shared" si="5"/>
        <v>3</v>
      </c>
      <c r="W340" s="3" t="str">
        <f>IFERROR(__xludf.DUMMYFUNCTION("split(B340,"" "")"),"J.")</f>
        <v>J.</v>
      </c>
      <c r="X340" s="3" t="str">
        <f>IFERROR(__xludf.DUMMYFUNCTION("""COMPUTED_VALUE"""),"Smith")</f>
        <v>Smith</v>
      </c>
      <c r="Z340" s="3">
        <v>6.0</v>
      </c>
      <c r="AA340" s="3">
        <f t="shared" si="6"/>
        <v>1</v>
      </c>
      <c r="AB340" s="3">
        <f t="shared" si="7"/>
        <v>0</v>
      </c>
      <c r="AC340" s="3">
        <f t="shared" si="8"/>
        <v>3.48</v>
      </c>
      <c r="AD340" s="3">
        <f t="shared" si="9"/>
        <v>-3</v>
      </c>
    </row>
    <row r="341">
      <c r="A341" s="1" t="s">
        <v>17</v>
      </c>
      <c r="B341" s="1" t="s">
        <v>316</v>
      </c>
      <c r="C341" s="1" t="s">
        <v>21</v>
      </c>
      <c r="D341" s="1" t="s">
        <v>94</v>
      </c>
      <c r="E341" s="1" t="s">
        <v>104</v>
      </c>
      <c r="F341" s="1" t="s">
        <v>456</v>
      </c>
      <c r="G341" s="1">
        <v>0.5</v>
      </c>
      <c r="H341" s="1" t="s">
        <v>60</v>
      </c>
      <c r="I341" s="1">
        <v>-142.0</v>
      </c>
      <c r="J341" s="1">
        <v>-0.131035537190082</v>
      </c>
      <c r="K341" s="1" t="s">
        <v>61</v>
      </c>
      <c r="L341" s="1" t="s">
        <v>61</v>
      </c>
      <c r="M341" s="1" t="s">
        <v>62</v>
      </c>
      <c r="N341" s="1">
        <v>109.0</v>
      </c>
      <c r="O341" s="1">
        <v>0.0657832535885167</v>
      </c>
      <c r="P341" s="1" t="s">
        <v>61</v>
      </c>
      <c r="Q341" s="1" t="s">
        <v>61</v>
      </c>
      <c r="R341" s="1">
        <f t="shared" si="1"/>
        <v>0.06578325359</v>
      </c>
      <c r="S341" s="1">
        <f t="shared" si="2"/>
        <v>109</v>
      </c>
      <c r="T341" s="1">
        <f t="shared" si="3"/>
        <v>2.09</v>
      </c>
      <c r="U341" s="1">
        <f t="shared" si="4"/>
        <v>0</v>
      </c>
      <c r="V341" s="3">
        <f t="shared" si="5"/>
        <v>2</v>
      </c>
      <c r="W341" s="3" t="str">
        <f>IFERROR(__xludf.DUMMYFUNCTION("split(B341,"" "")"),"T.")</f>
        <v>T.</v>
      </c>
      <c r="X341" s="3" t="str">
        <f>IFERROR(__xludf.DUMMYFUNCTION("""COMPUTED_VALUE"""),"Tagovailoa")</f>
        <v>Tagovailoa</v>
      </c>
      <c r="Z341" s="3">
        <v>3.0</v>
      </c>
      <c r="AA341" s="3">
        <f t="shared" si="6"/>
        <v>1</v>
      </c>
      <c r="AB341" s="3">
        <f t="shared" si="7"/>
        <v>0</v>
      </c>
      <c r="AC341" s="3">
        <f t="shared" si="8"/>
        <v>2.18</v>
      </c>
      <c r="AD341" s="3">
        <f t="shared" si="9"/>
        <v>-2</v>
      </c>
    </row>
    <row r="342">
      <c r="A342" s="1" t="s">
        <v>12</v>
      </c>
      <c r="B342" s="1" t="s">
        <v>441</v>
      </c>
      <c r="C342" s="1" t="s">
        <v>18</v>
      </c>
      <c r="D342" s="1" t="s">
        <v>94</v>
      </c>
      <c r="E342" s="1" t="s">
        <v>104</v>
      </c>
      <c r="F342" s="1" t="s">
        <v>456</v>
      </c>
      <c r="G342" s="1">
        <v>6.5</v>
      </c>
      <c r="H342" s="1" t="s">
        <v>60</v>
      </c>
      <c r="I342" s="1">
        <v>-145.0</v>
      </c>
      <c r="J342" s="1">
        <v>0.0163040816326531</v>
      </c>
      <c r="K342" s="1" t="s">
        <v>61</v>
      </c>
      <c r="L342" s="1" t="s">
        <v>61</v>
      </c>
      <c r="M342" s="1" t="s">
        <v>62</v>
      </c>
      <c r="N342" s="1">
        <v>112.0</v>
      </c>
      <c r="O342" s="1">
        <v>-0.0798452830188679</v>
      </c>
      <c r="P342" s="1" t="s">
        <v>61</v>
      </c>
      <c r="Q342" s="1" t="s">
        <v>61</v>
      </c>
      <c r="R342" s="1">
        <f t="shared" si="1"/>
        <v>0.01630408163</v>
      </c>
      <c r="S342" s="1">
        <f t="shared" si="2"/>
        <v>-145</v>
      </c>
      <c r="T342" s="1">
        <f t="shared" si="3"/>
        <v>1.689655172</v>
      </c>
      <c r="U342" s="1">
        <f t="shared" si="4"/>
        <v>1</v>
      </c>
      <c r="V342" s="3">
        <f t="shared" si="5"/>
        <v>1</v>
      </c>
      <c r="W342" s="3" t="str">
        <f>IFERROR(__xludf.DUMMYFUNCTION("split(B342,"" "")"),"T.")</f>
        <v>T.</v>
      </c>
      <c r="X342" s="3" t="str">
        <f>IFERROR(__xludf.DUMMYFUNCTION("""COMPUTED_VALUE"""),"Hill")</f>
        <v>Hill</v>
      </c>
      <c r="Z342" s="3">
        <v>3.0</v>
      </c>
      <c r="AA342" s="3">
        <f t="shared" si="6"/>
        <v>0</v>
      </c>
      <c r="AB342" s="3">
        <f t="shared" si="7"/>
        <v>0</v>
      </c>
      <c r="AC342" s="3">
        <f t="shared" si="8"/>
        <v>0.6896551724</v>
      </c>
      <c r="AD342" s="3">
        <f t="shared" si="9"/>
        <v>-1</v>
      </c>
    </row>
    <row r="343">
      <c r="A343" s="1" t="s">
        <v>16</v>
      </c>
      <c r="B343" s="1" t="s">
        <v>316</v>
      </c>
      <c r="C343" s="1" t="s">
        <v>21</v>
      </c>
      <c r="D343" s="1" t="s">
        <v>94</v>
      </c>
      <c r="E343" s="1" t="s">
        <v>104</v>
      </c>
      <c r="F343" s="1" t="s">
        <v>456</v>
      </c>
      <c r="G343" s="1">
        <v>33.5</v>
      </c>
      <c r="H343" s="1" t="s">
        <v>60</v>
      </c>
      <c r="I343" s="1">
        <v>-109.0</v>
      </c>
      <c r="J343" s="1">
        <v>0.00396801672583735</v>
      </c>
      <c r="K343" s="1" t="s">
        <v>61</v>
      </c>
      <c r="L343" s="1" t="s">
        <v>61</v>
      </c>
      <c r="M343" s="1" t="s">
        <v>62</v>
      </c>
      <c r="N343" s="1">
        <v>-120.0</v>
      </c>
      <c r="O343" s="1">
        <v>-0.0709537760454543</v>
      </c>
      <c r="P343" s="1" t="s">
        <v>61</v>
      </c>
      <c r="Q343" s="1" t="s">
        <v>61</v>
      </c>
      <c r="R343" s="1">
        <f t="shared" si="1"/>
        <v>0.003968016726</v>
      </c>
      <c r="S343" s="1">
        <f t="shared" si="2"/>
        <v>-109</v>
      </c>
      <c r="T343" s="1">
        <f t="shared" si="3"/>
        <v>1.917431193</v>
      </c>
      <c r="U343" s="1">
        <f t="shared" si="4"/>
        <v>1</v>
      </c>
      <c r="V343" s="3">
        <f t="shared" si="5"/>
        <v>1</v>
      </c>
      <c r="W343" s="3" t="str">
        <f>IFERROR(__xludf.DUMMYFUNCTION("split(B343,"" "")"),"T.")</f>
        <v>T.</v>
      </c>
      <c r="X343" s="3" t="str">
        <f>IFERROR(__xludf.DUMMYFUNCTION("""COMPUTED_VALUE"""),"Tagovailoa")</f>
        <v>Tagovailoa</v>
      </c>
      <c r="Z343" s="3">
        <v>25.0</v>
      </c>
      <c r="AA343" s="3">
        <f t="shared" si="6"/>
        <v>0</v>
      </c>
      <c r="AB343" s="3">
        <f t="shared" si="7"/>
        <v>0</v>
      </c>
      <c r="AC343" s="3">
        <f t="shared" si="8"/>
        <v>0.9174311927</v>
      </c>
      <c r="AD343" s="3">
        <f t="shared" si="9"/>
        <v>-1</v>
      </c>
    </row>
    <row r="344">
      <c r="A344" s="1" t="s">
        <v>12</v>
      </c>
      <c r="B344" s="1" t="s">
        <v>304</v>
      </c>
      <c r="C344" s="1" t="s">
        <v>19</v>
      </c>
      <c r="D344" s="1" t="s">
        <v>146</v>
      </c>
      <c r="E344" s="1" t="s">
        <v>164</v>
      </c>
      <c r="F344" s="1" t="s">
        <v>455</v>
      </c>
      <c r="G344" s="1">
        <v>2.5</v>
      </c>
      <c r="H344" s="1" t="s">
        <v>60</v>
      </c>
      <c r="I344" s="1">
        <v>-143.0</v>
      </c>
      <c r="J344" s="1">
        <v>-0.239434609176954</v>
      </c>
      <c r="K344" s="1" t="s">
        <v>61</v>
      </c>
      <c r="L344" s="1" t="s">
        <v>61</v>
      </c>
      <c r="M344" s="1" t="s">
        <v>62</v>
      </c>
      <c r="N344" s="1">
        <v>110.0</v>
      </c>
      <c r="O344" s="1">
        <v>0.174760047761904</v>
      </c>
      <c r="P344" s="1" t="s">
        <v>61</v>
      </c>
      <c r="Q344" s="1" t="s">
        <v>61</v>
      </c>
      <c r="R344" s="1">
        <f t="shared" si="1"/>
        <v>0.1747600478</v>
      </c>
      <c r="S344" s="1">
        <f t="shared" si="2"/>
        <v>110</v>
      </c>
      <c r="T344" s="1">
        <f t="shared" si="3"/>
        <v>2.1</v>
      </c>
      <c r="U344" s="1">
        <f t="shared" si="4"/>
        <v>0</v>
      </c>
      <c r="V344" s="3">
        <f t="shared" si="5"/>
        <v>3</v>
      </c>
      <c r="W344" s="3" t="str">
        <f>IFERROR(__xludf.DUMMYFUNCTION("split(B344,"" "")"),"A.")</f>
        <v>A.</v>
      </c>
      <c r="X344" s="3" t="str">
        <f>IFERROR(__xludf.DUMMYFUNCTION("""COMPUTED_VALUE"""),"Jones")</f>
        <v>Jones</v>
      </c>
      <c r="Z344" s="3">
        <v>5.0</v>
      </c>
      <c r="AA344" s="3">
        <f t="shared" si="6"/>
        <v>1</v>
      </c>
      <c r="AB344" s="3">
        <f t="shared" si="7"/>
        <v>0</v>
      </c>
      <c r="AC344" s="3">
        <f t="shared" si="8"/>
        <v>3.3</v>
      </c>
      <c r="AD344" s="3">
        <f t="shared" si="9"/>
        <v>-3</v>
      </c>
    </row>
    <row r="345">
      <c r="A345" s="1" t="s">
        <v>8</v>
      </c>
      <c r="B345" s="1" t="s">
        <v>145</v>
      </c>
      <c r="C345" s="1" t="s">
        <v>21</v>
      </c>
      <c r="D345" s="1" t="s">
        <v>146</v>
      </c>
      <c r="E345" s="1" t="s">
        <v>164</v>
      </c>
      <c r="F345" s="1" t="s">
        <v>455</v>
      </c>
      <c r="G345" s="1">
        <v>3.5</v>
      </c>
      <c r="H345" s="1" t="s">
        <v>60</v>
      </c>
      <c r="I345" s="1">
        <v>-105.0</v>
      </c>
      <c r="J345" s="1">
        <v>-0.184838157697587</v>
      </c>
      <c r="K345" s="1" t="s">
        <v>61</v>
      </c>
      <c r="L345" s="1" t="s">
        <v>61</v>
      </c>
      <c r="M345" s="1" t="s">
        <v>62</v>
      </c>
      <c r="N345" s="1">
        <v>-128.0</v>
      </c>
      <c r="O345" s="1">
        <v>0.111246020087048</v>
      </c>
      <c r="P345" s="1" t="s">
        <v>61</v>
      </c>
      <c r="Q345" s="1" t="s">
        <v>61</v>
      </c>
      <c r="R345" s="1">
        <f t="shared" si="1"/>
        <v>0.1112460201</v>
      </c>
      <c r="S345" s="1">
        <f t="shared" si="2"/>
        <v>-128</v>
      </c>
      <c r="T345" s="1">
        <f t="shared" si="3"/>
        <v>1.78125</v>
      </c>
      <c r="U345" s="1">
        <f t="shared" si="4"/>
        <v>0</v>
      </c>
      <c r="V345" s="3">
        <f t="shared" si="5"/>
        <v>3</v>
      </c>
      <c r="W345" s="3" t="str">
        <f>IFERROR(__xludf.DUMMYFUNCTION("split(B345,"" "")"),"S.")</f>
        <v>S.</v>
      </c>
      <c r="X345" s="3" t="str">
        <f>IFERROR(__xludf.DUMMYFUNCTION("""COMPUTED_VALUE"""),"Darnold")</f>
        <v>Darnold</v>
      </c>
      <c r="Z345" s="3">
        <v>5.0</v>
      </c>
      <c r="AA345" s="3">
        <f t="shared" si="6"/>
        <v>1</v>
      </c>
      <c r="AB345" s="3">
        <f t="shared" si="7"/>
        <v>0</v>
      </c>
      <c r="AC345" s="3">
        <f t="shared" si="8"/>
        <v>2.34375</v>
      </c>
      <c r="AD345" s="3">
        <f t="shared" si="9"/>
        <v>-3</v>
      </c>
    </row>
    <row r="346">
      <c r="A346" s="1" t="s">
        <v>12</v>
      </c>
      <c r="B346" s="1" t="s">
        <v>379</v>
      </c>
      <c r="C346" s="1" t="s">
        <v>18</v>
      </c>
      <c r="D346" s="1" t="s">
        <v>146</v>
      </c>
      <c r="E346" s="1" t="s">
        <v>164</v>
      </c>
      <c r="F346" s="1" t="s">
        <v>455</v>
      </c>
      <c r="G346" s="1">
        <v>6.5</v>
      </c>
      <c r="H346" s="1" t="s">
        <v>60</v>
      </c>
      <c r="I346" s="1">
        <v>-118.0</v>
      </c>
      <c r="J346" s="1">
        <v>0.0687697247706422</v>
      </c>
      <c r="K346" s="1" t="s">
        <v>61</v>
      </c>
      <c r="L346" s="1" t="s">
        <v>61</v>
      </c>
      <c r="M346" s="1" t="s">
        <v>62</v>
      </c>
      <c r="N346" s="1">
        <v>-111.0</v>
      </c>
      <c r="O346" s="1">
        <v>-0.136113744075829</v>
      </c>
      <c r="P346" s="1" t="s">
        <v>61</v>
      </c>
      <c r="Q346" s="1" t="s">
        <v>61</v>
      </c>
      <c r="R346" s="1">
        <f t="shared" si="1"/>
        <v>0.06876972477</v>
      </c>
      <c r="S346" s="1">
        <f t="shared" si="2"/>
        <v>-118</v>
      </c>
      <c r="T346" s="1">
        <f t="shared" si="3"/>
        <v>1.847457627</v>
      </c>
      <c r="U346" s="1">
        <f t="shared" si="4"/>
        <v>1</v>
      </c>
      <c r="V346" s="3">
        <f t="shared" si="5"/>
        <v>2</v>
      </c>
      <c r="W346" s="3" t="str">
        <f>IFERROR(__xludf.DUMMYFUNCTION("split(B346,"" "")"),"J.")</f>
        <v>J.</v>
      </c>
      <c r="X346" s="3" t="str">
        <f>IFERROR(__xludf.DUMMYFUNCTION("""COMPUTED_VALUE"""),"Jefferson")</f>
        <v>Jefferson</v>
      </c>
      <c r="Z346" s="3">
        <v>4.0</v>
      </c>
      <c r="AA346" s="3">
        <f t="shared" si="6"/>
        <v>0</v>
      </c>
      <c r="AB346" s="3">
        <f t="shared" si="7"/>
        <v>0</v>
      </c>
      <c r="AC346" s="3">
        <f t="shared" si="8"/>
        <v>1.694915254</v>
      </c>
      <c r="AD346" s="3">
        <f t="shared" si="9"/>
        <v>-2</v>
      </c>
    </row>
    <row r="347">
      <c r="A347" s="1" t="s">
        <v>17</v>
      </c>
      <c r="B347" s="1" t="s">
        <v>145</v>
      </c>
      <c r="C347" s="1" t="s">
        <v>21</v>
      </c>
      <c r="D347" s="1" t="s">
        <v>146</v>
      </c>
      <c r="E347" s="1" t="s">
        <v>164</v>
      </c>
      <c r="F347" s="1" t="s">
        <v>455</v>
      </c>
      <c r="G347" s="1">
        <v>0.5</v>
      </c>
      <c r="H347" s="1" t="s">
        <v>60</v>
      </c>
      <c r="I347" s="1">
        <v>-147.0</v>
      </c>
      <c r="J347" s="1">
        <v>-0.119201214574898</v>
      </c>
      <c r="K347" s="1" t="s">
        <v>61</v>
      </c>
      <c r="L347" s="1" t="s">
        <v>61</v>
      </c>
      <c r="M347" s="1" t="s">
        <v>62</v>
      </c>
      <c r="N347" s="1">
        <v>112.0</v>
      </c>
      <c r="O347" s="1">
        <v>0.0523547169811321</v>
      </c>
      <c r="P347" s="1" t="s">
        <v>61</v>
      </c>
      <c r="Q347" s="1" t="s">
        <v>61</v>
      </c>
      <c r="R347" s="1">
        <f t="shared" si="1"/>
        <v>0.05235471698</v>
      </c>
      <c r="S347" s="1">
        <f t="shared" si="2"/>
        <v>112</v>
      </c>
      <c r="T347" s="1">
        <f t="shared" si="3"/>
        <v>2.12</v>
      </c>
      <c r="U347" s="1">
        <f t="shared" si="4"/>
        <v>0</v>
      </c>
      <c r="V347" s="3">
        <f t="shared" si="5"/>
        <v>2</v>
      </c>
      <c r="W347" s="3" t="str">
        <f>IFERROR(__xludf.DUMMYFUNCTION("split(B347,"" "")"),"S.")</f>
        <v>S.</v>
      </c>
      <c r="X347" s="3" t="str">
        <f>IFERROR(__xludf.DUMMYFUNCTION("""COMPUTED_VALUE"""),"Darnold")</f>
        <v>Darnold</v>
      </c>
      <c r="Z347" s="3">
        <v>1.0</v>
      </c>
      <c r="AA347" s="3">
        <f t="shared" si="6"/>
        <v>1</v>
      </c>
      <c r="AB347" s="3">
        <f t="shared" si="7"/>
        <v>0</v>
      </c>
      <c r="AC347" s="3">
        <f t="shared" si="8"/>
        <v>2.24</v>
      </c>
      <c r="AD347" s="3">
        <f t="shared" si="9"/>
        <v>-2</v>
      </c>
    </row>
    <row r="348">
      <c r="A348" s="1" t="s">
        <v>10</v>
      </c>
      <c r="B348" s="1" t="s">
        <v>145</v>
      </c>
      <c r="C348" s="1" t="s">
        <v>21</v>
      </c>
      <c r="D348" s="1" t="s">
        <v>146</v>
      </c>
      <c r="E348" s="1" t="s">
        <v>164</v>
      </c>
      <c r="F348" s="1" t="s">
        <v>455</v>
      </c>
      <c r="G348" s="1">
        <v>12.5</v>
      </c>
      <c r="H348" s="1" t="s">
        <v>60</v>
      </c>
      <c r="I348" s="1">
        <v>-111.0</v>
      </c>
      <c r="J348" s="1">
        <v>-0.0768943605026827</v>
      </c>
      <c r="K348" s="1" t="s">
        <v>61</v>
      </c>
      <c r="L348" s="1" t="s">
        <v>61</v>
      </c>
      <c r="M348" s="1" t="s">
        <v>62</v>
      </c>
      <c r="N348" s="1">
        <v>-121.0</v>
      </c>
      <c r="O348" s="1">
        <v>0.00335209583683215</v>
      </c>
      <c r="P348" s="1" t="s">
        <v>61</v>
      </c>
      <c r="Q348" s="1" t="s">
        <v>61</v>
      </c>
      <c r="R348" s="1">
        <f t="shared" si="1"/>
        <v>0.003352095837</v>
      </c>
      <c r="S348" s="1">
        <f t="shared" si="2"/>
        <v>-121</v>
      </c>
      <c r="T348" s="1">
        <f t="shared" si="3"/>
        <v>1.826446281</v>
      </c>
      <c r="U348" s="1">
        <f t="shared" si="4"/>
        <v>0</v>
      </c>
      <c r="V348" s="3">
        <f t="shared" si="5"/>
        <v>1</v>
      </c>
      <c r="W348" s="3" t="str">
        <f>IFERROR(__xludf.DUMMYFUNCTION("split(B348,"" "")"),"S.")</f>
        <v>S.</v>
      </c>
      <c r="X348" s="3" t="str">
        <f>IFERROR(__xludf.DUMMYFUNCTION("""COMPUTED_VALUE"""),"Darnold")</f>
        <v>Darnold</v>
      </c>
      <c r="Z348" s="3">
        <v>32.0</v>
      </c>
      <c r="AA348" s="3">
        <f t="shared" si="6"/>
        <v>1</v>
      </c>
      <c r="AB348" s="3">
        <f t="shared" si="7"/>
        <v>0</v>
      </c>
      <c r="AC348" s="3">
        <f t="shared" si="8"/>
        <v>0.826446281</v>
      </c>
      <c r="AD348" s="3">
        <f t="shared" si="9"/>
        <v>-1</v>
      </c>
    </row>
    <row r="349">
      <c r="A349" s="1" t="s">
        <v>11</v>
      </c>
      <c r="B349" s="1" t="s">
        <v>304</v>
      </c>
      <c r="C349" s="1" t="s">
        <v>19</v>
      </c>
      <c r="D349" s="1" t="s">
        <v>146</v>
      </c>
      <c r="E349" s="1" t="s">
        <v>164</v>
      </c>
      <c r="F349" s="1" t="s">
        <v>455</v>
      </c>
      <c r="G349" s="1">
        <v>18.5</v>
      </c>
      <c r="H349" s="1" t="s">
        <v>60</v>
      </c>
      <c r="I349" s="1">
        <v>-114.0</v>
      </c>
      <c r="J349" s="1">
        <v>-0.0761422706846448</v>
      </c>
      <c r="K349" s="1" t="s">
        <v>61</v>
      </c>
      <c r="L349" s="1" t="s">
        <v>61</v>
      </c>
      <c r="M349" s="1" t="s">
        <v>62</v>
      </c>
      <c r="N349" s="1">
        <v>-118.0</v>
      </c>
      <c r="O349" s="1">
        <v>0.00215265226278227</v>
      </c>
      <c r="P349" s="1" t="s">
        <v>61</v>
      </c>
      <c r="Q349" s="1" t="s">
        <v>61</v>
      </c>
      <c r="R349" s="1">
        <f t="shared" si="1"/>
        <v>0.002152652263</v>
      </c>
      <c r="S349" s="1">
        <f t="shared" si="2"/>
        <v>-118</v>
      </c>
      <c r="T349" s="1">
        <f t="shared" si="3"/>
        <v>1.847457627</v>
      </c>
      <c r="U349" s="1">
        <f t="shared" si="4"/>
        <v>0</v>
      </c>
      <c r="V349" s="3">
        <f t="shared" si="5"/>
        <v>1</v>
      </c>
      <c r="W349" s="3" t="str">
        <f>IFERROR(__xludf.DUMMYFUNCTION("split(B349,"" "")"),"A.")</f>
        <v>A.</v>
      </c>
      <c r="X349" s="3" t="str">
        <f>IFERROR(__xludf.DUMMYFUNCTION("""COMPUTED_VALUE"""),"Jones")</f>
        <v>Jones</v>
      </c>
      <c r="Z349" s="3">
        <v>36.0</v>
      </c>
      <c r="AA349" s="3">
        <f t="shared" si="6"/>
        <v>1</v>
      </c>
      <c r="AB349" s="3">
        <f t="shared" si="7"/>
        <v>0</v>
      </c>
      <c r="AC349" s="3">
        <f t="shared" si="8"/>
        <v>0.8474576271</v>
      </c>
      <c r="AD349" s="3">
        <f t="shared" si="9"/>
        <v>-1</v>
      </c>
    </row>
    <row r="350">
      <c r="A350" s="1" t="s">
        <v>12</v>
      </c>
      <c r="B350" s="1" t="s">
        <v>140</v>
      </c>
      <c r="C350" s="1" t="s">
        <v>20</v>
      </c>
      <c r="D350" s="1" t="s">
        <v>66</v>
      </c>
      <c r="E350" s="1" t="s">
        <v>82</v>
      </c>
      <c r="F350" s="1" t="s">
        <v>455</v>
      </c>
      <c r="G350" s="1">
        <v>2.5</v>
      </c>
      <c r="H350" s="1" t="s">
        <v>60</v>
      </c>
      <c r="I350" s="1">
        <v>-160.0</v>
      </c>
      <c r="J350" s="1">
        <v>-0.266344654115384</v>
      </c>
      <c r="K350" s="1" t="s">
        <v>61</v>
      </c>
      <c r="L350" s="1" t="s">
        <v>61</v>
      </c>
      <c r="M350" s="1" t="s">
        <v>62</v>
      </c>
      <c r="N350" s="1">
        <v>122.0</v>
      </c>
      <c r="O350" s="1">
        <v>0.200502748063063</v>
      </c>
      <c r="P350" s="1" t="s">
        <v>61</v>
      </c>
      <c r="Q350" s="1" t="s">
        <v>61</v>
      </c>
      <c r="R350" s="1">
        <f t="shared" si="1"/>
        <v>0.2005027481</v>
      </c>
      <c r="S350" s="1">
        <f t="shared" si="2"/>
        <v>122</v>
      </c>
      <c r="T350" s="1">
        <f t="shared" si="3"/>
        <v>2.22</v>
      </c>
      <c r="U350" s="1">
        <f t="shared" si="4"/>
        <v>0</v>
      </c>
      <c r="V350" s="3">
        <f t="shared" si="5"/>
        <v>3</v>
      </c>
      <c r="W350" s="3" t="str">
        <f>IFERROR(__xludf.DUMMYFUNCTION("split(B350,"" "")"),"H.")</f>
        <v>H.</v>
      </c>
      <c r="X350" s="3" t="str">
        <f>IFERROR(__xludf.DUMMYFUNCTION("""COMPUTED_VALUE"""),"Henry")</f>
        <v>Henry</v>
      </c>
      <c r="Z350" s="3">
        <v>8.0</v>
      </c>
      <c r="AA350" s="3">
        <f t="shared" si="6"/>
        <v>1</v>
      </c>
      <c r="AB350" s="3">
        <f t="shared" si="7"/>
        <v>0</v>
      </c>
      <c r="AC350" s="3">
        <f t="shared" si="8"/>
        <v>3.66</v>
      </c>
      <c r="AD350" s="3">
        <f t="shared" si="9"/>
        <v>-3</v>
      </c>
    </row>
    <row r="351">
      <c r="A351" s="1" t="s">
        <v>14</v>
      </c>
      <c r="B351" s="1" t="s">
        <v>65</v>
      </c>
      <c r="C351" s="1" t="s">
        <v>21</v>
      </c>
      <c r="D351" s="1" t="s">
        <v>66</v>
      </c>
      <c r="E351" s="1" t="s">
        <v>82</v>
      </c>
      <c r="F351" s="1" t="s">
        <v>455</v>
      </c>
      <c r="G351" s="1">
        <v>0.5</v>
      </c>
      <c r="H351" s="1" t="s">
        <v>60</v>
      </c>
      <c r="I351" s="1">
        <v>-209.0</v>
      </c>
      <c r="J351" s="1">
        <v>-0.169073229029126</v>
      </c>
      <c r="K351" s="1" t="s">
        <v>61</v>
      </c>
      <c r="L351" s="1" t="s">
        <v>61</v>
      </c>
      <c r="M351" s="1" t="s">
        <v>62</v>
      </c>
      <c r="N351" s="1">
        <v>157.0</v>
      </c>
      <c r="O351" s="1">
        <v>0.103592325953307</v>
      </c>
      <c r="P351" s="1" t="s">
        <v>61</v>
      </c>
      <c r="Q351" s="1" t="s">
        <v>61</v>
      </c>
      <c r="R351" s="1">
        <f t="shared" si="1"/>
        <v>0.103592326</v>
      </c>
      <c r="S351" s="1">
        <f t="shared" si="2"/>
        <v>157</v>
      </c>
      <c r="T351" s="1">
        <f t="shared" si="3"/>
        <v>2.57</v>
      </c>
      <c r="U351" s="1">
        <f t="shared" si="4"/>
        <v>0</v>
      </c>
      <c r="V351" s="3">
        <f t="shared" si="5"/>
        <v>3</v>
      </c>
      <c r="W351" s="3" t="str">
        <f>IFERROR(__xludf.DUMMYFUNCTION("split(B351,"" "")"),"J.")</f>
        <v>J.</v>
      </c>
      <c r="X351" s="3" t="str">
        <f>IFERROR(__xludf.DUMMYFUNCTION("""COMPUTED_VALUE"""),"Brissett")</f>
        <v>Brissett</v>
      </c>
      <c r="Z351" s="3">
        <v>1.0</v>
      </c>
      <c r="AA351" s="3">
        <f t="shared" si="6"/>
        <v>1</v>
      </c>
      <c r="AB351" s="3">
        <f t="shared" si="7"/>
        <v>0</v>
      </c>
      <c r="AC351" s="3">
        <f t="shared" si="8"/>
        <v>4.71</v>
      </c>
      <c r="AD351" s="3">
        <f t="shared" si="9"/>
        <v>-3</v>
      </c>
    </row>
    <row r="352">
      <c r="A352" s="1" t="s">
        <v>9</v>
      </c>
      <c r="B352" s="1" t="s">
        <v>212</v>
      </c>
      <c r="C352" s="1" t="s">
        <v>18</v>
      </c>
      <c r="D352" s="1" t="s">
        <v>66</v>
      </c>
      <c r="E352" s="1" t="s">
        <v>82</v>
      </c>
      <c r="F352" s="1" t="s">
        <v>455</v>
      </c>
      <c r="G352" s="1">
        <v>24.5</v>
      </c>
      <c r="H352" s="1" t="s">
        <v>60</v>
      </c>
      <c r="I352" s="1">
        <v>-120.0</v>
      </c>
      <c r="J352" s="1">
        <v>0.0352405428698737</v>
      </c>
      <c r="K352" s="1" t="s">
        <v>61</v>
      </c>
      <c r="L352" s="1" t="s">
        <v>61</v>
      </c>
      <c r="M352" s="1" t="s">
        <v>62</v>
      </c>
      <c r="N352" s="1">
        <v>-113.0</v>
      </c>
      <c r="O352" s="1">
        <v>-0.11119398571573</v>
      </c>
      <c r="P352" s="1" t="s">
        <v>61</v>
      </c>
      <c r="Q352" s="1" t="s">
        <v>61</v>
      </c>
      <c r="R352" s="1">
        <f t="shared" si="1"/>
        <v>0.03524054287</v>
      </c>
      <c r="S352" s="1">
        <f t="shared" si="2"/>
        <v>-120</v>
      </c>
      <c r="T352" s="1">
        <f t="shared" si="3"/>
        <v>1.833333333</v>
      </c>
      <c r="U352" s="1">
        <f t="shared" si="4"/>
        <v>1</v>
      </c>
      <c r="V352" s="3">
        <f t="shared" si="5"/>
        <v>1</v>
      </c>
      <c r="W352" s="3" t="str">
        <f>IFERROR(__xludf.DUMMYFUNCTION("split(B352,"" "")"),"K.")</f>
        <v>K.</v>
      </c>
      <c r="X352" s="3" t="str">
        <f>IFERROR(__xludf.DUMMYFUNCTION("""COMPUTED_VALUE"""),"Osborn")</f>
        <v>Osborn</v>
      </c>
      <c r="Z352" s="3">
        <v>7.0</v>
      </c>
      <c r="AA352" s="3">
        <f t="shared" si="6"/>
        <v>0</v>
      </c>
      <c r="AB352" s="3">
        <f t="shared" si="7"/>
        <v>0</v>
      </c>
      <c r="AC352" s="3">
        <f t="shared" si="8"/>
        <v>0.8333333333</v>
      </c>
      <c r="AD352" s="3">
        <f t="shared" si="9"/>
        <v>-1</v>
      </c>
    </row>
    <row r="353">
      <c r="A353" s="1" t="s">
        <v>9</v>
      </c>
      <c r="B353" s="1" t="s">
        <v>476</v>
      </c>
      <c r="C353" s="1" t="s">
        <v>19</v>
      </c>
      <c r="D353" s="1" t="s">
        <v>66</v>
      </c>
      <c r="E353" s="1" t="s">
        <v>82</v>
      </c>
      <c r="F353" s="1" t="s">
        <v>455</v>
      </c>
      <c r="G353" s="1">
        <v>81.5</v>
      </c>
      <c r="H353" s="1" t="s">
        <v>60</v>
      </c>
      <c r="I353" s="1">
        <v>-115.0</v>
      </c>
      <c r="J353" s="1">
        <v>-0.114154574613102</v>
      </c>
      <c r="K353" s="1" t="s">
        <v>61</v>
      </c>
      <c r="L353" s="1" t="s">
        <v>61</v>
      </c>
      <c r="M353" s="1" t="s">
        <v>62</v>
      </c>
      <c r="N353" s="1">
        <v>-120.0</v>
      </c>
      <c r="O353" s="1">
        <v>0.0338285465917291</v>
      </c>
      <c r="P353" s="1" t="s">
        <v>61</v>
      </c>
      <c r="Q353" s="1" t="s">
        <v>61</v>
      </c>
      <c r="R353" s="1">
        <f t="shared" si="1"/>
        <v>0.03382854659</v>
      </c>
      <c r="S353" s="1">
        <f t="shared" si="2"/>
        <v>-120</v>
      </c>
      <c r="T353" s="1">
        <f t="shared" si="3"/>
        <v>1.833333333</v>
      </c>
      <c r="U353" s="1">
        <f t="shared" si="4"/>
        <v>0</v>
      </c>
      <c r="V353" s="3">
        <f t="shared" si="5"/>
        <v>1</v>
      </c>
      <c r="W353" s="3" t="str">
        <f>IFERROR(__xludf.DUMMYFUNCTION("split(B353,"" "")"),"R.")</f>
        <v>R.</v>
      </c>
      <c r="X353" s="3" t="str">
        <f>IFERROR(__xludf.DUMMYFUNCTION("""COMPUTED_VALUE"""),"Stevenson")</f>
        <v>Stevenson</v>
      </c>
      <c r="Z353" s="3">
        <v>90.0</v>
      </c>
      <c r="AA353" s="3">
        <f t="shared" si="6"/>
        <v>1</v>
      </c>
      <c r="AB353" s="3">
        <f t="shared" si="7"/>
        <v>0</v>
      </c>
      <c r="AC353" s="3">
        <f t="shared" si="8"/>
        <v>0.8333333333</v>
      </c>
      <c r="AD353" s="3">
        <f t="shared" si="9"/>
        <v>-1</v>
      </c>
    </row>
    <row r="354">
      <c r="A354" s="1" t="s">
        <v>8</v>
      </c>
      <c r="B354" s="1" t="s">
        <v>476</v>
      </c>
      <c r="C354" s="1" t="s">
        <v>19</v>
      </c>
      <c r="D354" s="1" t="s">
        <v>66</v>
      </c>
      <c r="E354" s="1" t="s">
        <v>82</v>
      </c>
      <c r="F354" s="1" t="s">
        <v>455</v>
      </c>
      <c r="G354" s="1">
        <v>16.5</v>
      </c>
      <c r="H354" s="1" t="s">
        <v>60</v>
      </c>
      <c r="I354" s="1">
        <v>-122.0</v>
      </c>
      <c r="J354" s="1">
        <v>-0.10070375036036</v>
      </c>
      <c r="K354" s="1" t="s">
        <v>61</v>
      </c>
      <c r="L354" s="1" t="s">
        <v>61</v>
      </c>
      <c r="M354" s="1" t="s">
        <v>62</v>
      </c>
      <c r="N354" s="1">
        <v>-109.0</v>
      </c>
      <c r="O354" s="1">
        <v>0.0296158732641148</v>
      </c>
      <c r="P354" s="1" t="s">
        <v>61</v>
      </c>
      <c r="Q354" s="1" t="s">
        <v>61</v>
      </c>
      <c r="R354" s="1">
        <f t="shared" si="1"/>
        <v>0.02961587326</v>
      </c>
      <c r="S354" s="1">
        <f t="shared" si="2"/>
        <v>-109</v>
      </c>
      <c r="T354" s="1">
        <f t="shared" si="3"/>
        <v>1.917431193</v>
      </c>
      <c r="U354" s="1">
        <f t="shared" si="4"/>
        <v>0</v>
      </c>
      <c r="V354" s="3">
        <f t="shared" si="5"/>
        <v>1</v>
      </c>
      <c r="W354" s="3" t="str">
        <f>IFERROR(__xludf.DUMMYFUNCTION("split(B354,"" "")"),"R.")</f>
        <v>R.</v>
      </c>
      <c r="X354" s="3" t="str">
        <f>IFERROR(__xludf.DUMMYFUNCTION("""COMPUTED_VALUE"""),"Stevenson")</f>
        <v>Stevenson</v>
      </c>
      <c r="Z354" s="3">
        <v>21.0</v>
      </c>
      <c r="AA354" s="3">
        <f t="shared" si="6"/>
        <v>1</v>
      </c>
      <c r="AB354" s="3">
        <f t="shared" si="7"/>
        <v>0</v>
      </c>
      <c r="AC354" s="3">
        <f t="shared" si="8"/>
        <v>0.9174311927</v>
      </c>
      <c r="AD354" s="3">
        <f t="shared" si="9"/>
        <v>-1</v>
      </c>
    </row>
    <row r="355">
      <c r="A355" s="1" t="s">
        <v>13</v>
      </c>
      <c r="B355" s="1" t="s">
        <v>65</v>
      </c>
      <c r="C355" s="1" t="s">
        <v>21</v>
      </c>
      <c r="D355" s="1" t="s">
        <v>66</v>
      </c>
      <c r="E355" s="1" t="s">
        <v>82</v>
      </c>
      <c r="F355" s="1" t="s">
        <v>455</v>
      </c>
      <c r="G355" s="1">
        <v>185.5</v>
      </c>
      <c r="H355" s="1" t="s">
        <v>60</v>
      </c>
      <c r="I355" s="1">
        <v>-109.0</v>
      </c>
      <c r="J355" s="1">
        <v>0.0273388254545453</v>
      </c>
      <c r="K355" s="1" t="s">
        <v>61</v>
      </c>
      <c r="L355" s="1" t="s">
        <v>61</v>
      </c>
      <c r="M355" s="1" t="s">
        <v>62</v>
      </c>
      <c r="N355" s="1">
        <v>-120.0</v>
      </c>
      <c r="O355" s="1">
        <v>-0.0942082610181815</v>
      </c>
      <c r="P355" s="1" t="s">
        <v>61</v>
      </c>
      <c r="Q355" s="1" t="s">
        <v>61</v>
      </c>
      <c r="R355" s="1">
        <f t="shared" si="1"/>
        <v>0.02733882545</v>
      </c>
      <c r="S355" s="1">
        <f t="shared" si="2"/>
        <v>-109</v>
      </c>
      <c r="T355" s="1">
        <f t="shared" si="3"/>
        <v>1.917431193</v>
      </c>
      <c r="U355" s="1">
        <f t="shared" si="4"/>
        <v>1</v>
      </c>
      <c r="V355" s="3">
        <f t="shared" si="5"/>
        <v>1</v>
      </c>
      <c r="W355" s="3" t="str">
        <f>IFERROR(__xludf.DUMMYFUNCTION("split(B355,"" "")"),"J.")</f>
        <v>J.</v>
      </c>
      <c r="X355" s="3" t="str">
        <f>IFERROR(__xludf.DUMMYFUNCTION("""COMPUTED_VALUE"""),"Brissett")</f>
        <v>Brissett</v>
      </c>
      <c r="Z355" s="3">
        <v>149.0</v>
      </c>
      <c r="AA355" s="3">
        <f t="shared" si="6"/>
        <v>0</v>
      </c>
      <c r="AB355" s="3">
        <f t="shared" si="7"/>
        <v>0</v>
      </c>
      <c r="AC355" s="3">
        <f t="shared" si="8"/>
        <v>0.9174311927</v>
      </c>
      <c r="AD355" s="3">
        <f t="shared" si="9"/>
        <v>-1</v>
      </c>
    </row>
    <row r="356">
      <c r="A356" s="1" t="s">
        <v>11</v>
      </c>
      <c r="B356" s="1" t="s">
        <v>140</v>
      </c>
      <c r="C356" s="1" t="s">
        <v>20</v>
      </c>
      <c r="D356" s="1" t="s">
        <v>66</v>
      </c>
      <c r="E356" s="1" t="s">
        <v>82</v>
      </c>
      <c r="F356" s="1" t="s">
        <v>455</v>
      </c>
      <c r="G356" s="1">
        <v>28.5</v>
      </c>
      <c r="H356" s="1" t="s">
        <v>60</v>
      </c>
      <c r="I356" s="1">
        <v>-108.0</v>
      </c>
      <c r="J356" s="1">
        <v>-0.0693828524628846</v>
      </c>
      <c r="K356" s="1" t="s">
        <v>61</v>
      </c>
      <c r="L356" s="1" t="s">
        <v>61</v>
      </c>
      <c r="M356" s="1" t="s">
        <v>62</v>
      </c>
      <c r="N356" s="1">
        <v>-121.0</v>
      </c>
      <c r="O356" s="1">
        <v>0.00267576609890862</v>
      </c>
      <c r="P356" s="1" t="s">
        <v>61</v>
      </c>
      <c r="Q356" s="1" t="s">
        <v>61</v>
      </c>
      <c r="R356" s="1">
        <f t="shared" si="1"/>
        <v>0.002675766099</v>
      </c>
      <c r="S356" s="1">
        <f t="shared" si="2"/>
        <v>-121</v>
      </c>
      <c r="T356" s="1">
        <f t="shared" si="3"/>
        <v>1.826446281</v>
      </c>
      <c r="U356" s="1">
        <f t="shared" si="4"/>
        <v>0</v>
      </c>
      <c r="V356" s="3">
        <f t="shared" si="5"/>
        <v>1</v>
      </c>
      <c r="W356" s="3" t="str">
        <f>IFERROR(__xludf.DUMMYFUNCTION("split(B356,"" "")"),"H.")</f>
        <v>H.</v>
      </c>
      <c r="X356" s="3" t="str">
        <f>IFERROR(__xludf.DUMMYFUNCTION("""COMPUTED_VALUE"""),"Henry")</f>
        <v>Henry</v>
      </c>
      <c r="Z356" s="3">
        <v>109.0</v>
      </c>
      <c r="AA356" s="3">
        <f t="shared" si="6"/>
        <v>1</v>
      </c>
      <c r="AB356" s="3">
        <f t="shared" si="7"/>
        <v>0</v>
      </c>
      <c r="AC356" s="3">
        <f t="shared" si="8"/>
        <v>0.826446281</v>
      </c>
      <c r="AD356" s="3">
        <f t="shared" si="9"/>
        <v>-1</v>
      </c>
    </row>
    <row r="357">
      <c r="A357" s="1" t="s">
        <v>8</v>
      </c>
      <c r="B357" s="1" t="s">
        <v>282</v>
      </c>
      <c r="C357" s="1" t="s">
        <v>19</v>
      </c>
      <c r="D357" s="1" t="s">
        <v>58</v>
      </c>
      <c r="E357" s="1" t="s">
        <v>88</v>
      </c>
      <c r="F357" s="1" t="s">
        <v>455</v>
      </c>
      <c r="G357" s="1">
        <v>12.5</v>
      </c>
      <c r="H357" s="1" t="s">
        <v>60</v>
      </c>
      <c r="I357" s="1">
        <v>-120.0</v>
      </c>
      <c r="J357" s="1">
        <v>-0.183172340453318</v>
      </c>
      <c r="K357" s="1" t="s">
        <v>61</v>
      </c>
      <c r="L357" s="1" t="s">
        <v>61</v>
      </c>
      <c r="M357" s="1" t="s">
        <v>62</v>
      </c>
      <c r="N357" s="1">
        <v>-109.0</v>
      </c>
      <c r="O357" s="1">
        <v>0.116159843256965</v>
      </c>
      <c r="P357" s="1" t="s">
        <v>61</v>
      </c>
      <c r="Q357" s="1" t="s">
        <v>61</v>
      </c>
      <c r="R357" s="1">
        <f t="shared" si="1"/>
        <v>0.1161598433</v>
      </c>
      <c r="S357" s="1">
        <f t="shared" si="2"/>
        <v>-109</v>
      </c>
      <c r="T357" s="1">
        <f t="shared" si="3"/>
        <v>1.917431193</v>
      </c>
      <c r="U357" s="1">
        <f t="shared" si="4"/>
        <v>0</v>
      </c>
      <c r="V357" s="3">
        <f t="shared" si="5"/>
        <v>3</v>
      </c>
      <c r="W357" s="3" t="str">
        <f>IFERROR(__xludf.DUMMYFUNCTION("split(B357,"" "")"),"A.")</f>
        <v>A.</v>
      </c>
      <c r="X357" s="3" t="str">
        <f>IFERROR(__xludf.DUMMYFUNCTION("""COMPUTED_VALUE"""),"Kamara")</f>
        <v>Kamara</v>
      </c>
      <c r="Z357" s="3">
        <v>20.0</v>
      </c>
      <c r="AA357" s="3">
        <f t="shared" si="6"/>
        <v>1</v>
      </c>
      <c r="AB357" s="3">
        <f t="shared" si="7"/>
        <v>0</v>
      </c>
      <c r="AC357" s="3">
        <f t="shared" si="8"/>
        <v>2.752293578</v>
      </c>
      <c r="AD357" s="3">
        <f t="shared" si="9"/>
        <v>-3</v>
      </c>
    </row>
    <row r="358">
      <c r="A358" s="1" t="s">
        <v>8</v>
      </c>
      <c r="B358" s="1" t="s">
        <v>127</v>
      </c>
      <c r="C358" s="1" t="s">
        <v>19</v>
      </c>
      <c r="D358" s="1" t="s">
        <v>58</v>
      </c>
      <c r="E358" s="1" t="s">
        <v>88</v>
      </c>
      <c r="F358" s="1" t="s">
        <v>455</v>
      </c>
      <c r="G358" s="1">
        <v>3.5</v>
      </c>
      <c r="H358" s="1" t="s">
        <v>60</v>
      </c>
      <c r="I358" s="1">
        <v>-109.0</v>
      </c>
      <c r="J358" s="1">
        <v>-0.172071463042918</v>
      </c>
      <c r="K358" s="1" t="s">
        <v>61</v>
      </c>
      <c r="L358" s="1" t="s">
        <v>61</v>
      </c>
      <c r="M358" s="1" t="s">
        <v>62</v>
      </c>
      <c r="N358" s="1">
        <v>-120.0</v>
      </c>
      <c r="O358" s="1">
        <v>0.105091467868926</v>
      </c>
      <c r="P358" s="1" t="s">
        <v>61</v>
      </c>
      <c r="Q358" s="1" t="s">
        <v>61</v>
      </c>
      <c r="R358" s="1">
        <f t="shared" si="1"/>
        <v>0.1050914679</v>
      </c>
      <c r="S358" s="1">
        <f t="shared" si="2"/>
        <v>-120</v>
      </c>
      <c r="T358" s="1">
        <f t="shared" si="3"/>
        <v>1.833333333</v>
      </c>
      <c r="U358" s="1">
        <f t="shared" si="4"/>
        <v>0</v>
      </c>
      <c r="V358" s="3">
        <f t="shared" si="5"/>
        <v>3</v>
      </c>
      <c r="W358" s="3" t="str">
        <f>IFERROR(__xludf.DUMMYFUNCTION("split(B358,"" "")"),"J.")</f>
        <v>J.</v>
      </c>
      <c r="X358" s="3" t="str">
        <f>IFERROR(__xludf.DUMMYFUNCTION("""COMPUTED_VALUE"""),"Williams")</f>
        <v>Williams</v>
      </c>
      <c r="Z358" s="3">
        <v>8.0</v>
      </c>
      <c r="AA358" s="3">
        <f t="shared" si="6"/>
        <v>1</v>
      </c>
      <c r="AB358" s="3">
        <f t="shared" si="7"/>
        <v>0</v>
      </c>
      <c r="AC358" s="3">
        <f t="shared" si="8"/>
        <v>2.5</v>
      </c>
      <c r="AD358" s="3">
        <f t="shared" si="9"/>
        <v>-3</v>
      </c>
    </row>
    <row r="359">
      <c r="A359" s="1" t="s">
        <v>17</v>
      </c>
      <c r="B359" s="1" t="s">
        <v>287</v>
      </c>
      <c r="C359" s="1" t="s">
        <v>21</v>
      </c>
      <c r="D359" s="1" t="s">
        <v>58</v>
      </c>
      <c r="E359" s="1" t="s">
        <v>88</v>
      </c>
      <c r="F359" s="1" t="s">
        <v>455</v>
      </c>
      <c r="G359" s="1">
        <v>0.5</v>
      </c>
      <c r="H359" s="1" t="s">
        <v>60</v>
      </c>
      <c r="I359" s="1">
        <v>-141.0</v>
      </c>
      <c r="J359" s="1">
        <v>-0.152720746887966</v>
      </c>
      <c r="K359" s="1" t="s">
        <v>61</v>
      </c>
      <c r="L359" s="1" t="s">
        <v>61</v>
      </c>
      <c r="M359" s="1" t="s">
        <v>62</v>
      </c>
      <c r="N359" s="1">
        <v>108.0</v>
      </c>
      <c r="O359" s="1">
        <v>0.0868826923076923</v>
      </c>
      <c r="P359" s="1" t="s">
        <v>61</v>
      </c>
      <c r="Q359" s="1" t="s">
        <v>61</v>
      </c>
      <c r="R359" s="1">
        <f t="shared" si="1"/>
        <v>0.08688269231</v>
      </c>
      <c r="S359" s="1">
        <f t="shared" si="2"/>
        <v>108</v>
      </c>
      <c r="T359" s="1">
        <f t="shared" si="3"/>
        <v>2.08</v>
      </c>
      <c r="U359" s="1">
        <f t="shared" si="4"/>
        <v>0</v>
      </c>
      <c r="V359" s="3">
        <f t="shared" si="5"/>
        <v>2</v>
      </c>
      <c r="W359" s="3" t="str">
        <f>IFERROR(__xludf.DUMMYFUNCTION("split(B359,"" "")"),"D.")</f>
        <v>D.</v>
      </c>
      <c r="X359" s="3" t="str">
        <f>IFERROR(__xludf.DUMMYFUNCTION("""COMPUTED_VALUE"""),"Carr")</f>
        <v>Carr</v>
      </c>
      <c r="Z359" s="3">
        <v>1.0</v>
      </c>
      <c r="AA359" s="3">
        <f t="shared" si="6"/>
        <v>1</v>
      </c>
      <c r="AB359" s="3">
        <f t="shared" si="7"/>
        <v>0</v>
      </c>
      <c r="AC359" s="3">
        <f t="shared" si="8"/>
        <v>2.16</v>
      </c>
      <c r="AD359" s="3">
        <f t="shared" si="9"/>
        <v>-2</v>
      </c>
    </row>
    <row r="360">
      <c r="A360" s="1" t="s">
        <v>9</v>
      </c>
      <c r="B360" s="1" t="s">
        <v>282</v>
      </c>
      <c r="C360" s="1" t="s">
        <v>19</v>
      </c>
      <c r="D360" s="1" t="s">
        <v>58</v>
      </c>
      <c r="E360" s="1" t="s">
        <v>88</v>
      </c>
      <c r="F360" s="1" t="s">
        <v>455</v>
      </c>
      <c r="G360" s="1">
        <v>84.5</v>
      </c>
      <c r="H360" s="1" t="s">
        <v>60</v>
      </c>
      <c r="I360" s="1">
        <v>-115.0</v>
      </c>
      <c r="J360" s="1">
        <v>-0.157783737015881</v>
      </c>
      <c r="K360" s="1" t="s">
        <v>61</v>
      </c>
      <c r="L360" s="1" t="s">
        <v>61</v>
      </c>
      <c r="M360" s="1" t="s">
        <v>62</v>
      </c>
      <c r="N360" s="1">
        <v>-117.0</v>
      </c>
      <c r="O360" s="1">
        <v>0.0837931983702533</v>
      </c>
      <c r="P360" s="1" t="s">
        <v>61</v>
      </c>
      <c r="Q360" s="1" t="s">
        <v>61</v>
      </c>
      <c r="R360" s="1">
        <f t="shared" si="1"/>
        <v>0.08379319837</v>
      </c>
      <c r="S360" s="1">
        <f t="shared" si="2"/>
        <v>-117</v>
      </c>
      <c r="T360" s="1">
        <f t="shared" si="3"/>
        <v>1.854700855</v>
      </c>
      <c r="U360" s="1">
        <f t="shared" si="4"/>
        <v>0</v>
      </c>
      <c r="V360" s="3">
        <f t="shared" si="5"/>
        <v>2</v>
      </c>
      <c r="W360" s="3" t="str">
        <f>IFERROR(__xludf.DUMMYFUNCTION("split(B360,"" "")"),"A.")</f>
        <v>A.</v>
      </c>
      <c r="X360" s="3" t="str">
        <f>IFERROR(__xludf.DUMMYFUNCTION("""COMPUTED_VALUE"""),"Kamara")</f>
        <v>Kamara</v>
      </c>
      <c r="Z360" s="3">
        <v>180.0</v>
      </c>
      <c r="AA360" s="3">
        <f t="shared" si="6"/>
        <v>1</v>
      </c>
      <c r="AB360" s="3">
        <f t="shared" si="7"/>
        <v>0</v>
      </c>
      <c r="AC360" s="3">
        <f t="shared" si="8"/>
        <v>1.709401709</v>
      </c>
      <c r="AD360" s="3">
        <f t="shared" si="9"/>
        <v>-2</v>
      </c>
    </row>
    <row r="361">
      <c r="A361" s="1" t="s">
        <v>12</v>
      </c>
      <c r="B361" s="1" t="s">
        <v>428</v>
      </c>
      <c r="C361" s="1" t="s">
        <v>18</v>
      </c>
      <c r="D361" s="1" t="s">
        <v>58</v>
      </c>
      <c r="E361" s="1" t="s">
        <v>88</v>
      </c>
      <c r="F361" s="1" t="s">
        <v>455</v>
      </c>
      <c r="G361" s="1">
        <v>3.5</v>
      </c>
      <c r="H361" s="1" t="s">
        <v>60</v>
      </c>
      <c r="I361" s="1">
        <v>112.0</v>
      </c>
      <c r="J361" s="1">
        <v>-0.140592452830188</v>
      </c>
      <c r="K361" s="1" t="s">
        <v>61</v>
      </c>
      <c r="L361" s="1" t="s">
        <v>61</v>
      </c>
      <c r="M361" s="1" t="s">
        <v>62</v>
      </c>
      <c r="N361" s="1">
        <v>-145.0</v>
      </c>
      <c r="O361" s="1">
        <v>0.0770448979591837</v>
      </c>
      <c r="P361" s="1" t="s">
        <v>61</v>
      </c>
      <c r="Q361" s="1" t="s">
        <v>61</v>
      </c>
      <c r="R361" s="1">
        <f t="shared" si="1"/>
        <v>0.07704489796</v>
      </c>
      <c r="S361" s="1">
        <f t="shared" si="2"/>
        <v>-145</v>
      </c>
      <c r="T361" s="1">
        <f t="shared" si="3"/>
        <v>1.689655172</v>
      </c>
      <c r="U361" s="1">
        <f t="shared" si="4"/>
        <v>0</v>
      </c>
      <c r="V361" s="3">
        <f t="shared" si="5"/>
        <v>2</v>
      </c>
      <c r="W361" s="3" t="str">
        <f>IFERROR(__xludf.DUMMYFUNCTION("split(B361,"" "")"),"R.")</f>
        <v>R.</v>
      </c>
      <c r="X361" s="3" t="str">
        <f>IFERROR(__xludf.DUMMYFUNCTION("""COMPUTED_VALUE"""),"Shaheed")</f>
        <v>Shaheed</v>
      </c>
      <c r="Z361" s="3">
        <v>4.0</v>
      </c>
      <c r="AA361" s="3">
        <f t="shared" si="6"/>
        <v>1</v>
      </c>
      <c r="AB361" s="3">
        <f t="shared" si="7"/>
        <v>0</v>
      </c>
      <c r="AC361" s="3">
        <f t="shared" si="8"/>
        <v>1.379310345</v>
      </c>
      <c r="AD361" s="3">
        <f t="shared" si="9"/>
        <v>-2</v>
      </c>
    </row>
    <row r="362">
      <c r="A362" s="1" t="s">
        <v>10</v>
      </c>
      <c r="B362" s="1" t="s">
        <v>287</v>
      </c>
      <c r="C362" s="1" t="s">
        <v>21</v>
      </c>
      <c r="D362" s="1" t="s">
        <v>58</v>
      </c>
      <c r="E362" s="1" t="s">
        <v>88</v>
      </c>
      <c r="F362" s="1" t="s">
        <v>455</v>
      </c>
      <c r="G362" s="1">
        <v>2.5</v>
      </c>
      <c r="H362" s="1" t="s">
        <v>60</v>
      </c>
      <c r="I362" s="1">
        <v>-110.0</v>
      </c>
      <c r="J362" s="1">
        <v>0.0640988916909001</v>
      </c>
      <c r="K362" s="1" t="s">
        <v>61</v>
      </c>
      <c r="L362" s="1" t="s">
        <v>61</v>
      </c>
      <c r="M362" s="1" t="s">
        <v>62</v>
      </c>
      <c r="N362" s="1">
        <v>-120.0</v>
      </c>
      <c r="O362" s="1">
        <v>-0.133335094118667</v>
      </c>
      <c r="P362" s="1" t="s">
        <v>61</v>
      </c>
      <c r="Q362" s="1" t="s">
        <v>61</v>
      </c>
      <c r="R362" s="1">
        <f t="shared" si="1"/>
        <v>0.06409889169</v>
      </c>
      <c r="S362" s="1">
        <f t="shared" si="2"/>
        <v>-110</v>
      </c>
      <c r="T362" s="1">
        <f t="shared" si="3"/>
        <v>1.909090909</v>
      </c>
      <c r="U362" s="1">
        <f t="shared" si="4"/>
        <v>1</v>
      </c>
      <c r="V362" s="3">
        <f t="shared" si="5"/>
        <v>2</v>
      </c>
      <c r="W362" s="3" t="str">
        <f>IFERROR(__xludf.DUMMYFUNCTION("split(B362,"" "")"),"D.")</f>
        <v>D.</v>
      </c>
      <c r="X362" s="3" t="str">
        <f>IFERROR(__xludf.DUMMYFUNCTION("""COMPUTED_VALUE"""),"Carr")</f>
        <v>Carr</v>
      </c>
      <c r="Z362" s="3">
        <v>1.0</v>
      </c>
      <c r="AA362" s="3">
        <f t="shared" si="6"/>
        <v>0</v>
      </c>
      <c r="AB362" s="3">
        <f t="shared" si="7"/>
        <v>0</v>
      </c>
      <c r="AC362" s="3">
        <f t="shared" si="8"/>
        <v>1.818181818</v>
      </c>
      <c r="AD362" s="3">
        <f t="shared" si="9"/>
        <v>-2</v>
      </c>
    </row>
    <row r="363">
      <c r="A363" s="1" t="s">
        <v>11</v>
      </c>
      <c r="B363" s="1" t="s">
        <v>282</v>
      </c>
      <c r="C363" s="1" t="s">
        <v>19</v>
      </c>
      <c r="D363" s="1" t="s">
        <v>58</v>
      </c>
      <c r="E363" s="1" t="s">
        <v>88</v>
      </c>
      <c r="F363" s="1" t="s">
        <v>455</v>
      </c>
      <c r="G363" s="1">
        <v>29.5</v>
      </c>
      <c r="H363" s="1" t="s">
        <v>60</v>
      </c>
      <c r="I363" s="1">
        <v>-111.0</v>
      </c>
      <c r="J363" s="1">
        <v>-0.122807303575696</v>
      </c>
      <c r="K363" s="1" t="s">
        <v>61</v>
      </c>
      <c r="L363" s="1" t="s">
        <v>61</v>
      </c>
      <c r="M363" s="1" t="s">
        <v>62</v>
      </c>
      <c r="N363" s="1">
        <v>-117.0</v>
      </c>
      <c r="O363" s="1">
        <v>0.0576449079895495</v>
      </c>
      <c r="P363" s="1" t="s">
        <v>61</v>
      </c>
      <c r="Q363" s="1" t="s">
        <v>61</v>
      </c>
      <c r="R363" s="1">
        <f t="shared" si="1"/>
        <v>0.05764490799</v>
      </c>
      <c r="S363" s="1">
        <f t="shared" si="2"/>
        <v>-117</v>
      </c>
      <c r="T363" s="1">
        <f t="shared" si="3"/>
        <v>1.854700855</v>
      </c>
      <c r="U363" s="1">
        <f t="shared" si="4"/>
        <v>0</v>
      </c>
      <c r="V363" s="3">
        <f t="shared" si="5"/>
        <v>2</v>
      </c>
      <c r="W363" s="3" t="str">
        <f>IFERROR(__xludf.DUMMYFUNCTION("split(B363,"" "")"),"A.")</f>
        <v>A.</v>
      </c>
      <c r="X363" s="3" t="str">
        <f>IFERROR(__xludf.DUMMYFUNCTION("""COMPUTED_VALUE"""),"Kamara")</f>
        <v>Kamara</v>
      </c>
      <c r="Z363" s="3">
        <v>65.0</v>
      </c>
      <c r="AA363" s="3">
        <f t="shared" si="6"/>
        <v>1</v>
      </c>
      <c r="AB363" s="3">
        <f t="shared" si="7"/>
        <v>0</v>
      </c>
      <c r="AC363" s="3">
        <f t="shared" si="8"/>
        <v>1.709401709</v>
      </c>
      <c r="AD363" s="3">
        <f t="shared" si="9"/>
        <v>-2</v>
      </c>
    </row>
    <row r="364">
      <c r="A364" s="1" t="s">
        <v>10</v>
      </c>
      <c r="B364" s="1" t="s">
        <v>282</v>
      </c>
      <c r="C364" s="1" t="s">
        <v>19</v>
      </c>
      <c r="D364" s="1" t="s">
        <v>58</v>
      </c>
      <c r="E364" s="1" t="s">
        <v>88</v>
      </c>
      <c r="F364" s="1" t="s">
        <v>455</v>
      </c>
      <c r="G364" s="1">
        <v>51.5</v>
      </c>
      <c r="H364" s="1" t="s">
        <v>60</v>
      </c>
      <c r="I364" s="1">
        <v>-111.0</v>
      </c>
      <c r="J364" s="1">
        <v>-0.110988781572443</v>
      </c>
      <c r="K364" s="1" t="s">
        <v>61</v>
      </c>
      <c r="L364" s="1" t="s">
        <v>61</v>
      </c>
      <c r="M364" s="1" t="s">
        <v>62</v>
      </c>
      <c r="N364" s="1">
        <v>-118.0</v>
      </c>
      <c r="O364" s="1">
        <v>0.0436695677353468</v>
      </c>
      <c r="P364" s="1" t="s">
        <v>61</v>
      </c>
      <c r="Q364" s="1" t="s">
        <v>61</v>
      </c>
      <c r="R364" s="1">
        <f t="shared" si="1"/>
        <v>0.04366956774</v>
      </c>
      <c r="S364" s="1">
        <f t="shared" si="2"/>
        <v>-118</v>
      </c>
      <c r="T364" s="1">
        <f t="shared" si="3"/>
        <v>1.847457627</v>
      </c>
      <c r="U364" s="1">
        <f t="shared" si="4"/>
        <v>0</v>
      </c>
      <c r="V364" s="3">
        <f t="shared" si="5"/>
        <v>1</v>
      </c>
      <c r="W364" s="3" t="str">
        <f>IFERROR(__xludf.DUMMYFUNCTION("split(B364,"" "")"),"A.")</f>
        <v>A.</v>
      </c>
      <c r="X364" s="3" t="str">
        <f>IFERROR(__xludf.DUMMYFUNCTION("""COMPUTED_VALUE"""),"Kamara")</f>
        <v>Kamara</v>
      </c>
      <c r="Z364" s="3">
        <v>115.0</v>
      </c>
      <c r="AA364" s="3">
        <f t="shared" si="6"/>
        <v>1</v>
      </c>
      <c r="AB364" s="3">
        <f t="shared" si="7"/>
        <v>0</v>
      </c>
      <c r="AC364" s="3">
        <f t="shared" si="8"/>
        <v>0.8474576271</v>
      </c>
      <c r="AD364" s="3">
        <f t="shared" si="9"/>
        <v>-1</v>
      </c>
    </row>
    <row r="365">
      <c r="A365" s="1" t="s">
        <v>10</v>
      </c>
      <c r="B365" s="1" t="s">
        <v>127</v>
      </c>
      <c r="C365" s="1" t="s">
        <v>19</v>
      </c>
      <c r="D365" s="1" t="s">
        <v>58</v>
      </c>
      <c r="E365" s="1" t="s">
        <v>88</v>
      </c>
      <c r="F365" s="1" t="s">
        <v>455</v>
      </c>
      <c r="G365" s="1">
        <v>19.5</v>
      </c>
      <c r="H365" s="1" t="s">
        <v>60</v>
      </c>
      <c r="I365" s="1">
        <v>-105.0</v>
      </c>
      <c r="J365" s="1">
        <v>-0.0978391771138262</v>
      </c>
      <c r="K365" s="1" t="s">
        <v>61</v>
      </c>
      <c r="L365" s="1" t="s">
        <v>61</v>
      </c>
      <c r="M365" s="1" t="s">
        <v>62</v>
      </c>
      <c r="N365" s="1">
        <v>-125.0</v>
      </c>
      <c r="O365" s="1">
        <v>0.0300946183796353</v>
      </c>
      <c r="P365" s="1" t="s">
        <v>61</v>
      </c>
      <c r="Q365" s="1" t="s">
        <v>61</v>
      </c>
      <c r="R365" s="1">
        <f t="shared" si="1"/>
        <v>0.03009461838</v>
      </c>
      <c r="S365" s="1">
        <f t="shared" si="2"/>
        <v>-125</v>
      </c>
      <c r="T365" s="1">
        <f t="shared" si="3"/>
        <v>1.8</v>
      </c>
      <c r="U365" s="1">
        <f t="shared" si="4"/>
        <v>0</v>
      </c>
      <c r="V365" s="3">
        <f t="shared" si="5"/>
        <v>1</v>
      </c>
      <c r="W365" s="3" t="str">
        <f>IFERROR(__xludf.DUMMYFUNCTION("split(B365,"" "")"),"J.")</f>
        <v>J.</v>
      </c>
      <c r="X365" s="3" t="str">
        <f>IFERROR(__xludf.DUMMYFUNCTION("""COMPUTED_VALUE"""),"Williams")</f>
        <v>Williams</v>
      </c>
      <c r="Z365" s="3">
        <v>39.0</v>
      </c>
      <c r="AA365" s="3">
        <f t="shared" si="6"/>
        <v>1</v>
      </c>
      <c r="AB365" s="3">
        <f t="shared" si="7"/>
        <v>0</v>
      </c>
      <c r="AC365" s="3">
        <f t="shared" si="8"/>
        <v>0.8</v>
      </c>
      <c r="AD365" s="3">
        <f t="shared" si="9"/>
        <v>-1</v>
      </c>
    </row>
    <row r="366">
      <c r="A366" s="1" t="s">
        <v>10</v>
      </c>
      <c r="B366" s="1" t="s">
        <v>441</v>
      </c>
      <c r="C366" s="1" t="s">
        <v>20</v>
      </c>
      <c r="D366" s="1" t="s">
        <v>58</v>
      </c>
      <c r="E366" s="1" t="s">
        <v>88</v>
      </c>
      <c r="F366" s="1" t="s">
        <v>455</v>
      </c>
      <c r="G366" s="1">
        <v>15.5</v>
      </c>
      <c r="H366" s="1" t="s">
        <v>60</v>
      </c>
      <c r="I366" s="1">
        <v>-112.0</v>
      </c>
      <c r="J366" s="1">
        <v>-0.0960852947775428</v>
      </c>
      <c r="K366" s="1" t="s">
        <v>61</v>
      </c>
      <c r="L366" s="1" t="s">
        <v>61</v>
      </c>
      <c r="M366" s="1" t="s">
        <v>62</v>
      </c>
      <c r="N366" s="1">
        <v>-118.0</v>
      </c>
      <c r="O366" s="1">
        <v>0.026526061199771</v>
      </c>
      <c r="P366" s="1" t="s">
        <v>61</v>
      </c>
      <c r="Q366" s="1" t="s">
        <v>61</v>
      </c>
      <c r="R366" s="1">
        <f t="shared" si="1"/>
        <v>0.0265260612</v>
      </c>
      <c r="S366" s="1">
        <f t="shared" si="2"/>
        <v>-118</v>
      </c>
      <c r="T366" s="1">
        <f t="shared" si="3"/>
        <v>1.847457627</v>
      </c>
      <c r="U366" s="1">
        <f t="shared" si="4"/>
        <v>0</v>
      </c>
      <c r="V366" s="3">
        <f t="shared" si="5"/>
        <v>1</v>
      </c>
      <c r="W366" s="3" t="str">
        <f>IFERROR(__xludf.DUMMYFUNCTION("split(B366,"" "")"),"T.")</f>
        <v>T.</v>
      </c>
      <c r="X366" s="3" t="str">
        <f>IFERROR(__xludf.DUMMYFUNCTION("""COMPUTED_VALUE"""),"Hill")</f>
        <v>Hill</v>
      </c>
      <c r="Z366" s="3">
        <v>18.0</v>
      </c>
      <c r="AA366" s="3">
        <f t="shared" si="6"/>
        <v>1</v>
      </c>
      <c r="AB366" s="3">
        <f t="shared" si="7"/>
        <v>0</v>
      </c>
      <c r="AC366" s="3">
        <f t="shared" si="8"/>
        <v>0.8474576271</v>
      </c>
      <c r="AD366" s="3">
        <f t="shared" si="9"/>
        <v>-1</v>
      </c>
    </row>
    <row r="367">
      <c r="A367" s="1" t="s">
        <v>12</v>
      </c>
      <c r="B367" s="1" t="s">
        <v>270</v>
      </c>
      <c r="C367" s="1" t="s">
        <v>19</v>
      </c>
      <c r="D367" s="1" t="s">
        <v>147</v>
      </c>
      <c r="E367" s="1" t="s">
        <v>114</v>
      </c>
      <c r="F367" s="1" t="s">
        <v>455</v>
      </c>
      <c r="G367" s="1">
        <v>2.5</v>
      </c>
      <c r="H367" s="1" t="s">
        <v>60</v>
      </c>
      <c r="I367" s="1">
        <v>-108.0</v>
      </c>
      <c r="J367" s="1">
        <v>-0.225926137884615</v>
      </c>
      <c r="K367" s="1" t="s">
        <v>61</v>
      </c>
      <c r="L367" s="1" t="s">
        <v>61</v>
      </c>
      <c r="M367" s="1" t="s">
        <v>62</v>
      </c>
      <c r="N367" s="1">
        <v>-122.0</v>
      </c>
      <c r="O367" s="1">
        <v>0.157145156529729</v>
      </c>
      <c r="P367" s="1" t="s">
        <v>61</v>
      </c>
      <c r="Q367" s="1" t="s">
        <v>61</v>
      </c>
      <c r="R367" s="1">
        <f t="shared" si="1"/>
        <v>0.1571451565</v>
      </c>
      <c r="S367" s="1">
        <f t="shared" si="2"/>
        <v>-122</v>
      </c>
      <c r="T367" s="1">
        <f t="shared" si="3"/>
        <v>1.819672131</v>
      </c>
      <c r="U367" s="1">
        <f t="shared" si="4"/>
        <v>0</v>
      </c>
      <c r="V367" s="3">
        <f t="shared" si="5"/>
        <v>3</v>
      </c>
      <c r="W367" s="3" t="str">
        <f>IFERROR(__xludf.DUMMYFUNCTION("split(B367,"" "")"),"D.")</f>
        <v>D.</v>
      </c>
      <c r="X367" s="3" t="str">
        <f>IFERROR(__xludf.DUMMYFUNCTION("""COMPUTED_VALUE"""),"Singletary")</f>
        <v>Singletary</v>
      </c>
      <c r="Z367" s="1">
        <v>95.0</v>
      </c>
      <c r="AA367" s="3">
        <f t="shared" si="6"/>
        <v>1</v>
      </c>
      <c r="AB367" s="3">
        <f t="shared" si="7"/>
        <v>0</v>
      </c>
      <c r="AC367" s="3">
        <f t="shared" si="8"/>
        <v>2.459016393</v>
      </c>
      <c r="AD367" s="3">
        <f t="shared" si="9"/>
        <v>-3</v>
      </c>
    </row>
    <row r="368">
      <c r="A368" s="1" t="s">
        <v>8</v>
      </c>
      <c r="B368" s="1" t="s">
        <v>270</v>
      </c>
      <c r="C368" s="1" t="s">
        <v>19</v>
      </c>
      <c r="D368" s="1" t="s">
        <v>147</v>
      </c>
      <c r="E368" s="1" t="s">
        <v>114</v>
      </c>
      <c r="F368" s="1" t="s">
        <v>455</v>
      </c>
      <c r="G368" s="1">
        <v>13.5</v>
      </c>
      <c r="H368" s="1" t="s">
        <v>60</v>
      </c>
      <c r="I368" s="1">
        <v>-113.0</v>
      </c>
      <c r="J368" s="1">
        <v>-0.126461429715023</v>
      </c>
      <c r="K368" s="1" t="s">
        <v>61</v>
      </c>
      <c r="L368" s="1" t="s">
        <v>61</v>
      </c>
      <c r="M368" s="1" t="s">
        <v>62</v>
      </c>
      <c r="N368" s="1">
        <v>-116.0</v>
      </c>
      <c r="O368" s="1">
        <v>0.0589144354351296</v>
      </c>
      <c r="P368" s="1" t="s">
        <v>61</v>
      </c>
      <c r="Q368" s="1" t="s">
        <v>61</v>
      </c>
      <c r="R368" s="1">
        <f t="shared" si="1"/>
        <v>0.05891443544</v>
      </c>
      <c r="S368" s="1">
        <f t="shared" si="2"/>
        <v>-116</v>
      </c>
      <c r="T368" s="1">
        <f t="shared" si="3"/>
        <v>1.862068966</v>
      </c>
      <c r="U368" s="1">
        <f t="shared" si="4"/>
        <v>0</v>
      </c>
      <c r="V368" s="3">
        <f t="shared" si="5"/>
        <v>2</v>
      </c>
      <c r="W368" s="3" t="str">
        <f>IFERROR(__xludf.DUMMYFUNCTION("split(B368,"" "")"),"D.")</f>
        <v>D.</v>
      </c>
      <c r="X368" s="3" t="str">
        <f>IFERROR(__xludf.DUMMYFUNCTION("""COMPUTED_VALUE"""),"Singletary")</f>
        <v>Singletary</v>
      </c>
      <c r="Z368" s="3">
        <v>16.0</v>
      </c>
      <c r="AA368" s="3">
        <f t="shared" si="6"/>
        <v>1</v>
      </c>
      <c r="AB368" s="3">
        <f t="shared" si="7"/>
        <v>0</v>
      </c>
      <c r="AC368" s="3">
        <f t="shared" si="8"/>
        <v>1.724137931</v>
      </c>
      <c r="AD368" s="3">
        <f t="shared" si="9"/>
        <v>-2</v>
      </c>
    </row>
    <row r="369">
      <c r="A369" s="1" t="s">
        <v>9</v>
      </c>
      <c r="B369" s="1" t="s">
        <v>270</v>
      </c>
      <c r="C369" s="1" t="s">
        <v>19</v>
      </c>
      <c r="D369" s="1" t="s">
        <v>147</v>
      </c>
      <c r="E369" s="1" t="s">
        <v>114</v>
      </c>
      <c r="F369" s="1" t="s">
        <v>455</v>
      </c>
      <c r="G369" s="1">
        <v>78.5</v>
      </c>
      <c r="H369" s="1" t="s">
        <v>60</v>
      </c>
      <c r="I369" s="1">
        <v>-120.0</v>
      </c>
      <c r="J369" s="1">
        <v>-0.130868558570101</v>
      </c>
      <c r="K369" s="1" t="s">
        <v>61</v>
      </c>
      <c r="L369" s="1" t="s">
        <v>61</v>
      </c>
      <c r="M369" s="1" t="s">
        <v>62</v>
      </c>
      <c r="N369" s="1">
        <v>-115.0</v>
      </c>
      <c r="O369" s="1">
        <v>0.0505504433406306</v>
      </c>
      <c r="P369" s="1" t="s">
        <v>61</v>
      </c>
      <c r="Q369" s="1" t="s">
        <v>61</v>
      </c>
      <c r="R369" s="1">
        <f t="shared" si="1"/>
        <v>0.05055044334</v>
      </c>
      <c r="S369" s="1">
        <f t="shared" si="2"/>
        <v>-115</v>
      </c>
      <c r="T369" s="1">
        <f t="shared" si="3"/>
        <v>1.869565217</v>
      </c>
      <c r="U369" s="1">
        <f t="shared" si="4"/>
        <v>0</v>
      </c>
      <c r="V369" s="3">
        <f t="shared" si="5"/>
        <v>2</v>
      </c>
      <c r="W369" s="3" t="str">
        <f>IFERROR(__xludf.DUMMYFUNCTION("split(B369,"" "")"),"D.")</f>
        <v>D.</v>
      </c>
      <c r="X369" s="3" t="str">
        <f>IFERROR(__xludf.DUMMYFUNCTION("""COMPUTED_VALUE"""),"Singletary")</f>
        <v>Singletary</v>
      </c>
      <c r="Z369" s="3">
        <v>95.0</v>
      </c>
      <c r="AA369" s="3">
        <f t="shared" si="6"/>
        <v>1</v>
      </c>
      <c r="AB369" s="3">
        <f t="shared" si="7"/>
        <v>0</v>
      </c>
      <c r="AC369" s="3">
        <f t="shared" si="8"/>
        <v>1.739130435</v>
      </c>
      <c r="AD369" s="3">
        <f t="shared" si="9"/>
        <v>-2</v>
      </c>
    </row>
    <row r="370">
      <c r="A370" s="1" t="s">
        <v>11</v>
      </c>
      <c r="B370" s="1" t="s">
        <v>478</v>
      </c>
      <c r="C370" s="1" t="s">
        <v>18</v>
      </c>
      <c r="D370" s="1" t="s">
        <v>147</v>
      </c>
      <c r="E370" s="1" t="s">
        <v>114</v>
      </c>
      <c r="F370" s="1" t="s">
        <v>455</v>
      </c>
      <c r="G370" s="1">
        <v>64.5</v>
      </c>
      <c r="H370" s="1" t="s">
        <v>60</v>
      </c>
      <c r="I370" s="1">
        <v>-121.0</v>
      </c>
      <c r="J370" s="1">
        <v>-0.0915842968394106</v>
      </c>
      <c r="K370" s="1" t="s">
        <v>61</v>
      </c>
      <c r="L370" s="1" t="s">
        <v>61</v>
      </c>
      <c r="M370" s="1" t="s">
        <v>62</v>
      </c>
      <c r="N370" s="1">
        <v>-106.0</v>
      </c>
      <c r="O370" s="1">
        <v>0.029546713196206</v>
      </c>
      <c r="P370" s="1" t="s">
        <v>61</v>
      </c>
      <c r="Q370" s="1" t="s">
        <v>61</v>
      </c>
      <c r="R370" s="1">
        <f t="shared" si="1"/>
        <v>0.0295467132</v>
      </c>
      <c r="S370" s="1">
        <f t="shared" si="2"/>
        <v>-106</v>
      </c>
      <c r="T370" s="1">
        <f t="shared" si="3"/>
        <v>1.943396226</v>
      </c>
      <c r="U370" s="1">
        <f t="shared" si="4"/>
        <v>0</v>
      </c>
      <c r="V370" s="3">
        <f t="shared" si="5"/>
        <v>1</v>
      </c>
      <c r="W370" s="3" t="str">
        <f>IFERROR(__xludf.DUMMYFUNCTION("split(B370,"" "")"),"M.")</f>
        <v>M.</v>
      </c>
      <c r="X370" s="3" t="str">
        <f>IFERROR(__xludf.DUMMYFUNCTION("""COMPUTED_VALUE"""),"Nabers")</f>
        <v>Nabers</v>
      </c>
      <c r="Z370" s="3">
        <v>127.0</v>
      </c>
      <c r="AA370" s="3">
        <f t="shared" si="6"/>
        <v>1</v>
      </c>
      <c r="AB370" s="3">
        <f t="shared" si="7"/>
        <v>0</v>
      </c>
      <c r="AC370" s="3">
        <f t="shared" si="8"/>
        <v>0.9433962264</v>
      </c>
      <c r="AD370" s="3">
        <f t="shared" si="9"/>
        <v>-1</v>
      </c>
    </row>
    <row r="371">
      <c r="A371" s="1" t="s">
        <v>10</v>
      </c>
      <c r="B371" s="1" t="s">
        <v>270</v>
      </c>
      <c r="C371" s="1" t="s">
        <v>19</v>
      </c>
      <c r="D371" s="1" t="s">
        <v>147</v>
      </c>
      <c r="E371" s="1" t="s">
        <v>114</v>
      </c>
      <c r="F371" s="1" t="s">
        <v>455</v>
      </c>
      <c r="G371" s="1">
        <v>57.5</v>
      </c>
      <c r="H371" s="1" t="s">
        <v>60</v>
      </c>
      <c r="I371" s="1">
        <v>-109.0</v>
      </c>
      <c r="J371" s="1">
        <v>-0.0672291562904893</v>
      </c>
      <c r="K371" s="1" t="s">
        <v>61</v>
      </c>
      <c r="L371" s="1" t="s">
        <v>61</v>
      </c>
      <c r="M371" s="1" t="s">
        <v>62</v>
      </c>
      <c r="N371" s="1">
        <v>-117.0</v>
      </c>
      <c r="O371" s="1">
        <v>0.00652629195222131</v>
      </c>
      <c r="P371" s="1" t="s">
        <v>61</v>
      </c>
      <c r="Q371" s="1" t="s">
        <v>61</v>
      </c>
      <c r="R371" s="1">
        <f t="shared" si="1"/>
        <v>0.006526291952</v>
      </c>
      <c r="S371" s="1">
        <f t="shared" si="2"/>
        <v>-117</v>
      </c>
      <c r="T371" s="1">
        <f t="shared" si="3"/>
        <v>1.854700855</v>
      </c>
      <c r="U371" s="1">
        <f t="shared" si="4"/>
        <v>0</v>
      </c>
      <c r="V371" s="3">
        <f t="shared" si="5"/>
        <v>1</v>
      </c>
      <c r="W371" s="3" t="str">
        <f>IFERROR(__xludf.DUMMYFUNCTION("split(B371,"" "")"),"D.")</f>
        <v>D.</v>
      </c>
      <c r="X371" s="3" t="str">
        <f>IFERROR(__xludf.DUMMYFUNCTION("""COMPUTED_VALUE"""),"Singletary")</f>
        <v>Singletary</v>
      </c>
      <c r="Z371" s="3">
        <v>95.0</v>
      </c>
      <c r="AA371" s="3">
        <f t="shared" si="6"/>
        <v>1</v>
      </c>
      <c r="AB371" s="3">
        <f t="shared" si="7"/>
        <v>0</v>
      </c>
      <c r="AC371" s="3">
        <f t="shared" si="8"/>
        <v>0.8547008547</v>
      </c>
      <c r="AD371" s="3">
        <f t="shared" si="9"/>
        <v>-1</v>
      </c>
    </row>
    <row r="372">
      <c r="A372" s="1" t="s">
        <v>9</v>
      </c>
      <c r="B372" s="1" t="s">
        <v>478</v>
      </c>
      <c r="C372" s="1" t="s">
        <v>18</v>
      </c>
      <c r="D372" s="1" t="s">
        <v>147</v>
      </c>
      <c r="E372" s="1" t="s">
        <v>114</v>
      </c>
      <c r="F372" s="1" t="s">
        <v>455</v>
      </c>
      <c r="G372" s="1">
        <v>66.0</v>
      </c>
      <c r="H372" s="1" t="s">
        <v>60</v>
      </c>
      <c r="I372" s="1">
        <v>-117.0</v>
      </c>
      <c r="J372" s="1">
        <v>-0.0787552326887147</v>
      </c>
      <c r="K372" s="1" t="s">
        <v>61</v>
      </c>
      <c r="L372" s="1" t="s">
        <v>61</v>
      </c>
      <c r="M372" s="1" t="s">
        <v>62</v>
      </c>
      <c r="N372" s="1">
        <v>-116.0</v>
      </c>
      <c r="O372" s="1">
        <v>0.00330586653890396</v>
      </c>
      <c r="P372" s="1" t="s">
        <v>61</v>
      </c>
      <c r="Q372" s="1" t="s">
        <v>61</v>
      </c>
      <c r="R372" s="1">
        <f t="shared" si="1"/>
        <v>0.003305866539</v>
      </c>
      <c r="S372" s="1">
        <f t="shared" si="2"/>
        <v>-116</v>
      </c>
      <c r="T372" s="1">
        <f t="shared" si="3"/>
        <v>1.862068966</v>
      </c>
      <c r="U372" s="1">
        <f t="shared" si="4"/>
        <v>0</v>
      </c>
      <c r="V372" s="3">
        <f t="shared" si="5"/>
        <v>1</v>
      </c>
      <c r="W372" s="3" t="str">
        <f>IFERROR(__xludf.DUMMYFUNCTION("split(B372,"" "")"),"M.")</f>
        <v>M.</v>
      </c>
      <c r="X372" s="3" t="str">
        <f>IFERROR(__xludf.DUMMYFUNCTION("""COMPUTED_VALUE"""),"Nabers")</f>
        <v>Nabers</v>
      </c>
      <c r="Z372" s="3">
        <v>127.0</v>
      </c>
      <c r="AA372" s="3">
        <f t="shared" si="6"/>
        <v>1</v>
      </c>
      <c r="AB372" s="3">
        <f t="shared" si="7"/>
        <v>0</v>
      </c>
      <c r="AC372" s="3">
        <f t="shared" si="8"/>
        <v>0.8620689655</v>
      </c>
      <c r="AD372" s="3">
        <f t="shared" si="9"/>
        <v>-1</v>
      </c>
    </row>
    <row r="373">
      <c r="A373" s="1" t="s">
        <v>10</v>
      </c>
      <c r="B373" s="1" t="s">
        <v>330</v>
      </c>
      <c r="C373" s="1" t="s">
        <v>21</v>
      </c>
      <c r="D373" s="1" t="s">
        <v>165</v>
      </c>
      <c r="E373" s="1" t="s">
        <v>100</v>
      </c>
      <c r="F373" s="1" t="s">
        <v>455</v>
      </c>
      <c r="G373" s="1">
        <v>2.5</v>
      </c>
      <c r="H373" s="1" t="s">
        <v>60</v>
      </c>
      <c r="I373" s="1">
        <v>-105.0</v>
      </c>
      <c r="J373" s="1">
        <v>0.0909098072256201</v>
      </c>
      <c r="K373" s="1" t="s">
        <v>61</v>
      </c>
      <c r="L373" s="1" t="s">
        <v>61</v>
      </c>
      <c r="M373" s="1" t="s">
        <v>62</v>
      </c>
      <c r="N373" s="1">
        <v>-124.0</v>
      </c>
      <c r="O373" s="1">
        <v>-0.156677022306931</v>
      </c>
      <c r="P373" s="1" t="s">
        <v>61</v>
      </c>
      <c r="Q373" s="1" t="s">
        <v>61</v>
      </c>
      <c r="R373" s="1">
        <f t="shared" si="1"/>
        <v>0.09090980723</v>
      </c>
      <c r="S373" s="1">
        <f t="shared" si="2"/>
        <v>-105</v>
      </c>
      <c r="T373" s="1">
        <f t="shared" si="3"/>
        <v>1.952380952</v>
      </c>
      <c r="U373" s="1">
        <f t="shared" si="4"/>
        <v>1</v>
      </c>
      <c r="V373" s="3">
        <f t="shared" si="5"/>
        <v>2</v>
      </c>
      <c r="W373" s="3" t="str">
        <f>IFERROR(__xludf.DUMMYFUNCTION("split(B373,"" "")"),"A.")</f>
        <v>A.</v>
      </c>
      <c r="X373" s="3" t="str">
        <f>IFERROR(__xludf.DUMMYFUNCTION("""COMPUTED_VALUE"""),"Rodgers")</f>
        <v>Rodgers</v>
      </c>
      <c r="Z373" s="3">
        <v>1.0</v>
      </c>
      <c r="AA373" s="3">
        <f t="shared" si="6"/>
        <v>0</v>
      </c>
      <c r="AB373" s="3">
        <f t="shared" si="7"/>
        <v>0</v>
      </c>
      <c r="AC373" s="3">
        <f t="shared" si="8"/>
        <v>1.904761905</v>
      </c>
      <c r="AD373" s="3">
        <f t="shared" si="9"/>
        <v>-2</v>
      </c>
    </row>
    <row r="374">
      <c r="A374" s="1" t="s">
        <v>14</v>
      </c>
      <c r="B374" s="1" t="s">
        <v>330</v>
      </c>
      <c r="C374" s="1" t="s">
        <v>21</v>
      </c>
      <c r="D374" s="1" t="s">
        <v>165</v>
      </c>
      <c r="E374" s="1" t="s">
        <v>100</v>
      </c>
      <c r="F374" s="1" t="s">
        <v>455</v>
      </c>
      <c r="G374" s="1">
        <v>1.5</v>
      </c>
      <c r="H374" s="1" t="s">
        <v>60</v>
      </c>
      <c r="I374" s="1">
        <v>101.0</v>
      </c>
      <c r="J374" s="1">
        <v>-0.122762189054726</v>
      </c>
      <c r="K374" s="1" t="s">
        <v>61</v>
      </c>
      <c r="L374" s="1" t="s">
        <v>61</v>
      </c>
      <c r="M374" s="1" t="s">
        <v>62</v>
      </c>
      <c r="N374" s="1">
        <v>-133.0</v>
      </c>
      <c r="O374" s="1">
        <v>0.0544274678111588</v>
      </c>
      <c r="P374" s="1" t="s">
        <v>61</v>
      </c>
      <c r="Q374" s="1" t="s">
        <v>61</v>
      </c>
      <c r="R374" s="1">
        <f t="shared" si="1"/>
        <v>0.05442746781</v>
      </c>
      <c r="S374" s="1">
        <f t="shared" si="2"/>
        <v>-133</v>
      </c>
      <c r="T374" s="1">
        <f t="shared" si="3"/>
        <v>1.751879699</v>
      </c>
      <c r="U374" s="1">
        <f t="shared" si="4"/>
        <v>0</v>
      </c>
      <c r="V374" s="3">
        <f t="shared" si="5"/>
        <v>2</v>
      </c>
      <c r="W374" s="3" t="str">
        <f>IFERROR(__xludf.DUMMYFUNCTION("split(B374,"" "")"),"A.")</f>
        <v>A.</v>
      </c>
      <c r="X374" s="3" t="str">
        <f>IFERROR(__xludf.DUMMYFUNCTION("""COMPUTED_VALUE"""),"Rodgers")</f>
        <v>Rodgers</v>
      </c>
      <c r="Z374" s="3">
        <v>2.0</v>
      </c>
      <c r="AA374" s="3">
        <f t="shared" si="6"/>
        <v>1</v>
      </c>
      <c r="AB374" s="3">
        <f t="shared" si="7"/>
        <v>0</v>
      </c>
      <c r="AC374" s="3">
        <f t="shared" si="8"/>
        <v>1.503759398</v>
      </c>
      <c r="AD374" s="3">
        <f t="shared" si="9"/>
        <v>-2</v>
      </c>
    </row>
    <row r="375">
      <c r="A375" s="1" t="s">
        <v>12</v>
      </c>
      <c r="B375" s="1" t="s">
        <v>336</v>
      </c>
      <c r="C375" s="1" t="s">
        <v>19</v>
      </c>
      <c r="D375" s="1" t="s">
        <v>165</v>
      </c>
      <c r="E375" s="1" t="s">
        <v>100</v>
      </c>
      <c r="F375" s="1" t="s">
        <v>455</v>
      </c>
      <c r="G375" s="1">
        <v>4.5</v>
      </c>
      <c r="H375" s="1" t="s">
        <v>60</v>
      </c>
      <c r="I375" s="1">
        <v>102.0</v>
      </c>
      <c r="J375" s="1">
        <v>-0.114949504950495</v>
      </c>
      <c r="K375" s="1" t="s">
        <v>61</v>
      </c>
      <c r="L375" s="1" t="s">
        <v>61</v>
      </c>
      <c r="M375" s="1" t="s">
        <v>62</v>
      </c>
      <c r="N375" s="1">
        <v>-132.0</v>
      </c>
      <c r="O375" s="1">
        <v>0.0509344827586206</v>
      </c>
      <c r="P375" s="1" t="s">
        <v>61</v>
      </c>
      <c r="Q375" s="1" t="s">
        <v>61</v>
      </c>
      <c r="R375" s="1">
        <f t="shared" si="1"/>
        <v>0.05093448276</v>
      </c>
      <c r="S375" s="1">
        <f t="shared" si="2"/>
        <v>-132</v>
      </c>
      <c r="T375" s="1">
        <f t="shared" si="3"/>
        <v>1.757575758</v>
      </c>
      <c r="U375" s="1">
        <f t="shared" si="4"/>
        <v>0</v>
      </c>
      <c r="V375" s="3">
        <f t="shared" si="5"/>
        <v>2</v>
      </c>
      <c r="W375" s="3" t="str">
        <f>IFERROR(__xludf.DUMMYFUNCTION("split(B375,"" "")"),"B.")</f>
        <v>B.</v>
      </c>
      <c r="X375" s="3" t="str">
        <f>IFERROR(__xludf.DUMMYFUNCTION("""COMPUTED_VALUE"""),"Hall")</f>
        <v>Hall</v>
      </c>
      <c r="Z375" s="3">
        <v>7.0</v>
      </c>
      <c r="AA375" s="3">
        <f t="shared" si="6"/>
        <v>1</v>
      </c>
      <c r="AB375" s="3">
        <f t="shared" si="7"/>
        <v>0</v>
      </c>
      <c r="AC375" s="3">
        <f t="shared" si="8"/>
        <v>1.515151515</v>
      </c>
      <c r="AD375" s="3">
        <f t="shared" si="9"/>
        <v>-2</v>
      </c>
    </row>
    <row r="376">
      <c r="A376" s="1" t="s">
        <v>11</v>
      </c>
      <c r="B376" s="1" t="s">
        <v>336</v>
      </c>
      <c r="C376" s="1" t="s">
        <v>19</v>
      </c>
      <c r="D376" s="1" t="s">
        <v>165</v>
      </c>
      <c r="E376" s="1" t="s">
        <v>100</v>
      </c>
      <c r="F376" s="1" t="s">
        <v>455</v>
      </c>
      <c r="G376" s="1">
        <v>29.5</v>
      </c>
      <c r="H376" s="1" t="s">
        <v>60</v>
      </c>
      <c r="I376" s="1">
        <v>-114.0</v>
      </c>
      <c r="J376" s="1">
        <v>-0.0976676118303273</v>
      </c>
      <c r="K376" s="1" t="s">
        <v>61</v>
      </c>
      <c r="L376" s="1" t="s">
        <v>61</v>
      </c>
      <c r="M376" s="1" t="s">
        <v>62</v>
      </c>
      <c r="N376" s="1">
        <v>-115.0</v>
      </c>
      <c r="O376" s="1">
        <v>0.0300819035881093</v>
      </c>
      <c r="P376" s="1" t="s">
        <v>61</v>
      </c>
      <c r="Q376" s="1" t="s">
        <v>61</v>
      </c>
      <c r="R376" s="1">
        <f t="shared" si="1"/>
        <v>0.03008190359</v>
      </c>
      <c r="S376" s="1">
        <f t="shared" si="2"/>
        <v>-115</v>
      </c>
      <c r="T376" s="1">
        <f t="shared" si="3"/>
        <v>1.869565217</v>
      </c>
      <c r="U376" s="1">
        <f t="shared" si="4"/>
        <v>0</v>
      </c>
      <c r="V376" s="3">
        <f t="shared" si="5"/>
        <v>1</v>
      </c>
      <c r="W376" s="3" t="str">
        <f>IFERROR(__xludf.DUMMYFUNCTION("split(B376,"" "")"),"B.")</f>
        <v>B.</v>
      </c>
      <c r="X376" s="3" t="str">
        <f>IFERROR(__xludf.DUMMYFUNCTION("""COMPUTED_VALUE"""),"Hall")</f>
        <v>Hall</v>
      </c>
      <c r="Z376" s="3">
        <v>52.0</v>
      </c>
      <c r="AA376" s="3">
        <f t="shared" si="6"/>
        <v>1</v>
      </c>
      <c r="AB376" s="3">
        <f t="shared" si="7"/>
        <v>0</v>
      </c>
      <c r="AC376" s="3">
        <f t="shared" si="8"/>
        <v>0.8695652174</v>
      </c>
      <c r="AD376" s="3">
        <f t="shared" si="9"/>
        <v>-1</v>
      </c>
    </row>
    <row r="377">
      <c r="A377" s="1" t="s">
        <v>9</v>
      </c>
      <c r="B377" s="1" t="s">
        <v>336</v>
      </c>
      <c r="C377" s="1" t="s">
        <v>19</v>
      </c>
      <c r="D377" s="1" t="s">
        <v>165</v>
      </c>
      <c r="E377" s="1" t="s">
        <v>100</v>
      </c>
      <c r="F377" s="1" t="s">
        <v>455</v>
      </c>
      <c r="G377" s="1">
        <v>103.5</v>
      </c>
      <c r="H377" s="1" t="s">
        <v>60</v>
      </c>
      <c r="I377" s="1">
        <v>-120.0</v>
      </c>
      <c r="J377" s="1">
        <v>-0.0794612707000175</v>
      </c>
      <c r="K377" s="1" t="s">
        <v>61</v>
      </c>
      <c r="L377" s="1" t="s">
        <v>61</v>
      </c>
      <c r="M377" s="1" t="s">
        <v>62</v>
      </c>
      <c r="N377" s="1">
        <v>-113.0</v>
      </c>
      <c r="O377" s="1">
        <v>0.00347452152537253</v>
      </c>
      <c r="P377" s="1" t="s">
        <v>61</v>
      </c>
      <c r="Q377" s="1" t="s">
        <v>61</v>
      </c>
      <c r="R377" s="1">
        <f t="shared" si="1"/>
        <v>0.003474521525</v>
      </c>
      <c r="S377" s="1">
        <f t="shared" si="2"/>
        <v>-113</v>
      </c>
      <c r="T377" s="1">
        <f t="shared" si="3"/>
        <v>1.884955752</v>
      </c>
      <c r="U377" s="1">
        <f t="shared" si="4"/>
        <v>0</v>
      </c>
      <c r="V377" s="3">
        <f t="shared" si="5"/>
        <v>1</v>
      </c>
      <c r="W377" s="3" t="str">
        <f>IFERROR(__xludf.DUMMYFUNCTION("split(B377,"" "")"),"B.")</f>
        <v>B.</v>
      </c>
      <c r="X377" s="3" t="str">
        <f>IFERROR(__xludf.DUMMYFUNCTION("""COMPUTED_VALUE"""),"Hall")</f>
        <v>Hall</v>
      </c>
      <c r="Z377" s="3">
        <v>114.0</v>
      </c>
      <c r="AA377" s="3">
        <f t="shared" si="6"/>
        <v>1</v>
      </c>
      <c r="AB377" s="3">
        <f t="shared" si="7"/>
        <v>0</v>
      </c>
      <c r="AC377" s="3">
        <f t="shared" si="8"/>
        <v>0.8849557522</v>
      </c>
      <c r="AD377" s="3">
        <f t="shared" si="9"/>
        <v>-1</v>
      </c>
    </row>
    <row r="378">
      <c r="A378" s="1" t="s">
        <v>12</v>
      </c>
      <c r="B378" s="1" t="s">
        <v>155</v>
      </c>
      <c r="C378" s="1" t="s">
        <v>19</v>
      </c>
      <c r="D378" s="1" t="s">
        <v>156</v>
      </c>
      <c r="E378" s="1" t="s">
        <v>109</v>
      </c>
      <c r="F378" s="1" t="s">
        <v>453</v>
      </c>
      <c r="G378" s="1">
        <v>2.5</v>
      </c>
      <c r="H378" s="1" t="s">
        <v>60</v>
      </c>
      <c r="I378" s="1">
        <v>-133.0</v>
      </c>
      <c r="J378" s="1">
        <v>-0.214870729055794</v>
      </c>
      <c r="K378" s="1" t="s">
        <v>61</v>
      </c>
      <c r="L378" s="1" t="s">
        <v>61</v>
      </c>
      <c r="M378" s="1" t="s">
        <v>62</v>
      </c>
      <c r="N378" s="1">
        <v>102.0</v>
      </c>
      <c r="O378" s="1">
        <v>0.148998910247524</v>
      </c>
      <c r="P378" s="1" t="s">
        <v>61</v>
      </c>
      <c r="Q378" s="1" t="s">
        <v>61</v>
      </c>
      <c r="R378" s="1">
        <f t="shared" si="1"/>
        <v>0.1489989102</v>
      </c>
      <c r="S378" s="1">
        <f t="shared" si="2"/>
        <v>102</v>
      </c>
      <c r="T378" s="1">
        <f t="shared" si="3"/>
        <v>2.02</v>
      </c>
      <c r="U378" s="1">
        <f t="shared" si="4"/>
        <v>0</v>
      </c>
      <c r="V378" s="3">
        <f t="shared" si="5"/>
        <v>3</v>
      </c>
      <c r="W378" s="3" t="str">
        <f>IFERROR(__xludf.DUMMYFUNCTION("split(B378,"" "")"),"S.")</f>
        <v>S.</v>
      </c>
      <c r="X378" s="3" t="str">
        <f>IFERROR(__xludf.DUMMYFUNCTION("""COMPUTED_VALUE"""),"Barkley")</f>
        <v>Barkley</v>
      </c>
      <c r="Z378" s="3">
        <v>4.0</v>
      </c>
      <c r="AA378" s="3">
        <f t="shared" si="6"/>
        <v>1</v>
      </c>
      <c r="AB378" s="3">
        <f t="shared" si="7"/>
        <v>0</v>
      </c>
      <c r="AC378" s="3">
        <f t="shared" si="8"/>
        <v>3.06</v>
      </c>
      <c r="AD378" s="3">
        <f t="shared" si="9"/>
        <v>-3</v>
      </c>
    </row>
    <row r="379">
      <c r="A379" s="1" t="s">
        <v>9</v>
      </c>
      <c r="B379" s="1" t="s">
        <v>155</v>
      </c>
      <c r="C379" s="1" t="s">
        <v>19</v>
      </c>
      <c r="D379" s="1" t="s">
        <v>156</v>
      </c>
      <c r="E379" s="1" t="s">
        <v>109</v>
      </c>
      <c r="F379" s="1" t="s">
        <v>453</v>
      </c>
      <c r="G379" s="1">
        <v>97.5</v>
      </c>
      <c r="H379" s="1" t="s">
        <v>60</v>
      </c>
      <c r="I379" s="1">
        <v>-116.0</v>
      </c>
      <c r="J379" s="1">
        <v>-0.125519007842278</v>
      </c>
      <c r="K379" s="1" t="s">
        <v>61</v>
      </c>
      <c r="L379" s="1" t="s">
        <v>61</v>
      </c>
      <c r="M379" s="1" t="s">
        <v>62</v>
      </c>
      <c r="N379" s="1">
        <v>-116.0</v>
      </c>
      <c r="O379" s="1">
        <v>0.0514734781050428</v>
      </c>
      <c r="P379" s="1" t="s">
        <v>61</v>
      </c>
      <c r="Q379" s="1" t="s">
        <v>61</v>
      </c>
      <c r="R379" s="1">
        <f t="shared" si="1"/>
        <v>0.05147347811</v>
      </c>
      <c r="S379" s="1">
        <f t="shared" si="2"/>
        <v>-116</v>
      </c>
      <c r="T379" s="1">
        <f t="shared" si="3"/>
        <v>1.862068966</v>
      </c>
      <c r="U379" s="1">
        <f t="shared" si="4"/>
        <v>0</v>
      </c>
      <c r="V379" s="3">
        <f t="shared" si="5"/>
        <v>2</v>
      </c>
      <c r="W379" s="3" t="str">
        <f>IFERROR(__xludf.DUMMYFUNCTION("split(B379,"" "")"),"S.")</f>
        <v>S.</v>
      </c>
      <c r="X379" s="3" t="str">
        <f>IFERROR(__xludf.DUMMYFUNCTION("""COMPUTED_VALUE"""),"Barkley")</f>
        <v>Barkley</v>
      </c>
      <c r="Z379" s="3">
        <v>116.0</v>
      </c>
      <c r="AA379" s="3">
        <f t="shared" si="6"/>
        <v>1</v>
      </c>
      <c r="AB379" s="3">
        <f t="shared" si="7"/>
        <v>0</v>
      </c>
      <c r="AC379" s="3">
        <f t="shared" si="8"/>
        <v>1.724137931</v>
      </c>
      <c r="AD379" s="3">
        <f t="shared" si="9"/>
        <v>-2</v>
      </c>
    </row>
    <row r="380">
      <c r="A380" s="1" t="s">
        <v>10</v>
      </c>
      <c r="B380" s="1" t="s">
        <v>155</v>
      </c>
      <c r="C380" s="1" t="s">
        <v>19</v>
      </c>
      <c r="D380" s="1" t="s">
        <v>156</v>
      </c>
      <c r="E380" s="1" t="s">
        <v>109</v>
      </c>
      <c r="F380" s="1" t="s">
        <v>453</v>
      </c>
      <c r="G380" s="1">
        <v>75.5</v>
      </c>
      <c r="H380" s="1" t="s">
        <v>60</v>
      </c>
      <c r="I380" s="1">
        <v>-114.0</v>
      </c>
      <c r="J380" s="1">
        <v>-0.112605661185565</v>
      </c>
      <c r="K380" s="1" t="s">
        <v>61</v>
      </c>
      <c r="L380" s="1" t="s">
        <v>61</v>
      </c>
      <c r="M380" s="1" t="s">
        <v>62</v>
      </c>
      <c r="N380" s="1">
        <v>-114.0</v>
      </c>
      <c r="O380" s="1">
        <v>0.0471967285307178</v>
      </c>
      <c r="P380" s="1" t="s">
        <v>61</v>
      </c>
      <c r="Q380" s="1" t="s">
        <v>61</v>
      </c>
      <c r="R380" s="1">
        <f t="shared" si="1"/>
        <v>0.04719672853</v>
      </c>
      <c r="S380" s="1">
        <f t="shared" si="2"/>
        <v>-114</v>
      </c>
      <c r="T380" s="1">
        <f t="shared" si="3"/>
        <v>1.877192982</v>
      </c>
      <c r="U380" s="1">
        <f t="shared" si="4"/>
        <v>0</v>
      </c>
      <c r="V380" s="3">
        <f t="shared" si="5"/>
        <v>1</v>
      </c>
      <c r="W380" s="3" t="str">
        <f>IFERROR(__xludf.DUMMYFUNCTION("split(B380,"" "")"),"S.")</f>
        <v>S.</v>
      </c>
      <c r="X380" s="3" t="str">
        <f>IFERROR(__xludf.DUMMYFUNCTION("""COMPUTED_VALUE"""),"Barkley")</f>
        <v>Barkley</v>
      </c>
      <c r="Z380" s="3">
        <v>95.0</v>
      </c>
      <c r="AA380" s="3">
        <f t="shared" si="6"/>
        <v>1</v>
      </c>
      <c r="AB380" s="3">
        <f t="shared" si="7"/>
        <v>0</v>
      </c>
      <c r="AC380" s="3">
        <f t="shared" si="8"/>
        <v>0.8771929825</v>
      </c>
      <c r="AD380" s="3">
        <f t="shared" si="9"/>
        <v>-1</v>
      </c>
    </row>
    <row r="381">
      <c r="A381" s="1" t="s">
        <v>12</v>
      </c>
      <c r="B381" s="1" t="s">
        <v>507</v>
      </c>
      <c r="C381" s="1" t="s">
        <v>18</v>
      </c>
      <c r="D381" s="1" t="s">
        <v>156</v>
      </c>
      <c r="E381" s="1" t="s">
        <v>109</v>
      </c>
      <c r="F381" s="1" t="s">
        <v>453</v>
      </c>
      <c r="G381" s="1">
        <v>4.5</v>
      </c>
      <c r="H381" s="1" t="s">
        <v>60</v>
      </c>
      <c r="I381" s="1">
        <v>-150.0</v>
      </c>
      <c r="J381" s="1">
        <v>-0.0997</v>
      </c>
      <c r="K381" s="1" t="s">
        <v>61</v>
      </c>
      <c r="L381" s="1" t="s">
        <v>61</v>
      </c>
      <c r="M381" s="1" t="s">
        <v>62</v>
      </c>
      <c r="N381" s="1">
        <v>114.0</v>
      </c>
      <c r="O381" s="1">
        <v>0.0324102803738317</v>
      </c>
      <c r="P381" s="1" t="s">
        <v>61</v>
      </c>
      <c r="Q381" s="1" t="s">
        <v>61</v>
      </c>
      <c r="R381" s="1">
        <f t="shared" si="1"/>
        <v>0.03241028037</v>
      </c>
      <c r="S381" s="1">
        <f t="shared" si="2"/>
        <v>114</v>
      </c>
      <c r="T381" s="1">
        <f t="shared" si="3"/>
        <v>2.14</v>
      </c>
      <c r="U381" s="1">
        <f t="shared" si="4"/>
        <v>0</v>
      </c>
      <c r="V381" s="3">
        <f t="shared" si="5"/>
        <v>1</v>
      </c>
      <c r="W381" s="3" t="str">
        <f>IFERROR(__xludf.DUMMYFUNCTION("split(B381,"" "")"),"D.")</f>
        <v>D.</v>
      </c>
      <c r="X381" s="3" t="str">
        <f>IFERROR(__xludf.DUMMYFUNCTION("""COMPUTED_VALUE"""),"Smith")</f>
        <v>Smith</v>
      </c>
      <c r="Z381" s="3">
        <v>7.0</v>
      </c>
      <c r="AA381" s="3">
        <f t="shared" si="6"/>
        <v>1</v>
      </c>
      <c r="AB381" s="3">
        <f t="shared" si="7"/>
        <v>0</v>
      </c>
      <c r="AC381" s="3">
        <f t="shared" si="8"/>
        <v>1.14</v>
      </c>
      <c r="AD381" s="3">
        <f t="shared" si="9"/>
        <v>-1</v>
      </c>
    </row>
    <row r="382">
      <c r="A382" s="1" t="s">
        <v>10</v>
      </c>
      <c r="B382" s="1" t="s">
        <v>338</v>
      </c>
      <c r="C382" s="1" t="s">
        <v>21</v>
      </c>
      <c r="D382" s="1" t="s">
        <v>156</v>
      </c>
      <c r="E382" s="1" t="s">
        <v>109</v>
      </c>
      <c r="F382" s="1" t="s">
        <v>453</v>
      </c>
      <c r="G382" s="1">
        <v>35.5</v>
      </c>
      <c r="H382" s="1" t="s">
        <v>60</v>
      </c>
      <c r="I382" s="1">
        <v>-120.0</v>
      </c>
      <c r="J382" s="1">
        <v>-0.0878074528156185</v>
      </c>
      <c r="K382" s="1" t="s">
        <v>61</v>
      </c>
      <c r="L382" s="1" t="s">
        <v>61</v>
      </c>
      <c r="M382" s="1" t="s">
        <v>62</v>
      </c>
      <c r="N382" s="1">
        <v>-109.0</v>
      </c>
      <c r="O382" s="1">
        <v>0.020857993487394</v>
      </c>
      <c r="P382" s="1" t="s">
        <v>61</v>
      </c>
      <c r="Q382" s="1" t="s">
        <v>61</v>
      </c>
      <c r="R382" s="1">
        <f t="shared" si="1"/>
        <v>0.02085799349</v>
      </c>
      <c r="S382" s="1">
        <f t="shared" si="2"/>
        <v>-109</v>
      </c>
      <c r="T382" s="1">
        <f t="shared" si="3"/>
        <v>1.917431193</v>
      </c>
      <c r="U382" s="1">
        <f t="shared" si="4"/>
        <v>0</v>
      </c>
      <c r="V382" s="3">
        <f t="shared" si="5"/>
        <v>1</v>
      </c>
      <c r="W382" s="3" t="str">
        <f>IFERROR(__xludf.DUMMYFUNCTION("split(B382,"" "")"),"J.")</f>
        <v>J.</v>
      </c>
      <c r="X382" s="3" t="str">
        <f>IFERROR(__xludf.DUMMYFUNCTION("""COMPUTED_VALUE"""),"Hurts")</f>
        <v>Hurts</v>
      </c>
      <c r="Z382" s="3">
        <v>85.0</v>
      </c>
      <c r="AA382" s="3">
        <f t="shared" si="6"/>
        <v>1</v>
      </c>
      <c r="AB382" s="3">
        <f t="shared" si="7"/>
        <v>0</v>
      </c>
      <c r="AC382" s="3">
        <f t="shared" si="8"/>
        <v>0.9174311927</v>
      </c>
      <c r="AD382" s="3">
        <f t="shared" si="9"/>
        <v>-1</v>
      </c>
    </row>
    <row r="383">
      <c r="A383" s="1" t="s">
        <v>11</v>
      </c>
      <c r="B383" s="1" t="s">
        <v>366</v>
      </c>
      <c r="C383" s="1" t="s">
        <v>20</v>
      </c>
      <c r="D383" s="1" t="s">
        <v>156</v>
      </c>
      <c r="E383" s="1" t="s">
        <v>109</v>
      </c>
      <c r="F383" s="1" t="s">
        <v>453</v>
      </c>
      <c r="G383" s="1">
        <v>33.5</v>
      </c>
      <c r="H383" s="1" t="s">
        <v>60</v>
      </c>
      <c r="I383" s="1">
        <v>-115.0</v>
      </c>
      <c r="J383" s="1">
        <v>-0.0757116790788373</v>
      </c>
      <c r="K383" s="1" t="s">
        <v>61</v>
      </c>
      <c r="L383" s="1" t="s">
        <v>61</v>
      </c>
      <c r="M383" s="1" t="s">
        <v>62</v>
      </c>
      <c r="N383" s="1">
        <v>-114.0</v>
      </c>
      <c r="O383" s="1">
        <v>0.00813487660501421</v>
      </c>
      <c r="P383" s="1" t="s">
        <v>61</v>
      </c>
      <c r="Q383" s="1" t="s">
        <v>61</v>
      </c>
      <c r="R383" s="1">
        <f t="shared" si="1"/>
        <v>0.008134876605</v>
      </c>
      <c r="S383" s="1">
        <f t="shared" si="2"/>
        <v>-114</v>
      </c>
      <c r="T383" s="1">
        <f t="shared" si="3"/>
        <v>1.877192982</v>
      </c>
      <c r="U383" s="1">
        <f t="shared" si="4"/>
        <v>0</v>
      </c>
      <c r="V383" s="3">
        <f t="shared" si="5"/>
        <v>1</v>
      </c>
      <c r="W383" s="3" t="str">
        <f>IFERROR(__xludf.DUMMYFUNCTION("split(B383,"" "")"),"D.")</f>
        <v>D.</v>
      </c>
      <c r="X383" s="3" t="str">
        <f>IFERROR(__xludf.DUMMYFUNCTION("""COMPUTED_VALUE"""),"Goedert")</f>
        <v>Goedert</v>
      </c>
      <c r="Z383" s="3">
        <v>38.0</v>
      </c>
      <c r="AA383" s="3">
        <f t="shared" si="6"/>
        <v>1</v>
      </c>
      <c r="AB383" s="3">
        <f t="shared" si="7"/>
        <v>0</v>
      </c>
      <c r="AC383" s="3">
        <f t="shared" si="8"/>
        <v>0.8771929825</v>
      </c>
      <c r="AD383" s="3">
        <f t="shared" si="9"/>
        <v>-1</v>
      </c>
    </row>
    <row r="384">
      <c r="A384" s="1" t="s">
        <v>17</v>
      </c>
      <c r="B384" s="1" t="s">
        <v>338</v>
      </c>
      <c r="C384" s="1" t="s">
        <v>21</v>
      </c>
      <c r="D384" s="1" t="s">
        <v>156</v>
      </c>
      <c r="E384" s="1" t="s">
        <v>109</v>
      </c>
      <c r="F384" s="1" t="s">
        <v>453</v>
      </c>
      <c r="G384" s="1">
        <v>0.5</v>
      </c>
      <c r="H384" s="1" t="s">
        <v>60</v>
      </c>
      <c r="I384" s="1">
        <v>-106.0</v>
      </c>
      <c r="J384" s="1">
        <v>-0.0708631067961165</v>
      </c>
      <c r="K384" s="1" t="s">
        <v>61</v>
      </c>
      <c r="L384" s="1" t="s">
        <v>61</v>
      </c>
      <c r="M384" s="1" t="s">
        <v>62</v>
      </c>
      <c r="N384" s="1">
        <v>-125.0</v>
      </c>
      <c r="O384" s="1">
        <v>7.44444444444436E-4</v>
      </c>
      <c r="P384" s="1" t="s">
        <v>61</v>
      </c>
      <c r="Q384" s="1" t="s">
        <v>61</v>
      </c>
      <c r="R384" s="1">
        <f t="shared" si="1"/>
        <v>0.0007444444444</v>
      </c>
      <c r="S384" s="1">
        <f t="shared" si="2"/>
        <v>-125</v>
      </c>
      <c r="T384" s="1">
        <f t="shared" si="3"/>
        <v>1.8</v>
      </c>
      <c r="U384" s="1">
        <f t="shared" si="4"/>
        <v>0</v>
      </c>
      <c r="V384" s="3">
        <f t="shared" si="5"/>
        <v>1</v>
      </c>
      <c r="W384" s="3" t="str">
        <f>IFERROR(__xludf.DUMMYFUNCTION("split(B384,"" "")"),"J.")</f>
        <v>J.</v>
      </c>
      <c r="X384" s="3" t="str">
        <f>IFERROR(__xludf.DUMMYFUNCTION("""COMPUTED_VALUE"""),"Hurts")</f>
        <v>Hurts</v>
      </c>
      <c r="Z384" s="3">
        <v>1.0</v>
      </c>
      <c r="AA384" s="3">
        <f t="shared" si="6"/>
        <v>1</v>
      </c>
      <c r="AB384" s="3">
        <f t="shared" si="7"/>
        <v>0</v>
      </c>
      <c r="AC384" s="3">
        <f t="shared" si="8"/>
        <v>0.8</v>
      </c>
      <c r="AD384" s="3">
        <f t="shared" si="9"/>
        <v>-1</v>
      </c>
    </row>
    <row r="385">
      <c r="A385" s="1" t="s">
        <v>8</v>
      </c>
      <c r="B385" s="1" t="s">
        <v>500</v>
      </c>
      <c r="C385" s="1" t="s">
        <v>21</v>
      </c>
      <c r="D385" s="1" t="s">
        <v>82</v>
      </c>
      <c r="E385" s="1" t="s">
        <v>66</v>
      </c>
      <c r="F385" s="1" t="s">
        <v>455</v>
      </c>
      <c r="G385" s="1">
        <v>2.5</v>
      </c>
      <c r="H385" s="1" t="s">
        <v>60</v>
      </c>
      <c r="I385" s="1">
        <v>-158.0</v>
      </c>
      <c r="J385" s="1">
        <v>-0.245111972686263</v>
      </c>
      <c r="K385" s="1" t="s">
        <v>61</v>
      </c>
      <c r="L385" s="1" t="s">
        <v>61</v>
      </c>
      <c r="M385" s="1" t="s">
        <v>62</v>
      </c>
      <c r="N385" s="1">
        <v>122.0</v>
      </c>
      <c r="O385" s="1">
        <v>0.182276076365116</v>
      </c>
      <c r="P385" s="1" t="s">
        <v>61</v>
      </c>
      <c r="Q385" s="1" t="s">
        <v>61</v>
      </c>
      <c r="R385" s="1">
        <f t="shared" si="1"/>
        <v>0.1822760764</v>
      </c>
      <c r="S385" s="1">
        <f t="shared" si="2"/>
        <v>122</v>
      </c>
      <c r="T385" s="1">
        <f t="shared" si="3"/>
        <v>2.22</v>
      </c>
      <c r="U385" s="1">
        <f t="shared" si="4"/>
        <v>0</v>
      </c>
      <c r="V385" s="3">
        <f t="shared" si="5"/>
        <v>3</v>
      </c>
      <c r="W385" s="3" t="str">
        <f>IFERROR(__xludf.DUMMYFUNCTION("split(B385,"" "")"),"G.")</f>
        <v>G.</v>
      </c>
      <c r="X385" s="3" t="str">
        <f>IFERROR(__xludf.DUMMYFUNCTION("""COMPUTED_VALUE"""),"Smith")</f>
        <v>Smith</v>
      </c>
      <c r="Z385" s="3">
        <v>5.0</v>
      </c>
      <c r="AA385" s="3">
        <f t="shared" si="6"/>
        <v>1</v>
      </c>
      <c r="AB385" s="3">
        <f t="shared" si="7"/>
        <v>0</v>
      </c>
      <c r="AC385" s="3">
        <f t="shared" si="8"/>
        <v>3.66</v>
      </c>
      <c r="AD385" s="3">
        <f t="shared" si="9"/>
        <v>-3</v>
      </c>
    </row>
    <row r="386">
      <c r="A386" s="1" t="s">
        <v>12</v>
      </c>
      <c r="B386" s="1" t="s">
        <v>334</v>
      </c>
      <c r="C386" s="1" t="s">
        <v>18</v>
      </c>
      <c r="D386" s="1" t="s">
        <v>82</v>
      </c>
      <c r="E386" s="1" t="s">
        <v>66</v>
      </c>
      <c r="F386" s="1" t="s">
        <v>455</v>
      </c>
      <c r="G386" s="1">
        <v>3.5</v>
      </c>
      <c r="H386" s="1" t="s">
        <v>60</v>
      </c>
      <c r="I386" s="1">
        <v>-167.0</v>
      </c>
      <c r="J386" s="1">
        <v>-0.186130711610487</v>
      </c>
      <c r="K386" s="1" t="s">
        <v>61</v>
      </c>
      <c r="L386" s="1" t="s">
        <v>61</v>
      </c>
      <c r="M386" s="1" t="s">
        <v>62</v>
      </c>
      <c r="N386" s="1">
        <v>126.0</v>
      </c>
      <c r="O386" s="1">
        <v>0.118177876106194</v>
      </c>
      <c r="P386" s="1" t="s">
        <v>61</v>
      </c>
      <c r="Q386" s="1" t="s">
        <v>61</v>
      </c>
      <c r="R386" s="1">
        <f t="shared" si="1"/>
        <v>0.1181778761</v>
      </c>
      <c r="S386" s="1">
        <f t="shared" si="2"/>
        <v>126</v>
      </c>
      <c r="T386" s="1">
        <f t="shared" si="3"/>
        <v>2.26</v>
      </c>
      <c r="U386" s="1">
        <f t="shared" si="4"/>
        <v>0</v>
      </c>
      <c r="V386" s="3">
        <f t="shared" si="5"/>
        <v>3</v>
      </c>
      <c r="W386" s="3" t="str">
        <f>IFERROR(__xludf.DUMMYFUNCTION("split(B386,"" "")"),"J.")</f>
        <v>J.</v>
      </c>
      <c r="X386" s="3" t="str">
        <f>IFERROR(__xludf.DUMMYFUNCTION("""COMPUTED_VALUE"""),"Smith-Njigba")</f>
        <v>Smith-Njigba</v>
      </c>
      <c r="Z386" s="3">
        <v>12.0</v>
      </c>
      <c r="AA386" s="3">
        <f t="shared" si="6"/>
        <v>1</v>
      </c>
      <c r="AB386" s="3">
        <f t="shared" si="7"/>
        <v>0</v>
      </c>
      <c r="AC386" s="3">
        <f t="shared" si="8"/>
        <v>3.78</v>
      </c>
      <c r="AD386" s="3">
        <f t="shared" si="9"/>
        <v>-3</v>
      </c>
    </row>
    <row r="387">
      <c r="A387" s="1" t="s">
        <v>11</v>
      </c>
      <c r="B387" s="1" t="s">
        <v>334</v>
      </c>
      <c r="C387" s="1" t="s">
        <v>18</v>
      </c>
      <c r="D387" s="1" t="s">
        <v>82</v>
      </c>
      <c r="E387" s="1" t="s">
        <v>66</v>
      </c>
      <c r="F387" s="1" t="s">
        <v>455</v>
      </c>
      <c r="G387" s="1">
        <v>42.5</v>
      </c>
      <c r="H387" s="1" t="s">
        <v>60</v>
      </c>
      <c r="I387" s="1">
        <v>-114.0</v>
      </c>
      <c r="J387" s="1">
        <v>-0.094852824518785</v>
      </c>
      <c r="K387" s="1" t="s">
        <v>61</v>
      </c>
      <c r="L387" s="1" t="s">
        <v>61</v>
      </c>
      <c r="M387" s="1" t="s">
        <v>62</v>
      </c>
      <c r="N387" s="1">
        <v>-115.0</v>
      </c>
      <c r="O387" s="1">
        <v>0.0272778590929302</v>
      </c>
      <c r="P387" s="1" t="s">
        <v>61</v>
      </c>
      <c r="Q387" s="1" t="s">
        <v>61</v>
      </c>
      <c r="R387" s="1">
        <f t="shared" si="1"/>
        <v>0.02727785909</v>
      </c>
      <c r="S387" s="1">
        <f t="shared" si="2"/>
        <v>-115</v>
      </c>
      <c r="T387" s="1">
        <f t="shared" si="3"/>
        <v>1.869565217</v>
      </c>
      <c r="U387" s="1">
        <f t="shared" si="4"/>
        <v>0</v>
      </c>
      <c r="V387" s="3">
        <f t="shared" si="5"/>
        <v>1</v>
      </c>
      <c r="W387" s="3" t="str">
        <f>IFERROR(__xludf.DUMMYFUNCTION("split(B387,"" "")"),"J.")</f>
        <v>J.</v>
      </c>
      <c r="X387" s="3" t="str">
        <f>IFERROR(__xludf.DUMMYFUNCTION("""COMPUTED_VALUE"""),"Smith-Njigba")</f>
        <v>Smith-Njigba</v>
      </c>
      <c r="Z387" s="3">
        <v>117.0</v>
      </c>
      <c r="AA387" s="3">
        <f t="shared" si="6"/>
        <v>1</v>
      </c>
      <c r="AB387" s="3">
        <f t="shared" si="7"/>
        <v>0</v>
      </c>
      <c r="AC387" s="3">
        <f t="shared" si="8"/>
        <v>0.8695652174</v>
      </c>
      <c r="AD387" s="3">
        <f t="shared" si="9"/>
        <v>-1</v>
      </c>
    </row>
    <row r="388">
      <c r="A388" s="1" t="s">
        <v>16</v>
      </c>
      <c r="B388" s="1" t="s">
        <v>500</v>
      </c>
      <c r="C388" s="1" t="s">
        <v>21</v>
      </c>
      <c r="D388" s="1" t="s">
        <v>82</v>
      </c>
      <c r="E388" s="1" t="s">
        <v>66</v>
      </c>
      <c r="F388" s="1" t="s">
        <v>455</v>
      </c>
      <c r="G388" s="1">
        <v>31.5</v>
      </c>
      <c r="H388" s="1" t="s">
        <v>60</v>
      </c>
      <c r="I388" s="1">
        <v>-123.0</v>
      </c>
      <c r="J388" s="1">
        <v>-0.0755488789237668</v>
      </c>
      <c r="K388" s="1" t="s">
        <v>61</v>
      </c>
      <c r="L388" s="1" t="s">
        <v>61</v>
      </c>
      <c r="M388" s="1" t="s">
        <v>62</v>
      </c>
      <c r="N388" s="1">
        <v>-106.0</v>
      </c>
      <c r="O388" s="1">
        <v>0.00944271844660193</v>
      </c>
      <c r="P388" s="1" t="s">
        <v>61</v>
      </c>
      <c r="Q388" s="1" t="s">
        <v>61</v>
      </c>
      <c r="R388" s="1">
        <f t="shared" si="1"/>
        <v>0.009442718447</v>
      </c>
      <c r="S388" s="1">
        <f t="shared" si="2"/>
        <v>-106</v>
      </c>
      <c r="T388" s="1">
        <f t="shared" si="3"/>
        <v>1.943396226</v>
      </c>
      <c r="U388" s="1">
        <f t="shared" si="4"/>
        <v>0</v>
      </c>
      <c r="V388" s="3">
        <f t="shared" si="5"/>
        <v>1</v>
      </c>
      <c r="W388" s="3" t="str">
        <f>IFERROR(__xludf.DUMMYFUNCTION("split(B388,"" "")"),"G.")</f>
        <v>G.</v>
      </c>
      <c r="X388" s="3" t="str">
        <f>IFERROR(__xludf.DUMMYFUNCTION("""COMPUTED_VALUE"""),"Smith")</f>
        <v>Smith</v>
      </c>
      <c r="Z388" s="3">
        <v>44.0</v>
      </c>
      <c r="AA388" s="3">
        <f t="shared" si="6"/>
        <v>1</v>
      </c>
      <c r="AB388" s="3">
        <f t="shared" si="7"/>
        <v>0</v>
      </c>
      <c r="AC388" s="3">
        <f t="shared" si="8"/>
        <v>0.9433962264</v>
      </c>
      <c r="AD388" s="3">
        <f t="shared" si="9"/>
        <v>-1</v>
      </c>
    </row>
    <row r="389">
      <c r="A389" s="1" t="s">
        <v>15</v>
      </c>
      <c r="B389" s="1" t="s">
        <v>500</v>
      </c>
      <c r="C389" s="1" t="s">
        <v>21</v>
      </c>
      <c r="D389" s="1" t="s">
        <v>82</v>
      </c>
      <c r="E389" s="1" t="s">
        <v>66</v>
      </c>
      <c r="F389" s="1" t="s">
        <v>455</v>
      </c>
      <c r="G389" s="1">
        <v>20.5</v>
      </c>
      <c r="H389" s="1" t="s">
        <v>60</v>
      </c>
      <c r="I389" s="1">
        <v>-131.0</v>
      </c>
      <c r="J389" s="1">
        <v>-0.0754826264935065</v>
      </c>
      <c r="K389" s="1" t="s">
        <v>61</v>
      </c>
      <c r="L389" s="1" t="s">
        <v>61</v>
      </c>
      <c r="M389" s="1" t="s">
        <v>62</v>
      </c>
      <c r="N389" s="1">
        <v>100.0</v>
      </c>
      <c r="O389" s="1">
        <v>0.00839593360000007</v>
      </c>
      <c r="P389" s="1" t="s">
        <v>61</v>
      </c>
      <c r="Q389" s="1" t="s">
        <v>61</v>
      </c>
      <c r="R389" s="1">
        <f t="shared" si="1"/>
        <v>0.0083959336</v>
      </c>
      <c r="S389" s="1">
        <f t="shared" si="2"/>
        <v>100</v>
      </c>
      <c r="T389" s="1">
        <f t="shared" si="3"/>
        <v>2</v>
      </c>
      <c r="U389" s="1">
        <f t="shared" si="4"/>
        <v>0</v>
      </c>
      <c r="V389" s="3">
        <f t="shared" si="5"/>
        <v>1</v>
      </c>
      <c r="W389" s="3" t="str">
        <f>IFERROR(__xludf.DUMMYFUNCTION("split(B389,"" "")"),"G.")</f>
        <v>G.</v>
      </c>
      <c r="X389" s="3" t="str">
        <f>IFERROR(__xludf.DUMMYFUNCTION("""COMPUTED_VALUE"""),"Smith")</f>
        <v>Smith</v>
      </c>
      <c r="Z389" s="3">
        <v>33.0</v>
      </c>
      <c r="AA389" s="3">
        <f t="shared" si="6"/>
        <v>1</v>
      </c>
      <c r="AB389" s="3">
        <f t="shared" si="7"/>
        <v>0</v>
      </c>
      <c r="AC389" s="3">
        <f t="shared" si="8"/>
        <v>1</v>
      </c>
      <c r="AD389" s="3">
        <f t="shared" si="9"/>
        <v>-1</v>
      </c>
    </row>
    <row r="390">
      <c r="A390" s="1" t="s">
        <v>14</v>
      </c>
      <c r="B390" s="1" t="s">
        <v>500</v>
      </c>
      <c r="C390" s="1" t="s">
        <v>21</v>
      </c>
      <c r="D390" s="1" t="s">
        <v>82</v>
      </c>
      <c r="E390" s="1" t="s">
        <v>66</v>
      </c>
      <c r="F390" s="1" t="s">
        <v>455</v>
      </c>
      <c r="G390" s="1">
        <v>1.5</v>
      </c>
      <c r="H390" s="1" t="s">
        <v>60</v>
      </c>
      <c r="I390" s="1">
        <v>125.0</v>
      </c>
      <c r="J390" s="1">
        <v>0.00375555555555562</v>
      </c>
      <c r="K390" s="1" t="s">
        <v>61</v>
      </c>
      <c r="L390" s="1" t="s">
        <v>61</v>
      </c>
      <c r="M390" s="1" t="s">
        <v>62</v>
      </c>
      <c r="N390" s="1">
        <v>-164.0</v>
      </c>
      <c r="O390" s="1">
        <v>-0.0694121212121211</v>
      </c>
      <c r="P390" s="1" t="s">
        <v>61</v>
      </c>
      <c r="Q390" s="1" t="s">
        <v>61</v>
      </c>
      <c r="R390" s="1">
        <f t="shared" si="1"/>
        <v>0.003755555556</v>
      </c>
      <c r="S390" s="1">
        <f t="shared" si="2"/>
        <v>125</v>
      </c>
      <c r="T390" s="1">
        <f t="shared" si="3"/>
        <v>2.25</v>
      </c>
      <c r="U390" s="1">
        <f t="shared" si="4"/>
        <v>1</v>
      </c>
      <c r="V390" s="3">
        <f t="shared" si="5"/>
        <v>1</v>
      </c>
      <c r="W390" s="3" t="str">
        <f>IFERROR(__xludf.DUMMYFUNCTION("split(B390,"" "")"),"G.")</f>
        <v>G.</v>
      </c>
      <c r="X390" s="3" t="str">
        <f>IFERROR(__xludf.DUMMYFUNCTION("""COMPUTED_VALUE"""),"Smith")</f>
        <v>Smith</v>
      </c>
      <c r="Z390" s="3">
        <v>1.0</v>
      </c>
      <c r="AA390" s="3">
        <f t="shared" si="6"/>
        <v>0</v>
      </c>
      <c r="AB390" s="3">
        <f t="shared" si="7"/>
        <v>0</v>
      </c>
      <c r="AC390" s="3">
        <f t="shared" si="8"/>
        <v>1.25</v>
      </c>
      <c r="AD390" s="3">
        <f t="shared" si="9"/>
        <v>-1</v>
      </c>
    </row>
    <row r="391">
      <c r="A391" s="1" t="s">
        <v>11</v>
      </c>
      <c r="B391" s="1" t="s">
        <v>332</v>
      </c>
      <c r="C391" s="1" t="s">
        <v>20</v>
      </c>
      <c r="D391" s="1" t="s">
        <v>164</v>
      </c>
      <c r="E391" s="1" t="s">
        <v>146</v>
      </c>
      <c r="F391" s="1" t="s">
        <v>455</v>
      </c>
      <c r="G391" s="1">
        <v>50.5</v>
      </c>
      <c r="H391" s="1" t="s">
        <v>60</v>
      </c>
      <c r="I391" s="1">
        <v>-116.0</v>
      </c>
      <c r="J391" s="1">
        <v>-0.0811133813888703</v>
      </c>
      <c r="K391" s="1" t="s">
        <v>61</v>
      </c>
      <c r="L391" s="1" t="s">
        <v>61</v>
      </c>
      <c r="M391" s="1" t="s">
        <v>62</v>
      </c>
      <c r="N391" s="1">
        <v>-114.0</v>
      </c>
      <c r="O391" s="1">
        <v>0.0113169122405608</v>
      </c>
      <c r="P391" s="1" t="s">
        <v>61</v>
      </c>
      <c r="Q391" s="1" t="s">
        <v>61</v>
      </c>
      <c r="R391" s="1">
        <f t="shared" si="1"/>
        <v>0.01131691224</v>
      </c>
      <c r="S391" s="1">
        <f t="shared" si="2"/>
        <v>-114</v>
      </c>
      <c r="T391" s="1">
        <f t="shared" si="3"/>
        <v>1.877192982</v>
      </c>
      <c r="U391" s="1">
        <f t="shared" si="4"/>
        <v>0</v>
      </c>
      <c r="V391" s="3">
        <f t="shared" si="5"/>
        <v>1</v>
      </c>
      <c r="W391" s="3" t="str">
        <f>IFERROR(__xludf.DUMMYFUNCTION("split(B391,"" "")"),"G.")</f>
        <v>G.</v>
      </c>
      <c r="X391" s="3" t="str">
        <f>IFERROR(__xludf.DUMMYFUNCTION("""COMPUTED_VALUE"""),"Kittle")</f>
        <v>Kittle</v>
      </c>
      <c r="Z391" s="3">
        <v>76.0</v>
      </c>
      <c r="AA391" s="3">
        <f t="shared" si="6"/>
        <v>1</v>
      </c>
      <c r="AB391" s="3">
        <f t="shared" si="7"/>
        <v>0</v>
      </c>
      <c r="AC391" s="3">
        <f t="shared" si="8"/>
        <v>0.8771929825</v>
      </c>
      <c r="AD391" s="3">
        <f t="shared" si="9"/>
        <v>-1</v>
      </c>
    </row>
    <row r="392">
      <c r="A392" s="1" t="s">
        <v>15</v>
      </c>
      <c r="B392" s="1" t="s">
        <v>262</v>
      </c>
      <c r="C392" s="1" t="s">
        <v>21</v>
      </c>
      <c r="D392" s="1" t="s">
        <v>164</v>
      </c>
      <c r="E392" s="1" t="s">
        <v>146</v>
      </c>
      <c r="F392" s="1" t="s">
        <v>455</v>
      </c>
      <c r="G392" s="1">
        <v>19.5</v>
      </c>
      <c r="H392" s="1" t="s">
        <v>60</v>
      </c>
      <c r="I392" s="1">
        <v>-127.0</v>
      </c>
      <c r="J392" s="1">
        <v>-0.069281226784141</v>
      </c>
      <c r="K392" s="1" t="s">
        <v>61</v>
      </c>
      <c r="L392" s="1" t="s">
        <v>61</v>
      </c>
      <c r="M392" s="1" t="s">
        <v>62</v>
      </c>
      <c r="N392" s="1">
        <v>-103.0</v>
      </c>
      <c r="O392" s="1">
        <v>0.00240701790344832</v>
      </c>
      <c r="P392" s="1" t="s">
        <v>61</v>
      </c>
      <c r="Q392" s="1" t="s">
        <v>61</v>
      </c>
      <c r="R392" s="1">
        <f t="shared" si="1"/>
        <v>0.002407017903</v>
      </c>
      <c r="S392" s="1">
        <f t="shared" si="2"/>
        <v>-103</v>
      </c>
      <c r="T392" s="1">
        <f t="shared" si="3"/>
        <v>1.970873786</v>
      </c>
      <c r="U392" s="1">
        <f t="shared" si="4"/>
        <v>0</v>
      </c>
      <c r="V392" s="3">
        <f t="shared" si="5"/>
        <v>1</v>
      </c>
      <c r="W392" s="3" t="str">
        <f>IFERROR(__xludf.DUMMYFUNCTION("split(B392,"" "")"),"B.")</f>
        <v>B.</v>
      </c>
      <c r="X392" s="3" t="str">
        <f>IFERROR(__xludf.DUMMYFUNCTION("""COMPUTED_VALUE"""),"Purdy")</f>
        <v>Purdy</v>
      </c>
      <c r="Z392" s="3">
        <v>28.0</v>
      </c>
      <c r="AA392" s="3">
        <f t="shared" si="6"/>
        <v>1</v>
      </c>
      <c r="AB392" s="3">
        <f t="shared" si="7"/>
        <v>0</v>
      </c>
      <c r="AC392" s="3">
        <f t="shared" si="8"/>
        <v>0.9708737864</v>
      </c>
      <c r="AD392" s="3">
        <f t="shared" si="9"/>
        <v>-1</v>
      </c>
    </row>
    <row r="393">
      <c r="A393" s="1" t="s">
        <v>8</v>
      </c>
      <c r="B393" s="1" t="s">
        <v>253</v>
      </c>
      <c r="C393" s="1" t="s">
        <v>21</v>
      </c>
      <c r="D393" s="1" t="s">
        <v>113</v>
      </c>
      <c r="E393" s="1" t="s">
        <v>197</v>
      </c>
      <c r="F393" s="1" t="s">
        <v>455</v>
      </c>
      <c r="G393" s="1">
        <v>2.5</v>
      </c>
      <c r="H393" s="1" t="s">
        <v>60</v>
      </c>
      <c r="I393" s="1">
        <v>-118.0</v>
      </c>
      <c r="J393" s="1">
        <v>-0.162874359464125</v>
      </c>
      <c r="K393" s="1" t="s">
        <v>61</v>
      </c>
      <c r="L393" s="1" t="s">
        <v>61</v>
      </c>
      <c r="M393" s="1" t="s">
        <v>62</v>
      </c>
      <c r="N393" s="1">
        <v>-113.0</v>
      </c>
      <c r="O393" s="1">
        <v>0.0910719516919849</v>
      </c>
      <c r="P393" s="1" t="s">
        <v>61</v>
      </c>
      <c r="Q393" s="1" t="s">
        <v>61</v>
      </c>
      <c r="R393" s="1">
        <f t="shared" si="1"/>
        <v>0.09107195169</v>
      </c>
      <c r="S393" s="1">
        <f t="shared" si="2"/>
        <v>-113</v>
      </c>
      <c r="T393" s="1">
        <f t="shared" si="3"/>
        <v>1.884955752</v>
      </c>
      <c r="U393" s="1">
        <f t="shared" si="4"/>
        <v>0</v>
      </c>
      <c r="V393" s="3">
        <f t="shared" si="5"/>
        <v>2</v>
      </c>
      <c r="W393" s="3" t="str">
        <f>IFERROR(__xludf.DUMMYFUNCTION("split(B393,"" "")"),"B.")</f>
        <v>B.</v>
      </c>
      <c r="X393" s="3" t="str">
        <f>IFERROR(__xludf.DUMMYFUNCTION("""COMPUTED_VALUE"""),"Mayfield")</f>
        <v>Mayfield</v>
      </c>
      <c r="Z393" s="3">
        <v>5.0</v>
      </c>
      <c r="AA393" s="3">
        <f t="shared" si="6"/>
        <v>1</v>
      </c>
      <c r="AB393" s="3">
        <f t="shared" si="7"/>
        <v>0</v>
      </c>
      <c r="AC393" s="3">
        <f t="shared" si="8"/>
        <v>1.769911504</v>
      </c>
      <c r="AD393" s="3">
        <f t="shared" si="9"/>
        <v>-2</v>
      </c>
    </row>
    <row r="394">
      <c r="A394" s="1" t="s">
        <v>11</v>
      </c>
      <c r="B394" s="1" t="s">
        <v>314</v>
      </c>
      <c r="C394" s="1" t="s">
        <v>18</v>
      </c>
      <c r="D394" s="1" t="s">
        <v>113</v>
      </c>
      <c r="E394" s="1" t="s">
        <v>197</v>
      </c>
      <c r="F394" s="1" t="s">
        <v>455</v>
      </c>
      <c r="G394" s="1">
        <v>59.5</v>
      </c>
      <c r="H394" s="1" t="s">
        <v>60</v>
      </c>
      <c r="I394" s="1">
        <v>-133.0</v>
      </c>
      <c r="J394" s="1">
        <v>-0.134275924259239</v>
      </c>
      <c r="K394" s="1" t="s">
        <v>61</v>
      </c>
      <c r="L394" s="1" t="s">
        <v>61</v>
      </c>
      <c r="M394" s="1" t="s">
        <v>62</v>
      </c>
      <c r="N394" s="1">
        <v>102.0</v>
      </c>
      <c r="O394" s="1">
        <v>0.0684033833984251</v>
      </c>
      <c r="P394" s="1" t="s">
        <v>61</v>
      </c>
      <c r="Q394" s="1" t="s">
        <v>61</v>
      </c>
      <c r="R394" s="1">
        <f t="shared" si="1"/>
        <v>0.0684033834</v>
      </c>
      <c r="S394" s="1">
        <f t="shared" si="2"/>
        <v>102</v>
      </c>
      <c r="T394" s="1">
        <f t="shared" si="3"/>
        <v>2.02</v>
      </c>
      <c r="U394" s="1">
        <f t="shared" si="4"/>
        <v>0</v>
      </c>
      <c r="V394" s="3">
        <f t="shared" si="5"/>
        <v>2</v>
      </c>
      <c r="W394" s="3" t="str">
        <f>IFERROR(__xludf.DUMMYFUNCTION("split(B394,"" "")"),"C.")</f>
        <v>C.</v>
      </c>
      <c r="X394" s="3" t="str">
        <f>IFERROR(__xludf.DUMMYFUNCTION("""COMPUTED_VALUE"""),"Godwin")</f>
        <v>Godwin</v>
      </c>
      <c r="Z394" s="3">
        <v>117.0</v>
      </c>
      <c r="AA394" s="3">
        <f t="shared" si="6"/>
        <v>1</v>
      </c>
      <c r="AB394" s="3">
        <f t="shared" si="7"/>
        <v>0</v>
      </c>
      <c r="AC394" s="3">
        <f t="shared" si="8"/>
        <v>2.04</v>
      </c>
      <c r="AD394" s="3">
        <f t="shared" si="9"/>
        <v>-2</v>
      </c>
    </row>
    <row r="395">
      <c r="A395" s="1" t="s">
        <v>17</v>
      </c>
      <c r="B395" s="1" t="s">
        <v>253</v>
      </c>
      <c r="C395" s="1" t="s">
        <v>21</v>
      </c>
      <c r="D395" s="1" t="s">
        <v>113</v>
      </c>
      <c r="E395" s="1" t="s">
        <v>197</v>
      </c>
      <c r="F395" s="1" t="s">
        <v>455</v>
      </c>
      <c r="G395" s="1">
        <v>0.5</v>
      </c>
      <c r="H395" s="1" t="s">
        <v>60</v>
      </c>
      <c r="I395" s="1">
        <v>-141.0</v>
      </c>
      <c r="J395" s="1">
        <v>-0.123020746887966</v>
      </c>
      <c r="K395" s="1" t="s">
        <v>61</v>
      </c>
      <c r="L395" s="1" t="s">
        <v>61</v>
      </c>
      <c r="M395" s="1" t="s">
        <v>62</v>
      </c>
      <c r="N395" s="1">
        <v>107.0</v>
      </c>
      <c r="O395" s="1">
        <v>0.0548599033816426</v>
      </c>
      <c r="P395" s="1" t="s">
        <v>61</v>
      </c>
      <c r="Q395" s="1" t="s">
        <v>61</v>
      </c>
      <c r="R395" s="1">
        <f t="shared" si="1"/>
        <v>0.05485990338</v>
      </c>
      <c r="S395" s="1">
        <f t="shared" si="2"/>
        <v>107</v>
      </c>
      <c r="T395" s="1">
        <f t="shared" si="3"/>
        <v>2.07</v>
      </c>
      <c r="U395" s="1">
        <f t="shared" si="4"/>
        <v>0</v>
      </c>
      <c r="V395" s="3">
        <f t="shared" si="5"/>
        <v>2</v>
      </c>
      <c r="W395" s="3" t="str">
        <f>IFERROR(__xludf.DUMMYFUNCTION("split(B395,"" "")"),"B.")</f>
        <v>B.</v>
      </c>
      <c r="X395" s="3" t="str">
        <f>IFERROR(__xludf.DUMMYFUNCTION("""COMPUTED_VALUE"""),"Mayfield")</f>
        <v>Mayfield</v>
      </c>
      <c r="Z395" s="3">
        <v>1.0</v>
      </c>
      <c r="AA395" s="3">
        <f t="shared" si="6"/>
        <v>1</v>
      </c>
      <c r="AB395" s="3">
        <f t="shared" si="7"/>
        <v>0</v>
      </c>
      <c r="AC395" s="3">
        <f t="shared" si="8"/>
        <v>2.14</v>
      </c>
      <c r="AD395" s="3">
        <f t="shared" si="9"/>
        <v>-2</v>
      </c>
    </row>
    <row r="396">
      <c r="A396" s="1" t="s">
        <v>15</v>
      </c>
      <c r="B396" s="1" t="s">
        <v>253</v>
      </c>
      <c r="C396" s="1" t="s">
        <v>21</v>
      </c>
      <c r="D396" s="1" t="s">
        <v>113</v>
      </c>
      <c r="E396" s="1" t="s">
        <v>197</v>
      </c>
      <c r="F396" s="1" t="s">
        <v>455</v>
      </c>
      <c r="G396" s="1">
        <v>22.5</v>
      </c>
      <c r="H396" s="1" t="s">
        <v>60</v>
      </c>
      <c r="I396" s="1">
        <v>-104.0</v>
      </c>
      <c r="J396" s="1">
        <v>0.0124470588235293</v>
      </c>
      <c r="K396" s="1" t="s">
        <v>61</v>
      </c>
      <c r="L396" s="1" t="s">
        <v>61</v>
      </c>
      <c r="M396" s="1" t="s">
        <v>62</v>
      </c>
      <c r="N396" s="1">
        <v>-127.0</v>
      </c>
      <c r="O396" s="1">
        <v>-0.0817154185022025</v>
      </c>
      <c r="P396" s="1" t="s">
        <v>61</v>
      </c>
      <c r="Q396" s="1" t="s">
        <v>61</v>
      </c>
      <c r="R396" s="1">
        <f t="shared" si="1"/>
        <v>0.01244705882</v>
      </c>
      <c r="S396" s="1">
        <f t="shared" si="2"/>
        <v>-104</v>
      </c>
      <c r="T396" s="1">
        <f t="shared" si="3"/>
        <v>1.961538462</v>
      </c>
      <c r="U396" s="1">
        <f t="shared" si="4"/>
        <v>1</v>
      </c>
      <c r="V396" s="3">
        <f t="shared" si="5"/>
        <v>1</v>
      </c>
      <c r="W396" s="3" t="str">
        <f>IFERROR(__xludf.DUMMYFUNCTION("split(B396,"" "")"),"B.")</f>
        <v>B.</v>
      </c>
      <c r="X396" s="3" t="str">
        <f>IFERROR(__xludf.DUMMYFUNCTION("""COMPUTED_VALUE"""),"Mayfield")</f>
        <v>Mayfield</v>
      </c>
      <c r="Z396" s="3">
        <v>12.0</v>
      </c>
      <c r="AA396" s="3">
        <f t="shared" si="6"/>
        <v>0</v>
      </c>
      <c r="AB396" s="3">
        <f t="shared" si="7"/>
        <v>0</v>
      </c>
      <c r="AC396" s="3">
        <f t="shared" si="8"/>
        <v>0.9615384615</v>
      </c>
      <c r="AD396" s="3">
        <f t="shared" si="9"/>
        <v>-1</v>
      </c>
    </row>
    <row r="397">
      <c r="A397" s="1" t="s">
        <v>8</v>
      </c>
      <c r="B397" s="1" t="s">
        <v>275</v>
      </c>
      <c r="C397" s="1" t="s">
        <v>21</v>
      </c>
      <c r="D397" s="1" t="s">
        <v>100</v>
      </c>
      <c r="E397" s="1" t="s">
        <v>165</v>
      </c>
      <c r="F397" s="1" t="s">
        <v>455</v>
      </c>
      <c r="G397" s="1">
        <v>2.5</v>
      </c>
      <c r="H397" s="1" t="s">
        <v>60</v>
      </c>
      <c r="I397" s="1">
        <v>-173.0</v>
      </c>
      <c r="J397" s="1">
        <v>-0.240567470797087</v>
      </c>
      <c r="K397" s="1" t="s">
        <v>61</v>
      </c>
      <c r="L397" s="1" t="s">
        <v>61</v>
      </c>
      <c r="M397" s="1" t="s">
        <v>62</v>
      </c>
      <c r="N397" s="1">
        <v>130.0</v>
      </c>
      <c r="O397" s="1">
        <v>0.172097910989585</v>
      </c>
      <c r="P397" s="1" t="s">
        <v>61</v>
      </c>
      <c r="Q397" s="1" t="s">
        <v>61</v>
      </c>
      <c r="R397" s="1">
        <f t="shared" si="1"/>
        <v>0.172097911</v>
      </c>
      <c r="S397" s="1">
        <f t="shared" si="2"/>
        <v>130</v>
      </c>
      <c r="T397" s="1">
        <f t="shared" si="3"/>
        <v>2.3</v>
      </c>
      <c r="U397" s="1">
        <f t="shared" si="4"/>
        <v>0</v>
      </c>
      <c r="V397" s="3">
        <f t="shared" si="5"/>
        <v>3</v>
      </c>
      <c r="W397" s="3" t="str">
        <f>IFERROR(__xludf.DUMMYFUNCTION("split(B397,"" "")"),"W.")</f>
        <v>W.</v>
      </c>
      <c r="X397" s="3" t="str">
        <f>IFERROR(__xludf.DUMMYFUNCTION("""COMPUTED_VALUE"""),"Levis")</f>
        <v>Levis</v>
      </c>
      <c r="Z397" s="3">
        <v>4.0</v>
      </c>
      <c r="AA397" s="3">
        <f t="shared" si="6"/>
        <v>1</v>
      </c>
      <c r="AB397" s="3">
        <f t="shared" si="7"/>
        <v>0</v>
      </c>
      <c r="AC397" s="3">
        <f t="shared" si="8"/>
        <v>3.9</v>
      </c>
      <c r="AD397" s="3">
        <f t="shared" si="9"/>
        <v>-3</v>
      </c>
    </row>
    <row r="398">
      <c r="A398" s="1" t="s">
        <v>14</v>
      </c>
      <c r="B398" s="1" t="s">
        <v>275</v>
      </c>
      <c r="C398" s="1" t="s">
        <v>21</v>
      </c>
      <c r="D398" s="1" t="s">
        <v>100</v>
      </c>
      <c r="E398" s="1" t="s">
        <v>165</v>
      </c>
      <c r="F398" s="1" t="s">
        <v>455</v>
      </c>
      <c r="G398" s="1">
        <v>0.5</v>
      </c>
      <c r="H398" s="1" t="s">
        <v>60</v>
      </c>
      <c r="I398" s="1">
        <v>-221.0</v>
      </c>
      <c r="J398" s="1">
        <v>-0.203372092056074</v>
      </c>
      <c r="K398" s="1" t="s">
        <v>61</v>
      </c>
      <c r="L398" s="1" t="s">
        <v>61</v>
      </c>
      <c r="M398" s="1" t="s">
        <v>62</v>
      </c>
      <c r="N398" s="1">
        <v>166.0</v>
      </c>
      <c r="O398" s="1">
        <v>0.138958426879699</v>
      </c>
      <c r="P398" s="1" t="s">
        <v>61</v>
      </c>
      <c r="Q398" s="1" t="s">
        <v>61</v>
      </c>
      <c r="R398" s="1">
        <f t="shared" si="1"/>
        <v>0.1389584269</v>
      </c>
      <c r="S398" s="1">
        <f t="shared" si="2"/>
        <v>166</v>
      </c>
      <c r="T398" s="1">
        <f t="shared" si="3"/>
        <v>2.66</v>
      </c>
      <c r="U398" s="1">
        <f t="shared" si="4"/>
        <v>0</v>
      </c>
      <c r="V398" s="3">
        <f t="shared" si="5"/>
        <v>3</v>
      </c>
      <c r="W398" s="3" t="str">
        <f>IFERROR(__xludf.DUMMYFUNCTION("split(B398,"" "")"),"W.")</f>
        <v>W.</v>
      </c>
      <c r="X398" s="3" t="str">
        <f>IFERROR(__xludf.DUMMYFUNCTION("""COMPUTED_VALUE"""),"Levis")</f>
        <v>Levis</v>
      </c>
      <c r="Z398" s="3">
        <v>1.0</v>
      </c>
      <c r="AA398" s="3">
        <f t="shared" si="6"/>
        <v>1</v>
      </c>
      <c r="AB398" s="3">
        <f t="shared" si="7"/>
        <v>0</v>
      </c>
      <c r="AC398" s="3">
        <f t="shared" si="8"/>
        <v>4.98</v>
      </c>
      <c r="AD398" s="3">
        <f t="shared" si="9"/>
        <v>-3</v>
      </c>
    </row>
    <row r="399">
      <c r="A399" s="1" t="s">
        <v>17</v>
      </c>
      <c r="B399" s="1" t="s">
        <v>275</v>
      </c>
      <c r="C399" s="1" t="s">
        <v>21</v>
      </c>
      <c r="D399" s="1" t="s">
        <v>100</v>
      </c>
      <c r="E399" s="1" t="s">
        <v>165</v>
      </c>
      <c r="F399" s="1" t="s">
        <v>455</v>
      </c>
      <c r="G399" s="1">
        <v>0.5</v>
      </c>
      <c r="H399" s="1" t="s">
        <v>60</v>
      </c>
      <c r="I399" s="1">
        <v>-150.0</v>
      </c>
      <c r="J399" s="1">
        <v>-0.1535</v>
      </c>
      <c r="K399" s="1" t="s">
        <v>61</v>
      </c>
      <c r="L399" s="1" t="s">
        <v>61</v>
      </c>
      <c r="M399" s="1" t="s">
        <v>62</v>
      </c>
      <c r="N399" s="1">
        <v>115.0</v>
      </c>
      <c r="O399" s="1">
        <v>0.0883837209302325</v>
      </c>
      <c r="P399" s="1" t="s">
        <v>61</v>
      </c>
      <c r="Q399" s="1" t="s">
        <v>61</v>
      </c>
      <c r="R399" s="1">
        <f t="shared" si="1"/>
        <v>0.08838372093</v>
      </c>
      <c r="S399" s="1">
        <f t="shared" si="2"/>
        <v>115</v>
      </c>
      <c r="T399" s="1">
        <f t="shared" si="3"/>
        <v>2.15</v>
      </c>
      <c r="U399" s="1">
        <f t="shared" si="4"/>
        <v>0</v>
      </c>
      <c r="V399" s="3">
        <f t="shared" si="5"/>
        <v>2</v>
      </c>
      <c r="W399" s="3" t="str">
        <f>IFERROR(__xludf.DUMMYFUNCTION("split(B399,"" "")"),"W.")</f>
        <v>W.</v>
      </c>
      <c r="X399" s="3" t="str">
        <f>IFERROR(__xludf.DUMMYFUNCTION("""COMPUTED_VALUE"""),"Levis")</f>
        <v>Levis</v>
      </c>
      <c r="Z399" s="3">
        <v>1.0</v>
      </c>
      <c r="AA399" s="3">
        <f t="shared" si="6"/>
        <v>1</v>
      </c>
      <c r="AB399" s="3">
        <f t="shared" si="7"/>
        <v>0</v>
      </c>
      <c r="AC399" s="3">
        <f t="shared" si="8"/>
        <v>2.3</v>
      </c>
      <c r="AD399" s="3">
        <f t="shared" si="9"/>
        <v>-2</v>
      </c>
    </row>
    <row r="400">
      <c r="A400" s="1" t="s">
        <v>8</v>
      </c>
      <c r="B400" s="1" t="s">
        <v>340</v>
      </c>
      <c r="C400" s="1" t="s">
        <v>19</v>
      </c>
      <c r="D400" s="1" t="s">
        <v>100</v>
      </c>
      <c r="E400" s="1" t="s">
        <v>165</v>
      </c>
      <c r="F400" s="1" t="s">
        <v>455</v>
      </c>
      <c r="G400" s="1">
        <v>12.5</v>
      </c>
      <c r="H400" s="1" t="s">
        <v>60</v>
      </c>
      <c r="I400" s="1">
        <v>-115.0</v>
      </c>
      <c r="J400" s="1">
        <v>-0.0797359706637209</v>
      </c>
      <c r="K400" s="1" t="s">
        <v>61</v>
      </c>
      <c r="L400" s="1" t="s">
        <v>61</v>
      </c>
      <c r="M400" s="1" t="s">
        <v>62</v>
      </c>
      <c r="N400" s="1">
        <v>-115.0</v>
      </c>
      <c r="O400" s="1">
        <v>0.00996136626327903</v>
      </c>
      <c r="P400" s="1" t="s">
        <v>61</v>
      </c>
      <c r="Q400" s="1" t="s">
        <v>61</v>
      </c>
      <c r="R400" s="1">
        <f t="shared" si="1"/>
        <v>0.009961366263</v>
      </c>
      <c r="S400" s="1">
        <f t="shared" si="2"/>
        <v>-115</v>
      </c>
      <c r="T400" s="1">
        <f t="shared" si="3"/>
        <v>1.869565217</v>
      </c>
      <c r="U400" s="1">
        <f t="shared" si="4"/>
        <v>0</v>
      </c>
      <c r="V400" s="3">
        <f t="shared" si="5"/>
        <v>1</v>
      </c>
      <c r="W400" s="3" t="str">
        <f>IFERROR(__xludf.DUMMYFUNCTION("split(B400,"" "")"),"T.")</f>
        <v>T.</v>
      </c>
      <c r="X400" s="3" t="str">
        <f>IFERROR(__xludf.DUMMYFUNCTION("""COMPUTED_VALUE"""),"Pollard")</f>
        <v>Pollard</v>
      </c>
      <c r="Z400" s="3">
        <v>17.0</v>
      </c>
      <c r="AA400" s="3">
        <f t="shared" si="6"/>
        <v>1</v>
      </c>
      <c r="AB400" s="3">
        <f t="shared" si="7"/>
        <v>0</v>
      </c>
      <c r="AC400" s="3">
        <f t="shared" si="8"/>
        <v>0.8695652174</v>
      </c>
      <c r="AD400" s="3">
        <f t="shared" si="9"/>
        <v>-1</v>
      </c>
    </row>
    <row r="401">
      <c r="A401" s="1" t="s">
        <v>12</v>
      </c>
      <c r="B401" s="1" t="s">
        <v>488</v>
      </c>
      <c r="C401" s="1" t="s">
        <v>20</v>
      </c>
      <c r="D401" s="1" t="s">
        <v>114</v>
      </c>
      <c r="E401" s="1" t="s">
        <v>147</v>
      </c>
      <c r="F401" s="1" t="s">
        <v>455</v>
      </c>
      <c r="G401" s="1">
        <v>2.5</v>
      </c>
      <c r="H401" s="1" t="s">
        <v>60</v>
      </c>
      <c r="I401" s="1">
        <v>-171.0</v>
      </c>
      <c r="J401" s="1">
        <v>-0.27793170701107</v>
      </c>
      <c r="K401" s="1" t="s">
        <v>61</v>
      </c>
      <c r="L401" s="1" t="s">
        <v>61</v>
      </c>
      <c r="M401" s="1" t="s">
        <v>62</v>
      </c>
      <c r="N401" s="1">
        <v>129.0</v>
      </c>
      <c r="O401" s="1">
        <v>0.210260666375545</v>
      </c>
      <c r="P401" s="1" t="s">
        <v>61</v>
      </c>
      <c r="Q401" s="1" t="s">
        <v>61</v>
      </c>
      <c r="R401" s="1">
        <f t="shared" si="1"/>
        <v>0.2102606664</v>
      </c>
      <c r="S401" s="1">
        <f t="shared" si="2"/>
        <v>129</v>
      </c>
      <c r="T401" s="1">
        <f t="shared" si="3"/>
        <v>2.29</v>
      </c>
      <c r="U401" s="1">
        <f t="shared" si="4"/>
        <v>0</v>
      </c>
      <c r="V401" s="3">
        <f t="shared" si="5"/>
        <v>3</v>
      </c>
      <c r="W401" s="3" t="str">
        <f>IFERROR(__xludf.DUMMYFUNCTION("split(B401,"" "")"),"Z.")</f>
        <v>Z.</v>
      </c>
      <c r="X401" s="3" t="str">
        <f>IFERROR(__xludf.DUMMYFUNCTION("""COMPUTED_VALUE"""),"Ertz")</f>
        <v>Ertz</v>
      </c>
      <c r="Z401" s="3">
        <v>4.0</v>
      </c>
      <c r="AA401" s="3">
        <f t="shared" si="6"/>
        <v>1</v>
      </c>
      <c r="AB401" s="3">
        <f t="shared" si="7"/>
        <v>0</v>
      </c>
      <c r="AC401" s="3">
        <f t="shared" si="8"/>
        <v>3.87</v>
      </c>
      <c r="AD401" s="3">
        <f t="shared" si="9"/>
        <v>-3</v>
      </c>
    </row>
    <row r="402">
      <c r="A402" s="1" t="s">
        <v>12</v>
      </c>
      <c r="B402" s="1" t="s">
        <v>408</v>
      </c>
      <c r="C402" s="1" t="s">
        <v>19</v>
      </c>
      <c r="D402" s="1" t="s">
        <v>114</v>
      </c>
      <c r="E402" s="1" t="s">
        <v>147</v>
      </c>
      <c r="F402" s="1" t="s">
        <v>455</v>
      </c>
      <c r="G402" s="1">
        <v>2.5</v>
      </c>
      <c r="H402" s="1" t="s">
        <v>60</v>
      </c>
      <c r="I402" s="1">
        <v>-168.0</v>
      </c>
      <c r="J402" s="1">
        <v>-0.256726533544776</v>
      </c>
      <c r="K402" s="1" t="s">
        <v>61</v>
      </c>
      <c r="L402" s="1" t="s">
        <v>61</v>
      </c>
      <c r="M402" s="1" t="s">
        <v>62</v>
      </c>
      <c r="N402" s="1">
        <v>128.0</v>
      </c>
      <c r="O402" s="1">
        <v>0.191257504342105</v>
      </c>
      <c r="P402" s="1" t="s">
        <v>61</v>
      </c>
      <c r="Q402" s="1" t="s">
        <v>61</v>
      </c>
      <c r="R402" s="1">
        <f t="shared" si="1"/>
        <v>0.1912575043</v>
      </c>
      <c r="S402" s="1">
        <f t="shared" si="2"/>
        <v>128</v>
      </c>
      <c r="T402" s="1">
        <f t="shared" si="3"/>
        <v>2.28</v>
      </c>
      <c r="U402" s="1">
        <f t="shared" si="4"/>
        <v>0</v>
      </c>
      <c r="V402" s="3">
        <f t="shared" si="5"/>
        <v>3</v>
      </c>
      <c r="W402" s="3" t="str">
        <f>IFERROR(__xludf.DUMMYFUNCTION("split(B402,"" "")"),"A.")</f>
        <v>A.</v>
      </c>
      <c r="X402" s="3" t="str">
        <f>IFERROR(__xludf.DUMMYFUNCTION("""COMPUTED_VALUE"""),"Ekeler")</f>
        <v>Ekeler</v>
      </c>
      <c r="Z402" s="3">
        <v>3.0</v>
      </c>
      <c r="AA402" s="3">
        <f t="shared" si="6"/>
        <v>1</v>
      </c>
      <c r="AB402" s="3">
        <f t="shared" si="7"/>
        <v>0</v>
      </c>
      <c r="AC402" s="3">
        <f t="shared" si="8"/>
        <v>3.84</v>
      </c>
      <c r="AD402" s="3">
        <f t="shared" si="9"/>
        <v>-3</v>
      </c>
    </row>
    <row r="403">
      <c r="A403" s="1" t="s">
        <v>12</v>
      </c>
      <c r="B403" s="1" t="s">
        <v>249</v>
      </c>
      <c r="C403" s="1" t="s">
        <v>18</v>
      </c>
      <c r="D403" s="1" t="s">
        <v>114</v>
      </c>
      <c r="E403" s="1" t="s">
        <v>147</v>
      </c>
      <c r="F403" s="1" t="s">
        <v>455</v>
      </c>
      <c r="G403" s="1">
        <v>3.5</v>
      </c>
      <c r="H403" s="1" t="s">
        <v>60</v>
      </c>
      <c r="I403" s="1">
        <v>-163.0</v>
      </c>
      <c r="J403" s="1">
        <v>-0.186409885931559</v>
      </c>
      <c r="K403" s="1" t="s">
        <v>61</v>
      </c>
      <c r="L403" s="1" t="s">
        <v>61</v>
      </c>
      <c r="M403" s="1" t="s">
        <v>62</v>
      </c>
      <c r="N403" s="1">
        <v>124.0</v>
      </c>
      <c r="O403" s="1">
        <v>0.120216071428571</v>
      </c>
      <c r="P403" s="1" t="s">
        <v>61</v>
      </c>
      <c r="Q403" s="1" t="s">
        <v>61</v>
      </c>
      <c r="R403" s="1">
        <f t="shared" si="1"/>
        <v>0.1202160714</v>
      </c>
      <c r="S403" s="1">
        <f t="shared" si="2"/>
        <v>124</v>
      </c>
      <c r="T403" s="1">
        <f t="shared" si="3"/>
        <v>2.24</v>
      </c>
      <c r="U403" s="1">
        <f t="shared" si="4"/>
        <v>0</v>
      </c>
      <c r="V403" s="3">
        <f t="shared" si="5"/>
        <v>3</v>
      </c>
      <c r="W403" s="3" t="str">
        <f>IFERROR(__xludf.DUMMYFUNCTION("split(B403,"" "")"),"T.")</f>
        <v>T.</v>
      </c>
      <c r="X403" s="3" t="str">
        <f>IFERROR(__xludf.DUMMYFUNCTION("""COMPUTED_VALUE"""),"McLaurin")</f>
        <v>McLaurin</v>
      </c>
      <c r="Z403" s="3">
        <v>6.0</v>
      </c>
      <c r="AA403" s="3">
        <f t="shared" si="6"/>
        <v>1</v>
      </c>
      <c r="AB403" s="3">
        <f t="shared" si="7"/>
        <v>0</v>
      </c>
      <c r="AC403" s="3">
        <f t="shared" si="8"/>
        <v>3.72</v>
      </c>
      <c r="AD403" s="3">
        <f t="shared" si="9"/>
        <v>-3</v>
      </c>
    </row>
    <row r="404">
      <c r="A404" s="1" t="s">
        <v>15</v>
      </c>
      <c r="B404" s="1" t="s">
        <v>320</v>
      </c>
      <c r="C404" s="1" t="s">
        <v>21</v>
      </c>
      <c r="D404" s="1" t="s">
        <v>114</v>
      </c>
      <c r="E404" s="1" t="s">
        <v>147</v>
      </c>
      <c r="F404" s="1" t="s">
        <v>455</v>
      </c>
      <c r="G404" s="1">
        <v>17.5</v>
      </c>
      <c r="H404" s="1" t="s">
        <v>60</v>
      </c>
      <c r="I404" s="1">
        <v>-127.0</v>
      </c>
      <c r="J404" s="1">
        <v>-0.171971079867841</v>
      </c>
      <c r="K404" s="1" t="s">
        <v>61</v>
      </c>
      <c r="L404" s="1" t="s">
        <v>61</v>
      </c>
      <c r="M404" s="1" t="s">
        <v>62</v>
      </c>
      <c r="N404" s="1">
        <v>-101.0</v>
      </c>
      <c r="O404" s="1">
        <v>0.110012111847263</v>
      </c>
      <c r="P404" s="1" t="s">
        <v>61</v>
      </c>
      <c r="Q404" s="1" t="s">
        <v>61</v>
      </c>
      <c r="R404" s="1">
        <f t="shared" si="1"/>
        <v>0.1100121118</v>
      </c>
      <c r="S404" s="1">
        <f t="shared" si="2"/>
        <v>-101</v>
      </c>
      <c r="T404" s="1">
        <f t="shared" si="3"/>
        <v>1.99009901</v>
      </c>
      <c r="U404" s="1">
        <f t="shared" si="4"/>
        <v>0</v>
      </c>
      <c r="V404" s="3">
        <f t="shared" si="5"/>
        <v>3</v>
      </c>
      <c r="W404" s="3" t="str">
        <f>IFERROR(__xludf.DUMMYFUNCTION("split(B404,"" "")"),"J.")</f>
        <v>J.</v>
      </c>
      <c r="X404" s="3" t="str">
        <f>IFERROR(__xludf.DUMMYFUNCTION("""COMPUTED_VALUE"""),"Daniels")</f>
        <v>Daniels</v>
      </c>
      <c r="Z404" s="3">
        <v>23.0</v>
      </c>
      <c r="AA404" s="3">
        <f t="shared" si="6"/>
        <v>1</v>
      </c>
      <c r="AB404" s="3">
        <f t="shared" si="7"/>
        <v>0</v>
      </c>
      <c r="AC404" s="3">
        <f t="shared" si="8"/>
        <v>2.97029703</v>
      </c>
      <c r="AD404" s="3">
        <f t="shared" si="9"/>
        <v>-3</v>
      </c>
    </row>
    <row r="405">
      <c r="A405" s="1" t="s">
        <v>14</v>
      </c>
      <c r="B405" s="1" t="s">
        <v>320</v>
      </c>
      <c r="C405" s="1" t="s">
        <v>21</v>
      </c>
      <c r="D405" s="1" t="s">
        <v>114</v>
      </c>
      <c r="E405" s="1" t="s">
        <v>147</v>
      </c>
      <c r="F405" s="1" t="s">
        <v>455</v>
      </c>
      <c r="G405" s="1">
        <v>1.5</v>
      </c>
      <c r="H405" s="1" t="s">
        <v>60</v>
      </c>
      <c r="I405" s="1">
        <v>179.0</v>
      </c>
      <c r="J405" s="1">
        <v>0.0412770609318996</v>
      </c>
      <c r="K405" s="1" t="s">
        <v>61</v>
      </c>
      <c r="L405" s="1" t="s">
        <v>61</v>
      </c>
      <c r="M405" s="1" t="s">
        <v>62</v>
      </c>
      <c r="N405" s="1">
        <v>-242.0</v>
      </c>
      <c r="O405" s="1">
        <v>-0.107302339181286</v>
      </c>
      <c r="P405" s="1" t="s">
        <v>61</v>
      </c>
      <c r="Q405" s="1" t="s">
        <v>61</v>
      </c>
      <c r="R405" s="1">
        <f t="shared" si="1"/>
        <v>0.04127706093</v>
      </c>
      <c r="S405" s="1">
        <f t="shared" si="2"/>
        <v>179</v>
      </c>
      <c r="T405" s="1">
        <f t="shared" si="3"/>
        <v>2.79</v>
      </c>
      <c r="U405" s="1">
        <f t="shared" si="4"/>
        <v>1</v>
      </c>
      <c r="V405" s="3">
        <f t="shared" si="5"/>
        <v>1</v>
      </c>
      <c r="W405" s="3" t="str">
        <f>IFERROR(__xludf.DUMMYFUNCTION("split(B405,"" "")"),"J.")</f>
        <v>J.</v>
      </c>
      <c r="X405" s="3" t="str">
        <f>IFERROR(__xludf.DUMMYFUNCTION("""COMPUTED_VALUE"""),"Daniels")</f>
        <v>Daniels</v>
      </c>
      <c r="Z405" s="3">
        <v>0.0</v>
      </c>
      <c r="AA405" s="3">
        <f t="shared" si="6"/>
        <v>0</v>
      </c>
      <c r="AB405" s="3">
        <f t="shared" si="7"/>
        <v>0</v>
      </c>
      <c r="AC405" s="3">
        <f t="shared" si="8"/>
        <v>1.79</v>
      </c>
      <c r="AD405" s="3">
        <f t="shared" si="9"/>
        <v>-1</v>
      </c>
    </row>
    <row r="406">
      <c r="A406" s="1" t="s">
        <v>8</v>
      </c>
      <c r="B406" s="1" t="s">
        <v>264</v>
      </c>
      <c r="C406" s="1" t="s">
        <v>19</v>
      </c>
      <c r="D406" s="1" t="s">
        <v>114</v>
      </c>
      <c r="E406" s="1" t="s">
        <v>147</v>
      </c>
      <c r="F406" s="1" t="s">
        <v>455</v>
      </c>
      <c r="G406" s="1">
        <v>13.5</v>
      </c>
      <c r="H406" s="1" t="s">
        <v>60</v>
      </c>
      <c r="I406" s="1">
        <v>-120.0</v>
      </c>
      <c r="J406" s="1">
        <v>-0.105806223999545</v>
      </c>
      <c r="K406" s="1" t="s">
        <v>61</v>
      </c>
      <c r="L406" s="1" t="s">
        <v>61</v>
      </c>
      <c r="M406" s="1" t="s">
        <v>62</v>
      </c>
      <c r="N406" s="1">
        <v>-110.0</v>
      </c>
      <c r="O406" s="1">
        <v>0.0365347914661429</v>
      </c>
      <c r="P406" s="1" t="s">
        <v>61</v>
      </c>
      <c r="Q406" s="1" t="s">
        <v>61</v>
      </c>
      <c r="R406" s="1">
        <f t="shared" si="1"/>
        <v>0.03653479147</v>
      </c>
      <c r="S406" s="1">
        <f t="shared" si="2"/>
        <v>-110</v>
      </c>
      <c r="T406" s="1">
        <f t="shared" si="3"/>
        <v>1.909090909</v>
      </c>
      <c r="U406" s="1">
        <f t="shared" si="4"/>
        <v>0</v>
      </c>
      <c r="V406" s="3">
        <f t="shared" si="5"/>
        <v>1</v>
      </c>
      <c r="W406" s="3" t="str">
        <f>IFERROR(__xludf.DUMMYFUNCTION("split(B406,"" "")"),"B.")</f>
        <v>B.</v>
      </c>
      <c r="X406" s="3" t="str">
        <f>IFERROR(__xludf.DUMMYFUNCTION("""COMPUTED_VALUE"""),"Robinson")</f>
        <v>Robinson</v>
      </c>
      <c r="Z406" s="1">
        <v>17.0</v>
      </c>
      <c r="AA406" s="3">
        <f t="shared" si="6"/>
        <v>1</v>
      </c>
      <c r="AB406" s="3">
        <f t="shared" si="7"/>
        <v>0</v>
      </c>
      <c r="AC406" s="3">
        <f t="shared" si="8"/>
        <v>0.9090909091</v>
      </c>
      <c r="AD406" s="3">
        <f t="shared" si="9"/>
        <v>-1</v>
      </c>
    </row>
    <row r="407">
      <c r="A407" s="1" t="s">
        <v>16</v>
      </c>
      <c r="B407" s="1" t="s">
        <v>320</v>
      </c>
      <c r="C407" s="1" t="s">
        <v>21</v>
      </c>
      <c r="D407" s="1" t="s">
        <v>114</v>
      </c>
      <c r="E407" s="1" t="s">
        <v>147</v>
      </c>
      <c r="F407" s="1" t="s">
        <v>455</v>
      </c>
      <c r="G407" s="1">
        <v>27.5</v>
      </c>
      <c r="H407" s="1" t="s">
        <v>60</v>
      </c>
      <c r="I407" s="1">
        <v>-121.0</v>
      </c>
      <c r="J407" s="1">
        <v>-0.0928653362895928</v>
      </c>
      <c r="K407" s="1" t="s">
        <v>61</v>
      </c>
      <c r="L407" s="1" t="s">
        <v>61</v>
      </c>
      <c r="M407" s="1" t="s">
        <v>62</v>
      </c>
      <c r="N407" s="1">
        <v>-106.0</v>
      </c>
      <c r="O407" s="1">
        <v>0.0307846100932038</v>
      </c>
      <c r="P407" s="1" t="s">
        <v>61</v>
      </c>
      <c r="Q407" s="1" t="s">
        <v>61</v>
      </c>
      <c r="R407" s="1">
        <f t="shared" si="1"/>
        <v>0.03078461009</v>
      </c>
      <c r="S407" s="1">
        <f t="shared" si="2"/>
        <v>-106</v>
      </c>
      <c r="T407" s="1">
        <f t="shared" si="3"/>
        <v>1.943396226</v>
      </c>
      <c r="U407" s="1">
        <f t="shared" si="4"/>
        <v>0</v>
      </c>
      <c r="V407" s="3">
        <f t="shared" si="5"/>
        <v>1</v>
      </c>
      <c r="W407" s="3" t="str">
        <f>IFERROR(__xludf.DUMMYFUNCTION("split(B407,"" "")"),"J.")</f>
        <v>J.</v>
      </c>
      <c r="X407" s="3" t="str">
        <f>IFERROR(__xludf.DUMMYFUNCTION("""COMPUTED_VALUE"""),"Daniels")</f>
        <v>Daniels</v>
      </c>
      <c r="Z407" s="3">
        <v>29.0</v>
      </c>
      <c r="AA407" s="3">
        <f t="shared" si="6"/>
        <v>1</v>
      </c>
      <c r="AB407" s="3">
        <f t="shared" si="7"/>
        <v>0</v>
      </c>
      <c r="AC407" s="3">
        <f t="shared" si="8"/>
        <v>0.9433962264</v>
      </c>
      <c r="AD407" s="3">
        <f t="shared" si="9"/>
        <v>-1</v>
      </c>
    </row>
    <row r="408">
      <c r="A408" s="1" t="s">
        <v>10</v>
      </c>
      <c r="B408" s="1" t="s">
        <v>264</v>
      </c>
      <c r="C408" s="1" t="s">
        <v>19</v>
      </c>
      <c r="D408" s="1" t="s">
        <v>114</v>
      </c>
      <c r="E408" s="1" t="s">
        <v>147</v>
      </c>
      <c r="F408" s="1" t="s">
        <v>455</v>
      </c>
      <c r="G408" s="1">
        <v>53.5</v>
      </c>
      <c r="H408" s="1" t="s">
        <v>60</v>
      </c>
      <c r="I408" s="1">
        <v>-131.0</v>
      </c>
      <c r="J408" s="1">
        <v>-0.0924014931550184</v>
      </c>
      <c r="K408" s="1" t="s">
        <v>61</v>
      </c>
      <c r="L408" s="1" t="s">
        <v>61</v>
      </c>
      <c r="M408" s="1" t="s">
        <v>62</v>
      </c>
      <c r="N408" s="1">
        <v>100.0</v>
      </c>
      <c r="O408" s="1">
        <v>0.0253005247628312</v>
      </c>
      <c r="P408" s="1" t="s">
        <v>61</v>
      </c>
      <c r="Q408" s="1" t="s">
        <v>61</v>
      </c>
      <c r="R408" s="1">
        <f t="shared" si="1"/>
        <v>0.02530052476</v>
      </c>
      <c r="S408" s="1">
        <f t="shared" si="2"/>
        <v>100</v>
      </c>
      <c r="T408" s="1">
        <f t="shared" si="3"/>
        <v>2</v>
      </c>
      <c r="U408" s="1">
        <f t="shared" si="4"/>
        <v>0</v>
      </c>
      <c r="V408" s="3">
        <f t="shared" si="5"/>
        <v>1</v>
      </c>
      <c r="W408" s="3" t="str">
        <f>IFERROR(__xludf.DUMMYFUNCTION("split(B408,"" "")"),"B.")</f>
        <v>B.</v>
      </c>
      <c r="X408" s="3" t="str">
        <f>IFERROR(__xludf.DUMMYFUNCTION("""COMPUTED_VALUE"""),"Robinson")</f>
        <v>Robinson</v>
      </c>
      <c r="Z408" s="1">
        <v>133.0</v>
      </c>
      <c r="AA408" s="3">
        <f t="shared" si="6"/>
        <v>1</v>
      </c>
      <c r="AB408" s="3">
        <f t="shared" si="7"/>
        <v>0</v>
      </c>
      <c r="AC408" s="3">
        <f t="shared" si="8"/>
        <v>1</v>
      </c>
      <c r="AD408" s="3">
        <f t="shared" si="9"/>
        <v>-1</v>
      </c>
    </row>
    <row r="409">
      <c r="A409" s="1" t="s">
        <v>11</v>
      </c>
      <c r="B409" s="1" t="s">
        <v>408</v>
      </c>
      <c r="C409" s="1" t="s">
        <v>19</v>
      </c>
      <c r="D409" s="1" t="s">
        <v>114</v>
      </c>
      <c r="E409" s="1" t="s">
        <v>147</v>
      </c>
      <c r="F409" s="1" t="s">
        <v>455</v>
      </c>
      <c r="G409" s="1">
        <v>19.5</v>
      </c>
      <c r="H409" s="1" t="s">
        <v>60</v>
      </c>
      <c r="I409" s="1">
        <v>-115.0</v>
      </c>
      <c r="J409" s="1">
        <v>-0.0752197255791537</v>
      </c>
      <c r="K409" s="1" t="s">
        <v>61</v>
      </c>
      <c r="L409" s="1" t="s">
        <v>61</v>
      </c>
      <c r="M409" s="1" t="s">
        <v>62</v>
      </c>
      <c r="N409" s="1">
        <v>-115.0</v>
      </c>
      <c r="O409" s="1">
        <v>0.00548768441602665</v>
      </c>
      <c r="P409" s="1" t="s">
        <v>61</v>
      </c>
      <c r="Q409" s="1" t="s">
        <v>61</v>
      </c>
      <c r="R409" s="1">
        <f t="shared" si="1"/>
        <v>0.005487684416</v>
      </c>
      <c r="S409" s="1">
        <f t="shared" si="2"/>
        <v>-115</v>
      </c>
      <c r="T409" s="1">
        <f t="shared" si="3"/>
        <v>1.869565217</v>
      </c>
      <c r="U409" s="1">
        <f t="shared" si="4"/>
        <v>0</v>
      </c>
      <c r="V409" s="3">
        <f t="shared" si="5"/>
        <v>1</v>
      </c>
      <c r="W409" s="3" t="str">
        <f>IFERROR(__xludf.DUMMYFUNCTION("split(B409,"" "")"),"A.")</f>
        <v>A.</v>
      </c>
      <c r="X409" s="3" t="str">
        <f>IFERROR(__xludf.DUMMYFUNCTION("""COMPUTED_VALUE"""),"Ekeler")</f>
        <v>Ekeler</v>
      </c>
      <c r="Z409" s="3">
        <v>47.0</v>
      </c>
      <c r="AA409" s="3">
        <f t="shared" si="6"/>
        <v>1</v>
      </c>
      <c r="AB409" s="3">
        <f t="shared" si="7"/>
        <v>0</v>
      </c>
      <c r="AC409" s="3">
        <f t="shared" si="8"/>
        <v>0.8695652174</v>
      </c>
      <c r="AD409" s="3">
        <f t="shared" si="9"/>
        <v>-1</v>
      </c>
    </row>
  </sheetData>
  <conditionalFormatting sqref="J1:J241 O242:O409">
    <cfRule type="cellIs" dxfId="0" priority="1" operator="greaterThan">
      <formula>0</formula>
    </cfRule>
  </conditionalFormatting>
  <conditionalFormatting sqref="O1:O241">
    <cfRule type="cellIs" dxfId="0" priority="2" operator="greaterThan">
      <formula>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6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SUM(AE2:AE100058)</f>
        <v>-21.15337122</v>
      </c>
      <c r="AH1" s="2">
        <f>COUNTIF(AC:AC,1)/COUNT(AC:AC)</f>
        <v>0.537428023</v>
      </c>
    </row>
    <row r="2">
      <c r="A2" s="1" t="s">
        <v>14</v>
      </c>
      <c r="B2" s="1" t="s">
        <v>56</v>
      </c>
      <c r="C2" s="1" t="s">
        <v>21</v>
      </c>
      <c r="D2" s="1" t="s">
        <v>57</v>
      </c>
      <c r="E2" s="1" t="s">
        <v>58</v>
      </c>
      <c r="F2" s="1" t="s">
        <v>59</v>
      </c>
      <c r="G2" s="1">
        <v>0.5</v>
      </c>
      <c r="H2" s="1" t="s">
        <v>60</v>
      </c>
      <c r="I2" s="1">
        <v>-237.0</v>
      </c>
      <c r="J2" s="1">
        <v>-0.213992305519287</v>
      </c>
      <c r="K2" s="1" t="s">
        <v>61</v>
      </c>
      <c r="L2" s="1" t="s">
        <v>61</v>
      </c>
      <c r="M2" s="1" t="s">
        <v>62</v>
      </c>
      <c r="N2" s="1">
        <v>176.0</v>
      </c>
      <c r="O2" s="1">
        <v>0.148415604927536</v>
      </c>
      <c r="P2" s="1" t="s">
        <v>61</v>
      </c>
      <c r="Q2" s="1" t="s">
        <v>61</v>
      </c>
      <c r="R2" s="1">
        <f t="shared" ref="R2:R522" si="1">if(O2&gt;0, O2, J2)</f>
        <v>0.1484156049</v>
      </c>
      <c r="S2" s="1">
        <f t="shared" ref="S2:S522" si="2">if(O2&gt;0,N2,I2)</f>
        <v>176</v>
      </c>
      <c r="T2" s="1">
        <f t="shared" ref="T2:T522" si="3">if(S2&gt;0, S2/100, -100/S2) + 1</f>
        <v>2.76</v>
      </c>
      <c r="U2" s="1">
        <f t="shared" ref="U2:U522" si="4">if(and(M2="under", O2&gt;0),0,1)</f>
        <v>0</v>
      </c>
      <c r="V2" s="3">
        <f t="shared" ref="V2:V522" si="5">IF(R2&lt;0.05, 1,if(R2&gt;0.1,3,2))</f>
        <v>3</v>
      </c>
      <c r="W2" s="3">
        <f t="shared" ref="W2:W606" si="6">IFS(T2&gt;2.1, 1, T2&lt;1.85,3, TRUE,2)</f>
        <v>1</v>
      </c>
      <c r="X2" s="3" t="str">
        <f>IFERROR(__xludf.DUMMYFUNCTION("split(B2,"" "")"),"B.")</f>
        <v>B.</v>
      </c>
      <c r="Y2" s="3" t="str">
        <f>IFERROR(__xludf.DUMMYFUNCTION("""COMPUTED_VALUE"""),"Young")</f>
        <v>Young</v>
      </c>
      <c r="AA2" s="3">
        <v>0.0</v>
      </c>
      <c r="AB2" s="3">
        <f t="shared" ref="AB2:AB522" si="7">if(AA2&lt;G2,0,1)</f>
        <v>0</v>
      </c>
      <c r="AC2" s="3">
        <f t="shared" ref="AC2:AC522" si="8">if(AB2=U2,1,0)</f>
        <v>1</v>
      </c>
      <c r="AD2" s="3">
        <f t="shared" ref="AD2:AD522" si="9">if(S2&lt;0, (100/(-S2))*V2, (S2/100)*V2)</f>
        <v>5.28</v>
      </c>
      <c r="AE2" s="3">
        <f t="shared" ref="AE2:AE522" si="10">if(AC2=1,AD2,-V2)</f>
        <v>5.28</v>
      </c>
      <c r="AF2" s="3">
        <f t="shared" ref="AF2:AF415" si="11">IF(AC2=0, -W2, (W2*T2)-W2)</f>
        <v>1.76</v>
      </c>
      <c r="AG2" s="3">
        <f t="shared" ref="AG2:AG522" si="12">if(AC2 = 1, ABS((AA2-G2)/G2), ABS((AA2-G2)/G2)*-1)</f>
        <v>1</v>
      </c>
    </row>
    <row r="3">
      <c r="A3" s="1" t="s">
        <v>14</v>
      </c>
      <c r="B3" s="1" t="s">
        <v>65</v>
      </c>
      <c r="C3" s="1" t="s">
        <v>21</v>
      </c>
      <c r="D3" s="1" t="s">
        <v>66</v>
      </c>
      <c r="E3" s="1" t="s">
        <v>67</v>
      </c>
      <c r="F3" s="1" t="s">
        <v>59</v>
      </c>
      <c r="G3" s="1">
        <v>0.5</v>
      </c>
      <c r="H3" s="1" t="s">
        <v>60</v>
      </c>
      <c r="I3" s="1">
        <v>-217.0</v>
      </c>
      <c r="J3" s="1">
        <v>-0.284842292151419</v>
      </c>
      <c r="K3" s="1" t="s">
        <v>61</v>
      </c>
      <c r="L3" s="1" t="s">
        <v>61</v>
      </c>
      <c r="M3" s="1" t="s">
        <v>62</v>
      </c>
      <c r="N3" s="1">
        <v>161.0</v>
      </c>
      <c r="O3" s="1">
        <v>0.217157879739463</v>
      </c>
      <c r="P3" s="1" t="s">
        <v>61</v>
      </c>
      <c r="Q3" s="1" t="s">
        <v>61</v>
      </c>
      <c r="R3" s="1">
        <f t="shared" si="1"/>
        <v>0.2171578797</v>
      </c>
      <c r="S3" s="1">
        <f t="shared" si="2"/>
        <v>161</v>
      </c>
      <c r="T3" s="1">
        <f t="shared" si="3"/>
        <v>2.61</v>
      </c>
      <c r="U3" s="1">
        <f t="shared" si="4"/>
        <v>0</v>
      </c>
      <c r="V3" s="3">
        <f t="shared" si="5"/>
        <v>3</v>
      </c>
      <c r="W3" s="3">
        <f t="shared" si="6"/>
        <v>1</v>
      </c>
      <c r="X3" s="3" t="str">
        <f>IFERROR(__xludf.DUMMYFUNCTION("split(B3,"" "")"),"J.")</f>
        <v>J.</v>
      </c>
      <c r="Y3" s="3" t="str">
        <f>IFERROR(__xludf.DUMMYFUNCTION("""COMPUTED_VALUE"""),"Brissett")</f>
        <v>Brissett</v>
      </c>
      <c r="AA3" s="3">
        <v>0.0</v>
      </c>
      <c r="AB3" s="3">
        <f t="shared" si="7"/>
        <v>0</v>
      </c>
      <c r="AC3" s="3">
        <f t="shared" si="8"/>
        <v>1</v>
      </c>
      <c r="AD3" s="3">
        <f t="shared" si="9"/>
        <v>4.83</v>
      </c>
      <c r="AE3" s="3">
        <f t="shared" si="10"/>
        <v>4.83</v>
      </c>
      <c r="AF3" s="3">
        <f t="shared" si="11"/>
        <v>1.61</v>
      </c>
      <c r="AG3" s="3">
        <f t="shared" si="12"/>
        <v>1</v>
      </c>
    </row>
    <row r="4">
      <c r="A4" s="1" t="s">
        <v>12</v>
      </c>
      <c r="B4" s="1" t="s">
        <v>70</v>
      </c>
      <c r="C4" s="1" t="s">
        <v>20</v>
      </c>
      <c r="D4" s="1" t="s">
        <v>71</v>
      </c>
      <c r="E4" s="1" t="s">
        <v>72</v>
      </c>
      <c r="F4" s="1" t="s">
        <v>59</v>
      </c>
      <c r="G4" s="1">
        <v>1.5</v>
      </c>
      <c r="H4" s="1" t="s">
        <v>60</v>
      </c>
      <c r="I4" s="1">
        <v>-200.0</v>
      </c>
      <c r="J4" s="1">
        <v>-0.303093497149999</v>
      </c>
      <c r="K4" s="1" t="s">
        <v>61</v>
      </c>
      <c r="L4" s="1" t="s">
        <v>61</v>
      </c>
      <c r="M4" s="1" t="s">
        <v>62</v>
      </c>
      <c r="N4" s="1">
        <v>150.0</v>
      </c>
      <c r="O4" s="1">
        <v>0.236432196579999</v>
      </c>
      <c r="P4" s="1" t="s">
        <v>61</v>
      </c>
      <c r="Q4" s="1" t="s">
        <v>61</v>
      </c>
      <c r="R4" s="1">
        <f t="shared" si="1"/>
        <v>0.2364321966</v>
      </c>
      <c r="S4" s="1">
        <f t="shared" si="2"/>
        <v>150</v>
      </c>
      <c r="T4" s="1">
        <f t="shared" si="3"/>
        <v>2.5</v>
      </c>
      <c r="U4" s="1">
        <f t="shared" si="4"/>
        <v>0</v>
      </c>
      <c r="V4" s="3">
        <f t="shared" si="5"/>
        <v>3</v>
      </c>
      <c r="W4" s="3">
        <f t="shared" si="6"/>
        <v>1</v>
      </c>
      <c r="X4" s="3" t="str">
        <f>IFERROR(__xludf.DUMMYFUNCTION("split(B4,"" "")"),"K.")</f>
        <v>K.</v>
      </c>
      <c r="Y4" s="3" t="str">
        <f>IFERROR(__xludf.DUMMYFUNCTION("""COMPUTED_VALUE"""),"Granson")</f>
        <v>Granson</v>
      </c>
      <c r="AA4" s="3">
        <v>0.0</v>
      </c>
      <c r="AB4" s="3">
        <f t="shared" si="7"/>
        <v>0</v>
      </c>
      <c r="AC4" s="3">
        <f t="shared" si="8"/>
        <v>1</v>
      </c>
      <c r="AD4" s="3">
        <f t="shared" si="9"/>
        <v>4.5</v>
      </c>
      <c r="AE4" s="3">
        <f t="shared" si="10"/>
        <v>4.5</v>
      </c>
      <c r="AF4" s="3">
        <f t="shared" si="11"/>
        <v>1.5</v>
      </c>
      <c r="AG4" s="3">
        <f t="shared" si="12"/>
        <v>1</v>
      </c>
      <c r="AH4" s="1" t="s">
        <v>18</v>
      </c>
      <c r="AI4" s="3">
        <f t="shared" ref="AI4:AI7" si="13">COUNTIFS(C:C, "="&amp;AH4, AC:AC, "=1")</f>
        <v>91</v>
      </c>
      <c r="AJ4" s="3">
        <f t="shared" ref="AJ4:AJ7" si="14">countif(C:C, "="&amp;AH4)</f>
        <v>174</v>
      </c>
      <c r="AK4" s="3">
        <f t="shared" ref="AK4:AK7" si="15">AI4/AJ4</f>
        <v>0.5229885057</v>
      </c>
    </row>
    <row r="5">
      <c r="A5" s="1" t="s">
        <v>14</v>
      </c>
      <c r="B5" s="1" t="s">
        <v>75</v>
      </c>
      <c r="C5" s="1" t="s">
        <v>21</v>
      </c>
      <c r="D5" s="1" t="s">
        <v>76</v>
      </c>
      <c r="E5" s="1" t="s">
        <v>77</v>
      </c>
      <c r="F5" s="1" t="s">
        <v>78</v>
      </c>
      <c r="G5" s="1">
        <v>1.5</v>
      </c>
      <c r="H5" s="1" t="s">
        <v>60</v>
      </c>
      <c r="I5" s="1">
        <v>-187.0</v>
      </c>
      <c r="J5" s="6">
        <v>-0.193702787456446</v>
      </c>
      <c r="K5" s="1" t="s">
        <v>61</v>
      </c>
      <c r="L5" s="1" t="s">
        <v>61</v>
      </c>
      <c r="M5" s="1" t="s">
        <v>62</v>
      </c>
      <c r="N5" s="1">
        <v>138.0</v>
      </c>
      <c r="O5" s="6">
        <v>0.121973949579831</v>
      </c>
      <c r="P5" s="1" t="s">
        <v>61</v>
      </c>
      <c r="Q5" s="1" t="s">
        <v>61</v>
      </c>
      <c r="R5" s="6">
        <f t="shared" si="1"/>
        <v>0.1219739496</v>
      </c>
      <c r="S5" s="1">
        <f t="shared" si="2"/>
        <v>138</v>
      </c>
      <c r="T5" s="1">
        <f t="shared" si="3"/>
        <v>2.38</v>
      </c>
      <c r="U5" s="1">
        <f t="shared" si="4"/>
        <v>0</v>
      </c>
      <c r="V5" s="3">
        <f t="shared" si="5"/>
        <v>3</v>
      </c>
      <c r="W5" s="3">
        <f t="shared" si="6"/>
        <v>1</v>
      </c>
      <c r="X5" s="3" t="str">
        <f>IFERROR(__xludf.DUMMYFUNCTION("split(B5,"" "")"),"P.")</f>
        <v>P.</v>
      </c>
      <c r="Y5" s="3" t="str">
        <f>IFERROR(__xludf.DUMMYFUNCTION("""COMPUTED_VALUE"""),"Mahomes")</f>
        <v>Mahomes</v>
      </c>
      <c r="AA5" s="3">
        <v>1.0</v>
      </c>
      <c r="AB5" s="3">
        <f t="shared" si="7"/>
        <v>0</v>
      </c>
      <c r="AC5" s="3">
        <f t="shared" si="8"/>
        <v>1</v>
      </c>
      <c r="AD5" s="3">
        <f t="shared" si="9"/>
        <v>4.14</v>
      </c>
      <c r="AE5" s="3">
        <f t="shared" si="10"/>
        <v>4.14</v>
      </c>
      <c r="AF5" s="3">
        <f t="shared" si="11"/>
        <v>1.38</v>
      </c>
      <c r="AG5" s="3">
        <f t="shared" si="12"/>
        <v>0.3333333333</v>
      </c>
      <c r="AH5" s="1" t="s">
        <v>19</v>
      </c>
      <c r="AI5" s="3">
        <f t="shared" si="13"/>
        <v>85</v>
      </c>
      <c r="AJ5" s="3">
        <f t="shared" si="14"/>
        <v>169</v>
      </c>
      <c r="AK5" s="3">
        <f t="shared" si="15"/>
        <v>0.5029585799</v>
      </c>
    </row>
    <row r="6">
      <c r="A6" s="1" t="s">
        <v>12</v>
      </c>
      <c r="B6" s="1" t="s">
        <v>81</v>
      </c>
      <c r="C6" s="1" t="s">
        <v>20</v>
      </c>
      <c r="D6" s="1" t="s">
        <v>82</v>
      </c>
      <c r="E6" s="1" t="s">
        <v>83</v>
      </c>
      <c r="F6" s="1" t="s">
        <v>84</v>
      </c>
      <c r="G6" s="1">
        <v>2.5</v>
      </c>
      <c r="H6" s="1" t="s">
        <v>60</v>
      </c>
      <c r="I6" s="1">
        <v>-177.0</v>
      </c>
      <c r="J6" s="1">
        <v>-0.269351312599277</v>
      </c>
      <c r="K6" s="1" t="s">
        <v>61</v>
      </c>
      <c r="L6" s="1" t="s">
        <v>61</v>
      </c>
      <c r="M6" s="1" t="s">
        <v>62</v>
      </c>
      <c r="N6" s="1">
        <v>133.0</v>
      </c>
      <c r="O6" s="1">
        <v>0.201170444592274</v>
      </c>
      <c r="P6" s="1" t="s">
        <v>61</v>
      </c>
      <c r="Q6" s="1" t="s">
        <v>61</v>
      </c>
      <c r="R6" s="1">
        <f t="shared" si="1"/>
        <v>0.2011704446</v>
      </c>
      <c r="S6" s="1">
        <f t="shared" si="2"/>
        <v>133</v>
      </c>
      <c r="T6" s="1">
        <f t="shared" si="3"/>
        <v>2.33</v>
      </c>
      <c r="U6" s="1">
        <f t="shared" si="4"/>
        <v>0</v>
      </c>
      <c r="V6" s="3">
        <f t="shared" si="5"/>
        <v>3</v>
      </c>
      <c r="W6" s="3">
        <f t="shared" si="6"/>
        <v>1</v>
      </c>
      <c r="X6" s="3" t="str">
        <f>IFERROR(__xludf.DUMMYFUNCTION("split(B6,"" "")"),"N.")</f>
        <v>N.</v>
      </c>
      <c r="Y6" s="3" t="str">
        <f>IFERROR(__xludf.DUMMYFUNCTION("""COMPUTED_VALUE"""),"Fant")</f>
        <v>Fant</v>
      </c>
      <c r="AA6" s="3">
        <v>2.0</v>
      </c>
      <c r="AB6" s="3">
        <f t="shared" si="7"/>
        <v>0</v>
      </c>
      <c r="AC6" s="3">
        <f t="shared" si="8"/>
        <v>1</v>
      </c>
      <c r="AD6" s="3">
        <f t="shared" si="9"/>
        <v>3.99</v>
      </c>
      <c r="AE6" s="3">
        <f t="shared" si="10"/>
        <v>3.99</v>
      </c>
      <c r="AF6" s="3">
        <f t="shared" si="11"/>
        <v>1.33</v>
      </c>
      <c r="AG6" s="3">
        <f t="shared" si="12"/>
        <v>0.2</v>
      </c>
      <c r="AH6" s="1" t="s">
        <v>20</v>
      </c>
      <c r="AI6" s="3">
        <f t="shared" si="13"/>
        <v>35</v>
      </c>
      <c r="AJ6" s="3">
        <f t="shared" si="14"/>
        <v>50</v>
      </c>
      <c r="AK6" s="3">
        <f t="shared" si="15"/>
        <v>0.7</v>
      </c>
    </row>
    <row r="7">
      <c r="A7" s="1" t="s">
        <v>12</v>
      </c>
      <c r="B7" s="1" t="s">
        <v>87</v>
      </c>
      <c r="C7" s="1" t="s">
        <v>18</v>
      </c>
      <c r="D7" s="1" t="s">
        <v>88</v>
      </c>
      <c r="E7" s="1" t="s">
        <v>89</v>
      </c>
      <c r="F7" s="1" t="s">
        <v>90</v>
      </c>
      <c r="G7" s="1">
        <v>1.5</v>
      </c>
      <c r="H7" s="1" t="s">
        <v>60</v>
      </c>
      <c r="I7" s="1">
        <v>-173.0</v>
      </c>
      <c r="J7" s="1">
        <v>-0.250335439666666</v>
      </c>
      <c r="K7" s="1" t="s">
        <v>61</v>
      </c>
      <c r="L7" s="1" t="s">
        <v>61</v>
      </c>
      <c r="M7" s="1" t="s">
        <v>62</v>
      </c>
      <c r="N7" s="1">
        <v>130.0</v>
      </c>
      <c r="O7" s="1">
        <v>0.181859891430434</v>
      </c>
      <c r="P7" s="1" t="s">
        <v>61</v>
      </c>
      <c r="Q7" s="1" t="s">
        <v>61</v>
      </c>
      <c r="R7" s="1">
        <f t="shared" si="1"/>
        <v>0.1818598914</v>
      </c>
      <c r="S7" s="1">
        <f t="shared" si="2"/>
        <v>130</v>
      </c>
      <c r="T7" s="1">
        <f t="shared" si="3"/>
        <v>2.3</v>
      </c>
      <c r="U7" s="1">
        <f t="shared" si="4"/>
        <v>0</v>
      </c>
      <c r="V7" s="3">
        <f t="shared" si="5"/>
        <v>3</v>
      </c>
      <c r="W7" s="3">
        <f t="shared" si="6"/>
        <v>1</v>
      </c>
      <c r="X7" s="3" t="str">
        <f>IFERROR(__xludf.DUMMYFUNCTION("split(B7,"" "")"),"J.")</f>
        <v>J.</v>
      </c>
      <c r="Y7" s="3" t="str">
        <f>IFERROR(__xludf.DUMMYFUNCTION("""COMPUTED_VALUE"""),"Tolbert")</f>
        <v>Tolbert</v>
      </c>
      <c r="AA7" s="3">
        <v>1.0</v>
      </c>
      <c r="AB7" s="3">
        <f t="shared" si="7"/>
        <v>0</v>
      </c>
      <c r="AC7" s="3">
        <f t="shared" si="8"/>
        <v>1</v>
      </c>
      <c r="AD7" s="3">
        <f t="shared" si="9"/>
        <v>3.9</v>
      </c>
      <c r="AE7" s="3">
        <f t="shared" si="10"/>
        <v>3.9</v>
      </c>
      <c r="AF7" s="3">
        <f t="shared" si="11"/>
        <v>1.3</v>
      </c>
      <c r="AG7" s="3">
        <f t="shared" si="12"/>
        <v>0.3333333333</v>
      </c>
      <c r="AH7" s="1" t="s">
        <v>21</v>
      </c>
      <c r="AI7" s="3">
        <f t="shared" si="13"/>
        <v>69</v>
      </c>
      <c r="AJ7" s="3">
        <f t="shared" si="14"/>
        <v>128</v>
      </c>
      <c r="AK7" s="3">
        <f t="shared" si="15"/>
        <v>0.5390625</v>
      </c>
    </row>
    <row r="8">
      <c r="A8" s="1" t="s">
        <v>12</v>
      </c>
      <c r="B8" s="1" t="s">
        <v>92</v>
      </c>
      <c r="C8" s="1" t="s">
        <v>19</v>
      </c>
      <c r="D8" s="1" t="s">
        <v>93</v>
      </c>
      <c r="E8" s="1" t="s">
        <v>94</v>
      </c>
      <c r="F8" s="1" t="s">
        <v>59</v>
      </c>
      <c r="G8" s="1">
        <v>2.5</v>
      </c>
      <c r="H8" s="1" t="s">
        <v>60</v>
      </c>
      <c r="I8" s="1">
        <v>-169.0</v>
      </c>
      <c r="J8" s="1">
        <v>-0.291614349256505</v>
      </c>
      <c r="K8" s="1" t="s">
        <v>61</v>
      </c>
      <c r="L8" s="1" t="s">
        <v>61</v>
      </c>
      <c r="M8" s="1" t="s">
        <v>62</v>
      </c>
      <c r="N8" s="1">
        <v>126.0</v>
      </c>
      <c r="O8" s="1">
        <v>0.220876371460176</v>
      </c>
      <c r="P8" s="1" t="s">
        <v>61</v>
      </c>
      <c r="Q8" s="1" t="s">
        <v>61</v>
      </c>
      <c r="R8" s="1">
        <f t="shared" si="1"/>
        <v>0.2208763715</v>
      </c>
      <c r="S8" s="1">
        <f t="shared" si="2"/>
        <v>126</v>
      </c>
      <c r="T8" s="1">
        <f t="shared" si="3"/>
        <v>2.26</v>
      </c>
      <c r="U8" s="1">
        <f t="shared" si="4"/>
        <v>0</v>
      </c>
      <c r="V8" s="3">
        <f t="shared" si="5"/>
        <v>3</v>
      </c>
      <c r="W8" s="3">
        <f t="shared" si="6"/>
        <v>1</v>
      </c>
      <c r="X8" s="3" t="str">
        <f>IFERROR(__xludf.DUMMYFUNCTION("split(B8,"" "")"),"T.")</f>
        <v>T.</v>
      </c>
      <c r="Y8" s="3" t="str">
        <f>IFERROR(__xludf.DUMMYFUNCTION("""COMPUTED_VALUE"""),"Etienne")</f>
        <v>Etienne</v>
      </c>
      <c r="Z8" s="3" t="str">
        <f>IFERROR(__xludf.DUMMYFUNCTION("""COMPUTED_VALUE"""),"Jr.")</f>
        <v>Jr.</v>
      </c>
      <c r="AA8" s="3">
        <v>2.0</v>
      </c>
      <c r="AB8" s="3">
        <f t="shared" si="7"/>
        <v>0</v>
      </c>
      <c r="AC8" s="3">
        <f t="shared" si="8"/>
        <v>1</v>
      </c>
      <c r="AD8" s="3">
        <f t="shared" si="9"/>
        <v>3.78</v>
      </c>
      <c r="AE8" s="3">
        <f t="shared" si="10"/>
        <v>3.78</v>
      </c>
      <c r="AF8" s="3">
        <f t="shared" si="11"/>
        <v>1.26</v>
      </c>
      <c r="AG8" s="3">
        <f t="shared" si="12"/>
        <v>0.2</v>
      </c>
    </row>
    <row r="9">
      <c r="A9" s="1" t="s">
        <v>12</v>
      </c>
      <c r="B9" s="1" t="s">
        <v>98</v>
      </c>
      <c r="C9" s="1" t="s">
        <v>19</v>
      </c>
      <c r="D9" s="1" t="s">
        <v>99</v>
      </c>
      <c r="E9" s="1" t="s">
        <v>100</v>
      </c>
      <c r="F9" s="1" t="s">
        <v>59</v>
      </c>
      <c r="G9" s="1">
        <v>1.5</v>
      </c>
      <c r="H9" s="1" t="s">
        <v>60</v>
      </c>
      <c r="I9" s="1">
        <v>-165.0</v>
      </c>
      <c r="J9" s="1">
        <v>-0.270210571950943</v>
      </c>
      <c r="K9" s="1" t="s">
        <v>61</v>
      </c>
      <c r="L9" s="1" t="s">
        <v>61</v>
      </c>
      <c r="M9" s="1" t="s">
        <v>62</v>
      </c>
      <c r="N9" s="1">
        <v>125.0</v>
      </c>
      <c r="O9" s="1">
        <v>0.203136895853333</v>
      </c>
      <c r="P9" s="1" t="s">
        <v>61</v>
      </c>
      <c r="Q9" s="1" t="s">
        <v>61</v>
      </c>
      <c r="R9" s="1">
        <f t="shared" si="1"/>
        <v>0.2031368959</v>
      </c>
      <c r="S9" s="1">
        <f t="shared" si="2"/>
        <v>125</v>
      </c>
      <c r="T9" s="1">
        <f t="shared" si="3"/>
        <v>2.25</v>
      </c>
      <c r="U9" s="1">
        <f t="shared" si="4"/>
        <v>0</v>
      </c>
      <c r="V9" s="3">
        <f t="shared" si="5"/>
        <v>3</v>
      </c>
      <c r="W9" s="3">
        <f t="shared" si="6"/>
        <v>1</v>
      </c>
      <c r="X9" s="3" t="str">
        <f>IFERROR(__xludf.DUMMYFUNCTION("split(B9,"" "")"),"D.")</f>
        <v>D.</v>
      </c>
      <c r="Y9" s="3" t="str">
        <f>IFERROR(__xludf.DUMMYFUNCTION("""COMPUTED_VALUE"""),"Swift")</f>
        <v>Swift</v>
      </c>
      <c r="AA9" s="3">
        <v>0.0</v>
      </c>
      <c r="AB9" s="3">
        <f t="shared" si="7"/>
        <v>0</v>
      </c>
      <c r="AC9" s="3">
        <f t="shared" si="8"/>
        <v>1</v>
      </c>
      <c r="AD9" s="3">
        <f t="shared" si="9"/>
        <v>3.75</v>
      </c>
      <c r="AE9" s="3">
        <f t="shared" si="10"/>
        <v>3.75</v>
      </c>
      <c r="AF9" s="3">
        <f t="shared" si="11"/>
        <v>1.25</v>
      </c>
      <c r="AG9" s="3">
        <f t="shared" si="12"/>
        <v>1</v>
      </c>
    </row>
    <row r="10">
      <c r="A10" s="1" t="s">
        <v>12</v>
      </c>
      <c r="B10" s="1" t="s">
        <v>103</v>
      </c>
      <c r="C10" s="1" t="s">
        <v>18</v>
      </c>
      <c r="D10" s="1" t="s">
        <v>104</v>
      </c>
      <c r="E10" s="1" t="s">
        <v>105</v>
      </c>
      <c r="F10" s="1" t="s">
        <v>59</v>
      </c>
      <c r="G10" s="1">
        <v>2.5</v>
      </c>
      <c r="H10" s="1" t="s">
        <v>60</v>
      </c>
      <c r="I10" s="1">
        <v>-165.0</v>
      </c>
      <c r="J10" s="1">
        <v>-0.202213915698113</v>
      </c>
      <c r="K10" s="1" t="s">
        <v>61</v>
      </c>
      <c r="L10" s="1" t="s">
        <v>61</v>
      </c>
      <c r="M10" s="1" t="s">
        <v>62</v>
      </c>
      <c r="N10" s="1">
        <v>125.0</v>
      </c>
      <c r="O10" s="1">
        <v>0.135140834044444</v>
      </c>
      <c r="P10" s="1" t="s">
        <v>61</v>
      </c>
      <c r="Q10" s="1" t="s">
        <v>61</v>
      </c>
      <c r="R10" s="1">
        <f t="shared" si="1"/>
        <v>0.135140834</v>
      </c>
      <c r="S10" s="1">
        <f t="shared" si="2"/>
        <v>125</v>
      </c>
      <c r="T10" s="1">
        <f t="shared" si="3"/>
        <v>2.25</v>
      </c>
      <c r="U10" s="1">
        <f t="shared" si="4"/>
        <v>0</v>
      </c>
      <c r="V10" s="3">
        <f t="shared" si="5"/>
        <v>3</v>
      </c>
      <c r="W10" s="3">
        <f t="shared" si="6"/>
        <v>1</v>
      </c>
      <c r="X10" s="3" t="str">
        <f>IFERROR(__xludf.DUMMYFUNCTION("split(B10,"" "")"),"C.")</f>
        <v>C.</v>
      </c>
      <c r="Y10" s="3" t="str">
        <f>IFERROR(__xludf.DUMMYFUNCTION("""COMPUTED_VALUE"""),"Samuel")</f>
        <v>Samuel</v>
      </c>
      <c r="AA10" s="3">
        <v>2.0</v>
      </c>
      <c r="AB10" s="3">
        <f t="shared" si="7"/>
        <v>0</v>
      </c>
      <c r="AC10" s="3">
        <f t="shared" si="8"/>
        <v>1</v>
      </c>
      <c r="AD10" s="3">
        <f t="shared" si="9"/>
        <v>3.75</v>
      </c>
      <c r="AE10" s="3">
        <f t="shared" si="10"/>
        <v>3.75</v>
      </c>
      <c r="AF10" s="3">
        <f t="shared" si="11"/>
        <v>1.25</v>
      </c>
      <c r="AG10" s="3">
        <f t="shared" si="12"/>
        <v>0.2</v>
      </c>
    </row>
    <row r="11">
      <c r="A11" s="1" t="s">
        <v>12</v>
      </c>
      <c r="B11" s="1" t="s">
        <v>108</v>
      </c>
      <c r="C11" s="1" t="s">
        <v>20</v>
      </c>
      <c r="D11" s="1" t="s">
        <v>109</v>
      </c>
      <c r="E11" s="1" t="s">
        <v>110</v>
      </c>
      <c r="F11" s="1" t="s">
        <v>59</v>
      </c>
      <c r="G11" s="1">
        <v>3.5</v>
      </c>
      <c r="H11" s="1" t="s">
        <v>60</v>
      </c>
      <c r="I11" s="1">
        <v>-165.0</v>
      </c>
      <c r="J11" s="1">
        <v>-0.201603773584905</v>
      </c>
      <c r="K11" s="1" t="s">
        <v>61</v>
      </c>
      <c r="L11" s="1" t="s">
        <v>61</v>
      </c>
      <c r="M11" s="1" t="s">
        <v>62</v>
      </c>
      <c r="N11" s="1">
        <v>123.0</v>
      </c>
      <c r="O11" s="1">
        <v>0.13052466367713</v>
      </c>
      <c r="P11" s="1" t="s">
        <v>61</v>
      </c>
      <c r="Q11" s="1" t="s">
        <v>61</v>
      </c>
      <c r="R11" s="1">
        <f t="shared" si="1"/>
        <v>0.1305246637</v>
      </c>
      <c r="S11" s="1">
        <f t="shared" si="2"/>
        <v>123</v>
      </c>
      <c r="T11" s="1">
        <f t="shared" si="3"/>
        <v>2.23</v>
      </c>
      <c r="U11" s="1">
        <f t="shared" si="4"/>
        <v>0</v>
      </c>
      <c r="V11" s="3">
        <f t="shared" si="5"/>
        <v>3</v>
      </c>
      <c r="W11" s="3">
        <f t="shared" si="6"/>
        <v>1</v>
      </c>
      <c r="X11" s="3" t="str">
        <f>IFERROR(__xludf.DUMMYFUNCTION("split(B11,"" "")"),"K.")</f>
        <v>K.</v>
      </c>
      <c r="Y11" s="3" t="str">
        <f>IFERROR(__xludf.DUMMYFUNCTION("""COMPUTED_VALUE"""),"Pitts")</f>
        <v>Pitts</v>
      </c>
      <c r="AA11" s="3">
        <v>3.0</v>
      </c>
      <c r="AB11" s="3">
        <f t="shared" si="7"/>
        <v>0</v>
      </c>
      <c r="AC11" s="3">
        <f t="shared" si="8"/>
        <v>1</v>
      </c>
      <c r="AD11" s="3">
        <f t="shared" si="9"/>
        <v>3.69</v>
      </c>
      <c r="AE11" s="3">
        <f t="shared" si="10"/>
        <v>3.69</v>
      </c>
      <c r="AF11" s="3">
        <f t="shared" si="11"/>
        <v>1.23</v>
      </c>
      <c r="AG11" s="3">
        <f t="shared" si="12"/>
        <v>0.1428571429</v>
      </c>
      <c r="AH11" s="1" t="s">
        <v>209</v>
      </c>
      <c r="AI11" s="3">
        <f>COUNTIFs(AC:AC, "=1", AB:AB, "=0")</f>
        <v>239</v>
      </c>
      <c r="AJ11" s="3">
        <f>countif(AB:AB, "=0")</f>
        <v>303</v>
      </c>
      <c r="AK11" s="3">
        <f t="shared" ref="AK11:AK12" si="16">AI11/AJ11</f>
        <v>0.7887788779</v>
      </c>
      <c r="AL11" s="3">
        <f>sumifs(AE:AE,U:U, "=0")</f>
        <v>35.02110415</v>
      </c>
    </row>
    <row r="12">
      <c r="A12" s="1" t="s">
        <v>12</v>
      </c>
      <c r="B12" s="1" t="s">
        <v>112</v>
      </c>
      <c r="C12" s="1" t="s">
        <v>20</v>
      </c>
      <c r="D12" s="1" t="s">
        <v>113</v>
      </c>
      <c r="E12" s="1" t="s">
        <v>114</v>
      </c>
      <c r="F12" s="1" t="s">
        <v>90</v>
      </c>
      <c r="G12" s="1">
        <v>2.5</v>
      </c>
      <c r="H12" s="1" t="s">
        <v>60</v>
      </c>
      <c r="I12" s="1">
        <v>-154.0</v>
      </c>
      <c r="J12" s="1">
        <v>-0.229136510748031</v>
      </c>
      <c r="K12" s="1" t="s">
        <v>61</v>
      </c>
      <c r="L12" s="1" t="s">
        <v>61</v>
      </c>
      <c r="M12" s="1" t="s">
        <v>62</v>
      </c>
      <c r="N12" s="1">
        <v>117.0</v>
      </c>
      <c r="O12" s="1">
        <v>0.162014164654377</v>
      </c>
      <c r="P12" s="1" t="s">
        <v>61</v>
      </c>
      <c r="Q12" s="1" t="s">
        <v>61</v>
      </c>
      <c r="R12" s="1">
        <f t="shared" si="1"/>
        <v>0.1620141647</v>
      </c>
      <c r="S12" s="1">
        <f t="shared" si="2"/>
        <v>117</v>
      </c>
      <c r="T12" s="1">
        <f t="shared" si="3"/>
        <v>2.17</v>
      </c>
      <c r="U12" s="1">
        <f t="shared" si="4"/>
        <v>0</v>
      </c>
      <c r="V12" s="3">
        <f t="shared" si="5"/>
        <v>3</v>
      </c>
      <c r="W12" s="3">
        <f t="shared" si="6"/>
        <v>1</v>
      </c>
      <c r="X12" s="3" t="str">
        <f>IFERROR(__xludf.DUMMYFUNCTION("split(B12,"" "")"),"C.")</f>
        <v>C.</v>
      </c>
      <c r="Y12" s="3" t="str">
        <f>IFERROR(__xludf.DUMMYFUNCTION("""COMPUTED_VALUE"""),"Otton")</f>
        <v>Otton</v>
      </c>
      <c r="AA12" s="3">
        <v>1.0</v>
      </c>
      <c r="AB12" s="3">
        <f t="shared" si="7"/>
        <v>0</v>
      </c>
      <c r="AC12" s="3">
        <f t="shared" si="8"/>
        <v>1</v>
      </c>
      <c r="AD12" s="3">
        <f t="shared" si="9"/>
        <v>3.51</v>
      </c>
      <c r="AE12" s="3">
        <f t="shared" si="10"/>
        <v>3.51</v>
      </c>
      <c r="AF12" s="3">
        <f t="shared" si="11"/>
        <v>1.17</v>
      </c>
      <c r="AG12" s="3">
        <f t="shared" si="12"/>
        <v>0.6</v>
      </c>
      <c r="AH12" s="1" t="s">
        <v>206</v>
      </c>
      <c r="AI12" s="3">
        <f>COUNTIFs(AC:AC, "=1", AB:AB, "=1")</f>
        <v>41</v>
      </c>
      <c r="AJ12" s="3">
        <f>countif(AB:AB, "=1")</f>
        <v>218</v>
      </c>
      <c r="AK12" s="3">
        <f t="shared" si="16"/>
        <v>0.1880733945</v>
      </c>
      <c r="AL12" s="3">
        <f>sumifs(AE:AE,U:U, "=1")</f>
        <v>-56.17447536</v>
      </c>
    </row>
    <row r="13">
      <c r="A13" s="1" t="s">
        <v>12</v>
      </c>
      <c r="B13" s="1" t="s">
        <v>116</v>
      </c>
      <c r="C13" s="1" t="s">
        <v>18</v>
      </c>
      <c r="D13" s="1" t="s">
        <v>57</v>
      </c>
      <c r="E13" s="1" t="s">
        <v>58</v>
      </c>
      <c r="F13" s="1" t="s">
        <v>59</v>
      </c>
      <c r="G13" s="1">
        <v>3.5</v>
      </c>
      <c r="H13" s="1" t="s">
        <v>60</v>
      </c>
      <c r="I13" s="1">
        <v>-152.0</v>
      </c>
      <c r="J13" s="1">
        <v>-0.276295238095238</v>
      </c>
      <c r="K13" s="1" t="s">
        <v>61</v>
      </c>
      <c r="L13" s="1" t="s">
        <v>61</v>
      </c>
      <c r="M13" s="1" t="s">
        <v>62</v>
      </c>
      <c r="N13" s="1">
        <v>114.0</v>
      </c>
      <c r="O13" s="1">
        <v>0.205816822429906</v>
      </c>
      <c r="P13" s="1" t="s">
        <v>61</v>
      </c>
      <c r="Q13" s="1" t="s">
        <v>61</v>
      </c>
      <c r="R13" s="1">
        <f t="shared" si="1"/>
        <v>0.2058168224</v>
      </c>
      <c r="S13" s="1">
        <f t="shared" si="2"/>
        <v>114</v>
      </c>
      <c r="T13" s="1">
        <f t="shared" si="3"/>
        <v>2.14</v>
      </c>
      <c r="U13" s="1">
        <f t="shared" si="4"/>
        <v>0</v>
      </c>
      <c r="V13" s="3">
        <f t="shared" si="5"/>
        <v>3</v>
      </c>
      <c r="W13" s="3">
        <f t="shared" si="6"/>
        <v>1</v>
      </c>
      <c r="X13" s="3" t="str">
        <f>IFERROR(__xludf.DUMMYFUNCTION("split(B13,"" "")"),"A.")</f>
        <v>A.</v>
      </c>
      <c r="Y13" s="3" t="str">
        <f>IFERROR(__xludf.DUMMYFUNCTION("""COMPUTED_VALUE"""),"Thielen")</f>
        <v>Thielen</v>
      </c>
      <c r="AA13" s="3">
        <v>3.0</v>
      </c>
      <c r="AB13" s="3">
        <f t="shared" si="7"/>
        <v>0</v>
      </c>
      <c r="AC13" s="3">
        <f t="shared" si="8"/>
        <v>1</v>
      </c>
      <c r="AD13" s="3">
        <f t="shared" si="9"/>
        <v>3.42</v>
      </c>
      <c r="AE13" s="3">
        <f t="shared" si="10"/>
        <v>3.42</v>
      </c>
      <c r="AF13" s="3">
        <f t="shared" si="11"/>
        <v>1.14</v>
      </c>
      <c r="AG13" s="3">
        <f t="shared" si="12"/>
        <v>0.1428571429</v>
      </c>
    </row>
    <row r="14">
      <c r="A14" s="1" t="s">
        <v>8</v>
      </c>
      <c r="B14" s="1" t="s">
        <v>119</v>
      </c>
      <c r="C14" s="1" t="s">
        <v>21</v>
      </c>
      <c r="D14" s="1" t="s">
        <v>93</v>
      </c>
      <c r="E14" s="1" t="s">
        <v>94</v>
      </c>
      <c r="F14" s="1" t="s">
        <v>59</v>
      </c>
      <c r="G14" s="1">
        <v>3.5</v>
      </c>
      <c r="H14" s="1" t="s">
        <v>60</v>
      </c>
      <c r="I14" s="1">
        <v>-146.0</v>
      </c>
      <c r="J14" s="1">
        <v>-0.264850417039518</v>
      </c>
      <c r="K14" s="1" t="s">
        <v>61</v>
      </c>
      <c r="L14" s="1" t="s">
        <v>61</v>
      </c>
      <c r="M14" s="1" t="s">
        <v>62</v>
      </c>
      <c r="N14" s="1">
        <v>111.0</v>
      </c>
      <c r="O14" s="1">
        <v>0.19741328242522</v>
      </c>
      <c r="P14" s="1" t="s">
        <v>61</v>
      </c>
      <c r="Q14" s="1" t="s">
        <v>61</v>
      </c>
      <c r="R14" s="1">
        <f t="shared" si="1"/>
        <v>0.1974132824</v>
      </c>
      <c r="S14" s="1">
        <f t="shared" si="2"/>
        <v>111</v>
      </c>
      <c r="T14" s="1">
        <f t="shared" si="3"/>
        <v>2.11</v>
      </c>
      <c r="U14" s="1">
        <f t="shared" si="4"/>
        <v>0</v>
      </c>
      <c r="V14" s="3">
        <f t="shared" si="5"/>
        <v>3</v>
      </c>
      <c r="W14" s="3">
        <f t="shared" si="6"/>
        <v>1</v>
      </c>
      <c r="X14" s="3" t="str">
        <f>IFERROR(__xludf.DUMMYFUNCTION("split(B14,"" "")"),"T.")</f>
        <v>T.</v>
      </c>
      <c r="Y14" s="3" t="str">
        <f>IFERROR(__xludf.DUMMYFUNCTION("""COMPUTED_VALUE"""),"Lawrence")</f>
        <v>Lawrence</v>
      </c>
      <c r="AA14" s="3">
        <v>1.0</v>
      </c>
      <c r="AB14" s="3">
        <f t="shared" si="7"/>
        <v>0</v>
      </c>
      <c r="AC14" s="3">
        <f t="shared" si="8"/>
        <v>1</v>
      </c>
      <c r="AD14" s="3">
        <f t="shared" si="9"/>
        <v>3.33</v>
      </c>
      <c r="AE14" s="3">
        <f t="shared" si="10"/>
        <v>3.33</v>
      </c>
      <c r="AF14" s="3">
        <f t="shared" si="11"/>
        <v>1.11</v>
      </c>
      <c r="AG14" s="3">
        <f t="shared" si="12"/>
        <v>0.7142857143</v>
      </c>
    </row>
    <row r="15">
      <c r="A15" s="1" t="s">
        <v>17</v>
      </c>
      <c r="B15" s="1" t="s">
        <v>65</v>
      </c>
      <c r="C15" s="1" t="s">
        <v>21</v>
      </c>
      <c r="D15" s="1" t="s">
        <v>66</v>
      </c>
      <c r="E15" s="1" t="s">
        <v>67</v>
      </c>
      <c r="F15" s="1" t="s">
        <v>59</v>
      </c>
      <c r="G15" s="1">
        <v>0.5</v>
      </c>
      <c r="H15" s="1" t="s">
        <v>60</v>
      </c>
      <c r="I15" s="1">
        <v>-150.0</v>
      </c>
      <c r="J15" s="1">
        <v>-0.21206</v>
      </c>
      <c r="K15" s="1" t="s">
        <v>61</v>
      </c>
      <c r="L15" s="1" t="s">
        <v>61</v>
      </c>
      <c r="M15" s="1" t="s">
        <v>62</v>
      </c>
      <c r="N15" s="1">
        <v>111.0</v>
      </c>
      <c r="O15" s="1">
        <v>0.138118957345971</v>
      </c>
      <c r="P15" s="1" t="s">
        <v>61</v>
      </c>
      <c r="Q15" s="1" t="s">
        <v>61</v>
      </c>
      <c r="R15" s="1">
        <f t="shared" si="1"/>
        <v>0.1381189573</v>
      </c>
      <c r="S15" s="1">
        <f t="shared" si="2"/>
        <v>111</v>
      </c>
      <c r="T15" s="1">
        <f t="shared" si="3"/>
        <v>2.11</v>
      </c>
      <c r="U15" s="1">
        <f t="shared" si="4"/>
        <v>0</v>
      </c>
      <c r="V15" s="3">
        <f t="shared" si="5"/>
        <v>3</v>
      </c>
      <c r="W15" s="3">
        <f t="shared" si="6"/>
        <v>1</v>
      </c>
      <c r="X15" s="3" t="str">
        <f>IFERROR(__xludf.DUMMYFUNCTION("split(B15,"" "")"),"J.")</f>
        <v>J.</v>
      </c>
      <c r="Y15" s="3" t="str">
        <f>IFERROR(__xludf.DUMMYFUNCTION("""COMPUTED_VALUE"""),"Brissett")</f>
        <v>Brissett</v>
      </c>
      <c r="AA15" s="3">
        <v>0.0</v>
      </c>
      <c r="AB15" s="3">
        <f t="shared" si="7"/>
        <v>0</v>
      </c>
      <c r="AC15" s="3">
        <f t="shared" si="8"/>
        <v>1</v>
      </c>
      <c r="AD15" s="3">
        <f t="shared" si="9"/>
        <v>3.33</v>
      </c>
      <c r="AE15" s="3">
        <f t="shared" si="10"/>
        <v>3.33</v>
      </c>
      <c r="AF15" s="3">
        <f t="shared" si="11"/>
        <v>1.11</v>
      </c>
      <c r="AG15" s="3">
        <f t="shared" si="12"/>
        <v>1</v>
      </c>
      <c r="AH15" s="1" t="s">
        <v>216</v>
      </c>
      <c r="AI15" s="3">
        <f>COUNTIFS(AC:AC, "=1",V:V, "=1")/COUNTIF(V:V, "=1")</f>
        <v>0.598540146</v>
      </c>
      <c r="AJ15" s="3">
        <f>SUMIF(V:V, "=1", AE:AE)</f>
        <v>30.25265499</v>
      </c>
      <c r="AK15" s="3">
        <f>AVERAGEIF(V:V, "=1",T:T)</f>
        <v>1.878248622</v>
      </c>
      <c r="AL15" s="7">
        <f t="shared" ref="AL15:AL16" si="17">if(AK15&gt;2, (AK15-1)/100, (-100/(AK15-1)))</f>
        <v>-113.862974</v>
      </c>
    </row>
    <row r="16">
      <c r="A16" s="1" t="s">
        <v>12</v>
      </c>
      <c r="B16" s="1" t="s">
        <v>121</v>
      </c>
      <c r="C16" s="1" t="s">
        <v>18</v>
      </c>
      <c r="D16" s="1" t="s">
        <v>93</v>
      </c>
      <c r="E16" s="1" t="s">
        <v>94</v>
      </c>
      <c r="F16" s="1" t="s">
        <v>59</v>
      </c>
      <c r="G16" s="1">
        <v>4.5</v>
      </c>
      <c r="H16" s="1" t="s">
        <v>60</v>
      </c>
      <c r="I16" s="1">
        <v>-148.0</v>
      </c>
      <c r="J16" s="1">
        <v>-0.196514516129032</v>
      </c>
      <c r="K16" s="1" t="s">
        <v>61</v>
      </c>
      <c r="L16" s="1" t="s">
        <v>61</v>
      </c>
      <c r="M16" s="1" t="s">
        <v>62</v>
      </c>
      <c r="N16" s="1">
        <v>111.0</v>
      </c>
      <c r="O16" s="1">
        <v>0.125813744075829</v>
      </c>
      <c r="P16" s="1" t="s">
        <v>61</v>
      </c>
      <c r="Q16" s="1" t="s">
        <v>61</v>
      </c>
      <c r="R16" s="1">
        <f t="shared" si="1"/>
        <v>0.1258137441</v>
      </c>
      <c r="S16" s="1">
        <f t="shared" si="2"/>
        <v>111</v>
      </c>
      <c r="T16" s="1">
        <f t="shared" si="3"/>
        <v>2.11</v>
      </c>
      <c r="U16" s="1">
        <f t="shared" si="4"/>
        <v>0</v>
      </c>
      <c r="V16" s="3">
        <f t="shared" si="5"/>
        <v>3</v>
      </c>
      <c r="W16" s="3">
        <f t="shared" si="6"/>
        <v>1</v>
      </c>
      <c r="X16" s="3" t="str">
        <f>IFERROR(__xludf.DUMMYFUNCTION("split(B16,"" "")"),"C.")</f>
        <v>C.</v>
      </c>
      <c r="Y16" s="3" t="str">
        <f>IFERROR(__xludf.DUMMYFUNCTION("""COMPUTED_VALUE"""),"Kirk")</f>
        <v>Kirk</v>
      </c>
      <c r="AA16" s="3">
        <v>1.0</v>
      </c>
      <c r="AB16" s="3">
        <f t="shared" si="7"/>
        <v>0</v>
      </c>
      <c r="AC16" s="3">
        <f t="shared" si="8"/>
        <v>1</v>
      </c>
      <c r="AD16" s="3">
        <f t="shared" si="9"/>
        <v>3.33</v>
      </c>
      <c r="AE16" s="3">
        <f t="shared" si="10"/>
        <v>3.33</v>
      </c>
      <c r="AF16" s="3">
        <f t="shared" si="11"/>
        <v>1.11</v>
      </c>
      <c r="AG16" s="3">
        <f t="shared" si="12"/>
        <v>0.7777777778</v>
      </c>
      <c r="AH16" s="1" t="s">
        <v>219</v>
      </c>
      <c r="AI16" s="3">
        <f>COUNTIFS(AC:AC, "=1",V:V, "=2")/COUNTIF(V:V, "=2")</f>
        <v>0.4778761062</v>
      </c>
      <c r="AJ16" s="3">
        <f>SUMIF(V:V, "=2", AE:AE)</f>
        <v>-23.89557625</v>
      </c>
      <c r="AK16" s="3">
        <f>AVERAGEIF(V:V, "=2",T:T)</f>
        <v>1.881075387</v>
      </c>
      <c r="AL16" s="7">
        <f t="shared" si="17"/>
        <v>-113.4976661</v>
      </c>
    </row>
    <row r="17">
      <c r="A17" s="1" t="s">
        <v>12</v>
      </c>
      <c r="B17" s="1" t="s">
        <v>123</v>
      </c>
      <c r="C17" s="1" t="s">
        <v>19</v>
      </c>
      <c r="D17" s="1" t="s">
        <v>110</v>
      </c>
      <c r="E17" s="1" t="s">
        <v>109</v>
      </c>
      <c r="F17" s="1" t="s">
        <v>59</v>
      </c>
      <c r="G17" s="1">
        <v>1.5</v>
      </c>
      <c r="H17" s="1" t="s">
        <v>60</v>
      </c>
      <c r="I17" s="1">
        <v>-140.0</v>
      </c>
      <c r="J17" s="1">
        <v>-0.223867276741666</v>
      </c>
      <c r="K17" s="1" t="s">
        <v>61</v>
      </c>
      <c r="L17" s="1" t="s">
        <v>61</v>
      </c>
      <c r="M17" s="1" t="s">
        <v>62</v>
      </c>
      <c r="N17" s="1">
        <v>110.0</v>
      </c>
      <c r="O17" s="1">
        <v>0.16434831627619</v>
      </c>
      <c r="P17" s="1" t="s">
        <v>61</v>
      </c>
      <c r="Q17" s="1" t="s">
        <v>61</v>
      </c>
      <c r="R17" s="1">
        <f t="shared" si="1"/>
        <v>0.1643483163</v>
      </c>
      <c r="S17" s="1">
        <f t="shared" si="2"/>
        <v>110</v>
      </c>
      <c r="T17" s="1">
        <f t="shared" si="3"/>
        <v>2.1</v>
      </c>
      <c r="U17" s="1">
        <f t="shared" si="4"/>
        <v>0</v>
      </c>
      <c r="V17" s="3">
        <f t="shared" si="5"/>
        <v>3</v>
      </c>
      <c r="W17" s="3">
        <f t="shared" si="6"/>
        <v>2</v>
      </c>
      <c r="X17" s="3" t="str">
        <f>IFERROR(__xludf.DUMMYFUNCTION("split(B17,"" "")"),"N.")</f>
        <v>N.</v>
      </c>
      <c r="Y17" s="3" t="str">
        <f>IFERROR(__xludf.DUMMYFUNCTION("""COMPUTED_VALUE"""),"Harris")</f>
        <v>Harris</v>
      </c>
      <c r="AA17" s="3">
        <v>1.0</v>
      </c>
      <c r="AB17" s="3">
        <f t="shared" si="7"/>
        <v>0</v>
      </c>
      <c r="AC17" s="3">
        <f t="shared" si="8"/>
        <v>1</v>
      </c>
      <c r="AD17" s="3">
        <f t="shared" si="9"/>
        <v>3.3</v>
      </c>
      <c r="AE17" s="3">
        <f t="shared" si="10"/>
        <v>3.3</v>
      </c>
      <c r="AF17" s="3">
        <f t="shared" si="11"/>
        <v>2.2</v>
      </c>
      <c r="AG17" s="3">
        <f t="shared" si="12"/>
        <v>0.3333333333</v>
      </c>
      <c r="AH17" s="1" t="s">
        <v>222</v>
      </c>
      <c r="AI17" s="3">
        <f>COUNTIFS(AC:AC, "=1",V:V, "=3")/COUNTIF(V:V, "=3")</f>
        <v>0.4626865672</v>
      </c>
      <c r="AJ17" s="3">
        <f>SUMIF(V:V, "=3", AE:AE)</f>
        <v>-27.51044996</v>
      </c>
      <c r="AK17" s="3">
        <f>AVERAGEIF(V:V, "=3",T:T)</f>
        <v>2.010164874</v>
      </c>
      <c r="AL17" s="7">
        <f>if(AK17&gt;2, (AK17-1)*100, (-100/(AK17-1)))</f>
        <v>101.0164874</v>
      </c>
    </row>
    <row r="18">
      <c r="A18" s="1" t="s">
        <v>12</v>
      </c>
      <c r="B18" s="1" t="s">
        <v>125</v>
      </c>
      <c r="C18" s="1" t="s">
        <v>18</v>
      </c>
      <c r="D18" s="1" t="s">
        <v>71</v>
      </c>
      <c r="E18" s="1" t="s">
        <v>72</v>
      </c>
      <c r="F18" s="1" t="s">
        <v>59</v>
      </c>
      <c r="G18" s="1">
        <v>2.5</v>
      </c>
      <c r="H18" s="1" t="s">
        <v>60</v>
      </c>
      <c r="I18" s="1">
        <v>-143.0</v>
      </c>
      <c r="J18" s="1">
        <v>-0.218775360987654</v>
      </c>
      <c r="K18" s="1" t="s">
        <v>61</v>
      </c>
      <c r="L18" s="1" t="s">
        <v>61</v>
      </c>
      <c r="M18" s="1" t="s">
        <v>62</v>
      </c>
      <c r="N18" s="1">
        <v>110.0</v>
      </c>
      <c r="O18" s="1">
        <v>0.154107203428571</v>
      </c>
      <c r="P18" s="1" t="s">
        <v>61</v>
      </c>
      <c r="Q18" s="1" t="s">
        <v>61</v>
      </c>
      <c r="R18" s="1">
        <f t="shared" si="1"/>
        <v>0.1541072034</v>
      </c>
      <c r="S18" s="1">
        <f t="shared" si="2"/>
        <v>110</v>
      </c>
      <c r="T18" s="1">
        <f t="shared" si="3"/>
        <v>2.1</v>
      </c>
      <c r="U18" s="1">
        <f t="shared" si="4"/>
        <v>0</v>
      </c>
      <c r="V18" s="3">
        <f t="shared" si="5"/>
        <v>3</v>
      </c>
      <c r="W18" s="3">
        <f t="shared" si="6"/>
        <v>2</v>
      </c>
      <c r="X18" s="3" t="str">
        <f>IFERROR(__xludf.DUMMYFUNCTION("split(B18,"" "")"),"A.")</f>
        <v>A.</v>
      </c>
      <c r="Y18" s="3" t="str">
        <f>IFERROR(__xludf.DUMMYFUNCTION("""COMPUTED_VALUE"""),"Mitchell")</f>
        <v>Mitchell</v>
      </c>
      <c r="AA18" s="3">
        <v>1.0</v>
      </c>
      <c r="AB18" s="3">
        <f t="shared" si="7"/>
        <v>0</v>
      </c>
      <c r="AC18" s="3">
        <f t="shared" si="8"/>
        <v>1</v>
      </c>
      <c r="AD18" s="3">
        <f t="shared" si="9"/>
        <v>3.3</v>
      </c>
      <c r="AE18" s="3">
        <f t="shared" si="10"/>
        <v>3.3</v>
      </c>
      <c r="AF18" s="3">
        <f t="shared" si="11"/>
        <v>2.2</v>
      </c>
      <c r="AG18" s="3">
        <f t="shared" si="12"/>
        <v>0.6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  <c r="AS18" s="1"/>
    </row>
    <row r="19">
      <c r="A19" s="1" t="s">
        <v>12</v>
      </c>
      <c r="B19" s="1" t="s">
        <v>127</v>
      </c>
      <c r="C19" s="1" t="s">
        <v>19</v>
      </c>
      <c r="D19" s="1" t="s">
        <v>83</v>
      </c>
      <c r="E19" s="1" t="s">
        <v>82</v>
      </c>
      <c r="F19" s="1" t="s">
        <v>84</v>
      </c>
      <c r="G19" s="1">
        <v>2.5</v>
      </c>
      <c r="H19" s="1" t="s">
        <v>60</v>
      </c>
      <c r="I19" s="1">
        <v>-144.0</v>
      </c>
      <c r="J19" s="1">
        <v>-0.260321661311475</v>
      </c>
      <c r="K19" s="1" t="s">
        <v>61</v>
      </c>
      <c r="L19" s="1" t="s">
        <v>61</v>
      </c>
      <c r="M19" s="1" t="s">
        <v>62</v>
      </c>
      <c r="N19" s="1">
        <v>109.0</v>
      </c>
      <c r="O19" s="1">
        <v>0.191681748133971</v>
      </c>
      <c r="P19" s="1" t="s">
        <v>61</v>
      </c>
      <c r="Q19" s="1" t="s">
        <v>61</v>
      </c>
      <c r="R19" s="1">
        <f t="shared" si="1"/>
        <v>0.1916817481</v>
      </c>
      <c r="S19" s="1">
        <f t="shared" si="2"/>
        <v>109</v>
      </c>
      <c r="T19" s="1">
        <f t="shared" si="3"/>
        <v>2.09</v>
      </c>
      <c r="U19" s="1">
        <f t="shared" si="4"/>
        <v>0</v>
      </c>
      <c r="V19" s="3">
        <f t="shared" si="5"/>
        <v>3</v>
      </c>
      <c r="W19" s="3">
        <f t="shared" si="6"/>
        <v>2</v>
      </c>
      <c r="X19" s="3" t="str">
        <f>IFERROR(__xludf.DUMMYFUNCTION("split(B19,"" "")"),"J.")</f>
        <v>J.</v>
      </c>
      <c r="Y19" s="3" t="str">
        <f>IFERROR(__xludf.DUMMYFUNCTION("""COMPUTED_VALUE"""),"Williams")</f>
        <v>Williams</v>
      </c>
      <c r="AA19" s="3">
        <v>1.0</v>
      </c>
      <c r="AB19" s="3">
        <f t="shared" si="7"/>
        <v>0</v>
      </c>
      <c r="AC19" s="3">
        <f t="shared" si="8"/>
        <v>1</v>
      </c>
      <c r="AD19" s="3">
        <f t="shared" si="9"/>
        <v>3.27</v>
      </c>
      <c r="AE19" s="3">
        <f t="shared" si="10"/>
        <v>3.27</v>
      </c>
      <c r="AF19" s="3">
        <f t="shared" si="11"/>
        <v>2.18</v>
      </c>
      <c r="AG19" s="3">
        <f t="shared" si="12"/>
        <v>0.6</v>
      </c>
      <c r="AH19" s="1" t="s">
        <v>8</v>
      </c>
      <c r="AI19" s="3">
        <f t="shared" ref="AI19:AI21" si="18">COUNTIFs(A:A, "=" &amp; AH19, AC:AC, "=1")</f>
        <v>31</v>
      </c>
      <c r="AJ19" s="3">
        <f t="shared" ref="AJ19:AJ21" si="19">countif(A:A, "=" &amp; AH19)</f>
        <v>68</v>
      </c>
      <c r="AK19" s="3">
        <f t="shared" ref="AK19:AK21" si="20">AI19/AJ19</f>
        <v>0.4558823529</v>
      </c>
      <c r="AL19" s="3">
        <f t="shared" ref="AL19:AL21" si="21">SUMIFS(AE:AE, A:A,"=" &amp; AH19,AC:AC, "=1")</f>
        <v>60.71357401</v>
      </c>
      <c r="AM19" s="3">
        <f t="shared" ref="AM19:AM21" si="22">SUMIFS(AE:AE, A:A,"=" &amp; AH19,AC:AC, "=0")</f>
        <v>-90</v>
      </c>
      <c r="AN19" s="3">
        <f t="shared" ref="AN19:AN21" si="23">AL19+AM19</f>
        <v>-29.28642599</v>
      </c>
      <c r="AO19" s="4">
        <f t="shared" ref="AO19:AO21" si="24">IFERROR( countifs(A:A, "="&amp;AH19, U:U, "=1", AC:AC, "=1")/countifs(A:A, "="&amp;AH19, U:U, "=1"), 0)</f>
        <v>0.4</v>
      </c>
      <c r="AP19" s="4">
        <f t="shared" ref="AP19:AP21" si="25">IFERROR( countifs(A:A, "="&amp;AH19, U:U, "=0", AC:AC, "=1")/countifs(A:A, "="&amp;AH19, U:U, "=0"), 0)</f>
        <v>0.4603174603</v>
      </c>
      <c r="AQ19" s="5">
        <f t="shared" ref="AQ19:AQ21" si="26">iferror(IFS(AND(AP19 &gt; 0.5, AO19 &gt; 0.5), 1, AND(AP19 &lt;= 0.5, AO19 &lt;= 0.5), -1), 0)
</f>
        <v>-1</v>
      </c>
      <c r="AR19" s="5">
        <f t="shared" ref="AR19:AR21" si="27">if(AN19&lt;0, -1, 1)</f>
        <v>-1</v>
      </c>
      <c r="AS19" s="5"/>
    </row>
    <row r="20">
      <c r="A20" s="1" t="s">
        <v>12</v>
      </c>
      <c r="B20" s="1" t="s">
        <v>129</v>
      </c>
      <c r="C20" s="1" t="s">
        <v>18</v>
      </c>
      <c r="D20" s="1" t="s">
        <v>72</v>
      </c>
      <c r="E20" s="1" t="s">
        <v>71</v>
      </c>
      <c r="F20" s="1" t="s">
        <v>59</v>
      </c>
      <c r="G20" s="1">
        <v>3.5</v>
      </c>
      <c r="H20" s="1" t="s">
        <v>60</v>
      </c>
      <c r="I20" s="1">
        <v>-143.0</v>
      </c>
      <c r="J20" s="1">
        <v>-0.197418518518518</v>
      </c>
      <c r="K20" s="1" t="s">
        <v>61</v>
      </c>
      <c r="L20" s="1" t="s">
        <v>61</v>
      </c>
      <c r="M20" s="1" t="s">
        <v>62</v>
      </c>
      <c r="N20" s="1">
        <v>109.0</v>
      </c>
      <c r="O20" s="1">
        <v>0.13047894736842</v>
      </c>
      <c r="P20" s="1" t="s">
        <v>61</v>
      </c>
      <c r="Q20" s="1" t="s">
        <v>61</v>
      </c>
      <c r="R20" s="1">
        <f t="shared" si="1"/>
        <v>0.1304789474</v>
      </c>
      <c r="S20" s="1">
        <f t="shared" si="2"/>
        <v>109</v>
      </c>
      <c r="T20" s="1">
        <f t="shared" si="3"/>
        <v>2.09</v>
      </c>
      <c r="U20" s="1">
        <f t="shared" si="4"/>
        <v>0</v>
      </c>
      <c r="V20" s="3">
        <f t="shared" si="5"/>
        <v>3</v>
      </c>
      <c r="W20" s="3">
        <f t="shared" si="6"/>
        <v>2</v>
      </c>
      <c r="X20" s="3" t="str">
        <f>IFERROR(__xludf.DUMMYFUNCTION("split(B20,"" "")"),"T.")</f>
        <v>T.</v>
      </c>
      <c r="Y20" s="3" t="str">
        <f>IFERROR(__xludf.DUMMYFUNCTION("""COMPUTED_VALUE"""),"Dell")</f>
        <v>Dell</v>
      </c>
      <c r="AA20" s="3">
        <v>3.0</v>
      </c>
      <c r="AB20" s="3">
        <f t="shared" si="7"/>
        <v>0</v>
      </c>
      <c r="AC20" s="3">
        <f t="shared" si="8"/>
        <v>1</v>
      </c>
      <c r="AD20" s="3">
        <f t="shared" si="9"/>
        <v>3.27</v>
      </c>
      <c r="AE20" s="3">
        <f t="shared" si="10"/>
        <v>3.27</v>
      </c>
      <c r="AF20" s="3">
        <f t="shared" si="11"/>
        <v>2.18</v>
      </c>
      <c r="AG20" s="3">
        <f t="shared" si="12"/>
        <v>0.1428571429</v>
      </c>
      <c r="AH20" s="1" t="s">
        <v>9</v>
      </c>
      <c r="AI20" s="3">
        <f t="shared" si="18"/>
        <v>28</v>
      </c>
      <c r="AJ20" s="3">
        <f t="shared" si="19"/>
        <v>68</v>
      </c>
      <c r="AK20" s="3">
        <f t="shared" si="20"/>
        <v>0.4117647059</v>
      </c>
      <c r="AL20" s="3">
        <f t="shared" si="21"/>
        <v>31.87007605</v>
      </c>
      <c r="AM20" s="3">
        <f t="shared" si="22"/>
        <v>-62</v>
      </c>
      <c r="AN20" s="3">
        <f t="shared" si="23"/>
        <v>-30.12992395</v>
      </c>
      <c r="AO20" s="4">
        <f t="shared" si="24"/>
        <v>0.375</v>
      </c>
      <c r="AP20" s="4">
        <f t="shared" si="25"/>
        <v>0.4642857143</v>
      </c>
      <c r="AQ20" s="5">
        <f t="shared" si="26"/>
        <v>-1</v>
      </c>
      <c r="AR20" s="5">
        <f t="shared" si="27"/>
        <v>-1</v>
      </c>
      <c r="AS20" s="5"/>
    </row>
    <row r="21">
      <c r="A21" s="1" t="s">
        <v>12</v>
      </c>
      <c r="B21" s="1" t="s">
        <v>131</v>
      </c>
      <c r="C21" s="1" t="s">
        <v>18</v>
      </c>
      <c r="D21" s="1" t="s">
        <v>66</v>
      </c>
      <c r="E21" s="1" t="s">
        <v>67</v>
      </c>
      <c r="F21" s="1" t="s">
        <v>59</v>
      </c>
      <c r="G21" s="1">
        <v>3.5</v>
      </c>
      <c r="H21" s="1" t="s">
        <v>60</v>
      </c>
      <c r="I21" s="1">
        <v>-141.0</v>
      </c>
      <c r="J21" s="1">
        <v>-0.2303622406639</v>
      </c>
      <c r="K21" s="1" t="s">
        <v>61</v>
      </c>
      <c r="L21" s="1" t="s">
        <v>61</v>
      </c>
      <c r="M21" s="1" t="s">
        <v>62</v>
      </c>
      <c r="N21" s="1">
        <v>108.0</v>
      </c>
      <c r="O21" s="1">
        <v>0.164530769230769</v>
      </c>
      <c r="P21" s="1" t="s">
        <v>61</v>
      </c>
      <c r="Q21" s="1" t="s">
        <v>61</v>
      </c>
      <c r="R21" s="1">
        <f t="shared" si="1"/>
        <v>0.1645307692</v>
      </c>
      <c r="S21" s="1">
        <f t="shared" si="2"/>
        <v>108</v>
      </c>
      <c r="T21" s="1">
        <f t="shared" si="3"/>
        <v>2.08</v>
      </c>
      <c r="U21" s="1">
        <f t="shared" si="4"/>
        <v>0</v>
      </c>
      <c r="V21" s="3">
        <f t="shared" si="5"/>
        <v>3</v>
      </c>
      <c r="W21" s="3">
        <f t="shared" si="6"/>
        <v>2</v>
      </c>
      <c r="X21" s="3" t="str">
        <f>IFERROR(__xludf.DUMMYFUNCTION("split(B21,"" "")"),"D.")</f>
        <v>D.</v>
      </c>
      <c r="Y21" s="3" t="str">
        <f>IFERROR(__xludf.DUMMYFUNCTION("""COMPUTED_VALUE"""),"Douglas")</f>
        <v>Douglas</v>
      </c>
      <c r="AA21" s="3">
        <v>2.0</v>
      </c>
      <c r="AB21" s="3">
        <f t="shared" si="7"/>
        <v>0</v>
      </c>
      <c r="AC21" s="3">
        <f t="shared" si="8"/>
        <v>1</v>
      </c>
      <c r="AD21" s="3">
        <f t="shared" si="9"/>
        <v>3.24</v>
      </c>
      <c r="AE21" s="3">
        <f t="shared" si="10"/>
        <v>3.24</v>
      </c>
      <c r="AF21" s="3">
        <f t="shared" si="11"/>
        <v>2.16</v>
      </c>
      <c r="AG21" s="3">
        <f t="shared" si="12"/>
        <v>0.4285714286</v>
      </c>
      <c r="AH21" s="1" t="s">
        <v>10</v>
      </c>
      <c r="AI21" s="3">
        <f t="shared" si="18"/>
        <v>31</v>
      </c>
      <c r="AJ21" s="3">
        <f t="shared" si="19"/>
        <v>55</v>
      </c>
      <c r="AK21" s="3">
        <f t="shared" si="20"/>
        <v>0.5636363636</v>
      </c>
      <c r="AL21" s="3">
        <f t="shared" si="21"/>
        <v>29.79548286</v>
      </c>
      <c r="AM21" s="3">
        <f t="shared" si="22"/>
        <v>-33</v>
      </c>
      <c r="AN21" s="3">
        <f t="shared" si="23"/>
        <v>-3.204517137</v>
      </c>
      <c r="AO21" s="4">
        <f t="shared" si="24"/>
        <v>0.375</v>
      </c>
      <c r="AP21" s="4">
        <f t="shared" si="25"/>
        <v>0.5957446809</v>
      </c>
      <c r="AQ21" s="5">
        <f t="shared" si="26"/>
        <v>0</v>
      </c>
      <c r="AR21" s="5">
        <f t="shared" si="27"/>
        <v>-1</v>
      </c>
      <c r="AS21" s="5"/>
    </row>
    <row r="22">
      <c r="A22" s="1" t="s">
        <v>8</v>
      </c>
      <c r="B22" s="1" t="s">
        <v>133</v>
      </c>
      <c r="C22" s="1" t="s">
        <v>19</v>
      </c>
      <c r="D22" s="1" t="s">
        <v>134</v>
      </c>
      <c r="E22" s="1" t="s">
        <v>135</v>
      </c>
      <c r="F22" s="1" t="s">
        <v>84</v>
      </c>
      <c r="G22" s="1">
        <v>14.5</v>
      </c>
      <c r="H22" s="1" t="s">
        <v>60</v>
      </c>
      <c r="I22" s="1">
        <v>-140.0</v>
      </c>
      <c r="J22" s="1">
        <v>-0.173871003924999</v>
      </c>
      <c r="K22" s="1" t="s">
        <v>61</v>
      </c>
      <c r="L22" s="1" t="s">
        <v>61</v>
      </c>
      <c r="M22" s="1" t="s">
        <v>62</v>
      </c>
      <c r="N22" s="1">
        <v>107.0</v>
      </c>
      <c r="O22" s="1">
        <v>0.107451888608695</v>
      </c>
      <c r="P22" s="1" t="s">
        <v>61</v>
      </c>
      <c r="Q22" s="1" t="s">
        <v>61</v>
      </c>
      <c r="R22" s="1">
        <f t="shared" si="1"/>
        <v>0.1074518886</v>
      </c>
      <c r="S22" s="1">
        <f t="shared" si="2"/>
        <v>107</v>
      </c>
      <c r="T22" s="1">
        <f t="shared" si="3"/>
        <v>2.07</v>
      </c>
      <c r="U22" s="1">
        <f t="shared" si="4"/>
        <v>0</v>
      </c>
      <c r="V22" s="3">
        <f t="shared" si="5"/>
        <v>3</v>
      </c>
      <c r="W22" s="3">
        <f t="shared" si="6"/>
        <v>2</v>
      </c>
      <c r="X22" s="3" t="str">
        <f>IFERROR(__xludf.DUMMYFUNCTION("split(B22,"" "")"),"Z.")</f>
        <v>Z.</v>
      </c>
      <c r="Y22" s="3" t="str">
        <f>IFERROR(__xludf.DUMMYFUNCTION("""COMPUTED_VALUE"""),"White")</f>
        <v>White</v>
      </c>
      <c r="AA22" s="3">
        <v>13.0</v>
      </c>
      <c r="AB22" s="3">
        <f t="shared" si="7"/>
        <v>0</v>
      </c>
      <c r="AC22" s="3">
        <f t="shared" si="8"/>
        <v>1</v>
      </c>
      <c r="AD22" s="3">
        <f t="shared" si="9"/>
        <v>3.21</v>
      </c>
      <c r="AE22" s="3">
        <f t="shared" si="10"/>
        <v>3.21</v>
      </c>
      <c r="AF22" s="3">
        <f t="shared" si="11"/>
        <v>2.14</v>
      </c>
      <c r="AG22" s="3">
        <f t="shared" si="12"/>
        <v>0.1034482759</v>
      </c>
      <c r="AO22" s="4"/>
      <c r="AP22" s="4"/>
      <c r="AQ22" s="5"/>
      <c r="AR22" s="5"/>
      <c r="AS22" s="5"/>
    </row>
    <row r="23">
      <c r="A23" s="1" t="s">
        <v>12</v>
      </c>
      <c r="B23" s="1" t="s">
        <v>138</v>
      </c>
      <c r="C23" s="1" t="s">
        <v>18</v>
      </c>
      <c r="D23" s="1" t="s">
        <v>77</v>
      </c>
      <c r="E23" s="1" t="s">
        <v>76</v>
      </c>
      <c r="F23" s="1" t="s">
        <v>78</v>
      </c>
      <c r="G23" s="1">
        <v>1.5</v>
      </c>
      <c r="H23" s="1" t="s">
        <v>60</v>
      </c>
      <c r="I23" s="1">
        <v>-135.0</v>
      </c>
      <c r="J23" s="6">
        <v>-0.22606123114468</v>
      </c>
      <c r="K23" s="1" t="s">
        <v>61</v>
      </c>
      <c r="L23" s="1" t="s">
        <v>61</v>
      </c>
      <c r="M23" s="1" t="s">
        <v>62</v>
      </c>
      <c r="N23" s="1">
        <v>103.0</v>
      </c>
      <c r="O23" s="6">
        <v>0.158981228172413</v>
      </c>
      <c r="P23" s="1" t="s">
        <v>61</v>
      </c>
      <c r="Q23" s="1" t="s">
        <v>61</v>
      </c>
      <c r="R23" s="6">
        <f t="shared" si="1"/>
        <v>0.1589812282</v>
      </c>
      <c r="S23" s="1">
        <f t="shared" si="2"/>
        <v>103</v>
      </c>
      <c r="T23" s="1">
        <f t="shared" si="3"/>
        <v>2.03</v>
      </c>
      <c r="U23" s="1">
        <f t="shared" si="4"/>
        <v>0</v>
      </c>
      <c r="V23" s="3">
        <f t="shared" si="5"/>
        <v>3</v>
      </c>
      <c r="W23" s="3">
        <f t="shared" si="6"/>
        <v>2</v>
      </c>
      <c r="X23" s="3" t="str">
        <f>IFERROR(__xludf.DUMMYFUNCTION("split(B23,"" "")"),"N.")</f>
        <v>N.</v>
      </c>
      <c r="Y23" s="3" t="str">
        <f>IFERROR(__xludf.DUMMYFUNCTION("""COMPUTED_VALUE"""),"Agholor")</f>
        <v>Agholor</v>
      </c>
      <c r="AA23" s="3">
        <v>1.0</v>
      </c>
      <c r="AB23" s="3">
        <f t="shared" si="7"/>
        <v>0</v>
      </c>
      <c r="AC23" s="3">
        <f t="shared" si="8"/>
        <v>1</v>
      </c>
      <c r="AD23" s="3">
        <f t="shared" si="9"/>
        <v>3.09</v>
      </c>
      <c r="AE23" s="3">
        <f t="shared" si="10"/>
        <v>3.09</v>
      </c>
      <c r="AF23" s="3">
        <f t="shared" si="11"/>
        <v>2.06</v>
      </c>
      <c r="AG23" s="3">
        <f t="shared" si="12"/>
        <v>0.3333333333</v>
      </c>
      <c r="AH23" s="1" t="s">
        <v>11</v>
      </c>
      <c r="AI23" s="3">
        <f t="shared" ref="AI23:AI24" si="28">COUNTIFs(A:A, "=" &amp; AH23, AC:AC, "=1")</f>
        <v>67</v>
      </c>
      <c r="AJ23" s="3">
        <f t="shared" ref="AJ23:AJ24" si="29">countif(A:A, "=" &amp; AH23)</f>
        <v>105</v>
      </c>
      <c r="AK23" s="3">
        <f t="shared" ref="AK23:AK24" si="30">AI23/AJ23</f>
        <v>0.6380952381</v>
      </c>
      <c r="AL23" s="3">
        <f t="shared" ref="AL23:AL24" si="31">SUMIFS(AE:AE, A:A,"=" &amp; AH23,AC:AC, "=1")</f>
        <v>64.86228494</v>
      </c>
      <c r="AM23" s="3">
        <f t="shared" ref="AM23:AM24" si="32">SUMIFS(AE:AE, A:A,"=" &amp; AH23,AC:AC, "=0")</f>
        <v>-51</v>
      </c>
      <c r="AN23" s="3">
        <f t="shared" ref="AN23:AN24" si="33">AL23+AM23</f>
        <v>13.86228494</v>
      </c>
      <c r="AO23" s="4">
        <f t="shared" ref="AO23:AO24" si="34">IFERROR( countifs(A:A, "="&amp;AH23, U:U, "=1", AC:AC, "=1")/countifs(A:A, "="&amp;AH23, U:U, "=1"), 0)</f>
        <v>0.6428571429</v>
      </c>
      <c r="AP23" s="4">
        <f t="shared" ref="AP23:AP24" si="35">IFERROR( countifs(A:A, "="&amp;AH23, U:U, "=0", AC:AC, "=1")/countifs(A:A, "="&amp;AH23, U:U, "=0"), 0)</f>
        <v>0.6363636364</v>
      </c>
      <c r="AQ23" s="5">
        <f t="shared" ref="AQ23:AQ24" si="36">iferror(IFS(AND(AP23 &gt; 0.5, AO23 &gt; 0.5), 1, AND(AP23 &lt;= 0.5, AO23 &lt;= 0.5), -1), 0)
</f>
        <v>1</v>
      </c>
      <c r="AR23" s="5">
        <f t="shared" ref="AR23:AR24" si="37">if(AN23&lt;0, -1, 1)</f>
        <v>1</v>
      </c>
      <c r="AS23" s="5"/>
    </row>
    <row r="24">
      <c r="A24" s="1" t="s">
        <v>12</v>
      </c>
      <c r="B24" s="1" t="s">
        <v>140</v>
      </c>
      <c r="C24" s="1" t="s">
        <v>20</v>
      </c>
      <c r="D24" s="1" t="s">
        <v>66</v>
      </c>
      <c r="E24" s="1" t="s">
        <v>67</v>
      </c>
      <c r="F24" s="1" t="s">
        <v>59</v>
      </c>
      <c r="G24" s="1">
        <v>2.5</v>
      </c>
      <c r="H24" s="1" t="s">
        <v>60</v>
      </c>
      <c r="I24" s="1">
        <v>-134.0</v>
      </c>
      <c r="J24" s="1">
        <v>-0.225147933846154</v>
      </c>
      <c r="K24" s="1" t="s">
        <v>61</v>
      </c>
      <c r="L24" s="1" t="s">
        <v>61</v>
      </c>
      <c r="M24" s="1" t="s">
        <v>62</v>
      </c>
      <c r="N24" s="1">
        <v>101.0</v>
      </c>
      <c r="O24" s="1">
        <v>0.154985654328358</v>
      </c>
      <c r="P24" s="1" t="s">
        <v>61</v>
      </c>
      <c r="Q24" s="1" t="s">
        <v>61</v>
      </c>
      <c r="R24" s="1">
        <f t="shared" si="1"/>
        <v>0.1549856543</v>
      </c>
      <c r="S24" s="1">
        <f t="shared" si="2"/>
        <v>101</v>
      </c>
      <c r="T24" s="1">
        <f t="shared" si="3"/>
        <v>2.01</v>
      </c>
      <c r="U24" s="1">
        <f t="shared" si="4"/>
        <v>0</v>
      </c>
      <c r="V24" s="3">
        <f t="shared" si="5"/>
        <v>3</v>
      </c>
      <c r="W24" s="3">
        <f t="shared" si="6"/>
        <v>2</v>
      </c>
      <c r="X24" s="3" t="str">
        <f>IFERROR(__xludf.DUMMYFUNCTION("split(B24,"" "")"),"H.")</f>
        <v>H.</v>
      </c>
      <c r="Y24" s="3" t="str">
        <f>IFERROR(__xludf.DUMMYFUNCTION("""COMPUTED_VALUE"""),"Henry")</f>
        <v>Henry</v>
      </c>
      <c r="AA24" s="3">
        <v>2.0</v>
      </c>
      <c r="AB24" s="3">
        <f t="shared" si="7"/>
        <v>0</v>
      </c>
      <c r="AC24" s="3">
        <f t="shared" si="8"/>
        <v>1</v>
      </c>
      <c r="AD24" s="3">
        <f t="shared" si="9"/>
        <v>3.03</v>
      </c>
      <c r="AE24" s="3">
        <f t="shared" si="10"/>
        <v>3.03</v>
      </c>
      <c r="AF24" s="3">
        <f t="shared" si="11"/>
        <v>2.02</v>
      </c>
      <c r="AG24" s="3">
        <f t="shared" si="12"/>
        <v>0.2</v>
      </c>
      <c r="AH24" s="1" t="s">
        <v>12</v>
      </c>
      <c r="AI24" s="3">
        <f t="shared" si="28"/>
        <v>72</v>
      </c>
      <c r="AJ24" s="3">
        <f t="shared" si="29"/>
        <v>143</v>
      </c>
      <c r="AK24" s="3">
        <f t="shared" si="30"/>
        <v>0.5034965035</v>
      </c>
      <c r="AL24" s="3">
        <f t="shared" si="31"/>
        <v>154.6994387</v>
      </c>
      <c r="AM24" s="3">
        <f t="shared" si="32"/>
        <v>-164</v>
      </c>
      <c r="AN24" s="3">
        <f t="shared" si="33"/>
        <v>-9.30056133</v>
      </c>
      <c r="AO24" s="4">
        <f t="shared" si="34"/>
        <v>0.1875</v>
      </c>
      <c r="AP24" s="4">
        <f t="shared" si="35"/>
        <v>0.5433070866</v>
      </c>
      <c r="AQ24" s="5">
        <f t="shared" si="36"/>
        <v>0</v>
      </c>
      <c r="AR24" s="5">
        <f t="shared" si="37"/>
        <v>-1</v>
      </c>
      <c r="AS24" s="5"/>
    </row>
    <row r="25">
      <c r="A25" s="1" t="s">
        <v>8</v>
      </c>
      <c r="B25" s="1" t="s">
        <v>143</v>
      </c>
      <c r="C25" s="1" t="s">
        <v>19</v>
      </c>
      <c r="D25" s="1" t="s">
        <v>99</v>
      </c>
      <c r="E25" s="1" t="s">
        <v>100</v>
      </c>
      <c r="F25" s="1" t="s">
        <v>59</v>
      </c>
      <c r="G25" s="1">
        <v>7.5</v>
      </c>
      <c r="H25" s="1" t="s">
        <v>60</v>
      </c>
      <c r="I25" s="1">
        <v>-130.0</v>
      </c>
      <c r="J25" s="1">
        <v>-0.290016428379844</v>
      </c>
      <c r="K25" s="1" t="s">
        <v>61</v>
      </c>
      <c r="L25" s="1" t="s">
        <v>61</v>
      </c>
      <c r="M25" s="1" t="s">
        <v>62</v>
      </c>
      <c r="N25" s="1">
        <v>100.0</v>
      </c>
      <c r="O25" s="1">
        <v>0.224783892636821</v>
      </c>
      <c r="P25" s="1" t="s">
        <v>61</v>
      </c>
      <c r="Q25" s="1" t="s">
        <v>61</v>
      </c>
      <c r="R25" s="1">
        <f t="shared" si="1"/>
        <v>0.2247838926</v>
      </c>
      <c r="S25" s="1">
        <f t="shared" si="2"/>
        <v>100</v>
      </c>
      <c r="T25" s="1">
        <f t="shared" si="3"/>
        <v>2</v>
      </c>
      <c r="U25" s="1">
        <f t="shared" si="4"/>
        <v>0</v>
      </c>
      <c r="V25" s="3">
        <f t="shared" si="5"/>
        <v>3</v>
      </c>
      <c r="W25" s="3">
        <f t="shared" si="6"/>
        <v>2</v>
      </c>
      <c r="X25" s="3" t="str">
        <f>IFERROR(__xludf.DUMMYFUNCTION("split(B25,"" "")"),"K.")</f>
        <v>K.</v>
      </c>
      <c r="Y25" s="3" t="str">
        <f>IFERROR(__xludf.DUMMYFUNCTION("""COMPUTED_VALUE"""),"Herbert")</f>
        <v>Herbert</v>
      </c>
      <c r="AA25" s="3">
        <v>2.0</v>
      </c>
      <c r="AB25" s="3">
        <f t="shared" si="7"/>
        <v>0</v>
      </c>
      <c r="AC25" s="3">
        <f t="shared" si="8"/>
        <v>1</v>
      </c>
      <c r="AD25" s="3">
        <f t="shared" si="9"/>
        <v>3</v>
      </c>
      <c r="AE25" s="3">
        <f t="shared" si="10"/>
        <v>3</v>
      </c>
      <c r="AF25" s="3">
        <f t="shared" si="11"/>
        <v>2</v>
      </c>
      <c r="AG25" s="3">
        <f t="shared" si="12"/>
        <v>0.7333333333</v>
      </c>
      <c r="AO25" s="4"/>
      <c r="AP25" s="4"/>
      <c r="AQ25" s="5"/>
      <c r="AR25" s="5"/>
      <c r="AS25" s="5"/>
    </row>
    <row r="26">
      <c r="A26" s="1" t="s">
        <v>8</v>
      </c>
      <c r="B26" s="1" t="s">
        <v>145</v>
      </c>
      <c r="C26" s="1" t="s">
        <v>21</v>
      </c>
      <c r="D26" s="1" t="s">
        <v>146</v>
      </c>
      <c r="E26" s="1" t="s">
        <v>147</v>
      </c>
      <c r="F26" s="1" t="s">
        <v>59</v>
      </c>
      <c r="G26" s="1">
        <v>3.5</v>
      </c>
      <c r="H26" s="1" t="s">
        <v>60</v>
      </c>
      <c r="I26" s="1">
        <v>-130.0</v>
      </c>
      <c r="J26" s="1">
        <v>-0.23821229134982</v>
      </c>
      <c r="K26" s="1" t="s">
        <v>61</v>
      </c>
      <c r="L26" s="1" t="s">
        <v>61</v>
      </c>
      <c r="M26" s="1" t="s">
        <v>62</v>
      </c>
      <c r="N26" s="1">
        <v>100.0</v>
      </c>
      <c r="O26" s="1">
        <v>0.172994135052294</v>
      </c>
      <c r="P26" s="1" t="s">
        <v>61</v>
      </c>
      <c r="Q26" s="1" t="s">
        <v>61</v>
      </c>
      <c r="R26" s="1">
        <f t="shared" si="1"/>
        <v>0.1729941351</v>
      </c>
      <c r="S26" s="1">
        <f t="shared" si="2"/>
        <v>100</v>
      </c>
      <c r="T26" s="1">
        <f t="shared" si="3"/>
        <v>2</v>
      </c>
      <c r="U26" s="1">
        <f t="shared" si="4"/>
        <v>0</v>
      </c>
      <c r="V26" s="3">
        <f t="shared" si="5"/>
        <v>3</v>
      </c>
      <c r="W26" s="3">
        <f t="shared" si="6"/>
        <v>2</v>
      </c>
      <c r="X26" s="3" t="str">
        <f>IFERROR(__xludf.DUMMYFUNCTION("split(B26,"" "")"),"S.")</f>
        <v>S.</v>
      </c>
      <c r="Y26" s="3" t="str">
        <f>IFERROR(__xludf.DUMMYFUNCTION("""COMPUTED_VALUE"""),"Darnold")</f>
        <v>Darnold</v>
      </c>
      <c r="AA26" s="3">
        <v>3.0</v>
      </c>
      <c r="AB26" s="3">
        <f t="shared" si="7"/>
        <v>0</v>
      </c>
      <c r="AC26" s="3">
        <f t="shared" si="8"/>
        <v>1</v>
      </c>
      <c r="AD26" s="3">
        <f t="shared" si="9"/>
        <v>3</v>
      </c>
      <c r="AE26" s="3">
        <f t="shared" si="10"/>
        <v>3</v>
      </c>
      <c r="AF26" s="3">
        <f t="shared" si="11"/>
        <v>2</v>
      </c>
      <c r="AG26" s="3">
        <f t="shared" si="12"/>
        <v>0.1428571429</v>
      </c>
      <c r="AH26" s="1" t="s">
        <v>13</v>
      </c>
      <c r="AI26" s="3">
        <f t="shared" ref="AI26:AI30" si="38">COUNTIFs(A:A, "=" &amp; AH26, AC:AC, "=1")</f>
        <v>5</v>
      </c>
      <c r="AJ26" s="3">
        <f t="shared" ref="AJ26:AJ30" si="39">countif(A:A, "=" &amp; AH26)</f>
        <v>7</v>
      </c>
      <c r="AK26" s="3">
        <f t="shared" ref="AK26:AK30" si="40">AI26/AJ26</f>
        <v>0.7142857143</v>
      </c>
      <c r="AL26" s="3">
        <f t="shared" ref="AL26:AL30" si="41">SUMIFS(AE:AE, A:A,"=" &amp; AH26,AC:AC, "=1")</f>
        <v>6.079591783</v>
      </c>
      <c r="AM26" s="3">
        <f t="shared" ref="AM26:AM30" si="42">SUMIFS(AE:AE, A:A,"=" &amp; AH26,AC:AC, "=0")</f>
        <v>-2</v>
      </c>
      <c r="AN26" s="3">
        <f t="shared" ref="AN26:AN30" si="43">AL26+AM26</f>
        <v>4.079591783</v>
      </c>
      <c r="AO26" s="4">
        <f t="shared" ref="AO26:AO30" si="44">IFERROR( countifs(A:A, "="&amp;AH26, U:U, "=1", AC:AC, "=1")/countifs(A:A, "="&amp;AH26, U:U, "=1"), 0)</f>
        <v>0</v>
      </c>
      <c r="AP26" s="4">
        <f t="shared" ref="AP26:AP30" si="45">IFERROR( countifs(A:A, "="&amp;AH26, U:U, "=0", AC:AC, "=1")/countifs(A:A, "="&amp;AH26, U:U, "=0"), 0)</f>
        <v>0.8333333333</v>
      </c>
      <c r="AQ26" s="5">
        <f t="shared" ref="AQ26:AQ30" si="46">iferror(IFS(AND(AP26 &gt; 0.5, AO26 &gt; 0.5), 1, AND(AP26 &lt;= 0.5, AO26 &lt;= 0.5), -1), 0)
</f>
        <v>0</v>
      </c>
      <c r="AR26" s="5">
        <f t="shared" ref="AR26:AR30" si="47">if(AN26&lt;0, -1, 1)</f>
        <v>1</v>
      </c>
      <c r="AS26" s="5"/>
    </row>
    <row r="27">
      <c r="A27" s="1" t="s">
        <v>12</v>
      </c>
      <c r="B27" s="1" t="s">
        <v>150</v>
      </c>
      <c r="C27" s="1" t="s">
        <v>18</v>
      </c>
      <c r="D27" s="1" t="s">
        <v>147</v>
      </c>
      <c r="E27" s="1" t="s">
        <v>146</v>
      </c>
      <c r="F27" s="1" t="s">
        <v>59</v>
      </c>
      <c r="G27" s="1">
        <v>1.5</v>
      </c>
      <c r="H27" s="1" t="s">
        <v>60</v>
      </c>
      <c r="I27" s="1">
        <v>-130.0</v>
      </c>
      <c r="J27" s="1">
        <v>-0.237203838230434</v>
      </c>
      <c r="K27" s="1" t="s">
        <v>61</v>
      </c>
      <c r="L27" s="1" t="s">
        <v>61</v>
      </c>
      <c r="M27" s="1" t="s">
        <v>62</v>
      </c>
      <c r="N27" s="1">
        <v>100.0</v>
      </c>
      <c r="O27" s="1">
        <v>0.171984413964999</v>
      </c>
      <c r="P27" s="1" t="s">
        <v>61</v>
      </c>
      <c r="Q27" s="1" t="s">
        <v>61</v>
      </c>
      <c r="R27" s="1">
        <f t="shared" si="1"/>
        <v>0.171984414</v>
      </c>
      <c r="S27" s="1">
        <f t="shared" si="2"/>
        <v>100</v>
      </c>
      <c r="T27" s="1">
        <f t="shared" si="3"/>
        <v>2</v>
      </c>
      <c r="U27" s="1">
        <f t="shared" si="4"/>
        <v>0</v>
      </c>
      <c r="V27" s="3">
        <f t="shared" si="5"/>
        <v>3</v>
      </c>
      <c r="W27" s="3">
        <f t="shared" si="6"/>
        <v>2</v>
      </c>
      <c r="X27" s="3" t="str">
        <f>IFERROR(__xludf.DUMMYFUNCTION("split(B27,"" "")"),"J.")</f>
        <v>J.</v>
      </c>
      <c r="Y27" s="3" t="str">
        <f>IFERROR(__xludf.DUMMYFUNCTION("""COMPUTED_VALUE"""),"Hyatt")</f>
        <v>Hyatt</v>
      </c>
      <c r="AA27" s="3">
        <v>0.0</v>
      </c>
      <c r="AB27" s="3">
        <f t="shared" si="7"/>
        <v>0</v>
      </c>
      <c r="AC27" s="3">
        <f t="shared" si="8"/>
        <v>1</v>
      </c>
      <c r="AD27" s="3">
        <f t="shared" si="9"/>
        <v>3</v>
      </c>
      <c r="AE27" s="3">
        <f t="shared" si="10"/>
        <v>3</v>
      </c>
      <c r="AF27" s="3">
        <f t="shared" si="11"/>
        <v>2</v>
      </c>
      <c r="AG27" s="3">
        <f t="shared" si="12"/>
        <v>1</v>
      </c>
      <c r="AH27" s="1" t="s">
        <v>14</v>
      </c>
      <c r="AI27" s="3">
        <f t="shared" si="38"/>
        <v>13</v>
      </c>
      <c r="AJ27" s="3">
        <f t="shared" si="39"/>
        <v>22</v>
      </c>
      <c r="AK27" s="3">
        <f t="shared" si="40"/>
        <v>0.5909090909</v>
      </c>
      <c r="AL27" s="3">
        <f t="shared" si="41"/>
        <v>26.71368926</v>
      </c>
      <c r="AM27" s="3">
        <f t="shared" si="42"/>
        <v>-13</v>
      </c>
      <c r="AN27" s="3">
        <f t="shared" si="43"/>
        <v>13.71368926</v>
      </c>
      <c r="AO27" s="4">
        <f t="shared" si="44"/>
        <v>0</v>
      </c>
      <c r="AP27" s="4">
        <f t="shared" si="45"/>
        <v>0.7647058824</v>
      </c>
      <c r="AQ27" s="5">
        <f t="shared" si="46"/>
        <v>0</v>
      </c>
      <c r="AR27" s="5">
        <f t="shared" si="47"/>
        <v>1</v>
      </c>
      <c r="AS27" s="5"/>
    </row>
    <row r="28">
      <c r="A28" s="1" t="s">
        <v>12</v>
      </c>
      <c r="B28" s="1" t="s">
        <v>152</v>
      </c>
      <c r="C28" s="1" t="s">
        <v>19</v>
      </c>
      <c r="D28" s="1" t="s">
        <v>88</v>
      </c>
      <c r="E28" s="1" t="s">
        <v>89</v>
      </c>
      <c r="F28" s="1" t="s">
        <v>90</v>
      </c>
      <c r="G28" s="1">
        <v>1.5</v>
      </c>
      <c r="H28" s="1" t="s">
        <v>60</v>
      </c>
      <c r="I28" s="1">
        <v>-133.0</v>
      </c>
      <c r="J28" s="1">
        <v>-0.241816071845493</v>
      </c>
      <c r="K28" s="1" t="s">
        <v>61</v>
      </c>
      <c r="L28" s="1" t="s">
        <v>61</v>
      </c>
      <c r="M28" s="1" t="s">
        <v>62</v>
      </c>
      <c r="N28" s="1">
        <v>100.0</v>
      </c>
      <c r="O28" s="1">
        <v>0.1709842237</v>
      </c>
      <c r="P28" s="1" t="s">
        <v>61</v>
      </c>
      <c r="Q28" s="1" t="s">
        <v>61</v>
      </c>
      <c r="R28" s="1">
        <f t="shared" si="1"/>
        <v>0.1709842237</v>
      </c>
      <c r="S28" s="1">
        <f t="shared" si="2"/>
        <v>100</v>
      </c>
      <c r="T28" s="1">
        <f t="shared" si="3"/>
        <v>2</v>
      </c>
      <c r="U28" s="1">
        <f t="shared" si="4"/>
        <v>0</v>
      </c>
      <c r="V28" s="3">
        <f t="shared" si="5"/>
        <v>3</v>
      </c>
      <c r="W28" s="3">
        <f t="shared" si="6"/>
        <v>2</v>
      </c>
      <c r="X28" s="3" t="str">
        <f>IFERROR(__xludf.DUMMYFUNCTION("split(B28,"" "")"),"R.")</f>
        <v>R.</v>
      </c>
      <c r="Y28" s="3" t="str">
        <f>IFERROR(__xludf.DUMMYFUNCTION("""COMPUTED_VALUE"""),"Dowdle")</f>
        <v>Dowdle</v>
      </c>
      <c r="AA28" s="3">
        <v>1.0</v>
      </c>
      <c r="AB28" s="3">
        <f t="shared" si="7"/>
        <v>0</v>
      </c>
      <c r="AC28" s="3">
        <f t="shared" si="8"/>
        <v>1</v>
      </c>
      <c r="AD28" s="3">
        <f t="shared" si="9"/>
        <v>3</v>
      </c>
      <c r="AE28" s="3">
        <f t="shared" si="10"/>
        <v>3</v>
      </c>
      <c r="AF28" s="3">
        <f t="shared" si="11"/>
        <v>2</v>
      </c>
      <c r="AG28" s="3">
        <f t="shared" si="12"/>
        <v>0.3333333333</v>
      </c>
      <c r="AH28" s="1" t="s">
        <v>15</v>
      </c>
      <c r="AI28" s="3">
        <f t="shared" si="38"/>
        <v>9</v>
      </c>
      <c r="AJ28" s="3">
        <f t="shared" si="39"/>
        <v>14</v>
      </c>
      <c r="AK28" s="3">
        <f t="shared" si="40"/>
        <v>0.6428571429</v>
      </c>
      <c r="AL28" s="3">
        <f t="shared" si="41"/>
        <v>15.11622308</v>
      </c>
      <c r="AM28" s="3">
        <f t="shared" si="42"/>
        <v>-8</v>
      </c>
      <c r="AN28" s="3">
        <f t="shared" si="43"/>
        <v>7.116223077</v>
      </c>
      <c r="AO28" s="4">
        <f t="shared" si="44"/>
        <v>0</v>
      </c>
      <c r="AP28" s="4">
        <f t="shared" si="45"/>
        <v>0.75</v>
      </c>
      <c r="AQ28" s="5">
        <f t="shared" si="46"/>
        <v>0</v>
      </c>
      <c r="AR28" s="5">
        <f t="shared" si="47"/>
        <v>1</v>
      </c>
      <c r="AS28" s="5"/>
    </row>
    <row r="29">
      <c r="A29" s="1" t="s">
        <v>12</v>
      </c>
      <c r="B29" s="1" t="s">
        <v>155</v>
      </c>
      <c r="C29" s="1" t="s">
        <v>19</v>
      </c>
      <c r="D29" s="1" t="s">
        <v>156</v>
      </c>
      <c r="E29" s="1" t="s">
        <v>157</v>
      </c>
      <c r="F29" s="1" t="s">
        <v>158</v>
      </c>
      <c r="G29" s="1">
        <v>2.5</v>
      </c>
      <c r="H29" s="1" t="s">
        <v>60</v>
      </c>
      <c r="I29" s="1">
        <v>-132.0</v>
      </c>
      <c r="J29" s="6">
        <v>-0.209720536120689</v>
      </c>
      <c r="K29" s="1" t="s">
        <v>61</v>
      </c>
      <c r="L29" s="1" t="s">
        <v>61</v>
      </c>
      <c r="M29" s="1" t="s">
        <v>62</v>
      </c>
      <c r="N29" s="1">
        <v>-101.0</v>
      </c>
      <c r="O29" s="6">
        <v>0.138260000118407</v>
      </c>
      <c r="P29" s="1" t="s">
        <v>61</v>
      </c>
      <c r="Q29" s="1" t="s">
        <v>61</v>
      </c>
      <c r="R29" s="6">
        <f t="shared" si="1"/>
        <v>0.1382600001</v>
      </c>
      <c r="S29" s="1">
        <f t="shared" si="2"/>
        <v>-101</v>
      </c>
      <c r="T29" s="1">
        <f t="shared" si="3"/>
        <v>1.99009901</v>
      </c>
      <c r="U29" s="1">
        <f t="shared" si="4"/>
        <v>0</v>
      </c>
      <c r="V29" s="3">
        <f t="shared" si="5"/>
        <v>3</v>
      </c>
      <c r="W29" s="3">
        <f t="shared" si="6"/>
        <v>2</v>
      </c>
      <c r="X29" s="3" t="str">
        <f>IFERROR(__xludf.DUMMYFUNCTION("split(B29,"" "")"),"S.")</f>
        <v>S.</v>
      </c>
      <c r="Y29" s="3" t="str">
        <f>IFERROR(__xludf.DUMMYFUNCTION("""COMPUTED_VALUE"""),"Barkley")</f>
        <v>Barkley</v>
      </c>
      <c r="AA29" s="3">
        <v>2.0</v>
      </c>
      <c r="AB29" s="3">
        <f t="shared" si="7"/>
        <v>0</v>
      </c>
      <c r="AC29" s="3">
        <f t="shared" si="8"/>
        <v>1</v>
      </c>
      <c r="AD29" s="3">
        <f t="shared" si="9"/>
        <v>2.97029703</v>
      </c>
      <c r="AE29" s="3">
        <f t="shared" si="10"/>
        <v>2.97029703</v>
      </c>
      <c r="AF29" s="3">
        <f t="shared" si="11"/>
        <v>1.98019802</v>
      </c>
      <c r="AG29" s="3">
        <f t="shared" si="12"/>
        <v>0.2</v>
      </c>
      <c r="AH29" s="1" t="s">
        <v>16</v>
      </c>
      <c r="AI29" s="3">
        <f t="shared" si="38"/>
        <v>11</v>
      </c>
      <c r="AJ29" s="3">
        <f t="shared" si="39"/>
        <v>13</v>
      </c>
      <c r="AK29" s="3">
        <f t="shared" si="40"/>
        <v>0.8461538462</v>
      </c>
      <c r="AL29" s="3">
        <f t="shared" si="41"/>
        <v>13.95051712</v>
      </c>
      <c r="AM29" s="3">
        <f t="shared" si="42"/>
        <v>-3</v>
      </c>
      <c r="AN29" s="3">
        <f t="shared" si="43"/>
        <v>10.95051712</v>
      </c>
      <c r="AO29" s="4">
        <f t="shared" si="44"/>
        <v>0</v>
      </c>
      <c r="AP29" s="4">
        <f t="shared" si="45"/>
        <v>0.8461538462</v>
      </c>
      <c r="AQ29" s="5">
        <f t="shared" si="46"/>
        <v>0</v>
      </c>
      <c r="AR29" s="5">
        <f t="shared" si="47"/>
        <v>1</v>
      </c>
      <c r="AS29" s="5"/>
    </row>
    <row r="30">
      <c r="A30" s="1" t="s">
        <v>12</v>
      </c>
      <c r="B30" s="1" t="s">
        <v>160</v>
      </c>
      <c r="C30" s="1" t="s">
        <v>20</v>
      </c>
      <c r="D30" s="1" t="s">
        <v>99</v>
      </c>
      <c r="E30" s="1" t="s">
        <v>100</v>
      </c>
      <c r="F30" s="1" t="s">
        <v>59</v>
      </c>
      <c r="G30" s="1">
        <v>1.5</v>
      </c>
      <c r="H30" s="1" t="s">
        <v>60</v>
      </c>
      <c r="I30" s="1">
        <v>-131.0</v>
      </c>
      <c r="J30" s="1">
        <v>-0.184841896268398</v>
      </c>
      <c r="K30" s="1" t="s">
        <v>61</v>
      </c>
      <c r="L30" s="1" t="s">
        <v>61</v>
      </c>
      <c r="M30" s="1" t="s">
        <v>62</v>
      </c>
      <c r="N30" s="1">
        <v>-101.0</v>
      </c>
      <c r="O30" s="1">
        <v>0.115261571235721</v>
      </c>
      <c r="P30" s="1" t="s">
        <v>61</v>
      </c>
      <c r="Q30" s="1" t="s">
        <v>61</v>
      </c>
      <c r="R30" s="1">
        <f t="shared" si="1"/>
        <v>0.1152615712</v>
      </c>
      <c r="S30" s="1">
        <f t="shared" si="2"/>
        <v>-101</v>
      </c>
      <c r="T30" s="1">
        <f t="shared" si="3"/>
        <v>1.99009901</v>
      </c>
      <c r="U30" s="1">
        <f t="shared" si="4"/>
        <v>0</v>
      </c>
      <c r="V30" s="3">
        <f t="shared" si="5"/>
        <v>3</v>
      </c>
      <c r="W30" s="3">
        <f t="shared" si="6"/>
        <v>2</v>
      </c>
      <c r="X30" s="3" t="str">
        <f>IFERROR(__xludf.DUMMYFUNCTION("split(B30,"" "")"),"G.")</f>
        <v>G.</v>
      </c>
      <c r="Y30" s="3" t="str">
        <f>IFERROR(__xludf.DUMMYFUNCTION("""COMPUTED_VALUE"""),"Everett")</f>
        <v>Everett</v>
      </c>
      <c r="AA30" s="3">
        <v>1.0</v>
      </c>
      <c r="AB30" s="3">
        <f t="shared" si="7"/>
        <v>0</v>
      </c>
      <c r="AC30" s="3">
        <f t="shared" si="8"/>
        <v>1</v>
      </c>
      <c r="AD30" s="3">
        <f t="shared" si="9"/>
        <v>2.97029703</v>
      </c>
      <c r="AE30" s="3">
        <f t="shared" si="10"/>
        <v>2.97029703</v>
      </c>
      <c r="AF30" s="3">
        <f t="shared" si="11"/>
        <v>1.98019802</v>
      </c>
      <c r="AG30" s="3">
        <f t="shared" si="12"/>
        <v>0.3333333333</v>
      </c>
      <c r="AH30" s="1" t="s">
        <v>17</v>
      </c>
      <c r="AI30" s="3">
        <f t="shared" si="38"/>
        <v>13</v>
      </c>
      <c r="AJ30" s="3">
        <f t="shared" si="39"/>
        <v>26</v>
      </c>
      <c r="AK30" s="3">
        <f t="shared" si="40"/>
        <v>0.5</v>
      </c>
      <c r="AL30" s="3">
        <f t="shared" si="41"/>
        <v>19.04575101</v>
      </c>
      <c r="AM30" s="3">
        <f t="shared" si="42"/>
        <v>-18</v>
      </c>
      <c r="AN30" s="3">
        <f t="shared" si="43"/>
        <v>1.045751015</v>
      </c>
      <c r="AO30" s="4">
        <f t="shared" si="44"/>
        <v>0</v>
      </c>
      <c r="AP30" s="4">
        <f t="shared" si="45"/>
        <v>0.5</v>
      </c>
      <c r="AQ30" s="5">
        <f t="shared" si="46"/>
        <v>-1</v>
      </c>
      <c r="AR30" s="5">
        <f t="shared" si="47"/>
        <v>1</v>
      </c>
      <c r="AS30" s="5"/>
    </row>
    <row r="31">
      <c r="A31" s="1" t="s">
        <v>11</v>
      </c>
      <c r="B31" s="1" t="s">
        <v>163</v>
      </c>
      <c r="C31" s="1" t="s">
        <v>19</v>
      </c>
      <c r="D31" s="1" t="s">
        <v>164</v>
      </c>
      <c r="E31" s="1" t="s">
        <v>165</v>
      </c>
      <c r="F31" s="1" t="s">
        <v>166</v>
      </c>
      <c r="G31" s="1">
        <v>3.0</v>
      </c>
      <c r="H31" s="1" t="s">
        <v>60</v>
      </c>
      <c r="I31" s="1">
        <v>-103.0</v>
      </c>
      <c r="J31" s="1">
        <v>0.139235983278824</v>
      </c>
      <c r="K31" s="1" t="s">
        <v>61</v>
      </c>
      <c r="L31" s="1" t="s">
        <v>61</v>
      </c>
      <c r="M31" s="1" t="s">
        <v>62</v>
      </c>
      <c r="N31" s="1">
        <v>-124.0</v>
      </c>
      <c r="O31" s="1">
        <v>-0.199135436209579</v>
      </c>
      <c r="P31" s="1" t="s">
        <v>61</v>
      </c>
      <c r="Q31" s="1" t="s">
        <v>61</v>
      </c>
      <c r="R31" s="1">
        <f t="shared" si="1"/>
        <v>0.1392359833</v>
      </c>
      <c r="S31" s="1">
        <f t="shared" si="2"/>
        <v>-103</v>
      </c>
      <c r="T31" s="1">
        <f t="shared" si="3"/>
        <v>1.970873786</v>
      </c>
      <c r="U31" s="1">
        <f t="shared" si="4"/>
        <v>1</v>
      </c>
      <c r="V31" s="3">
        <f t="shared" si="5"/>
        <v>3</v>
      </c>
      <c r="W31" s="3">
        <f t="shared" si="6"/>
        <v>2</v>
      </c>
      <c r="X31" s="3" t="str">
        <f>IFERROR(__xludf.DUMMYFUNCTION("split(B31,"" "")"),"K.")</f>
        <v>K.</v>
      </c>
      <c r="Y31" s="3" t="str">
        <f>IFERROR(__xludf.DUMMYFUNCTION("""COMPUTED_VALUE"""),"Juszczyk")</f>
        <v>Juszczyk</v>
      </c>
      <c r="AA31" s="3">
        <v>40.0</v>
      </c>
      <c r="AB31" s="3">
        <f t="shared" si="7"/>
        <v>1</v>
      </c>
      <c r="AC31" s="3">
        <f t="shared" si="8"/>
        <v>1</v>
      </c>
      <c r="AD31" s="3">
        <f t="shared" si="9"/>
        <v>2.912621359</v>
      </c>
      <c r="AE31" s="3">
        <f t="shared" si="10"/>
        <v>2.912621359</v>
      </c>
      <c r="AF31" s="3">
        <f t="shared" si="11"/>
        <v>1.941747573</v>
      </c>
      <c r="AG31" s="3">
        <f t="shared" si="12"/>
        <v>12.33333333</v>
      </c>
      <c r="AJ31" s="1" t="s">
        <v>512</v>
      </c>
      <c r="AK31" s="1" t="s">
        <v>513</v>
      </c>
    </row>
    <row r="32">
      <c r="A32" s="1" t="s">
        <v>8</v>
      </c>
      <c r="B32" s="1" t="s">
        <v>168</v>
      </c>
      <c r="C32" s="1" t="s">
        <v>19</v>
      </c>
      <c r="D32" s="1" t="s">
        <v>67</v>
      </c>
      <c r="E32" s="1" t="s">
        <v>66</v>
      </c>
      <c r="F32" s="1" t="s">
        <v>59</v>
      </c>
      <c r="G32" s="1">
        <v>12.5</v>
      </c>
      <c r="H32" s="1" t="s">
        <v>60</v>
      </c>
      <c r="I32" s="1">
        <v>-127.0</v>
      </c>
      <c r="J32" s="1">
        <v>-0.198170995315374</v>
      </c>
      <c r="K32" s="1" t="s">
        <v>61</v>
      </c>
      <c r="L32" s="1" t="s">
        <v>61</v>
      </c>
      <c r="M32" s="1" t="s">
        <v>62</v>
      </c>
      <c r="N32" s="1">
        <v>-104.0</v>
      </c>
      <c r="O32" s="1">
        <v>0.128895649872811</v>
      </c>
      <c r="P32" s="1" t="s">
        <v>61</v>
      </c>
      <c r="Q32" s="1" t="s">
        <v>61</v>
      </c>
      <c r="R32" s="1">
        <f t="shared" si="1"/>
        <v>0.1288956499</v>
      </c>
      <c r="S32" s="1">
        <f t="shared" si="2"/>
        <v>-104</v>
      </c>
      <c r="T32" s="1">
        <f t="shared" si="3"/>
        <v>1.961538462</v>
      </c>
      <c r="U32" s="1">
        <f t="shared" si="4"/>
        <v>0</v>
      </c>
      <c r="V32" s="3">
        <f t="shared" si="5"/>
        <v>3</v>
      </c>
      <c r="W32" s="3">
        <f t="shared" si="6"/>
        <v>2</v>
      </c>
      <c r="X32" s="3" t="str">
        <f>IFERROR(__xludf.DUMMYFUNCTION("split(B32,"" "")"),"Z.")</f>
        <v>Z.</v>
      </c>
      <c r="Y32" s="3" t="str">
        <f>IFERROR(__xludf.DUMMYFUNCTION("""COMPUTED_VALUE"""),"Moss")</f>
        <v>Moss</v>
      </c>
      <c r="AA32" s="3">
        <v>9.0</v>
      </c>
      <c r="AB32" s="3">
        <f t="shared" si="7"/>
        <v>0</v>
      </c>
      <c r="AC32" s="3">
        <f t="shared" si="8"/>
        <v>1</v>
      </c>
      <c r="AD32" s="3">
        <f t="shared" si="9"/>
        <v>2.884615385</v>
      </c>
      <c r="AE32" s="3">
        <f t="shared" si="10"/>
        <v>2.884615385</v>
      </c>
      <c r="AF32" s="3">
        <f t="shared" si="11"/>
        <v>1.923076923</v>
      </c>
      <c r="AG32" s="3">
        <f t="shared" si="12"/>
        <v>0.28</v>
      </c>
      <c r="AH32" s="1" t="s">
        <v>514</v>
      </c>
      <c r="AI32" s="3">
        <f>COUNTIFS(AG2:AG999, "&gt;1.7", AC2:AC999,"=1", U2:U999, "=1") + countifs(U2:U999, "=0", AA2:AA999, "=0")</f>
        <v>59</v>
      </c>
      <c r="AJ32" s="3">
        <f>COUNTIFS(AG2:AG999, "&gt;1.7", AC2:AC999,"=1", U2:U999, "=1")</f>
        <v>13</v>
      </c>
      <c r="AK32" s="3">
        <f>AI32-AJ32</f>
        <v>46</v>
      </c>
    </row>
    <row r="33">
      <c r="A33" s="1" t="s">
        <v>12</v>
      </c>
      <c r="B33" s="1" t="s">
        <v>170</v>
      </c>
      <c r="C33" s="1" t="s">
        <v>18</v>
      </c>
      <c r="D33" s="1" t="s">
        <v>66</v>
      </c>
      <c r="E33" s="1" t="s">
        <v>67</v>
      </c>
      <c r="F33" s="1" t="s">
        <v>59</v>
      </c>
      <c r="G33" s="1">
        <v>2.5</v>
      </c>
      <c r="H33" s="1" t="s">
        <v>60</v>
      </c>
      <c r="I33" s="1">
        <v>-125.0</v>
      </c>
      <c r="J33" s="1">
        <v>-0.248050457022222</v>
      </c>
      <c r="K33" s="1" t="s">
        <v>61</v>
      </c>
      <c r="L33" s="1" t="s">
        <v>61</v>
      </c>
      <c r="M33" s="1" t="s">
        <v>62</v>
      </c>
      <c r="N33" s="1">
        <v>-105.0</v>
      </c>
      <c r="O33" s="1">
        <v>0.180299002299999</v>
      </c>
      <c r="P33" s="1" t="s">
        <v>61</v>
      </c>
      <c r="Q33" s="1" t="s">
        <v>61</v>
      </c>
      <c r="R33" s="1">
        <f t="shared" si="1"/>
        <v>0.1802990023</v>
      </c>
      <c r="S33" s="1">
        <f t="shared" si="2"/>
        <v>-105</v>
      </c>
      <c r="T33" s="1">
        <f t="shared" si="3"/>
        <v>1.952380952</v>
      </c>
      <c r="U33" s="1">
        <f t="shared" si="4"/>
        <v>0</v>
      </c>
      <c r="V33" s="3">
        <f t="shared" si="5"/>
        <v>3</v>
      </c>
      <c r="W33" s="3">
        <f t="shared" si="6"/>
        <v>2</v>
      </c>
      <c r="X33" s="3" t="str">
        <f>IFERROR(__xludf.DUMMYFUNCTION("split(B33,"" "")"),"J.")</f>
        <v>J.</v>
      </c>
      <c r="Y33" s="3" t="str">
        <f>IFERROR(__xludf.DUMMYFUNCTION("""COMPUTED_VALUE"""),"Polk")</f>
        <v>Polk</v>
      </c>
      <c r="AA33" s="3">
        <v>1.0</v>
      </c>
      <c r="AB33" s="3">
        <f t="shared" si="7"/>
        <v>0</v>
      </c>
      <c r="AC33" s="3">
        <f t="shared" si="8"/>
        <v>1</v>
      </c>
      <c r="AD33" s="3">
        <f t="shared" si="9"/>
        <v>2.857142857</v>
      </c>
      <c r="AE33" s="3">
        <f t="shared" si="10"/>
        <v>2.857142857</v>
      </c>
      <c r="AF33" s="3">
        <f t="shared" si="11"/>
        <v>1.904761905</v>
      </c>
      <c r="AG33" s="3">
        <f t="shared" si="12"/>
        <v>0.6</v>
      </c>
    </row>
    <row r="34">
      <c r="A34" s="1" t="s">
        <v>12</v>
      </c>
      <c r="B34" s="1" t="s">
        <v>172</v>
      </c>
      <c r="C34" s="1" t="s">
        <v>20</v>
      </c>
      <c r="D34" s="1" t="s">
        <v>157</v>
      </c>
      <c r="E34" s="1" t="s">
        <v>156</v>
      </c>
      <c r="F34" s="1" t="s">
        <v>158</v>
      </c>
      <c r="G34" s="1">
        <v>2.5</v>
      </c>
      <c r="H34" s="1" t="s">
        <v>60</v>
      </c>
      <c r="I34" s="1">
        <v>-127.0</v>
      </c>
      <c r="J34" s="6">
        <v>-0.188325136211453</v>
      </c>
      <c r="K34" s="1" t="s">
        <v>61</v>
      </c>
      <c r="L34" s="1" t="s">
        <v>61</v>
      </c>
      <c r="M34" s="1" t="s">
        <v>62</v>
      </c>
      <c r="N34" s="1">
        <v>-105.0</v>
      </c>
      <c r="O34" s="6">
        <v>0.116651127882926</v>
      </c>
      <c r="P34" s="1" t="s">
        <v>61</v>
      </c>
      <c r="Q34" s="1" t="s">
        <v>61</v>
      </c>
      <c r="R34" s="6">
        <f t="shared" si="1"/>
        <v>0.1166511279</v>
      </c>
      <c r="S34" s="1">
        <f t="shared" si="2"/>
        <v>-105</v>
      </c>
      <c r="T34" s="1">
        <f t="shared" si="3"/>
        <v>1.952380952</v>
      </c>
      <c r="U34" s="1">
        <f t="shared" si="4"/>
        <v>0</v>
      </c>
      <c r="V34" s="3">
        <f t="shared" si="5"/>
        <v>3</v>
      </c>
      <c r="W34" s="3">
        <f t="shared" si="6"/>
        <v>2</v>
      </c>
      <c r="X34" s="3" t="str">
        <f>IFERROR(__xludf.DUMMYFUNCTION("split(B34,"" "")"),"L.")</f>
        <v>L.</v>
      </c>
      <c r="Y34" s="3" t="str">
        <f>IFERROR(__xludf.DUMMYFUNCTION("""COMPUTED_VALUE"""),"Musgrave")</f>
        <v>Musgrave</v>
      </c>
      <c r="AA34" s="3">
        <v>0.0</v>
      </c>
      <c r="AB34" s="3">
        <f t="shared" si="7"/>
        <v>0</v>
      </c>
      <c r="AC34" s="3">
        <f t="shared" si="8"/>
        <v>1</v>
      </c>
      <c r="AD34" s="3">
        <f t="shared" si="9"/>
        <v>2.857142857</v>
      </c>
      <c r="AE34" s="3">
        <f t="shared" si="10"/>
        <v>2.857142857</v>
      </c>
      <c r="AF34" s="3">
        <f t="shared" si="11"/>
        <v>1.904761905</v>
      </c>
      <c r="AG34" s="3">
        <f t="shared" si="12"/>
        <v>1</v>
      </c>
    </row>
    <row r="35">
      <c r="A35" s="1" t="s">
        <v>12</v>
      </c>
      <c r="B35" s="1" t="s">
        <v>175</v>
      </c>
      <c r="C35" s="1" t="s">
        <v>18</v>
      </c>
      <c r="D35" s="1" t="s">
        <v>146</v>
      </c>
      <c r="E35" s="1" t="s">
        <v>147</v>
      </c>
      <c r="F35" s="1" t="s">
        <v>59</v>
      </c>
      <c r="G35" s="1">
        <v>3.5</v>
      </c>
      <c r="H35" s="1" t="s">
        <v>60</v>
      </c>
      <c r="I35" s="1">
        <v>-124.0</v>
      </c>
      <c r="J35" s="1">
        <v>-0.179226785714285</v>
      </c>
      <c r="K35" s="1" t="s">
        <v>61</v>
      </c>
      <c r="L35" s="1" t="s">
        <v>61</v>
      </c>
      <c r="M35" s="1" t="s">
        <v>62</v>
      </c>
      <c r="N35" s="1">
        <v>-107.0</v>
      </c>
      <c r="O35" s="1">
        <v>0.108740096618357</v>
      </c>
      <c r="P35" s="1" t="s">
        <v>61</v>
      </c>
      <c r="Q35" s="1" t="s">
        <v>61</v>
      </c>
      <c r="R35" s="1">
        <f t="shared" si="1"/>
        <v>0.1087400966</v>
      </c>
      <c r="S35" s="1">
        <f t="shared" si="2"/>
        <v>-107</v>
      </c>
      <c r="T35" s="1">
        <f t="shared" si="3"/>
        <v>1.934579439</v>
      </c>
      <c r="U35" s="1">
        <f t="shared" si="4"/>
        <v>0</v>
      </c>
      <c r="V35" s="3">
        <f t="shared" si="5"/>
        <v>3</v>
      </c>
      <c r="W35" s="3">
        <f t="shared" si="6"/>
        <v>2</v>
      </c>
      <c r="X35" s="3" t="str">
        <f>IFERROR(__xludf.DUMMYFUNCTION("split(B35,"" "")"),"J.")</f>
        <v>J.</v>
      </c>
      <c r="Y35" s="3" t="str">
        <f>IFERROR(__xludf.DUMMYFUNCTION("""COMPUTED_VALUE"""),"Addison")</f>
        <v>Addison</v>
      </c>
      <c r="AA35" s="3">
        <v>3.0</v>
      </c>
      <c r="AB35" s="3">
        <f t="shared" si="7"/>
        <v>0</v>
      </c>
      <c r="AC35" s="3">
        <f t="shared" si="8"/>
        <v>1</v>
      </c>
      <c r="AD35" s="3">
        <f t="shared" si="9"/>
        <v>2.803738318</v>
      </c>
      <c r="AE35" s="3">
        <f t="shared" si="10"/>
        <v>2.803738318</v>
      </c>
      <c r="AF35" s="3">
        <f t="shared" si="11"/>
        <v>1.869158879</v>
      </c>
      <c r="AG35" s="3">
        <f t="shared" si="12"/>
        <v>0.1428571429</v>
      </c>
    </row>
    <row r="36">
      <c r="A36" s="1" t="s">
        <v>8</v>
      </c>
      <c r="B36" s="1" t="s">
        <v>177</v>
      </c>
      <c r="C36" s="1" t="s">
        <v>19</v>
      </c>
      <c r="D36" s="1" t="s">
        <v>110</v>
      </c>
      <c r="E36" s="1" t="s">
        <v>109</v>
      </c>
      <c r="F36" s="1" t="s">
        <v>59</v>
      </c>
      <c r="G36" s="1">
        <v>6.5</v>
      </c>
      <c r="H36" s="1" t="s">
        <v>60</v>
      </c>
      <c r="I36" s="1">
        <v>-120.0</v>
      </c>
      <c r="J36" s="1">
        <v>-0.193185755955601</v>
      </c>
      <c r="K36" s="1" t="s">
        <v>61</v>
      </c>
      <c r="L36" s="1" t="s">
        <v>61</v>
      </c>
      <c r="M36" s="1" t="s">
        <v>62</v>
      </c>
      <c r="N36" s="1">
        <v>-108.0</v>
      </c>
      <c r="O36" s="1">
        <v>0.128504882764667</v>
      </c>
      <c r="P36" s="1" t="s">
        <v>61</v>
      </c>
      <c r="Q36" s="1" t="s">
        <v>61</v>
      </c>
      <c r="R36" s="1">
        <f t="shared" si="1"/>
        <v>0.1285048828</v>
      </c>
      <c r="S36" s="1">
        <f t="shared" si="2"/>
        <v>-108</v>
      </c>
      <c r="T36" s="1">
        <f t="shared" si="3"/>
        <v>1.925925926</v>
      </c>
      <c r="U36" s="1">
        <f t="shared" si="4"/>
        <v>0</v>
      </c>
      <c r="V36" s="3">
        <f t="shared" si="5"/>
        <v>3</v>
      </c>
      <c r="W36" s="3">
        <f t="shared" si="6"/>
        <v>2</v>
      </c>
      <c r="X36" s="3" t="str">
        <f>IFERROR(__xludf.DUMMYFUNCTION("split(B36,"" "")"),"J.")</f>
        <v>J.</v>
      </c>
      <c r="Y36" s="3" t="str">
        <f>IFERROR(__xludf.DUMMYFUNCTION("""COMPUTED_VALUE"""),"Warren")</f>
        <v>Warren</v>
      </c>
      <c r="AA36" s="3">
        <v>2.0</v>
      </c>
      <c r="AB36" s="3">
        <f t="shared" si="7"/>
        <v>0</v>
      </c>
      <c r="AC36" s="3">
        <f t="shared" si="8"/>
        <v>1</v>
      </c>
      <c r="AD36" s="3">
        <f t="shared" si="9"/>
        <v>2.777777778</v>
      </c>
      <c r="AE36" s="3">
        <f t="shared" si="10"/>
        <v>2.777777778</v>
      </c>
      <c r="AF36" s="3">
        <f t="shared" si="11"/>
        <v>1.851851852</v>
      </c>
      <c r="AG36" s="3">
        <f t="shared" si="12"/>
        <v>0.6923076923</v>
      </c>
      <c r="AS36" s="1" t="s">
        <v>17</v>
      </c>
    </row>
    <row r="37">
      <c r="A37" s="1" t="s">
        <v>12</v>
      </c>
      <c r="B37" s="1" t="s">
        <v>179</v>
      </c>
      <c r="C37" s="1" t="s">
        <v>19</v>
      </c>
      <c r="D37" s="1" t="s">
        <v>76</v>
      </c>
      <c r="E37" s="1" t="s">
        <v>77</v>
      </c>
      <c r="F37" s="1" t="s">
        <v>78</v>
      </c>
      <c r="G37" s="1">
        <v>2.5</v>
      </c>
      <c r="H37" s="1" t="s">
        <v>60</v>
      </c>
      <c r="I37" s="1">
        <v>-122.0</v>
      </c>
      <c r="J37" s="6">
        <v>-0.220593189999999</v>
      </c>
      <c r="K37" s="1" t="s">
        <v>61</v>
      </c>
      <c r="L37" s="1" t="s">
        <v>61</v>
      </c>
      <c r="M37" s="1" t="s">
        <v>62</v>
      </c>
      <c r="N37" s="1">
        <v>-109.0</v>
      </c>
      <c r="O37" s="6">
        <v>0.149519426393301</v>
      </c>
      <c r="P37" s="1" t="s">
        <v>61</v>
      </c>
      <c r="Q37" s="1" t="s">
        <v>61</v>
      </c>
      <c r="R37" s="6">
        <f t="shared" si="1"/>
        <v>0.1495194264</v>
      </c>
      <c r="S37" s="1">
        <f t="shared" si="2"/>
        <v>-109</v>
      </c>
      <c r="T37" s="1">
        <f t="shared" si="3"/>
        <v>1.917431193</v>
      </c>
      <c r="U37" s="1">
        <f t="shared" si="4"/>
        <v>0</v>
      </c>
      <c r="V37" s="3">
        <f t="shared" si="5"/>
        <v>3</v>
      </c>
      <c r="W37" s="3">
        <f t="shared" si="6"/>
        <v>2</v>
      </c>
      <c r="X37" s="3" t="str">
        <f>IFERROR(__xludf.DUMMYFUNCTION("split(B37,"" "")"),"I.")</f>
        <v>I.</v>
      </c>
      <c r="Y37" s="3" t="str">
        <f>IFERROR(__xludf.DUMMYFUNCTION("""COMPUTED_VALUE"""),"Pacheco")</f>
        <v>Pacheco</v>
      </c>
      <c r="AA37" s="3">
        <v>2.0</v>
      </c>
      <c r="AB37" s="3">
        <f t="shared" si="7"/>
        <v>0</v>
      </c>
      <c r="AC37" s="3">
        <f t="shared" si="8"/>
        <v>1</v>
      </c>
      <c r="AD37" s="3">
        <f t="shared" si="9"/>
        <v>2.752293578</v>
      </c>
      <c r="AE37" s="3">
        <f t="shared" si="10"/>
        <v>2.752293578</v>
      </c>
      <c r="AF37" s="3">
        <f t="shared" si="11"/>
        <v>1.834862385</v>
      </c>
      <c r="AG37" s="3">
        <f t="shared" si="12"/>
        <v>0.2</v>
      </c>
    </row>
    <row r="38">
      <c r="A38" s="1" t="s">
        <v>8</v>
      </c>
      <c r="B38" s="1" t="s">
        <v>182</v>
      </c>
      <c r="C38" s="1" t="s">
        <v>19</v>
      </c>
      <c r="D38" s="1" t="s">
        <v>77</v>
      </c>
      <c r="E38" s="1" t="s">
        <v>76</v>
      </c>
      <c r="F38" s="1" t="s">
        <v>78</v>
      </c>
      <c r="G38" s="1">
        <v>3.5</v>
      </c>
      <c r="H38" s="1" t="s">
        <v>60</v>
      </c>
      <c r="I38" s="1">
        <v>-120.0</v>
      </c>
      <c r="J38" s="6">
        <v>-0.256196803680994</v>
      </c>
      <c r="K38" s="1" t="s">
        <v>61</v>
      </c>
      <c r="L38" s="1" t="s">
        <v>61</v>
      </c>
      <c r="M38" s="1" t="s">
        <v>62</v>
      </c>
      <c r="N38" s="1">
        <v>-110.0</v>
      </c>
      <c r="O38" s="6">
        <v>0.186939173765717</v>
      </c>
      <c r="P38" s="1" t="s">
        <v>61</v>
      </c>
      <c r="Q38" s="1" t="s">
        <v>61</v>
      </c>
      <c r="R38" s="6">
        <f t="shared" si="1"/>
        <v>0.1869391738</v>
      </c>
      <c r="S38" s="1">
        <f t="shared" si="2"/>
        <v>-110</v>
      </c>
      <c r="T38" s="1">
        <f t="shared" si="3"/>
        <v>1.909090909</v>
      </c>
      <c r="U38" s="1">
        <f t="shared" si="4"/>
        <v>0</v>
      </c>
      <c r="V38" s="3">
        <f t="shared" si="5"/>
        <v>3</v>
      </c>
      <c r="W38" s="3">
        <f t="shared" si="6"/>
        <v>2</v>
      </c>
      <c r="X38" s="3" t="str">
        <f>IFERROR(__xludf.DUMMYFUNCTION("split(B38,"". "")"),"J")</f>
        <v>J</v>
      </c>
      <c r="Y38" s="3" t="str">
        <f>IFERROR(__xludf.DUMMYFUNCTION("""COMPUTED_VALUE"""),"Hill")</f>
        <v>Hill</v>
      </c>
      <c r="AA38" s="3">
        <v>1.0</v>
      </c>
      <c r="AB38" s="3">
        <f t="shared" si="7"/>
        <v>0</v>
      </c>
      <c r="AC38" s="3">
        <f t="shared" si="8"/>
        <v>1</v>
      </c>
      <c r="AD38" s="3">
        <f t="shared" si="9"/>
        <v>2.727272727</v>
      </c>
      <c r="AE38" s="3">
        <f t="shared" si="10"/>
        <v>2.727272727</v>
      </c>
      <c r="AF38" s="3">
        <f t="shared" si="11"/>
        <v>1.818181818</v>
      </c>
      <c r="AG38" s="3">
        <f t="shared" si="12"/>
        <v>0.7142857143</v>
      </c>
    </row>
    <row r="39">
      <c r="A39" s="1" t="s">
        <v>12</v>
      </c>
      <c r="B39" s="1" t="s">
        <v>185</v>
      </c>
      <c r="C39" s="1" t="s">
        <v>20</v>
      </c>
      <c r="D39" s="1" t="s">
        <v>146</v>
      </c>
      <c r="E39" s="1" t="s">
        <v>147</v>
      </c>
      <c r="F39" s="1" t="s">
        <v>59</v>
      </c>
      <c r="G39" s="1">
        <v>2.5</v>
      </c>
      <c r="H39" s="1" t="s">
        <v>60</v>
      </c>
      <c r="I39" s="1">
        <v>-122.0</v>
      </c>
      <c r="J39" s="1">
        <v>-0.194347671396396</v>
      </c>
      <c r="K39" s="1" t="s">
        <v>61</v>
      </c>
      <c r="L39" s="1" t="s">
        <v>61</v>
      </c>
      <c r="M39" s="1" t="s">
        <v>62</v>
      </c>
      <c r="N39" s="1">
        <v>-110.0</v>
      </c>
      <c r="O39" s="1">
        <v>0.120988292166666</v>
      </c>
      <c r="P39" s="1" t="s">
        <v>61</v>
      </c>
      <c r="Q39" s="1" t="s">
        <v>61</v>
      </c>
      <c r="R39" s="1">
        <f t="shared" si="1"/>
        <v>0.1209882922</v>
      </c>
      <c r="S39" s="1">
        <f t="shared" si="2"/>
        <v>-110</v>
      </c>
      <c r="T39" s="1">
        <f t="shared" si="3"/>
        <v>1.909090909</v>
      </c>
      <c r="U39" s="1">
        <f t="shared" si="4"/>
        <v>0</v>
      </c>
      <c r="V39" s="3">
        <f t="shared" si="5"/>
        <v>3</v>
      </c>
      <c r="W39" s="3">
        <f t="shared" si="6"/>
        <v>2</v>
      </c>
      <c r="X39" s="3" t="str">
        <f>IFERROR(__xludf.DUMMYFUNCTION("split(B39,"" "")"),"J.")</f>
        <v>J.</v>
      </c>
      <c r="Y39" s="3" t="str">
        <f>IFERROR(__xludf.DUMMYFUNCTION("""COMPUTED_VALUE"""),"Mundt")</f>
        <v>Mundt</v>
      </c>
      <c r="AA39" s="3">
        <v>2.0</v>
      </c>
      <c r="AB39" s="3">
        <f t="shared" si="7"/>
        <v>0</v>
      </c>
      <c r="AC39" s="3">
        <f t="shared" si="8"/>
        <v>1</v>
      </c>
      <c r="AD39" s="3">
        <f t="shared" si="9"/>
        <v>2.727272727</v>
      </c>
      <c r="AE39" s="3">
        <f t="shared" si="10"/>
        <v>2.727272727</v>
      </c>
      <c r="AF39" s="3">
        <f t="shared" si="11"/>
        <v>1.818181818</v>
      </c>
      <c r="AG39" s="3">
        <f t="shared" si="12"/>
        <v>0.2</v>
      </c>
    </row>
    <row r="40">
      <c r="A40" s="1" t="s">
        <v>12</v>
      </c>
      <c r="B40" s="1" t="s">
        <v>187</v>
      </c>
      <c r="C40" s="1" t="s">
        <v>19</v>
      </c>
      <c r="D40" s="1" t="s">
        <v>157</v>
      </c>
      <c r="E40" s="1" t="s">
        <v>156</v>
      </c>
      <c r="F40" s="1" t="s">
        <v>158</v>
      </c>
      <c r="G40" s="1">
        <v>2.5</v>
      </c>
      <c r="H40" s="1" t="s">
        <v>60</v>
      </c>
      <c r="I40" s="1">
        <v>-119.0</v>
      </c>
      <c r="J40" s="6">
        <v>-0.209786171004566</v>
      </c>
      <c r="K40" s="1" t="s">
        <v>61</v>
      </c>
      <c r="L40" s="1" t="s">
        <v>61</v>
      </c>
      <c r="M40" s="1" t="s">
        <v>62</v>
      </c>
      <c r="N40" s="1">
        <v>-112.0</v>
      </c>
      <c r="O40" s="6">
        <v>0.138090717094339</v>
      </c>
      <c r="P40" s="1" t="s">
        <v>61</v>
      </c>
      <c r="Q40" s="1" t="s">
        <v>61</v>
      </c>
      <c r="R40" s="6">
        <f t="shared" si="1"/>
        <v>0.1380907171</v>
      </c>
      <c r="S40" s="1">
        <f t="shared" si="2"/>
        <v>-112</v>
      </c>
      <c r="T40" s="1">
        <f t="shared" si="3"/>
        <v>1.892857143</v>
      </c>
      <c r="U40" s="1">
        <f t="shared" si="4"/>
        <v>0</v>
      </c>
      <c r="V40" s="3">
        <f t="shared" si="5"/>
        <v>3</v>
      </c>
      <c r="W40" s="3">
        <f t="shared" si="6"/>
        <v>2</v>
      </c>
      <c r="X40" s="3" t="str">
        <f>IFERROR(__xludf.DUMMYFUNCTION("split(B40,"" "")"),"J.")</f>
        <v>J.</v>
      </c>
      <c r="Y40" s="3" t="str">
        <f>IFERROR(__xludf.DUMMYFUNCTION("""COMPUTED_VALUE"""),"Jacobs")</f>
        <v>Jacobs</v>
      </c>
      <c r="AA40" s="3">
        <v>2.0</v>
      </c>
      <c r="AB40" s="3">
        <f t="shared" si="7"/>
        <v>0</v>
      </c>
      <c r="AC40" s="3">
        <f t="shared" si="8"/>
        <v>1</v>
      </c>
      <c r="AD40" s="3">
        <f t="shared" si="9"/>
        <v>2.678571429</v>
      </c>
      <c r="AE40" s="3">
        <f t="shared" si="10"/>
        <v>2.678571429</v>
      </c>
      <c r="AF40" s="3">
        <f t="shared" si="11"/>
        <v>1.785714286</v>
      </c>
      <c r="AG40" s="3">
        <f t="shared" si="12"/>
        <v>0.2</v>
      </c>
    </row>
    <row r="41">
      <c r="A41" s="1" t="s">
        <v>12</v>
      </c>
      <c r="B41" s="1" t="s">
        <v>189</v>
      </c>
      <c r="C41" s="1" t="s">
        <v>18</v>
      </c>
      <c r="D41" s="1" t="s">
        <v>104</v>
      </c>
      <c r="E41" s="1" t="s">
        <v>105</v>
      </c>
      <c r="F41" s="1" t="s">
        <v>59</v>
      </c>
      <c r="G41" s="1">
        <v>3.5</v>
      </c>
      <c r="H41" s="1" t="s">
        <v>60</v>
      </c>
      <c r="I41" s="1">
        <v>-118.0</v>
      </c>
      <c r="J41" s="1">
        <v>-0.204238532110091</v>
      </c>
      <c r="K41" s="1" t="s">
        <v>61</v>
      </c>
      <c r="L41" s="1" t="s">
        <v>61</v>
      </c>
      <c r="M41" s="1" t="s">
        <v>62</v>
      </c>
      <c r="N41" s="1">
        <v>-112.0</v>
      </c>
      <c r="O41" s="1">
        <v>0.134645283018868</v>
      </c>
      <c r="P41" s="1" t="s">
        <v>61</v>
      </c>
      <c r="Q41" s="1" t="s">
        <v>61</v>
      </c>
      <c r="R41" s="1">
        <f t="shared" si="1"/>
        <v>0.134645283</v>
      </c>
      <c r="S41" s="1">
        <f t="shared" si="2"/>
        <v>-112</v>
      </c>
      <c r="T41" s="1">
        <f t="shared" si="3"/>
        <v>1.892857143</v>
      </c>
      <c r="U41" s="1">
        <f t="shared" si="4"/>
        <v>0</v>
      </c>
      <c r="V41" s="3">
        <f t="shared" si="5"/>
        <v>3</v>
      </c>
      <c r="W41" s="3">
        <f t="shared" si="6"/>
        <v>2</v>
      </c>
      <c r="X41" s="3" t="str">
        <f>IFERROR(__xludf.DUMMYFUNCTION("split(B41,"" "")"),"K.")</f>
        <v>K.</v>
      </c>
      <c r="Y41" s="3" t="str">
        <f>IFERROR(__xludf.DUMMYFUNCTION("""COMPUTED_VALUE"""),"Shakir")</f>
        <v>Shakir</v>
      </c>
      <c r="AA41" s="3">
        <v>3.0</v>
      </c>
      <c r="AB41" s="3">
        <f t="shared" si="7"/>
        <v>0</v>
      </c>
      <c r="AC41" s="3">
        <f t="shared" si="8"/>
        <v>1</v>
      </c>
      <c r="AD41" s="3">
        <f t="shared" si="9"/>
        <v>2.678571429</v>
      </c>
      <c r="AE41" s="3">
        <f t="shared" si="10"/>
        <v>2.678571429</v>
      </c>
      <c r="AF41" s="3">
        <f t="shared" si="11"/>
        <v>1.785714286</v>
      </c>
      <c r="AG41" s="3">
        <f t="shared" si="12"/>
        <v>0.1428571429</v>
      </c>
    </row>
    <row r="42">
      <c r="A42" s="1" t="s">
        <v>12</v>
      </c>
      <c r="B42" s="1" t="s">
        <v>191</v>
      </c>
      <c r="C42" s="1" t="s">
        <v>18</v>
      </c>
      <c r="D42" s="1" t="s">
        <v>99</v>
      </c>
      <c r="E42" s="1" t="s">
        <v>100</v>
      </c>
      <c r="F42" s="1" t="s">
        <v>59</v>
      </c>
      <c r="G42" s="1">
        <v>3.5</v>
      </c>
      <c r="H42" s="1" t="s">
        <v>60</v>
      </c>
      <c r="I42" s="1">
        <v>-118.0</v>
      </c>
      <c r="J42" s="1">
        <v>-0.197922018348623</v>
      </c>
      <c r="K42" s="1" t="s">
        <v>61</v>
      </c>
      <c r="L42" s="1" t="s">
        <v>61</v>
      </c>
      <c r="M42" s="1" t="s">
        <v>62</v>
      </c>
      <c r="N42" s="1">
        <v>-112.0</v>
      </c>
      <c r="O42" s="1">
        <v>0.128356603773584</v>
      </c>
      <c r="P42" s="1" t="s">
        <v>61</v>
      </c>
      <c r="Q42" s="1" t="s">
        <v>61</v>
      </c>
      <c r="R42" s="1">
        <f t="shared" si="1"/>
        <v>0.1283566038</v>
      </c>
      <c r="S42" s="1">
        <f t="shared" si="2"/>
        <v>-112</v>
      </c>
      <c r="T42" s="1">
        <f t="shared" si="3"/>
        <v>1.892857143</v>
      </c>
      <c r="U42" s="1">
        <f t="shared" si="4"/>
        <v>0</v>
      </c>
      <c r="V42" s="3">
        <f t="shared" si="5"/>
        <v>3</v>
      </c>
      <c r="W42" s="3">
        <f t="shared" si="6"/>
        <v>2</v>
      </c>
      <c r="X42" s="3" t="str">
        <f>IFERROR(__xludf.DUMMYFUNCTION("split(B42,"" "")"),"R.")</f>
        <v>R.</v>
      </c>
      <c r="Y42" s="3" t="str">
        <f>IFERROR(__xludf.DUMMYFUNCTION("""COMPUTED_VALUE"""),"Odunze")</f>
        <v>Odunze</v>
      </c>
      <c r="AA42" s="3">
        <v>1.0</v>
      </c>
      <c r="AB42" s="3">
        <f t="shared" si="7"/>
        <v>0</v>
      </c>
      <c r="AC42" s="3">
        <f t="shared" si="8"/>
        <v>1</v>
      </c>
      <c r="AD42" s="3">
        <f t="shared" si="9"/>
        <v>2.678571429</v>
      </c>
      <c r="AE42" s="3">
        <f t="shared" si="10"/>
        <v>2.678571429</v>
      </c>
      <c r="AF42" s="3">
        <f t="shared" si="11"/>
        <v>1.785714286</v>
      </c>
      <c r="AG42" s="3">
        <f t="shared" si="12"/>
        <v>0.7142857143</v>
      </c>
    </row>
    <row r="43">
      <c r="A43" s="1" t="s">
        <v>12</v>
      </c>
      <c r="B43" s="1" t="s">
        <v>193</v>
      </c>
      <c r="C43" s="1" t="s">
        <v>20</v>
      </c>
      <c r="D43" s="1" t="s">
        <v>58</v>
      </c>
      <c r="E43" s="1" t="s">
        <v>57</v>
      </c>
      <c r="F43" s="1" t="s">
        <v>59</v>
      </c>
      <c r="G43" s="1">
        <v>2.5</v>
      </c>
      <c r="H43" s="1" t="s">
        <v>60</v>
      </c>
      <c r="I43" s="1">
        <v>-118.0</v>
      </c>
      <c r="J43" s="1">
        <v>-0.195628549541284</v>
      </c>
      <c r="K43" s="1" t="s">
        <v>61</v>
      </c>
      <c r="L43" s="1" t="s">
        <v>61</v>
      </c>
      <c r="M43" s="1" t="s">
        <v>62</v>
      </c>
      <c r="N43" s="1">
        <v>-112.0</v>
      </c>
      <c r="O43" s="1">
        <v>0.126048955924528</v>
      </c>
      <c r="P43" s="1" t="s">
        <v>61</v>
      </c>
      <c r="Q43" s="1" t="s">
        <v>61</v>
      </c>
      <c r="R43" s="1">
        <f t="shared" si="1"/>
        <v>0.1260489559</v>
      </c>
      <c r="S43" s="1">
        <f t="shared" si="2"/>
        <v>-112</v>
      </c>
      <c r="T43" s="1">
        <f t="shared" si="3"/>
        <v>1.892857143</v>
      </c>
      <c r="U43" s="1">
        <f t="shared" si="4"/>
        <v>0</v>
      </c>
      <c r="V43" s="3">
        <f t="shared" si="5"/>
        <v>3</v>
      </c>
      <c r="W43" s="3">
        <f t="shared" si="6"/>
        <v>2</v>
      </c>
      <c r="X43" s="3" t="str">
        <f>IFERROR(__xludf.DUMMYFUNCTION("split(B43,"" "")"),"J.")</f>
        <v>J.</v>
      </c>
      <c r="Y43" s="3" t="str">
        <f>IFERROR(__xludf.DUMMYFUNCTION("""COMPUTED_VALUE"""),"Johnson")</f>
        <v>Johnson</v>
      </c>
      <c r="AA43" s="3">
        <v>2.0</v>
      </c>
      <c r="AB43" s="3">
        <f t="shared" si="7"/>
        <v>0</v>
      </c>
      <c r="AC43" s="3">
        <f t="shared" si="8"/>
        <v>1</v>
      </c>
      <c r="AD43" s="3">
        <f t="shared" si="9"/>
        <v>2.678571429</v>
      </c>
      <c r="AE43" s="3">
        <f t="shared" si="10"/>
        <v>2.678571429</v>
      </c>
      <c r="AF43" s="3">
        <f t="shared" si="11"/>
        <v>1.785714286</v>
      </c>
      <c r="AG43" s="3">
        <f t="shared" si="12"/>
        <v>0.2</v>
      </c>
    </row>
    <row r="44">
      <c r="A44" s="1" t="s">
        <v>13</v>
      </c>
      <c r="B44" s="1" t="s">
        <v>65</v>
      </c>
      <c r="C44" s="1" t="s">
        <v>21</v>
      </c>
      <c r="D44" s="1" t="s">
        <v>66</v>
      </c>
      <c r="E44" s="1" t="s">
        <v>67</v>
      </c>
      <c r="F44" s="1" t="s">
        <v>59</v>
      </c>
      <c r="G44" s="1">
        <v>205.0</v>
      </c>
      <c r="H44" s="1" t="s">
        <v>60</v>
      </c>
      <c r="I44" s="1">
        <v>-115.0</v>
      </c>
      <c r="J44" s="1">
        <v>-0.298285703347441</v>
      </c>
      <c r="K44" s="1" t="s">
        <v>61</v>
      </c>
      <c r="L44" s="1" t="s">
        <v>61</v>
      </c>
      <c r="M44" s="1" t="s">
        <v>62</v>
      </c>
      <c r="N44" s="1">
        <v>-115.0</v>
      </c>
      <c r="O44" s="1">
        <v>0.228818558849557</v>
      </c>
      <c r="P44" s="1" t="s">
        <v>61</v>
      </c>
      <c r="Q44" s="1" t="s">
        <v>61</v>
      </c>
      <c r="R44" s="1">
        <f t="shared" si="1"/>
        <v>0.2288185588</v>
      </c>
      <c r="S44" s="1">
        <f t="shared" si="2"/>
        <v>-115</v>
      </c>
      <c r="T44" s="1">
        <f t="shared" si="3"/>
        <v>1.869565217</v>
      </c>
      <c r="U44" s="1">
        <f t="shared" si="4"/>
        <v>0</v>
      </c>
      <c r="V44" s="3">
        <f t="shared" si="5"/>
        <v>3</v>
      </c>
      <c r="W44" s="3">
        <f t="shared" si="6"/>
        <v>2</v>
      </c>
      <c r="X44" s="3" t="str">
        <f>IFERROR(__xludf.DUMMYFUNCTION("split(B44,"" "")"),"J.")</f>
        <v>J.</v>
      </c>
      <c r="Y44" s="3" t="str">
        <f>IFERROR(__xludf.DUMMYFUNCTION("""COMPUTED_VALUE"""),"Brissett")</f>
        <v>Brissett</v>
      </c>
      <c r="AA44" s="3">
        <v>121.0</v>
      </c>
      <c r="AB44" s="3">
        <f t="shared" si="7"/>
        <v>0</v>
      </c>
      <c r="AC44" s="3">
        <f t="shared" si="8"/>
        <v>1</v>
      </c>
      <c r="AD44" s="3">
        <f t="shared" si="9"/>
        <v>2.608695652</v>
      </c>
      <c r="AE44" s="3">
        <f t="shared" si="10"/>
        <v>2.608695652</v>
      </c>
      <c r="AF44" s="3">
        <f t="shared" si="11"/>
        <v>1.739130435</v>
      </c>
      <c r="AG44" s="3">
        <f t="shared" si="12"/>
        <v>0.4097560976</v>
      </c>
    </row>
    <row r="45">
      <c r="A45" s="1" t="s">
        <v>8</v>
      </c>
      <c r="B45" s="1" t="s">
        <v>195</v>
      </c>
      <c r="C45" s="1" t="s">
        <v>19</v>
      </c>
      <c r="D45" s="1" t="s">
        <v>196</v>
      </c>
      <c r="E45" s="1" t="s">
        <v>197</v>
      </c>
      <c r="F45" s="1" t="s">
        <v>198</v>
      </c>
      <c r="G45" s="1">
        <v>6.5</v>
      </c>
      <c r="H45" s="1" t="s">
        <v>60</v>
      </c>
      <c r="I45" s="1">
        <v>-115.0</v>
      </c>
      <c r="J45" s="1">
        <v>-0.247784196654167</v>
      </c>
      <c r="K45" s="1" t="s">
        <v>61</v>
      </c>
      <c r="L45" s="1" t="s">
        <v>61</v>
      </c>
      <c r="M45" s="1" t="s">
        <v>62</v>
      </c>
      <c r="N45" s="1">
        <v>-115.0</v>
      </c>
      <c r="O45" s="1">
        <v>0.178001826152292</v>
      </c>
      <c r="P45" s="1" t="s">
        <v>61</v>
      </c>
      <c r="Q45" s="1" t="s">
        <v>61</v>
      </c>
      <c r="R45" s="1">
        <f t="shared" si="1"/>
        <v>0.1780018262</v>
      </c>
      <c r="S45" s="1">
        <f t="shared" si="2"/>
        <v>-115</v>
      </c>
      <c r="T45" s="1">
        <f t="shared" si="3"/>
        <v>1.869565217</v>
      </c>
      <c r="U45" s="1">
        <f t="shared" si="4"/>
        <v>0</v>
      </c>
      <c r="V45" s="3">
        <f t="shared" si="5"/>
        <v>3</v>
      </c>
      <c r="W45" s="3">
        <f t="shared" si="6"/>
        <v>2</v>
      </c>
      <c r="X45" s="3" t="str">
        <f>IFERROR(__xludf.DUMMYFUNCTION("split(B45,"" "")"),"B.")</f>
        <v>B.</v>
      </c>
      <c r="Y45" s="3" t="str">
        <f>IFERROR(__xludf.DUMMYFUNCTION("""COMPUTED_VALUE"""),"Corum")</f>
        <v>Corum</v>
      </c>
      <c r="AA45" s="3">
        <v>0.0</v>
      </c>
      <c r="AB45" s="3">
        <f t="shared" si="7"/>
        <v>0</v>
      </c>
      <c r="AC45" s="3">
        <f t="shared" si="8"/>
        <v>1</v>
      </c>
      <c r="AD45" s="3">
        <f t="shared" si="9"/>
        <v>2.608695652</v>
      </c>
      <c r="AE45" s="3">
        <f t="shared" si="10"/>
        <v>2.608695652</v>
      </c>
      <c r="AF45" s="3">
        <f t="shared" si="11"/>
        <v>1.739130435</v>
      </c>
      <c r="AG45" s="3">
        <f t="shared" si="12"/>
        <v>1</v>
      </c>
    </row>
    <row r="46">
      <c r="A46" s="1" t="s">
        <v>8</v>
      </c>
      <c r="B46" s="1" t="s">
        <v>200</v>
      </c>
      <c r="C46" s="1" t="s">
        <v>21</v>
      </c>
      <c r="D46" s="1" t="s">
        <v>71</v>
      </c>
      <c r="E46" s="1" t="s">
        <v>72</v>
      </c>
      <c r="F46" s="1" t="s">
        <v>59</v>
      </c>
      <c r="G46" s="1">
        <v>9.0</v>
      </c>
      <c r="H46" s="1" t="s">
        <v>60</v>
      </c>
      <c r="I46" s="1">
        <v>-118.0</v>
      </c>
      <c r="J46" s="1">
        <v>-0.233989715023118</v>
      </c>
      <c r="K46" s="1" t="s">
        <v>61</v>
      </c>
      <c r="L46" s="1" t="s">
        <v>61</v>
      </c>
      <c r="M46" s="1" t="s">
        <v>62</v>
      </c>
      <c r="N46" s="1">
        <v>-115.0</v>
      </c>
      <c r="O46" s="1">
        <v>0.162421960726957</v>
      </c>
      <c r="P46" s="1" t="s">
        <v>61</v>
      </c>
      <c r="Q46" s="1" t="s">
        <v>61</v>
      </c>
      <c r="R46" s="1">
        <f t="shared" si="1"/>
        <v>0.1624219607</v>
      </c>
      <c r="S46" s="1">
        <f t="shared" si="2"/>
        <v>-115</v>
      </c>
      <c r="T46" s="1">
        <f t="shared" si="3"/>
        <v>1.869565217</v>
      </c>
      <c r="U46" s="1">
        <f t="shared" si="4"/>
        <v>0</v>
      </c>
      <c r="V46" s="3">
        <f t="shared" si="5"/>
        <v>3</v>
      </c>
      <c r="W46" s="3">
        <f t="shared" si="6"/>
        <v>2</v>
      </c>
      <c r="X46" s="3" t="str">
        <f>IFERROR(__xludf.DUMMYFUNCTION("split(B46,"" "")"),"A.")</f>
        <v>A.</v>
      </c>
      <c r="Y46" s="3" t="str">
        <f>IFERROR(__xludf.DUMMYFUNCTION("""COMPUTED_VALUE"""),"Richardson")</f>
        <v>Richardson</v>
      </c>
      <c r="AA46" s="3">
        <v>6.0</v>
      </c>
      <c r="AB46" s="3">
        <f t="shared" si="7"/>
        <v>0</v>
      </c>
      <c r="AC46" s="3">
        <f t="shared" si="8"/>
        <v>1</v>
      </c>
      <c r="AD46" s="3">
        <f t="shared" si="9"/>
        <v>2.608695652</v>
      </c>
      <c r="AE46" s="3">
        <f t="shared" si="10"/>
        <v>2.608695652</v>
      </c>
      <c r="AF46" s="3">
        <f t="shared" si="11"/>
        <v>1.739130435</v>
      </c>
      <c r="AG46" s="3">
        <f t="shared" si="12"/>
        <v>0.3333333333</v>
      </c>
    </row>
    <row r="47">
      <c r="A47" s="1" t="s">
        <v>8</v>
      </c>
      <c r="B47" s="1" t="s">
        <v>202</v>
      </c>
      <c r="C47" s="1" t="s">
        <v>19</v>
      </c>
      <c r="D47" s="1" t="s">
        <v>109</v>
      </c>
      <c r="E47" s="1" t="s">
        <v>110</v>
      </c>
      <c r="F47" s="1" t="s">
        <v>59</v>
      </c>
      <c r="G47" s="1">
        <v>7.5</v>
      </c>
      <c r="H47" s="1" t="s">
        <v>60</v>
      </c>
      <c r="I47" s="1">
        <v>-115.0</v>
      </c>
      <c r="J47" s="1">
        <v>-0.227018864713894</v>
      </c>
      <c r="K47" s="1" t="s">
        <v>61</v>
      </c>
      <c r="L47" s="1" t="s">
        <v>61</v>
      </c>
      <c r="M47" s="1" t="s">
        <v>62</v>
      </c>
      <c r="N47" s="1">
        <v>-115.0</v>
      </c>
      <c r="O47" s="1">
        <v>0.157256694420978</v>
      </c>
      <c r="P47" s="1" t="s">
        <v>61</v>
      </c>
      <c r="Q47" s="1" t="s">
        <v>61</v>
      </c>
      <c r="R47" s="1">
        <f t="shared" si="1"/>
        <v>0.1572566944</v>
      </c>
      <c r="S47" s="1">
        <f t="shared" si="2"/>
        <v>-115</v>
      </c>
      <c r="T47" s="1">
        <f t="shared" si="3"/>
        <v>1.869565217</v>
      </c>
      <c r="U47" s="1">
        <f t="shared" si="4"/>
        <v>0</v>
      </c>
      <c r="V47" s="3">
        <f t="shared" si="5"/>
        <v>3</v>
      </c>
      <c r="W47" s="3">
        <f t="shared" si="6"/>
        <v>2</v>
      </c>
      <c r="X47" s="3" t="str">
        <f>IFERROR(__xludf.DUMMYFUNCTION("split(B47,"" "")"),"T.")</f>
        <v>T.</v>
      </c>
      <c r="Y47" s="3" t="str">
        <f>IFERROR(__xludf.DUMMYFUNCTION("""COMPUTED_VALUE"""),"Allgeier")</f>
        <v>Allgeier</v>
      </c>
      <c r="AA47" s="3">
        <v>3.0</v>
      </c>
      <c r="AB47" s="3">
        <f t="shared" si="7"/>
        <v>0</v>
      </c>
      <c r="AC47" s="3">
        <f t="shared" si="8"/>
        <v>1</v>
      </c>
      <c r="AD47" s="3">
        <f t="shared" si="9"/>
        <v>2.608695652</v>
      </c>
      <c r="AE47" s="3">
        <f t="shared" si="10"/>
        <v>2.608695652</v>
      </c>
      <c r="AF47" s="3">
        <f t="shared" si="11"/>
        <v>1.739130435</v>
      </c>
      <c r="AG47" s="3">
        <f t="shared" si="12"/>
        <v>0.6</v>
      </c>
    </row>
    <row r="48">
      <c r="A48" s="1" t="s">
        <v>8</v>
      </c>
      <c r="B48" s="1" t="s">
        <v>204</v>
      </c>
      <c r="C48" s="1" t="s">
        <v>21</v>
      </c>
      <c r="D48" s="1" t="s">
        <v>105</v>
      </c>
      <c r="E48" s="1" t="s">
        <v>104</v>
      </c>
      <c r="F48" s="1" t="s">
        <v>59</v>
      </c>
      <c r="G48" s="1">
        <v>5.5</v>
      </c>
      <c r="H48" s="1" t="s">
        <v>60</v>
      </c>
      <c r="I48" s="1">
        <v>-114.0</v>
      </c>
      <c r="J48" s="1">
        <v>-0.218491827327148</v>
      </c>
      <c r="K48" s="1" t="s">
        <v>61</v>
      </c>
      <c r="L48" s="1" t="s">
        <v>61</v>
      </c>
      <c r="M48" s="1" t="s">
        <v>62</v>
      </c>
      <c r="N48" s="1">
        <v>-115.0</v>
      </c>
      <c r="O48" s="1">
        <v>0.150909621884703</v>
      </c>
      <c r="P48" s="1" t="s">
        <v>61</v>
      </c>
      <c r="Q48" s="1" t="s">
        <v>61</v>
      </c>
      <c r="R48" s="1">
        <f t="shared" si="1"/>
        <v>0.1509096219</v>
      </c>
      <c r="S48" s="1">
        <f t="shared" si="2"/>
        <v>-115</v>
      </c>
      <c r="T48" s="1">
        <f t="shared" si="3"/>
        <v>1.869565217</v>
      </c>
      <c r="U48" s="1">
        <f t="shared" si="4"/>
        <v>0</v>
      </c>
      <c r="V48" s="3">
        <f t="shared" si="5"/>
        <v>3</v>
      </c>
      <c r="W48" s="3">
        <f t="shared" si="6"/>
        <v>2</v>
      </c>
      <c r="X48" s="3" t="str">
        <f>IFERROR(__xludf.DUMMYFUNCTION("split(B48,"" "")"),"K.")</f>
        <v>K.</v>
      </c>
      <c r="Y48" s="3" t="str">
        <f>IFERROR(__xludf.DUMMYFUNCTION("""COMPUTED_VALUE"""),"Murray")</f>
        <v>Murray</v>
      </c>
      <c r="AA48" s="3">
        <v>5.0</v>
      </c>
      <c r="AB48" s="3">
        <f t="shared" si="7"/>
        <v>0</v>
      </c>
      <c r="AC48" s="3">
        <f t="shared" si="8"/>
        <v>1</v>
      </c>
      <c r="AD48" s="3">
        <f t="shared" si="9"/>
        <v>2.608695652</v>
      </c>
      <c r="AE48" s="3">
        <f t="shared" si="10"/>
        <v>2.608695652</v>
      </c>
      <c r="AF48" s="3">
        <f t="shared" si="11"/>
        <v>1.739130435</v>
      </c>
      <c r="AG48" s="3">
        <f t="shared" si="12"/>
        <v>0.09090909091</v>
      </c>
    </row>
    <row r="49">
      <c r="A49" s="1" t="s">
        <v>9</v>
      </c>
      <c r="B49" s="1" t="s">
        <v>207</v>
      </c>
      <c r="C49" s="1" t="s">
        <v>18</v>
      </c>
      <c r="D49" s="1" t="s">
        <v>57</v>
      </c>
      <c r="E49" s="1" t="s">
        <v>58</v>
      </c>
      <c r="F49" s="1" t="s">
        <v>59</v>
      </c>
      <c r="G49" s="1">
        <v>14.5</v>
      </c>
      <c r="H49" s="1" t="s">
        <v>60</v>
      </c>
      <c r="I49" s="1">
        <v>-115.0</v>
      </c>
      <c r="J49" s="1">
        <v>0.142410230038045</v>
      </c>
      <c r="K49" s="1" t="s">
        <v>61</v>
      </c>
      <c r="L49" s="1" t="s">
        <v>61</v>
      </c>
      <c r="M49" s="1" t="s">
        <v>62</v>
      </c>
      <c r="N49" s="1">
        <v>-115.0</v>
      </c>
      <c r="O49" s="1">
        <v>-0.212191764543752</v>
      </c>
      <c r="P49" s="1" t="s">
        <v>61</v>
      </c>
      <c r="Q49" s="1" t="s">
        <v>61</v>
      </c>
      <c r="R49" s="1">
        <f t="shared" si="1"/>
        <v>0.14241023</v>
      </c>
      <c r="S49" s="1">
        <f t="shared" si="2"/>
        <v>-115</v>
      </c>
      <c r="T49" s="1">
        <f t="shared" si="3"/>
        <v>1.869565217</v>
      </c>
      <c r="U49" s="1">
        <f t="shared" si="4"/>
        <v>1</v>
      </c>
      <c r="V49" s="3">
        <f t="shared" si="5"/>
        <v>3</v>
      </c>
      <c r="W49" s="3">
        <f t="shared" si="6"/>
        <v>2</v>
      </c>
      <c r="X49" s="3" t="str">
        <f>IFERROR(__xludf.DUMMYFUNCTION("split(B49,"" "")"),"J.")</f>
        <v>J.</v>
      </c>
      <c r="Y49" s="3" t="str">
        <f>IFERROR(__xludf.DUMMYFUNCTION("""COMPUTED_VALUE"""),"Mingo")</f>
        <v>Mingo</v>
      </c>
      <c r="AA49" s="3">
        <v>43.0</v>
      </c>
      <c r="AB49" s="3">
        <f t="shared" si="7"/>
        <v>1</v>
      </c>
      <c r="AC49" s="3">
        <f t="shared" si="8"/>
        <v>1</v>
      </c>
      <c r="AD49" s="3">
        <f t="shared" si="9"/>
        <v>2.608695652</v>
      </c>
      <c r="AE49" s="3">
        <f t="shared" si="10"/>
        <v>2.608695652</v>
      </c>
      <c r="AF49" s="3">
        <f t="shared" si="11"/>
        <v>1.739130435</v>
      </c>
      <c r="AG49" s="3">
        <f t="shared" si="12"/>
        <v>1.965517241</v>
      </c>
    </row>
    <row r="50">
      <c r="A50" s="1" t="s">
        <v>12</v>
      </c>
      <c r="B50" s="1" t="s">
        <v>210</v>
      </c>
      <c r="C50" s="1" t="s">
        <v>18</v>
      </c>
      <c r="D50" s="1" t="s">
        <v>156</v>
      </c>
      <c r="E50" s="1" t="s">
        <v>157</v>
      </c>
      <c r="F50" s="1" t="s">
        <v>158</v>
      </c>
      <c r="G50" s="1">
        <v>1.5</v>
      </c>
      <c r="H50" s="1" t="s">
        <v>60</v>
      </c>
      <c r="I50" s="1">
        <v>-115.0</v>
      </c>
      <c r="J50" s="6">
        <v>-0.200223965683721</v>
      </c>
      <c r="K50" s="1" t="s">
        <v>61</v>
      </c>
      <c r="L50" s="1" t="s">
        <v>61</v>
      </c>
      <c r="M50" s="1" t="s">
        <v>62</v>
      </c>
      <c r="N50" s="1">
        <v>-115.0</v>
      </c>
      <c r="O50" s="6">
        <v>0.130462560536279</v>
      </c>
      <c r="P50" s="1" t="s">
        <v>61</v>
      </c>
      <c r="Q50" s="1" t="s">
        <v>61</v>
      </c>
      <c r="R50" s="6">
        <f t="shared" si="1"/>
        <v>0.1304625605</v>
      </c>
      <c r="S50" s="1">
        <f t="shared" si="2"/>
        <v>-115</v>
      </c>
      <c r="T50" s="1">
        <f t="shared" si="3"/>
        <v>1.869565217</v>
      </c>
      <c r="U50" s="1">
        <f t="shared" si="4"/>
        <v>0</v>
      </c>
      <c r="V50" s="3">
        <f t="shared" si="5"/>
        <v>3</v>
      </c>
      <c r="W50" s="3">
        <f t="shared" si="6"/>
        <v>2</v>
      </c>
      <c r="X50" s="3" t="str">
        <f>IFERROR(__xludf.DUMMYFUNCTION("split(B50,"" "")"),"J.")</f>
        <v>J.</v>
      </c>
      <c r="Y50" s="3" t="str">
        <f>IFERROR(__xludf.DUMMYFUNCTION("""COMPUTED_VALUE"""),"Dotson")</f>
        <v>Dotson</v>
      </c>
      <c r="AA50" s="3">
        <v>0.0</v>
      </c>
      <c r="AB50" s="3">
        <f t="shared" si="7"/>
        <v>0</v>
      </c>
      <c r="AC50" s="3">
        <f t="shared" si="8"/>
        <v>1</v>
      </c>
      <c r="AD50" s="3">
        <f t="shared" si="9"/>
        <v>2.608695652</v>
      </c>
      <c r="AE50" s="3">
        <f t="shared" si="10"/>
        <v>2.608695652</v>
      </c>
      <c r="AF50" s="3">
        <f t="shared" si="11"/>
        <v>1.739130435</v>
      </c>
      <c r="AG50" s="3">
        <f t="shared" si="12"/>
        <v>1</v>
      </c>
    </row>
    <row r="51">
      <c r="A51" s="1" t="s">
        <v>9</v>
      </c>
      <c r="B51" s="1" t="s">
        <v>212</v>
      </c>
      <c r="C51" s="1" t="s">
        <v>18</v>
      </c>
      <c r="D51" s="1" t="s">
        <v>66</v>
      </c>
      <c r="E51" s="1" t="s">
        <v>67</v>
      </c>
      <c r="F51" s="1" t="s">
        <v>59</v>
      </c>
      <c r="G51" s="1">
        <v>18.5</v>
      </c>
      <c r="H51" s="1" t="s">
        <v>60</v>
      </c>
      <c r="I51" s="1">
        <v>-115.0</v>
      </c>
      <c r="J51" s="1">
        <v>0.117219743423234</v>
      </c>
      <c r="K51" s="1" t="s">
        <v>61</v>
      </c>
      <c r="L51" s="1" t="s">
        <v>61</v>
      </c>
      <c r="M51" s="1" t="s">
        <v>62</v>
      </c>
      <c r="N51" s="1">
        <v>-115.0</v>
      </c>
      <c r="O51" s="1">
        <v>-0.186972704936719</v>
      </c>
      <c r="P51" s="1" t="s">
        <v>61</v>
      </c>
      <c r="Q51" s="1" t="s">
        <v>61</v>
      </c>
      <c r="R51" s="1">
        <f t="shared" si="1"/>
        <v>0.1172197434</v>
      </c>
      <c r="S51" s="1">
        <f t="shared" si="2"/>
        <v>-115</v>
      </c>
      <c r="T51" s="1">
        <f t="shared" si="3"/>
        <v>1.869565217</v>
      </c>
      <c r="U51" s="1">
        <f t="shared" si="4"/>
        <v>1</v>
      </c>
      <c r="V51" s="3">
        <f t="shared" si="5"/>
        <v>3</v>
      </c>
      <c r="W51" s="3">
        <f t="shared" si="6"/>
        <v>2</v>
      </c>
      <c r="X51" s="3" t="str">
        <f>IFERROR(__xludf.DUMMYFUNCTION("split(B51,"" "")"),"K.")</f>
        <v>K.</v>
      </c>
      <c r="Y51" s="3" t="str">
        <f>IFERROR(__xludf.DUMMYFUNCTION("""COMPUTED_VALUE"""),"Osborn")</f>
        <v>Osborn</v>
      </c>
      <c r="AA51" s="3">
        <v>21.0</v>
      </c>
      <c r="AB51" s="3">
        <f t="shared" si="7"/>
        <v>1</v>
      </c>
      <c r="AC51" s="3">
        <f t="shared" si="8"/>
        <v>1</v>
      </c>
      <c r="AD51" s="3">
        <f t="shared" si="9"/>
        <v>2.608695652</v>
      </c>
      <c r="AE51" s="3">
        <f t="shared" si="10"/>
        <v>2.608695652</v>
      </c>
      <c r="AF51" s="3">
        <f t="shared" si="11"/>
        <v>1.739130435</v>
      </c>
      <c r="AG51" s="3">
        <f t="shared" si="12"/>
        <v>0.1351351351</v>
      </c>
    </row>
    <row r="52">
      <c r="A52" s="1" t="s">
        <v>15</v>
      </c>
      <c r="B52" s="1" t="s">
        <v>214</v>
      </c>
      <c r="C52" s="1" t="s">
        <v>21</v>
      </c>
      <c r="D52" s="1" t="s">
        <v>110</v>
      </c>
      <c r="E52" s="1" t="s">
        <v>109</v>
      </c>
      <c r="F52" s="1" t="s">
        <v>59</v>
      </c>
      <c r="G52" s="1">
        <v>18.5</v>
      </c>
      <c r="H52" s="1" t="s">
        <v>60</v>
      </c>
      <c r="I52" s="1">
        <v>-119.0</v>
      </c>
      <c r="J52" s="1">
        <v>-0.190006983931506</v>
      </c>
      <c r="K52" s="1" t="s">
        <v>61</v>
      </c>
      <c r="L52" s="1" t="s">
        <v>61</v>
      </c>
      <c r="M52" s="1" t="s">
        <v>62</v>
      </c>
      <c r="N52" s="1">
        <v>-115.0</v>
      </c>
      <c r="O52" s="1">
        <v>0.111783343735581</v>
      </c>
      <c r="P52" s="1" t="s">
        <v>61</v>
      </c>
      <c r="Q52" s="1" t="s">
        <v>61</v>
      </c>
      <c r="R52" s="1">
        <f t="shared" si="1"/>
        <v>0.1117833437</v>
      </c>
      <c r="S52" s="1">
        <f t="shared" si="2"/>
        <v>-115</v>
      </c>
      <c r="T52" s="1">
        <f t="shared" si="3"/>
        <v>1.869565217</v>
      </c>
      <c r="U52" s="1">
        <f t="shared" si="4"/>
        <v>0</v>
      </c>
      <c r="V52" s="3">
        <f t="shared" si="5"/>
        <v>3</v>
      </c>
      <c r="W52" s="3">
        <f t="shared" si="6"/>
        <v>2</v>
      </c>
      <c r="X52" s="3" t="str">
        <f>IFERROR(__xludf.DUMMYFUNCTION("split(B52,"" "")"),"R.")</f>
        <v>R.</v>
      </c>
      <c r="Y52" s="3" t="str">
        <f>IFERROR(__xludf.DUMMYFUNCTION("""COMPUTED_VALUE"""),"Wilson")</f>
        <v>Wilson</v>
      </c>
      <c r="AA52" s="3">
        <v>0.0</v>
      </c>
      <c r="AB52" s="3">
        <f t="shared" si="7"/>
        <v>0</v>
      </c>
      <c r="AC52" s="3">
        <f t="shared" si="8"/>
        <v>1</v>
      </c>
      <c r="AD52" s="3">
        <f t="shared" si="9"/>
        <v>2.608695652</v>
      </c>
      <c r="AE52" s="3">
        <f t="shared" si="10"/>
        <v>2.608695652</v>
      </c>
      <c r="AF52" s="3">
        <f t="shared" si="11"/>
        <v>1.739130435</v>
      </c>
      <c r="AG52" s="3">
        <f t="shared" si="12"/>
        <v>1</v>
      </c>
    </row>
    <row r="53">
      <c r="A53" s="1" t="s">
        <v>12</v>
      </c>
      <c r="B53" s="1" t="s">
        <v>217</v>
      </c>
      <c r="C53" s="1" t="s">
        <v>18</v>
      </c>
      <c r="D53" s="1" t="s">
        <v>71</v>
      </c>
      <c r="E53" s="1" t="s">
        <v>72</v>
      </c>
      <c r="F53" s="1" t="s">
        <v>59</v>
      </c>
      <c r="G53" s="1">
        <v>2.5</v>
      </c>
      <c r="H53" s="1" t="s">
        <v>60</v>
      </c>
      <c r="I53" s="1">
        <v>-113.0</v>
      </c>
      <c r="J53" s="1">
        <v>-0.219910844178403</v>
      </c>
      <c r="K53" s="1" t="s">
        <v>61</v>
      </c>
      <c r="L53" s="1" t="s">
        <v>61</v>
      </c>
      <c r="M53" s="1" t="s">
        <v>62</v>
      </c>
      <c r="N53" s="1">
        <v>-118.0</v>
      </c>
      <c r="O53" s="1">
        <v>0.148109154017431</v>
      </c>
      <c r="P53" s="1" t="s">
        <v>61</v>
      </c>
      <c r="Q53" s="1" t="s">
        <v>61</v>
      </c>
      <c r="R53" s="1">
        <f t="shared" si="1"/>
        <v>0.148109154</v>
      </c>
      <c r="S53" s="1">
        <f t="shared" si="2"/>
        <v>-118</v>
      </c>
      <c r="T53" s="1">
        <f t="shared" si="3"/>
        <v>1.847457627</v>
      </c>
      <c r="U53" s="1">
        <f t="shared" si="4"/>
        <v>0</v>
      </c>
      <c r="V53" s="3">
        <f t="shared" si="5"/>
        <v>3</v>
      </c>
      <c r="W53" s="3">
        <f t="shared" si="6"/>
        <v>3</v>
      </c>
      <c r="X53" s="3" t="str">
        <f>IFERROR(__xludf.DUMMYFUNCTION("split(B53,"" "")"),"A.")</f>
        <v>A.</v>
      </c>
      <c r="Y53" s="3" t="str">
        <f>IFERROR(__xludf.DUMMYFUNCTION("""COMPUTED_VALUE"""),"Pierce")</f>
        <v>Pierce</v>
      </c>
      <c r="AA53" s="3">
        <v>0.0</v>
      </c>
      <c r="AB53" s="3">
        <f t="shared" si="7"/>
        <v>0</v>
      </c>
      <c r="AC53" s="3">
        <f t="shared" si="8"/>
        <v>1</v>
      </c>
      <c r="AD53" s="3">
        <f t="shared" si="9"/>
        <v>2.542372881</v>
      </c>
      <c r="AE53" s="3">
        <f t="shared" si="10"/>
        <v>2.542372881</v>
      </c>
      <c r="AF53" s="3">
        <f t="shared" si="11"/>
        <v>2.542372881</v>
      </c>
      <c r="AG53" s="3">
        <f t="shared" si="12"/>
        <v>1</v>
      </c>
    </row>
    <row r="54">
      <c r="A54" s="1" t="s">
        <v>12</v>
      </c>
      <c r="B54" s="1" t="s">
        <v>220</v>
      </c>
      <c r="C54" s="1" t="s">
        <v>20</v>
      </c>
      <c r="D54" s="1" t="s">
        <v>94</v>
      </c>
      <c r="E54" s="1" t="s">
        <v>93</v>
      </c>
      <c r="F54" s="1" t="s">
        <v>59</v>
      </c>
      <c r="G54" s="1">
        <v>2.5</v>
      </c>
      <c r="H54" s="1" t="s">
        <v>60</v>
      </c>
      <c r="I54" s="1">
        <v>-113.0</v>
      </c>
      <c r="J54" s="1">
        <v>-0.17211440370892</v>
      </c>
      <c r="K54" s="1" t="s">
        <v>61</v>
      </c>
      <c r="L54" s="1" t="s">
        <v>61</v>
      </c>
      <c r="M54" s="1" t="s">
        <v>62</v>
      </c>
      <c r="N54" s="1">
        <v>-118.0</v>
      </c>
      <c r="O54" s="1">
        <v>0.100313257927522</v>
      </c>
      <c r="P54" s="1" t="s">
        <v>61</v>
      </c>
      <c r="Q54" s="1" t="s">
        <v>61</v>
      </c>
      <c r="R54" s="1">
        <f t="shared" si="1"/>
        <v>0.1003132579</v>
      </c>
      <c r="S54" s="1">
        <f t="shared" si="2"/>
        <v>-118</v>
      </c>
      <c r="T54" s="1">
        <f t="shared" si="3"/>
        <v>1.847457627</v>
      </c>
      <c r="U54" s="1">
        <f t="shared" si="4"/>
        <v>0</v>
      </c>
      <c r="V54" s="3">
        <f t="shared" si="5"/>
        <v>3</v>
      </c>
      <c r="W54" s="3">
        <f t="shared" si="6"/>
        <v>3</v>
      </c>
      <c r="X54" s="3" t="str">
        <f>IFERROR(__xludf.DUMMYFUNCTION("split(B54,"" "")"),"J.")</f>
        <v>J.</v>
      </c>
      <c r="Y54" s="3" t="str">
        <f>IFERROR(__xludf.DUMMYFUNCTION("""COMPUTED_VALUE"""),"Smith")</f>
        <v>Smith</v>
      </c>
      <c r="AA54" s="3">
        <v>1.0</v>
      </c>
      <c r="AB54" s="3">
        <f t="shared" si="7"/>
        <v>0</v>
      </c>
      <c r="AC54" s="3">
        <f t="shared" si="8"/>
        <v>1</v>
      </c>
      <c r="AD54" s="3">
        <f t="shared" si="9"/>
        <v>2.542372881</v>
      </c>
      <c r="AE54" s="3">
        <f t="shared" si="10"/>
        <v>2.542372881</v>
      </c>
      <c r="AF54" s="3">
        <f t="shared" si="11"/>
        <v>2.542372881</v>
      </c>
      <c r="AG54" s="3">
        <f t="shared" si="12"/>
        <v>0.6</v>
      </c>
    </row>
    <row r="55">
      <c r="A55" s="1" t="s">
        <v>15</v>
      </c>
      <c r="B55" s="1" t="s">
        <v>65</v>
      </c>
      <c r="C55" s="1" t="s">
        <v>21</v>
      </c>
      <c r="D55" s="1" t="s">
        <v>66</v>
      </c>
      <c r="E55" s="1" t="s">
        <v>67</v>
      </c>
      <c r="F55" s="1" t="s">
        <v>59</v>
      </c>
      <c r="G55" s="1">
        <v>19.5</v>
      </c>
      <c r="H55" s="1" t="s">
        <v>60</v>
      </c>
      <c r="I55" s="1">
        <v>-110.0</v>
      </c>
      <c r="J55" s="1">
        <v>-0.484808725227095</v>
      </c>
      <c r="K55" s="1" t="s">
        <v>61</v>
      </c>
      <c r="L55" s="1" t="s">
        <v>61</v>
      </c>
      <c r="M55" s="1" t="s">
        <v>62</v>
      </c>
      <c r="N55" s="1">
        <v>-120.0</v>
      </c>
      <c r="O55" s="1">
        <v>0.415529994351036</v>
      </c>
      <c r="P55" s="1" t="s">
        <v>61</v>
      </c>
      <c r="Q55" s="1" t="s">
        <v>61</v>
      </c>
      <c r="R55" s="1">
        <f t="shared" si="1"/>
        <v>0.4155299944</v>
      </c>
      <c r="S55" s="1">
        <f t="shared" si="2"/>
        <v>-120</v>
      </c>
      <c r="T55" s="1">
        <f t="shared" si="3"/>
        <v>1.833333333</v>
      </c>
      <c r="U55" s="1">
        <f t="shared" si="4"/>
        <v>0</v>
      </c>
      <c r="V55" s="3">
        <f t="shared" si="5"/>
        <v>3</v>
      </c>
      <c r="W55" s="3">
        <f t="shared" si="6"/>
        <v>3</v>
      </c>
      <c r="X55" s="3" t="str">
        <f>IFERROR(__xludf.DUMMYFUNCTION("split(B55,"" "")"),"J.")</f>
        <v>J.</v>
      </c>
      <c r="Y55" s="3" t="str">
        <f>IFERROR(__xludf.DUMMYFUNCTION("""COMPUTED_VALUE"""),"Brissett")</f>
        <v>Brissett</v>
      </c>
      <c r="AA55" s="3">
        <v>15.0</v>
      </c>
      <c r="AB55" s="3">
        <f t="shared" si="7"/>
        <v>0</v>
      </c>
      <c r="AC55" s="3">
        <f t="shared" si="8"/>
        <v>1</v>
      </c>
      <c r="AD55" s="3">
        <f t="shared" si="9"/>
        <v>2.5</v>
      </c>
      <c r="AE55" s="3">
        <f t="shared" si="10"/>
        <v>2.5</v>
      </c>
      <c r="AF55" s="3">
        <f t="shared" si="11"/>
        <v>2.5</v>
      </c>
      <c r="AG55" s="3">
        <f t="shared" si="12"/>
        <v>0.2307692308</v>
      </c>
    </row>
    <row r="56">
      <c r="A56" s="1" t="s">
        <v>16</v>
      </c>
      <c r="B56" s="1" t="s">
        <v>65</v>
      </c>
      <c r="C56" s="1" t="s">
        <v>21</v>
      </c>
      <c r="D56" s="1" t="s">
        <v>66</v>
      </c>
      <c r="E56" s="1" t="s">
        <v>67</v>
      </c>
      <c r="F56" s="1" t="s">
        <v>59</v>
      </c>
      <c r="G56" s="1">
        <v>32.5</v>
      </c>
      <c r="H56" s="1" t="s">
        <v>60</v>
      </c>
      <c r="I56" s="1">
        <v>-110.0</v>
      </c>
      <c r="J56" s="1">
        <v>-0.474644531798095</v>
      </c>
      <c r="K56" s="1" t="s">
        <v>61</v>
      </c>
      <c r="L56" s="1" t="s">
        <v>61</v>
      </c>
      <c r="M56" s="1" t="s">
        <v>62</v>
      </c>
      <c r="N56" s="1">
        <v>-120.0</v>
      </c>
      <c r="O56" s="1">
        <v>0.405400100059636</v>
      </c>
      <c r="P56" s="1" t="s">
        <v>61</v>
      </c>
      <c r="Q56" s="1" t="s">
        <v>61</v>
      </c>
      <c r="R56" s="1">
        <f t="shared" si="1"/>
        <v>0.4054001001</v>
      </c>
      <c r="S56" s="1">
        <f t="shared" si="2"/>
        <v>-120</v>
      </c>
      <c r="T56" s="1">
        <f t="shared" si="3"/>
        <v>1.833333333</v>
      </c>
      <c r="U56" s="1">
        <f t="shared" si="4"/>
        <v>0</v>
      </c>
      <c r="V56" s="3">
        <f t="shared" si="5"/>
        <v>3</v>
      </c>
      <c r="W56" s="3">
        <f t="shared" si="6"/>
        <v>3</v>
      </c>
      <c r="X56" s="3" t="str">
        <f>IFERROR(__xludf.DUMMYFUNCTION("split(B56,"" "")"),"J.")</f>
        <v>J.</v>
      </c>
      <c r="Y56" s="3" t="str">
        <f>IFERROR(__xludf.DUMMYFUNCTION("""COMPUTED_VALUE"""),"Brissett")</f>
        <v>Brissett</v>
      </c>
      <c r="AA56" s="3">
        <v>24.0</v>
      </c>
      <c r="AB56" s="3">
        <f t="shared" si="7"/>
        <v>0</v>
      </c>
      <c r="AC56" s="3">
        <f t="shared" si="8"/>
        <v>1</v>
      </c>
      <c r="AD56" s="3">
        <f t="shared" si="9"/>
        <v>2.5</v>
      </c>
      <c r="AE56" s="3">
        <f t="shared" si="10"/>
        <v>2.5</v>
      </c>
      <c r="AF56" s="3">
        <f t="shared" si="11"/>
        <v>2.5</v>
      </c>
      <c r="AG56" s="3">
        <f t="shared" si="12"/>
        <v>0.2615384615</v>
      </c>
    </row>
    <row r="57">
      <c r="A57" s="1" t="s">
        <v>12</v>
      </c>
      <c r="B57" s="1" t="s">
        <v>231</v>
      </c>
      <c r="C57" s="1" t="s">
        <v>20</v>
      </c>
      <c r="D57" s="1" t="s">
        <v>99</v>
      </c>
      <c r="E57" s="1" t="s">
        <v>100</v>
      </c>
      <c r="F57" s="1" t="s">
        <v>59</v>
      </c>
      <c r="G57" s="1">
        <v>2.5</v>
      </c>
      <c r="H57" s="1" t="s">
        <v>60</v>
      </c>
      <c r="I57" s="1">
        <v>-110.0</v>
      </c>
      <c r="J57" s="1">
        <v>-0.222452068380952</v>
      </c>
      <c r="K57" s="1" t="s">
        <v>61</v>
      </c>
      <c r="L57" s="1" t="s">
        <v>61</v>
      </c>
      <c r="M57" s="1" t="s">
        <v>62</v>
      </c>
      <c r="N57" s="1">
        <v>-120.0</v>
      </c>
      <c r="O57" s="1">
        <v>0.153194187418181</v>
      </c>
      <c r="P57" s="1" t="s">
        <v>61</v>
      </c>
      <c r="Q57" s="1" t="s">
        <v>61</v>
      </c>
      <c r="R57" s="1">
        <f t="shared" si="1"/>
        <v>0.1531941874</v>
      </c>
      <c r="S57" s="1">
        <f t="shared" si="2"/>
        <v>-120</v>
      </c>
      <c r="T57" s="1">
        <f t="shared" si="3"/>
        <v>1.833333333</v>
      </c>
      <c r="U57" s="1">
        <f t="shared" si="4"/>
        <v>0</v>
      </c>
      <c r="V57" s="3">
        <f t="shared" si="5"/>
        <v>3</v>
      </c>
      <c r="W57" s="3">
        <f t="shared" si="6"/>
        <v>3</v>
      </c>
      <c r="X57" s="3" t="str">
        <f>IFERROR(__xludf.DUMMYFUNCTION("split(B57,"" "")"),"C.")</f>
        <v>C.</v>
      </c>
      <c r="Y57" s="3" t="str">
        <f>IFERROR(__xludf.DUMMYFUNCTION("""COMPUTED_VALUE"""),"Kmet")</f>
        <v>Kmet</v>
      </c>
      <c r="AA57" s="3">
        <v>1.0</v>
      </c>
      <c r="AB57" s="3">
        <f t="shared" si="7"/>
        <v>0</v>
      </c>
      <c r="AC57" s="3">
        <f t="shared" si="8"/>
        <v>1</v>
      </c>
      <c r="AD57" s="3">
        <f t="shared" si="9"/>
        <v>2.5</v>
      </c>
      <c r="AE57" s="3">
        <f t="shared" si="10"/>
        <v>2.5</v>
      </c>
      <c r="AF57" s="3">
        <f t="shared" si="11"/>
        <v>2.5</v>
      </c>
      <c r="AG57" s="3">
        <f t="shared" si="12"/>
        <v>0.6</v>
      </c>
    </row>
    <row r="58">
      <c r="A58" s="1" t="s">
        <v>12</v>
      </c>
      <c r="B58" s="1" t="s">
        <v>233</v>
      </c>
      <c r="C58" s="1" t="s">
        <v>18</v>
      </c>
      <c r="D58" s="1" t="s">
        <v>105</v>
      </c>
      <c r="E58" s="1" t="s">
        <v>104</v>
      </c>
      <c r="F58" s="1" t="s">
        <v>59</v>
      </c>
      <c r="G58" s="1">
        <v>2.5</v>
      </c>
      <c r="H58" s="1" t="s">
        <v>60</v>
      </c>
      <c r="I58" s="1">
        <v>-110.0</v>
      </c>
      <c r="J58" s="1">
        <v>-0.182460198523809</v>
      </c>
      <c r="K58" s="1" t="s">
        <v>61</v>
      </c>
      <c r="L58" s="1" t="s">
        <v>61</v>
      </c>
      <c r="M58" s="1" t="s">
        <v>62</v>
      </c>
      <c r="N58" s="1">
        <v>-120.0</v>
      </c>
      <c r="O58" s="1">
        <v>0.113188954672727</v>
      </c>
      <c r="P58" s="1" t="s">
        <v>61</v>
      </c>
      <c r="Q58" s="1" t="s">
        <v>61</v>
      </c>
      <c r="R58" s="1">
        <f t="shared" si="1"/>
        <v>0.1131889547</v>
      </c>
      <c r="S58" s="1">
        <f t="shared" si="2"/>
        <v>-120</v>
      </c>
      <c r="T58" s="1">
        <f t="shared" si="3"/>
        <v>1.833333333</v>
      </c>
      <c r="U58" s="1">
        <f t="shared" si="4"/>
        <v>0</v>
      </c>
      <c r="V58" s="3">
        <f t="shared" si="5"/>
        <v>3</v>
      </c>
      <c r="W58" s="3">
        <f t="shared" si="6"/>
        <v>3</v>
      </c>
      <c r="X58" s="3" t="str">
        <f>IFERROR(__xludf.DUMMYFUNCTION("split(B58,"" "")"),"M.")</f>
        <v>M.</v>
      </c>
      <c r="Y58" s="3" t="str">
        <f>IFERROR(__xludf.DUMMYFUNCTION("""COMPUTED_VALUE"""),"Wilson")</f>
        <v>Wilson</v>
      </c>
      <c r="AA58" s="3">
        <v>1.0</v>
      </c>
      <c r="AB58" s="3">
        <f t="shared" si="7"/>
        <v>0</v>
      </c>
      <c r="AC58" s="3">
        <f t="shared" si="8"/>
        <v>1</v>
      </c>
      <c r="AD58" s="3">
        <f t="shared" si="9"/>
        <v>2.5</v>
      </c>
      <c r="AE58" s="3">
        <f t="shared" si="10"/>
        <v>2.5</v>
      </c>
      <c r="AF58" s="3">
        <f t="shared" si="11"/>
        <v>2.5</v>
      </c>
      <c r="AG58" s="3">
        <f t="shared" si="12"/>
        <v>0.6</v>
      </c>
    </row>
    <row r="59">
      <c r="A59" s="1" t="s">
        <v>9</v>
      </c>
      <c r="B59" s="1" t="s">
        <v>237</v>
      </c>
      <c r="C59" s="1" t="s">
        <v>18</v>
      </c>
      <c r="D59" s="1" t="s">
        <v>76</v>
      </c>
      <c r="E59" s="1" t="s">
        <v>77</v>
      </c>
      <c r="F59" s="1" t="s">
        <v>78</v>
      </c>
      <c r="G59" s="1">
        <v>15.5</v>
      </c>
      <c r="H59" s="1" t="s">
        <v>60</v>
      </c>
      <c r="I59" s="1">
        <v>-121.0</v>
      </c>
      <c r="J59" s="6">
        <v>0.175816027420654</v>
      </c>
      <c r="K59" s="1" t="s">
        <v>61</v>
      </c>
      <c r="L59" s="1" t="s">
        <v>61</v>
      </c>
      <c r="M59" s="1" t="s">
        <v>62</v>
      </c>
      <c r="N59" s="1">
        <v>-111.0</v>
      </c>
      <c r="O59" s="6">
        <v>-0.249349353964743</v>
      </c>
      <c r="P59" s="1" t="s">
        <v>61</v>
      </c>
      <c r="Q59" s="1" t="s">
        <v>61</v>
      </c>
      <c r="R59" s="6">
        <f t="shared" si="1"/>
        <v>0.1758160274</v>
      </c>
      <c r="S59" s="1">
        <f t="shared" si="2"/>
        <v>-121</v>
      </c>
      <c r="T59" s="1">
        <f t="shared" si="3"/>
        <v>1.826446281</v>
      </c>
      <c r="U59" s="1">
        <f t="shared" si="4"/>
        <v>1</v>
      </c>
      <c r="V59" s="3">
        <f t="shared" si="5"/>
        <v>3</v>
      </c>
      <c r="W59" s="3">
        <f t="shared" si="6"/>
        <v>3</v>
      </c>
      <c r="X59" s="3" t="str">
        <f>IFERROR(__xludf.DUMMYFUNCTION("split(B59,"". "")"),"J")</f>
        <v>J</v>
      </c>
      <c r="Y59" s="3" t="str">
        <f>IFERROR(__xludf.DUMMYFUNCTION("""COMPUTED_VALUE"""),"Watson")</f>
        <v>Watson</v>
      </c>
      <c r="AA59" s="3">
        <v>25.0</v>
      </c>
      <c r="AB59" s="3">
        <f t="shared" si="7"/>
        <v>1</v>
      </c>
      <c r="AC59" s="3">
        <f t="shared" si="8"/>
        <v>1</v>
      </c>
      <c r="AD59" s="3">
        <f t="shared" si="9"/>
        <v>2.479338843</v>
      </c>
      <c r="AE59" s="3">
        <f t="shared" si="10"/>
        <v>2.479338843</v>
      </c>
      <c r="AF59" s="3">
        <f t="shared" si="11"/>
        <v>2.479338843</v>
      </c>
      <c r="AG59" s="3">
        <f t="shared" si="12"/>
        <v>0.6129032258</v>
      </c>
    </row>
    <row r="60">
      <c r="A60" s="1" t="s">
        <v>12</v>
      </c>
      <c r="B60" s="1" t="s">
        <v>239</v>
      </c>
      <c r="C60" s="1" t="s">
        <v>18</v>
      </c>
      <c r="D60" s="1" t="s">
        <v>77</v>
      </c>
      <c r="E60" s="1" t="s">
        <v>76</v>
      </c>
      <c r="F60" s="1" t="s">
        <v>78</v>
      </c>
      <c r="G60" s="1">
        <v>2.5</v>
      </c>
      <c r="H60" s="1" t="s">
        <v>60</v>
      </c>
      <c r="I60" s="1">
        <v>-109.0</v>
      </c>
      <c r="J60" s="6">
        <v>-0.19202960014354</v>
      </c>
      <c r="K60" s="1" t="s">
        <v>61</v>
      </c>
      <c r="L60" s="1" t="s">
        <v>61</v>
      </c>
      <c r="M60" s="1" t="s">
        <v>62</v>
      </c>
      <c r="N60" s="1">
        <v>-123.0</v>
      </c>
      <c r="O60" s="6">
        <v>0.11892876371704</v>
      </c>
      <c r="P60" s="1" t="s">
        <v>61</v>
      </c>
      <c r="Q60" s="1" t="s">
        <v>61</v>
      </c>
      <c r="R60" s="6">
        <f t="shared" si="1"/>
        <v>0.1189287637</v>
      </c>
      <c r="S60" s="1">
        <f t="shared" si="2"/>
        <v>-123</v>
      </c>
      <c r="T60" s="1">
        <f t="shared" si="3"/>
        <v>1.81300813</v>
      </c>
      <c r="U60" s="1">
        <f t="shared" si="4"/>
        <v>0</v>
      </c>
      <c r="V60" s="3">
        <f t="shared" si="5"/>
        <v>3</v>
      </c>
      <c r="W60" s="3">
        <f t="shared" si="6"/>
        <v>3</v>
      </c>
      <c r="X60" s="3" t="str">
        <f>IFERROR(__xludf.DUMMYFUNCTION("split(B60,"" "")"),"R.")</f>
        <v>R.</v>
      </c>
      <c r="Y60" s="3" t="str">
        <f>IFERROR(__xludf.DUMMYFUNCTION("""COMPUTED_VALUE"""),"Bateman")</f>
        <v>Bateman</v>
      </c>
      <c r="AA60" s="3">
        <v>2.0</v>
      </c>
      <c r="AB60" s="3">
        <f t="shared" si="7"/>
        <v>0</v>
      </c>
      <c r="AC60" s="3">
        <f t="shared" si="8"/>
        <v>1</v>
      </c>
      <c r="AD60" s="3">
        <f t="shared" si="9"/>
        <v>2.43902439</v>
      </c>
      <c r="AE60" s="3">
        <f t="shared" si="10"/>
        <v>2.43902439</v>
      </c>
      <c r="AF60" s="3">
        <f t="shared" si="11"/>
        <v>2.43902439</v>
      </c>
      <c r="AG60" s="3">
        <f t="shared" si="12"/>
        <v>0.2</v>
      </c>
    </row>
    <row r="61">
      <c r="A61" s="1" t="s">
        <v>8</v>
      </c>
      <c r="B61" s="1" t="s">
        <v>243</v>
      </c>
      <c r="C61" s="1" t="s">
        <v>19</v>
      </c>
      <c r="D61" s="1" t="s">
        <v>156</v>
      </c>
      <c r="E61" s="1" t="s">
        <v>157</v>
      </c>
      <c r="F61" s="1" t="s">
        <v>158</v>
      </c>
      <c r="G61" s="1">
        <v>3.5</v>
      </c>
      <c r="H61" s="1" t="s">
        <v>60</v>
      </c>
      <c r="I61" s="1">
        <v>-107.0</v>
      </c>
      <c r="J61" s="6">
        <v>-0.232349957930685</v>
      </c>
      <c r="K61" s="1" t="s">
        <v>61</v>
      </c>
      <c r="L61" s="1" t="s">
        <v>61</v>
      </c>
      <c r="M61" s="1" t="s">
        <v>62</v>
      </c>
      <c r="N61" s="1">
        <v>-125.0</v>
      </c>
      <c r="O61" s="6">
        <v>0.159907451620288</v>
      </c>
      <c r="P61" s="1" t="s">
        <v>61</v>
      </c>
      <c r="Q61" s="1" t="s">
        <v>61</v>
      </c>
      <c r="R61" s="6">
        <f t="shared" si="1"/>
        <v>0.1599074516</v>
      </c>
      <c r="S61" s="1">
        <f t="shared" si="2"/>
        <v>-125</v>
      </c>
      <c r="T61" s="1">
        <f t="shared" si="3"/>
        <v>1.8</v>
      </c>
      <c r="U61" s="1">
        <f t="shared" si="4"/>
        <v>0</v>
      </c>
      <c r="V61" s="3">
        <f t="shared" si="5"/>
        <v>3</v>
      </c>
      <c r="W61" s="3">
        <f t="shared" si="6"/>
        <v>3</v>
      </c>
      <c r="X61" s="3" t="str">
        <f>IFERROR(__xludf.DUMMYFUNCTION("split(B61,"" "")"),"K.")</f>
        <v>K.</v>
      </c>
      <c r="Y61" s="3" t="str">
        <f>IFERROR(__xludf.DUMMYFUNCTION("""COMPUTED_VALUE"""),"Gainwell")</f>
        <v>Gainwell</v>
      </c>
      <c r="AA61" s="3">
        <v>1.0</v>
      </c>
      <c r="AB61" s="3">
        <f t="shared" si="7"/>
        <v>0</v>
      </c>
      <c r="AC61" s="3">
        <f t="shared" si="8"/>
        <v>1</v>
      </c>
      <c r="AD61" s="3">
        <f t="shared" si="9"/>
        <v>2.4</v>
      </c>
      <c r="AE61" s="3">
        <f t="shared" si="10"/>
        <v>2.4</v>
      </c>
      <c r="AF61" s="3">
        <f t="shared" si="11"/>
        <v>2.4</v>
      </c>
      <c r="AG61" s="3">
        <f t="shared" si="12"/>
        <v>0.7142857143</v>
      </c>
    </row>
    <row r="62">
      <c r="A62" s="1" t="s">
        <v>12</v>
      </c>
      <c r="B62" s="1" t="s">
        <v>245</v>
      </c>
      <c r="C62" s="1" t="s">
        <v>18</v>
      </c>
      <c r="D62" s="1" t="s">
        <v>157</v>
      </c>
      <c r="E62" s="1" t="s">
        <v>156</v>
      </c>
      <c r="F62" s="1" t="s">
        <v>158</v>
      </c>
      <c r="G62" s="1">
        <v>2.5</v>
      </c>
      <c r="H62" s="1" t="s">
        <v>60</v>
      </c>
      <c r="I62" s="1">
        <v>-107.0</v>
      </c>
      <c r="J62" s="6">
        <v>-0.188906723381642</v>
      </c>
      <c r="K62" s="1" t="s">
        <v>61</v>
      </c>
      <c r="L62" s="1" t="s">
        <v>61</v>
      </c>
      <c r="M62" s="1" t="s">
        <v>62</v>
      </c>
      <c r="N62" s="1">
        <v>-125.0</v>
      </c>
      <c r="O62" s="6">
        <v>0.116442731888888</v>
      </c>
      <c r="P62" s="1" t="s">
        <v>61</v>
      </c>
      <c r="Q62" s="1" t="s">
        <v>61</v>
      </c>
      <c r="R62" s="6">
        <f t="shared" si="1"/>
        <v>0.1164427319</v>
      </c>
      <c r="S62" s="1">
        <f t="shared" si="2"/>
        <v>-125</v>
      </c>
      <c r="T62" s="1">
        <f t="shared" si="3"/>
        <v>1.8</v>
      </c>
      <c r="U62" s="1">
        <f t="shared" si="4"/>
        <v>0</v>
      </c>
      <c r="V62" s="3">
        <f t="shared" si="5"/>
        <v>3</v>
      </c>
      <c r="W62" s="3">
        <f t="shared" si="6"/>
        <v>3</v>
      </c>
      <c r="X62" s="3" t="str">
        <f>IFERROR(__xludf.DUMMYFUNCTION("split(B62,"" "")"),"D.")</f>
        <v>D.</v>
      </c>
      <c r="Y62" s="3" t="str">
        <f>IFERROR(__xludf.DUMMYFUNCTION("""COMPUTED_VALUE"""),"Wicks")</f>
        <v>Wicks</v>
      </c>
      <c r="AA62" s="3">
        <v>0.0</v>
      </c>
      <c r="AB62" s="3">
        <f t="shared" si="7"/>
        <v>0</v>
      </c>
      <c r="AC62" s="3">
        <f t="shared" si="8"/>
        <v>1</v>
      </c>
      <c r="AD62" s="3">
        <f t="shared" si="9"/>
        <v>2.4</v>
      </c>
      <c r="AE62" s="3">
        <f t="shared" si="10"/>
        <v>2.4</v>
      </c>
      <c r="AF62" s="3">
        <f t="shared" si="11"/>
        <v>2.4</v>
      </c>
      <c r="AG62" s="3">
        <f t="shared" si="12"/>
        <v>1</v>
      </c>
    </row>
    <row r="63">
      <c r="A63" s="1" t="s">
        <v>12</v>
      </c>
      <c r="B63" s="1" t="s">
        <v>257</v>
      </c>
      <c r="C63" s="1" t="s">
        <v>18</v>
      </c>
      <c r="D63" s="1" t="s">
        <v>165</v>
      </c>
      <c r="E63" s="1" t="s">
        <v>164</v>
      </c>
      <c r="F63" s="1" t="s">
        <v>166</v>
      </c>
      <c r="G63" s="1">
        <v>1.5</v>
      </c>
      <c r="H63" s="1" t="s">
        <v>60</v>
      </c>
      <c r="I63" s="1">
        <v>112.0</v>
      </c>
      <c r="J63" s="1">
        <v>-0.18129417795849</v>
      </c>
      <c r="K63" s="1" t="s">
        <v>61</v>
      </c>
      <c r="L63" s="1" t="s">
        <v>61</v>
      </c>
      <c r="M63" s="1" t="s">
        <v>62</v>
      </c>
      <c r="N63" s="1">
        <v>-149.0</v>
      </c>
      <c r="O63" s="1">
        <v>0.111215235705421</v>
      </c>
      <c r="P63" s="1" t="s">
        <v>61</v>
      </c>
      <c r="Q63" s="1" t="s">
        <v>61</v>
      </c>
      <c r="R63" s="1">
        <f t="shared" si="1"/>
        <v>0.1112152357</v>
      </c>
      <c r="S63" s="1">
        <f t="shared" si="2"/>
        <v>-149</v>
      </c>
      <c r="T63" s="1">
        <f t="shared" si="3"/>
        <v>1.67114094</v>
      </c>
      <c r="U63" s="1">
        <f t="shared" si="4"/>
        <v>0</v>
      </c>
      <c r="V63" s="3">
        <f t="shared" si="5"/>
        <v>3</v>
      </c>
      <c r="W63" s="3">
        <f t="shared" si="6"/>
        <v>3</v>
      </c>
      <c r="X63" s="3" t="str">
        <f>IFERROR(__xludf.DUMMYFUNCTION("split(B63,"" "")"),"X.")</f>
        <v>X.</v>
      </c>
      <c r="Y63" s="3" t="str">
        <f>IFERROR(__xludf.DUMMYFUNCTION("""COMPUTED_VALUE"""),"Gipson")</f>
        <v>Gipson</v>
      </c>
      <c r="AA63" s="3">
        <v>0.0</v>
      </c>
      <c r="AB63" s="3">
        <f t="shared" si="7"/>
        <v>0</v>
      </c>
      <c r="AC63" s="3">
        <f t="shared" si="8"/>
        <v>1</v>
      </c>
      <c r="AD63" s="3">
        <f t="shared" si="9"/>
        <v>2.013422819</v>
      </c>
      <c r="AE63" s="3">
        <f t="shared" si="10"/>
        <v>2.013422819</v>
      </c>
      <c r="AF63" s="3">
        <f t="shared" si="11"/>
        <v>2.013422819</v>
      </c>
      <c r="AG63" s="3">
        <f t="shared" si="12"/>
        <v>1</v>
      </c>
    </row>
    <row r="64">
      <c r="A64" s="1" t="s">
        <v>8</v>
      </c>
      <c r="B64" s="1" t="s">
        <v>65</v>
      </c>
      <c r="C64" s="1" t="s">
        <v>21</v>
      </c>
      <c r="D64" s="1" t="s">
        <v>66</v>
      </c>
      <c r="E64" s="1" t="s">
        <v>67</v>
      </c>
      <c r="F64" s="1" t="s">
        <v>59</v>
      </c>
      <c r="G64" s="1">
        <v>2.5</v>
      </c>
      <c r="H64" s="1" t="s">
        <v>60</v>
      </c>
      <c r="I64" s="1">
        <v>-165.0</v>
      </c>
      <c r="J64" s="1">
        <v>-0.325007996952075</v>
      </c>
      <c r="K64" s="1" t="s">
        <v>61</v>
      </c>
      <c r="L64" s="1" t="s">
        <v>61</v>
      </c>
      <c r="M64" s="1" t="s">
        <v>62</v>
      </c>
      <c r="N64" s="1">
        <v>125.0</v>
      </c>
      <c r="O64" s="1">
        <v>0.257933863076888</v>
      </c>
      <c r="P64" s="1" t="s">
        <v>61</v>
      </c>
      <c r="Q64" s="1" t="s">
        <v>61</v>
      </c>
      <c r="R64" s="1">
        <f t="shared" si="1"/>
        <v>0.2579338631</v>
      </c>
      <c r="S64" s="1">
        <f t="shared" si="2"/>
        <v>125</v>
      </c>
      <c r="T64" s="1">
        <f t="shared" si="3"/>
        <v>2.25</v>
      </c>
      <c r="U64" s="1">
        <f t="shared" si="4"/>
        <v>0</v>
      </c>
      <c r="V64" s="3">
        <f t="shared" si="5"/>
        <v>3</v>
      </c>
      <c r="W64" s="3">
        <f t="shared" si="6"/>
        <v>1</v>
      </c>
      <c r="X64" s="3" t="str">
        <f>IFERROR(__xludf.DUMMYFUNCTION("split(B64,"" "")"),"J.")</f>
        <v>J.</v>
      </c>
      <c r="Y64" s="3" t="str">
        <f>IFERROR(__xludf.DUMMYFUNCTION("""COMPUTED_VALUE"""),"Brissett")</f>
        <v>Brissett</v>
      </c>
      <c r="AA64" s="3">
        <v>7.0</v>
      </c>
      <c r="AB64" s="3">
        <f t="shared" si="7"/>
        <v>1</v>
      </c>
      <c r="AC64" s="3">
        <f t="shared" si="8"/>
        <v>0</v>
      </c>
      <c r="AD64" s="3">
        <f t="shared" si="9"/>
        <v>3.75</v>
      </c>
      <c r="AE64" s="3">
        <f t="shared" si="10"/>
        <v>-3</v>
      </c>
      <c r="AF64" s="3">
        <f t="shared" si="11"/>
        <v>-1</v>
      </c>
      <c r="AG64" s="3">
        <f t="shared" si="12"/>
        <v>-1.8</v>
      </c>
    </row>
    <row r="65">
      <c r="A65" s="1" t="s">
        <v>12</v>
      </c>
      <c r="B65" s="1" t="s">
        <v>414</v>
      </c>
      <c r="C65" s="1" t="s">
        <v>18</v>
      </c>
      <c r="D65" s="1" t="s">
        <v>89</v>
      </c>
      <c r="E65" s="1" t="s">
        <v>88</v>
      </c>
      <c r="F65" s="1" t="s">
        <v>90</v>
      </c>
      <c r="G65" s="1">
        <v>1.5</v>
      </c>
      <c r="H65" s="1" t="s">
        <v>60</v>
      </c>
      <c r="I65" s="1">
        <v>-173.0</v>
      </c>
      <c r="J65" s="1">
        <v>-0.284693684446886</v>
      </c>
      <c r="K65" s="1" t="s">
        <v>61</v>
      </c>
      <c r="L65" s="1" t="s">
        <v>61</v>
      </c>
      <c r="M65" s="1" t="s">
        <v>62</v>
      </c>
      <c r="N65" s="1">
        <v>132.0</v>
      </c>
      <c r="O65" s="1">
        <v>0.219958516612069</v>
      </c>
      <c r="P65" s="1" t="s">
        <v>61</v>
      </c>
      <c r="Q65" s="1" t="s">
        <v>61</v>
      </c>
      <c r="R65" s="1">
        <f t="shared" si="1"/>
        <v>0.2199585166</v>
      </c>
      <c r="S65" s="1">
        <f t="shared" si="2"/>
        <v>132</v>
      </c>
      <c r="T65" s="1">
        <f t="shared" si="3"/>
        <v>2.32</v>
      </c>
      <c r="U65" s="1">
        <f t="shared" si="4"/>
        <v>0</v>
      </c>
      <c r="V65" s="3">
        <f t="shared" si="5"/>
        <v>3</v>
      </c>
      <c r="W65" s="3">
        <f t="shared" si="6"/>
        <v>1</v>
      </c>
      <c r="X65" s="3" t="str">
        <f>IFERROR(__xludf.DUMMYFUNCTION("split(B65,"" "")"),"E.")</f>
        <v>E.</v>
      </c>
      <c r="Y65" s="3" t="str">
        <f>IFERROR(__xludf.DUMMYFUNCTION("""COMPUTED_VALUE"""),"Moore")</f>
        <v>Moore</v>
      </c>
      <c r="AA65" s="3">
        <v>3.0</v>
      </c>
      <c r="AB65" s="3">
        <f t="shared" si="7"/>
        <v>1</v>
      </c>
      <c r="AC65" s="3">
        <f t="shared" si="8"/>
        <v>0</v>
      </c>
      <c r="AD65" s="3">
        <f t="shared" si="9"/>
        <v>3.96</v>
      </c>
      <c r="AE65" s="3">
        <f t="shared" si="10"/>
        <v>-3</v>
      </c>
      <c r="AF65" s="3">
        <f t="shared" si="11"/>
        <v>-1</v>
      </c>
      <c r="AG65" s="3">
        <f t="shared" si="12"/>
        <v>-1</v>
      </c>
    </row>
    <row r="66">
      <c r="A66" s="1" t="s">
        <v>8</v>
      </c>
      <c r="B66" s="1" t="s">
        <v>465</v>
      </c>
      <c r="C66" s="1" t="s">
        <v>19</v>
      </c>
      <c r="D66" s="1" t="s">
        <v>83</v>
      </c>
      <c r="E66" s="1" t="s">
        <v>82</v>
      </c>
      <c r="F66" s="1" t="s">
        <v>84</v>
      </c>
      <c r="G66" s="1">
        <v>5.5</v>
      </c>
      <c r="H66" s="1" t="s">
        <v>60</v>
      </c>
      <c r="I66" s="1">
        <v>-156.0</v>
      </c>
      <c r="J66" s="1">
        <v>-0.278801792694958</v>
      </c>
      <c r="K66" s="1" t="s">
        <v>61</v>
      </c>
      <c r="L66" s="1" t="s">
        <v>61</v>
      </c>
      <c r="M66" s="1" t="s">
        <v>62</v>
      </c>
      <c r="N66" s="1">
        <v>120.0</v>
      </c>
      <c r="O66" s="1">
        <v>0.214885722408678</v>
      </c>
      <c r="P66" s="1" t="s">
        <v>61</v>
      </c>
      <c r="Q66" s="1" t="s">
        <v>61</v>
      </c>
      <c r="R66" s="1">
        <f t="shared" si="1"/>
        <v>0.2148857224</v>
      </c>
      <c r="S66" s="1">
        <f t="shared" si="2"/>
        <v>120</v>
      </c>
      <c r="T66" s="1">
        <f t="shared" si="3"/>
        <v>2.2</v>
      </c>
      <c r="U66" s="1">
        <f t="shared" si="4"/>
        <v>0</v>
      </c>
      <c r="V66" s="3">
        <f t="shared" si="5"/>
        <v>3</v>
      </c>
      <c r="W66" s="3">
        <f t="shared" si="6"/>
        <v>1</v>
      </c>
      <c r="X66" s="3" t="str">
        <f>IFERROR(__xludf.DUMMYFUNCTION("split(B66,"" "")"),"J.")</f>
        <v>J.</v>
      </c>
      <c r="Y66" s="3" t="str">
        <f>IFERROR(__xludf.DUMMYFUNCTION("""COMPUTED_VALUE"""),"McLaughlin")</f>
        <v>McLaughlin</v>
      </c>
      <c r="AA66" s="3">
        <v>10.0</v>
      </c>
      <c r="AB66" s="3">
        <f t="shared" si="7"/>
        <v>1</v>
      </c>
      <c r="AC66" s="3">
        <f t="shared" si="8"/>
        <v>0</v>
      </c>
      <c r="AD66" s="3">
        <f t="shared" si="9"/>
        <v>3.6</v>
      </c>
      <c r="AE66" s="3">
        <f t="shared" si="10"/>
        <v>-3</v>
      </c>
      <c r="AF66" s="3">
        <f t="shared" si="11"/>
        <v>-1</v>
      </c>
      <c r="AG66" s="3">
        <f t="shared" si="12"/>
        <v>-0.8181818182</v>
      </c>
    </row>
    <row r="67">
      <c r="A67" s="1" t="s">
        <v>12</v>
      </c>
      <c r="B67" s="1" t="s">
        <v>385</v>
      </c>
      <c r="C67" s="1" t="s">
        <v>18</v>
      </c>
      <c r="D67" s="1" t="s">
        <v>197</v>
      </c>
      <c r="E67" s="1" t="s">
        <v>196</v>
      </c>
      <c r="F67" s="1" t="s">
        <v>198</v>
      </c>
      <c r="G67" s="1">
        <v>7.5</v>
      </c>
      <c r="H67" s="1" t="s">
        <v>60</v>
      </c>
      <c r="I67" s="1">
        <v>110.0</v>
      </c>
      <c r="J67" s="1">
        <v>0.209409523809523</v>
      </c>
      <c r="K67" s="1" t="s">
        <v>61</v>
      </c>
      <c r="L67" s="1" t="s">
        <v>61</v>
      </c>
      <c r="M67" s="1" t="s">
        <v>62</v>
      </c>
      <c r="N67" s="1">
        <v>-145.0</v>
      </c>
      <c r="O67" s="1">
        <v>-0.277436734693877</v>
      </c>
      <c r="P67" s="1" t="s">
        <v>61</v>
      </c>
      <c r="Q67" s="1" t="s">
        <v>61</v>
      </c>
      <c r="R67" s="1">
        <f t="shared" si="1"/>
        <v>0.2094095238</v>
      </c>
      <c r="S67" s="1">
        <f t="shared" si="2"/>
        <v>110</v>
      </c>
      <c r="T67" s="1">
        <f t="shared" si="3"/>
        <v>2.1</v>
      </c>
      <c r="U67" s="1">
        <f t="shared" si="4"/>
        <v>1</v>
      </c>
      <c r="V67" s="3">
        <f t="shared" si="5"/>
        <v>3</v>
      </c>
      <c r="W67" s="3">
        <f t="shared" si="6"/>
        <v>2</v>
      </c>
      <c r="X67" s="3" t="str">
        <f>IFERROR(__xludf.DUMMYFUNCTION("split(B67,"" "")"),"A.")</f>
        <v>A.</v>
      </c>
      <c r="Y67" s="3" t="str">
        <f>IFERROR(__xludf.DUMMYFUNCTION("""COMPUTED_VALUE"""),"St.")</f>
        <v>St.</v>
      </c>
      <c r="Z67" s="3" t="str">
        <f>IFERROR(__xludf.DUMMYFUNCTION("""COMPUTED_VALUE"""),"Brown")</f>
        <v>Brown</v>
      </c>
      <c r="AA67" s="3">
        <v>3.0</v>
      </c>
      <c r="AB67" s="3">
        <f t="shared" si="7"/>
        <v>0</v>
      </c>
      <c r="AC67" s="3">
        <f t="shared" si="8"/>
        <v>0</v>
      </c>
      <c r="AD67" s="3">
        <f t="shared" si="9"/>
        <v>3.3</v>
      </c>
      <c r="AE67" s="3">
        <f t="shared" si="10"/>
        <v>-3</v>
      </c>
      <c r="AF67" s="3">
        <f t="shared" si="11"/>
        <v>-2</v>
      </c>
      <c r="AG67" s="3">
        <f t="shared" si="12"/>
        <v>-0.6</v>
      </c>
    </row>
    <row r="68">
      <c r="A68" s="1" t="s">
        <v>12</v>
      </c>
      <c r="B68" s="1" t="s">
        <v>490</v>
      </c>
      <c r="C68" s="1" t="s">
        <v>19</v>
      </c>
      <c r="D68" s="1" t="s">
        <v>82</v>
      </c>
      <c r="E68" s="1" t="s">
        <v>83</v>
      </c>
      <c r="F68" s="1" t="s">
        <v>84</v>
      </c>
      <c r="G68" s="1">
        <v>1.5</v>
      </c>
      <c r="H68" s="1" t="s">
        <v>60</v>
      </c>
      <c r="I68" s="1">
        <v>-188.0</v>
      </c>
      <c r="J68" s="1">
        <v>-0.277777079763888</v>
      </c>
      <c r="K68" s="1" t="s">
        <v>61</v>
      </c>
      <c r="L68" s="1" t="s">
        <v>61</v>
      </c>
      <c r="M68" s="1" t="s">
        <v>62</v>
      </c>
      <c r="N68" s="1">
        <v>140.0</v>
      </c>
      <c r="O68" s="1">
        <v>0.208332495716666</v>
      </c>
      <c r="P68" s="1" t="s">
        <v>61</v>
      </c>
      <c r="Q68" s="1" t="s">
        <v>61</v>
      </c>
      <c r="R68" s="1">
        <f t="shared" si="1"/>
        <v>0.2083324957</v>
      </c>
      <c r="S68" s="1">
        <f t="shared" si="2"/>
        <v>140</v>
      </c>
      <c r="T68" s="1">
        <f t="shared" si="3"/>
        <v>2.4</v>
      </c>
      <c r="U68" s="1">
        <f t="shared" si="4"/>
        <v>0</v>
      </c>
      <c r="V68" s="3">
        <f t="shared" si="5"/>
        <v>3</v>
      </c>
      <c r="W68" s="3">
        <f t="shared" si="6"/>
        <v>1</v>
      </c>
      <c r="X68" s="3" t="str">
        <f>IFERROR(__xludf.DUMMYFUNCTION("split(B68,"" "")"),"K.")</f>
        <v>K.</v>
      </c>
      <c r="Y68" s="3" t="str">
        <f>IFERROR(__xludf.DUMMYFUNCTION("""COMPUTED_VALUE"""),"Walker")</f>
        <v>Walker</v>
      </c>
      <c r="Z68" s="3" t="str">
        <f>IFERROR(__xludf.DUMMYFUNCTION("""COMPUTED_VALUE"""),"III")</f>
        <v>III</v>
      </c>
      <c r="AA68" s="3">
        <v>2.0</v>
      </c>
      <c r="AB68" s="3">
        <f t="shared" si="7"/>
        <v>1</v>
      </c>
      <c r="AC68" s="3">
        <f t="shared" si="8"/>
        <v>0</v>
      </c>
      <c r="AD68" s="3">
        <f t="shared" si="9"/>
        <v>4.2</v>
      </c>
      <c r="AE68" s="3">
        <f t="shared" si="10"/>
        <v>-3</v>
      </c>
      <c r="AF68" s="3">
        <f t="shared" si="11"/>
        <v>-1</v>
      </c>
      <c r="AG68" s="3">
        <f t="shared" si="12"/>
        <v>-0.3333333333</v>
      </c>
    </row>
    <row r="69">
      <c r="A69" s="1" t="s">
        <v>12</v>
      </c>
      <c r="B69" s="1" t="s">
        <v>133</v>
      </c>
      <c r="C69" s="1" t="s">
        <v>19</v>
      </c>
      <c r="D69" s="1" t="s">
        <v>134</v>
      </c>
      <c r="E69" s="1" t="s">
        <v>135</v>
      </c>
      <c r="F69" s="1" t="s">
        <v>84</v>
      </c>
      <c r="G69" s="1">
        <v>1.5</v>
      </c>
      <c r="H69" s="1" t="s">
        <v>60</v>
      </c>
      <c r="I69" s="1">
        <v>-158.0</v>
      </c>
      <c r="J69" s="1">
        <v>-0.270497358937984</v>
      </c>
      <c r="K69" s="1" t="s">
        <v>61</v>
      </c>
      <c r="L69" s="1" t="s">
        <v>61</v>
      </c>
      <c r="M69" s="1" t="s">
        <v>62</v>
      </c>
      <c r="N69" s="1">
        <v>120.0</v>
      </c>
      <c r="O69" s="1">
        <v>0.203547811845454</v>
      </c>
      <c r="P69" s="1" t="s">
        <v>61</v>
      </c>
      <c r="Q69" s="1" t="s">
        <v>61</v>
      </c>
      <c r="R69" s="1">
        <f t="shared" si="1"/>
        <v>0.2035478118</v>
      </c>
      <c r="S69" s="1">
        <f t="shared" si="2"/>
        <v>120</v>
      </c>
      <c r="T69" s="1">
        <f t="shared" si="3"/>
        <v>2.2</v>
      </c>
      <c r="U69" s="1">
        <f t="shared" si="4"/>
        <v>0</v>
      </c>
      <c r="V69" s="3">
        <f t="shared" si="5"/>
        <v>3</v>
      </c>
      <c r="W69" s="3">
        <f t="shared" si="6"/>
        <v>1</v>
      </c>
      <c r="X69" s="3" t="str">
        <f>IFERROR(__xludf.DUMMYFUNCTION("split(B69,"" "")"),"Z.")</f>
        <v>Z.</v>
      </c>
      <c r="Y69" s="3" t="str">
        <f>IFERROR(__xludf.DUMMYFUNCTION("""COMPUTED_VALUE"""),"White")</f>
        <v>White</v>
      </c>
      <c r="AA69" s="3">
        <v>2.0</v>
      </c>
      <c r="AB69" s="3">
        <f t="shared" si="7"/>
        <v>1</v>
      </c>
      <c r="AC69" s="3">
        <f t="shared" si="8"/>
        <v>0</v>
      </c>
      <c r="AD69" s="3">
        <f t="shared" si="9"/>
        <v>3.6</v>
      </c>
      <c r="AE69" s="3">
        <f t="shared" si="10"/>
        <v>-3</v>
      </c>
      <c r="AF69" s="3">
        <f t="shared" si="11"/>
        <v>-1</v>
      </c>
      <c r="AG69" s="3">
        <f t="shared" si="12"/>
        <v>-0.3333333333</v>
      </c>
    </row>
    <row r="70">
      <c r="A70" s="1" t="s">
        <v>12</v>
      </c>
      <c r="B70" s="1" t="s">
        <v>340</v>
      </c>
      <c r="C70" s="1" t="s">
        <v>19</v>
      </c>
      <c r="D70" s="1" t="s">
        <v>100</v>
      </c>
      <c r="E70" s="1" t="s">
        <v>99</v>
      </c>
      <c r="F70" s="1" t="s">
        <v>59</v>
      </c>
      <c r="G70" s="1">
        <v>1.5</v>
      </c>
      <c r="H70" s="1" t="s">
        <v>60</v>
      </c>
      <c r="I70" s="1">
        <v>-163.0</v>
      </c>
      <c r="J70" s="1">
        <v>-0.266903393813688</v>
      </c>
      <c r="K70" s="1" t="s">
        <v>61</v>
      </c>
      <c r="L70" s="1" t="s">
        <v>61</v>
      </c>
      <c r="M70" s="1" t="s">
        <v>62</v>
      </c>
      <c r="N70" s="1">
        <v>125.0</v>
      </c>
      <c r="O70" s="1">
        <v>0.202692411435555</v>
      </c>
      <c r="P70" s="1" t="s">
        <v>61</v>
      </c>
      <c r="Q70" s="1" t="s">
        <v>61</v>
      </c>
      <c r="R70" s="1">
        <f t="shared" si="1"/>
        <v>0.2026924114</v>
      </c>
      <c r="S70" s="1">
        <f t="shared" si="2"/>
        <v>125</v>
      </c>
      <c r="T70" s="1">
        <f t="shared" si="3"/>
        <v>2.25</v>
      </c>
      <c r="U70" s="1">
        <f t="shared" si="4"/>
        <v>0</v>
      </c>
      <c r="V70" s="3">
        <f t="shared" si="5"/>
        <v>3</v>
      </c>
      <c r="W70" s="3">
        <f t="shared" si="6"/>
        <v>1</v>
      </c>
      <c r="X70" s="3" t="str">
        <f>IFERROR(__xludf.DUMMYFUNCTION("split(B70,"" "")"),"T.")</f>
        <v>T.</v>
      </c>
      <c r="Y70" s="3" t="str">
        <f>IFERROR(__xludf.DUMMYFUNCTION("""COMPUTED_VALUE"""),"Pollard")</f>
        <v>Pollard</v>
      </c>
      <c r="AA70" s="3">
        <v>3.0</v>
      </c>
      <c r="AB70" s="3">
        <f t="shared" si="7"/>
        <v>1</v>
      </c>
      <c r="AC70" s="3">
        <f t="shared" si="8"/>
        <v>0</v>
      </c>
      <c r="AD70" s="3">
        <f t="shared" si="9"/>
        <v>3.75</v>
      </c>
      <c r="AE70" s="3">
        <f t="shared" si="10"/>
        <v>-3</v>
      </c>
      <c r="AF70" s="3">
        <f t="shared" si="11"/>
        <v>-1</v>
      </c>
      <c r="AG70" s="3">
        <f t="shared" si="12"/>
        <v>-1</v>
      </c>
    </row>
    <row r="71">
      <c r="A71" s="1" t="s">
        <v>12</v>
      </c>
      <c r="B71" s="1" t="s">
        <v>345</v>
      </c>
      <c r="C71" s="1" t="s">
        <v>19</v>
      </c>
      <c r="D71" s="1" t="s">
        <v>105</v>
      </c>
      <c r="E71" s="1" t="s">
        <v>104</v>
      </c>
      <c r="F71" s="1" t="s">
        <v>59</v>
      </c>
      <c r="G71" s="1">
        <v>1.5</v>
      </c>
      <c r="H71" s="1" t="s">
        <v>60</v>
      </c>
      <c r="I71" s="1">
        <v>-165.0</v>
      </c>
      <c r="J71" s="1">
        <v>-0.261572108913207</v>
      </c>
      <c r="K71" s="1" t="s">
        <v>61</v>
      </c>
      <c r="L71" s="1" t="s">
        <v>61</v>
      </c>
      <c r="M71" s="1" t="s">
        <v>62</v>
      </c>
      <c r="N71" s="1">
        <v>127.0</v>
      </c>
      <c r="O71" s="1">
        <v>0.198407087497797</v>
      </c>
      <c r="P71" s="1" t="s">
        <v>61</v>
      </c>
      <c r="Q71" s="1" t="s">
        <v>61</v>
      </c>
      <c r="R71" s="1">
        <f t="shared" si="1"/>
        <v>0.1984070875</v>
      </c>
      <c r="S71" s="1">
        <f t="shared" si="2"/>
        <v>127</v>
      </c>
      <c r="T71" s="1">
        <f t="shared" si="3"/>
        <v>2.27</v>
      </c>
      <c r="U71" s="1">
        <f t="shared" si="4"/>
        <v>0</v>
      </c>
      <c r="V71" s="3">
        <f t="shared" si="5"/>
        <v>3</v>
      </c>
      <c r="W71" s="3">
        <f t="shared" si="6"/>
        <v>1</v>
      </c>
      <c r="X71" s="3" t="str">
        <f>IFERROR(__xludf.DUMMYFUNCTION("split(B71,"" "")"),"J.")</f>
        <v>J.</v>
      </c>
      <c r="Y71" s="3" t="str">
        <f>IFERROR(__xludf.DUMMYFUNCTION("""COMPUTED_VALUE"""),"Conner")</f>
        <v>Conner</v>
      </c>
      <c r="AA71" s="3">
        <v>3.0</v>
      </c>
      <c r="AB71" s="3">
        <f t="shared" si="7"/>
        <v>1</v>
      </c>
      <c r="AC71" s="3">
        <f t="shared" si="8"/>
        <v>0</v>
      </c>
      <c r="AD71" s="3">
        <f t="shared" si="9"/>
        <v>3.81</v>
      </c>
      <c r="AE71" s="3">
        <f t="shared" si="10"/>
        <v>-3</v>
      </c>
      <c r="AF71" s="3">
        <f t="shared" si="11"/>
        <v>-1</v>
      </c>
      <c r="AG71" s="3">
        <f t="shared" si="12"/>
        <v>-1</v>
      </c>
    </row>
    <row r="72">
      <c r="A72" s="1" t="s">
        <v>8</v>
      </c>
      <c r="B72" s="1" t="s">
        <v>127</v>
      </c>
      <c r="C72" s="1" t="s">
        <v>19</v>
      </c>
      <c r="D72" s="1" t="s">
        <v>58</v>
      </c>
      <c r="E72" s="1" t="s">
        <v>57</v>
      </c>
      <c r="F72" s="1" t="s">
        <v>59</v>
      </c>
      <c r="G72" s="1">
        <v>6.5</v>
      </c>
      <c r="H72" s="1" t="s">
        <v>60</v>
      </c>
      <c r="I72" s="1">
        <v>-120.0</v>
      </c>
      <c r="J72" s="1">
        <v>-0.263294045817754</v>
      </c>
      <c r="K72" s="1" t="s">
        <v>61</v>
      </c>
      <c r="L72" s="1" t="s">
        <v>61</v>
      </c>
      <c r="M72" s="1" t="s">
        <v>62</v>
      </c>
      <c r="N72" s="1">
        <v>-109.0</v>
      </c>
      <c r="O72" s="1">
        <v>0.196314220990897</v>
      </c>
      <c r="P72" s="1" t="s">
        <v>61</v>
      </c>
      <c r="Q72" s="1" t="s">
        <v>61</v>
      </c>
      <c r="R72" s="1">
        <f t="shared" si="1"/>
        <v>0.196314221</v>
      </c>
      <c r="S72" s="1">
        <f t="shared" si="2"/>
        <v>-109</v>
      </c>
      <c r="T72" s="1">
        <f t="shared" si="3"/>
        <v>1.917431193</v>
      </c>
      <c r="U72" s="1">
        <f t="shared" si="4"/>
        <v>0</v>
      </c>
      <c r="V72" s="3">
        <f t="shared" si="5"/>
        <v>3</v>
      </c>
      <c r="W72" s="3">
        <f t="shared" si="6"/>
        <v>2</v>
      </c>
      <c r="X72" s="3" t="str">
        <f>IFERROR(__xludf.DUMMYFUNCTION("split(B72,"" "")"),"J.")</f>
        <v>J.</v>
      </c>
      <c r="Y72" s="3" t="str">
        <f>IFERROR(__xludf.DUMMYFUNCTION("""COMPUTED_VALUE"""),"Williams")</f>
        <v>Williams</v>
      </c>
      <c r="AA72" s="3">
        <v>11.0</v>
      </c>
      <c r="AB72" s="3">
        <f t="shared" si="7"/>
        <v>1</v>
      </c>
      <c r="AC72" s="3">
        <f t="shared" si="8"/>
        <v>0</v>
      </c>
      <c r="AD72" s="3">
        <f t="shared" si="9"/>
        <v>2.752293578</v>
      </c>
      <c r="AE72" s="3">
        <f t="shared" si="10"/>
        <v>-3</v>
      </c>
      <c r="AF72" s="3">
        <f t="shared" si="11"/>
        <v>-2</v>
      </c>
      <c r="AG72" s="3">
        <f t="shared" si="12"/>
        <v>-0.6923076923</v>
      </c>
    </row>
    <row r="73">
      <c r="A73" s="1" t="s">
        <v>12</v>
      </c>
      <c r="B73" s="1" t="s">
        <v>476</v>
      </c>
      <c r="C73" s="1" t="s">
        <v>19</v>
      </c>
      <c r="D73" s="1" t="s">
        <v>66</v>
      </c>
      <c r="E73" s="1" t="s">
        <v>67</v>
      </c>
      <c r="F73" s="1" t="s">
        <v>59</v>
      </c>
      <c r="G73" s="1">
        <v>2.5</v>
      </c>
      <c r="H73" s="1" t="s">
        <v>60</v>
      </c>
      <c r="I73" s="1">
        <v>-120.0</v>
      </c>
      <c r="J73" s="1">
        <v>-0.258905069454545</v>
      </c>
      <c r="K73" s="1" t="s">
        <v>61</v>
      </c>
      <c r="L73" s="1" t="s">
        <v>61</v>
      </c>
      <c r="M73" s="1" t="s">
        <v>62</v>
      </c>
      <c r="N73" s="1">
        <v>-108.0</v>
      </c>
      <c r="O73" s="1">
        <v>0.194212713953846</v>
      </c>
      <c r="P73" s="1" t="s">
        <v>61</v>
      </c>
      <c r="Q73" s="1" t="s">
        <v>61</v>
      </c>
      <c r="R73" s="1">
        <f t="shared" si="1"/>
        <v>0.194212714</v>
      </c>
      <c r="S73" s="1">
        <f t="shared" si="2"/>
        <v>-108</v>
      </c>
      <c r="T73" s="1">
        <f t="shared" si="3"/>
        <v>1.925925926</v>
      </c>
      <c r="U73" s="1">
        <f t="shared" si="4"/>
        <v>0</v>
      </c>
      <c r="V73" s="3">
        <f t="shared" si="5"/>
        <v>3</v>
      </c>
      <c r="W73" s="3">
        <f t="shared" si="6"/>
        <v>2</v>
      </c>
      <c r="X73" s="3" t="str">
        <f>IFERROR(__xludf.DUMMYFUNCTION("split(B73,"" "")"),"R.")</f>
        <v>R.</v>
      </c>
      <c r="Y73" s="3" t="str">
        <f>IFERROR(__xludf.DUMMYFUNCTION("""COMPUTED_VALUE"""),"Stevenson")</f>
        <v>Stevenson</v>
      </c>
      <c r="AA73" s="3">
        <v>3.0</v>
      </c>
      <c r="AB73" s="3">
        <f t="shared" si="7"/>
        <v>1</v>
      </c>
      <c r="AC73" s="3">
        <f t="shared" si="8"/>
        <v>0</v>
      </c>
      <c r="AD73" s="3">
        <f t="shared" si="9"/>
        <v>2.777777778</v>
      </c>
      <c r="AE73" s="3">
        <f t="shared" si="10"/>
        <v>-3</v>
      </c>
      <c r="AF73" s="3">
        <f t="shared" si="11"/>
        <v>-2</v>
      </c>
      <c r="AG73" s="3">
        <f t="shared" si="12"/>
        <v>-0.2</v>
      </c>
    </row>
    <row r="74">
      <c r="A74" s="1" t="s">
        <v>12</v>
      </c>
      <c r="B74" s="1" t="s">
        <v>289</v>
      </c>
      <c r="C74" s="1" t="s">
        <v>19</v>
      </c>
      <c r="D74" s="1" t="s">
        <v>94</v>
      </c>
      <c r="E74" s="1" t="s">
        <v>93</v>
      </c>
      <c r="F74" s="1" t="s">
        <v>59</v>
      </c>
      <c r="G74" s="1">
        <v>2.5</v>
      </c>
      <c r="H74" s="1" t="s">
        <v>60</v>
      </c>
      <c r="I74" s="1">
        <v>-184.0</v>
      </c>
      <c r="J74" s="1">
        <v>-0.250320251901408</v>
      </c>
      <c r="K74" s="1" t="s">
        <v>61</v>
      </c>
      <c r="L74" s="1" t="s">
        <v>61</v>
      </c>
      <c r="M74" s="1" t="s">
        <v>62</v>
      </c>
      <c r="N74" s="1">
        <v>140.0</v>
      </c>
      <c r="O74" s="1">
        <v>0.185772298083333</v>
      </c>
      <c r="P74" s="1" t="s">
        <v>61</v>
      </c>
      <c r="Q74" s="1" t="s">
        <v>61</v>
      </c>
      <c r="R74" s="1">
        <f t="shared" si="1"/>
        <v>0.1857722981</v>
      </c>
      <c r="S74" s="1">
        <f t="shared" si="2"/>
        <v>140</v>
      </c>
      <c r="T74" s="1">
        <f t="shared" si="3"/>
        <v>2.4</v>
      </c>
      <c r="U74" s="1">
        <f t="shared" si="4"/>
        <v>0</v>
      </c>
      <c r="V74" s="3">
        <f t="shared" si="5"/>
        <v>3</v>
      </c>
      <c r="W74" s="3">
        <f t="shared" si="6"/>
        <v>1</v>
      </c>
      <c r="X74" s="3" t="str">
        <f>IFERROR(__xludf.DUMMYFUNCTION("split(B74,"" "")"),"D.")</f>
        <v>D.</v>
      </c>
      <c r="Y74" s="3" t="str">
        <f>IFERROR(__xludf.DUMMYFUNCTION("""COMPUTED_VALUE"""),"Achane")</f>
        <v>Achane</v>
      </c>
      <c r="AA74" s="3">
        <v>7.0</v>
      </c>
      <c r="AB74" s="3">
        <f t="shared" si="7"/>
        <v>1</v>
      </c>
      <c r="AC74" s="3">
        <f t="shared" si="8"/>
        <v>0</v>
      </c>
      <c r="AD74" s="3">
        <f t="shared" si="9"/>
        <v>4.2</v>
      </c>
      <c r="AE74" s="3">
        <f t="shared" si="10"/>
        <v>-3</v>
      </c>
      <c r="AF74" s="3">
        <f t="shared" si="11"/>
        <v>-1</v>
      </c>
      <c r="AG74" s="3">
        <f t="shared" si="12"/>
        <v>-1.8</v>
      </c>
    </row>
    <row r="75">
      <c r="A75" s="1" t="s">
        <v>12</v>
      </c>
      <c r="B75" s="1" t="s">
        <v>488</v>
      </c>
      <c r="C75" s="1" t="s">
        <v>20</v>
      </c>
      <c r="D75" s="1" t="s">
        <v>114</v>
      </c>
      <c r="E75" s="1" t="s">
        <v>113</v>
      </c>
      <c r="F75" s="1" t="s">
        <v>90</v>
      </c>
      <c r="G75" s="1">
        <v>2.5</v>
      </c>
      <c r="H75" s="1" t="s">
        <v>60</v>
      </c>
      <c r="I75" s="1">
        <v>-153.0</v>
      </c>
      <c r="J75" s="1">
        <v>-0.251241463003952</v>
      </c>
      <c r="K75" s="1" t="s">
        <v>61</v>
      </c>
      <c r="L75" s="1" t="s">
        <v>61</v>
      </c>
      <c r="M75" s="1" t="s">
        <v>62</v>
      </c>
      <c r="N75" s="1">
        <v>117.0</v>
      </c>
      <c r="O75" s="1">
        <v>0.185668618156682</v>
      </c>
      <c r="P75" s="1" t="s">
        <v>61</v>
      </c>
      <c r="Q75" s="1" t="s">
        <v>61</v>
      </c>
      <c r="R75" s="1">
        <f t="shared" si="1"/>
        <v>0.1856686182</v>
      </c>
      <c r="S75" s="1">
        <f t="shared" si="2"/>
        <v>117</v>
      </c>
      <c r="T75" s="1">
        <f t="shared" si="3"/>
        <v>2.17</v>
      </c>
      <c r="U75" s="1">
        <f t="shared" si="4"/>
        <v>0</v>
      </c>
      <c r="V75" s="3">
        <f t="shared" si="5"/>
        <v>3</v>
      </c>
      <c r="W75" s="3">
        <f t="shared" si="6"/>
        <v>1</v>
      </c>
      <c r="X75" s="3" t="str">
        <f>IFERROR(__xludf.DUMMYFUNCTION("split(B75,"" "")"),"Z.")</f>
        <v>Z.</v>
      </c>
      <c r="Y75" s="3" t="str">
        <f>IFERROR(__xludf.DUMMYFUNCTION("""COMPUTED_VALUE"""),"Ertz")</f>
        <v>Ertz</v>
      </c>
      <c r="AA75" s="3">
        <v>3.0</v>
      </c>
      <c r="AB75" s="3">
        <f t="shared" si="7"/>
        <v>1</v>
      </c>
      <c r="AC75" s="3">
        <f t="shared" si="8"/>
        <v>0</v>
      </c>
      <c r="AD75" s="3">
        <f t="shared" si="9"/>
        <v>3.51</v>
      </c>
      <c r="AE75" s="3">
        <f t="shared" si="10"/>
        <v>-3</v>
      </c>
      <c r="AF75" s="3">
        <f t="shared" si="11"/>
        <v>-1</v>
      </c>
      <c r="AG75" s="3">
        <f t="shared" si="12"/>
        <v>-0.2</v>
      </c>
    </row>
    <row r="76">
      <c r="A76" s="1" t="s">
        <v>12</v>
      </c>
      <c r="B76" s="1" t="s">
        <v>467</v>
      </c>
      <c r="C76" s="1" t="s">
        <v>18</v>
      </c>
      <c r="D76" s="1" t="s">
        <v>93</v>
      </c>
      <c r="E76" s="1" t="s">
        <v>94</v>
      </c>
      <c r="F76" s="1" t="s">
        <v>59</v>
      </c>
      <c r="G76" s="1">
        <v>2.5</v>
      </c>
      <c r="H76" s="1" t="s">
        <v>60</v>
      </c>
      <c r="I76" s="1">
        <v>-157.0</v>
      </c>
      <c r="J76" s="1">
        <v>-0.254732212840467</v>
      </c>
      <c r="K76" s="1" t="s">
        <v>61</v>
      </c>
      <c r="L76" s="1" t="s">
        <v>61</v>
      </c>
      <c r="M76" s="1" t="s">
        <v>62</v>
      </c>
      <c r="N76" s="1">
        <v>118.0</v>
      </c>
      <c r="O76" s="1">
        <v>0.18512834266055</v>
      </c>
      <c r="P76" s="1" t="s">
        <v>61</v>
      </c>
      <c r="Q76" s="1" t="s">
        <v>61</v>
      </c>
      <c r="R76" s="1">
        <f t="shared" si="1"/>
        <v>0.1851283427</v>
      </c>
      <c r="S76" s="1">
        <f t="shared" si="2"/>
        <v>118</v>
      </c>
      <c r="T76" s="1">
        <f t="shared" si="3"/>
        <v>2.18</v>
      </c>
      <c r="U76" s="1">
        <f t="shared" si="4"/>
        <v>0</v>
      </c>
      <c r="V76" s="3">
        <f t="shared" si="5"/>
        <v>3</v>
      </c>
      <c r="W76" s="3">
        <f t="shared" si="6"/>
        <v>1</v>
      </c>
      <c r="X76" s="3" t="str">
        <f>IFERROR(__xludf.DUMMYFUNCTION("split(B76,"" "")"),"G.")</f>
        <v>G.</v>
      </c>
      <c r="Y76" s="3" t="str">
        <f>IFERROR(__xludf.DUMMYFUNCTION("""COMPUTED_VALUE"""),"Davis")</f>
        <v>Davis</v>
      </c>
      <c r="AA76" s="3">
        <v>3.0</v>
      </c>
      <c r="AB76" s="3">
        <f t="shared" si="7"/>
        <v>1</v>
      </c>
      <c r="AC76" s="3">
        <f t="shared" si="8"/>
        <v>0</v>
      </c>
      <c r="AD76" s="3">
        <f t="shared" si="9"/>
        <v>3.54</v>
      </c>
      <c r="AE76" s="3">
        <f t="shared" si="10"/>
        <v>-3</v>
      </c>
      <c r="AF76" s="3">
        <f t="shared" si="11"/>
        <v>-1</v>
      </c>
      <c r="AG76" s="3">
        <f t="shared" si="12"/>
        <v>-0.2</v>
      </c>
    </row>
    <row r="77">
      <c r="A77" s="1" t="s">
        <v>12</v>
      </c>
      <c r="B77" s="1" t="s">
        <v>408</v>
      </c>
      <c r="C77" s="1" t="s">
        <v>19</v>
      </c>
      <c r="D77" s="1" t="s">
        <v>114</v>
      </c>
      <c r="E77" s="1" t="s">
        <v>113</v>
      </c>
      <c r="F77" s="1" t="s">
        <v>90</v>
      </c>
      <c r="G77" s="1">
        <v>2.5</v>
      </c>
      <c r="H77" s="1" t="s">
        <v>60</v>
      </c>
      <c r="I77" s="1">
        <v>-158.0</v>
      </c>
      <c r="J77" s="1">
        <v>-0.242062441240309</v>
      </c>
      <c r="K77" s="1" t="s">
        <v>61</v>
      </c>
      <c r="L77" s="1" t="s">
        <v>61</v>
      </c>
      <c r="M77" s="1" t="s">
        <v>62</v>
      </c>
      <c r="N77" s="1">
        <v>120.0</v>
      </c>
      <c r="O77" s="1">
        <v>0.17510686290909</v>
      </c>
      <c r="P77" s="1" t="s">
        <v>61</v>
      </c>
      <c r="Q77" s="1" t="s">
        <v>61</v>
      </c>
      <c r="R77" s="1">
        <f t="shared" si="1"/>
        <v>0.1751068629</v>
      </c>
      <c r="S77" s="1">
        <f t="shared" si="2"/>
        <v>120</v>
      </c>
      <c r="T77" s="1">
        <f t="shared" si="3"/>
        <v>2.2</v>
      </c>
      <c r="U77" s="1">
        <f t="shared" si="4"/>
        <v>0</v>
      </c>
      <c r="V77" s="3">
        <f t="shared" si="5"/>
        <v>3</v>
      </c>
      <c r="W77" s="3">
        <f t="shared" si="6"/>
        <v>1</v>
      </c>
      <c r="X77" s="3" t="str">
        <f>IFERROR(__xludf.DUMMYFUNCTION("split(B77,"" "")"),"A.")</f>
        <v>A.</v>
      </c>
      <c r="Y77" s="3" t="str">
        <f>IFERROR(__xludf.DUMMYFUNCTION("""COMPUTED_VALUE"""),"Ekeler")</f>
        <v>Ekeler</v>
      </c>
      <c r="AA77" s="3">
        <v>4.0</v>
      </c>
      <c r="AB77" s="3">
        <f t="shared" si="7"/>
        <v>1</v>
      </c>
      <c r="AC77" s="3">
        <f t="shared" si="8"/>
        <v>0</v>
      </c>
      <c r="AD77" s="3">
        <f t="shared" si="9"/>
        <v>3.6</v>
      </c>
      <c r="AE77" s="3">
        <f t="shared" si="10"/>
        <v>-3</v>
      </c>
      <c r="AF77" s="3">
        <f t="shared" si="11"/>
        <v>-1</v>
      </c>
      <c r="AG77" s="3">
        <f t="shared" si="12"/>
        <v>-0.6</v>
      </c>
    </row>
    <row r="78">
      <c r="A78" s="1" t="s">
        <v>12</v>
      </c>
      <c r="B78" s="1" t="s">
        <v>465</v>
      </c>
      <c r="C78" s="1" t="s">
        <v>19</v>
      </c>
      <c r="D78" s="1" t="s">
        <v>83</v>
      </c>
      <c r="E78" s="1" t="s">
        <v>82</v>
      </c>
      <c r="F78" s="1" t="s">
        <v>84</v>
      </c>
      <c r="G78" s="1">
        <v>1.5</v>
      </c>
      <c r="H78" s="1" t="s">
        <v>60</v>
      </c>
      <c r="I78" s="1">
        <v>-183.0</v>
      </c>
      <c r="J78" s="1">
        <v>-0.247106792561837</v>
      </c>
      <c r="K78" s="1" t="s">
        <v>61</v>
      </c>
      <c r="L78" s="1" t="s">
        <v>61</v>
      </c>
      <c r="M78" s="1" t="s">
        <v>62</v>
      </c>
      <c r="N78" s="1">
        <v>135.0</v>
      </c>
      <c r="O78" s="1">
        <v>0.174924350191489</v>
      </c>
      <c r="P78" s="1" t="s">
        <v>61</v>
      </c>
      <c r="Q78" s="1" t="s">
        <v>61</v>
      </c>
      <c r="R78" s="1">
        <f t="shared" si="1"/>
        <v>0.1749243502</v>
      </c>
      <c r="S78" s="1">
        <f t="shared" si="2"/>
        <v>135</v>
      </c>
      <c r="T78" s="1">
        <f t="shared" si="3"/>
        <v>2.35</v>
      </c>
      <c r="U78" s="1">
        <f t="shared" si="4"/>
        <v>0</v>
      </c>
      <c r="V78" s="3">
        <f t="shared" si="5"/>
        <v>3</v>
      </c>
      <c r="W78" s="3">
        <f t="shared" si="6"/>
        <v>1</v>
      </c>
      <c r="X78" s="3" t="str">
        <f>IFERROR(__xludf.DUMMYFUNCTION("split(B78,"" "")"),"J.")</f>
        <v>J.</v>
      </c>
      <c r="Y78" s="3" t="str">
        <f>IFERROR(__xludf.DUMMYFUNCTION("""COMPUTED_VALUE"""),"McLaughlin")</f>
        <v>McLaughlin</v>
      </c>
      <c r="AA78" s="3">
        <v>5.0</v>
      </c>
      <c r="AB78" s="3">
        <f t="shared" si="7"/>
        <v>1</v>
      </c>
      <c r="AC78" s="3">
        <f t="shared" si="8"/>
        <v>0</v>
      </c>
      <c r="AD78" s="3">
        <f t="shared" si="9"/>
        <v>4.05</v>
      </c>
      <c r="AE78" s="3">
        <f t="shared" si="10"/>
        <v>-3</v>
      </c>
      <c r="AF78" s="3">
        <f t="shared" si="11"/>
        <v>-1</v>
      </c>
      <c r="AG78" s="3">
        <f t="shared" si="12"/>
        <v>-2.333333333</v>
      </c>
    </row>
    <row r="79">
      <c r="A79" s="1" t="s">
        <v>8</v>
      </c>
      <c r="B79" s="1" t="s">
        <v>434</v>
      </c>
      <c r="C79" s="1" t="s">
        <v>21</v>
      </c>
      <c r="D79" s="1" t="s">
        <v>104</v>
      </c>
      <c r="E79" s="1" t="s">
        <v>105</v>
      </c>
      <c r="F79" s="1" t="s">
        <v>59</v>
      </c>
      <c r="G79" s="1">
        <v>7.0</v>
      </c>
      <c r="H79" s="1" t="s">
        <v>60</v>
      </c>
      <c r="I79" s="1">
        <v>-121.0</v>
      </c>
      <c r="J79" s="1">
        <v>-0.233144092631218</v>
      </c>
      <c r="K79" s="1" t="s">
        <v>61</v>
      </c>
      <c r="L79" s="1" t="s">
        <v>61</v>
      </c>
      <c r="M79" s="1" t="s">
        <v>62</v>
      </c>
      <c r="N79" s="1">
        <v>-108.0</v>
      </c>
      <c r="O79" s="1">
        <v>0.171672596294323</v>
      </c>
      <c r="P79" s="1" t="s">
        <v>61</v>
      </c>
      <c r="Q79" s="1" t="s">
        <v>61</v>
      </c>
      <c r="R79" s="1">
        <f t="shared" si="1"/>
        <v>0.1716725963</v>
      </c>
      <c r="S79" s="1">
        <f t="shared" si="2"/>
        <v>-108</v>
      </c>
      <c r="T79" s="1">
        <f t="shared" si="3"/>
        <v>1.925925926</v>
      </c>
      <c r="U79" s="1">
        <f t="shared" si="4"/>
        <v>0</v>
      </c>
      <c r="V79" s="3">
        <f t="shared" si="5"/>
        <v>3</v>
      </c>
      <c r="W79" s="3">
        <f t="shared" si="6"/>
        <v>2</v>
      </c>
      <c r="X79" s="3" t="str">
        <f>IFERROR(__xludf.DUMMYFUNCTION("split(B79,"" "")"),"J.")</f>
        <v>J.</v>
      </c>
      <c r="Y79" s="3" t="str">
        <f>IFERROR(__xludf.DUMMYFUNCTION("""COMPUTED_VALUE"""),"Allen")</f>
        <v>Allen</v>
      </c>
      <c r="AA79" s="3">
        <v>9.0</v>
      </c>
      <c r="AB79" s="3">
        <f t="shared" si="7"/>
        <v>1</v>
      </c>
      <c r="AC79" s="3">
        <f t="shared" si="8"/>
        <v>0</v>
      </c>
      <c r="AD79" s="3">
        <f t="shared" si="9"/>
        <v>2.777777778</v>
      </c>
      <c r="AE79" s="3">
        <f t="shared" si="10"/>
        <v>-3</v>
      </c>
      <c r="AF79" s="3">
        <f t="shared" si="11"/>
        <v>-2</v>
      </c>
      <c r="AG79" s="3">
        <f t="shared" si="12"/>
        <v>-0.2857142857</v>
      </c>
    </row>
    <row r="80">
      <c r="A80" s="1" t="s">
        <v>12</v>
      </c>
      <c r="B80" s="1" t="s">
        <v>393</v>
      </c>
      <c r="C80" s="1" t="s">
        <v>19</v>
      </c>
      <c r="D80" s="1" t="s">
        <v>197</v>
      </c>
      <c r="E80" s="1" t="s">
        <v>196</v>
      </c>
      <c r="F80" s="1" t="s">
        <v>198</v>
      </c>
      <c r="G80" s="1">
        <v>2.5</v>
      </c>
      <c r="H80" s="1" t="s">
        <v>60</v>
      </c>
      <c r="I80" s="1">
        <v>-173.0</v>
      </c>
      <c r="J80" s="1">
        <v>-0.233260559230769</v>
      </c>
      <c r="K80" s="1" t="s">
        <v>61</v>
      </c>
      <c r="L80" s="1" t="s">
        <v>61</v>
      </c>
      <c r="M80" s="1" t="s">
        <v>62</v>
      </c>
      <c r="N80" s="1">
        <v>132.0</v>
      </c>
      <c r="O80" s="1">
        <v>0.168519537370689</v>
      </c>
      <c r="P80" s="1" t="s">
        <v>61</v>
      </c>
      <c r="Q80" s="1" t="s">
        <v>61</v>
      </c>
      <c r="R80" s="1">
        <f t="shared" si="1"/>
        <v>0.1685195374</v>
      </c>
      <c r="S80" s="1">
        <f t="shared" si="2"/>
        <v>132</v>
      </c>
      <c r="T80" s="1">
        <f t="shared" si="3"/>
        <v>2.32</v>
      </c>
      <c r="U80" s="1">
        <f t="shared" si="4"/>
        <v>0</v>
      </c>
      <c r="V80" s="3">
        <f t="shared" si="5"/>
        <v>3</v>
      </c>
      <c r="W80" s="3">
        <f t="shared" si="6"/>
        <v>1</v>
      </c>
      <c r="X80" s="3" t="str">
        <f>IFERROR(__xludf.DUMMYFUNCTION("split(B80,"" "")"),"J.")</f>
        <v>J.</v>
      </c>
      <c r="Y80" s="3" t="str">
        <f>IFERROR(__xludf.DUMMYFUNCTION("""COMPUTED_VALUE"""),"Gibbs")</f>
        <v>Gibbs</v>
      </c>
      <c r="AA80" s="3">
        <v>4.0</v>
      </c>
      <c r="AB80" s="3">
        <f t="shared" si="7"/>
        <v>1</v>
      </c>
      <c r="AC80" s="3">
        <f t="shared" si="8"/>
        <v>0</v>
      </c>
      <c r="AD80" s="3">
        <f t="shared" si="9"/>
        <v>3.96</v>
      </c>
      <c r="AE80" s="3">
        <f t="shared" si="10"/>
        <v>-3</v>
      </c>
      <c r="AF80" s="3">
        <f t="shared" si="11"/>
        <v>-1</v>
      </c>
      <c r="AG80" s="3">
        <f t="shared" si="12"/>
        <v>-0.6</v>
      </c>
    </row>
    <row r="81">
      <c r="A81" s="1" t="s">
        <v>8</v>
      </c>
      <c r="B81" s="1" t="s">
        <v>405</v>
      </c>
      <c r="C81" s="1" t="s">
        <v>21</v>
      </c>
      <c r="D81" s="1" t="s">
        <v>135</v>
      </c>
      <c r="E81" s="1" t="s">
        <v>134</v>
      </c>
      <c r="F81" s="1" t="s">
        <v>84</v>
      </c>
      <c r="G81" s="1">
        <v>3.5</v>
      </c>
      <c r="H81" s="1" t="s">
        <v>60</v>
      </c>
      <c r="I81" s="1">
        <v>-135.0</v>
      </c>
      <c r="J81" s="1">
        <v>-0.242905338562626</v>
      </c>
      <c r="K81" s="1" t="s">
        <v>61</v>
      </c>
      <c r="L81" s="1" t="s">
        <v>61</v>
      </c>
      <c r="M81" s="1" t="s">
        <v>62</v>
      </c>
      <c r="N81" s="1">
        <v>100.0</v>
      </c>
      <c r="O81" s="1">
        <v>0.168443772811085</v>
      </c>
      <c r="P81" s="1" t="s">
        <v>61</v>
      </c>
      <c r="Q81" s="1" t="s">
        <v>61</v>
      </c>
      <c r="R81" s="1">
        <f t="shared" si="1"/>
        <v>0.1684437728</v>
      </c>
      <c r="S81" s="1">
        <f t="shared" si="2"/>
        <v>100</v>
      </c>
      <c r="T81" s="1">
        <f t="shared" si="3"/>
        <v>2</v>
      </c>
      <c r="U81" s="1">
        <f t="shared" si="4"/>
        <v>0</v>
      </c>
      <c r="V81" s="3">
        <f t="shared" si="5"/>
        <v>3</v>
      </c>
      <c r="W81" s="3">
        <f t="shared" si="6"/>
        <v>2</v>
      </c>
      <c r="X81" s="3" t="str">
        <f>IFERROR(__xludf.DUMMYFUNCTION("split(B81,"" "")"),"J.")</f>
        <v>J.</v>
      </c>
      <c r="Y81" s="3" t="str">
        <f>IFERROR(__xludf.DUMMYFUNCTION("""COMPUTED_VALUE"""),"Herbert")</f>
        <v>Herbert</v>
      </c>
      <c r="AA81" s="3">
        <v>4.0</v>
      </c>
      <c r="AB81" s="3">
        <f t="shared" si="7"/>
        <v>1</v>
      </c>
      <c r="AC81" s="3">
        <f t="shared" si="8"/>
        <v>0</v>
      </c>
      <c r="AD81" s="3">
        <f t="shared" si="9"/>
        <v>3</v>
      </c>
      <c r="AE81" s="3">
        <f t="shared" si="10"/>
        <v>-3</v>
      </c>
      <c r="AF81" s="3">
        <f t="shared" si="11"/>
        <v>-2</v>
      </c>
      <c r="AG81" s="3">
        <f t="shared" si="12"/>
        <v>-0.1428571429</v>
      </c>
    </row>
    <row r="82">
      <c r="A82" s="1" t="s">
        <v>12</v>
      </c>
      <c r="B82" s="1" t="s">
        <v>375</v>
      </c>
      <c r="C82" s="1" t="s">
        <v>19</v>
      </c>
      <c r="D82" s="1" t="s">
        <v>88</v>
      </c>
      <c r="E82" s="1" t="s">
        <v>89</v>
      </c>
      <c r="F82" s="1" t="s">
        <v>90</v>
      </c>
      <c r="G82" s="1">
        <v>1.5</v>
      </c>
      <c r="H82" s="1" t="s">
        <v>60</v>
      </c>
      <c r="I82" s="1">
        <v>-143.0</v>
      </c>
      <c r="J82" s="1">
        <v>-0.232352354855967</v>
      </c>
      <c r="K82" s="1" t="s">
        <v>61</v>
      </c>
      <c r="L82" s="1" t="s">
        <v>61</v>
      </c>
      <c r="M82" s="1" t="s">
        <v>62</v>
      </c>
      <c r="N82" s="1">
        <v>110.0</v>
      </c>
      <c r="O82" s="1">
        <v>0.167696296333333</v>
      </c>
      <c r="P82" s="1" t="s">
        <v>61</v>
      </c>
      <c r="Q82" s="1" t="s">
        <v>61</v>
      </c>
      <c r="R82" s="1">
        <f t="shared" si="1"/>
        <v>0.1676962963</v>
      </c>
      <c r="S82" s="1">
        <f t="shared" si="2"/>
        <v>110</v>
      </c>
      <c r="T82" s="1">
        <f t="shared" si="3"/>
        <v>2.1</v>
      </c>
      <c r="U82" s="1">
        <f t="shared" si="4"/>
        <v>0</v>
      </c>
      <c r="V82" s="3">
        <f t="shared" si="5"/>
        <v>3</v>
      </c>
      <c r="W82" s="3">
        <f t="shared" si="6"/>
        <v>2</v>
      </c>
      <c r="X82" s="3" t="str">
        <f>IFERROR(__xludf.DUMMYFUNCTION("split(B82,"" "")"),"E.")</f>
        <v>E.</v>
      </c>
      <c r="Y82" s="3" t="str">
        <f>IFERROR(__xludf.DUMMYFUNCTION("""COMPUTED_VALUE"""),"Elliott")</f>
        <v>Elliott</v>
      </c>
      <c r="AA82" s="3">
        <v>2.0</v>
      </c>
      <c r="AB82" s="3">
        <f t="shared" si="7"/>
        <v>1</v>
      </c>
      <c r="AC82" s="3">
        <f t="shared" si="8"/>
        <v>0</v>
      </c>
      <c r="AD82" s="3">
        <f t="shared" si="9"/>
        <v>3.3</v>
      </c>
      <c r="AE82" s="3">
        <f t="shared" si="10"/>
        <v>-3</v>
      </c>
      <c r="AF82" s="3">
        <f t="shared" si="11"/>
        <v>-2</v>
      </c>
      <c r="AG82" s="3">
        <f t="shared" si="12"/>
        <v>-0.3333333333</v>
      </c>
    </row>
    <row r="83">
      <c r="A83" s="1" t="s">
        <v>12</v>
      </c>
      <c r="B83" s="1" t="s">
        <v>454</v>
      </c>
      <c r="C83" s="1" t="s">
        <v>20</v>
      </c>
      <c r="D83" s="1" t="s">
        <v>77</v>
      </c>
      <c r="E83" s="1" t="s">
        <v>76</v>
      </c>
      <c r="F83" s="1" t="s">
        <v>78</v>
      </c>
      <c r="G83" s="1">
        <v>1.5</v>
      </c>
      <c r="H83" s="1" t="s">
        <v>60</v>
      </c>
      <c r="I83" s="1">
        <v>-139.0</v>
      </c>
      <c r="J83" s="6">
        <v>-0.231983107686192</v>
      </c>
      <c r="K83" s="1" t="s">
        <v>61</v>
      </c>
      <c r="L83" s="1" t="s">
        <v>61</v>
      </c>
      <c r="M83" s="1" t="s">
        <v>62</v>
      </c>
      <c r="N83" s="1">
        <v>107.0</v>
      </c>
      <c r="O83" s="6">
        <v>0.167300303077294</v>
      </c>
      <c r="P83" s="1" t="s">
        <v>61</v>
      </c>
      <c r="Q83" s="1" t="s">
        <v>61</v>
      </c>
      <c r="R83" s="6">
        <f t="shared" si="1"/>
        <v>0.1673003031</v>
      </c>
      <c r="S83" s="1">
        <f t="shared" si="2"/>
        <v>107</v>
      </c>
      <c r="T83" s="1">
        <f t="shared" si="3"/>
        <v>2.07</v>
      </c>
      <c r="U83" s="1">
        <f t="shared" si="4"/>
        <v>0</v>
      </c>
      <c r="V83" s="3">
        <f t="shared" si="5"/>
        <v>3</v>
      </c>
      <c r="W83" s="3">
        <f t="shared" si="6"/>
        <v>2</v>
      </c>
      <c r="X83" s="3" t="str">
        <f>IFERROR(__xludf.DUMMYFUNCTION("split(B83,"". "")"),"I")</f>
        <v>I</v>
      </c>
      <c r="Y83" s="3" t="str">
        <f>IFERROR(__xludf.DUMMYFUNCTION("""COMPUTED_VALUE"""),"Likely")</f>
        <v>Likely</v>
      </c>
      <c r="AA83" s="3">
        <v>9.0</v>
      </c>
      <c r="AB83" s="3">
        <f t="shared" si="7"/>
        <v>1</v>
      </c>
      <c r="AC83" s="3">
        <f t="shared" si="8"/>
        <v>0</v>
      </c>
      <c r="AD83" s="3">
        <f t="shared" si="9"/>
        <v>3.21</v>
      </c>
      <c r="AE83" s="3">
        <f t="shared" si="10"/>
        <v>-3</v>
      </c>
      <c r="AF83" s="3">
        <f t="shared" si="11"/>
        <v>-2</v>
      </c>
      <c r="AG83" s="3">
        <f t="shared" si="12"/>
        <v>-5</v>
      </c>
    </row>
    <row r="84">
      <c r="A84" s="1" t="s">
        <v>9</v>
      </c>
      <c r="B84" s="1" t="s">
        <v>484</v>
      </c>
      <c r="C84" s="1" t="s">
        <v>18</v>
      </c>
      <c r="D84" s="1" t="s">
        <v>76</v>
      </c>
      <c r="E84" s="1" t="s">
        <v>77</v>
      </c>
      <c r="F84" s="1" t="s">
        <v>78</v>
      </c>
      <c r="G84" s="1">
        <v>10.5</v>
      </c>
      <c r="H84" s="1" t="s">
        <v>60</v>
      </c>
      <c r="I84" s="1">
        <v>-121.0</v>
      </c>
      <c r="J84" s="6">
        <v>0.166864400913326</v>
      </c>
      <c r="K84" s="1" t="s">
        <v>61</v>
      </c>
      <c r="L84" s="1" t="s">
        <v>61</v>
      </c>
      <c r="M84" s="1" t="s">
        <v>62</v>
      </c>
      <c r="N84" s="1">
        <v>-113.0</v>
      </c>
      <c r="O84" s="6">
        <v>-0.244870712864248</v>
      </c>
      <c r="P84" s="1" t="s">
        <v>61</v>
      </c>
      <c r="Q84" s="1" t="s">
        <v>61</v>
      </c>
      <c r="R84" s="6">
        <f t="shared" si="1"/>
        <v>0.1668644009</v>
      </c>
      <c r="S84" s="1">
        <f t="shared" si="2"/>
        <v>-121</v>
      </c>
      <c r="T84" s="1">
        <f t="shared" si="3"/>
        <v>1.826446281</v>
      </c>
      <c r="U84" s="1">
        <f t="shared" si="4"/>
        <v>1</v>
      </c>
      <c r="V84" s="3">
        <f t="shared" si="5"/>
        <v>3</v>
      </c>
      <c r="W84" s="3">
        <f t="shared" si="6"/>
        <v>3</v>
      </c>
      <c r="X84" s="3" t="str">
        <f>IFERROR(__xludf.DUMMYFUNCTION("split(B84,"". "")"),"M")</f>
        <v>M</v>
      </c>
      <c r="Y84" s="3" t="str">
        <f>IFERROR(__xludf.DUMMYFUNCTION("""COMPUTED_VALUE"""),"Hardman")</f>
        <v>Hardman</v>
      </c>
      <c r="Z84" s="3" t="str">
        <f>IFERROR(__xludf.DUMMYFUNCTION("""COMPUTED_VALUE"""),"Jr")</f>
        <v>Jr</v>
      </c>
      <c r="AA84" s="3">
        <v>0.0</v>
      </c>
      <c r="AB84" s="3">
        <f t="shared" si="7"/>
        <v>0</v>
      </c>
      <c r="AC84" s="3">
        <f t="shared" si="8"/>
        <v>0</v>
      </c>
      <c r="AD84" s="3">
        <f t="shared" si="9"/>
        <v>2.479338843</v>
      </c>
      <c r="AE84" s="3">
        <f t="shared" si="10"/>
        <v>-3</v>
      </c>
      <c r="AF84" s="3">
        <f t="shared" si="11"/>
        <v>-3</v>
      </c>
      <c r="AG84" s="3">
        <f t="shared" si="12"/>
        <v>-1</v>
      </c>
    </row>
    <row r="85">
      <c r="A85" s="1" t="s">
        <v>11</v>
      </c>
      <c r="B85" s="1" t="s">
        <v>202</v>
      </c>
      <c r="C85" s="1" t="s">
        <v>19</v>
      </c>
      <c r="D85" s="1" t="s">
        <v>109</v>
      </c>
      <c r="E85" s="1" t="s">
        <v>110</v>
      </c>
      <c r="F85" s="1" t="s">
        <v>59</v>
      </c>
      <c r="G85" s="1">
        <v>0.5</v>
      </c>
      <c r="H85" s="1" t="s">
        <v>60</v>
      </c>
      <c r="I85" s="1">
        <v>-115.0</v>
      </c>
      <c r="J85" s="1">
        <v>0.165819224330871</v>
      </c>
      <c r="K85" s="1" t="s">
        <v>61</v>
      </c>
      <c r="L85" s="1" t="s">
        <v>61</v>
      </c>
      <c r="M85" s="1" t="s">
        <v>62</v>
      </c>
      <c r="N85" s="1">
        <v>-115.0</v>
      </c>
      <c r="O85" s="1">
        <v>-0.235572107980501</v>
      </c>
      <c r="P85" s="1" t="s">
        <v>61</v>
      </c>
      <c r="Q85" s="1" t="s">
        <v>61</v>
      </c>
      <c r="R85" s="1">
        <f t="shared" si="1"/>
        <v>0.1658192243</v>
      </c>
      <c r="S85" s="1">
        <f t="shared" si="2"/>
        <v>-115</v>
      </c>
      <c r="T85" s="1">
        <f t="shared" si="3"/>
        <v>1.869565217</v>
      </c>
      <c r="U85" s="1">
        <f t="shared" si="4"/>
        <v>1</v>
      </c>
      <c r="V85" s="3">
        <f t="shared" si="5"/>
        <v>3</v>
      </c>
      <c r="W85" s="3">
        <f t="shared" si="6"/>
        <v>2</v>
      </c>
      <c r="X85" s="3" t="str">
        <f>IFERROR(__xludf.DUMMYFUNCTION("split(B85,"" "")"),"T.")</f>
        <v>T.</v>
      </c>
      <c r="Y85" s="3" t="str">
        <f>IFERROR(__xludf.DUMMYFUNCTION("""COMPUTED_VALUE"""),"Allgeier")</f>
        <v>Allgeier</v>
      </c>
      <c r="AA85" s="3">
        <v>0.0</v>
      </c>
      <c r="AB85" s="3">
        <f t="shared" si="7"/>
        <v>0</v>
      </c>
      <c r="AC85" s="3">
        <f t="shared" si="8"/>
        <v>0</v>
      </c>
      <c r="AD85" s="3">
        <f t="shared" si="9"/>
        <v>2.608695652</v>
      </c>
      <c r="AE85" s="3">
        <f t="shared" si="10"/>
        <v>-3</v>
      </c>
      <c r="AF85" s="3">
        <f t="shared" si="11"/>
        <v>-2</v>
      </c>
      <c r="AG85" s="3">
        <f t="shared" si="12"/>
        <v>-1</v>
      </c>
    </row>
    <row r="86">
      <c r="A86" s="1" t="s">
        <v>8</v>
      </c>
      <c r="B86" s="1" t="s">
        <v>485</v>
      </c>
      <c r="C86" s="1" t="s">
        <v>19</v>
      </c>
      <c r="D86" s="1" t="s">
        <v>135</v>
      </c>
      <c r="E86" s="1" t="s">
        <v>134</v>
      </c>
      <c r="F86" s="1" t="s">
        <v>84</v>
      </c>
      <c r="G86" s="1">
        <v>9.5</v>
      </c>
      <c r="H86" s="1" t="s">
        <v>60</v>
      </c>
      <c r="I86" s="1">
        <v>102.0</v>
      </c>
      <c r="J86" s="1">
        <v>-0.234746159829725</v>
      </c>
      <c r="K86" s="1" t="s">
        <v>61</v>
      </c>
      <c r="L86" s="1" t="s">
        <v>61</v>
      </c>
      <c r="M86" s="1" t="s">
        <v>62</v>
      </c>
      <c r="N86" s="1">
        <v>-135.0</v>
      </c>
      <c r="O86" s="1">
        <v>0.165255643661102</v>
      </c>
      <c r="P86" s="1" t="s">
        <v>61</v>
      </c>
      <c r="Q86" s="1" t="s">
        <v>61</v>
      </c>
      <c r="R86" s="1">
        <f t="shared" si="1"/>
        <v>0.1652556437</v>
      </c>
      <c r="S86" s="1">
        <f t="shared" si="2"/>
        <v>-135</v>
      </c>
      <c r="T86" s="1">
        <f t="shared" si="3"/>
        <v>1.740740741</v>
      </c>
      <c r="U86" s="1">
        <f t="shared" si="4"/>
        <v>0</v>
      </c>
      <c r="V86" s="3">
        <f t="shared" si="5"/>
        <v>3</v>
      </c>
      <c r="W86" s="3">
        <f t="shared" si="6"/>
        <v>3</v>
      </c>
      <c r="X86" s="3" t="str">
        <f>IFERROR(__xludf.DUMMYFUNCTION("split(B86,"" "")"),"J.")</f>
        <v>J.</v>
      </c>
      <c r="Y86" s="3" t="str">
        <f>IFERROR(__xludf.DUMMYFUNCTION("""COMPUTED_VALUE"""),"Dobbins")</f>
        <v>Dobbins</v>
      </c>
      <c r="AA86" s="3">
        <v>10.0</v>
      </c>
      <c r="AB86" s="3">
        <f t="shared" si="7"/>
        <v>1</v>
      </c>
      <c r="AC86" s="3">
        <f t="shared" si="8"/>
        <v>0</v>
      </c>
      <c r="AD86" s="3">
        <f t="shared" si="9"/>
        <v>2.222222222</v>
      </c>
      <c r="AE86" s="3">
        <f t="shared" si="10"/>
        <v>-3</v>
      </c>
      <c r="AF86" s="3">
        <f t="shared" si="11"/>
        <v>-3</v>
      </c>
      <c r="AG86" s="3">
        <f t="shared" si="12"/>
        <v>-0.05263157895</v>
      </c>
    </row>
    <row r="87">
      <c r="A87" s="1" t="s">
        <v>8</v>
      </c>
      <c r="B87" s="1" t="s">
        <v>260</v>
      </c>
      <c r="C87" s="1" t="s">
        <v>21</v>
      </c>
      <c r="D87" s="1" t="s">
        <v>147</v>
      </c>
      <c r="E87" s="1" t="s">
        <v>146</v>
      </c>
      <c r="F87" s="1" t="s">
        <v>59</v>
      </c>
      <c r="G87" s="1">
        <v>5.5</v>
      </c>
      <c r="H87" s="1" t="s">
        <v>60</v>
      </c>
      <c r="I87" s="1">
        <v>-150.0</v>
      </c>
      <c r="J87" s="1">
        <v>-0.228615300882911</v>
      </c>
      <c r="K87" s="1" t="s">
        <v>61</v>
      </c>
      <c r="L87" s="1" t="s">
        <v>61</v>
      </c>
      <c r="M87" s="1" t="s">
        <v>62</v>
      </c>
      <c r="N87" s="1">
        <v>115.0</v>
      </c>
      <c r="O87" s="1">
        <v>0.16348523358478</v>
      </c>
      <c r="P87" s="1" t="s">
        <v>61</v>
      </c>
      <c r="Q87" s="1" t="s">
        <v>61</v>
      </c>
      <c r="R87" s="1">
        <f t="shared" si="1"/>
        <v>0.1634852336</v>
      </c>
      <c r="S87" s="1">
        <f t="shared" si="2"/>
        <v>115</v>
      </c>
      <c r="T87" s="1">
        <f t="shared" si="3"/>
        <v>2.15</v>
      </c>
      <c r="U87" s="1">
        <f t="shared" si="4"/>
        <v>0</v>
      </c>
      <c r="V87" s="3">
        <f t="shared" si="5"/>
        <v>3</v>
      </c>
      <c r="W87" s="3">
        <f t="shared" si="6"/>
        <v>1</v>
      </c>
      <c r="X87" s="3" t="str">
        <f>IFERROR(__xludf.DUMMYFUNCTION("split(B87,"" "")"),"D.")</f>
        <v>D.</v>
      </c>
      <c r="Y87" s="3" t="str">
        <f>IFERROR(__xludf.DUMMYFUNCTION("""COMPUTED_VALUE"""),"Jones")</f>
        <v>Jones</v>
      </c>
      <c r="AA87" s="3">
        <v>14.0</v>
      </c>
      <c r="AB87" s="3">
        <f t="shared" si="7"/>
        <v>1</v>
      </c>
      <c r="AC87" s="3">
        <f t="shared" si="8"/>
        <v>0</v>
      </c>
      <c r="AD87" s="3">
        <f t="shared" si="9"/>
        <v>3.45</v>
      </c>
      <c r="AE87" s="3">
        <f t="shared" si="10"/>
        <v>-3</v>
      </c>
      <c r="AF87" s="3">
        <f t="shared" si="11"/>
        <v>-1</v>
      </c>
      <c r="AG87" s="3">
        <f t="shared" si="12"/>
        <v>-1.545454545</v>
      </c>
    </row>
    <row r="88">
      <c r="A88" s="1" t="s">
        <v>8</v>
      </c>
      <c r="B88" s="1" t="s">
        <v>369</v>
      </c>
      <c r="C88" s="1" t="s">
        <v>21</v>
      </c>
      <c r="D88" s="1" t="s">
        <v>72</v>
      </c>
      <c r="E88" s="1" t="s">
        <v>71</v>
      </c>
      <c r="F88" s="1" t="s">
        <v>59</v>
      </c>
      <c r="G88" s="1">
        <v>2.5</v>
      </c>
      <c r="H88" s="1" t="s">
        <v>60</v>
      </c>
      <c r="I88" s="1">
        <v>-145.0</v>
      </c>
      <c r="J88" s="1">
        <v>-0.227010789303717</v>
      </c>
      <c r="K88" s="1" t="s">
        <v>61</v>
      </c>
      <c r="L88" s="1" t="s">
        <v>61</v>
      </c>
      <c r="M88" s="1" t="s">
        <v>62</v>
      </c>
      <c r="N88" s="1">
        <v>110.0</v>
      </c>
      <c r="O88" s="1">
        <v>0.158995920854337</v>
      </c>
      <c r="P88" s="1" t="s">
        <v>61</v>
      </c>
      <c r="Q88" s="1" t="s">
        <v>61</v>
      </c>
      <c r="R88" s="1">
        <f t="shared" si="1"/>
        <v>0.1589959209</v>
      </c>
      <c r="S88" s="1">
        <f t="shared" si="2"/>
        <v>110</v>
      </c>
      <c r="T88" s="1">
        <f t="shared" si="3"/>
        <v>2.1</v>
      </c>
      <c r="U88" s="1">
        <f t="shared" si="4"/>
        <v>0</v>
      </c>
      <c r="V88" s="3">
        <f t="shared" si="5"/>
        <v>3</v>
      </c>
      <c r="W88" s="3">
        <f t="shared" si="6"/>
        <v>2</v>
      </c>
      <c r="X88" s="3" t="str">
        <f>IFERROR(__xludf.DUMMYFUNCTION("split(B88,"" "")"),"C.")</f>
        <v>C.</v>
      </c>
      <c r="Y88" s="3" t="str">
        <f>IFERROR(__xludf.DUMMYFUNCTION("""COMPUTED_VALUE"""),"Stroud")</f>
        <v>Stroud</v>
      </c>
      <c r="AA88" s="3">
        <v>4.0</v>
      </c>
      <c r="AB88" s="3">
        <f t="shared" si="7"/>
        <v>1</v>
      </c>
      <c r="AC88" s="3">
        <f t="shared" si="8"/>
        <v>0</v>
      </c>
      <c r="AD88" s="3">
        <f t="shared" si="9"/>
        <v>3.3</v>
      </c>
      <c r="AE88" s="3">
        <f t="shared" si="10"/>
        <v>-3</v>
      </c>
      <c r="AF88" s="3">
        <f t="shared" si="11"/>
        <v>-2</v>
      </c>
      <c r="AG88" s="3">
        <f t="shared" si="12"/>
        <v>-0.6</v>
      </c>
    </row>
    <row r="89">
      <c r="A89" s="1" t="s">
        <v>12</v>
      </c>
      <c r="B89" s="1" t="s">
        <v>168</v>
      </c>
      <c r="C89" s="1" t="s">
        <v>19</v>
      </c>
      <c r="D89" s="1" t="s">
        <v>67</v>
      </c>
      <c r="E89" s="1" t="s">
        <v>66</v>
      </c>
      <c r="F89" s="1" t="s">
        <v>59</v>
      </c>
      <c r="G89" s="1">
        <v>1.5</v>
      </c>
      <c r="H89" s="1" t="s">
        <v>60</v>
      </c>
      <c r="I89" s="1">
        <v>-148.0</v>
      </c>
      <c r="J89" s="1">
        <v>-0.218813670459677</v>
      </c>
      <c r="K89" s="1" t="s">
        <v>61</v>
      </c>
      <c r="L89" s="1" t="s">
        <v>61</v>
      </c>
      <c r="M89" s="1" t="s">
        <v>62</v>
      </c>
      <c r="N89" s="1">
        <v>115.0</v>
      </c>
      <c r="O89" s="1">
        <v>0.156929257088372</v>
      </c>
      <c r="P89" s="1" t="s">
        <v>61</v>
      </c>
      <c r="Q89" s="1" t="s">
        <v>61</v>
      </c>
      <c r="R89" s="1">
        <f t="shared" si="1"/>
        <v>0.1569292571</v>
      </c>
      <c r="S89" s="1">
        <f t="shared" si="2"/>
        <v>115</v>
      </c>
      <c r="T89" s="1">
        <f t="shared" si="3"/>
        <v>2.15</v>
      </c>
      <c r="U89" s="1">
        <f t="shared" si="4"/>
        <v>0</v>
      </c>
      <c r="V89" s="3">
        <f t="shared" si="5"/>
        <v>3</v>
      </c>
      <c r="W89" s="3">
        <f t="shared" si="6"/>
        <v>1</v>
      </c>
      <c r="X89" s="3" t="str">
        <f>IFERROR(__xludf.DUMMYFUNCTION("split(B89,"" "")"),"Z.")</f>
        <v>Z.</v>
      </c>
      <c r="Y89" s="3" t="str">
        <f>IFERROR(__xludf.DUMMYFUNCTION("""COMPUTED_VALUE"""),"Moss")</f>
        <v>Moss</v>
      </c>
      <c r="AA89" s="3">
        <v>2.0</v>
      </c>
      <c r="AB89" s="3">
        <f t="shared" si="7"/>
        <v>1</v>
      </c>
      <c r="AC89" s="3">
        <f t="shared" si="8"/>
        <v>0</v>
      </c>
      <c r="AD89" s="3">
        <f t="shared" si="9"/>
        <v>3.45</v>
      </c>
      <c r="AE89" s="3">
        <f t="shared" si="10"/>
        <v>-3</v>
      </c>
      <c r="AF89" s="3">
        <f t="shared" si="11"/>
        <v>-1</v>
      </c>
      <c r="AG89" s="3">
        <f t="shared" si="12"/>
        <v>-0.3333333333</v>
      </c>
    </row>
    <row r="90">
      <c r="A90" s="1" t="s">
        <v>8</v>
      </c>
      <c r="B90" s="1" t="s">
        <v>152</v>
      </c>
      <c r="C90" s="1" t="s">
        <v>19</v>
      </c>
      <c r="D90" s="1" t="s">
        <v>88</v>
      </c>
      <c r="E90" s="1" t="s">
        <v>89</v>
      </c>
      <c r="F90" s="1" t="s">
        <v>90</v>
      </c>
      <c r="G90" s="1">
        <v>6.5</v>
      </c>
      <c r="H90" s="1" t="s">
        <v>60</v>
      </c>
      <c r="I90" s="1">
        <v>-140.0</v>
      </c>
      <c r="J90" s="1">
        <v>-0.214042461125897</v>
      </c>
      <c r="K90" s="1" t="s">
        <v>61</v>
      </c>
      <c r="L90" s="1" t="s">
        <v>61</v>
      </c>
      <c r="M90" s="1" t="s">
        <v>62</v>
      </c>
      <c r="N90" s="1">
        <v>110.0</v>
      </c>
      <c r="O90" s="1">
        <v>0.15453424128674</v>
      </c>
      <c r="P90" s="1" t="s">
        <v>61</v>
      </c>
      <c r="Q90" s="1" t="s">
        <v>61</v>
      </c>
      <c r="R90" s="1">
        <f t="shared" si="1"/>
        <v>0.1545342413</v>
      </c>
      <c r="S90" s="1">
        <f t="shared" si="2"/>
        <v>110</v>
      </c>
      <c r="T90" s="1">
        <f t="shared" si="3"/>
        <v>2.1</v>
      </c>
      <c r="U90" s="1">
        <f t="shared" si="4"/>
        <v>0</v>
      </c>
      <c r="V90" s="3">
        <f t="shared" si="5"/>
        <v>3</v>
      </c>
      <c r="W90" s="3">
        <f t="shared" si="6"/>
        <v>2</v>
      </c>
      <c r="X90" s="3" t="str">
        <f>IFERROR(__xludf.DUMMYFUNCTION("split(B90,"" "")"),"R.")</f>
        <v>R.</v>
      </c>
      <c r="Y90" s="3" t="str">
        <f>IFERROR(__xludf.DUMMYFUNCTION("""COMPUTED_VALUE"""),"Dowdle")</f>
        <v>Dowdle</v>
      </c>
      <c r="AA90" s="3">
        <v>8.0</v>
      </c>
      <c r="AB90" s="3">
        <f t="shared" si="7"/>
        <v>1</v>
      </c>
      <c r="AC90" s="3">
        <f t="shared" si="8"/>
        <v>0</v>
      </c>
      <c r="AD90" s="3">
        <f t="shared" si="9"/>
        <v>3.3</v>
      </c>
      <c r="AE90" s="3">
        <f t="shared" si="10"/>
        <v>-3</v>
      </c>
      <c r="AF90" s="3">
        <f t="shared" si="11"/>
        <v>-2</v>
      </c>
      <c r="AG90" s="3">
        <f t="shared" si="12"/>
        <v>-0.2307692308</v>
      </c>
    </row>
    <row r="91">
      <c r="A91" s="1" t="s">
        <v>8</v>
      </c>
      <c r="B91" s="1" t="s">
        <v>500</v>
      </c>
      <c r="C91" s="1" t="s">
        <v>21</v>
      </c>
      <c r="D91" s="1" t="s">
        <v>82</v>
      </c>
      <c r="E91" s="1" t="s">
        <v>83</v>
      </c>
      <c r="F91" s="1" t="s">
        <v>84</v>
      </c>
      <c r="G91" s="1">
        <v>2.5</v>
      </c>
      <c r="H91" s="1" t="s">
        <v>60</v>
      </c>
      <c r="I91" s="1">
        <v>-150.0</v>
      </c>
      <c r="J91" s="1">
        <v>-0.23003210444512</v>
      </c>
      <c r="K91" s="1" t="s">
        <v>61</v>
      </c>
      <c r="L91" s="1" t="s">
        <v>61</v>
      </c>
      <c r="M91" s="1" t="s">
        <v>62</v>
      </c>
      <c r="N91" s="1">
        <v>110.0</v>
      </c>
      <c r="O91" s="1">
        <v>0.153847743387048</v>
      </c>
      <c r="P91" s="1" t="s">
        <v>61</v>
      </c>
      <c r="Q91" s="1" t="s">
        <v>61</v>
      </c>
      <c r="R91" s="1">
        <f t="shared" si="1"/>
        <v>0.1538477434</v>
      </c>
      <c r="S91" s="1">
        <f t="shared" si="2"/>
        <v>110</v>
      </c>
      <c r="T91" s="1">
        <f t="shared" si="3"/>
        <v>2.1</v>
      </c>
      <c r="U91" s="1">
        <f t="shared" si="4"/>
        <v>0</v>
      </c>
      <c r="V91" s="3">
        <f t="shared" si="5"/>
        <v>3</v>
      </c>
      <c r="W91" s="3">
        <f t="shared" si="6"/>
        <v>2</v>
      </c>
      <c r="X91" s="3" t="str">
        <f>IFERROR(__xludf.DUMMYFUNCTION("split(B91,"" "")"),"G.")</f>
        <v>G.</v>
      </c>
      <c r="Y91" s="3" t="str">
        <f>IFERROR(__xludf.DUMMYFUNCTION("""COMPUTED_VALUE"""),"Smith")</f>
        <v>Smith</v>
      </c>
      <c r="AA91" s="3">
        <v>4.0</v>
      </c>
      <c r="AB91" s="3">
        <f t="shared" si="7"/>
        <v>1</v>
      </c>
      <c r="AC91" s="3">
        <f t="shared" si="8"/>
        <v>0</v>
      </c>
      <c r="AD91" s="3">
        <f t="shared" si="9"/>
        <v>3.3</v>
      </c>
      <c r="AE91" s="3">
        <f t="shared" si="10"/>
        <v>-3</v>
      </c>
      <c r="AF91" s="3">
        <f t="shared" si="11"/>
        <v>-2</v>
      </c>
      <c r="AG91" s="3">
        <f t="shared" si="12"/>
        <v>-0.6</v>
      </c>
    </row>
    <row r="92">
      <c r="A92" s="1" t="s">
        <v>9</v>
      </c>
      <c r="B92" s="1" t="s">
        <v>138</v>
      </c>
      <c r="C92" s="1" t="s">
        <v>18</v>
      </c>
      <c r="D92" s="1" t="s">
        <v>77</v>
      </c>
      <c r="E92" s="1" t="s">
        <v>76</v>
      </c>
      <c r="F92" s="1" t="s">
        <v>78</v>
      </c>
      <c r="G92" s="1">
        <v>17.5</v>
      </c>
      <c r="H92" s="1" t="s">
        <v>60</v>
      </c>
      <c r="I92" s="1">
        <v>-110.0</v>
      </c>
      <c r="J92" s="6">
        <v>0.145397137673025</v>
      </c>
      <c r="K92" s="1" t="s">
        <v>61</v>
      </c>
      <c r="L92" s="1" t="s">
        <v>61</v>
      </c>
      <c r="M92" s="1" t="s">
        <v>62</v>
      </c>
      <c r="N92" s="1">
        <v>-120.0</v>
      </c>
      <c r="O92" s="6">
        <v>-0.21463308497092</v>
      </c>
      <c r="P92" s="1" t="s">
        <v>61</v>
      </c>
      <c r="Q92" s="1" t="s">
        <v>61</v>
      </c>
      <c r="R92" s="6">
        <f t="shared" si="1"/>
        <v>0.1453971377</v>
      </c>
      <c r="S92" s="1">
        <f t="shared" si="2"/>
        <v>-110</v>
      </c>
      <c r="T92" s="1">
        <f t="shared" si="3"/>
        <v>1.909090909</v>
      </c>
      <c r="U92" s="1">
        <f t="shared" si="4"/>
        <v>1</v>
      </c>
      <c r="V92" s="3">
        <f t="shared" si="5"/>
        <v>3</v>
      </c>
      <c r="W92" s="3">
        <f t="shared" si="6"/>
        <v>2</v>
      </c>
      <c r="X92" s="3" t="str">
        <f>IFERROR(__xludf.DUMMYFUNCTION("split(B92,"" "")"),"N.")</f>
        <v>N.</v>
      </c>
      <c r="Y92" s="3" t="str">
        <f>IFERROR(__xludf.DUMMYFUNCTION("""COMPUTED_VALUE"""),"Agholor")</f>
        <v>Agholor</v>
      </c>
      <c r="AA92" s="3">
        <v>6.0</v>
      </c>
      <c r="AB92" s="3">
        <f t="shared" si="7"/>
        <v>0</v>
      </c>
      <c r="AC92" s="3">
        <f t="shared" si="8"/>
        <v>0</v>
      </c>
      <c r="AD92" s="3">
        <f t="shared" si="9"/>
        <v>2.727272727</v>
      </c>
      <c r="AE92" s="3">
        <f t="shared" si="10"/>
        <v>-3</v>
      </c>
      <c r="AF92" s="3">
        <f t="shared" si="11"/>
        <v>-2</v>
      </c>
      <c r="AG92" s="3">
        <f t="shared" si="12"/>
        <v>-0.6571428571</v>
      </c>
    </row>
    <row r="93">
      <c r="A93" s="1" t="s">
        <v>8</v>
      </c>
      <c r="B93" s="1" t="s">
        <v>462</v>
      </c>
      <c r="C93" s="1" t="s">
        <v>21</v>
      </c>
      <c r="D93" s="1" t="s">
        <v>89</v>
      </c>
      <c r="E93" s="1" t="s">
        <v>88</v>
      </c>
      <c r="F93" s="1" t="s">
        <v>90</v>
      </c>
      <c r="G93" s="1">
        <v>4.5</v>
      </c>
      <c r="H93" s="1" t="s">
        <v>60</v>
      </c>
      <c r="I93" s="1">
        <v>-135.0</v>
      </c>
      <c r="J93" s="1">
        <v>-0.219202720040737</v>
      </c>
      <c r="K93" s="1" t="s">
        <v>61</v>
      </c>
      <c r="L93" s="1" t="s">
        <v>61</v>
      </c>
      <c r="M93" s="1" t="s">
        <v>62</v>
      </c>
      <c r="N93" s="1">
        <v>100.0</v>
      </c>
      <c r="O93" s="1">
        <v>0.144740696047866</v>
      </c>
      <c r="P93" s="1" t="s">
        <v>61</v>
      </c>
      <c r="Q93" s="1" t="s">
        <v>61</v>
      </c>
      <c r="R93" s="1">
        <f t="shared" si="1"/>
        <v>0.144740696</v>
      </c>
      <c r="S93" s="1">
        <f t="shared" si="2"/>
        <v>100</v>
      </c>
      <c r="T93" s="1">
        <f t="shared" si="3"/>
        <v>2</v>
      </c>
      <c r="U93" s="1">
        <f t="shared" si="4"/>
        <v>0</v>
      </c>
      <c r="V93" s="3">
        <f t="shared" si="5"/>
        <v>3</v>
      </c>
      <c r="W93" s="3">
        <f t="shared" si="6"/>
        <v>2</v>
      </c>
      <c r="X93" s="3" t="str">
        <f>IFERROR(__xludf.DUMMYFUNCTION("split(B93,"" "")"),"D.")</f>
        <v>D.</v>
      </c>
      <c r="Y93" s="3" t="str">
        <f>IFERROR(__xludf.DUMMYFUNCTION("""COMPUTED_VALUE"""),"Watson")</f>
        <v>Watson</v>
      </c>
      <c r="AA93" s="3">
        <v>5.0</v>
      </c>
      <c r="AB93" s="3">
        <f t="shared" si="7"/>
        <v>1</v>
      </c>
      <c r="AC93" s="3">
        <f t="shared" si="8"/>
        <v>0</v>
      </c>
      <c r="AD93" s="3">
        <f t="shared" si="9"/>
        <v>3</v>
      </c>
      <c r="AE93" s="3">
        <f t="shared" si="10"/>
        <v>-3</v>
      </c>
      <c r="AF93" s="3">
        <f t="shared" si="11"/>
        <v>-2</v>
      </c>
      <c r="AG93" s="3">
        <f t="shared" si="12"/>
        <v>-0.1111111111</v>
      </c>
    </row>
    <row r="94">
      <c r="A94" s="1" t="s">
        <v>12</v>
      </c>
      <c r="B94" s="1" t="s">
        <v>501</v>
      </c>
      <c r="C94" s="1" t="s">
        <v>18</v>
      </c>
      <c r="D94" s="1" t="s">
        <v>109</v>
      </c>
      <c r="E94" s="1" t="s">
        <v>110</v>
      </c>
      <c r="F94" s="1" t="s">
        <v>59</v>
      </c>
      <c r="G94" s="1">
        <v>1.5</v>
      </c>
      <c r="H94" s="1" t="s">
        <v>60</v>
      </c>
      <c r="I94" s="1">
        <v>-155.0</v>
      </c>
      <c r="J94" s="1">
        <v>-0.210420507505882</v>
      </c>
      <c r="K94" s="1" t="s">
        <v>61</v>
      </c>
      <c r="L94" s="1" t="s">
        <v>61</v>
      </c>
      <c r="M94" s="1" t="s">
        <v>62</v>
      </c>
      <c r="N94" s="1">
        <v>117.0</v>
      </c>
      <c r="O94" s="1">
        <v>0.141761425870967</v>
      </c>
      <c r="P94" s="1" t="s">
        <v>61</v>
      </c>
      <c r="Q94" s="1" t="s">
        <v>61</v>
      </c>
      <c r="R94" s="1">
        <f t="shared" si="1"/>
        <v>0.1417614259</v>
      </c>
      <c r="S94" s="1">
        <f t="shared" si="2"/>
        <v>117</v>
      </c>
      <c r="T94" s="1">
        <f t="shared" si="3"/>
        <v>2.17</v>
      </c>
      <c r="U94" s="1">
        <f t="shared" si="4"/>
        <v>0</v>
      </c>
      <c r="V94" s="3">
        <f t="shared" si="5"/>
        <v>3</v>
      </c>
      <c r="W94" s="3">
        <f t="shared" si="6"/>
        <v>1</v>
      </c>
      <c r="X94" s="3" t="str">
        <f>IFERROR(__xludf.DUMMYFUNCTION("split(B94,"" "")"),"R.")</f>
        <v>R.</v>
      </c>
      <c r="Y94" s="3" t="str">
        <f>IFERROR(__xludf.DUMMYFUNCTION("""COMPUTED_VALUE"""),"McCloud")</f>
        <v>McCloud</v>
      </c>
      <c r="Z94" s="3" t="str">
        <f>IFERROR(__xludf.DUMMYFUNCTION("""COMPUTED_VALUE"""),"III")</f>
        <v>III</v>
      </c>
      <c r="AA94" s="3">
        <v>4.0</v>
      </c>
      <c r="AB94" s="3">
        <f t="shared" si="7"/>
        <v>1</v>
      </c>
      <c r="AC94" s="3">
        <f t="shared" si="8"/>
        <v>0</v>
      </c>
      <c r="AD94" s="3">
        <f t="shared" si="9"/>
        <v>3.51</v>
      </c>
      <c r="AE94" s="3">
        <f t="shared" si="10"/>
        <v>-3</v>
      </c>
      <c r="AF94" s="3">
        <f t="shared" si="11"/>
        <v>-1</v>
      </c>
      <c r="AG94" s="3">
        <f t="shared" si="12"/>
        <v>-1.666666667</v>
      </c>
    </row>
    <row r="95">
      <c r="A95" s="1" t="s">
        <v>9</v>
      </c>
      <c r="B95" s="1" t="s">
        <v>210</v>
      </c>
      <c r="C95" s="1" t="s">
        <v>18</v>
      </c>
      <c r="D95" s="1" t="s">
        <v>156</v>
      </c>
      <c r="E95" s="1" t="s">
        <v>157</v>
      </c>
      <c r="F95" s="1" t="s">
        <v>158</v>
      </c>
      <c r="G95" s="1">
        <v>15.5</v>
      </c>
      <c r="H95" s="1" t="s">
        <v>60</v>
      </c>
      <c r="I95" s="1">
        <v>-115.0</v>
      </c>
      <c r="J95" s="6">
        <v>0.141573753547091</v>
      </c>
      <c r="K95" s="1" t="s">
        <v>61</v>
      </c>
      <c r="L95" s="1" t="s">
        <v>61</v>
      </c>
      <c r="M95" s="1" t="s">
        <v>62</v>
      </c>
      <c r="N95" s="1">
        <v>-115.0</v>
      </c>
      <c r="O95" s="6">
        <v>-0.211334816579155</v>
      </c>
      <c r="P95" s="1" t="s">
        <v>61</v>
      </c>
      <c r="Q95" s="1" t="s">
        <v>61</v>
      </c>
      <c r="R95" s="6">
        <f t="shared" si="1"/>
        <v>0.1415737535</v>
      </c>
      <c r="S95" s="1">
        <f t="shared" si="2"/>
        <v>-115</v>
      </c>
      <c r="T95" s="1">
        <f t="shared" si="3"/>
        <v>1.869565217</v>
      </c>
      <c r="U95" s="1">
        <f t="shared" si="4"/>
        <v>1</v>
      </c>
      <c r="V95" s="3">
        <f t="shared" si="5"/>
        <v>3</v>
      </c>
      <c r="W95" s="3">
        <f t="shared" si="6"/>
        <v>2</v>
      </c>
      <c r="X95" s="3" t="str">
        <f>IFERROR(__xludf.DUMMYFUNCTION("split(B95,"" "")"),"J.")</f>
        <v>J.</v>
      </c>
      <c r="Y95" s="3" t="str">
        <f>IFERROR(__xludf.DUMMYFUNCTION("""COMPUTED_VALUE"""),"Dotson")</f>
        <v>Dotson</v>
      </c>
      <c r="AA95" s="3">
        <v>0.0</v>
      </c>
      <c r="AB95" s="3">
        <f t="shared" si="7"/>
        <v>0</v>
      </c>
      <c r="AC95" s="3">
        <f t="shared" si="8"/>
        <v>0</v>
      </c>
      <c r="AD95" s="3">
        <f t="shared" si="9"/>
        <v>2.608695652</v>
      </c>
      <c r="AE95" s="3">
        <f t="shared" si="10"/>
        <v>-3</v>
      </c>
      <c r="AF95" s="3">
        <f t="shared" si="11"/>
        <v>-2</v>
      </c>
      <c r="AG95" s="3">
        <f t="shared" si="12"/>
        <v>-1</v>
      </c>
    </row>
    <row r="96">
      <c r="A96" s="1" t="s">
        <v>12</v>
      </c>
      <c r="B96" s="1" t="s">
        <v>324</v>
      </c>
      <c r="C96" s="1" t="s">
        <v>19</v>
      </c>
      <c r="D96" s="1" t="s">
        <v>89</v>
      </c>
      <c r="E96" s="1" t="s">
        <v>88</v>
      </c>
      <c r="F96" s="1" t="s">
        <v>90</v>
      </c>
      <c r="G96" s="1">
        <v>2.5</v>
      </c>
      <c r="H96" s="1" t="s">
        <v>60</v>
      </c>
      <c r="I96" s="1">
        <v>102.0</v>
      </c>
      <c r="J96" s="1">
        <v>-0.208845053458415</v>
      </c>
      <c r="K96" s="1" t="s">
        <v>61</v>
      </c>
      <c r="L96" s="1" t="s">
        <v>61</v>
      </c>
      <c r="M96" s="1" t="s">
        <v>62</v>
      </c>
      <c r="N96" s="1">
        <v>-134.0</v>
      </c>
      <c r="O96" s="1">
        <v>0.141145379043589</v>
      </c>
      <c r="P96" s="1" t="s">
        <v>61</v>
      </c>
      <c r="Q96" s="1" t="s">
        <v>61</v>
      </c>
      <c r="R96" s="1">
        <f t="shared" si="1"/>
        <v>0.141145379</v>
      </c>
      <c r="S96" s="1">
        <f t="shared" si="2"/>
        <v>-134</v>
      </c>
      <c r="T96" s="1">
        <f t="shared" si="3"/>
        <v>1.746268657</v>
      </c>
      <c r="U96" s="1">
        <f t="shared" si="4"/>
        <v>0</v>
      </c>
      <c r="V96" s="3">
        <f t="shared" si="5"/>
        <v>3</v>
      </c>
      <c r="W96" s="3">
        <f t="shared" si="6"/>
        <v>3</v>
      </c>
      <c r="X96" s="3" t="str">
        <f>IFERROR(__xludf.DUMMYFUNCTION("split(B96,"" "")"),"J.")</f>
        <v>J.</v>
      </c>
      <c r="Y96" s="3" t="str">
        <f>IFERROR(__xludf.DUMMYFUNCTION("""COMPUTED_VALUE"""),"Ford")</f>
        <v>Ford</v>
      </c>
      <c r="AA96" s="3">
        <v>6.0</v>
      </c>
      <c r="AB96" s="3">
        <f t="shared" si="7"/>
        <v>1</v>
      </c>
      <c r="AC96" s="3">
        <f t="shared" si="8"/>
        <v>0</v>
      </c>
      <c r="AD96" s="3">
        <f t="shared" si="9"/>
        <v>2.23880597</v>
      </c>
      <c r="AE96" s="3">
        <f t="shared" si="10"/>
        <v>-3</v>
      </c>
      <c r="AF96" s="3">
        <f t="shared" si="11"/>
        <v>-3</v>
      </c>
      <c r="AG96" s="3">
        <f t="shared" si="12"/>
        <v>-1.4</v>
      </c>
    </row>
    <row r="97">
      <c r="A97" s="1" t="s">
        <v>9</v>
      </c>
      <c r="B97" s="1" t="s">
        <v>424</v>
      </c>
      <c r="C97" s="1" t="s">
        <v>19</v>
      </c>
      <c r="D97" s="1" t="s">
        <v>76</v>
      </c>
      <c r="E97" s="1" t="s">
        <v>77</v>
      </c>
      <c r="F97" s="1" t="s">
        <v>78</v>
      </c>
      <c r="G97" s="1">
        <v>18.5</v>
      </c>
      <c r="H97" s="1" t="s">
        <v>60</v>
      </c>
      <c r="I97" s="1">
        <v>-110.0</v>
      </c>
      <c r="J97" s="6">
        <v>0.138054244430956</v>
      </c>
      <c r="K97" s="1" t="s">
        <v>61</v>
      </c>
      <c r="L97" s="1" t="s">
        <v>61</v>
      </c>
      <c r="M97" s="1" t="s">
        <v>62</v>
      </c>
      <c r="N97" s="1">
        <v>-120.0</v>
      </c>
      <c r="O97" s="6">
        <v>-0.207254861802732</v>
      </c>
      <c r="P97" s="1" t="s">
        <v>61</v>
      </c>
      <c r="Q97" s="1" t="s">
        <v>61</v>
      </c>
      <c r="R97" s="6">
        <f t="shared" si="1"/>
        <v>0.1380542444</v>
      </c>
      <c r="S97" s="1">
        <f t="shared" si="2"/>
        <v>-110</v>
      </c>
      <c r="T97" s="1">
        <f t="shared" si="3"/>
        <v>1.909090909</v>
      </c>
      <c r="U97" s="1">
        <f t="shared" si="4"/>
        <v>1</v>
      </c>
      <c r="V97" s="3">
        <f t="shared" si="5"/>
        <v>3</v>
      </c>
      <c r="W97" s="3">
        <f t="shared" si="6"/>
        <v>2</v>
      </c>
      <c r="X97" s="3" t="str">
        <f>IFERROR(__xludf.DUMMYFUNCTION("split(B97,"" "")"),"S.")</f>
        <v>S.</v>
      </c>
      <c r="Y97" s="3" t="str">
        <f>IFERROR(__xludf.DUMMYFUNCTION("""COMPUTED_VALUE"""),"Perine")</f>
        <v>Perine</v>
      </c>
      <c r="AA97" s="3">
        <v>10.0</v>
      </c>
      <c r="AB97" s="3">
        <f t="shared" si="7"/>
        <v>0</v>
      </c>
      <c r="AC97" s="3">
        <f t="shared" si="8"/>
        <v>0</v>
      </c>
      <c r="AD97" s="3">
        <f t="shared" si="9"/>
        <v>2.727272727</v>
      </c>
      <c r="AE97" s="3">
        <f t="shared" si="10"/>
        <v>-3</v>
      </c>
      <c r="AF97" s="3">
        <f t="shared" si="11"/>
        <v>-2</v>
      </c>
      <c r="AG97" s="3">
        <f t="shared" si="12"/>
        <v>-0.4594594595</v>
      </c>
    </row>
    <row r="98">
      <c r="A98" s="1" t="s">
        <v>12</v>
      </c>
      <c r="B98" s="1" t="s">
        <v>480</v>
      </c>
      <c r="C98" s="1" t="s">
        <v>18</v>
      </c>
      <c r="D98" s="1" t="s">
        <v>82</v>
      </c>
      <c r="E98" s="1" t="s">
        <v>83</v>
      </c>
      <c r="F98" s="1" t="s">
        <v>84</v>
      </c>
      <c r="G98" s="1">
        <v>3.5</v>
      </c>
      <c r="H98" s="1" t="s">
        <v>60</v>
      </c>
      <c r="I98" s="1">
        <v>-146.0</v>
      </c>
      <c r="J98" s="1">
        <v>-0.199036585365853</v>
      </c>
      <c r="K98" s="1" t="s">
        <v>61</v>
      </c>
      <c r="L98" s="1" t="s">
        <v>61</v>
      </c>
      <c r="M98" s="1" t="s">
        <v>62</v>
      </c>
      <c r="N98" s="1">
        <v>112.0</v>
      </c>
      <c r="O98" s="1">
        <v>0.133849056603773</v>
      </c>
      <c r="P98" s="1" t="s">
        <v>61</v>
      </c>
      <c r="Q98" s="1" t="s">
        <v>61</v>
      </c>
      <c r="R98" s="1">
        <f t="shared" si="1"/>
        <v>0.1338490566</v>
      </c>
      <c r="S98" s="1">
        <f t="shared" si="2"/>
        <v>112</v>
      </c>
      <c r="T98" s="1">
        <f t="shared" si="3"/>
        <v>2.12</v>
      </c>
      <c r="U98" s="1">
        <f t="shared" si="4"/>
        <v>0</v>
      </c>
      <c r="V98" s="3">
        <f t="shared" si="5"/>
        <v>3</v>
      </c>
      <c r="W98" s="3">
        <f t="shared" si="6"/>
        <v>1</v>
      </c>
      <c r="X98" s="3" t="str">
        <f>IFERROR(__xludf.DUMMYFUNCTION("split(B98,"" "")"),"T.")</f>
        <v>T.</v>
      </c>
      <c r="Y98" s="3" t="str">
        <f>IFERROR(__xludf.DUMMYFUNCTION("""COMPUTED_VALUE"""),"Lockett")</f>
        <v>Lockett</v>
      </c>
      <c r="AA98" s="3">
        <v>6.0</v>
      </c>
      <c r="AB98" s="3">
        <f t="shared" si="7"/>
        <v>1</v>
      </c>
      <c r="AC98" s="3">
        <f t="shared" si="8"/>
        <v>0</v>
      </c>
      <c r="AD98" s="3">
        <f t="shared" si="9"/>
        <v>3.36</v>
      </c>
      <c r="AE98" s="3">
        <f t="shared" si="10"/>
        <v>-3</v>
      </c>
      <c r="AF98" s="3">
        <f t="shared" si="11"/>
        <v>-1</v>
      </c>
      <c r="AG98" s="3">
        <f t="shared" si="12"/>
        <v>-0.7142857143</v>
      </c>
    </row>
    <row r="99">
      <c r="A99" s="1" t="s">
        <v>12</v>
      </c>
      <c r="B99" s="1" t="s">
        <v>264</v>
      </c>
      <c r="C99" s="1" t="s">
        <v>19</v>
      </c>
      <c r="D99" s="1" t="s">
        <v>114</v>
      </c>
      <c r="E99" s="1" t="s">
        <v>113</v>
      </c>
      <c r="F99" s="1" t="s">
        <v>90</v>
      </c>
      <c r="G99" s="1">
        <v>1.5</v>
      </c>
      <c r="H99" s="1" t="s">
        <v>60</v>
      </c>
      <c r="I99" s="1">
        <v>-120.0</v>
      </c>
      <c r="J99" s="1">
        <v>-0.202347707018181</v>
      </c>
      <c r="K99" s="1" t="s">
        <v>61</v>
      </c>
      <c r="L99" s="1" t="s">
        <v>61</v>
      </c>
      <c r="M99" s="1" t="s">
        <v>62</v>
      </c>
      <c r="N99" s="1">
        <v>-110.0</v>
      </c>
      <c r="O99" s="1">
        <v>0.133082595706666</v>
      </c>
      <c r="P99" s="1" t="s">
        <v>61</v>
      </c>
      <c r="Q99" s="1" t="s">
        <v>61</v>
      </c>
      <c r="R99" s="1">
        <f t="shared" si="1"/>
        <v>0.1330825957</v>
      </c>
      <c r="S99" s="1">
        <f t="shared" si="2"/>
        <v>-110</v>
      </c>
      <c r="T99" s="1">
        <f t="shared" si="3"/>
        <v>1.909090909</v>
      </c>
      <c r="U99" s="1">
        <f t="shared" si="4"/>
        <v>0</v>
      </c>
      <c r="V99" s="3">
        <f t="shared" si="5"/>
        <v>3</v>
      </c>
      <c r="W99" s="3">
        <f t="shared" si="6"/>
        <v>2</v>
      </c>
      <c r="X99" s="3" t="str">
        <f>IFERROR(__xludf.DUMMYFUNCTION("split(B99,"" "")"),"B.")</f>
        <v>B.</v>
      </c>
      <c r="Y99" s="3" t="str">
        <f>IFERROR(__xludf.DUMMYFUNCTION("""COMPUTED_VALUE"""),"Robinson")</f>
        <v>Robinson</v>
      </c>
      <c r="AA99" s="3">
        <v>3.0</v>
      </c>
      <c r="AB99" s="3">
        <f t="shared" si="7"/>
        <v>1</v>
      </c>
      <c r="AC99" s="3">
        <f t="shared" si="8"/>
        <v>0</v>
      </c>
      <c r="AD99" s="3">
        <f t="shared" si="9"/>
        <v>2.727272727</v>
      </c>
      <c r="AE99" s="3">
        <f t="shared" si="10"/>
        <v>-3</v>
      </c>
      <c r="AF99" s="3">
        <f t="shared" si="11"/>
        <v>-2</v>
      </c>
      <c r="AG99" s="3">
        <f t="shared" si="12"/>
        <v>-1</v>
      </c>
    </row>
    <row r="100">
      <c r="A100" s="1" t="s">
        <v>12</v>
      </c>
      <c r="B100" s="1" t="s">
        <v>301</v>
      </c>
      <c r="C100" s="1" t="s">
        <v>19</v>
      </c>
      <c r="D100" s="1" t="s">
        <v>100</v>
      </c>
      <c r="E100" s="1" t="s">
        <v>99</v>
      </c>
      <c r="F100" s="1" t="s">
        <v>59</v>
      </c>
      <c r="G100" s="1">
        <v>2.5</v>
      </c>
      <c r="H100" s="1" t="s">
        <v>60</v>
      </c>
      <c r="I100" s="1">
        <v>-101.0</v>
      </c>
      <c r="J100" s="1">
        <v>-0.202581856318408</v>
      </c>
      <c r="K100" s="1" t="s">
        <v>61</v>
      </c>
      <c r="L100" s="1" t="s">
        <v>61</v>
      </c>
      <c r="M100" s="1" t="s">
        <v>62</v>
      </c>
      <c r="N100" s="1">
        <v>-131.0</v>
      </c>
      <c r="O100" s="1">
        <v>0.133007915961904</v>
      </c>
      <c r="P100" s="1" t="s">
        <v>61</v>
      </c>
      <c r="Q100" s="1" t="s">
        <v>61</v>
      </c>
      <c r="R100" s="1">
        <f t="shared" si="1"/>
        <v>0.133007916</v>
      </c>
      <c r="S100" s="1">
        <f t="shared" si="2"/>
        <v>-131</v>
      </c>
      <c r="T100" s="1">
        <f t="shared" si="3"/>
        <v>1.763358779</v>
      </c>
      <c r="U100" s="1">
        <f t="shared" si="4"/>
        <v>0</v>
      </c>
      <c r="V100" s="3">
        <f t="shared" si="5"/>
        <v>3</v>
      </c>
      <c r="W100" s="3">
        <f t="shared" si="6"/>
        <v>3</v>
      </c>
      <c r="X100" s="3" t="str">
        <f>IFERROR(__xludf.DUMMYFUNCTION("split(B100,"" "")"),"T.")</f>
        <v>T.</v>
      </c>
      <c r="Y100" s="3" t="str">
        <f>IFERROR(__xludf.DUMMYFUNCTION("""COMPUTED_VALUE"""),"Spears")</f>
        <v>Spears</v>
      </c>
      <c r="AA100" s="3">
        <v>4.0</v>
      </c>
      <c r="AB100" s="3">
        <f t="shared" si="7"/>
        <v>1</v>
      </c>
      <c r="AC100" s="3">
        <f t="shared" si="8"/>
        <v>0</v>
      </c>
      <c r="AD100" s="3">
        <f t="shared" si="9"/>
        <v>2.290076336</v>
      </c>
      <c r="AE100" s="3">
        <f t="shared" si="10"/>
        <v>-3</v>
      </c>
      <c r="AF100" s="3">
        <f t="shared" si="11"/>
        <v>-3</v>
      </c>
      <c r="AG100" s="3">
        <f t="shared" si="12"/>
        <v>-0.6</v>
      </c>
    </row>
    <row r="101">
      <c r="A101" s="1" t="s">
        <v>9</v>
      </c>
      <c r="B101" s="1" t="s">
        <v>502</v>
      </c>
      <c r="C101" s="1" t="s">
        <v>18</v>
      </c>
      <c r="D101" s="1" t="s">
        <v>89</v>
      </c>
      <c r="E101" s="1" t="s">
        <v>88</v>
      </c>
      <c r="F101" s="1" t="s">
        <v>90</v>
      </c>
      <c r="G101" s="1">
        <v>14.5</v>
      </c>
      <c r="H101" s="1" t="s">
        <v>60</v>
      </c>
      <c r="I101" s="1">
        <v>-115.0</v>
      </c>
      <c r="J101" s="1">
        <v>0.132720536654582</v>
      </c>
      <c r="K101" s="1" t="s">
        <v>61</v>
      </c>
      <c r="L101" s="1" t="s">
        <v>61</v>
      </c>
      <c r="M101" s="1" t="s">
        <v>62</v>
      </c>
      <c r="N101" s="1">
        <v>-115.0</v>
      </c>
      <c r="O101" s="1">
        <v>-0.202488617152769</v>
      </c>
      <c r="P101" s="1" t="s">
        <v>61</v>
      </c>
      <c r="Q101" s="1" t="s">
        <v>61</v>
      </c>
      <c r="R101" s="1">
        <f t="shared" si="1"/>
        <v>0.1327205367</v>
      </c>
      <c r="S101" s="1">
        <f t="shared" si="2"/>
        <v>-115</v>
      </c>
      <c r="T101" s="1">
        <f t="shared" si="3"/>
        <v>1.869565217</v>
      </c>
      <c r="U101" s="1">
        <f t="shared" si="4"/>
        <v>1</v>
      </c>
      <c r="V101" s="3">
        <f t="shared" si="5"/>
        <v>3</v>
      </c>
      <c r="W101" s="3">
        <f t="shared" si="6"/>
        <v>2</v>
      </c>
      <c r="X101" s="3" t="str">
        <f>IFERROR(__xludf.DUMMYFUNCTION("split(B101,"" "")"),"C.")</f>
        <v>C.</v>
      </c>
      <c r="Y101" s="3" t="str">
        <f>IFERROR(__xludf.DUMMYFUNCTION("""COMPUTED_VALUE"""),"Tillman")</f>
        <v>Tillman</v>
      </c>
      <c r="AA101" s="3">
        <v>3.0</v>
      </c>
      <c r="AB101" s="3">
        <f t="shared" si="7"/>
        <v>0</v>
      </c>
      <c r="AC101" s="3">
        <f t="shared" si="8"/>
        <v>0</v>
      </c>
      <c r="AD101" s="3">
        <f t="shared" si="9"/>
        <v>2.608695652</v>
      </c>
      <c r="AE101" s="3">
        <f t="shared" si="10"/>
        <v>-3</v>
      </c>
      <c r="AF101" s="3">
        <f t="shared" si="11"/>
        <v>-2</v>
      </c>
      <c r="AG101" s="3">
        <f t="shared" si="12"/>
        <v>-0.7931034483</v>
      </c>
    </row>
    <row r="102">
      <c r="A102" s="1" t="s">
        <v>8</v>
      </c>
      <c r="B102" s="1" t="s">
        <v>347</v>
      </c>
      <c r="C102" s="1" t="s">
        <v>21</v>
      </c>
      <c r="D102" s="1" t="s">
        <v>77</v>
      </c>
      <c r="E102" s="1" t="s">
        <v>76</v>
      </c>
      <c r="F102" s="1" t="s">
        <v>78</v>
      </c>
      <c r="G102" s="1">
        <v>8.5</v>
      </c>
      <c r="H102" s="1" t="s">
        <v>60</v>
      </c>
      <c r="I102" s="1">
        <v>-112.0</v>
      </c>
      <c r="J102" s="6">
        <v>-0.201696467900923</v>
      </c>
      <c r="K102" s="1" t="s">
        <v>61</v>
      </c>
      <c r="L102" s="1" t="s">
        <v>61</v>
      </c>
      <c r="M102" s="1" t="s">
        <v>62</v>
      </c>
      <c r="N102" s="1">
        <v>-118.0</v>
      </c>
      <c r="O102" s="6">
        <v>0.132109378027958</v>
      </c>
      <c r="P102" s="1" t="s">
        <v>61</v>
      </c>
      <c r="Q102" s="1" t="s">
        <v>61</v>
      </c>
      <c r="R102" s="6">
        <f t="shared" si="1"/>
        <v>0.132109378</v>
      </c>
      <c r="S102" s="1">
        <f t="shared" si="2"/>
        <v>-118</v>
      </c>
      <c r="T102" s="1">
        <f t="shared" si="3"/>
        <v>1.847457627</v>
      </c>
      <c r="U102" s="1">
        <f t="shared" si="4"/>
        <v>0</v>
      </c>
      <c r="V102" s="3">
        <f t="shared" si="5"/>
        <v>3</v>
      </c>
      <c r="W102" s="3">
        <f t="shared" si="6"/>
        <v>3</v>
      </c>
      <c r="X102" s="3" t="str">
        <f>IFERROR(__xludf.DUMMYFUNCTION("split(B102,"" "")"),"L.")</f>
        <v>L.</v>
      </c>
      <c r="Y102" s="3" t="str">
        <f>IFERROR(__xludf.DUMMYFUNCTION("""COMPUTED_VALUE"""),"Jackson")</f>
        <v>Jackson</v>
      </c>
      <c r="AA102" s="3">
        <v>16.0</v>
      </c>
      <c r="AB102" s="3">
        <f t="shared" si="7"/>
        <v>1</v>
      </c>
      <c r="AC102" s="3">
        <f t="shared" si="8"/>
        <v>0</v>
      </c>
      <c r="AD102" s="3">
        <f t="shared" si="9"/>
        <v>2.542372881</v>
      </c>
      <c r="AE102" s="3">
        <f t="shared" si="10"/>
        <v>-3</v>
      </c>
      <c r="AF102" s="3">
        <f t="shared" si="11"/>
        <v>-3</v>
      </c>
      <c r="AG102" s="3">
        <f t="shared" si="12"/>
        <v>-0.8823529412</v>
      </c>
    </row>
    <row r="103">
      <c r="A103" s="1" t="s">
        <v>8</v>
      </c>
      <c r="B103" s="1" t="s">
        <v>464</v>
      </c>
      <c r="C103" s="1" t="s">
        <v>21</v>
      </c>
      <c r="D103" s="1" t="s">
        <v>83</v>
      </c>
      <c r="E103" s="1" t="s">
        <v>82</v>
      </c>
      <c r="F103" s="1" t="s">
        <v>84</v>
      </c>
      <c r="G103" s="1">
        <v>3.5</v>
      </c>
      <c r="H103" s="1" t="s">
        <v>60</v>
      </c>
      <c r="I103" s="1">
        <v>-140.0</v>
      </c>
      <c r="J103" s="1">
        <v>-0.202812076972471</v>
      </c>
      <c r="K103" s="1" t="s">
        <v>61</v>
      </c>
      <c r="L103" s="1" t="s">
        <v>61</v>
      </c>
      <c r="M103" s="1" t="s">
        <v>62</v>
      </c>
      <c r="N103" s="1">
        <v>105.0</v>
      </c>
      <c r="O103" s="1">
        <v>0.131687309626308</v>
      </c>
      <c r="P103" s="1" t="s">
        <v>61</v>
      </c>
      <c r="Q103" s="1" t="s">
        <v>61</v>
      </c>
      <c r="R103" s="1">
        <f t="shared" si="1"/>
        <v>0.1316873096</v>
      </c>
      <c r="S103" s="1">
        <f t="shared" si="2"/>
        <v>105</v>
      </c>
      <c r="T103" s="1">
        <f t="shared" si="3"/>
        <v>2.05</v>
      </c>
      <c r="U103" s="1">
        <f t="shared" si="4"/>
        <v>0</v>
      </c>
      <c r="V103" s="3">
        <f t="shared" si="5"/>
        <v>3</v>
      </c>
      <c r="W103" s="3">
        <f t="shared" si="6"/>
        <v>2</v>
      </c>
      <c r="X103" s="3" t="str">
        <f>IFERROR(__xludf.DUMMYFUNCTION("split(B103,"" "")"),"B.")</f>
        <v>B.</v>
      </c>
      <c r="Y103" s="3" t="str">
        <f>IFERROR(__xludf.DUMMYFUNCTION("""COMPUTED_VALUE"""),"Nix")</f>
        <v>Nix</v>
      </c>
      <c r="AA103" s="3">
        <v>5.0</v>
      </c>
      <c r="AB103" s="3">
        <f t="shared" si="7"/>
        <v>1</v>
      </c>
      <c r="AC103" s="3">
        <f t="shared" si="8"/>
        <v>0</v>
      </c>
      <c r="AD103" s="3">
        <f t="shared" si="9"/>
        <v>3.15</v>
      </c>
      <c r="AE103" s="3">
        <f t="shared" si="10"/>
        <v>-3</v>
      </c>
      <c r="AF103" s="3">
        <f t="shared" si="11"/>
        <v>-2</v>
      </c>
      <c r="AG103" s="3">
        <f t="shared" si="12"/>
        <v>-0.4285714286</v>
      </c>
    </row>
    <row r="104">
      <c r="A104" s="1" t="s">
        <v>8</v>
      </c>
      <c r="B104" s="1" t="s">
        <v>56</v>
      </c>
      <c r="C104" s="1" t="s">
        <v>21</v>
      </c>
      <c r="D104" s="1" t="s">
        <v>57</v>
      </c>
      <c r="E104" s="1" t="s">
        <v>58</v>
      </c>
      <c r="F104" s="1" t="s">
        <v>59</v>
      </c>
      <c r="G104" s="1">
        <v>2.5</v>
      </c>
      <c r="H104" s="1" t="s">
        <v>60</v>
      </c>
      <c r="I104" s="1">
        <v>-145.0</v>
      </c>
      <c r="J104" s="1">
        <v>-0.210268275200616</v>
      </c>
      <c r="K104" s="1" t="s">
        <v>61</v>
      </c>
      <c r="L104" s="1" t="s">
        <v>61</v>
      </c>
      <c r="M104" s="1" t="s">
        <v>62</v>
      </c>
      <c r="N104" s="1">
        <v>105.0</v>
      </c>
      <c r="O104" s="1">
        <v>0.130632816703176</v>
      </c>
      <c r="P104" s="1" t="s">
        <v>61</v>
      </c>
      <c r="Q104" s="1" t="s">
        <v>61</v>
      </c>
      <c r="R104" s="1">
        <f t="shared" si="1"/>
        <v>0.1306328167</v>
      </c>
      <c r="S104" s="1">
        <f t="shared" si="2"/>
        <v>105</v>
      </c>
      <c r="T104" s="1">
        <f t="shared" si="3"/>
        <v>2.05</v>
      </c>
      <c r="U104" s="1">
        <f t="shared" si="4"/>
        <v>0</v>
      </c>
      <c r="V104" s="3">
        <f t="shared" si="5"/>
        <v>3</v>
      </c>
      <c r="W104" s="3">
        <f t="shared" si="6"/>
        <v>2</v>
      </c>
      <c r="X104" s="3" t="str">
        <f>IFERROR(__xludf.DUMMYFUNCTION("split(B104,"" "")"),"B.")</f>
        <v>B.</v>
      </c>
      <c r="Y104" s="3" t="str">
        <f>IFERROR(__xludf.DUMMYFUNCTION("""COMPUTED_VALUE"""),"Young")</f>
        <v>Young</v>
      </c>
      <c r="AA104" s="3">
        <v>4.0</v>
      </c>
      <c r="AB104" s="3">
        <f t="shared" si="7"/>
        <v>1</v>
      </c>
      <c r="AC104" s="3">
        <f t="shared" si="8"/>
        <v>0</v>
      </c>
      <c r="AD104" s="3">
        <f t="shared" si="9"/>
        <v>3.15</v>
      </c>
      <c r="AE104" s="3">
        <f t="shared" si="10"/>
        <v>-3</v>
      </c>
      <c r="AF104" s="3">
        <f t="shared" si="11"/>
        <v>-2</v>
      </c>
      <c r="AG104" s="3">
        <f t="shared" si="12"/>
        <v>-0.6</v>
      </c>
    </row>
    <row r="105">
      <c r="A105" s="1" t="s">
        <v>9</v>
      </c>
      <c r="B105" s="1" t="s">
        <v>87</v>
      </c>
      <c r="C105" s="1" t="s">
        <v>18</v>
      </c>
      <c r="D105" s="1" t="s">
        <v>88</v>
      </c>
      <c r="E105" s="1" t="s">
        <v>89</v>
      </c>
      <c r="F105" s="1" t="s">
        <v>90</v>
      </c>
      <c r="G105" s="1">
        <v>19.5</v>
      </c>
      <c r="H105" s="1" t="s">
        <v>60</v>
      </c>
      <c r="I105" s="1">
        <v>-115.0</v>
      </c>
      <c r="J105" s="1">
        <v>0.130211655783131</v>
      </c>
      <c r="K105" s="1" t="s">
        <v>61</v>
      </c>
      <c r="L105" s="1" t="s">
        <v>61</v>
      </c>
      <c r="M105" s="1" t="s">
        <v>62</v>
      </c>
      <c r="N105" s="1">
        <v>-115.0</v>
      </c>
      <c r="O105" s="1">
        <v>-0.199993404150601</v>
      </c>
      <c r="P105" s="1" t="s">
        <v>61</v>
      </c>
      <c r="Q105" s="1" t="s">
        <v>61</v>
      </c>
      <c r="R105" s="1">
        <f t="shared" si="1"/>
        <v>0.1302116558</v>
      </c>
      <c r="S105" s="1">
        <f t="shared" si="2"/>
        <v>-115</v>
      </c>
      <c r="T105" s="1">
        <f t="shared" si="3"/>
        <v>1.869565217</v>
      </c>
      <c r="U105" s="1">
        <f t="shared" si="4"/>
        <v>1</v>
      </c>
      <c r="V105" s="3">
        <f t="shared" si="5"/>
        <v>3</v>
      </c>
      <c r="W105" s="3">
        <f t="shared" si="6"/>
        <v>2</v>
      </c>
      <c r="X105" s="3" t="str">
        <f>IFERROR(__xludf.DUMMYFUNCTION("split(B105,"" "")"),"J.")</f>
        <v>J.</v>
      </c>
      <c r="Y105" s="3" t="str">
        <f>IFERROR(__xludf.DUMMYFUNCTION("""COMPUTED_VALUE"""),"Tolbert")</f>
        <v>Tolbert</v>
      </c>
      <c r="AA105" s="3">
        <v>12.0</v>
      </c>
      <c r="AB105" s="3">
        <f t="shared" si="7"/>
        <v>0</v>
      </c>
      <c r="AC105" s="3">
        <f t="shared" si="8"/>
        <v>0</v>
      </c>
      <c r="AD105" s="3">
        <f t="shared" si="9"/>
        <v>2.608695652</v>
      </c>
      <c r="AE105" s="3">
        <f t="shared" si="10"/>
        <v>-3</v>
      </c>
      <c r="AF105" s="3">
        <f t="shared" si="11"/>
        <v>-2</v>
      </c>
      <c r="AG105" s="3">
        <f t="shared" si="12"/>
        <v>-0.3846153846</v>
      </c>
    </row>
    <row r="106">
      <c r="A106" s="1" t="s">
        <v>10</v>
      </c>
      <c r="B106" s="1" t="s">
        <v>247</v>
      </c>
      <c r="C106" s="1" t="s">
        <v>21</v>
      </c>
      <c r="D106" s="1" t="s">
        <v>196</v>
      </c>
      <c r="E106" s="1" t="s">
        <v>197</v>
      </c>
      <c r="F106" s="1" t="s">
        <v>198</v>
      </c>
      <c r="G106" s="1">
        <v>0.5</v>
      </c>
      <c r="H106" s="1" t="s">
        <v>60</v>
      </c>
      <c r="I106" s="1">
        <v>-103.0</v>
      </c>
      <c r="J106" s="1">
        <v>0.128376626473808</v>
      </c>
      <c r="K106" s="1" t="s">
        <v>61</v>
      </c>
      <c r="L106" s="1" t="s">
        <v>61</v>
      </c>
      <c r="M106" s="1" t="s">
        <v>62</v>
      </c>
      <c r="N106" s="1">
        <v>-131.0</v>
      </c>
      <c r="O106" s="1">
        <v>-0.202814822447954</v>
      </c>
      <c r="P106" s="1" t="s">
        <v>61</v>
      </c>
      <c r="Q106" s="1" t="s">
        <v>61</v>
      </c>
      <c r="R106" s="1">
        <f t="shared" si="1"/>
        <v>0.1283766265</v>
      </c>
      <c r="S106" s="1">
        <f t="shared" si="2"/>
        <v>-103</v>
      </c>
      <c r="T106" s="1">
        <f t="shared" si="3"/>
        <v>1.970873786</v>
      </c>
      <c r="U106" s="1">
        <f t="shared" si="4"/>
        <v>1</v>
      </c>
      <c r="V106" s="3">
        <f t="shared" si="5"/>
        <v>3</v>
      </c>
      <c r="W106" s="3">
        <f t="shared" si="6"/>
        <v>2</v>
      </c>
      <c r="X106" s="3" t="str">
        <f>IFERROR(__xludf.DUMMYFUNCTION("split(B106,"" "")"),"M.")</f>
        <v>M.</v>
      </c>
      <c r="Y106" s="3" t="str">
        <f>IFERROR(__xludf.DUMMYFUNCTION("""COMPUTED_VALUE"""),"Stafford")</f>
        <v>Stafford</v>
      </c>
      <c r="AA106" s="3">
        <v>0.0</v>
      </c>
      <c r="AB106" s="3">
        <f t="shared" si="7"/>
        <v>0</v>
      </c>
      <c r="AC106" s="3">
        <f t="shared" si="8"/>
        <v>0</v>
      </c>
      <c r="AD106" s="3">
        <f t="shared" si="9"/>
        <v>2.912621359</v>
      </c>
      <c r="AE106" s="3">
        <f t="shared" si="10"/>
        <v>-3</v>
      </c>
      <c r="AF106" s="3">
        <f t="shared" si="11"/>
        <v>-2</v>
      </c>
      <c r="AG106" s="3">
        <f t="shared" si="12"/>
        <v>-1</v>
      </c>
    </row>
    <row r="107">
      <c r="A107" s="1" t="s">
        <v>12</v>
      </c>
      <c r="B107" s="1" t="s">
        <v>397</v>
      </c>
      <c r="C107" s="1" t="s">
        <v>18</v>
      </c>
      <c r="D107" s="1" t="s">
        <v>196</v>
      </c>
      <c r="E107" s="1" t="s">
        <v>197</v>
      </c>
      <c r="F107" s="1" t="s">
        <v>198</v>
      </c>
      <c r="G107" s="1">
        <v>6.5</v>
      </c>
      <c r="H107" s="1" t="s">
        <v>60</v>
      </c>
      <c r="I107" s="1">
        <v>115.0</v>
      </c>
      <c r="J107" s="1">
        <v>0.127637209302325</v>
      </c>
      <c r="K107" s="1" t="s">
        <v>61</v>
      </c>
      <c r="L107" s="1" t="s">
        <v>61</v>
      </c>
      <c r="M107" s="1" t="s">
        <v>62</v>
      </c>
      <c r="N107" s="1">
        <v>-150.0</v>
      </c>
      <c r="O107" s="1">
        <v>-0.19276</v>
      </c>
      <c r="P107" s="1" t="s">
        <v>61</v>
      </c>
      <c r="Q107" s="1" t="s">
        <v>61</v>
      </c>
      <c r="R107" s="1">
        <f t="shared" si="1"/>
        <v>0.1276372093</v>
      </c>
      <c r="S107" s="1">
        <f t="shared" si="2"/>
        <v>115</v>
      </c>
      <c r="T107" s="1">
        <f t="shared" si="3"/>
        <v>2.15</v>
      </c>
      <c r="U107" s="1">
        <f t="shared" si="4"/>
        <v>1</v>
      </c>
      <c r="V107" s="3">
        <f t="shared" si="5"/>
        <v>3</v>
      </c>
      <c r="W107" s="3">
        <f t="shared" si="6"/>
        <v>1</v>
      </c>
      <c r="X107" s="3" t="str">
        <f>IFERROR(__xludf.DUMMYFUNCTION("split(B107,"" "")"),"P.")</f>
        <v>P.</v>
      </c>
      <c r="Y107" s="3" t="str">
        <f>IFERROR(__xludf.DUMMYFUNCTION("""COMPUTED_VALUE"""),"Nacua")</f>
        <v>Nacua</v>
      </c>
      <c r="AA107" s="3">
        <v>4.0</v>
      </c>
      <c r="AB107" s="3">
        <f t="shared" si="7"/>
        <v>0</v>
      </c>
      <c r="AC107" s="3">
        <f t="shared" si="8"/>
        <v>0</v>
      </c>
      <c r="AD107" s="3">
        <f t="shared" si="9"/>
        <v>3.45</v>
      </c>
      <c r="AE107" s="3">
        <f t="shared" si="10"/>
        <v>-3</v>
      </c>
      <c r="AF107" s="3">
        <f t="shared" si="11"/>
        <v>-1</v>
      </c>
      <c r="AG107" s="3">
        <f t="shared" si="12"/>
        <v>-0.3846153846</v>
      </c>
    </row>
    <row r="108">
      <c r="A108" s="1" t="s">
        <v>9</v>
      </c>
      <c r="B108" s="1" t="s">
        <v>272</v>
      </c>
      <c r="C108" s="1" t="s">
        <v>18</v>
      </c>
      <c r="D108" s="1" t="s">
        <v>197</v>
      </c>
      <c r="E108" s="1" t="s">
        <v>196</v>
      </c>
      <c r="F108" s="1" t="s">
        <v>198</v>
      </c>
      <c r="G108" s="1">
        <v>18.5</v>
      </c>
      <c r="H108" s="1" t="s">
        <v>60</v>
      </c>
      <c r="I108" s="1">
        <v>-120.0</v>
      </c>
      <c r="J108" s="1">
        <v>0.124460146096068</v>
      </c>
      <c r="K108" s="1" t="s">
        <v>61</v>
      </c>
      <c r="L108" s="1" t="s">
        <v>61</v>
      </c>
      <c r="M108" s="1" t="s">
        <v>62</v>
      </c>
      <c r="N108" s="1">
        <v>-110.0</v>
      </c>
      <c r="O108" s="1">
        <v>-0.193695977882136</v>
      </c>
      <c r="P108" s="1" t="s">
        <v>61</v>
      </c>
      <c r="Q108" s="1" t="s">
        <v>61</v>
      </c>
      <c r="R108" s="1">
        <f t="shared" si="1"/>
        <v>0.1244601461</v>
      </c>
      <c r="S108" s="1">
        <f t="shared" si="2"/>
        <v>-120</v>
      </c>
      <c r="T108" s="1">
        <f t="shared" si="3"/>
        <v>1.833333333</v>
      </c>
      <c r="U108" s="1">
        <f t="shared" si="4"/>
        <v>1</v>
      </c>
      <c r="V108" s="3">
        <f t="shared" si="5"/>
        <v>3</v>
      </c>
      <c r="W108" s="3">
        <f t="shared" si="6"/>
        <v>3</v>
      </c>
      <c r="X108" s="3" t="str">
        <f>IFERROR(__xludf.DUMMYFUNCTION("split(B108,"" "")"),"K.")</f>
        <v>K.</v>
      </c>
      <c r="Y108" s="3" t="str">
        <f>IFERROR(__xludf.DUMMYFUNCTION("""COMPUTED_VALUE"""),"Raymond")</f>
        <v>Raymond</v>
      </c>
      <c r="AA108" s="3">
        <v>12.0</v>
      </c>
      <c r="AB108" s="3">
        <f t="shared" si="7"/>
        <v>0</v>
      </c>
      <c r="AC108" s="3">
        <f t="shared" si="8"/>
        <v>0</v>
      </c>
      <c r="AD108" s="3">
        <f t="shared" si="9"/>
        <v>2.5</v>
      </c>
      <c r="AE108" s="3">
        <f t="shared" si="10"/>
        <v>-3</v>
      </c>
      <c r="AF108" s="3">
        <f t="shared" si="11"/>
        <v>-3</v>
      </c>
      <c r="AG108" s="3">
        <f t="shared" si="12"/>
        <v>-0.3513513514</v>
      </c>
    </row>
    <row r="109">
      <c r="A109" s="1" t="s">
        <v>12</v>
      </c>
      <c r="B109" s="1" t="s">
        <v>487</v>
      </c>
      <c r="C109" s="1" t="s">
        <v>18</v>
      </c>
      <c r="D109" s="1" t="s">
        <v>157</v>
      </c>
      <c r="E109" s="1" t="s">
        <v>156</v>
      </c>
      <c r="F109" s="1" t="s">
        <v>158</v>
      </c>
      <c r="G109" s="1">
        <v>3.5</v>
      </c>
      <c r="H109" s="1" t="s">
        <v>60</v>
      </c>
      <c r="I109" s="1">
        <v>-141.0</v>
      </c>
      <c r="J109" s="6">
        <v>-0.193820746887966</v>
      </c>
      <c r="K109" s="1" t="s">
        <v>61</v>
      </c>
      <c r="L109" s="1" t="s">
        <v>61</v>
      </c>
      <c r="M109" s="1" t="s">
        <v>62</v>
      </c>
      <c r="N109" s="1">
        <v>106.0</v>
      </c>
      <c r="O109" s="6">
        <v>0.123314563106796</v>
      </c>
      <c r="P109" s="1" t="s">
        <v>61</v>
      </c>
      <c r="Q109" s="1" t="s">
        <v>61</v>
      </c>
      <c r="R109" s="6">
        <f t="shared" si="1"/>
        <v>0.1233145631</v>
      </c>
      <c r="S109" s="1">
        <f t="shared" si="2"/>
        <v>106</v>
      </c>
      <c r="T109" s="1">
        <f t="shared" si="3"/>
        <v>2.06</v>
      </c>
      <c r="U109" s="1">
        <f t="shared" si="4"/>
        <v>0</v>
      </c>
      <c r="V109" s="3">
        <f t="shared" si="5"/>
        <v>3</v>
      </c>
      <c r="W109" s="3">
        <f t="shared" si="6"/>
        <v>2</v>
      </c>
      <c r="X109" s="3" t="str">
        <f>IFERROR(__xludf.DUMMYFUNCTION("split(B109,"" "")"),"J.")</f>
        <v>J.</v>
      </c>
      <c r="Y109" s="3" t="str">
        <f>IFERROR(__xludf.DUMMYFUNCTION("""COMPUTED_VALUE"""),"Reed")</f>
        <v>Reed</v>
      </c>
      <c r="AA109" s="3">
        <v>4.0</v>
      </c>
      <c r="AB109" s="3">
        <f t="shared" si="7"/>
        <v>1</v>
      </c>
      <c r="AC109" s="3">
        <f t="shared" si="8"/>
        <v>0</v>
      </c>
      <c r="AD109" s="3">
        <f t="shared" si="9"/>
        <v>3.18</v>
      </c>
      <c r="AE109" s="3">
        <f t="shared" si="10"/>
        <v>-3</v>
      </c>
      <c r="AF109" s="3">
        <f t="shared" si="11"/>
        <v>-2</v>
      </c>
      <c r="AG109" s="3">
        <f t="shared" si="12"/>
        <v>-0.1428571429</v>
      </c>
    </row>
    <row r="110">
      <c r="A110" s="1" t="s">
        <v>8</v>
      </c>
      <c r="B110" s="1" t="s">
        <v>275</v>
      </c>
      <c r="C110" s="1" t="s">
        <v>21</v>
      </c>
      <c r="D110" s="1" t="s">
        <v>100</v>
      </c>
      <c r="E110" s="1" t="s">
        <v>99</v>
      </c>
      <c r="F110" s="1" t="s">
        <v>59</v>
      </c>
      <c r="G110" s="1">
        <v>2.5</v>
      </c>
      <c r="H110" s="1" t="s">
        <v>60</v>
      </c>
      <c r="I110" s="1">
        <v>-140.0</v>
      </c>
      <c r="J110" s="1">
        <v>-0.194244139225202</v>
      </c>
      <c r="K110" s="1" t="s">
        <v>61</v>
      </c>
      <c r="L110" s="1" t="s">
        <v>61</v>
      </c>
      <c r="M110" s="1" t="s">
        <v>62</v>
      </c>
      <c r="N110" s="1">
        <v>105.0</v>
      </c>
      <c r="O110" s="1">
        <v>0.123090699580724</v>
      </c>
      <c r="P110" s="1" t="s">
        <v>61</v>
      </c>
      <c r="Q110" s="1" t="s">
        <v>61</v>
      </c>
      <c r="R110" s="1">
        <f t="shared" si="1"/>
        <v>0.1230906996</v>
      </c>
      <c r="S110" s="1">
        <f t="shared" si="2"/>
        <v>105</v>
      </c>
      <c r="T110" s="1">
        <f t="shared" si="3"/>
        <v>2.05</v>
      </c>
      <c r="U110" s="1">
        <f t="shared" si="4"/>
        <v>0</v>
      </c>
      <c r="V110" s="3">
        <f t="shared" si="5"/>
        <v>3</v>
      </c>
      <c r="W110" s="3">
        <f t="shared" si="6"/>
        <v>2</v>
      </c>
      <c r="X110" s="3" t="str">
        <f>IFERROR(__xludf.DUMMYFUNCTION("split(B110,"" "")"),"W.")</f>
        <v>W.</v>
      </c>
      <c r="Y110" s="3" t="str">
        <f>IFERROR(__xludf.DUMMYFUNCTION("""COMPUTED_VALUE"""),"Levis")</f>
        <v>Levis</v>
      </c>
      <c r="AA110" s="3">
        <v>4.0</v>
      </c>
      <c r="AB110" s="3">
        <f t="shared" si="7"/>
        <v>1</v>
      </c>
      <c r="AC110" s="3">
        <f t="shared" si="8"/>
        <v>0</v>
      </c>
      <c r="AD110" s="3">
        <f t="shared" si="9"/>
        <v>3.15</v>
      </c>
      <c r="AE110" s="3">
        <f t="shared" si="10"/>
        <v>-3</v>
      </c>
      <c r="AF110" s="3">
        <f t="shared" si="11"/>
        <v>-2</v>
      </c>
      <c r="AG110" s="3">
        <f t="shared" si="12"/>
        <v>-0.6</v>
      </c>
    </row>
    <row r="111">
      <c r="A111" s="1" t="s">
        <v>12</v>
      </c>
      <c r="B111" s="1" t="s">
        <v>377</v>
      </c>
      <c r="C111" s="1" t="s">
        <v>19</v>
      </c>
      <c r="D111" s="1" t="s">
        <v>146</v>
      </c>
      <c r="E111" s="1" t="s">
        <v>147</v>
      </c>
      <c r="F111" s="1" t="s">
        <v>59</v>
      </c>
      <c r="G111" s="1">
        <v>1.5</v>
      </c>
      <c r="H111" s="1" t="s">
        <v>60</v>
      </c>
      <c r="I111" s="1">
        <v>115.0</v>
      </c>
      <c r="J111" s="1">
        <v>-0.177760495371627</v>
      </c>
      <c r="K111" s="1" t="s">
        <v>61</v>
      </c>
      <c r="L111" s="1" t="s">
        <v>61</v>
      </c>
      <c r="M111" s="1" t="s">
        <v>62</v>
      </c>
      <c r="N111" s="1">
        <v>-145.0</v>
      </c>
      <c r="O111" s="1">
        <v>0.120812189643673</v>
      </c>
      <c r="P111" s="1" t="s">
        <v>61</v>
      </c>
      <c r="Q111" s="1" t="s">
        <v>61</v>
      </c>
      <c r="R111" s="1">
        <f t="shared" si="1"/>
        <v>0.1208121896</v>
      </c>
      <c r="S111" s="1">
        <f t="shared" si="2"/>
        <v>-145</v>
      </c>
      <c r="T111" s="1">
        <f t="shared" si="3"/>
        <v>1.689655172</v>
      </c>
      <c r="U111" s="1">
        <f t="shared" si="4"/>
        <v>0</v>
      </c>
      <c r="V111" s="3">
        <f t="shared" si="5"/>
        <v>3</v>
      </c>
      <c r="W111" s="3">
        <f t="shared" si="6"/>
        <v>3</v>
      </c>
      <c r="X111" s="3" t="str">
        <f>IFERROR(__xludf.DUMMYFUNCTION("split(B111,"" "")"),"T.")</f>
        <v>T.</v>
      </c>
      <c r="Y111" s="3" t="str">
        <f>IFERROR(__xludf.DUMMYFUNCTION("""COMPUTED_VALUE"""),"Chandler")</f>
        <v>Chandler</v>
      </c>
      <c r="AA111" s="3">
        <v>3.0</v>
      </c>
      <c r="AB111" s="3">
        <f t="shared" si="7"/>
        <v>1</v>
      </c>
      <c r="AC111" s="3">
        <f t="shared" si="8"/>
        <v>0</v>
      </c>
      <c r="AD111" s="3">
        <f t="shared" si="9"/>
        <v>2.068965517</v>
      </c>
      <c r="AE111" s="3">
        <f t="shared" si="10"/>
        <v>-3</v>
      </c>
      <c r="AF111" s="3">
        <f t="shared" si="11"/>
        <v>-3</v>
      </c>
      <c r="AG111" s="3">
        <f t="shared" si="12"/>
        <v>-1</v>
      </c>
    </row>
    <row r="112">
      <c r="A112" s="1" t="s">
        <v>8</v>
      </c>
      <c r="B112" s="1" t="s">
        <v>338</v>
      </c>
      <c r="C112" s="1" t="s">
        <v>21</v>
      </c>
      <c r="D112" s="1" t="s">
        <v>156</v>
      </c>
      <c r="E112" s="1" t="s">
        <v>157</v>
      </c>
      <c r="F112" s="1" t="s">
        <v>158</v>
      </c>
      <c r="G112" s="1">
        <v>8.5</v>
      </c>
      <c r="H112" s="1" t="s">
        <v>60</v>
      </c>
      <c r="I112" s="1">
        <v>-118.0</v>
      </c>
      <c r="J112" s="6">
        <v>-0.190583070021339</v>
      </c>
      <c r="K112" s="1" t="s">
        <v>61</v>
      </c>
      <c r="L112" s="1" t="s">
        <v>61</v>
      </c>
      <c r="M112" s="1" t="s">
        <v>62</v>
      </c>
      <c r="N112" s="1">
        <v>-114.0</v>
      </c>
      <c r="O112" s="6">
        <v>0.11658817084908</v>
      </c>
      <c r="P112" s="1" t="s">
        <v>61</v>
      </c>
      <c r="Q112" s="1" t="s">
        <v>61</v>
      </c>
      <c r="R112" s="6">
        <f t="shared" si="1"/>
        <v>0.1165881708</v>
      </c>
      <c r="S112" s="1">
        <f t="shared" si="2"/>
        <v>-114</v>
      </c>
      <c r="T112" s="1">
        <f t="shared" si="3"/>
        <v>1.877192982</v>
      </c>
      <c r="U112" s="1">
        <f t="shared" si="4"/>
        <v>0</v>
      </c>
      <c r="V112" s="3">
        <f t="shared" si="5"/>
        <v>3</v>
      </c>
      <c r="W112" s="3">
        <f t="shared" si="6"/>
        <v>2</v>
      </c>
      <c r="X112" s="3" t="str">
        <f>IFERROR(__xludf.DUMMYFUNCTION("split(B112,"" "")"),"J.")</f>
        <v>J.</v>
      </c>
      <c r="Y112" s="3" t="str">
        <f>IFERROR(__xludf.DUMMYFUNCTION("""COMPUTED_VALUE"""),"Hurts")</f>
        <v>Hurts</v>
      </c>
      <c r="AA112" s="3">
        <v>13.0</v>
      </c>
      <c r="AB112" s="3">
        <f t="shared" si="7"/>
        <v>1</v>
      </c>
      <c r="AC112" s="3">
        <f t="shared" si="8"/>
        <v>0</v>
      </c>
      <c r="AD112" s="3">
        <f t="shared" si="9"/>
        <v>2.631578947</v>
      </c>
      <c r="AE112" s="3">
        <f t="shared" si="10"/>
        <v>-3</v>
      </c>
      <c r="AF112" s="3">
        <f t="shared" si="11"/>
        <v>-2</v>
      </c>
      <c r="AG112" s="3">
        <f t="shared" si="12"/>
        <v>-0.5294117647</v>
      </c>
    </row>
    <row r="113">
      <c r="A113" s="1" t="s">
        <v>15</v>
      </c>
      <c r="B113" s="1" t="s">
        <v>462</v>
      </c>
      <c r="C113" s="1" t="s">
        <v>21</v>
      </c>
      <c r="D113" s="1" t="s">
        <v>89</v>
      </c>
      <c r="E113" s="1" t="s">
        <v>88</v>
      </c>
      <c r="F113" s="1" t="s">
        <v>90</v>
      </c>
      <c r="G113" s="1">
        <v>19.5</v>
      </c>
      <c r="H113" s="1" t="s">
        <v>60</v>
      </c>
      <c r="I113" s="1">
        <v>-127.0</v>
      </c>
      <c r="J113" s="1">
        <v>-0.186938549603524</v>
      </c>
      <c r="K113" s="1" t="s">
        <v>61</v>
      </c>
      <c r="L113" s="1" t="s">
        <v>61</v>
      </c>
      <c r="M113" s="1" t="s">
        <v>62</v>
      </c>
      <c r="N113" s="1">
        <v>-105.0</v>
      </c>
      <c r="O113" s="1">
        <v>0.115250455112195</v>
      </c>
      <c r="P113" s="1" t="s">
        <v>61</v>
      </c>
      <c r="Q113" s="1" t="s">
        <v>61</v>
      </c>
      <c r="R113" s="1">
        <f t="shared" si="1"/>
        <v>0.1152504551</v>
      </c>
      <c r="S113" s="1">
        <f t="shared" si="2"/>
        <v>-105</v>
      </c>
      <c r="T113" s="1">
        <f t="shared" si="3"/>
        <v>1.952380952</v>
      </c>
      <c r="U113" s="1">
        <f t="shared" si="4"/>
        <v>0</v>
      </c>
      <c r="V113" s="3">
        <f t="shared" si="5"/>
        <v>3</v>
      </c>
      <c r="W113" s="3">
        <f t="shared" si="6"/>
        <v>2</v>
      </c>
      <c r="X113" s="3" t="str">
        <f>IFERROR(__xludf.DUMMYFUNCTION("split(B113,"" "")"),"D.")</f>
        <v>D.</v>
      </c>
      <c r="Y113" s="3" t="str">
        <f>IFERROR(__xludf.DUMMYFUNCTION("""COMPUTED_VALUE"""),"Watson")</f>
        <v>Watson</v>
      </c>
      <c r="AA113" s="3">
        <v>24.0</v>
      </c>
      <c r="AB113" s="3">
        <f t="shared" si="7"/>
        <v>1</v>
      </c>
      <c r="AC113" s="3">
        <f t="shared" si="8"/>
        <v>0</v>
      </c>
      <c r="AD113" s="3">
        <f t="shared" si="9"/>
        <v>2.857142857</v>
      </c>
      <c r="AE113" s="3">
        <f t="shared" si="10"/>
        <v>-3</v>
      </c>
      <c r="AF113" s="3">
        <f t="shared" si="11"/>
        <v>-2</v>
      </c>
      <c r="AG113" s="3">
        <f t="shared" si="12"/>
        <v>-0.2307692308</v>
      </c>
    </row>
    <row r="114">
      <c r="A114" s="1" t="s">
        <v>8</v>
      </c>
      <c r="B114" s="1" t="s">
        <v>474</v>
      </c>
      <c r="C114" s="1" t="s">
        <v>21</v>
      </c>
      <c r="D114" s="1" t="s">
        <v>134</v>
      </c>
      <c r="E114" s="1" t="s">
        <v>135</v>
      </c>
      <c r="F114" s="1" t="s">
        <v>84</v>
      </c>
      <c r="G114" s="1">
        <v>2.5</v>
      </c>
      <c r="H114" s="1" t="s">
        <v>60</v>
      </c>
      <c r="I114" s="1">
        <v>-125.0</v>
      </c>
      <c r="J114" s="1">
        <v>-0.182479761500723</v>
      </c>
      <c r="K114" s="1" t="s">
        <v>61</v>
      </c>
      <c r="L114" s="1" t="s">
        <v>61</v>
      </c>
      <c r="M114" s="1" t="s">
        <v>62</v>
      </c>
      <c r="N114" s="1">
        <v>-105.0</v>
      </c>
      <c r="O114" s="1">
        <v>0.114748017827052</v>
      </c>
      <c r="P114" s="1" t="s">
        <v>61</v>
      </c>
      <c r="Q114" s="1" t="s">
        <v>61</v>
      </c>
      <c r="R114" s="1">
        <f t="shared" si="1"/>
        <v>0.1147480178</v>
      </c>
      <c r="S114" s="1">
        <f t="shared" si="2"/>
        <v>-105</v>
      </c>
      <c r="T114" s="1">
        <f t="shared" si="3"/>
        <v>1.952380952</v>
      </c>
      <c r="U114" s="1">
        <f t="shared" si="4"/>
        <v>0</v>
      </c>
      <c r="V114" s="3">
        <f t="shared" si="5"/>
        <v>3</v>
      </c>
      <c r="W114" s="3">
        <f t="shared" si="6"/>
        <v>2</v>
      </c>
      <c r="X114" s="3" t="str">
        <f>IFERROR(__xludf.DUMMYFUNCTION("split(B114,"" "")"),"G.")</f>
        <v>G.</v>
      </c>
      <c r="Y114" s="3" t="str">
        <f>IFERROR(__xludf.DUMMYFUNCTION("""COMPUTED_VALUE"""),"Minshew")</f>
        <v>Minshew</v>
      </c>
      <c r="AA114" s="3">
        <v>3.0</v>
      </c>
      <c r="AB114" s="3">
        <f t="shared" si="7"/>
        <v>1</v>
      </c>
      <c r="AC114" s="3">
        <f t="shared" si="8"/>
        <v>0</v>
      </c>
      <c r="AD114" s="3">
        <f t="shared" si="9"/>
        <v>2.857142857</v>
      </c>
      <c r="AE114" s="3">
        <f t="shared" si="10"/>
        <v>-3</v>
      </c>
      <c r="AF114" s="3">
        <f t="shared" si="11"/>
        <v>-2</v>
      </c>
      <c r="AG114" s="3">
        <f t="shared" si="12"/>
        <v>-0.2</v>
      </c>
    </row>
    <row r="115">
      <c r="A115" s="1" t="s">
        <v>12</v>
      </c>
      <c r="B115" s="1" t="s">
        <v>264</v>
      </c>
      <c r="C115" s="1" t="s">
        <v>19</v>
      </c>
      <c r="D115" s="1" t="s">
        <v>109</v>
      </c>
      <c r="E115" s="1" t="s">
        <v>110</v>
      </c>
      <c r="F115" s="1" t="s">
        <v>59</v>
      </c>
      <c r="G115" s="1">
        <v>3.5</v>
      </c>
      <c r="H115" s="1" t="s">
        <v>60</v>
      </c>
      <c r="I115" s="1">
        <v>-124.0</v>
      </c>
      <c r="J115" s="1">
        <v>-0.187316071428571</v>
      </c>
      <c r="K115" s="1" t="s">
        <v>61</v>
      </c>
      <c r="L115" s="1" t="s">
        <v>61</v>
      </c>
      <c r="M115" s="1" t="s">
        <v>62</v>
      </c>
      <c r="N115" s="1">
        <v>-108.0</v>
      </c>
      <c r="O115" s="1">
        <v>0.114521153846154</v>
      </c>
      <c r="P115" s="1" t="s">
        <v>61</v>
      </c>
      <c r="Q115" s="1" t="s">
        <v>61</v>
      </c>
      <c r="R115" s="1">
        <f t="shared" si="1"/>
        <v>0.1145211538</v>
      </c>
      <c r="S115" s="1">
        <f t="shared" si="2"/>
        <v>-108</v>
      </c>
      <c r="T115" s="1">
        <f t="shared" si="3"/>
        <v>1.925925926</v>
      </c>
      <c r="U115" s="1">
        <f t="shared" si="4"/>
        <v>0</v>
      </c>
      <c r="V115" s="3">
        <f t="shared" si="5"/>
        <v>3</v>
      </c>
      <c r="W115" s="3">
        <f t="shared" si="6"/>
        <v>2</v>
      </c>
      <c r="X115" s="3" t="str">
        <f>IFERROR(__xludf.DUMMYFUNCTION("split(B115,"" "")"),"B.")</f>
        <v>B.</v>
      </c>
      <c r="Y115" s="3" t="str">
        <f>IFERROR(__xludf.DUMMYFUNCTION("""COMPUTED_VALUE"""),"Robinson")</f>
        <v>Robinson</v>
      </c>
      <c r="AA115" s="3">
        <v>5.0</v>
      </c>
      <c r="AB115" s="3">
        <f t="shared" si="7"/>
        <v>1</v>
      </c>
      <c r="AC115" s="3">
        <f t="shared" si="8"/>
        <v>0</v>
      </c>
      <c r="AD115" s="3">
        <f t="shared" si="9"/>
        <v>2.777777778</v>
      </c>
      <c r="AE115" s="3">
        <f t="shared" si="10"/>
        <v>-3</v>
      </c>
      <c r="AF115" s="3">
        <f t="shared" si="11"/>
        <v>-2</v>
      </c>
      <c r="AG115" s="3">
        <f t="shared" si="12"/>
        <v>-0.4285714286</v>
      </c>
    </row>
    <row r="116">
      <c r="A116" s="1" t="s">
        <v>12</v>
      </c>
      <c r="B116" s="1" t="s">
        <v>322</v>
      </c>
      <c r="C116" s="1" t="s">
        <v>18</v>
      </c>
      <c r="D116" s="1" t="s">
        <v>134</v>
      </c>
      <c r="E116" s="1" t="s">
        <v>135</v>
      </c>
      <c r="F116" s="1" t="s">
        <v>84</v>
      </c>
      <c r="G116" s="1">
        <v>6.5</v>
      </c>
      <c r="H116" s="1" t="s">
        <v>60</v>
      </c>
      <c r="I116" s="1">
        <v>118.0</v>
      </c>
      <c r="J116" s="1">
        <v>0.114230275229357</v>
      </c>
      <c r="K116" s="1" t="s">
        <v>61</v>
      </c>
      <c r="L116" s="1" t="s">
        <v>61</v>
      </c>
      <c r="M116" s="1" t="s">
        <v>62</v>
      </c>
      <c r="N116" s="1">
        <v>-158.0</v>
      </c>
      <c r="O116" s="1">
        <v>-0.185341860465116</v>
      </c>
      <c r="P116" s="1" t="s">
        <v>61</v>
      </c>
      <c r="Q116" s="1" t="s">
        <v>61</v>
      </c>
      <c r="R116" s="1">
        <f t="shared" si="1"/>
        <v>0.1142302752</v>
      </c>
      <c r="S116" s="1">
        <f t="shared" si="2"/>
        <v>118</v>
      </c>
      <c r="T116" s="1">
        <f t="shared" si="3"/>
        <v>2.18</v>
      </c>
      <c r="U116" s="1">
        <f t="shared" si="4"/>
        <v>1</v>
      </c>
      <c r="V116" s="3">
        <f t="shared" si="5"/>
        <v>3</v>
      </c>
      <c r="W116" s="3">
        <f t="shared" si="6"/>
        <v>1</v>
      </c>
      <c r="X116" s="3" t="str">
        <f>IFERROR(__xludf.DUMMYFUNCTION("split(B116,"" "")"),"D.")</f>
        <v>D.</v>
      </c>
      <c r="Y116" s="3" t="str">
        <f>IFERROR(__xludf.DUMMYFUNCTION("""COMPUTED_VALUE"""),"Adams")</f>
        <v>Adams</v>
      </c>
      <c r="AA116" s="3">
        <v>5.0</v>
      </c>
      <c r="AB116" s="3">
        <f t="shared" si="7"/>
        <v>0</v>
      </c>
      <c r="AC116" s="3">
        <f t="shared" si="8"/>
        <v>0</v>
      </c>
      <c r="AD116" s="3">
        <f t="shared" si="9"/>
        <v>3.54</v>
      </c>
      <c r="AE116" s="3">
        <f t="shared" si="10"/>
        <v>-3</v>
      </c>
      <c r="AF116" s="3">
        <f t="shared" si="11"/>
        <v>-1</v>
      </c>
      <c r="AG116" s="3">
        <f t="shared" si="12"/>
        <v>-0.2307692308</v>
      </c>
    </row>
    <row r="117">
      <c r="A117" s="1" t="s">
        <v>11</v>
      </c>
      <c r="B117" s="1" t="s">
        <v>439</v>
      </c>
      <c r="C117" s="1" t="s">
        <v>19</v>
      </c>
      <c r="D117" s="1" t="s">
        <v>135</v>
      </c>
      <c r="E117" s="1" t="s">
        <v>134</v>
      </c>
      <c r="F117" s="1" t="s">
        <v>84</v>
      </c>
      <c r="G117" s="1">
        <v>4.0</v>
      </c>
      <c r="H117" s="1" t="s">
        <v>60</v>
      </c>
      <c r="I117" s="1">
        <v>-115.0</v>
      </c>
      <c r="J117" s="1">
        <v>0.114059167671252</v>
      </c>
      <c r="K117" s="1" t="s">
        <v>61</v>
      </c>
      <c r="L117" s="1" t="s">
        <v>61</v>
      </c>
      <c r="M117" s="1" t="s">
        <v>62</v>
      </c>
      <c r="N117" s="1">
        <v>-115.0</v>
      </c>
      <c r="O117" s="1">
        <v>-0.18200304282194</v>
      </c>
      <c r="P117" s="1" t="s">
        <v>61</v>
      </c>
      <c r="Q117" s="1" t="s">
        <v>61</v>
      </c>
      <c r="R117" s="1">
        <f t="shared" si="1"/>
        <v>0.1140591677</v>
      </c>
      <c r="S117" s="1">
        <f t="shared" si="2"/>
        <v>-115</v>
      </c>
      <c r="T117" s="1">
        <f t="shared" si="3"/>
        <v>1.869565217</v>
      </c>
      <c r="U117" s="1">
        <f t="shared" si="4"/>
        <v>1</v>
      </c>
      <c r="V117" s="3">
        <f t="shared" si="5"/>
        <v>3</v>
      </c>
      <c r="W117" s="3">
        <f t="shared" si="6"/>
        <v>2</v>
      </c>
      <c r="X117" s="3" t="str">
        <f>IFERROR(__xludf.DUMMYFUNCTION("split(B117,"" "")"),"G.")</f>
        <v>G.</v>
      </c>
      <c r="Y117" s="3" t="str">
        <f>IFERROR(__xludf.DUMMYFUNCTION("""COMPUTED_VALUE"""),"Edwards")</f>
        <v>Edwards</v>
      </c>
      <c r="AA117" s="3">
        <v>2.0</v>
      </c>
      <c r="AB117" s="3">
        <f t="shared" si="7"/>
        <v>0</v>
      </c>
      <c r="AC117" s="3">
        <f t="shared" si="8"/>
        <v>0</v>
      </c>
      <c r="AD117" s="3">
        <f t="shared" si="9"/>
        <v>2.608695652</v>
      </c>
      <c r="AE117" s="3">
        <f t="shared" si="10"/>
        <v>-3</v>
      </c>
      <c r="AF117" s="3">
        <f t="shared" si="11"/>
        <v>-2</v>
      </c>
      <c r="AG117" s="3">
        <f t="shared" si="12"/>
        <v>-0.5</v>
      </c>
    </row>
    <row r="118">
      <c r="A118" s="1" t="s">
        <v>12</v>
      </c>
      <c r="B118" s="1" t="s">
        <v>361</v>
      </c>
      <c r="C118" s="1" t="s">
        <v>19</v>
      </c>
      <c r="D118" s="1" t="s">
        <v>82</v>
      </c>
      <c r="E118" s="1" t="s">
        <v>83</v>
      </c>
      <c r="F118" s="1" t="s">
        <v>84</v>
      </c>
      <c r="G118" s="1">
        <v>1.5</v>
      </c>
      <c r="H118" s="1" t="s">
        <v>60</v>
      </c>
      <c r="I118" s="1">
        <v>-120.0</v>
      </c>
      <c r="J118" s="1">
        <v>-0.182991245595454</v>
      </c>
      <c r="K118" s="1" t="s">
        <v>61</v>
      </c>
      <c r="L118" s="1" t="s">
        <v>61</v>
      </c>
      <c r="M118" s="1" t="s">
        <v>62</v>
      </c>
      <c r="N118" s="1">
        <v>-110.0</v>
      </c>
      <c r="O118" s="1">
        <v>0.113732768733809</v>
      </c>
      <c r="P118" s="1" t="s">
        <v>61</v>
      </c>
      <c r="Q118" s="1" t="s">
        <v>61</v>
      </c>
      <c r="R118" s="1">
        <f t="shared" si="1"/>
        <v>0.1137327687</v>
      </c>
      <c r="S118" s="1">
        <f t="shared" si="2"/>
        <v>-110</v>
      </c>
      <c r="T118" s="1">
        <f t="shared" si="3"/>
        <v>1.909090909</v>
      </c>
      <c r="U118" s="1">
        <f t="shared" si="4"/>
        <v>0</v>
      </c>
      <c r="V118" s="3">
        <f t="shared" si="5"/>
        <v>3</v>
      </c>
      <c r="W118" s="3">
        <f t="shared" si="6"/>
        <v>2</v>
      </c>
      <c r="X118" s="3" t="str">
        <f>IFERROR(__xludf.DUMMYFUNCTION("split(B118,"" "")"),"Z.")</f>
        <v>Z.</v>
      </c>
      <c r="Y118" s="3" t="str">
        <f>IFERROR(__xludf.DUMMYFUNCTION("""COMPUTED_VALUE"""),"Charbonnet")</f>
        <v>Charbonnet</v>
      </c>
      <c r="AA118" s="3">
        <v>2.0</v>
      </c>
      <c r="AB118" s="3">
        <f t="shared" si="7"/>
        <v>1</v>
      </c>
      <c r="AC118" s="3">
        <f t="shared" si="8"/>
        <v>0</v>
      </c>
      <c r="AD118" s="3">
        <f t="shared" si="9"/>
        <v>2.727272727</v>
      </c>
      <c r="AE118" s="3">
        <f t="shared" si="10"/>
        <v>-3</v>
      </c>
      <c r="AF118" s="3">
        <f t="shared" si="11"/>
        <v>-2</v>
      </c>
      <c r="AG118" s="3">
        <f t="shared" si="12"/>
        <v>-0.3333333333</v>
      </c>
    </row>
    <row r="119">
      <c r="A119" s="1" t="s">
        <v>8</v>
      </c>
      <c r="B119" s="1" t="s">
        <v>377</v>
      </c>
      <c r="C119" s="1" t="s">
        <v>19</v>
      </c>
      <c r="D119" s="1" t="s">
        <v>146</v>
      </c>
      <c r="E119" s="1" t="s">
        <v>147</v>
      </c>
      <c r="F119" s="1" t="s">
        <v>59</v>
      </c>
      <c r="G119" s="1">
        <v>7.5</v>
      </c>
      <c r="H119" s="1" t="s">
        <v>60</v>
      </c>
      <c r="I119" s="1">
        <v>105.0</v>
      </c>
      <c r="J119" s="1">
        <v>-0.181294991868912</v>
      </c>
      <c r="K119" s="1" t="s">
        <v>61</v>
      </c>
      <c r="L119" s="1" t="s">
        <v>61</v>
      </c>
      <c r="M119" s="1" t="s">
        <v>62</v>
      </c>
      <c r="N119" s="1">
        <v>-138.0</v>
      </c>
      <c r="O119" s="1">
        <v>0.113670080831193</v>
      </c>
      <c r="P119" s="1" t="s">
        <v>61</v>
      </c>
      <c r="Q119" s="1" t="s">
        <v>61</v>
      </c>
      <c r="R119" s="1">
        <f t="shared" si="1"/>
        <v>0.1136700808</v>
      </c>
      <c r="S119" s="1">
        <f t="shared" si="2"/>
        <v>-138</v>
      </c>
      <c r="T119" s="1">
        <f t="shared" si="3"/>
        <v>1.724637681</v>
      </c>
      <c r="U119" s="1">
        <f t="shared" si="4"/>
        <v>0</v>
      </c>
      <c r="V119" s="3">
        <f t="shared" si="5"/>
        <v>3</v>
      </c>
      <c r="W119" s="3">
        <f t="shared" si="6"/>
        <v>3</v>
      </c>
      <c r="X119" s="3" t="str">
        <f>IFERROR(__xludf.DUMMYFUNCTION("split(B119,"" "")"),"T.")</f>
        <v>T.</v>
      </c>
      <c r="Y119" s="3" t="str">
        <f>IFERROR(__xludf.DUMMYFUNCTION("""COMPUTED_VALUE"""),"Chandler")</f>
        <v>Chandler</v>
      </c>
      <c r="AA119" s="3">
        <v>8.0</v>
      </c>
      <c r="AB119" s="3">
        <f t="shared" si="7"/>
        <v>1</v>
      </c>
      <c r="AC119" s="3">
        <f t="shared" si="8"/>
        <v>0</v>
      </c>
      <c r="AD119" s="3">
        <f t="shared" si="9"/>
        <v>2.173913043</v>
      </c>
      <c r="AE119" s="3">
        <f t="shared" si="10"/>
        <v>-3</v>
      </c>
      <c r="AF119" s="3">
        <f t="shared" si="11"/>
        <v>-3</v>
      </c>
      <c r="AG119" s="3">
        <f t="shared" si="12"/>
        <v>-0.06666666667</v>
      </c>
    </row>
    <row r="120">
      <c r="A120" s="1" t="s">
        <v>12</v>
      </c>
      <c r="B120" s="1" t="s">
        <v>351</v>
      </c>
      <c r="C120" s="1" t="s">
        <v>18</v>
      </c>
      <c r="D120" s="1" t="s">
        <v>99</v>
      </c>
      <c r="E120" s="1" t="s">
        <v>100</v>
      </c>
      <c r="F120" s="1" t="s">
        <v>59</v>
      </c>
      <c r="G120" s="1">
        <v>4.5</v>
      </c>
      <c r="H120" s="1" t="s">
        <v>60</v>
      </c>
      <c r="I120" s="1">
        <v>-150.0</v>
      </c>
      <c r="J120" s="1">
        <v>-0.17704</v>
      </c>
      <c r="K120" s="1" t="s">
        <v>61</v>
      </c>
      <c r="L120" s="1" t="s">
        <v>61</v>
      </c>
      <c r="M120" s="1" t="s">
        <v>62</v>
      </c>
      <c r="N120" s="1">
        <v>115.0</v>
      </c>
      <c r="O120" s="1">
        <v>0.111930232558139</v>
      </c>
      <c r="P120" s="1" t="s">
        <v>61</v>
      </c>
      <c r="Q120" s="1" t="s">
        <v>61</v>
      </c>
      <c r="R120" s="1">
        <f t="shared" si="1"/>
        <v>0.1119302326</v>
      </c>
      <c r="S120" s="1">
        <f t="shared" si="2"/>
        <v>115</v>
      </c>
      <c r="T120" s="1">
        <f t="shared" si="3"/>
        <v>2.15</v>
      </c>
      <c r="U120" s="1">
        <f t="shared" si="4"/>
        <v>0</v>
      </c>
      <c r="V120" s="3">
        <f t="shared" si="5"/>
        <v>3</v>
      </c>
      <c r="W120" s="3">
        <f t="shared" si="6"/>
        <v>1</v>
      </c>
      <c r="X120" s="3" t="str">
        <f>IFERROR(__xludf.DUMMYFUNCTION("split(B120,"" "")"),"D.")</f>
        <v>D.</v>
      </c>
      <c r="Y120" s="3" t="str">
        <f>IFERROR(__xludf.DUMMYFUNCTION("""COMPUTED_VALUE"""),"Moore")</f>
        <v>Moore</v>
      </c>
      <c r="AA120" s="3">
        <v>5.0</v>
      </c>
      <c r="AB120" s="3">
        <f t="shared" si="7"/>
        <v>1</v>
      </c>
      <c r="AC120" s="3">
        <f t="shared" si="8"/>
        <v>0</v>
      </c>
      <c r="AD120" s="3">
        <f t="shared" si="9"/>
        <v>3.45</v>
      </c>
      <c r="AE120" s="3">
        <f t="shared" si="10"/>
        <v>-3</v>
      </c>
      <c r="AF120" s="3">
        <f t="shared" si="11"/>
        <v>-1</v>
      </c>
      <c r="AG120" s="3">
        <f t="shared" si="12"/>
        <v>-0.1111111111</v>
      </c>
    </row>
    <row r="121">
      <c r="A121" s="1" t="s">
        <v>11</v>
      </c>
      <c r="B121" s="1" t="s">
        <v>143</v>
      </c>
      <c r="C121" s="1" t="s">
        <v>19</v>
      </c>
      <c r="D121" s="1" t="s">
        <v>99</v>
      </c>
      <c r="E121" s="1" t="s">
        <v>100</v>
      </c>
      <c r="F121" s="1" t="s">
        <v>59</v>
      </c>
      <c r="G121" s="1">
        <v>3.5</v>
      </c>
      <c r="H121" s="1" t="s">
        <v>60</v>
      </c>
      <c r="I121" s="1">
        <v>-115.0</v>
      </c>
      <c r="J121" s="1">
        <v>0.10918671992749</v>
      </c>
      <c r="K121" s="1" t="s">
        <v>61</v>
      </c>
      <c r="L121" s="1" t="s">
        <v>61</v>
      </c>
      <c r="M121" s="1" t="s">
        <v>62</v>
      </c>
      <c r="N121" s="1">
        <v>-115.0</v>
      </c>
      <c r="O121" s="1">
        <v>-0.178919727916614</v>
      </c>
      <c r="P121" s="1" t="s">
        <v>61</v>
      </c>
      <c r="Q121" s="1" t="s">
        <v>61</v>
      </c>
      <c r="R121" s="1">
        <f t="shared" si="1"/>
        <v>0.1091867199</v>
      </c>
      <c r="S121" s="1">
        <f t="shared" si="2"/>
        <v>-115</v>
      </c>
      <c r="T121" s="1">
        <f t="shared" si="3"/>
        <v>1.869565217</v>
      </c>
      <c r="U121" s="1">
        <f t="shared" si="4"/>
        <v>1</v>
      </c>
      <c r="V121" s="3">
        <f t="shared" si="5"/>
        <v>3</v>
      </c>
      <c r="W121" s="3">
        <f t="shared" si="6"/>
        <v>2</v>
      </c>
      <c r="X121" s="3" t="str">
        <f>IFERROR(__xludf.DUMMYFUNCTION("split(B121,"" "")"),"K.")</f>
        <v>K.</v>
      </c>
      <c r="Y121" s="3" t="str">
        <f>IFERROR(__xludf.DUMMYFUNCTION("""COMPUTED_VALUE"""),"Herbert")</f>
        <v>Herbert</v>
      </c>
      <c r="AA121" s="3">
        <v>0.0</v>
      </c>
      <c r="AB121" s="3">
        <f t="shared" si="7"/>
        <v>0</v>
      </c>
      <c r="AC121" s="3">
        <f t="shared" si="8"/>
        <v>0</v>
      </c>
      <c r="AD121" s="3">
        <f t="shared" si="9"/>
        <v>2.608695652</v>
      </c>
      <c r="AE121" s="3">
        <f t="shared" si="10"/>
        <v>-3</v>
      </c>
      <c r="AF121" s="3">
        <f t="shared" si="11"/>
        <v>-2</v>
      </c>
      <c r="AG121" s="3">
        <f t="shared" si="12"/>
        <v>-1</v>
      </c>
    </row>
    <row r="122">
      <c r="A122" s="1" t="s">
        <v>9</v>
      </c>
      <c r="B122" s="1" t="s">
        <v>150</v>
      </c>
      <c r="C122" s="1" t="s">
        <v>18</v>
      </c>
      <c r="D122" s="1" t="s">
        <v>147</v>
      </c>
      <c r="E122" s="1" t="s">
        <v>146</v>
      </c>
      <c r="F122" s="1" t="s">
        <v>59</v>
      </c>
      <c r="G122" s="1">
        <v>18.5</v>
      </c>
      <c r="H122" s="1" t="s">
        <v>60</v>
      </c>
      <c r="I122" s="1">
        <v>-115.0</v>
      </c>
      <c r="J122" s="1">
        <v>0.108084833073562</v>
      </c>
      <c r="K122" s="1" t="s">
        <v>61</v>
      </c>
      <c r="L122" s="1" t="s">
        <v>61</v>
      </c>
      <c r="M122" s="1" t="s">
        <v>62</v>
      </c>
      <c r="N122" s="1">
        <v>-120.0</v>
      </c>
      <c r="O122" s="1">
        <v>-0.188383122422632</v>
      </c>
      <c r="P122" s="1" t="s">
        <v>61</v>
      </c>
      <c r="Q122" s="1" t="s">
        <v>61</v>
      </c>
      <c r="R122" s="1">
        <f t="shared" si="1"/>
        <v>0.1080848331</v>
      </c>
      <c r="S122" s="1">
        <f t="shared" si="2"/>
        <v>-115</v>
      </c>
      <c r="T122" s="1">
        <f t="shared" si="3"/>
        <v>1.869565217</v>
      </c>
      <c r="U122" s="1">
        <f t="shared" si="4"/>
        <v>1</v>
      </c>
      <c r="V122" s="3">
        <f t="shared" si="5"/>
        <v>3</v>
      </c>
      <c r="W122" s="3">
        <f t="shared" si="6"/>
        <v>2</v>
      </c>
      <c r="X122" s="3" t="str">
        <f>IFERROR(__xludf.DUMMYFUNCTION("split(B122,"" "")"),"J.")</f>
        <v>J.</v>
      </c>
      <c r="Y122" s="3" t="str">
        <f>IFERROR(__xludf.DUMMYFUNCTION("""COMPUTED_VALUE"""),"Hyatt")</f>
        <v>Hyatt</v>
      </c>
      <c r="AA122" s="3">
        <v>0.0</v>
      </c>
      <c r="AB122" s="3">
        <f t="shared" si="7"/>
        <v>0</v>
      </c>
      <c r="AC122" s="3">
        <f t="shared" si="8"/>
        <v>0</v>
      </c>
      <c r="AD122" s="3">
        <f t="shared" si="9"/>
        <v>2.608695652</v>
      </c>
      <c r="AE122" s="3">
        <f t="shared" si="10"/>
        <v>-3</v>
      </c>
      <c r="AF122" s="3">
        <f t="shared" si="11"/>
        <v>-2</v>
      </c>
      <c r="AG122" s="3">
        <f t="shared" si="12"/>
        <v>-1</v>
      </c>
    </row>
    <row r="123">
      <c r="A123" s="1" t="s">
        <v>9</v>
      </c>
      <c r="B123" s="1" t="s">
        <v>448</v>
      </c>
      <c r="C123" s="1" t="s">
        <v>18</v>
      </c>
      <c r="D123" s="1" t="s">
        <v>83</v>
      </c>
      <c r="E123" s="1" t="s">
        <v>82</v>
      </c>
      <c r="F123" s="1" t="s">
        <v>84</v>
      </c>
      <c r="G123" s="1">
        <v>23.5</v>
      </c>
      <c r="H123" s="1" t="s">
        <v>60</v>
      </c>
      <c r="I123" s="1">
        <v>-110.0</v>
      </c>
      <c r="J123" s="1">
        <v>0.107495957595</v>
      </c>
      <c r="K123" s="1" t="s">
        <v>61</v>
      </c>
      <c r="L123" s="1" t="s">
        <v>61</v>
      </c>
      <c r="M123" s="1" t="s">
        <v>62</v>
      </c>
      <c r="N123" s="1">
        <v>-120.0</v>
      </c>
      <c r="O123" s="1">
        <v>-0.176731733245182</v>
      </c>
      <c r="P123" s="1" t="s">
        <v>61</v>
      </c>
      <c r="Q123" s="1" t="s">
        <v>61</v>
      </c>
      <c r="R123" s="1">
        <f t="shared" si="1"/>
        <v>0.1074959576</v>
      </c>
      <c r="S123" s="1">
        <f t="shared" si="2"/>
        <v>-110</v>
      </c>
      <c r="T123" s="1">
        <f t="shared" si="3"/>
        <v>1.909090909</v>
      </c>
      <c r="U123" s="1">
        <f t="shared" si="4"/>
        <v>1</v>
      </c>
      <c r="V123" s="3">
        <f t="shared" si="5"/>
        <v>3</v>
      </c>
      <c r="W123" s="3">
        <f t="shared" si="6"/>
        <v>2</v>
      </c>
      <c r="X123" s="3" t="str">
        <f>IFERROR(__xludf.DUMMYFUNCTION("split(B123,"" "")"),"M.")</f>
        <v>M.</v>
      </c>
      <c r="Y123" s="3" t="str">
        <f>IFERROR(__xludf.DUMMYFUNCTION("""COMPUTED_VALUE"""),"Mims")</f>
        <v>Mims</v>
      </c>
      <c r="Z123" s="3" t="str">
        <f>IFERROR(__xludf.DUMMYFUNCTION("""COMPUTED_VALUE"""),"Jr.")</f>
        <v>Jr.</v>
      </c>
      <c r="AA123" s="3">
        <v>0.0</v>
      </c>
      <c r="AB123" s="3">
        <f t="shared" si="7"/>
        <v>0</v>
      </c>
      <c r="AC123" s="3">
        <f t="shared" si="8"/>
        <v>0</v>
      </c>
      <c r="AD123" s="3">
        <f t="shared" si="9"/>
        <v>2.727272727</v>
      </c>
      <c r="AE123" s="3">
        <f t="shared" si="10"/>
        <v>-3</v>
      </c>
      <c r="AF123" s="3">
        <f t="shared" si="11"/>
        <v>-2</v>
      </c>
      <c r="AG123" s="3">
        <f t="shared" si="12"/>
        <v>-1</v>
      </c>
    </row>
    <row r="124">
      <c r="A124" s="1" t="s">
        <v>12</v>
      </c>
      <c r="B124" s="1" t="s">
        <v>354</v>
      </c>
      <c r="C124" s="1" t="s">
        <v>18</v>
      </c>
      <c r="D124" s="1" t="s">
        <v>147</v>
      </c>
      <c r="E124" s="1" t="s">
        <v>146</v>
      </c>
      <c r="F124" s="1" t="s">
        <v>59</v>
      </c>
      <c r="G124" s="1">
        <v>3.5</v>
      </c>
      <c r="H124" s="1" t="s">
        <v>60</v>
      </c>
      <c r="I124" s="1">
        <v>-107.0</v>
      </c>
      <c r="J124" s="1">
        <v>-0.183408212560386</v>
      </c>
      <c r="K124" s="1" t="s">
        <v>61</v>
      </c>
      <c r="L124" s="1" t="s">
        <v>61</v>
      </c>
      <c r="M124" s="1" t="s">
        <v>62</v>
      </c>
      <c r="N124" s="1">
        <v>-127.0</v>
      </c>
      <c r="O124" s="1">
        <v>0.107028634361233</v>
      </c>
      <c r="P124" s="1" t="s">
        <v>61</v>
      </c>
      <c r="Q124" s="1" t="s">
        <v>61</v>
      </c>
      <c r="R124" s="1">
        <f t="shared" si="1"/>
        <v>0.1070286344</v>
      </c>
      <c r="S124" s="1">
        <f t="shared" si="2"/>
        <v>-127</v>
      </c>
      <c r="T124" s="1">
        <f t="shared" si="3"/>
        <v>1.787401575</v>
      </c>
      <c r="U124" s="1">
        <f t="shared" si="4"/>
        <v>0</v>
      </c>
      <c r="V124" s="3">
        <f t="shared" si="5"/>
        <v>3</v>
      </c>
      <c r="W124" s="3">
        <f t="shared" si="6"/>
        <v>3</v>
      </c>
      <c r="X124" s="3" t="str">
        <f>IFERROR(__xludf.DUMMYFUNCTION("split(B124,"" "")"),"W.")</f>
        <v>W.</v>
      </c>
      <c r="Y124" s="3" t="str">
        <f>IFERROR(__xludf.DUMMYFUNCTION("""COMPUTED_VALUE"""),"Robinson")</f>
        <v>Robinson</v>
      </c>
      <c r="AA124" s="3">
        <v>6.0</v>
      </c>
      <c r="AB124" s="3">
        <f t="shared" si="7"/>
        <v>1</v>
      </c>
      <c r="AC124" s="3">
        <f t="shared" si="8"/>
        <v>0</v>
      </c>
      <c r="AD124" s="3">
        <f t="shared" si="9"/>
        <v>2.362204724</v>
      </c>
      <c r="AE124" s="3">
        <f t="shared" si="10"/>
        <v>-3</v>
      </c>
      <c r="AF124" s="3">
        <f t="shared" si="11"/>
        <v>-3</v>
      </c>
      <c r="AG124" s="3">
        <f t="shared" si="12"/>
        <v>-0.7142857143</v>
      </c>
    </row>
    <row r="125">
      <c r="A125" s="1" t="s">
        <v>8</v>
      </c>
      <c r="B125" s="1" t="s">
        <v>320</v>
      </c>
      <c r="C125" s="1" t="s">
        <v>21</v>
      </c>
      <c r="D125" s="1" t="s">
        <v>114</v>
      </c>
      <c r="E125" s="1" t="s">
        <v>113</v>
      </c>
      <c r="F125" s="1" t="s">
        <v>90</v>
      </c>
      <c r="G125" s="1">
        <v>7.5</v>
      </c>
      <c r="H125" s="1" t="s">
        <v>60</v>
      </c>
      <c r="I125" s="1">
        <v>110.0</v>
      </c>
      <c r="J125" s="1">
        <v>-0.172735453905716</v>
      </c>
      <c r="K125" s="1" t="s">
        <v>61</v>
      </c>
      <c r="L125" s="1" t="s">
        <v>61</v>
      </c>
      <c r="M125" s="1" t="s">
        <v>62</v>
      </c>
      <c r="N125" s="1">
        <v>-145.0</v>
      </c>
      <c r="O125" s="1">
        <v>0.104727071296068</v>
      </c>
      <c r="P125" s="1" t="s">
        <v>61</v>
      </c>
      <c r="Q125" s="1" t="s">
        <v>61</v>
      </c>
      <c r="R125" s="1">
        <f t="shared" si="1"/>
        <v>0.1047270713</v>
      </c>
      <c r="S125" s="1">
        <f t="shared" si="2"/>
        <v>-145</v>
      </c>
      <c r="T125" s="1">
        <f t="shared" si="3"/>
        <v>1.689655172</v>
      </c>
      <c r="U125" s="1">
        <f t="shared" si="4"/>
        <v>0</v>
      </c>
      <c r="V125" s="3">
        <f t="shared" si="5"/>
        <v>3</v>
      </c>
      <c r="W125" s="3">
        <f t="shared" si="6"/>
        <v>3</v>
      </c>
      <c r="X125" s="3" t="str">
        <f>IFERROR(__xludf.DUMMYFUNCTION("split(B125,"" "")"),"J.")</f>
        <v>J.</v>
      </c>
      <c r="Y125" s="3" t="str">
        <f>IFERROR(__xludf.DUMMYFUNCTION("""COMPUTED_VALUE"""),"Daniels")</f>
        <v>Daniels</v>
      </c>
      <c r="AA125" s="3">
        <v>16.0</v>
      </c>
      <c r="AB125" s="3">
        <f t="shared" si="7"/>
        <v>1</v>
      </c>
      <c r="AC125" s="3">
        <f t="shared" si="8"/>
        <v>0</v>
      </c>
      <c r="AD125" s="3">
        <f t="shared" si="9"/>
        <v>2.068965517</v>
      </c>
      <c r="AE125" s="3">
        <f t="shared" si="10"/>
        <v>-3</v>
      </c>
      <c r="AF125" s="3">
        <f t="shared" si="11"/>
        <v>-3</v>
      </c>
      <c r="AG125" s="3">
        <f t="shared" si="12"/>
        <v>-1.133333333</v>
      </c>
    </row>
    <row r="126">
      <c r="A126" s="1" t="s">
        <v>12</v>
      </c>
      <c r="B126" s="1" t="s">
        <v>182</v>
      </c>
      <c r="C126" s="1" t="s">
        <v>19</v>
      </c>
      <c r="D126" s="1" t="s">
        <v>77</v>
      </c>
      <c r="E126" s="1" t="s">
        <v>76</v>
      </c>
      <c r="F126" s="1" t="s">
        <v>78</v>
      </c>
      <c r="G126" s="1">
        <v>1.5</v>
      </c>
      <c r="H126" s="1" t="s">
        <v>60</v>
      </c>
      <c r="I126" s="1">
        <v>-123.0</v>
      </c>
      <c r="J126" s="6">
        <v>-0.175468591022421</v>
      </c>
      <c r="K126" s="1" t="s">
        <v>61</v>
      </c>
      <c r="L126" s="1" t="s">
        <v>61</v>
      </c>
      <c r="M126" s="1" t="s">
        <v>62</v>
      </c>
      <c r="N126" s="1">
        <v>-108.0</v>
      </c>
      <c r="O126" s="6">
        <v>0.104668170489615</v>
      </c>
      <c r="P126" s="1" t="s">
        <v>61</v>
      </c>
      <c r="Q126" s="1" t="s">
        <v>61</v>
      </c>
      <c r="R126" s="6">
        <f t="shared" si="1"/>
        <v>0.1046681705</v>
      </c>
      <c r="S126" s="1">
        <f t="shared" si="2"/>
        <v>-108</v>
      </c>
      <c r="T126" s="1">
        <f t="shared" si="3"/>
        <v>1.925925926</v>
      </c>
      <c r="U126" s="1">
        <f t="shared" si="4"/>
        <v>0</v>
      </c>
      <c r="V126" s="3">
        <f t="shared" si="5"/>
        <v>3</v>
      </c>
      <c r="W126" s="3">
        <f t="shared" si="6"/>
        <v>2</v>
      </c>
      <c r="X126" s="3" t="str">
        <f>IFERROR(__xludf.DUMMYFUNCTION("split(B126,"" "")"),"J.")</f>
        <v>J.</v>
      </c>
      <c r="Y126" s="3" t="str">
        <f>IFERROR(__xludf.DUMMYFUNCTION("""COMPUTED_VALUE"""),"Hill")</f>
        <v>Hill</v>
      </c>
      <c r="AA126" s="3">
        <v>6.0</v>
      </c>
      <c r="AB126" s="3">
        <f t="shared" si="7"/>
        <v>1</v>
      </c>
      <c r="AC126" s="3">
        <f t="shared" si="8"/>
        <v>0</v>
      </c>
      <c r="AD126" s="3">
        <f t="shared" si="9"/>
        <v>2.777777778</v>
      </c>
      <c r="AE126" s="3">
        <f t="shared" si="10"/>
        <v>-3</v>
      </c>
      <c r="AF126" s="3">
        <f t="shared" si="11"/>
        <v>-2</v>
      </c>
      <c r="AG126" s="3">
        <f t="shared" si="12"/>
        <v>-3</v>
      </c>
    </row>
    <row r="127">
      <c r="A127" s="1" t="s">
        <v>12</v>
      </c>
      <c r="B127" s="1" t="s">
        <v>451</v>
      </c>
      <c r="C127" s="1" t="s">
        <v>18</v>
      </c>
      <c r="D127" s="1" t="s">
        <v>105</v>
      </c>
      <c r="E127" s="1" t="s">
        <v>104</v>
      </c>
      <c r="F127" s="1" t="s">
        <v>59</v>
      </c>
      <c r="G127" s="1">
        <v>3.5</v>
      </c>
      <c r="H127" s="1" t="s">
        <v>60</v>
      </c>
      <c r="I127" s="1">
        <v>132.0</v>
      </c>
      <c r="J127" s="1">
        <v>-0.17172889915862</v>
      </c>
      <c r="K127" s="1" t="s">
        <v>61</v>
      </c>
      <c r="L127" s="1" t="s">
        <v>61</v>
      </c>
      <c r="M127" s="1" t="s">
        <v>62</v>
      </c>
      <c r="N127" s="1">
        <v>-175.0</v>
      </c>
      <c r="O127" s="1">
        <v>0.104330118618181</v>
      </c>
      <c r="P127" s="1" t="s">
        <v>61</v>
      </c>
      <c r="Q127" s="1" t="s">
        <v>61</v>
      </c>
      <c r="R127" s="1">
        <f t="shared" si="1"/>
        <v>0.1043301186</v>
      </c>
      <c r="S127" s="1">
        <f t="shared" si="2"/>
        <v>-175</v>
      </c>
      <c r="T127" s="1">
        <f t="shared" si="3"/>
        <v>1.571428571</v>
      </c>
      <c r="U127" s="1">
        <f t="shared" si="4"/>
        <v>0</v>
      </c>
      <c r="V127" s="3">
        <f t="shared" si="5"/>
        <v>3</v>
      </c>
      <c r="W127" s="3">
        <f t="shared" si="6"/>
        <v>3</v>
      </c>
      <c r="X127" s="3" t="str">
        <f>IFERROR(__xludf.DUMMYFUNCTION("split(B127,"" "")"),"G.")</f>
        <v>G.</v>
      </c>
      <c r="Y127" s="3" t="str">
        <f>IFERROR(__xludf.DUMMYFUNCTION("""COMPUTED_VALUE"""),"Dortch")</f>
        <v>Dortch</v>
      </c>
      <c r="AA127" s="3">
        <v>6.0</v>
      </c>
      <c r="AB127" s="3">
        <f t="shared" si="7"/>
        <v>1</v>
      </c>
      <c r="AC127" s="3">
        <f t="shared" si="8"/>
        <v>0</v>
      </c>
      <c r="AD127" s="3">
        <f t="shared" si="9"/>
        <v>1.714285714</v>
      </c>
      <c r="AE127" s="3">
        <f t="shared" si="10"/>
        <v>-3</v>
      </c>
      <c r="AF127" s="3">
        <f t="shared" si="11"/>
        <v>-3</v>
      </c>
      <c r="AG127" s="3">
        <f t="shared" si="12"/>
        <v>-0.7142857143</v>
      </c>
    </row>
    <row r="128">
      <c r="A128" s="1" t="s">
        <v>12</v>
      </c>
      <c r="B128" s="1" t="s">
        <v>458</v>
      </c>
      <c r="C128" s="1" t="s">
        <v>19</v>
      </c>
      <c r="D128" s="1" t="s">
        <v>104</v>
      </c>
      <c r="E128" s="1" t="s">
        <v>105</v>
      </c>
      <c r="F128" s="1" t="s">
        <v>59</v>
      </c>
      <c r="G128" s="1">
        <v>2.5</v>
      </c>
      <c r="H128" s="1" t="s">
        <v>60</v>
      </c>
      <c r="I128" s="1">
        <v>-109.0</v>
      </c>
      <c r="J128" s="1">
        <v>-0.171377058229664</v>
      </c>
      <c r="K128" s="1" t="s">
        <v>61</v>
      </c>
      <c r="L128" s="1" t="s">
        <v>61</v>
      </c>
      <c r="M128" s="1" t="s">
        <v>62</v>
      </c>
      <c r="N128" s="1">
        <v>-121.0</v>
      </c>
      <c r="O128" s="1">
        <v>0.102341277175113</v>
      </c>
      <c r="P128" s="1" t="s">
        <v>61</v>
      </c>
      <c r="Q128" s="1" t="s">
        <v>61</v>
      </c>
      <c r="R128" s="1">
        <f t="shared" si="1"/>
        <v>0.1023412772</v>
      </c>
      <c r="S128" s="1">
        <f t="shared" si="2"/>
        <v>-121</v>
      </c>
      <c r="T128" s="1">
        <f t="shared" si="3"/>
        <v>1.826446281</v>
      </c>
      <c r="U128" s="1">
        <f t="shared" si="4"/>
        <v>0</v>
      </c>
      <c r="V128" s="3">
        <f t="shared" si="5"/>
        <v>3</v>
      </c>
      <c r="W128" s="3">
        <f t="shared" si="6"/>
        <v>3</v>
      </c>
      <c r="X128" s="3" t="str">
        <f>IFERROR(__xludf.DUMMYFUNCTION("split(B128,"" "")"),"J.")</f>
        <v>J.</v>
      </c>
      <c r="Y128" s="3" t="str">
        <f>IFERROR(__xludf.DUMMYFUNCTION("""COMPUTED_VALUE"""),"Cook")</f>
        <v>Cook</v>
      </c>
      <c r="AA128" s="3">
        <v>3.0</v>
      </c>
      <c r="AB128" s="3">
        <f t="shared" si="7"/>
        <v>1</v>
      </c>
      <c r="AC128" s="3">
        <f t="shared" si="8"/>
        <v>0</v>
      </c>
      <c r="AD128" s="3">
        <f t="shared" si="9"/>
        <v>2.479338843</v>
      </c>
      <c r="AE128" s="3">
        <f t="shared" si="10"/>
        <v>-3</v>
      </c>
      <c r="AF128" s="3">
        <f t="shared" si="11"/>
        <v>-3</v>
      </c>
      <c r="AG128" s="3">
        <f t="shared" si="12"/>
        <v>-0.2</v>
      </c>
    </row>
    <row r="129">
      <c r="A129" s="1" t="s">
        <v>12</v>
      </c>
      <c r="B129" s="1" t="s">
        <v>422</v>
      </c>
      <c r="C129" s="1" t="s">
        <v>18</v>
      </c>
      <c r="D129" s="1" t="s">
        <v>83</v>
      </c>
      <c r="E129" s="1" t="s">
        <v>82</v>
      </c>
      <c r="F129" s="1" t="s">
        <v>84</v>
      </c>
      <c r="G129" s="1">
        <v>2.5</v>
      </c>
      <c r="H129" s="1" t="s">
        <v>60</v>
      </c>
      <c r="I129" s="1">
        <v>-103.0</v>
      </c>
      <c r="J129" s="1">
        <v>-0.170738226354679</v>
      </c>
      <c r="K129" s="1" t="s">
        <v>61</v>
      </c>
      <c r="L129" s="1" t="s">
        <v>61</v>
      </c>
      <c r="M129" s="1" t="s">
        <v>62</v>
      </c>
      <c r="N129" s="1">
        <v>-128.0</v>
      </c>
      <c r="O129" s="1">
        <v>0.101938441824561</v>
      </c>
      <c r="P129" s="1" t="s">
        <v>61</v>
      </c>
      <c r="Q129" s="1" t="s">
        <v>61</v>
      </c>
      <c r="R129" s="1">
        <f t="shared" si="1"/>
        <v>0.1019384418</v>
      </c>
      <c r="S129" s="1">
        <f t="shared" si="2"/>
        <v>-128</v>
      </c>
      <c r="T129" s="1">
        <f t="shared" si="3"/>
        <v>1.78125</v>
      </c>
      <c r="U129" s="1">
        <f t="shared" si="4"/>
        <v>0</v>
      </c>
      <c r="V129" s="3">
        <f t="shared" si="5"/>
        <v>3</v>
      </c>
      <c r="W129" s="3">
        <f t="shared" si="6"/>
        <v>3</v>
      </c>
      <c r="X129" s="3" t="str">
        <f>IFERROR(__xludf.DUMMYFUNCTION("split(B129,"" "")"),"J.")</f>
        <v>J.</v>
      </c>
      <c r="Y129" s="3" t="str">
        <f>IFERROR(__xludf.DUMMYFUNCTION("""COMPUTED_VALUE"""),"Reynolds")</f>
        <v>Reynolds</v>
      </c>
      <c r="AA129" s="3">
        <v>5.0</v>
      </c>
      <c r="AB129" s="3">
        <f t="shared" si="7"/>
        <v>1</v>
      </c>
      <c r="AC129" s="3">
        <f t="shared" si="8"/>
        <v>0</v>
      </c>
      <c r="AD129" s="3">
        <f t="shared" si="9"/>
        <v>2.34375</v>
      </c>
      <c r="AE129" s="3">
        <f t="shared" si="10"/>
        <v>-3</v>
      </c>
      <c r="AF129" s="3">
        <f t="shared" si="11"/>
        <v>-3</v>
      </c>
      <c r="AG129" s="3">
        <f t="shared" si="12"/>
        <v>-1</v>
      </c>
    </row>
    <row r="130">
      <c r="A130" s="1" t="s">
        <v>14</v>
      </c>
      <c r="B130" s="1" t="s">
        <v>369</v>
      </c>
      <c r="C130" s="1" t="s">
        <v>21</v>
      </c>
      <c r="D130" s="1" t="s">
        <v>72</v>
      </c>
      <c r="E130" s="1" t="s">
        <v>71</v>
      </c>
      <c r="F130" s="1" t="s">
        <v>59</v>
      </c>
      <c r="G130" s="1">
        <v>1.5</v>
      </c>
      <c r="H130" s="1" t="s">
        <v>60</v>
      </c>
      <c r="I130" s="1">
        <v>-165.0</v>
      </c>
      <c r="J130" s="1">
        <v>-0.169403773584905</v>
      </c>
      <c r="K130" s="1" t="s">
        <v>61</v>
      </c>
      <c r="L130" s="1" t="s">
        <v>61</v>
      </c>
      <c r="M130" s="1" t="s">
        <v>62</v>
      </c>
      <c r="N130" s="1">
        <v>124.0</v>
      </c>
      <c r="O130" s="1">
        <v>0.100326785714285</v>
      </c>
      <c r="P130" s="1" t="s">
        <v>61</v>
      </c>
      <c r="Q130" s="1" t="s">
        <v>61</v>
      </c>
      <c r="R130" s="1">
        <f t="shared" si="1"/>
        <v>0.1003267857</v>
      </c>
      <c r="S130" s="1">
        <f t="shared" si="2"/>
        <v>124</v>
      </c>
      <c r="T130" s="1">
        <f t="shared" si="3"/>
        <v>2.24</v>
      </c>
      <c r="U130" s="1">
        <f t="shared" si="4"/>
        <v>0</v>
      </c>
      <c r="V130" s="3">
        <f t="shared" si="5"/>
        <v>3</v>
      </c>
      <c r="W130" s="3">
        <f t="shared" si="6"/>
        <v>1</v>
      </c>
      <c r="X130" s="3" t="str">
        <f>IFERROR(__xludf.DUMMYFUNCTION("split(B130,"" "")"),"C.")</f>
        <v>C.</v>
      </c>
      <c r="Y130" s="3" t="str">
        <f>IFERROR(__xludf.DUMMYFUNCTION("""COMPUTED_VALUE"""),"Stroud")</f>
        <v>Stroud</v>
      </c>
      <c r="AA130" s="3">
        <v>2.0</v>
      </c>
      <c r="AB130" s="3">
        <f t="shared" si="7"/>
        <v>1</v>
      </c>
      <c r="AC130" s="3">
        <f t="shared" si="8"/>
        <v>0</v>
      </c>
      <c r="AD130" s="3">
        <f t="shared" si="9"/>
        <v>3.72</v>
      </c>
      <c r="AE130" s="3">
        <f t="shared" si="10"/>
        <v>-3</v>
      </c>
      <c r="AF130" s="3">
        <f t="shared" si="11"/>
        <v>-1</v>
      </c>
      <c r="AG130" s="3">
        <f t="shared" si="12"/>
        <v>-0.3333333333</v>
      </c>
    </row>
    <row r="131">
      <c r="A131" s="1" t="s">
        <v>12</v>
      </c>
      <c r="B131" s="1" t="s">
        <v>285</v>
      </c>
      <c r="C131" s="1" t="s">
        <v>18</v>
      </c>
      <c r="D131" s="1" t="s">
        <v>164</v>
      </c>
      <c r="E131" s="1" t="s">
        <v>165</v>
      </c>
      <c r="F131" s="1" t="s">
        <v>166</v>
      </c>
      <c r="G131" s="1">
        <v>1.5</v>
      </c>
      <c r="H131" s="1" t="s">
        <v>60</v>
      </c>
      <c r="I131" s="1">
        <v>-195.0</v>
      </c>
      <c r="J131" s="1">
        <v>-0.317579621694915</v>
      </c>
      <c r="K131" s="1" t="s">
        <v>61</v>
      </c>
      <c r="L131" s="1" t="s">
        <v>61</v>
      </c>
      <c r="M131" s="1" t="s">
        <v>62</v>
      </c>
      <c r="N131" s="1">
        <v>141.0</v>
      </c>
      <c r="O131" s="1">
        <v>0.241638956016597</v>
      </c>
      <c r="P131" s="1" t="s">
        <v>61</v>
      </c>
      <c r="Q131" s="1" t="s">
        <v>61</v>
      </c>
      <c r="R131" s="1">
        <f t="shared" si="1"/>
        <v>0.241638956</v>
      </c>
      <c r="S131" s="1">
        <f t="shared" si="2"/>
        <v>141</v>
      </c>
      <c r="T131" s="1">
        <f t="shared" si="3"/>
        <v>2.41</v>
      </c>
      <c r="U131" s="1">
        <f t="shared" si="4"/>
        <v>0</v>
      </c>
      <c r="V131" s="3">
        <f t="shared" si="5"/>
        <v>3</v>
      </c>
      <c r="W131" s="3">
        <f t="shared" si="6"/>
        <v>1</v>
      </c>
      <c r="X131" s="3" t="str">
        <f>IFERROR(__xludf.DUMMYFUNCTION("split(B131,"" "")"),"J.")</f>
        <v>J.</v>
      </c>
      <c r="Y131" s="3" t="str">
        <f>IFERROR(__xludf.DUMMYFUNCTION("""COMPUTED_VALUE"""),"Jennings")</f>
        <v>Jennings</v>
      </c>
      <c r="AA131" s="3">
        <v>5.0</v>
      </c>
      <c r="AB131" s="3">
        <f t="shared" si="7"/>
        <v>1</v>
      </c>
      <c r="AC131" s="3">
        <f t="shared" si="8"/>
        <v>0</v>
      </c>
      <c r="AD131" s="3">
        <f t="shared" si="9"/>
        <v>4.23</v>
      </c>
      <c r="AE131" s="3">
        <f t="shared" si="10"/>
        <v>-3</v>
      </c>
      <c r="AF131" s="3">
        <f t="shared" si="11"/>
        <v>-1</v>
      </c>
      <c r="AG131" s="3">
        <f t="shared" si="12"/>
        <v>-2.333333333</v>
      </c>
    </row>
    <row r="132">
      <c r="A132" s="1" t="s">
        <v>12</v>
      </c>
      <c r="B132" s="1" t="s">
        <v>291</v>
      </c>
      <c r="C132" s="1" t="s">
        <v>18</v>
      </c>
      <c r="D132" s="1" t="s">
        <v>165</v>
      </c>
      <c r="E132" s="1" t="s">
        <v>164</v>
      </c>
      <c r="F132" s="1" t="s">
        <v>166</v>
      </c>
      <c r="G132" s="1">
        <v>1.5</v>
      </c>
      <c r="H132" s="1" t="s">
        <v>60</v>
      </c>
      <c r="I132" s="1">
        <v>-135.0</v>
      </c>
      <c r="J132" s="1">
        <v>-0.297919303613191</v>
      </c>
      <c r="K132" s="1" t="s">
        <v>61</v>
      </c>
      <c r="L132" s="1" t="s">
        <v>61</v>
      </c>
      <c r="M132" s="1" t="s">
        <v>62</v>
      </c>
      <c r="N132" s="1">
        <v>101.0</v>
      </c>
      <c r="O132" s="1">
        <v>0.225930529099999</v>
      </c>
      <c r="P132" s="1" t="s">
        <v>61</v>
      </c>
      <c r="Q132" s="1" t="s">
        <v>61</v>
      </c>
      <c r="R132" s="1">
        <f t="shared" si="1"/>
        <v>0.2259305291</v>
      </c>
      <c r="S132" s="1">
        <f t="shared" si="2"/>
        <v>101</v>
      </c>
      <c r="T132" s="1">
        <f t="shared" si="3"/>
        <v>2.01</v>
      </c>
      <c r="U132" s="1">
        <f t="shared" si="4"/>
        <v>0</v>
      </c>
      <c r="V132" s="3">
        <f t="shared" si="5"/>
        <v>3</v>
      </c>
      <c r="W132" s="3">
        <f t="shared" si="6"/>
        <v>2</v>
      </c>
      <c r="X132" s="3" t="str">
        <f>IFERROR(__xludf.DUMMYFUNCTION("split(B132,"" "")"),"A.")</f>
        <v>A.</v>
      </c>
      <c r="Y132" s="3" t="str">
        <f>IFERROR(__xludf.DUMMYFUNCTION("""COMPUTED_VALUE"""),"Lazard")</f>
        <v>Lazard</v>
      </c>
      <c r="AA132" s="3">
        <v>6.0</v>
      </c>
      <c r="AB132" s="3">
        <f t="shared" si="7"/>
        <v>1</v>
      </c>
      <c r="AC132" s="3">
        <f t="shared" si="8"/>
        <v>0</v>
      </c>
      <c r="AD132" s="3">
        <f t="shared" si="9"/>
        <v>3.03</v>
      </c>
      <c r="AE132" s="3">
        <f t="shared" si="10"/>
        <v>-3</v>
      </c>
      <c r="AF132" s="3">
        <f t="shared" si="11"/>
        <v>-2</v>
      </c>
      <c r="AG132" s="3">
        <f t="shared" si="12"/>
        <v>-3</v>
      </c>
    </row>
    <row r="133">
      <c r="A133" s="1" t="s">
        <v>12</v>
      </c>
      <c r="B133" s="1" t="s">
        <v>332</v>
      </c>
      <c r="C133" s="1" t="s">
        <v>20</v>
      </c>
      <c r="D133" s="1" t="s">
        <v>164</v>
      </c>
      <c r="E133" s="1" t="s">
        <v>165</v>
      </c>
      <c r="F133" s="1" t="s">
        <v>166</v>
      </c>
      <c r="G133" s="1">
        <v>3.5</v>
      </c>
      <c r="H133" s="1" t="s">
        <v>60</v>
      </c>
      <c r="I133" s="1">
        <v>-150.0</v>
      </c>
      <c r="J133" s="1">
        <v>-0.225059999999999</v>
      </c>
      <c r="K133" s="1" t="s">
        <v>61</v>
      </c>
      <c r="L133" s="1" t="s">
        <v>61</v>
      </c>
      <c r="M133" s="1" t="s">
        <v>62</v>
      </c>
      <c r="N133" s="1">
        <v>110.0</v>
      </c>
      <c r="O133" s="1">
        <v>0.148861904761904</v>
      </c>
      <c r="P133" s="1" t="s">
        <v>61</v>
      </c>
      <c r="Q133" s="1" t="s">
        <v>61</v>
      </c>
      <c r="R133" s="1">
        <f t="shared" si="1"/>
        <v>0.1488619048</v>
      </c>
      <c r="S133" s="1">
        <f t="shared" si="2"/>
        <v>110</v>
      </c>
      <c r="T133" s="1">
        <f t="shared" si="3"/>
        <v>2.1</v>
      </c>
      <c r="U133" s="1">
        <f t="shared" si="4"/>
        <v>0</v>
      </c>
      <c r="V133" s="3">
        <f t="shared" si="5"/>
        <v>3</v>
      </c>
      <c r="W133" s="3">
        <f t="shared" si="6"/>
        <v>2</v>
      </c>
      <c r="X133" s="3" t="str">
        <f>IFERROR(__xludf.DUMMYFUNCTION("split(B133,"" "")"),"G.")</f>
        <v>G.</v>
      </c>
      <c r="Y133" s="3" t="str">
        <f>IFERROR(__xludf.DUMMYFUNCTION("""COMPUTED_VALUE"""),"Kittle")</f>
        <v>Kittle</v>
      </c>
      <c r="AA133" s="3">
        <v>4.0</v>
      </c>
      <c r="AB133" s="3">
        <f t="shared" si="7"/>
        <v>1</v>
      </c>
      <c r="AC133" s="3">
        <f t="shared" si="8"/>
        <v>0</v>
      </c>
      <c r="AD133" s="3">
        <f t="shared" si="9"/>
        <v>3.3</v>
      </c>
      <c r="AE133" s="3">
        <f t="shared" si="10"/>
        <v>-3</v>
      </c>
      <c r="AF133" s="3">
        <f t="shared" si="11"/>
        <v>-2</v>
      </c>
      <c r="AG133" s="3">
        <f t="shared" si="12"/>
        <v>-0.1428571429</v>
      </c>
    </row>
    <row r="134">
      <c r="A134" s="1" t="s">
        <v>11</v>
      </c>
      <c r="B134" s="1" t="s">
        <v>503</v>
      </c>
      <c r="C134" s="1" t="s">
        <v>20</v>
      </c>
      <c r="D134" s="1" t="s">
        <v>165</v>
      </c>
      <c r="E134" s="1" t="s">
        <v>164</v>
      </c>
      <c r="F134" s="1" t="s">
        <v>166</v>
      </c>
      <c r="G134" s="1">
        <v>4.5</v>
      </c>
      <c r="H134" s="1" t="s">
        <v>60</v>
      </c>
      <c r="I134" s="1">
        <v>-112.0</v>
      </c>
      <c r="J134" s="1">
        <v>0.129027444464701</v>
      </c>
      <c r="K134" s="1" t="s">
        <v>61</v>
      </c>
      <c r="L134" s="1" t="s">
        <v>61</v>
      </c>
      <c r="M134" s="1" t="s">
        <v>62</v>
      </c>
      <c r="N134" s="1">
        <v>-114.0</v>
      </c>
      <c r="O134" s="1">
        <v>-0.190043405505743</v>
      </c>
      <c r="P134" s="1" t="s">
        <v>61</v>
      </c>
      <c r="Q134" s="1" t="s">
        <v>61</v>
      </c>
      <c r="R134" s="1">
        <f t="shared" si="1"/>
        <v>0.1290274445</v>
      </c>
      <c r="S134" s="1">
        <f t="shared" si="2"/>
        <v>-112</v>
      </c>
      <c r="T134" s="1">
        <f t="shared" si="3"/>
        <v>1.892857143</v>
      </c>
      <c r="U134" s="1">
        <f t="shared" si="4"/>
        <v>1</v>
      </c>
      <c r="V134" s="3">
        <f t="shared" si="5"/>
        <v>3</v>
      </c>
      <c r="W134" s="3">
        <f t="shared" si="6"/>
        <v>2</v>
      </c>
      <c r="X134" s="3" t="str">
        <f>IFERROR(__xludf.DUMMYFUNCTION("split(B134,"" "")"),"J.")</f>
        <v>J.</v>
      </c>
      <c r="Y134" s="3" t="str">
        <f>IFERROR(__xludf.DUMMYFUNCTION("""COMPUTED_VALUE"""),"Ruckert")</f>
        <v>Ruckert</v>
      </c>
      <c r="AA134" s="3">
        <v>0.0</v>
      </c>
      <c r="AB134" s="3">
        <f t="shared" si="7"/>
        <v>0</v>
      </c>
      <c r="AC134" s="3">
        <f t="shared" si="8"/>
        <v>0</v>
      </c>
      <c r="AD134" s="3">
        <f t="shared" si="9"/>
        <v>2.678571429</v>
      </c>
      <c r="AE134" s="3">
        <f t="shared" si="10"/>
        <v>-3</v>
      </c>
      <c r="AF134" s="3">
        <f t="shared" si="11"/>
        <v>-2</v>
      </c>
      <c r="AG134" s="3">
        <f t="shared" si="12"/>
        <v>-1</v>
      </c>
    </row>
    <row r="135">
      <c r="A135" s="1" t="s">
        <v>8</v>
      </c>
      <c r="B135" s="1" t="s">
        <v>496</v>
      </c>
      <c r="C135" s="1" t="s">
        <v>18</v>
      </c>
      <c r="D135" s="1" t="s">
        <v>164</v>
      </c>
      <c r="E135" s="1" t="s">
        <v>165</v>
      </c>
      <c r="F135" s="1" t="s">
        <v>166</v>
      </c>
      <c r="G135" s="1">
        <v>3.5</v>
      </c>
      <c r="H135" s="1" t="s">
        <v>60</v>
      </c>
      <c r="I135" s="1">
        <v>112.0</v>
      </c>
      <c r="J135" s="1">
        <v>-0.184794524403229</v>
      </c>
      <c r="K135" s="1" t="s">
        <v>61</v>
      </c>
      <c r="L135" s="1" t="s">
        <v>61</v>
      </c>
      <c r="M135" s="1" t="s">
        <v>62</v>
      </c>
      <c r="N135" s="1">
        <v>-146.0</v>
      </c>
      <c r="O135" s="1">
        <v>0.119600033367042</v>
      </c>
      <c r="P135" s="1" t="s">
        <v>61</v>
      </c>
      <c r="Q135" s="1" t="s">
        <v>61</v>
      </c>
      <c r="R135" s="1">
        <f t="shared" si="1"/>
        <v>0.1196000334</v>
      </c>
      <c r="S135" s="1">
        <f t="shared" si="2"/>
        <v>-146</v>
      </c>
      <c r="T135" s="1">
        <f t="shared" si="3"/>
        <v>1.684931507</v>
      </c>
      <c r="U135" s="1">
        <f t="shared" si="4"/>
        <v>0</v>
      </c>
      <c r="V135" s="3">
        <f t="shared" si="5"/>
        <v>3</v>
      </c>
      <c r="W135" s="3">
        <f t="shared" si="6"/>
        <v>3</v>
      </c>
      <c r="X135" s="3" t="str">
        <f>IFERROR(__xludf.DUMMYFUNCTION("split(B135,"" "")"),"D.")</f>
        <v>D.</v>
      </c>
      <c r="Y135" s="3" t="str">
        <f>IFERROR(__xludf.DUMMYFUNCTION("""COMPUTED_VALUE"""),"Samuel")</f>
        <v>Samuel</v>
      </c>
      <c r="AA135" s="3">
        <v>8.0</v>
      </c>
      <c r="AB135" s="3">
        <f t="shared" si="7"/>
        <v>1</v>
      </c>
      <c r="AC135" s="3">
        <f t="shared" si="8"/>
        <v>0</v>
      </c>
      <c r="AD135" s="3">
        <f t="shared" si="9"/>
        <v>2.054794521</v>
      </c>
      <c r="AE135" s="3">
        <f t="shared" si="10"/>
        <v>-3</v>
      </c>
      <c r="AF135" s="3">
        <f t="shared" si="11"/>
        <v>-3</v>
      </c>
      <c r="AG135" s="3">
        <f t="shared" si="12"/>
        <v>-1.285714286</v>
      </c>
    </row>
    <row r="136">
      <c r="A136" s="1" t="s">
        <v>12</v>
      </c>
      <c r="B136" s="1" t="s">
        <v>235</v>
      </c>
      <c r="C136" s="1" t="s">
        <v>20</v>
      </c>
      <c r="D136" s="1" t="s">
        <v>104</v>
      </c>
      <c r="E136" s="1" t="s">
        <v>105</v>
      </c>
      <c r="F136" s="1" t="s">
        <v>59</v>
      </c>
      <c r="G136" s="1">
        <v>4.5</v>
      </c>
      <c r="H136" s="1" t="s">
        <v>60</v>
      </c>
      <c r="I136" s="1">
        <v>-163.0</v>
      </c>
      <c r="J136" s="1">
        <v>-0.161633840304182</v>
      </c>
      <c r="K136" s="1" t="s">
        <v>61</v>
      </c>
      <c r="L136" s="1" t="s">
        <v>61</v>
      </c>
      <c r="M136" s="1" t="s">
        <v>62</v>
      </c>
      <c r="N136" s="1">
        <v>125.0</v>
      </c>
      <c r="O136" s="1">
        <v>0.0974111111111111</v>
      </c>
      <c r="P136" s="1" t="s">
        <v>61</v>
      </c>
      <c r="Q136" s="1" t="s">
        <v>61</v>
      </c>
      <c r="R136" s="1">
        <f t="shared" si="1"/>
        <v>0.09741111111</v>
      </c>
      <c r="S136" s="1">
        <f t="shared" si="2"/>
        <v>125</v>
      </c>
      <c r="T136" s="1">
        <f t="shared" si="3"/>
        <v>2.25</v>
      </c>
      <c r="U136" s="1">
        <f t="shared" si="4"/>
        <v>0</v>
      </c>
      <c r="V136" s="3">
        <f t="shared" si="5"/>
        <v>2</v>
      </c>
      <c r="W136" s="3">
        <f t="shared" si="6"/>
        <v>1</v>
      </c>
      <c r="X136" s="3" t="str">
        <f>IFERROR(__xludf.DUMMYFUNCTION("split(B136,"" "")"),"D.")</f>
        <v>D.</v>
      </c>
      <c r="Y136" s="3" t="str">
        <f>IFERROR(__xludf.DUMMYFUNCTION("""COMPUTED_VALUE"""),"Kincaid")</f>
        <v>Kincaid</v>
      </c>
      <c r="AA136" s="3">
        <v>1.0</v>
      </c>
      <c r="AB136" s="3">
        <f t="shared" si="7"/>
        <v>0</v>
      </c>
      <c r="AC136" s="3">
        <f t="shared" si="8"/>
        <v>1</v>
      </c>
      <c r="AD136" s="3">
        <f t="shared" si="9"/>
        <v>2.5</v>
      </c>
      <c r="AE136" s="3">
        <f t="shared" si="10"/>
        <v>2.5</v>
      </c>
      <c r="AF136" s="3">
        <f t="shared" si="11"/>
        <v>1.25</v>
      </c>
      <c r="AG136" s="3">
        <f t="shared" si="12"/>
        <v>0.7777777778</v>
      </c>
    </row>
    <row r="137">
      <c r="A137" s="1" t="s">
        <v>14</v>
      </c>
      <c r="B137" s="1" t="s">
        <v>241</v>
      </c>
      <c r="C137" s="1" t="s">
        <v>21</v>
      </c>
      <c r="D137" s="1" t="s">
        <v>197</v>
      </c>
      <c r="E137" s="1" t="s">
        <v>196</v>
      </c>
      <c r="F137" s="1" t="s">
        <v>198</v>
      </c>
      <c r="G137" s="1">
        <v>1.5</v>
      </c>
      <c r="H137" s="1" t="s">
        <v>60</v>
      </c>
      <c r="I137" s="1">
        <v>-162.0</v>
      </c>
      <c r="J137" s="1">
        <v>-0.128858778625954</v>
      </c>
      <c r="K137" s="1" t="s">
        <v>61</v>
      </c>
      <c r="L137" s="1" t="s">
        <v>61</v>
      </c>
      <c r="M137" s="1" t="s">
        <v>62</v>
      </c>
      <c r="N137" s="1">
        <v>121.0</v>
      </c>
      <c r="O137" s="1">
        <v>0.0580565610859727</v>
      </c>
      <c r="P137" s="1" t="s">
        <v>61</v>
      </c>
      <c r="Q137" s="1" t="s">
        <v>61</v>
      </c>
      <c r="R137" s="1">
        <f t="shared" si="1"/>
        <v>0.05805656109</v>
      </c>
      <c r="S137" s="1">
        <f t="shared" si="2"/>
        <v>121</v>
      </c>
      <c r="T137" s="1">
        <f t="shared" si="3"/>
        <v>2.21</v>
      </c>
      <c r="U137" s="1">
        <f t="shared" si="4"/>
        <v>0</v>
      </c>
      <c r="V137" s="3">
        <f t="shared" si="5"/>
        <v>2</v>
      </c>
      <c r="W137" s="3">
        <f t="shared" si="6"/>
        <v>1</v>
      </c>
      <c r="X137" s="3" t="str">
        <f>IFERROR(__xludf.DUMMYFUNCTION("split(B137,"" "")"),"J.")</f>
        <v>J.</v>
      </c>
      <c r="Y137" s="3" t="str">
        <f>IFERROR(__xludf.DUMMYFUNCTION("""COMPUTED_VALUE"""),"Goff")</f>
        <v>Goff</v>
      </c>
      <c r="AA137" s="3">
        <v>1.0</v>
      </c>
      <c r="AB137" s="3">
        <f t="shared" si="7"/>
        <v>0</v>
      </c>
      <c r="AC137" s="3">
        <f t="shared" si="8"/>
        <v>1</v>
      </c>
      <c r="AD137" s="3">
        <f t="shared" si="9"/>
        <v>2.42</v>
      </c>
      <c r="AE137" s="3">
        <f t="shared" si="10"/>
        <v>2.42</v>
      </c>
      <c r="AF137" s="3">
        <f t="shared" si="11"/>
        <v>1.21</v>
      </c>
      <c r="AG137" s="3">
        <f t="shared" si="12"/>
        <v>0.3333333333</v>
      </c>
    </row>
    <row r="138">
      <c r="A138" s="1" t="s">
        <v>14</v>
      </c>
      <c r="B138" s="1" t="s">
        <v>247</v>
      </c>
      <c r="C138" s="1" t="s">
        <v>21</v>
      </c>
      <c r="D138" s="1" t="s">
        <v>196</v>
      </c>
      <c r="E138" s="1" t="s">
        <v>197</v>
      </c>
      <c r="F138" s="1" t="s">
        <v>198</v>
      </c>
      <c r="G138" s="1">
        <v>1.5</v>
      </c>
      <c r="H138" s="1" t="s">
        <v>60</v>
      </c>
      <c r="I138" s="1">
        <v>-149.0</v>
      </c>
      <c r="J138" s="1">
        <v>-0.120093574297188</v>
      </c>
      <c r="K138" s="1" t="s">
        <v>61</v>
      </c>
      <c r="L138" s="1" t="s">
        <v>61</v>
      </c>
      <c r="M138" s="1" t="s">
        <v>62</v>
      </c>
      <c r="N138" s="1">
        <v>112.0</v>
      </c>
      <c r="O138" s="1">
        <v>0.0500018867924529</v>
      </c>
      <c r="P138" s="1" t="s">
        <v>61</v>
      </c>
      <c r="Q138" s="1" t="s">
        <v>61</v>
      </c>
      <c r="R138" s="1">
        <f t="shared" si="1"/>
        <v>0.05000188679</v>
      </c>
      <c r="S138" s="1">
        <f t="shared" si="2"/>
        <v>112</v>
      </c>
      <c r="T138" s="1">
        <f t="shared" si="3"/>
        <v>2.12</v>
      </c>
      <c r="U138" s="1">
        <f t="shared" si="4"/>
        <v>0</v>
      </c>
      <c r="V138" s="3">
        <f t="shared" si="5"/>
        <v>2</v>
      </c>
      <c r="W138" s="3">
        <f t="shared" si="6"/>
        <v>1</v>
      </c>
      <c r="X138" s="3" t="str">
        <f>IFERROR(__xludf.DUMMYFUNCTION("split(B138,"" "")"),"M.")</f>
        <v>M.</v>
      </c>
      <c r="Y138" s="3" t="str">
        <f>IFERROR(__xludf.DUMMYFUNCTION("""COMPUTED_VALUE"""),"Stafford")</f>
        <v>Stafford</v>
      </c>
      <c r="AA138" s="3">
        <v>1.0</v>
      </c>
      <c r="AB138" s="3">
        <f t="shared" si="7"/>
        <v>0</v>
      </c>
      <c r="AC138" s="3">
        <f t="shared" si="8"/>
        <v>1</v>
      </c>
      <c r="AD138" s="3">
        <f t="shared" si="9"/>
        <v>2.24</v>
      </c>
      <c r="AE138" s="3">
        <f t="shared" si="10"/>
        <v>2.24</v>
      </c>
      <c r="AF138" s="3">
        <f t="shared" si="11"/>
        <v>1.12</v>
      </c>
      <c r="AG138" s="3">
        <f t="shared" si="12"/>
        <v>0.3333333333</v>
      </c>
    </row>
    <row r="139">
      <c r="A139" s="1" t="s">
        <v>12</v>
      </c>
      <c r="B139" s="1" t="s">
        <v>249</v>
      </c>
      <c r="C139" s="1" t="s">
        <v>18</v>
      </c>
      <c r="D139" s="1" t="s">
        <v>114</v>
      </c>
      <c r="E139" s="1" t="s">
        <v>113</v>
      </c>
      <c r="F139" s="1" t="s">
        <v>90</v>
      </c>
      <c r="G139" s="1">
        <v>4.5</v>
      </c>
      <c r="H139" s="1" t="s">
        <v>60</v>
      </c>
      <c r="I139" s="1">
        <v>-146.0</v>
      </c>
      <c r="J139" s="1">
        <v>-0.167155284552845</v>
      </c>
      <c r="K139" s="1" t="s">
        <v>61</v>
      </c>
      <c r="L139" s="1" t="s">
        <v>61</v>
      </c>
      <c r="M139" s="1" t="s">
        <v>62</v>
      </c>
      <c r="N139" s="1">
        <v>111.0</v>
      </c>
      <c r="O139" s="1">
        <v>0.0997189573459715</v>
      </c>
      <c r="P139" s="1" t="s">
        <v>61</v>
      </c>
      <c r="Q139" s="1" t="s">
        <v>61</v>
      </c>
      <c r="R139" s="1">
        <f t="shared" si="1"/>
        <v>0.09971895735</v>
      </c>
      <c r="S139" s="1">
        <f t="shared" si="2"/>
        <v>111</v>
      </c>
      <c r="T139" s="1">
        <f t="shared" si="3"/>
        <v>2.11</v>
      </c>
      <c r="U139" s="1">
        <f t="shared" si="4"/>
        <v>0</v>
      </c>
      <c r="V139" s="3">
        <f t="shared" si="5"/>
        <v>2</v>
      </c>
      <c r="W139" s="3">
        <f t="shared" si="6"/>
        <v>1</v>
      </c>
      <c r="X139" s="3" t="str">
        <f>IFERROR(__xludf.DUMMYFUNCTION("split(B139,"" "")"),"T.")</f>
        <v>T.</v>
      </c>
      <c r="Y139" s="3" t="str">
        <f>IFERROR(__xludf.DUMMYFUNCTION("""COMPUTED_VALUE"""),"McLaurin")</f>
        <v>McLaurin</v>
      </c>
      <c r="AA139" s="3">
        <v>2.0</v>
      </c>
      <c r="AB139" s="3">
        <f t="shared" si="7"/>
        <v>0</v>
      </c>
      <c r="AC139" s="3">
        <f t="shared" si="8"/>
        <v>1</v>
      </c>
      <c r="AD139" s="3">
        <f t="shared" si="9"/>
        <v>2.22</v>
      </c>
      <c r="AE139" s="3">
        <f t="shared" si="10"/>
        <v>2.22</v>
      </c>
      <c r="AF139" s="3">
        <f t="shared" si="11"/>
        <v>1.11</v>
      </c>
      <c r="AG139" s="3">
        <f t="shared" si="12"/>
        <v>0.5555555556</v>
      </c>
    </row>
    <row r="140">
      <c r="A140" s="1" t="s">
        <v>17</v>
      </c>
      <c r="B140" s="1" t="s">
        <v>251</v>
      </c>
      <c r="C140" s="1" t="s">
        <v>21</v>
      </c>
      <c r="D140" s="1" t="s">
        <v>88</v>
      </c>
      <c r="E140" s="1" t="s">
        <v>89</v>
      </c>
      <c r="F140" s="1" t="s">
        <v>90</v>
      </c>
      <c r="G140" s="1">
        <v>0.5</v>
      </c>
      <c r="H140" s="1" t="s">
        <v>60</v>
      </c>
      <c r="I140" s="1">
        <v>-152.0</v>
      </c>
      <c r="J140" s="1">
        <v>-0.160774603174603</v>
      </c>
      <c r="K140" s="1" t="s">
        <v>61</v>
      </c>
      <c r="L140" s="1" t="s">
        <v>61</v>
      </c>
      <c r="M140" s="1" t="s">
        <v>62</v>
      </c>
      <c r="N140" s="1">
        <v>111.0</v>
      </c>
      <c r="O140" s="1">
        <v>0.0836663507109005</v>
      </c>
      <c r="P140" s="1" t="s">
        <v>61</v>
      </c>
      <c r="Q140" s="1" t="s">
        <v>61</v>
      </c>
      <c r="R140" s="1">
        <f t="shared" si="1"/>
        <v>0.08366635071</v>
      </c>
      <c r="S140" s="1">
        <f t="shared" si="2"/>
        <v>111</v>
      </c>
      <c r="T140" s="1">
        <f t="shared" si="3"/>
        <v>2.11</v>
      </c>
      <c r="U140" s="1">
        <f t="shared" si="4"/>
        <v>0</v>
      </c>
      <c r="V140" s="3">
        <f t="shared" si="5"/>
        <v>2</v>
      </c>
      <c r="W140" s="3">
        <f t="shared" si="6"/>
        <v>1</v>
      </c>
      <c r="X140" s="3" t="str">
        <f>IFERROR(__xludf.DUMMYFUNCTION("split(B140,"" "")"),"D.")</f>
        <v>D.</v>
      </c>
      <c r="Y140" s="3" t="str">
        <f>IFERROR(__xludf.DUMMYFUNCTION("""COMPUTED_VALUE"""),"Prescott")</f>
        <v>Prescott</v>
      </c>
      <c r="AA140" s="3">
        <v>0.0</v>
      </c>
      <c r="AB140" s="3">
        <f t="shared" si="7"/>
        <v>0</v>
      </c>
      <c r="AC140" s="3">
        <f t="shared" si="8"/>
        <v>1</v>
      </c>
      <c r="AD140" s="3">
        <f t="shared" si="9"/>
        <v>2.22</v>
      </c>
      <c r="AE140" s="3">
        <f t="shared" si="10"/>
        <v>2.22</v>
      </c>
      <c r="AF140" s="3">
        <f t="shared" si="11"/>
        <v>1.11</v>
      </c>
      <c r="AG140" s="3">
        <f t="shared" si="12"/>
        <v>1</v>
      </c>
    </row>
    <row r="141">
      <c r="A141" s="1" t="s">
        <v>17</v>
      </c>
      <c r="B141" s="1" t="s">
        <v>119</v>
      </c>
      <c r="C141" s="1" t="s">
        <v>21</v>
      </c>
      <c r="D141" s="1" t="s">
        <v>93</v>
      </c>
      <c r="E141" s="1" t="s">
        <v>94</v>
      </c>
      <c r="F141" s="1" t="s">
        <v>59</v>
      </c>
      <c r="G141" s="1">
        <v>0.5</v>
      </c>
      <c r="H141" s="1" t="s">
        <v>60</v>
      </c>
      <c r="I141" s="1">
        <v>-149.0</v>
      </c>
      <c r="J141" s="1">
        <v>-0.143093574297188</v>
      </c>
      <c r="K141" s="1" t="s">
        <v>61</v>
      </c>
      <c r="L141" s="1" t="s">
        <v>61</v>
      </c>
      <c r="M141" s="1" t="s">
        <v>62</v>
      </c>
      <c r="N141" s="1">
        <v>111.0</v>
      </c>
      <c r="O141" s="1">
        <v>0.0707663507109004</v>
      </c>
      <c r="P141" s="1" t="s">
        <v>61</v>
      </c>
      <c r="Q141" s="1" t="s">
        <v>61</v>
      </c>
      <c r="R141" s="1">
        <f t="shared" si="1"/>
        <v>0.07076635071</v>
      </c>
      <c r="S141" s="1">
        <f t="shared" si="2"/>
        <v>111</v>
      </c>
      <c r="T141" s="1">
        <f t="shared" si="3"/>
        <v>2.11</v>
      </c>
      <c r="U141" s="1">
        <f t="shared" si="4"/>
        <v>0</v>
      </c>
      <c r="V141" s="3">
        <f t="shared" si="5"/>
        <v>2</v>
      </c>
      <c r="W141" s="3">
        <f t="shared" si="6"/>
        <v>1</v>
      </c>
      <c r="X141" s="3" t="str">
        <f>IFERROR(__xludf.DUMMYFUNCTION("split(B141,"" "")"),"T.")</f>
        <v>T.</v>
      </c>
      <c r="Y141" s="3" t="str">
        <f>IFERROR(__xludf.DUMMYFUNCTION("""COMPUTED_VALUE"""),"Lawrence")</f>
        <v>Lawrence</v>
      </c>
      <c r="AA141" s="3">
        <v>0.0</v>
      </c>
      <c r="AB141" s="3">
        <f t="shared" si="7"/>
        <v>0</v>
      </c>
      <c r="AC141" s="3">
        <f t="shared" si="8"/>
        <v>1</v>
      </c>
      <c r="AD141" s="3">
        <f t="shared" si="9"/>
        <v>2.22</v>
      </c>
      <c r="AE141" s="3">
        <f t="shared" si="10"/>
        <v>2.22</v>
      </c>
      <c r="AF141" s="3">
        <f t="shared" si="11"/>
        <v>1.11</v>
      </c>
      <c r="AG141" s="3">
        <f t="shared" si="12"/>
        <v>1</v>
      </c>
    </row>
    <row r="142">
      <c r="A142" s="1" t="s">
        <v>17</v>
      </c>
      <c r="B142" s="1" t="s">
        <v>204</v>
      </c>
      <c r="C142" s="1" t="s">
        <v>21</v>
      </c>
      <c r="D142" s="1" t="s">
        <v>105</v>
      </c>
      <c r="E142" s="1" t="s">
        <v>104</v>
      </c>
      <c r="F142" s="1" t="s">
        <v>59</v>
      </c>
      <c r="G142" s="1">
        <v>0.5</v>
      </c>
      <c r="H142" s="1" t="s">
        <v>60</v>
      </c>
      <c r="I142" s="1">
        <v>-139.0</v>
      </c>
      <c r="J142" s="1">
        <v>-0.12813179916318</v>
      </c>
      <c r="K142" s="1" t="s">
        <v>61</v>
      </c>
      <c r="L142" s="1" t="s">
        <v>61</v>
      </c>
      <c r="M142" s="1" t="s">
        <v>62</v>
      </c>
      <c r="N142" s="1">
        <v>104.0</v>
      </c>
      <c r="O142" s="1">
        <v>0.0563529411764706</v>
      </c>
      <c r="P142" s="1" t="s">
        <v>61</v>
      </c>
      <c r="Q142" s="1" t="s">
        <v>61</v>
      </c>
      <c r="R142" s="1">
        <f t="shared" si="1"/>
        <v>0.05635294118</v>
      </c>
      <c r="S142" s="1">
        <f t="shared" si="2"/>
        <v>104</v>
      </c>
      <c r="T142" s="1">
        <f t="shared" si="3"/>
        <v>2.04</v>
      </c>
      <c r="U142" s="1">
        <f t="shared" si="4"/>
        <v>0</v>
      </c>
      <c r="V142" s="3">
        <f t="shared" si="5"/>
        <v>2</v>
      </c>
      <c r="W142" s="3">
        <f t="shared" si="6"/>
        <v>2</v>
      </c>
      <c r="X142" s="3" t="str">
        <f>IFERROR(__xludf.DUMMYFUNCTION("split(B142,"" "")"),"K.")</f>
        <v>K.</v>
      </c>
      <c r="Y142" s="3" t="str">
        <f>IFERROR(__xludf.DUMMYFUNCTION("""COMPUTED_VALUE"""),"Murray")</f>
        <v>Murray</v>
      </c>
      <c r="AA142" s="3">
        <v>0.0</v>
      </c>
      <c r="AB142" s="3">
        <f t="shared" si="7"/>
        <v>0</v>
      </c>
      <c r="AC142" s="3">
        <f t="shared" si="8"/>
        <v>1</v>
      </c>
      <c r="AD142" s="3">
        <f t="shared" si="9"/>
        <v>2.08</v>
      </c>
      <c r="AE142" s="3">
        <f t="shared" si="10"/>
        <v>2.08</v>
      </c>
      <c r="AF142" s="3">
        <f t="shared" si="11"/>
        <v>2.08</v>
      </c>
      <c r="AG142" s="3">
        <f t="shared" si="12"/>
        <v>1</v>
      </c>
    </row>
    <row r="143">
      <c r="A143" s="1" t="s">
        <v>17</v>
      </c>
      <c r="B143" s="1" t="s">
        <v>253</v>
      </c>
      <c r="C143" s="1" t="s">
        <v>21</v>
      </c>
      <c r="D143" s="1" t="s">
        <v>113</v>
      </c>
      <c r="E143" s="1" t="s">
        <v>114</v>
      </c>
      <c r="F143" s="1" t="s">
        <v>90</v>
      </c>
      <c r="G143" s="1">
        <v>0.5</v>
      </c>
      <c r="H143" s="1" t="s">
        <v>60</v>
      </c>
      <c r="I143" s="1">
        <v>-137.0</v>
      </c>
      <c r="J143" s="1">
        <v>-0.125801265822784</v>
      </c>
      <c r="K143" s="1" t="s">
        <v>61</v>
      </c>
      <c r="L143" s="1" t="s">
        <v>61</v>
      </c>
      <c r="M143" s="1" t="s">
        <v>62</v>
      </c>
      <c r="N143" s="1">
        <v>101.0</v>
      </c>
      <c r="O143" s="1">
        <v>0.0502373134328357</v>
      </c>
      <c r="P143" s="1" t="s">
        <v>61</v>
      </c>
      <c r="Q143" s="1" t="s">
        <v>61</v>
      </c>
      <c r="R143" s="1">
        <f t="shared" si="1"/>
        <v>0.05023731343</v>
      </c>
      <c r="S143" s="1">
        <f t="shared" si="2"/>
        <v>101</v>
      </c>
      <c r="T143" s="1">
        <f t="shared" si="3"/>
        <v>2.01</v>
      </c>
      <c r="U143" s="1">
        <f t="shared" si="4"/>
        <v>0</v>
      </c>
      <c r="V143" s="3">
        <f t="shared" si="5"/>
        <v>2</v>
      </c>
      <c r="W143" s="3">
        <f t="shared" si="6"/>
        <v>2</v>
      </c>
      <c r="X143" s="3" t="str">
        <f>IFERROR(__xludf.DUMMYFUNCTION("split(B143,"" "")"),"B.")</f>
        <v>B.</v>
      </c>
      <c r="Y143" s="3" t="str">
        <f>IFERROR(__xludf.DUMMYFUNCTION("""COMPUTED_VALUE"""),"Mayfield")</f>
        <v>Mayfield</v>
      </c>
      <c r="AA143" s="3">
        <v>0.0</v>
      </c>
      <c r="AB143" s="3">
        <f t="shared" si="7"/>
        <v>0</v>
      </c>
      <c r="AC143" s="3">
        <f t="shared" si="8"/>
        <v>1</v>
      </c>
      <c r="AD143" s="3">
        <f t="shared" si="9"/>
        <v>2.02</v>
      </c>
      <c r="AE143" s="3">
        <f t="shared" si="10"/>
        <v>2.02</v>
      </c>
      <c r="AF143" s="3">
        <f t="shared" si="11"/>
        <v>2.02</v>
      </c>
      <c r="AG143" s="3">
        <f t="shared" si="12"/>
        <v>1</v>
      </c>
    </row>
    <row r="144">
      <c r="A144" s="1" t="s">
        <v>12</v>
      </c>
      <c r="B144" s="1" t="s">
        <v>255</v>
      </c>
      <c r="C144" s="1" t="s">
        <v>18</v>
      </c>
      <c r="D144" s="1" t="s">
        <v>164</v>
      </c>
      <c r="E144" s="1" t="s">
        <v>165</v>
      </c>
      <c r="F144" s="1" t="s">
        <v>166</v>
      </c>
      <c r="G144" s="1">
        <v>3.5</v>
      </c>
      <c r="H144" s="1" t="s">
        <v>60</v>
      </c>
      <c r="I144" s="1">
        <v>-136.0</v>
      </c>
      <c r="J144" s="1">
        <v>-0.153371186440678</v>
      </c>
      <c r="K144" s="1" t="s">
        <v>61</v>
      </c>
      <c r="L144" s="1" t="s">
        <v>61</v>
      </c>
      <c r="M144" s="1" t="s">
        <v>62</v>
      </c>
      <c r="N144" s="1">
        <v>101.0</v>
      </c>
      <c r="O144" s="1">
        <v>0.0795875621890546</v>
      </c>
      <c r="P144" s="1" t="s">
        <v>61</v>
      </c>
      <c r="Q144" s="1" t="s">
        <v>61</v>
      </c>
      <c r="R144" s="1">
        <f t="shared" si="1"/>
        <v>0.07958756219</v>
      </c>
      <c r="S144" s="1">
        <f t="shared" si="2"/>
        <v>101</v>
      </c>
      <c r="T144" s="1">
        <f t="shared" si="3"/>
        <v>2.01</v>
      </c>
      <c r="U144" s="1">
        <f t="shared" si="4"/>
        <v>0</v>
      </c>
      <c r="V144" s="3">
        <f t="shared" si="5"/>
        <v>2</v>
      </c>
      <c r="W144" s="3">
        <f t="shared" si="6"/>
        <v>2</v>
      </c>
      <c r="X144" s="3" t="str">
        <f>IFERROR(__xludf.DUMMYFUNCTION("split(B144,"" "")"),"B.")</f>
        <v>B.</v>
      </c>
      <c r="Y144" s="3" t="str">
        <f>IFERROR(__xludf.DUMMYFUNCTION("""COMPUTED_VALUE"""),"Aiyuk")</f>
        <v>Aiyuk</v>
      </c>
      <c r="AA144" s="3">
        <v>2.0</v>
      </c>
      <c r="AB144" s="3">
        <f t="shared" si="7"/>
        <v>0</v>
      </c>
      <c r="AC144" s="3">
        <f t="shared" si="8"/>
        <v>1</v>
      </c>
      <c r="AD144" s="3">
        <f t="shared" si="9"/>
        <v>2.02</v>
      </c>
      <c r="AE144" s="3">
        <f t="shared" si="10"/>
        <v>2.02</v>
      </c>
      <c r="AF144" s="3">
        <f t="shared" si="11"/>
        <v>2.02</v>
      </c>
      <c r="AG144" s="3">
        <f t="shared" si="12"/>
        <v>0.4285714286</v>
      </c>
    </row>
    <row r="145">
      <c r="A145" s="1" t="s">
        <v>8</v>
      </c>
      <c r="B145" s="1" t="s">
        <v>92</v>
      </c>
      <c r="C145" s="1" t="s">
        <v>19</v>
      </c>
      <c r="D145" s="1" t="s">
        <v>93</v>
      </c>
      <c r="E145" s="1" t="s">
        <v>94</v>
      </c>
      <c r="F145" s="1" t="s">
        <v>59</v>
      </c>
      <c r="G145" s="1">
        <v>14.5</v>
      </c>
      <c r="H145" s="1" t="s">
        <v>60</v>
      </c>
      <c r="I145" s="1">
        <v>-130.0</v>
      </c>
      <c r="J145" s="1">
        <v>-0.142817313208695</v>
      </c>
      <c r="K145" s="1" t="s">
        <v>61</v>
      </c>
      <c r="L145" s="1" t="s">
        <v>61</v>
      </c>
      <c r="M145" s="1" t="s">
        <v>62</v>
      </c>
      <c r="N145" s="1">
        <v>100.0</v>
      </c>
      <c r="O145" s="1">
        <v>0.07759991019</v>
      </c>
      <c r="P145" s="1" t="s">
        <v>61</v>
      </c>
      <c r="Q145" s="1" t="s">
        <v>61</v>
      </c>
      <c r="R145" s="1">
        <f t="shared" si="1"/>
        <v>0.07759991019</v>
      </c>
      <c r="S145" s="1">
        <f t="shared" si="2"/>
        <v>100</v>
      </c>
      <c r="T145" s="1">
        <f t="shared" si="3"/>
        <v>2</v>
      </c>
      <c r="U145" s="1">
        <f t="shared" si="4"/>
        <v>0</v>
      </c>
      <c r="V145" s="3">
        <f t="shared" si="5"/>
        <v>2</v>
      </c>
      <c r="W145" s="3">
        <f t="shared" si="6"/>
        <v>2</v>
      </c>
      <c r="X145" s="3" t="str">
        <f>IFERROR(__xludf.DUMMYFUNCTION("split(B145,"" "")"),"T.")</f>
        <v>T.</v>
      </c>
      <c r="Y145" s="3" t="str">
        <f>IFERROR(__xludf.DUMMYFUNCTION("""COMPUTED_VALUE"""),"Etienne")</f>
        <v>Etienne</v>
      </c>
      <c r="Z145" s="3" t="str">
        <f>IFERROR(__xludf.DUMMYFUNCTION("""COMPUTED_VALUE"""),"Jr.")</f>
        <v>Jr.</v>
      </c>
      <c r="AA145" s="3">
        <v>12.0</v>
      </c>
      <c r="AB145" s="3">
        <f t="shared" si="7"/>
        <v>0</v>
      </c>
      <c r="AC145" s="3">
        <f t="shared" si="8"/>
        <v>1</v>
      </c>
      <c r="AD145" s="3">
        <f t="shared" si="9"/>
        <v>2</v>
      </c>
      <c r="AE145" s="3">
        <f t="shared" si="10"/>
        <v>2</v>
      </c>
      <c r="AF145" s="3">
        <f t="shared" si="11"/>
        <v>2</v>
      </c>
      <c r="AG145" s="3">
        <f t="shared" si="12"/>
        <v>0.1724137931</v>
      </c>
    </row>
    <row r="146">
      <c r="A146" s="1" t="s">
        <v>15</v>
      </c>
      <c r="B146" s="1" t="s">
        <v>260</v>
      </c>
      <c r="C146" s="1" t="s">
        <v>21</v>
      </c>
      <c r="D146" s="1" t="s">
        <v>147</v>
      </c>
      <c r="E146" s="1" t="s">
        <v>146</v>
      </c>
      <c r="F146" s="1" t="s">
        <v>59</v>
      </c>
      <c r="G146" s="1">
        <v>20.5</v>
      </c>
      <c r="H146" s="1" t="s">
        <v>60</v>
      </c>
      <c r="I146" s="1">
        <v>-136.0</v>
      </c>
      <c r="J146" s="1">
        <v>-0.153184665169491</v>
      </c>
      <c r="K146" s="1" t="s">
        <v>61</v>
      </c>
      <c r="L146" s="1" t="s">
        <v>61</v>
      </c>
      <c r="M146" s="1" t="s">
        <v>62</v>
      </c>
      <c r="N146" s="1">
        <v>100.0</v>
      </c>
      <c r="O146" s="1">
        <v>0.0768979049</v>
      </c>
      <c r="P146" s="1" t="s">
        <v>61</v>
      </c>
      <c r="Q146" s="1" t="s">
        <v>61</v>
      </c>
      <c r="R146" s="1">
        <f t="shared" si="1"/>
        <v>0.0768979049</v>
      </c>
      <c r="S146" s="1">
        <f t="shared" si="2"/>
        <v>100</v>
      </c>
      <c r="T146" s="1">
        <f t="shared" si="3"/>
        <v>2</v>
      </c>
      <c r="U146" s="1">
        <f t="shared" si="4"/>
        <v>0</v>
      </c>
      <c r="V146" s="3">
        <f t="shared" si="5"/>
        <v>2</v>
      </c>
      <c r="W146" s="3">
        <f t="shared" si="6"/>
        <v>2</v>
      </c>
      <c r="X146" s="3" t="str">
        <f>IFERROR(__xludf.DUMMYFUNCTION("split(B146,"" "")"),"D.")</f>
        <v>D.</v>
      </c>
      <c r="Y146" s="3" t="str">
        <f>IFERROR(__xludf.DUMMYFUNCTION("""COMPUTED_VALUE"""),"Jones")</f>
        <v>Jones</v>
      </c>
      <c r="AA146" s="3">
        <v>0.0</v>
      </c>
      <c r="AB146" s="3">
        <f t="shared" si="7"/>
        <v>0</v>
      </c>
      <c r="AC146" s="3">
        <f t="shared" si="8"/>
        <v>1</v>
      </c>
      <c r="AD146" s="3">
        <f t="shared" si="9"/>
        <v>2</v>
      </c>
      <c r="AE146" s="3">
        <f t="shared" si="10"/>
        <v>2</v>
      </c>
      <c r="AF146" s="3">
        <f t="shared" si="11"/>
        <v>2</v>
      </c>
      <c r="AG146" s="3">
        <f t="shared" si="12"/>
        <v>1</v>
      </c>
    </row>
    <row r="147">
      <c r="A147" s="1" t="s">
        <v>15</v>
      </c>
      <c r="B147" s="1" t="s">
        <v>262</v>
      </c>
      <c r="C147" s="1" t="s">
        <v>21</v>
      </c>
      <c r="D147" s="1" t="s">
        <v>164</v>
      </c>
      <c r="E147" s="1" t="s">
        <v>165</v>
      </c>
      <c r="F147" s="1" t="s">
        <v>166</v>
      </c>
      <c r="G147" s="1">
        <v>20.5</v>
      </c>
      <c r="H147" s="1" t="s">
        <v>60</v>
      </c>
      <c r="I147" s="1">
        <v>-136.0</v>
      </c>
      <c r="J147" s="1">
        <v>-0.134811441398305</v>
      </c>
      <c r="K147" s="1" t="s">
        <v>61</v>
      </c>
      <c r="L147" s="1" t="s">
        <v>61</v>
      </c>
      <c r="M147" s="1" t="s">
        <v>62</v>
      </c>
      <c r="N147" s="1">
        <v>100.0</v>
      </c>
      <c r="O147" s="1">
        <v>0.0585475008499999</v>
      </c>
      <c r="P147" s="1" t="s">
        <v>61</v>
      </c>
      <c r="Q147" s="1" t="s">
        <v>61</v>
      </c>
      <c r="R147" s="1">
        <f t="shared" si="1"/>
        <v>0.05854750085</v>
      </c>
      <c r="S147" s="1">
        <f t="shared" si="2"/>
        <v>100</v>
      </c>
      <c r="T147" s="1">
        <f t="shared" si="3"/>
        <v>2</v>
      </c>
      <c r="U147" s="1">
        <f t="shared" si="4"/>
        <v>0</v>
      </c>
      <c r="V147" s="3">
        <f t="shared" si="5"/>
        <v>2</v>
      </c>
      <c r="W147" s="3">
        <f t="shared" si="6"/>
        <v>2</v>
      </c>
      <c r="X147" s="3" t="str">
        <f>IFERROR(__xludf.DUMMYFUNCTION("split(B147,"" "")"),"B.")</f>
        <v>B.</v>
      </c>
      <c r="Y147" s="3" t="str">
        <f>IFERROR(__xludf.DUMMYFUNCTION("""COMPUTED_VALUE"""),"Purdy")</f>
        <v>Purdy</v>
      </c>
      <c r="AA147" s="3">
        <v>19.0</v>
      </c>
      <c r="AB147" s="3">
        <f t="shared" si="7"/>
        <v>0</v>
      </c>
      <c r="AC147" s="3">
        <f t="shared" si="8"/>
        <v>1</v>
      </c>
      <c r="AD147" s="3">
        <f t="shared" si="9"/>
        <v>2</v>
      </c>
      <c r="AE147" s="3">
        <f t="shared" si="10"/>
        <v>2</v>
      </c>
      <c r="AF147" s="3">
        <f t="shared" si="11"/>
        <v>2</v>
      </c>
      <c r="AG147" s="3">
        <f t="shared" si="12"/>
        <v>0.07317073171</v>
      </c>
    </row>
    <row r="148">
      <c r="A148" s="1" t="s">
        <v>8</v>
      </c>
      <c r="B148" s="1" t="s">
        <v>264</v>
      </c>
      <c r="C148" s="1" t="s">
        <v>19</v>
      </c>
      <c r="D148" s="1" t="s">
        <v>109</v>
      </c>
      <c r="E148" s="1" t="s">
        <v>110</v>
      </c>
      <c r="F148" s="1" t="s">
        <v>59</v>
      </c>
      <c r="G148" s="1">
        <v>15.5</v>
      </c>
      <c r="H148" s="1" t="s">
        <v>60</v>
      </c>
      <c r="I148" s="1">
        <v>-102.0</v>
      </c>
      <c r="J148" s="1">
        <v>0.0501021113861386</v>
      </c>
      <c r="K148" s="1" t="s">
        <v>61</v>
      </c>
      <c r="L148" s="1" t="s">
        <v>61</v>
      </c>
      <c r="M148" s="1" t="s">
        <v>62</v>
      </c>
      <c r="N148" s="1">
        <v>-130.0</v>
      </c>
      <c r="O148" s="1">
        <v>-0.120249106304347</v>
      </c>
      <c r="P148" s="1" t="s">
        <v>61</v>
      </c>
      <c r="Q148" s="1" t="s">
        <v>61</v>
      </c>
      <c r="R148" s="1">
        <f t="shared" si="1"/>
        <v>0.05010211139</v>
      </c>
      <c r="S148" s="1">
        <f t="shared" si="2"/>
        <v>-102</v>
      </c>
      <c r="T148" s="1">
        <f t="shared" si="3"/>
        <v>1.980392157</v>
      </c>
      <c r="U148" s="1">
        <f t="shared" si="4"/>
        <v>1</v>
      </c>
      <c r="V148" s="3">
        <f t="shared" si="5"/>
        <v>2</v>
      </c>
      <c r="W148" s="3">
        <f t="shared" si="6"/>
        <v>2</v>
      </c>
      <c r="X148" s="3" t="str">
        <f>IFERROR(__xludf.DUMMYFUNCTION("split(B148,"" "")"),"B.")</f>
        <v>B.</v>
      </c>
      <c r="Y148" s="3" t="str">
        <f>IFERROR(__xludf.DUMMYFUNCTION("""COMPUTED_VALUE"""),"Robinson")</f>
        <v>Robinson</v>
      </c>
      <c r="AA148" s="3">
        <v>18.0</v>
      </c>
      <c r="AB148" s="3">
        <f t="shared" si="7"/>
        <v>1</v>
      </c>
      <c r="AC148" s="3">
        <f t="shared" si="8"/>
        <v>1</v>
      </c>
      <c r="AD148" s="3">
        <f t="shared" si="9"/>
        <v>1.960784314</v>
      </c>
      <c r="AE148" s="3">
        <f t="shared" si="10"/>
        <v>1.960784314</v>
      </c>
      <c r="AF148" s="3">
        <f t="shared" si="11"/>
        <v>1.960784314</v>
      </c>
      <c r="AG148" s="3">
        <f t="shared" si="12"/>
        <v>0.1612903226</v>
      </c>
    </row>
    <row r="149">
      <c r="A149" s="1" t="s">
        <v>8</v>
      </c>
      <c r="B149" s="1" t="s">
        <v>266</v>
      </c>
      <c r="C149" s="1" t="s">
        <v>19</v>
      </c>
      <c r="D149" s="1" t="s">
        <v>57</v>
      </c>
      <c r="E149" s="1" t="s">
        <v>58</v>
      </c>
      <c r="F149" s="1" t="s">
        <v>59</v>
      </c>
      <c r="G149" s="1">
        <v>14.5</v>
      </c>
      <c r="H149" s="1" t="s">
        <v>60</v>
      </c>
      <c r="I149" s="1">
        <v>-126.0</v>
      </c>
      <c r="J149" s="1">
        <v>-0.12481052669469</v>
      </c>
      <c r="K149" s="1" t="s">
        <v>61</v>
      </c>
      <c r="L149" s="1" t="s">
        <v>61</v>
      </c>
      <c r="M149" s="1" t="s">
        <v>62</v>
      </c>
      <c r="N149" s="1">
        <v>-103.0</v>
      </c>
      <c r="O149" s="1">
        <v>0.0599122088866501</v>
      </c>
      <c r="P149" s="1" t="s">
        <v>61</v>
      </c>
      <c r="Q149" s="1" t="s">
        <v>61</v>
      </c>
      <c r="R149" s="1">
        <f t="shared" si="1"/>
        <v>0.05991220889</v>
      </c>
      <c r="S149" s="1">
        <f t="shared" si="2"/>
        <v>-103</v>
      </c>
      <c r="T149" s="1">
        <f t="shared" si="3"/>
        <v>1.970873786</v>
      </c>
      <c r="U149" s="1">
        <f t="shared" si="4"/>
        <v>0</v>
      </c>
      <c r="V149" s="3">
        <f t="shared" si="5"/>
        <v>2</v>
      </c>
      <c r="W149" s="3">
        <f t="shared" si="6"/>
        <v>2</v>
      </c>
      <c r="X149" s="3" t="str">
        <f>IFERROR(__xludf.DUMMYFUNCTION("split(B149,"" "")"),"C.")</f>
        <v>C.</v>
      </c>
      <c r="Y149" s="3" t="str">
        <f>IFERROR(__xludf.DUMMYFUNCTION("""COMPUTED_VALUE"""),"Hubbard")</f>
        <v>Hubbard</v>
      </c>
      <c r="AA149" s="3">
        <v>6.0</v>
      </c>
      <c r="AB149" s="3">
        <f t="shared" si="7"/>
        <v>0</v>
      </c>
      <c r="AC149" s="3">
        <f t="shared" si="8"/>
        <v>1</v>
      </c>
      <c r="AD149" s="3">
        <f t="shared" si="9"/>
        <v>1.941747573</v>
      </c>
      <c r="AE149" s="3">
        <f t="shared" si="10"/>
        <v>1.941747573</v>
      </c>
      <c r="AF149" s="3">
        <f t="shared" si="11"/>
        <v>1.941747573</v>
      </c>
      <c r="AG149" s="3">
        <f t="shared" si="12"/>
        <v>0.5862068966</v>
      </c>
    </row>
    <row r="150">
      <c r="A150" s="1" t="s">
        <v>12</v>
      </c>
      <c r="B150" s="1" t="s">
        <v>268</v>
      </c>
      <c r="C150" s="1" t="s">
        <v>18</v>
      </c>
      <c r="D150" s="1" t="s">
        <v>99</v>
      </c>
      <c r="E150" s="1" t="s">
        <v>100</v>
      </c>
      <c r="F150" s="1" t="s">
        <v>59</v>
      </c>
      <c r="G150" s="1">
        <v>4.5</v>
      </c>
      <c r="H150" s="1" t="s">
        <v>60</v>
      </c>
      <c r="I150" s="1">
        <v>-125.0</v>
      </c>
      <c r="J150" s="1">
        <v>-0.148055555555555</v>
      </c>
      <c r="K150" s="1" t="s">
        <v>61</v>
      </c>
      <c r="L150" s="1" t="s">
        <v>61</v>
      </c>
      <c r="M150" s="1" t="s">
        <v>62</v>
      </c>
      <c r="N150" s="1">
        <v>-105.0</v>
      </c>
      <c r="O150" s="1">
        <v>0.0803048780487805</v>
      </c>
      <c r="P150" s="1" t="s">
        <v>61</v>
      </c>
      <c r="Q150" s="1" t="s">
        <v>61</v>
      </c>
      <c r="R150" s="1">
        <f t="shared" si="1"/>
        <v>0.08030487805</v>
      </c>
      <c r="S150" s="1">
        <f t="shared" si="2"/>
        <v>-105</v>
      </c>
      <c r="T150" s="1">
        <f t="shared" si="3"/>
        <v>1.952380952</v>
      </c>
      <c r="U150" s="1">
        <f t="shared" si="4"/>
        <v>0</v>
      </c>
      <c r="V150" s="3">
        <f t="shared" si="5"/>
        <v>2</v>
      </c>
      <c r="W150" s="3">
        <f t="shared" si="6"/>
        <v>2</v>
      </c>
      <c r="X150" s="3" t="str">
        <f>IFERROR(__xludf.DUMMYFUNCTION("split(B150,"" "")"),"K.")</f>
        <v>K.</v>
      </c>
      <c r="Y150" s="3" t="str">
        <f>IFERROR(__xludf.DUMMYFUNCTION("""COMPUTED_VALUE"""),"Allen")</f>
        <v>Allen</v>
      </c>
      <c r="AA150" s="3">
        <v>4.0</v>
      </c>
      <c r="AB150" s="3">
        <f t="shared" si="7"/>
        <v>0</v>
      </c>
      <c r="AC150" s="3">
        <f t="shared" si="8"/>
        <v>1</v>
      </c>
      <c r="AD150" s="3">
        <f t="shared" si="9"/>
        <v>1.904761905</v>
      </c>
      <c r="AE150" s="3">
        <f t="shared" si="10"/>
        <v>1.904761905</v>
      </c>
      <c r="AF150" s="3">
        <f t="shared" si="11"/>
        <v>1.904761905</v>
      </c>
      <c r="AG150" s="3">
        <f t="shared" si="12"/>
        <v>0.1111111111</v>
      </c>
    </row>
    <row r="151">
      <c r="A151" s="1" t="s">
        <v>8</v>
      </c>
      <c r="B151" s="1" t="s">
        <v>270</v>
      </c>
      <c r="C151" s="1" t="s">
        <v>19</v>
      </c>
      <c r="D151" s="1" t="s">
        <v>147</v>
      </c>
      <c r="E151" s="1" t="s">
        <v>146</v>
      </c>
      <c r="F151" s="1" t="s">
        <v>59</v>
      </c>
      <c r="G151" s="1">
        <v>14.5</v>
      </c>
      <c r="H151" s="1" t="s">
        <v>60</v>
      </c>
      <c r="I151" s="1">
        <v>-123.0</v>
      </c>
      <c r="J151" s="1">
        <v>-0.137220110538116</v>
      </c>
      <c r="K151" s="1" t="s">
        <v>61</v>
      </c>
      <c r="L151" s="1" t="s">
        <v>61</v>
      </c>
      <c r="M151" s="1" t="s">
        <v>62</v>
      </c>
      <c r="N151" s="1">
        <v>-107.0</v>
      </c>
      <c r="O151" s="1">
        <v>0.0687348481908213</v>
      </c>
      <c r="P151" s="1" t="s">
        <v>61</v>
      </c>
      <c r="Q151" s="1" t="s">
        <v>61</v>
      </c>
      <c r="R151" s="1">
        <f t="shared" si="1"/>
        <v>0.06873484819</v>
      </c>
      <c r="S151" s="1">
        <f t="shared" si="2"/>
        <v>-107</v>
      </c>
      <c r="T151" s="1">
        <f t="shared" si="3"/>
        <v>1.934579439</v>
      </c>
      <c r="U151" s="1">
        <f t="shared" si="4"/>
        <v>0</v>
      </c>
      <c r="V151" s="3">
        <f t="shared" si="5"/>
        <v>2</v>
      </c>
      <c r="W151" s="3">
        <f t="shared" si="6"/>
        <v>2</v>
      </c>
      <c r="X151" s="3" t="str">
        <f>IFERROR(__xludf.DUMMYFUNCTION("split(B151,"" "")"),"D.")</f>
        <v>D.</v>
      </c>
      <c r="Y151" s="3" t="str">
        <f>IFERROR(__xludf.DUMMYFUNCTION("""COMPUTED_VALUE"""),"Singletary")</f>
        <v>Singletary</v>
      </c>
      <c r="AA151" s="3">
        <v>10.0</v>
      </c>
      <c r="AB151" s="3">
        <f t="shared" si="7"/>
        <v>0</v>
      </c>
      <c r="AC151" s="3">
        <f t="shared" si="8"/>
        <v>1</v>
      </c>
      <c r="AD151" s="3">
        <f t="shared" si="9"/>
        <v>1.869158879</v>
      </c>
      <c r="AE151" s="3">
        <f t="shared" si="10"/>
        <v>1.869158879</v>
      </c>
      <c r="AF151" s="3">
        <f t="shared" si="11"/>
        <v>1.869158879</v>
      </c>
      <c r="AG151" s="3">
        <f t="shared" si="12"/>
        <v>0.3103448276</v>
      </c>
    </row>
    <row r="152">
      <c r="A152" s="1" t="s">
        <v>12</v>
      </c>
      <c r="B152" s="1" t="s">
        <v>272</v>
      </c>
      <c r="C152" s="1" t="s">
        <v>18</v>
      </c>
      <c r="D152" s="1" t="s">
        <v>197</v>
      </c>
      <c r="E152" s="1" t="s">
        <v>196</v>
      </c>
      <c r="F152" s="1" t="s">
        <v>198</v>
      </c>
      <c r="G152" s="1">
        <v>1.5</v>
      </c>
      <c r="H152" s="1" t="s">
        <v>60</v>
      </c>
      <c r="I152" s="1">
        <v>-123.0</v>
      </c>
      <c r="J152" s="1">
        <v>-0.171568541605381</v>
      </c>
      <c r="K152" s="1" t="s">
        <v>61</v>
      </c>
      <c r="L152" s="1" t="s">
        <v>61</v>
      </c>
      <c r="M152" s="1" t="s">
        <v>62</v>
      </c>
      <c r="N152" s="1">
        <v>-109.0</v>
      </c>
      <c r="O152" s="1">
        <v>0.098467777071866</v>
      </c>
      <c r="P152" s="1" t="s">
        <v>61</v>
      </c>
      <c r="Q152" s="1" t="s">
        <v>61</v>
      </c>
      <c r="R152" s="1">
        <f t="shared" si="1"/>
        <v>0.09846777707</v>
      </c>
      <c r="S152" s="1">
        <f t="shared" si="2"/>
        <v>-109</v>
      </c>
      <c r="T152" s="1">
        <f t="shared" si="3"/>
        <v>1.917431193</v>
      </c>
      <c r="U152" s="1">
        <f t="shared" si="4"/>
        <v>0</v>
      </c>
      <c r="V152" s="3">
        <f t="shared" si="5"/>
        <v>2</v>
      </c>
      <c r="W152" s="3">
        <f t="shared" si="6"/>
        <v>2</v>
      </c>
      <c r="X152" s="3" t="str">
        <f>IFERROR(__xludf.DUMMYFUNCTION("split(B152,"" "")"),"K.")</f>
        <v>K.</v>
      </c>
      <c r="Y152" s="3" t="str">
        <f>IFERROR(__xludf.DUMMYFUNCTION("""COMPUTED_VALUE"""),"Raymond")</f>
        <v>Raymond</v>
      </c>
      <c r="AA152" s="3">
        <v>0.0</v>
      </c>
      <c r="AB152" s="3">
        <f t="shared" si="7"/>
        <v>0</v>
      </c>
      <c r="AC152" s="3">
        <f t="shared" si="8"/>
        <v>1</v>
      </c>
      <c r="AD152" s="3">
        <f t="shared" si="9"/>
        <v>1.834862385</v>
      </c>
      <c r="AE152" s="3">
        <f t="shared" si="10"/>
        <v>1.834862385</v>
      </c>
      <c r="AF152" s="3">
        <f t="shared" si="11"/>
        <v>1.834862385</v>
      </c>
      <c r="AG152" s="3">
        <f t="shared" si="12"/>
        <v>1</v>
      </c>
    </row>
    <row r="153">
      <c r="A153" s="1" t="s">
        <v>16</v>
      </c>
      <c r="B153" s="1" t="s">
        <v>274</v>
      </c>
      <c r="C153" s="1" t="s">
        <v>21</v>
      </c>
      <c r="D153" s="1" t="s">
        <v>99</v>
      </c>
      <c r="E153" s="1" t="s">
        <v>100</v>
      </c>
      <c r="F153" s="1" t="s">
        <v>59</v>
      </c>
      <c r="G153" s="1">
        <v>33.5</v>
      </c>
      <c r="H153" s="1" t="s">
        <v>60</v>
      </c>
      <c r="I153" s="1">
        <v>-122.0</v>
      </c>
      <c r="J153" s="1">
        <v>-0.125908791485585</v>
      </c>
      <c r="K153" s="1" t="s">
        <v>61</v>
      </c>
      <c r="L153" s="1" t="s">
        <v>61</v>
      </c>
      <c r="M153" s="1" t="s">
        <v>62</v>
      </c>
      <c r="N153" s="1">
        <v>-110.0</v>
      </c>
      <c r="O153" s="1">
        <v>0.0525418099523807</v>
      </c>
      <c r="P153" s="1" t="s">
        <v>61</v>
      </c>
      <c r="Q153" s="1" t="s">
        <v>61</v>
      </c>
      <c r="R153" s="1">
        <f t="shared" si="1"/>
        <v>0.05254180995</v>
      </c>
      <c r="S153" s="1">
        <f t="shared" si="2"/>
        <v>-110</v>
      </c>
      <c r="T153" s="1">
        <f t="shared" si="3"/>
        <v>1.909090909</v>
      </c>
      <c r="U153" s="1">
        <f t="shared" si="4"/>
        <v>0</v>
      </c>
      <c r="V153" s="3">
        <f t="shared" si="5"/>
        <v>2</v>
      </c>
      <c r="W153" s="3">
        <f t="shared" si="6"/>
        <v>2</v>
      </c>
      <c r="X153" s="3" t="str">
        <f>IFERROR(__xludf.DUMMYFUNCTION("split(B153,"" "")"),"C.")</f>
        <v>C.</v>
      </c>
      <c r="Y153" s="3" t="str">
        <f>IFERROR(__xludf.DUMMYFUNCTION("""COMPUTED_VALUE"""),"Williams")</f>
        <v>Williams</v>
      </c>
      <c r="AA153" s="3">
        <v>29.0</v>
      </c>
      <c r="AB153" s="3">
        <f t="shared" si="7"/>
        <v>0</v>
      </c>
      <c r="AC153" s="3">
        <f t="shared" si="8"/>
        <v>1</v>
      </c>
      <c r="AD153" s="3">
        <f t="shared" si="9"/>
        <v>1.818181818</v>
      </c>
      <c r="AE153" s="3">
        <f t="shared" si="10"/>
        <v>1.818181818</v>
      </c>
      <c r="AF153" s="3">
        <f t="shared" si="11"/>
        <v>1.818181818</v>
      </c>
      <c r="AG153" s="3">
        <f t="shared" si="12"/>
        <v>0.1343283582</v>
      </c>
    </row>
    <row r="154">
      <c r="A154" s="1" t="s">
        <v>16</v>
      </c>
      <c r="B154" s="1" t="s">
        <v>56</v>
      </c>
      <c r="C154" s="1" t="s">
        <v>21</v>
      </c>
      <c r="D154" s="1" t="s">
        <v>57</v>
      </c>
      <c r="E154" s="1" t="s">
        <v>58</v>
      </c>
      <c r="F154" s="1" t="s">
        <v>59</v>
      </c>
      <c r="G154" s="1">
        <v>30.5</v>
      </c>
      <c r="H154" s="1" t="s">
        <v>60</v>
      </c>
      <c r="I154" s="1">
        <v>-122.0</v>
      </c>
      <c r="J154" s="1">
        <v>-0.138312322207206</v>
      </c>
      <c r="K154" s="1" t="s">
        <v>61</v>
      </c>
      <c r="L154" s="1" t="s">
        <v>61</v>
      </c>
      <c r="M154" s="1" t="s">
        <v>62</v>
      </c>
      <c r="N154" s="1">
        <v>-111.0</v>
      </c>
      <c r="O154" s="1">
        <v>0.062673385963507</v>
      </c>
      <c r="P154" s="1" t="s">
        <v>61</v>
      </c>
      <c r="Q154" s="1" t="s">
        <v>61</v>
      </c>
      <c r="R154" s="1">
        <f t="shared" si="1"/>
        <v>0.06267338596</v>
      </c>
      <c r="S154" s="1">
        <f t="shared" si="2"/>
        <v>-111</v>
      </c>
      <c r="T154" s="1">
        <f t="shared" si="3"/>
        <v>1.900900901</v>
      </c>
      <c r="U154" s="1">
        <f t="shared" si="4"/>
        <v>0</v>
      </c>
      <c r="V154" s="3">
        <f t="shared" si="5"/>
        <v>2</v>
      </c>
      <c r="W154" s="3">
        <f t="shared" si="6"/>
        <v>2</v>
      </c>
      <c r="X154" s="3" t="str">
        <f>IFERROR(__xludf.DUMMYFUNCTION("split(B154,"" "")"),"B.")</f>
        <v>B.</v>
      </c>
      <c r="Y154" s="3" t="str">
        <f>IFERROR(__xludf.DUMMYFUNCTION("""COMPUTED_VALUE"""),"Young")</f>
        <v>Young</v>
      </c>
      <c r="AA154" s="3">
        <v>30.0</v>
      </c>
      <c r="AB154" s="3">
        <f t="shared" si="7"/>
        <v>0</v>
      </c>
      <c r="AC154" s="3">
        <f t="shared" si="8"/>
        <v>1</v>
      </c>
      <c r="AD154" s="3">
        <f t="shared" si="9"/>
        <v>1.801801802</v>
      </c>
      <c r="AE154" s="3">
        <f t="shared" si="10"/>
        <v>1.801801802</v>
      </c>
      <c r="AF154" s="3">
        <f t="shared" si="11"/>
        <v>1.801801802</v>
      </c>
      <c r="AG154" s="3">
        <f t="shared" si="12"/>
        <v>0.01639344262</v>
      </c>
    </row>
    <row r="155">
      <c r="A155" s="1" t="s">
        <v>10</v>
      </c>
      <c r="B155" s="1" t="s">
        <v>182</v>
      </c>
      <c r="C155" s="1" t="s">
        <v>19</v>
      </c>
      <c r="D155" s="1" t="s">
        <v>77</v>
      </c>
      <c r="E155" s="1" t="s">
        <v>76</v>
      </c>
      <c r="F155" s="1" t="s">
        <v>78</v>
      </c>
      <c r="G155" s="1">
        <v>14.5</v>
      </c>
      <c r="H155" s="1" t="s">
        <v>60</v>
      </c>
      <c r="I155" s="1">
        <v>-115.0</v>
      </c>
      <c r="J155" s="6">
        <v>-0.133193956907792</v>
      </c>
      <c r="K155" s="1" t="s">
        <v>61</v>
      </c>
      <c r="L155" s="1" t="s">
        <v>61</v>
      </c>
      <c r="M155" s="1" t="s">
        <v>62</v>
      </c>
      <c r="N155" s="1">
        <v>-112.0</v>
      </c>
      <c r="O155" s="6">
        <v>0.0700640793556438</v>
      </c>
      <c r="P155" s="1" t="s">
        <v>61</v>
      </c>
      <c r="Q155" s="1" t="s">
        <v>61</v>
      </c>
      <c r="R155" s="6">
        <f t="shared" si="1"/>
        <v>0.07006407936</v>
      </c>
      <c r="S155" s="1">
        <f t="shared" si="2"/>
        <v>-112</v>
      </c>
      <c r="T155" s="1">
        <f t="shared" si="3"/>
        <v>1.892857143</v>
      </c>
      <c r="U155" s="1">
        <f t="shared" si="4"/>
        <v>0</v>
      </c>
      <c r="V155" s="3">
        <f t="shared" si="5"/>
        <v>2</v>
      </c>
      <c r="W155" s="3">
        <f t="shared" si="6"/>
        <v>2</v>
      </c>
      <c r="X155" s="3" t="str">
        <f>IFERROR(__xludf.DUMMYFUNCTION("split(B155,"" "")"),"J.")</f>
        <v>J.</v>
      </c>
      <c r="Y155" s="3" t="str">
        <f>IFERROR(__xludf.DUMMYFUNCTION("""COMPUTED_VALUE"""),"Hill")</f>
        <v>Hill</v>
      </c>
      <c r="AA155" s="3">
        <v>3.0</v>
      </c>
      <c r="AB155" s="3">
        <f t="shared" si="7"/>
        <v>0</v>
      </c>
      <c r="AC155" s="3">
        <f t="shared" si="8"/>
        <v>1</v>
      </c>
      <c r="AD155" s="3">
        <f t="shared" si="9"/>
        <v>1.785714286</v>
      </c>
      <c r="AE155" s="3">
        <f t="shared" si="10"/>
        <v>1.785714286</v>
      </c>
      <c r="AF155" s="3">
        <f t="shared" si="11"/>
        <v>1.785714286</v>
      </c>
      <c r="AG155" s="3">
        <f t="shared" si="12"/>
        <v>0.7931034483</v>
      </c>
    </row>
    <row r="156">
      <c r="A156" s="1" t="s">
        <v>16</v>
      </c>
      <c r="B156" s="1" t="s">
        <v>275</v>
      </c>
      <c r="C156" s="1" t="s">
        <v>21</v>
      </c>
      <c r="D156" s="1" t="s">
        <v>100</v>
      </c>
      <c r="E156" s="1" t="s">
        <v>99</v>
      </c>
      <c r="F156" s="1" t="s">
        <v>59</v>
      </c>
      <c r="G156" s="1">
        <v>33.5</v>
      </c>
      <c r="H156" s="1" t="s">
        <v>60</v>
      </c>
      <c r="I156" s="1">
        <v>-120.0</v>
      </c>
      <c r="J156" s="1">
        <v>-0.1282319332</v>
      </c>
      <c r="K156" s="1" t="s">
        <v>61</v>
      </c>
      <c r="L156" s="1" t="s">
        <v>61</v>
      </c>
      <c r="M156" s="1" t="s">
        <v>62</v>
      </c>
      <c r="N156" s="1">
        <v>-112.0</v>
      </c>
      <c r="O156" s="1">
        <v>0.0544379925471697</v>
      </c>
      <c r="P156" s="1" t="s">
        <v>61</v>
      </c>
      <c r="Q156" s="1" t="s">
        <v>61</v>
      </c>
      <c r="R156" s="1">
        <f t="shared" si="1"/>
        <v>0.05443799255</v>
      </c>
      <c r="S156" s="1">
        <f t="shared" si="2"/>
        <v>-112</v>
      </c>
      <c r="T156" s="1">
        <f t="shared" si="3"/>
        <v>1.892857143</v>
      </c>
      <c r="U156" s="1">
        <f t="shared" si="4"/>
        <v>0</v>
      </c>
      <c r="V156" s="3">
        <f t="shared" si="5"/>
        <v>2</v>
      </c>
      <c r="W156" s="3">
        <f t="shared" si="6"/>
        <v>2</v>
      </c>
      <c r="X156" s="3" t="str">
        <f>IFERROR(__xludf.DUMMYFUNCTION("split(B156,"" "")"),"W.")</f>
        <v>W.</v>
      </c>
      <c r="Y156" s="3" t="str">
        <f>IFERROR(__xludf.DUMMYFUNCTION("""COMPUTED_VALUE"""),"Levis")</f>
        <v>Levis</v>
      </c>
      <c r="AA156" s="3">
        <v>32.0</v>
      </c>
      <c r="AB156" s="3">
        <f t="shared" si="7"/>
        <v>0</v>
      </c>
      <c r="AC156" s="3">
        <f t="shared" si="8"/>
        <v>1</v>
      </c>
      <c r="AD156" s="3">
        <f t="shared" si="9"/>
        <v>1.785714286</v>
      </c>
      <c r="AE156" s="3">
        <f t="shared" si="10"/>
        <v>1.785714286</v>
      </c>
      <c r="AF156" s="3">
        <f t="shared" si="11"/>
        <v>1.785714286</v>
      </c>
      <c r="AG156" s="3">
        <f t="shared" si="12"/>
        <v>0.0447761194</v>
      </c>
    </row>
    <row r="157">
      <c r="A157" s="1" t="s">
        <v>10</v>
      </c>
      <c r="B157" s="1" t="s">
        <v>241</v>
      </c>
      <c r="C157" s="1" t="s">
        <v>21</v>
      </c>
      <c r="D157" s="1" t="s">
        <v>197</v>
      </c>
      <c r="E157" s="1" t="s">
        <v>196</v>
      </c>
      <c r="F157" s="1" t="s">
        <v>198</v>
      </c>
      <c r="G157" s="1">
        <v>0.5</v>
      </c>
      <c r="H157" s="1" t="s">
        <v>60</v>
      </c>
      <c r="I157" s="1">
        <v>-113.0</v>
      </c>
      <c r="J157" s="1">
        <v>0.0957794920282796</v>
      </c>
      <c r="K157" s="1" t="s">
        <v>61</v>
      </c>
      <c r="L157" s="1" t="s">
        <v>61</v>
      </c>
      <c r="M157" s="1" t="s">
        <v>62</v>
      </c>
      <c r="N157" s="1">
        <v>-118.0</v>
      </c>
      <c r="O157" s="1">
        <v>-0.167518929115237</v>
      </c>
      <c r="P157" s="1" t="s">
        <v>61</v>
      </c>
      <c r="Q157" s="1" t="s">
        <v>61</v>
      </c>
      <c r="R157" s="1">
        <f t="shared" si="1"/>
        <v>0.09577949203</v>
      </c>
      <c r="S157" s="1">
        <f t="shared" si="2"/>
        <v>-113</v>
      </c>
      <c r="T157" s="1">
        <f t="shared" si="3"/>
        <v>1.884955752</v>
      </c>
      <c r="U157" s="1">
        <f t="shared" si="4"/>
        <v>1</v>
      </c>
      <c r="V157" s="3">
        <f t="shared" si="5"/>
        <v>2</v>
      </c>
      <c r="W157" s="3">
        <f t="shared" si="6"/>
        <v>2</v>
      </c>
      <c r="X157" s="3" t="str">
        <f>IFERROR(__xludf.DUMMYFUNCTION("split(B157,"" "")"),"J.")</f>
        <v>J.</v>
      </c>
      <c r="Y157" s="3" t="str">
        <f>IFERROR(__xludf.DUMMYFUNCTION("""COMPUTED_VALUE"""),"Goff")</f>
        <v>Goff</v>
      </c>
      <c r="AA157" s="3">
        <v>7.0</v>
      </c>
      <c r="AB157" s="3">
        <f t="shared" si="7"/>
        <v>1</v>
      </c>
      <c r="AC157" s="3">
        <f t="shared" si="8"/>
        <v>1</v>
      </c>
      <c r="AD157" s="3">
        <f t="shared" si="9"/>
        <v>1.769911504</v>
      </c>
      <c r="AE157" s="3">
        <f t="shared" si="10"/>
        <v>1.769911504</v>
      </c>
      <c r="AF157" s="3">
        <f t="shared" si="11"/>
        <v>1.769911504</v>
      </c>
      <c r="AG157" s="3">
        <f t="shared" si="12"/>
        <v>13</v>
      </c>
    </row>
    <row r="158">
      <c r="A158" s="1" t="s">
        <v>12</v>
      </c>
      <c r="B158" s="1" t="s">
        <v>278</v>
      </c>
      <c r="C158" s="1" t="s">
        <v>18</v>
      </c>
      <c r="D158" s="1" t="s">
        <v>134</v>
      </c>
      <c r="E158" s="1" t="s">
        <v>135</v>
      </c>
      <c r="F158" s="1" t="s">
        <v>84</v>
      </c>
      <c r="G158" s="1">
        <v>3.5</v>
      </c>
      <c r="H158" s="1" t="s">
        <v>60</v>
      </c>
      <c r="I158" s="1">
        <v>-118.0</v>
      </c>
      <c r="J158" s="1">
        <v>-0.157030275229357</v>
      </c>
      <c r="K158" s="1" t="s">
        <v>61</v>
      </c>
      <c r="L158" s="1" t="s">
        <v>61</v>
      </c>
      <c r="M158" s="1" t="s">
        <v>62</v>
      </c>
      <c r="N158" s="1">
        <v>-113.0</v>
      </c>
      <c r="O158" s="1">
        <v>0.0852366197183097</v>
      </c>
      <c r="P158" s="1" t="s">
        <v>61</v>
      </c>
      <c r="Q158" s="1" t="s">
        <v>61</v>
      </c>
      <c r="R158" s="1">
        <f t="shared" si="1"/>
        <v>0.08523661972</v>
      </c>
      <c r="S158" s="1">
        <f t="shared" si="2"/>
        <v>-113</v>
      </c>
      <c r="T158" s="1">
        <f t="shared" si="3"/>
        <v>1.884955752</v>
      </c>
      <c r="U158" s="1">
        <f t="shared" si="4"/>
        <v>0</v>
      </c>
      <c r="V158" s="3">
        <f t="shared" si="5"/>
        <v>2</v>
      </c>
      <c r="W158" s="3">
        <f t="shared" si="6"/>
        <v>2</v>
      </c>
      <c r="X158" s="3" t="str">
        <f>IFERROR(__xludf.DUMMYFUNCTION("split(B158,"" "")"),"J.")</f>
        <v>J.</v>
      </c>
      <c r="Y158" s="3" t="str">
        <f>IFERROR(__xludf.DUMMYFUNCTION("""COMPUTED_VALUE"""),"Meyers")</f>
        <v>Meyers</v>
      </c>
      <c r="AA158" s="3">
        <v>3.0</v>
      </c>
      <c r="AB158" s="3">
        <f t="shared" si="7"/>
        <v>0</v>
      </c>
      <c r="AC158" s="3">
        <f t="shared" si="8"/>
        <v>1</v>
      </c>
      <c r="AD158" s="3">
        <f t="shared" si="9"/>
        <v>1.769911504</v>
      </c>
      <c r="AE158" s="3">
        <f t="shared" si="10"/>
        <v>1.769911504</v>
      </c>
      <c r="AF158" s="3">
        <f t="shared" si="11"/>
        <v>1.769911504</v>
      </c>
      <c r="AG158" s="3">
        <f t="shared" si="12"/>
        <v>0.1428571429</v>
      </c>
    </row>
    <row r="159">
      <c r="A159" s="1" t="s">
        <v>11</v>
      </c>
      <c r="B159" s="1" t="s">
        <v>280</v>
      </c>
      <c r="C159" s="1" t="s">
        <v>19</v>
      </c>
      <c r="D159" s="1" t="s">
        <v>94</v>
      </c>
      <c r="E159" s="1" t="s">
        <v>93</v>
      </c>
      <c r="F159" s="1" t="s">
        <v>59</v>
      </c>
      <c r="G159" s="1">
        <v>7.5</v>
      </c>
      <c r="H159" s="1" t="s">
        <v>60</v>
      </c>
      <c r="I159" s="1">
        <v>-113.0</v>
      </c>
      <c r="J159" s="1">
        <v>0.0802330346828322</v>
      </c>
      <c r="K159" s="1" t="s">
        <v>61</v>
      </c>
      <c r="L159" s="1" t="s">
        <v>61</v>
      </c>
      <c r="M159" s="1" t="s">
        <v>62</v>
      </c>
      <c r="N159" s="1">
        <v>-118.0</v>
      </c>
      <c r="O159" s="1">
        <v>-0.15199555475772</v>
      </c>
      <c r="P159" s="1" t="s">
        <v>61</v>
      </c>
      <c r="Q159" s="1" t="s">
        <v>61</v>
      </c>
      <c r="R159" s="1">
        <f t="shared" si="1"/>
        <v>0.08023303468</v>
      </c>
      <c r="S159" s="1">
        <f t="shared" si="2"/>
        <v>-113</v>
      </c>
      <c r="T159" s="1">
        <f t="shared" si="3"/>
        <v>1.884955752</v>
      </c>
      <c r="U159" s="1">
        <f t="shared" si="4"/>
        <v>1</v>
      </c>
      <c r="V159" s="3">
        <f t="shared" si="5"/>
        <v>2</v>
      </c>
      <c r="W159" s="3">
        <f t="shared" si="6"/>
        <v>2</v>
      </c>
      <c r="X159" s="3" t="str">
        <f>IFERROR(__xludf.DUMMYFUNCTION("split(B159,"" "")"),"R.")</f>
        <v>R.</v>
      </c>
      <c r="Y159" s="3" t="str">
        <f>IFERROR(__xludf.DUMMYFUNCTION("""COMPUTED_VALUE"""),"Mostert")</f>
        <v>Mostert</v>
      </c>
      <c r="AA159" s="3">
        <v>10.0</v>
      </c>
      <c r="AB159" s="3">
        <f t="shared" si="7"/>
        <v>1</v>
      </c>
      <c r="AC159" s="3">
        <f t="shared" si="8"/>
        <v>1</v>
      </c>
      <c r="AD159" s="3">
        <f t="shared" si="9"/>
        <v>1.769911504</v>
      </c>
      <c r="AE159" s="3">
        <f t="shared" si="10"/>
        <v>1.769911504</v>
      </c>
      <c r="AF159" s="3">
        <f t="shared" si="11"/>
        <v>1.769911504</v>
      </c>
      <c r="AG159" s="3">
        <f t="shared" si="12"/>
        <v>0.3333333333</v>
      </c>
    </row>
    <row r="160">
      <c r="A160" s="1" t="s">
        <v>11</v>
      </c>
      <c r="B160" s="1" t="s">
        <v>243</v>
      </c>
      <c r="C160" s="1" t="s">
        <v>19</v>
      </c>
      <c r="D160" s="1" t="s">
        <v>156</v>
      </c>
      <c r="E160" s="1" t="s">
        <v>157</v>
      </c>
      <c r="F160" s="1" t="s">
        <v>158</v>
      </c>
      <c r="G160" s="1">
        <v>5.5</v>
      </c>
      <c r="H160" s="1" t="s">
        <v>60</v>
      </c>
      <c r="I160" s="1">
        <v>-113.0</v>
      </c>
      <c r="J160" s="6">
        <v>0.0800604409554539</v>
      </c>
      <c r="K160" s="1" t="s">
        <v>61</v>
      </c>
      <c r="L160" s="1" t="s">
        <v>61</v>
      </c>
      <c r="M160" s="1" t="s">
        <v>62</v>
      </c>
      <c r="N160" s="1">
        <v>-113.0</v>
      </c>
      <c r="O160" s="6">
        <v>-0.141077298279662</v>
      </c>
      <c r="P160" s="1" t="s">
        <v>61</v>
      </c>
      <c r="Q160" s="1" t="s">
        <v>61</v>
      </c>
      <c r="R160" s="6">
        <f t="shared" si="1"/>
        <v>0.08006044096</v>
      </c>
      <c r="S160" s="1">
        <f t="shared" si="2"/>
        <v>-113</v>
      </c>
      <c r="T160" s="1">
        <f t="shared" si="3"/>
        <v>1.884955752</v>
      </c>
      <c r="U160" s="1">
        <f t="shared" si="4"/>
        <v>1</v>
      </c>
      <c r="V160" s="3">
        <f t="shared" si="5"/>
        <v>2</v>
      </c>
      <c r="W160" s="3">
        <f t="shared" si="6"/>
        <v>2</v>
      </c>
      <c r="X160" s="3" t="str">
        <f>IFERROR(__xludf.DUMMYFUNCTION("split(B160,"" "")"),"K.")</f>
        <v>K.</v>
      </c>
      <c r="Y160" s="3" t="str">
        <f>IFERROR(__xludf.DUMMYFUNCTION("""COMPUTED_VALUE"""),"Gainwell")</f>
        <v>Gainwell</v>
      </c>
      <c r="AA160" s="3">
        <v>10.0</v>
      </c>
      <c r="AB160" s="3">
        <f t="shared" si="7"/>
        <v>1</v>
      </c>
      <c r="AC160" s="3">
        <f t="shared" si="8"/>
        <v>1</v>
      </c>
      <c r="AD160" s="3">
        <f t="shared" si="9"/>
        <v>1.769911504</v>
      </c>
      <c r="AE160" s="3">
        <f t="shared" si="10"/>
        <v>1.769911504</v>
      </c>
      <c r="AF160" s="3">
        <f t="shared" si="11"/>
        <v>1.769911504</v>
      </c>
      <c r="AG160" s="3">
        <f t="shared" si="12"/>
        <v>0.8181818182</v>
      </c>
    </row>
    <row r="161">
      <c r="A161" s="1" t="s">
        <v>14</v>
      </c>
      <c r="B161" s="1" t="s">
        <v>274</v>
      </c>
      <c r="C161" s="1" t="s">
        <v>21</v>
      </c>
      <c r="D161" s="1" t="s">
        <v>99</v>
      </c>
      <c r="E161" s="1" t="s">
        <v>100</v>
      </c>
      <c r="F161" s="1" t="s">
        <v>59</v>
      </c>
      <c r="G161" s="1">
        <v>1.5</v>
      </c>
      <c r="H161" s="1" t="s">
        <v>60</v>
      </c>
      <c r="I161" s="1">
        <v>-120.0</v>
      </c>
      <c r="J161" s="1">
        <v>-0.1497</v>
      </c>
      <c r="K161" s="1" t="s">
        <v>61</v>
      </c>
      <c r="L161" s="1" t="s">
        <v>61</v>
      </c>
      <c r="M161" s="1" t="s">
        <v>62</v>
      </c>
      <c r="N161" s="1">
        <v>-113.0</v>
      </c>
      <c r="O161" s="1">
        <v>0.0737366197183099</v>
      </c>
      <c r="P161" s="1" t="s">
        <v>61</v>
      </c>
      <c r="Q161" s="1" t="s">
        <v>61</v>
      </c>
      <c r="R161" s="1">
        <f t="shared" si="1"/>
        <v>0.07373661972</v>
      </c>
      <c r="S161" s="1">
        <f t="shared" si="2"/>
        <v>-113</v>
      </c>
      <c r="T161" s="1">
        <f t="shared" si="3"/>
        <v>1.884955752</v>
      </c>
      <c r="U161" s="1">
        <f t="shared" si="4"/>
        <v>0</v>
      </c>
      <c r="V161" s="3">
        <f t="shared" si="5"/>
        <v>2</v>
      </c>
      <c r="W161" s="3">
        <f t="shared" si="6"/>
        <v>2</v>
      </c>
      <c r="X161" s="3" t="str">
        <f>IFERROR(__xludf.DUMMYFUNCTION("split(B161,"" "")"),"C.")</f>
        <v>C.</v>
      </c>
      <c r="Y161" s="3" t="str">
        <f>IFERROR(__xludf.DUMMYFUNCTION("""COMPUTED_VALUE"""),"Williams")</f>
        <v>Williams</v>
      </c>
      <c r="AA161" s="3">
        <v>0.0</v>
      </c>
      <c r="AB161" s="3">
        <f t="shared" si="7"/>
        <v>0</v>
      </c>
      <c r="AC161" s="3">
        <f t="shared" si="8"/>
        <v>1</v>
      </c>
      <c r="AD161" s="3">
        <f t="shared" si="9"/>
        <v>1.769911504</v>
      </c>
      <c r="AE161" s="3">
        <f t="shared" si="10"/>
        <v>1.769911504</v>
      </c>
      <c r="AF161" s="3">
        <f t="shared" si="11"/>
        <v>1.769911504</v>
      </c>
      <c r="AG161" s="3">
        <f t="shared" si="12"/>
        <v>1</v>
      </c>
    </row>
    <row r="162">
      <c r="A162" s="1" t="s">
        <v>15</v>
      </c>
      <c r="B162" s="1" t="s">
        <v>275</v>
      </c>
      <c r="C162" s="1" t="s">
        <v>21</v>
      </c>
      <c r="D162" s="1" t="s">
        <v>100</v>
      </c>
      <c r="E162" s="1" t="s">
        <v>99</v>
      </c>
      <c r="F162" s="1" t="s">
        <v>59</v>
      </c>
      <c r="G162" s="1">
        <v>20.5</v>
      </c>
      <c r="H162" s="1" t="s">
        <v>60</v>
      </c>
      <c r="I162" s="1">
        <v>-118.0</v>
      </c>
      <c r="J162" s="1">
        <v>-0.155628954770642</v>
      </c>
      <c r="K162" s="1" t="s">
        <v>61</v>
      </c>
      <c r="L162" s="1" t="s">
        <v>61</v>
      </c>
      <c r="M162" s="1" t="s">
        <v>62</v>
      </c>
      <c r="N162" s="1">
        <v>-114.0</v>
      </c>
      <c r="O162" s="1">
        <v>0.0816414571943926</v>
      </c>
      <c r="P162" s="1" t="s">
        <v>61</v>
      </c>
      <c r="Q162" s="1" t="s">
        <v>61</v>
      </c>
      <c r="R162" s="1">
        <f t="shared" si="1"/>
        <v>0.08164145719</v>
      </c>
      <c r="S162" s="1">
        <f t="shared" si="2"/>
        <v>-114</v>
      </c>
      <c r="T162" s="1">
        <f t="shared" si="3"/>
        <v>1.877192982</v>
      </c>
      <c r="U162" s="1">
        <f t="shared" si="4"/>
        <v>0</v>
      </c>
      <c r="V162" s="3">
        <f t="shared" si="5"/>
        <v>2</v>
      </c>
      <c r="W162" s="3">
        <f t="shared" si="6"/>
        <v>2</v>
      </c>
      <c r="X162" s="3" t="str">
        <f>IFERROR(__xludf.DUMMYFUNCTION("split(B162,"" "")"),"W.")</f>
        <v>W.</v>
      </c>
      <c r="Y162" s="3" t="str">
        <f>IFERROR(__xludf.DUMMYFUNCTION("""COMPUTED_VALUE"""),"Levis")</f>
        <v>Levis</v>
      </c>
      <c r="AA162" s="3">
        <v>19.0</v>
      </c>
      <c r="AB162" s="3">
        <f t="shared" si="7"/>
        <v>0</v>
      </c>
      <c r="AC162" s="3">
        <f t="shared" si="8"/>
        <v>1</v>
      </c>
      <c r="AD162" s="3">
        <f t="shared" si="9"/>
        <v>1.754385965</v>
      </c>
      <c r="AE162" s="3">
        <f t="shared" si="10"/>
        <v>1.754385965</v>
      </c>
      <c r="AF162" s="3">
        <f t="shared" si="11"/>
        <v>1.754385965</v>
      </c>
      <c r="AG162" s="3">
        <f t="shared" si="12"/>
        <v>0.07317073171</v>
      </c>
    </row>
    <row r="163">
      <c r="A163" s="1" t="s">
        <v>11</v>
      </c>
      <c r="B163" s="1" t="s">
        <v>123</v>
      </c>
      <c r="C163" s="1" t="s">
        <v>19</v>
      </c>
      <c r="D163" s="1" t="s">
        <v>110</v>
      </c>
      <c r="E163" s="1" t="s">
        <v>109</v>
      </c>
      <c r="F163" s="1" t="s">
        <v>59</v>
      </c>
      <c r="G163" s="1">
        <v>7.0</v>
      </c>
      <c r="H163" s="1" t="s">
        <v>60</v>
      </c>
      <c r="I163" s="1">
        <v>-115.0</v>
      </c>
      <c r="J163" s="1">
        <v>0.072799515331457</v>
      </c>
      <c r="K163" s="1" t="s">
        <v>61</v>
      </c>
      <c r="L163" s="1" t="s">
        <v>61</v>
      </c>
      <c r="M163" s="1" t="s">
        <v>62</v>
      </c>
      <c r="N163" s="1">
        <v>-113.0</v>
      </c>
      <c r="O163" s="1">
        <v>-0.136608414318204</v>
      </c>
      <c r="P163" s="1" t="s">
        <v>61</v>
      </c>
      <c r="Q163" s="1" t="s">
        <v>61</v>
      </c>
      <c r="R163" s="1">
        <f t="shared" si="1"/>
        <v>0.07279951533</v>
      </c>
      <c r="S163" s="1">
        <f t="shared" si="2"/>
        <v>-115</v>
      </c>
      <c r="T163" s="1">
        <f t="shared" si="3"/>
        <v>1.869565217</v>
      </c>
      <c r="U163" s="1">
        <f t="shared" si="4"/>
        <v>1</v>
      </c>
      <c r="V163" s="3">
        <f t="shared" si="5"/>
        <v>2</v>
      </c>
      <c r="W163" s="3">
        <f t="shared" si="6"/>
        <v>2</v>
      </c>
      <c r="X163" s="3" t="str">
        <f>IFERROR(__xludf.DUMMYFUNCTION("split(B163,"" "")"),"N.")</f>
        <v>N.</v>
      </c>
      <c r="Y163" s="3" t="str">
        <f>IFERROR(__xludf.DUMMYFUNCTION("""COMPUTED_VALUE"""),"Harris")</f>
        <v>Harris</v>
      </c>
      <c r="AA163" s="3">
        <v>9.0</v>
      </c>
      <c r="AB163" s="3">
        <f t="shared" si="7"/>
        <v>1</v>
      </c>
      <c r="AC163" s="3">
        <f t="shared" si="8"/>
        <v>1</v>
      </c>
      <c r="AD163" s="3">
        <f t="shared" si="9"/>
        <v>1.739130435</v>
      </c>
      <c r="AE163" s="3">
        <f t="shared" si="10"/>
        <v>1.739130435</v>
      </c>
      <c r="AF163" s="3">
        <f t="shared" si="11"/>
        <v>1.739130435</v>
      </c>
      <c r="AG163" s="3">
        <f t="shared" si="12"/>
        <v>0.2857142857</v>
      </c>
    </row>
    <row r="164">
      <c r="A164" s="1" t="s">
        <v>11</v>
      </c>
      <c r="B164" s="1" t="s">
        <v>282</v>
      </c>
      <c r="C164" s="1" t="s">
        <v>19</v>
      </c>
      <c r="D164" s="1" t="s">
        <v>58</v>
      </c>
      <c r="E164" s="1" t="s">
        <v>57</v>
      </c>
      <c r="F164" s="1" t="s">
        <v>59</v>
      </c>
      <c r="G164" s="1">
        <v>29.5</v>
      </c>
      <c r="H164" s="1" t="s">
        <v>60</v>
      </c>
      <c r="I164" s="1">
        <v>-115.0</v>
      </c>
      <c r="J164" s="1">
        <v>-0.129181495247023</v>
      </c>
      <c r="K164" s="1" t="s">
        <v>61</v>
      </c>
      <c r="L164" s="1" t="s">
        <v>61</v>
      </c>
      <c r="M164" s="1" t="s">
        <v>62</v>
      </c>
      <c r="N164" s="1">
        <v>-115.0</v>
      </c>
      <c r="O164" s="1">
        <v>0.0594587195340766</v>
      </c>
      <c r="P164" s="1" t="s">
        <v>61</v>
      </c>
      <c r="Q164" s="1" t="s">
        <v>61</v>
      </c>
      <c r="R164" s="1">
        <f t="shared" si="1"/>
        <v>0.05945871953</v>
      </c>
      <c r="S164" s="1">
        <f t="shared" si="2"/>
        <v>-115</v>
      </c>
      <c r="T164" s="1">
        <f t="shared" si="3"/>
        <v>1.869565217</v>
      </c>
      <c r="U164" s="1">
        <f t="shared" si="4"/>
        <v>0</v>
      </c>
      <c r="V164" s="3">
        <f t="shared" si="5"/>
        <v>2</v>
      </c>
      <c r="W164" s="3">
        <f t="shared" si="6"/>
        <v>2</v>
      </c>
      <c r="X164" s="3" t="str">
        <f>IFERROR(__xludf.DUMMYFUNCTION("split(B164,"" "")"),"A.")</f>
        <v>A.</v>
      </c>
      <c r="Y164" s="3" t="str">
        <f>IFERROR(__xludf.DUMMYFUNCTION("""COMPUTED_VALUE"""),"Kamara")</f>
        <v>Kamara</v>
      </c>
      <c r="AA164" s="3">
        <v>27.0</v>
      </c>
      <c r="AB164" s="3">
        <f t="shared" si="7"/>
        <v>0</v>
      </c>
      <c r="AC164" s="3">
        <f t="shared" si="8"/>
        <v>1</v>
      </c>
      <c r="AD164" s="3">
        <f t="shared" si="9"/>
        <v>1.739130435</v>
      </c>
      <c r="AE164" s="3">
        <f t="shared" si="10"/>
        <v>1.739130435</v>
      </c>
      <c r="AF164" s="3">
        <f t="shared" si="11"/>
        <v>1.739130435</v>
      </c>
      <c r="AG164" s="3">
        <f t="shared" si="12"/>
        <v>0.08474576271</v>
      </c>
    </row>
    <row r="165">
      <c r="A165" s="1" t="s">
        <v>9</v>
      </c>
      <c r="B165" s="1" t="s">
        <v>284</v>
      </c>
      <c r="C165" s="1" t="s">
        <v>18</v>
      </c>
      <c r="D165" s="1" t="s">
        <v>196</v>
      </c>
      <c r="E165" s="1" t="s">
        <v>197</v>
      </c>
      <c r="F165" s="1" t="s">
        <v>198</v>
      </c>
      <c r="G165" s="1">
        <v>28.0</v>
      </c>
      <c r="H165" s="1" t="s">
        <v>60</v>
      </c>
      <c r="I165" s="1">
        <v>-115.0</v>
      </c>
      <c r="J165" s="1">
        <v>0.0580046171046129</v>
      </c>
      <c r="K165" s="1" t="s">
        <v>61</v>
      </c>
      <c r="L165" s="1" t="s">
        <v>61</v>
      </c>
      <c r="M165" s="1" t="s">
        <v>62</v>
      </c>
      <c r="N165" s="1">
        <v>-117.0</v>
      </c>
      <c r="O165" s="1">
        <v>-0.130719568814126</v>
      </c>
      <c r="P165" s="1" t="s">
        <v>61</v>
      </c>
      <c r="Q165" s="1" t="s">
        <v>61</v>
      </c>
      <c r="R165" s="1">
        <f t="shared" si="1"/>
        <v>0.0580046171</v>
      </c>
      <c r="S165" s="1">
        <f t="shared" si="2"/>
        <v>-115</v>
      </c>
      <c r="T165" s="1">
        <f t="shared" si="3"/>
        <v>1.869565217</v>
      </c>
      <c r="U165" s="1">
        <f t="shared" si="4"/>
        <v>1</v>
      </c>
      <c r="V165" s="3">
        <f t="shared" si="5"/>
        <v>2</v>
      </c>
      <c r="W165" s="3">
        <f t="shared" si="6"/>
        <v>2</v>
      </c>
      <c r="X165" s="3" t="str">
        <f>IFERROR(__xludf.DUMMYFUNCTION("split(B165,"" "")"),"D.")</f>
        <v>D.</v>
      </c>
      <c r="Y165" s="3" t="str">
        <f>IFERROR(__xludf.DUMMYFUNCTION("""COMPUTED_VALUE"""),"Robinson")</f>
        <v>Robinson</v>
      </c>
      <c r="AA165" s="3">
        <v>42.0</v>
      </c>
      <c r="AB165" s="3">
        <f t="shared" si="7"/>
        <v>1</v>
      </c>
      <c r="AC165" s="3">
        <f t="shared" si="8"/>
        <v>1</v>
      </c>
      <c r="AD165" s="3">
        <f t="shared" si="9"/>
        <v>1.739130435</v>
      </c>
      <c r="AE165" s="3">
        <f t="shared" si="10"/>
        <v>1.739130435</v>
      </c>
      <c r="AF165" s="3">
        <f t="shared" si="11"/>
        <v>1.739130435</v>
      </c>
      <c r="AG165" s="3">
        <f t="shared" si="12"/>
        <v>0.5</v>
      </c>
    </row>
    <row r="166">
      <c r="A166" s="1" t="s">
        <v>8</v>
      </c>
      <c r="B166" s="1" t="s">
        <v>262</v>
      </c>
      <c r="C166" s="1" t="s">
        <v>21</v>
      </c>
      <c r="D166" s="1" t="s">
        <v>164</v>
      </c>
      <c r="E166" s="1" t="s">
        <v>165</v>
      </c>
      <c r="F166" s="1" t="s">
        <v>166</v>
      </c>
      <c r="G166" s="1">
        <v>2.5</v>
      </c>
      <c r="H166" s="1" t="s">
        <v>60</v>
      </c>
      <c r="I166" s="1">
        <v>-115.0</v>
      </c>
      <c r="J166" s="1">
        <v>-0.160066991415574</v>
      </c>
      <c r="K166" s="1" t="s">
        <v>61</v>
      </c>
      <c r="L166" s="1" t="s">
        <v>61</v>
      </c>
      <c r="M166" s="1" t="s">
        <v>62</v>
      </c>
      <c r="N166" s="1">
        <v>-115.0</v>
      </c>
      <c r="O166" s="1">
        <v>0.0903120401279108</v>
      </c>
      <c r="P166" s="1" t="s">
        <v>61</v>
      </c>
      <c r="Q166" s="1" t="s">
        <v>61</v>
      </c>
      <c r="R166" s="1">
        <f t="shared" si="1"/>
        <v>0.09031204013</v>
      </c>
      <c r="S166" s="1">
        <f t="shared" si="2"/>
        <v>-115</v>
      </c>
      <c r="T166" s="1">
        <f t="shared" si="3"/>
        <v>1.869565217</v>
      </c>
      <c r="U166" s="1">
        <f t="shared" si="4"/>
        <v>0</v>
      </c>
      <c r="V166" s="3">
        <f t="shared" si="5"/>
        <v>2</v>
      </c>
      <c r="W166" s="3">
        <f t="shared" si="6"/>
        <v>2</v>
      </c>
      <c r="X166" s="3" t="str">
        <f>IFERROR(__xludf.DUMMYFUNCTION("split(B166,"" "")"),"B.")</f>
        <v>B.</v>
      </c>
      <c r="Y166" s="3" t="str">
        <f>IFERROR(__xludf.DUMMYFUNCTION("""COMPUTED_VALUE"""),"Purdy")</f>
        <v>Purdy</v>
      </c>
      <c r="AA166" s="3">
        <v>1.0</v>
      </c>
      <c r="AB166" s="3">
        <f t="shared" si="7"/>
        <v>0</v>
      </c>
      <c r="AC166" s="3">
        <f t="shared" si="8"/>
        <v>1</v>
      </c>
      <c r="AD166" s="3">
        <f t="shared" si="9"/>
        <v>1.739130435</v>
      </c>
      <c r="AE166" s="3">
        <f t="shared" si="10"/>
        <v>1.739130435</v>
      </c>
      <c r="AF166" s="3">
        <f t="shared" si="11"/>
        <v>1.739130435</v>
      </c>
      <c r="AG166" s="3">
        <f t="shared" si="12"/>
        <v>0.6</v>
      </c>
    </row>
    <row r="167">
      <c r="A167" s="1" t="s">
        <v>9</v>
      </c>
      <c r="B167" s="1" t="s">
        <v>285</v>
      </c>
      <c r="C167" s="1" t="s">
        <v>18</v>
      </c>
      <c r="D167" s="1" t="s">
        <v>164</v>
      </c>
      <c r="E167" s="1" t="s">
        <v>165</v>
      </c>
      <c r="F167" s="1" t="s">
        <v>166</v>
      </c>
      <c r="G167" s="1">
        <v>21.5</v>
      </c>
      <c r="H167" s="1" t="s">
        <v>60</v>
      </c>
      <c r="I167" s="1">
        <v>-115.0</v>
      </c>
      <c r="J167" s="1">
        <v>0.05908447857982</v>
      </c>
      <c r="K167" s="1" t="s">
        <v>61</v>
      </c>
      <c r="L167" s="1" t="s">
        <v>61</v>
      </c>
      <c r="M167" s="1" t="s">
        <v>62</v>
      </c>
      <c r="N167" s="1">
        <v>-115.0</v>
      </c>
      <c r="O167" s="1">
        <v>-0.128802150366793</v>
      </c>
      <c r="P167" s="1" t="s">
        <v>61</v>
      </c>
      <c r="Q167" s="1" t="s">
        <v>61</v>
      </c>
      <c r="R167" s="1">
        <f t="shared" si="1"/>
        <v>0.05908447858</v>
      </c>
      <c r="S167" s="1">
        <f t="shared" si="2"/>
        <v>-115</v>
      </c>
      <c r="T167" s="1">
        <f t="shared" si="3"/>
        <v>1.869565217</v>
      </c>
      <c r="U167" s="1">
        <f t="shared" si="4"/>
        <v>1</v>
      </c>
      <c r="V167" s="3">
        <f t="shared" si="5"/>
        <v>2</v>
      </c>
      <c r="W167" s="3">
        <f t="shared" si="6"/>
        <v>2</v>
      </c>
      <c r="X167" s="3" t="str">
        <f>IFERROR(__xludf.DUMMYFUNCTION("split(B167,"" "")"),"J.")</f>
        <v>J.</v>
      </c>
      <c r="Y167" s="3" t="str">
        <f>IFERROR(__xludf.DUMMYFUNCTION("""COMPUTED_VALUE"""),"Jennings")</f>
        <v>Jennings</v>
      </c>
      <c r="AA167" s="3">
        <v>64.0</v>
      </c>
      <c r="AB167" s="3">
        <f t="shared" si="7"/>
        <v>1</v>
      </c>
      <c r="AC167" s="3">
        <f t="shared" si="8"/>
        <v>1</v>
      </c>
      <c r="AD167" s="3">
        <f t="shared" si="9"/>
        <v>1.739130435</v>
      </c>
      <c r="AE167" s="3">
        <f t="shared" si="10"/>
        <v>1.739130435</v>
      </c>
      <c r="AF167" s="3">
        <f t="shared" si="11"/>
        <v>1.739130435</v>
      </c>
      <c r="AG167" s="3">
        <f t="shared" si="12"/>
        <v>1.976744186</v>
      </c>
    </row>
    <row r="168">
      <c r="A168" s="1" t="s">
        <v>10</v>
      </c>
      <c r="B168" s="1" t="s">
        <v>287</v>
      </c>
      <c r="C168" s="1" t="s">
        <v>21</v>
      </c>
      <c r="D168" s="1" t="s">
        <v>58</v>
      </c>
      <c r="E168" s="1" t="s">
        <v>57</v>
      </c>
      <c r="F168" s="1" t="s">
        <v>59</v>
      </c>
      <c r="G168" s="1">
        <v>1.5</v>
      </c>
      <c r="H168" s="1" t="s">
        <v>60</v>
      </c>
      <c r="I168" s="1">
        <v>-117.0</v>
      </c>
      <c r="J168" s="1">
        <v>0.0727610222505633</v>
      </c>
      <c r="K168" s="1" t="s">
        <v>61</v>
      </c>
      <c r="L168" s="1" t="s">
        <v>61</v>
      </c>
      <c r="M168" s="1" t="s">
        <v>62</v>
      </c>
      <c r="N168" s="1">
        <v>-115.0</v>
      </c>
      <c r="O168" s="1">
        <v>-0.14683638652486</v>
      </c>
      <c r="P168" s="1" t="s">
        <v>61</v>
      </c>
      <c r="Q168" s="1" t="s">
        <v>61</v>
      </c>
      <c r="R168" s="1">
        <f t="shared" si="1"/>
        <v>0.07276102225</v>
      </c>
      <c r="S168" s="1">
        <f t="shared" si="2"/>
        <v>-117</v>
      </c>
      <c r="T168" s="1">
        <f t="shared" si="3"/>
        <v>1.854700855</v>
      </c>
      <c r="U168" s="1">
        <f t="shared" si="4"/>
        <v>1</v>
      </c>
      <c r="V168" s="3">
        <f t="shared" si="5"/>
        <v>2</v>
      </c>
      <c r="W168" s="3">
        <f t="shared" si="6"/>
        <v>2</v>
      </c>
      <c r="X168" s="3" t="str">
        <f>IFERROR(__xludf.DUMMYFUNCTION("split(B168,"" "")"),"D.")</f>
        <v>D.</v>
      </c>
      <c r="Y168" s="3" t="str">
        <f>IFERROR(__xludf.DUMMYFUNCTION("""COMPUTED_VALUE"""),"Carr")</f>
        <v>Carr</v>
      </c>
      <c r="AA168" s="3">
        <v>13.0</v>
      </c>
      <c r="AB168" s="3">
        <f t="shared" si="7"/>
        <v>1</v>
      </c>
      <c r="AC168" s="3">
        <f t="shared" si="8"/>
        <v>1</v>
      </c>
      <c r="AD168" s="3">
        <f t="shared" si="9"/>
        <v>1.709401709</v>
      </c>
      <c r="AE168" s="3">
        <f t="shared" si="10"/>
        <v>1.709401709</v>
      </c>
      <c r="AF168" s="3">
        <f t="shared" si="11"/>
        <v>1.709401709</v>
      </c>
      <c r="AG168" s="3">
        <f t="shared" si="12"/>
        <v>7.666666667</v>
      </c>
    </row>
    <row r="169">
      <c r="A169" s="1" t="s">
        <v>11</v>
      </c>
      <c r="B169" s="1" t="s">
        <v>127</v>
      </c>
      <c r="C169" s="1" t="s">
        <v>19</v>
      </c>
      <c r="D169" s="1" t="s">
        <v>58</v>
      </c>
      <c r="E169" s="1" t="s">
        <v>57</v>
      </c>
      <c r="F169" s="1" t="s">
        <v>59</v>
      </c>
      <c r="G169" s="1">
        <v>3.5</v>
      </c>
      <c r="H169" s="1" t="s">
        <v>60</v>
      </c>
      <c r="I169" s="1">
        <v>-120.0</v>
      </c>
      <c r="J169" s="1">
        <v>0.0983662726526243</v>
      </c>
      <c r="K169" s="1" t="s">
        <v>61</v>
      </c>
      <c r="L169" s="1" t="s">
        <v>61</v>
      </c>
      <c r="M169" s="1" t="s">
        <v>62</v>
      </c>
      <c r="N169" s="1">
        <v>-110.0</v>
      </c>
      <c r="O169" s="1">
        <v>-0.167603038009214</v>
      </c>
      <c r="P169" s="1" t="s">
        <v>61</v>
      </c>
      <c r="Q169" s="1" t="s">
        <v>61</v>
      </c>
      <c r="R169" s="1">
        <f t="shared" si="1"/>
        <v>0.09836627265</v>
      </c>
      <c r="S169" s="1">
        <f t="shared" si="2"/>
        <v>-120</v>
      </c>
      <c r="T169" s="1">
        <f t="shared" si="3"/>
        <v>1.833333333</v>
      </c>
      <c r="U169" s="1">
        <f t="shared" si="4"/>
        <v>1</v>
      </c>
      <c r="V169" s="3">
        <f t="shared" si="5"/>
        <v>2</v>
      </c>
      <c r="W169" s="3">
        <f t="shared" si="6"/>
        <v>3</v>
      </c>
      <c r="X169" s="3" t="str">
        <f>IFERROR(__xludf.DUMMYFUNCTION("split(B169,"" "")"),"J.")</f>
        <v>J.</v>
      </c>
      <c r="Y169" s="3" t="str">
        <f>IFERROR(__xludf.DUMMYFUNCTION("""COMPUTED_VALUE"""),"Williams")</f>
        <v>Williams</v>
      </c>
      <c r="AA169" s="3">
        <v>13.0</v>
      </c>
      <c r="AB169" s="3">
        <f t="shared" si="7"/>
        <v>1</v>
      </c>
      <c r="AC169" s="3">
        <f t="shared" si="8"/>
        <v>1</v>
      </c>
      <c r="AD169" s="3">
        <f t="shared" si="9"/>
        <v>1.666666667</v>
      </c>
      <c r="AE169" s="3">
        <f t="shared" si="10"/>
        <v>1.666666667</v>
      </c>
      <c r="AF169" s="3">
        <f t="shared" si="11"/>
        <v>2.5</v>
      </c>
      <c r="AG169" s="3">
        <f t="shared" si="12"/>
        <v>2.714285714</v>
      </c>
    </row>
    <row r="170">
      <c r="A170" s="1" t="s">
        <v>8</v>
      </c>
      <c r="B170" s="1" t="s">
        <v>289</v>
      </c>
      <c r="C170" s="1" t="s">
        <v>19</v>
      </c>
      <c r="D170" s="1" t="s">
        <v>94</v>
      </c>
      <c r="E170" s="1" t="s">
        <v>93</v>
      </c>
      <c r="F170" s="1" t="s">
        <v>59</v>
      </c>
      <c r="G170" s="1">
        <v>11.5</v>
      </c>
      <c r="H170" s="1" t="s">
        <v>60</v>
      </c>
      <c r="I170" s="1">
        <v>-110.0</v>
      </c>
      <c r="J170" s="1">
        <v>-0.157466520376904</v>
      </c>
      <c r="K170" s="1" t="s">
        <v>61</v>
      </c>
      <c r="L170" s="1" t="s">
        <v>61</v>
      </c>
      <c r="M170" s="1" t="s">
        <v>62</v>
      </c>
      <c r="N170" s="1">
        <v>-120.0</v>
      </c>
      <c r="O170" s="1">
        <v>0.0881816506135455</v>
      </c>
      <c r="P170" s="1" t="s">
        <v>61</v>
      </c>
      <c r="Q170" s="1" t="s">
        <v>61</v>
      </c>
      <c r="R170" s="1">
        <f t="shared" si="1"/>
        <v>0.08818165061</v>
      </c>
      <c r="S170" s="1">
        <f t="shared" si="2"/>
        <v>-120</v>
      </c>
      <c r="T170" s="1">
        <f t="shared" si="3"/>
        <v>1.833333333</v>
      </c>
      <c r="U170" s="1">
        <f t="shared" si="4"/>
        <v>0</v>
      </c>
      <c r="V170" s="3">
        <f t="shared" si="5"/>
        <v>2</v>
      </c>
      <c r="W170" s="3">
        <f t="shared" si="6"/>
        <v>3</v>
      </c>
      <c r="X170" s="3" t="str">
        <f>IFERROR(__xludf.DUMMYFUNCTION("split(B170,"" "")"),"D.")</f>
        <v>D.</v>
      </c>
      <c r="Y170" s="3" t="str">
        <f>IFERROR(__xludf.DUMMYFUNCTION("""COMPUTED_VALUE"""),"Achane")</f>
        <v>Achane</v>
      </c>
      <c r="AA170" s="3">
        <v>10.0</v>
      </c>
      <c r="AB170" s="3">
        <f t="shared" si="7"/>
        <v>0</v>
      </c>
      <c r="AC170" s="3">
        <f t="shared" si="8"/>
        <v>1</v>
      </c>
      <c r="AD170" s="3">
        <f t="shared" si="9"/>
        <v>1.666666667</v>
      </c>
      <c r="AE170" s="3">
        <f t="shared" si="10"/>
        <v>1.666666667</v>
      </c>
      <c r="AF170" s="3">
        <f t="shared" si="11"/>
        <v>2.5</v>
      </c>
      <c r="AG170" s="3">
        <f t="shared" si="12"/>
        <v>0.1304347826</v>
      </c>
    </row>
    <row r="171">
      <c r="A171" s="1" t="s">
        <v>8</v>
      </c>
      <c r="B171" s="1" t="s">
        <v>127</v>
      </c>
      <c r="C171" s="1" t="s">
        <v>19</v>
      </c>
      <c r="D171" s="1" t="s">
        <v>83</v>
      </c>
      <c r="E171" s="1" t="s">
        <v>82</v>
      </c>
      <c r="F171" s="1" t="s">
        <v>84</v>
      </c>
      <c r="G171" s="1">
        <v>12.5</v>
      </c>
      <c r="H171" s="1" t="s">
        <v>60</v>
      </c>
      <c r="I171" s="1">
        <v>-110.0</v>
      </c>
      <c r="J171" s="1">
        <v>-0.144961403203047</v>
      </c>
      <c r="K171" s="1" t="s">
        <v>61</v>
      </c>
      <c r="L171" s="1" t="s">
        <v>61</v>
      </c>
      <c r="M171" s="1" t="s">
        <v>62</v>
      </c>
      <c r="N171" s="1">
        <v>-120.0</v>
      </c>
      <c r="O171" s="1">
        <v>0.0756903345780364</v>
      </c>
      <c r="P171" s="1" t="s">
        <v>61</v>
      </c>
      <c r="Q171" s="1" t="s">
        <v>61</v>
      </c>
      <c r="R171" s="1">
        <f t="shared" si="1"/>
        <v>0.07569033458</v>
      </c>
      <c r="S171" s="1">
        <f t="shared" si="2"/>
        <v>-120</v>
      </c>
      <c r="T171" s="1">
        <f t="shared" si="3"/>
        <v>1.833333333</v>
      </c>
      <c r="U171" s="1">
        <f t="shared" si="4"/>
        <v>0</v>
      </c>
      <c r="V171" s="3">
        <f t="shared" si="5"/>
        <v>2</v>
      </c>
      <c r="W171" s="3">
        <f t="shared" si="6"/>
        <v>3</v>
      </c>
      <c r="X171" s="3" t="str">
        <f>IFERROR(__xludf.DUMMYFUNCTION("split(B171,"" "")"),"J.")</f>
        <v>J.</v>
      </c>
      <c r="Y171" s="3" t="str">
        <f>IFERROR(__xludf.DUMMYFUNCTION("""COMPUTED_VALUE"""),"Williams")</f>
        <v>Williams</v>
      </c>
      <c r="AA171" s="3">
        <v>8.0</v>
      </c>
      <c r="AB171" s="3">
        <f t="shared" si="7"/>
        <v>0</v>
      </c>
      <c r="AC171" s="3">
        <f t="shared" si="8"/>
        <v>1</v>
      </c>
      <c r="AD171" s="3">
        <f t="shared" si="9"/>
        <v>1.666666667</v>
      </c>
      <c r="AE171" s="3">
        <f t="shared" si="10"/>
        <v>1.666666667</v>
      </c>
      <c r="AF171" s="3">
        <f t="shared" si="11"/>
        <v>2.5</v>
      </c>
      <c r="AG171" s="3">
        <f t="shared" si="12"/>
        <v>0.36</v>
      </c>
    </row>
    <row r="172">
      <c r="A172" s="1" t="s">
        <v>9</v>
      </c>
      <c r="B172" s="1" t="s">
        <v>291</v>
      </c>
      <c r="C172" s="1" t="s">
        <v>18</v>
      </c>
      <c r="D172" s="1" t="s">
        <v>165</v>
      </c>
      <c r="E172" s="1" t="s">
        <v>164</v>
      </c>
      <c r="F172" s="1" t="s">
        <v>166</v>
      </c>
      <c r="G172" s="1">
        <v>18.5</v>
      </c>
      <c r="H172" s="1" t="s">
        <v>60</v>
      </c>
      <c r="I172" s="1">
        <v>-120.0</v>
      </c>
      <c r="J172" s="1">
        <v>0.0556956767563415</v>
      </c>
      <c r="K172" s="1" t="s">
        <v>61</v>
      </c>
      <c r="L172" s="1" t="s">
        <v>61</v>
      </c>
      <c r="M172" s="1" t="s">
        <v>62</v>
      </c>
      <c r="N172" s="1">
        <v>-113.0</v>
      </c>
      <c r="O172" s="1">
        <v>-0.131675048082753</v>
      </c>
      <c r="P172" s="1" t="s">
        <v>61</v>
      </c>
      <c r="Q172" s="1" t="s">
        <v>61</v>
      </c>
      <c r="R172" s="1">
        <f t="shared" si="1"/>
        <v>0.05569567676</v>
      </c>
      <c r="S172" s="1">
        <f t="shared" si="2"/>
        <v>-120</v>
      </c>
      <c r="T172" s="1">
        <f t="shared" si="3"/>
        <v>1.833333333</v>
      </c>
      <c r="U172" s="1">
        <f t="shared" si="4"/>
        <v>1</v>
      </c>
      <c r="V172" s="3">
        <f t="shared" si="5"/>
        <v>2</v>
      </c>
      <c r="W172" s="3">
        <f t="shared" si="6"/>
        <v>3</v>
      </c>
      <c r="X172" s="3" t="str">
        <f>IFERROR(__xludf.DUMMYFUNCTION("split(B172,"" "")"),"A.")</f>
        <v>A.</v>
      </c>
      <c r="Y172" s="3" t="str">
        <f>IFERROR(__xludf.DUMMYFUNCTION("""COMPUTED_VALUE"""),"Lazard")</f>
        <v>Lazard</v>
      </c>
      <c r="AA172" s="3">
        <v>89.0</v>
      </c>
      <c r="AB172" s="3">
        <f t="shared" si="7"/>
        <v>1</v>
      </c>
      <c r="AC172" s="3">
        <f t="shared" si="8"/>
        <v>1</v>
      </c>
      <c r="AD172" s="3">
        <f t="shared" si="9"/>
        <v>1.666666667</v>
      </c>
      <c r="AE172" s="3">
        <f t="shared" si="10"/>
        <v>1.666666667</v>
      </c>
      <c r="AF172" s="3">
        <f t="shared" si="11"/>
        <v>2.5</v>
      </c>
      <c r="AG172" s="3">
        <f t="shared" si="12"/>
        <v>3.810810811</v>
      </c>
    </row>
    <row r="173">
      <c r="A173" s="1" t="s">
        <v>8</v>
      </c>
      <c r="B173" s="1" t="s">
        <v>293</v>
      </c>
      <c r="C173" s="1" t="s">
        <v>19</v>
      </c>
      <c r="D173" s="1" t="s">
        <v>67</v>
      </c>
      <c r="E173" s="1" t="s">
        <v>66</v>
      </c>
      <c r="F173" s="1" t="s">
        <v>59</v>
      </c>
      <c r="G173" s="1">
        <v>9.5</v>
      </c>
      <c r="H173" s="1" t="s">
        <v>60</v>
      </c>
      <c r="I173" s="1">
        <v>100.0</v>
      </c>
      <c r="J173" s="1">
        <v>-0.119745901483235</v>
      </c>
      <c r="K173" s="1" t="s">
        <v>61</v>
      </c>
      <c r="L173" s="1" t="s">
        <v>61</v>
      </c>
      <c r="M173" s="1" t="s">
        <v>62</v>
      </c>
      <c r="N173" s="1">
        <v>-130.0</v>
      </c>
      <c r="O173" s="1">
        <v>0.0545344973288742</v>
      </c>
      <c r="P173" s="1" t="s">
        <v>61</v>
      </c>
      <c r="Q173" s="1" t="s">
        <v>61</v>
      </c>
      <c r="R173" s="1">
        <f t="shared" si="1"/>
        <v>0.05453449733</v>
      </c>
      <c r="S173" s="1">
        <f t="shared" si="2"/>
        <v>-130</v>
      </c>
      <c r="T173" s="1">
        <f t="shared" si="3"/>
        <v>1.769230769</v>
      </c>
      <c r="U173" s="1">
        <f t="shared" si="4"/>
        <v>0</v>
      </c>
      <c r="V173" s="3">
        <f t="shared" si="5"/>
        <v>2</v>
      </c>
      <c r="W173" s="3">
        <f t="shared" si="6"/>
        <v>3</v>
      </c>
      <c r="X173" s="3" t="str">
        <f>IFERROR(__xludf.DUMMYFUNCTION("split(B173,"" "")"),"C.")</f>
        <v>C.</v>
      </c>
      <c r="Y173" s="3" t="str">
        <f>IFERROR(__xludf.DUMMYFUNCTION("""COMPUTED_VALUE"""),"Brown")</f>
        <v>Brown</v>
      </c>
      <c r="AA173" s="3">
        <v>3.0</v>
      </c>
      <c r="AB173" s="3">
        <f t="shared" si="7"/>
        <v>0</v>
      </c>
      <c r="AC173" s="3">
        <f t="shared" si="8"/>
        <v>1</v>
      </c>
      <c r="AD173" s="3">
        <f t="shared" si="9"/>
        <v>1.538461538</v>
      </c>
      <c r="AE173" s="3">
        <f t="shared" si="10"/>
        <v>1.538461538</v>
      </c>
      <c r="AF173" s="3">
        <f t="shared" si="11"/>
        <v>2.307692308</v>
      </c>
      <c r="AG173" s="3">
        <f t="shared" si="12"/>
        <v>0.6842105263</v>
      </c>
    </row>
    <row r="174">
      <c r="A174" s="1" t="s">
        <v>15</v>
      </c>
      <c r="B174" s="1" t="s">
        <v>56</v>
      </c>
      <c r="C174" s="1" t="s">
        <v>21</v>
      </c>
      <c r="D174" s="1" t="s">
        <v>57</v>
      </c>
      <c r="E174" s="1" t="s">
        <v>58</v>
      </c>
      <c r="F174" s="1" t="s">
        <v>59</v>
      </c>
      <c r="G174" s="1">
        <v>19.5</v>
      </c>
      <c r="H174" s="1" t="s">
        <v>60</v>
      </c>
      <c r="I174" s="1">
        <v>-102.0</v>
      </c>
      <c r="J174" s="1">
        <v>-0.147349860495049</v>
      </c>
      <c r="K174" s="1" t="s">
        <v>61</v>
      </c>
      <c r="L174" s="1" t="s">
        <v>61</v>
      </c>
      <c r="M174" s="1" t="s">
        <v>62</v>
      </c>
      <c r="N174" s="1">
        <v>-131.0</v>
      </c>
      <c r="O174" s="1">
        <v>0.0752997059922078</v>
      </c>
      <c r="P174" s="1" t="s">
        <v>61</v>
      </c>
      <c r="Q174" s="1" t="s">
        <v>61</v>
      </c>
      <c r="R174" s="1">
        <f t="shared" si="1"/>
        <v>0.07529970599</v>
      </c>
      <c r="S174" s="1">
        <f t="shared" si="2"/>
        <v>-131</v>
      </c>
      <c r="T174" s="1">
        <f t="shared" si="3"/>
        <v>1.763358779</v>
      </c>
      <c r="U174" s="1">
        <f t="shared" si="4"/>
        <v>0</v>
      </c>
      <c r="V174" s="3">
        <f t="shared" si="5"/>
        <v>2</v>
      </c>
      <c r="W174" s="3">
        <f t="shared" si="6"/>
        <v>3</v>
      </c>
      <c r="X174" s="3" t="str">
        <f>IFERROR(__xludf.DUMMYFUNCTION("split(B174,"" "")"),"B.")</f>
        <v>B.</v>
      </c>
      <c r="Y174" s="3" t="str">
        <f>IFERROR(__xludf.DUMMYFUNCTION("""COMPUTED_VALUE"""),"Young")</f>
        <v>Young</v>
      </c>
      <c r="AA174" s="3">
        <v>13.0</v>
      </c>
      <c r="AB174" s="3">
        <f t="shared" si="7"/>
        <v>0</v>
      </c>
      <c r="AC174" s="3">
        <f t="shared" si="8"/>
        <v>1</v>
      </c>
      <c r="AD174" s="3">
        <f t="shared" si="9"/>
        <v>1.526717557</v>
      </c>
      <c r="AE174" s="3">
        <f t="shared" si="10"/>
        <v>1.526717557</v>
      </c>
      <c r="AF174" s="3">
        <f t="shared" si="11"/>
        <v>2.290076336</v>
      </c>
      <c r="AG174" s="3">
        <f t="shared" si="12"/>
        <v>0.3333333333</v>
      </c>
    </row>
    <row r="175">
      <c r="A175" s="1" t="s">
        <v>8</v>
      </c>
      <c r="B175" s="1" t="s">
        <v>280</v>
      </c>
      <c r="C175" s="1" t="s">
        <v>19</v>
      </c>
      <c r="D175" s="1" t="s">
        <v>94</v>
      </c>
      <c r="E175" s="1" t="s">
        <v>93</v>
      </c>
      <c r="F175" s="1" t="s">
        <v>59</v>
      </c>
      <c r="G175" s="1">
        <v>10.5</v>
      </c>
      <c r="H175" s="1" t="s">
        <v>60</v>
      </c>
      <c r="I175" s="1">
        <v>100.0</v>
      </c>
      <c r="J175" s="1">
        <v>-0.142849956968204</v>
      </c>
      <c r="K175" s="1" t="s">
        <v>61</v>
      </c>
      <c r="L175" s="1" t="s">
        <v>61</v>
      </c>
      <c r="M175" s="1" t="s">
        <v>62</v>
      </c>
      <c r="N175" s="1">
        <v>-133.0</v>
      </c>
      <c r="O175" s="1">
        <v>0.0720132555946031</v>
      </c>
      <c r="P175" s="1" t="s">
        <v>61</v>
      </c>
      <c r="Q175" s="1" t="s">
        <v>61</v>
      </c>
      <c r="R175" s="1">
        <f t="shared" si="1"/>
        <v>0.07201325559</v>
      </c>
      <c r="S175" s="1">
        <f t="shared" si="2"/>
        <v>-133</v>
      </c>
      <c r="T175" s="1">
        <f t="shared" si="3"/>
        <v>1.751879699</v>
      </c>
      <c r="U175" s="1">
        <f t="shared" si="4"/>
        <v>0</v>
      </c>
      <c r="V175" s="3">
        <f t="shared" si="5"/>
        <v>2</v>
      </c>
      <c r="W175" s="3">
        <f t="shared" si="6"/>
        <v>3</v>
      </c>
      <c r="X175" s="3" t="str">
        <f>IFERROR(__xludf.DUMMYFUNCTION("split(B175,"" "")"),"R.")</f>
        <v>R.</v>
      </c>
      <c r="Y175" s="3" t="str">
        <f>IFERROR(__xludf.DUMMYFUNCTION("""COMPUTED_VALUE"""),"Mostert")</f>
        <v>Mostert</v>
      </c>
      <c r="AA175" s="3">
        <v>6.0</v>
      </c>
      <c r="AB175" s="3">
        <f t="shared" si="7"/>
        <v>0</v>
      </c>
      <c r="AC175" s="3">
        <f t="shared" si="8"/>
        <v>1</v>
      </c>
      <c r="AD175" s="3">
        <f t="shared" si="9"/>
        <v>1.503759398</v>
      </c>
      <c r="AE175" s="3">
        <f t="shared" si="10"/>
        <v>1.503759398</v>
      </c>
      <c r="AF175" s="3">
        <f t="shared" si="11"/>
        <v>2.255639098</v>
      </c>
      <c r="AG175" s="3">
        <f t="shared" si="12"/>
        <v>0.4285714286</v>
      </c>
    </row>
    <row r="176">
      <c r="A176" s="1" t="s">
        <v>12</v>
      </c>
      <c r="B176" s="1" t="s">
        <v>295</v>
      </c>
      <c r="C176" s="1" t="s">
        <v>18</v>
      </c>
      <c r="D176" s="1" t="s">
        <v>76</v>
      </c>
      <c r="E176" s="1" t="s">
        <v>77</v>
      </c>
      <c r="F176" s="1" t="s">
        <v>78</v>
      </c>
      <c r="G176" s="1">
        <v>3.5</v>
      </c>
      <c r="H176" s="1" t="s">
        <v>60</v>
      </c>
      <c r="I176" s="1">
        <v>-101.0</v>
      </c>
      <c r="J176" s="6">
        <v>-0.140637313432835</v>
      </c>
      <c r="K176" s="1" t="s">
        <v>61</v>
      </c>
      <c r="L176" s="1" t="s">
        <v>61</v>
      </c>
      <c r="M176" s="1" t="s">
        <v>62</v>
      </c>
      <c r="N176" s="1">
        <v>-133.0</v>
      </c>
      <c r="O176" s="6">
        <v>0.0673416309012876</v>
      </c>
      <c r="P176" s="1" t="s">
        <v>61</v>
      </c>
      <c r="Q176" s="1" t="s">
        <v>61</v>
      </c>
      <c r="R176" s="6">
        <f t="shared" si="1"/>
        <v>0.0673416309</v>
      </c>
      <c r="S176" s="1">
        <f t="shared" si="2"/>
        <v>-133</v>
      </c>
      <c r="T176" s="1">
        <f t="shared" si="3"/>
        <v>1.751879699</v>
      </c>
      <c r="U176" s="1">
        <f t="shared" si="4"/>
        <v>0</v>
      </c>
      <c r="V176" s="3">
        <f t="shared" si="5"/>
        <v>2</v>
      </c>
      <c r="W176" s="3">
        <f t="shared" si="6"/>
        <v>3</v>
      </c>
      <c r="X176" s="3" t="str">
        <f>IFERROR(__xludf.DUMMYFUNCTION("split(B176,"" "")"),"X.")</f>
        <v>X.</v>
      </c>
      <c r="Y176" s="3" t="str">
        <f>IFERROR(__xludf.DUMMYFUNCTION("""COMPUTED_VALUE"""),"Worthy")</f>
        <v>Worthy</v>
      </c>
      <c r="AA176" s="3">
        <v>2.0</v>
      </c>
      <c r="AB176" s="3">
        <f t="shared" si="7"/>
        <v>0</v>
      </c>
      <c r="AC176" s="3">
        <f t="shared" si="8"/>
        <v>1</v>
      </c>
      <c r="AD176" s="3">
        <f t="shared" si="9"/>
        <v>1.503759398</v>
      </c>
      <c r="AE176" s="3">
        <f t="shared" si="10"/>
        <v>1.503759398</v>
      </c>
      <c r="AF176" s="3">
        <f t="shared" si="11"/>
        <v>2.255639098</v>
      </c>
      <c r="AG176" s="3">
        <f t="shared" si="12"/>
        <v>0.4285714286</v>
      </c>
    </row>
    <row r="177">
      <c r="A177" s="1" t="s">
        <v>8</v>
      </c>
      <c r="B177" s="1" t="s">
        <v>297</v>
      </c>
      <c r="C177" s="1" t="s">
        <v>21</v>
      </c>
      <c r="D177" s="1" t="s">
        <v>157</v>
      </c>
      <c r="E177" s="1" t="s">
        <v>156</v>
      </c>
      <c r="F177" s="1" t="s">
        <v>158</v>
      </c>
      <c r="G177" s="1">
        <v>2.5</v>
      </c>
      <c r="H177" s="1" t="s">
        <v>60</v>
      </c>
      <c r="I177" s="1">
        <v>101.0</v>
      </c>
      <c r="J177" s="6">
        <v>-0.133053405696769</v>
      </c>
      <c r="K177" s="1" t="s">
        <v>61</v>
      </c>
      <c r="L177" s="1" t="s">
        <v>61</v>
      </c>
      <c r="M177" s="1" t="s">
        <v>62</v>
      </c>
      <c r="N177" s="1">
        <v>-133.0</v>
      </c>
      <c r="O177" s="6">
        <v>0.064731088024975</v>
      </c>
      <c r="P177" s="1" t="s">
        <v>61</v>
      </c>
      <c r="Q177" s="1" t="s">
        <v>61</v>
      </c>
      <c r="R177" s="6">
        <f t="shared" si="1"/>
        <v>0.06473108802</v>
      </c>
      <c r="S177" s="1">
        <f t="shared" si="2"/>
        <v>-133</v>
      </c>
      <c r="T177" s="1">
        <f t="shared" si="3"/>
        <v>1.751879699</v>
      </c>
      <c r="U177" s="1">
        <f t="shared" si="4"/>
        <v>0</v>
      </c>
      <c r="V177" s="3">
        <f t="shared" si="5"/>
        <v>2</v>
      </c>
      <c r="W177" s="3">
        <f t="shared" si="6"/>
        <v>3</v>
      </c>
      <c r="X177" s="3" t="str">
        <f>IFERROR(__xludf.DUMMYFUNCTION("split(B177,"" "")"),"J.")</f>
        <v>J.</v>
      </c>
      <c r="Y177" s="3" t="str">
        <f>IFERROR(__xludf.DUMMYFUNCTION("""COMPUTED_VALUE"""),"Love")</f>
        <v>Love</v>
      </c>
      <c r="AA177" s="3">
        <v>0.0</v>
      </c>
      <c r="AB177" s="3">
        <f t="shared" si="7"/>
        <v>0</v>
      </c>
      <c r="AC177" s="3">
        <f t="shared" si="8"/>
        <v>1</v>
      </c>
      <c r="AD177" s="3">
        <f t="shared" si="9"/>
        <v>1.503759398</v>
      </c>
      <c r="AE177" s="3">
        <f t="shared" si="10"/>
        <v>1.503759398</v>
      </c>
      <c r="AF177" s="3">
        <f t="shared" si="11"/>
        <v>2.255639098</v>
      </c>
      <c r="AG177" s="3">
        <f t="shared" si="12"/>
        <v>1</v>
      </c>
    </row>
    <row r="178">
      <c r="A178" s="1" t="s">
        <v>12</v>
      </c>
      <c r="B178" s="1" t="s">
        <v>299</v>
      </c>
      <c r="C178" s="1" t="s">
        <v>18</v>
      </c>
      <c r="D178" s="1" t="s">
        <v>89</v>
      </c>
      <c r="E178" s="1" t="s">
        <v>88</v>
      </c>
      <c r="F178" s="1" t="s">
        <v>90</v>
      </c>
      <c r="G178" s="1">
        <v>3.5</v>
      </c>
      <c r="H178" s="1" t="s">
        <v>60</v>
      </c>
      <c r="I178" s="1">
        <v>102.0</v>
      </c>
      <c r="J178" s="1">
        <v>-0.14819900990099</v>
      </c>
      <c r="K178" s="1" t="s">
        <v>61</v>
      </c>
      <c r="L178" s="1" t="s">
        <v>61</v>
      </c>
      <c r="M178" s="1" t="s">
        <v>62</v>
      </c>
      <c r="N178" s="1">
        <v>-135.0</v>
      </c>
      <c r="O178" s="1">
        <v>0.0786744680851063</v>
      </c>
      <c r="P178" s="1" t="s">
        <v>61</v>
      </c>
      <c r="Q178" s="1" t="s">
        <v>61</v>
      </c>
      <c r="R178" s="1">
        <f t="shared" si="1"/>
        <v>0.07867446809</v>
      </c>
      <c r="S178" s="1">
        <f t="shared" si="2"/>
        <v>-135</v>
      </c>
      <c r="T178" s="1">
        <f t="shared" si="3"/>
        <v>1.740740741</v>
      </c>
      <c r="U178" s="1">
        <f t="shared" si="4"/>
        <v>0</v>
      </c>
      <c r="V178" s="3">
        <f t="shared" si="5"/>
        <v>2</v>
      </c>
      <c r="W178" s="3">
        <f t="shared" si="6"/>
        <v>3</v>
      </c>
      <c r="X178" s="3" t="str">
        <f>IFERROR(__xludf.DUMMYFUNCTION("split(B178,"" "")"),"J.")</f>
        <v>J.</v>
      </c>
      <c r="Y178" s="3" t="str">
        <f>IFERROR(__xludf.DUMMYFUNCTION("""COMPUTED_VALUE"""),"Jeudy")</f>
        <v>Jeudy</v>
      </c>
      <c r="AA178" s="3">
        <v>3.0</v>
      </c>
      <c r="AB178" s="3">
        <f t="shared" si="7"/>
        <v>0</v>
      </c>
      <c r="AC178" s="3">
        <f t="shared" si="8"/>
        <v>1</v>
      </c>
      <c r="AD178" s="3">
        <f t="shared" si="9"/>
        <v>1.481481481</v>
      </c>
      <c r="AE178" s="3">
        <f t="shared" si="10"/>
        <v>1.481481481</v>
      </c>
      <c r="AF178" s="3">
        <f t="shared" si="11"/>
        <v>2.222222222</v>
      </c>
      <c r="AG178" s="3">
        <f t="shared" si="12"/>
        <v>0.1428571429</v>
      </c>
    </row>
    <row r="179">
      <c r="A179" s="1" t="s">
        <v>8</v>
      </c>
      <c r="B179" s="1" t="s">
        <v>301</v>
      </c>
      <c r="C179" s="1" t="s">
        <v>19</v>
      </c>
      <c r="D179" s="1" t="s">
        <v>100</v>
      </c>
      <c r="E179" s="1" t="s">
        <v>99</v>
      </c>
      <c r="F179" s="1" t="s">
        <v>59</v>
      </c>
      <c r="G179" s="1">
        <v>8.5</v>
      </c>
      <c r="H179" s="1" t="s">
        <v>60</v>
      </c>
      <c r="I179" s="1">
        <v>102.0</v>
      </c>
      <c r="J179" s="1">
        <v>-0.130697301462462</v>
      </c>
      <c r="K179" s="1" t="s">
        <v>61</v>
      </c>
      <c r="L179" s="1" t="s">
        <v>61</v>
      </c>
      <c r="M179" s="1" t="s">
        <v>62</v>
      </c>
      <c r="N179" s="1">
        <v>-135.0</v>
      </c>
      <c r="O179" s="1">
        <v>0.0611725244422755</v>
      </c>
      <c r="P179" s="1" t="s">
        <v>61</v>
      </c>
      <c r="Q179" s="1" t="s">
        <v>61</v>
      </c>
      <c r="R179" s="1">
        <f t="shared" si="1"/>
        <v>0.06117252444</v>
      </c>
      <c r="S179" s="1">
        <f t="shared" si="2"/>
        <v>-135</v>
      </c>
      <c r="T179" s="1">
        <f t="shared" si="3"/>
        <v>1.740740741</v>
      </c>
      <c r="U179" s="1">
        <f t="shared" si="4"/>
        <v>0</v>
      </c>
      <c r="V179" s="3">
        <f t="shared" si="5"/>
        <v>2</v>
      </c>
      <c r="W179" s="3">
        <f t="shared" si="6"/>
        <v>3</v>
      </c>
      <c r="X179" s="3" t="str">
        <f>IFERROR(__xludf.DUMMYFUNCTION("split(B179,"" "")"),"T.")</f>
        <v>T.</v>
      </c>
      <c r="Y179" s="3" t="str">
        <f>IFERROR(__xludf.DUMMYFUNCTION("""COMPUTED_VALUE"""),"Spears")</f>
        <v>Spears</v>
      </c>
      <c r="AA179" s="3">
        <v>4.0</v>
      </c>
      <c r="AB179" s="3">
        <f t="shared" si="7"/>
        <v>0</v>
      </c>
      <c r="AC179" s="3">
        <f t="shared" si="8"/>
        <v>1</v>
      </c>
      <c r="AD179" s="3">
        <f t="shared" si="9"/>
        <v>1.481481481</v>
      </c>
      <c r="AE179" s="3">
        <f t="shared" si="10"/>
        <v>1.481481481</v>
      </c>
      <c r="AF179" s="3">
        <f t="shared" si="11"/>
        <v>2.222222222</v>
      </c>
      <c r="AG179" s="3">
        <f t="shared" si="12"/>
        <v>0.5294117647</v>
      </c>
    </row>
    <row r="180">
      <c r="A180" s="1" t="s">
        <v>12</v>
      </c>
      <c r="B180" s="1" t="s">
        <v>303</v>
      </c>
      <c r="C180" s="1" t="s">
        <v>18</v>
      </c>
      <c r="D180" s="1" t="s">
        <v>165</v>
      </c>
      <c r="E180" s="1" t="s">
        <v>164</v>
      </c>
      <c r="F180" s="1" t="s">
        <v>166</v>
      </c>
      <c r="G180" s="1">
        <v>2.5</v>
      </c>
      <c r="H180" s="1" t="s">
        <v>60</v>
      </c>
      <c r="I180" s="1">
        <v>105.0</v>
      </c>
      <c r="J180" s="1">
        <v>-0.115951108009756</v>
      </c>
      <c r="K180" s="1" t="s">
        <v>61</v>
      </c>
      <c r="L180" s="1" t="s">
        <v>61</v>
      </c>
      <c r="M180" s="1" t="s">
        <v>62</v>
      </c>
      <c r="N180" s="1">
        <v>-136.0</v>
      </c>
      <c r="O180" s="1">
        <v>0.0518683168406778</v>
      </c>
      <c r="P180" s="1" t="s">
        <v>61</v>
      </c>
      <c r="Q180" s="1" t="s">
        <v>61</v>
      </c>
      <c r="R180" s="1">
        <f t="shared" si="1"/>
        <v>0.05186831684</v>
      </c>
      <c r="S180" s="1">
        <f t="shared" si="2"/>
        <v>-136</v>
      </c>
      <c r="T180" s="1">
        <f t="shared" si="3"/>
        <v>1.735294118</v>
      </c>
      <c r="U180" s="1">
        <f t="shared" si="4"/>
        <v>0</v>
      </c>
      <c r="V180" s="3">
        <f t="shared" si="5"/>
        <v>2</v>
      </c>
      <c r="W180" s="3">
        <f t="shared" si="6"/>
        <v>3</v>
      </c>
      <c r="X180" s="3" t="str">
        <f>IFERROR(__xludf.DUMMYFUNCTION("split(B180,"" "")"),"M.")</f>
        <v>M.</v>
      </c>
      <c r="Y180" s="3" t="str">
        <f>IFERROR(__xludf.DUMMYFUNCTION("""COMPUTED_VALUE"""),"Williams")</f>
        <v>Williams</v>
      </c>
      <c r="AA180" s="3">
        <v>0.0</v>
      </c>
      <c r="AB180" s="3">
        <f t="shared" si="7"/>
        <v>0</v>
      </c>
      <c r="AC180" s="3">
        <f t="shared" si="8"/>
        <v>1</v>
      </c>
      <c r="AD180" s="3">
        <f t="shared" si="9"/>
        <v>1.470588235</v>
      </c>
      <c r="AE180" s="3">
        <f t="shared" si="10"/>
        <v>1.470588235</v>
      </c>
      <c r="AF180" s="3">
        <f t="shared" si="11"/>
        <v>2.205882353</v>
      </c>
      <c r="AG180" s="3">
        <f t="shared" si="12"/>
        <v>1</v>
      </c>
    </row>
    <row r="181">
      <c r="A181" s="1" t="s">
        <v>12</v>
      </c>
      <c r="B181" s="1" t="s">
        <v>304</v>
      </c>
      <c r="C181" s="1" t="s">
        <v>19</v>
      </c>
      <c r="D181" s="1" t="s">
        <v>146</v>
      </c>
      <c r="E181" s="1" t="s">
        <v>147</v>
      </c>
      <c r="F181" s="1" t="s">
        <v>59</v>
      </c>
      <c r="G181" s="1">
        <v>2.5</v>
      </c>
      <c r="H181" s="1" t="s">
        <v>60</v>
      </c>
      <c r="I181" s="1">
        <v>107.0</v>
      </c>
      <c r="J181" s="1">
        <v>-0.144341676680676</v>
      </c>
      <c r="K181" s="1" t="s">
        <v>61</v>
      </c>
      <c r="L181" s="1" t="s">
        <v>61</v>
      </c>
      <c r="M181" s="1" t="s">
        <v>62</v>
      </c>
      <c r="N181" s="1">
        <v>-140.0</v>
      </c>
      <c r="O181" s="1">
        <v>0.0779229669083333</v>
      </c>
      <c r="P181" s="1" t="s">
        <v>61</v>
      </c>
      <c r="Q181" s="1" t="s">
        <v>61</v>
      </c>
      <c r="R181" s="1">
        <f t="shared" si="1"/>
        <v>0.07792296691</v>
      </c>
      <c r="S181" s="1">
        <f t="shared" si="2"/>
        <v>-140</v>
      </c>
      <c r="T181" s="1">
        <f t="shared" si="3"/>
        <v>1.714285714</v>
      </c>
      <c r="U181" s="1">
        <f t="shared" si="4"/>
        <v>0</v>
      </c>
      <c r="V181" s="3">
        <f t="shared" si="5"/>
        <v>2</v>
      </c>
      <c r="W181" s="3">
        <f t="shared" si="6"/>
        <v>3</v>
      </c>
      <c r="X181" s="3" t="str">
        <f>IFERROR(__xludf.DUMMYFUNCTION("split(B181,"" "")"),"A.")</f>
        <v>A.</v>
      </c>
      <c r="Y181" s="3" t="str">
        <f>IFERROR(__xludf.DUMMYFUNCTION("""COMPUTED_VALUE"""),"Jones")</f>
        <v>Jones</v>
      </c>
      <c r="AA181" s="3">
        <v>2.0</v>
      </c>
      <c r="AB181" s="3">
        <f t="shared" si="7"/>
        <v>0</v>
      </c>
      <c r="AC181" s="3">
        <f t="shared" si="8"/>
        <v>1</v>
      </c>
      <c r="AD181" s="3">
        <f t="shared" si="9"/>
        <v>1.428571429</v>
      </c>
      <c r="AE181" s="3">
        <f t="shared" si="10"/>
        <v>1.428571429</v>
      </c>
      <c r="AF181" s="3">
        <f t="shared" si="11"/>
        <v>2.142857143</v>
      </c>
      <c r="AG181" s="3">
        <f t="shared" si="12"/>
        <v>0.2</v>
      </c>
    </row>
    <row r="182">
      <c r="A182" s="1" t="s">
        <v>8</v>
      </c>
      <c r="B182" s="1" t="s">
        <v>214</v>
      </c>
      <c r="C182" s="1" t="s">
        <v>21</v>
      </c>
      <c r="D182" s="1" t="s">
        <v>110</v>
      </c>
      <c r="E182" s="1" t="s">
        <v>109</v>
      </c>
      <c r="F182" s="1" t="s">
        <v>59</v>
      </c>
      <c r="G182" s="1">
        <v>4.5</v>
      </c>
      <c r="H182" s="1" t="s">
        <v>60</v>
      </c>
      <c r="I182" s="1">
        <v>105.0</v>
      </c>
      <c r="J182" s="1">
        <v>-0.13229287110147</v>
      </c>
      <c r="K182" s="1" t="s">
        <v>61</v>
      </c>
      <c r="L182" s="1" t="s">
        <v>61</v>
      </c>
      <c r="M182" s="1" t="s">
        <v>62</v>
      </c>
      <c r="N182" s="1">
        <v>-140.0</v>
      </c>
      <c r="O182" s="1">
        <v>0.0611391031988967</v>
      </c>
      <c r="P182" s="1" t="s">
        <v>61</v>
      </c>
      <c r="Q182" s="1" t="s">
        <v>61</v>
      </c>
      <c r="R182" s="1">
        <f t="shared" si="1"/>
        <v>0.0611391032</v>
      </c>
      <c r="S182" s="1">
        <f t="shared" si="2"/>
        <v>-140</v>
      </c>
      <c r="T182" s="1">
        <f t="shared" si="3"/>
        <v>1.714285714</v>
      </c>
      <c r="U182" s="1">
        <f t="shared" si="4"/>
        <v>0</v>
      </c>
      <c r="V182" s="3">
        <f t="shared" si="5"/>
        <v>2</v>
      </c>
      <c r="W182" s="3">
        <f t="shared" si="6"/>
        <v>3</v>
      </c>
      <c r="X182" s="3" t="str">
        <f>IFERROR(__xludf.DUMMYFUNCTION("split(B182,"" "")"),"R.")</f>
        <v>R.</v>
      </c>
      <c r="Y182" s="3" t="str">
        <f>IFERROR(__xludf.DUMMYFUNCTION("""COMPUTED_VALUE"""),"Wilson")</f>
        <v>Wilson</v>
      </c>
      <c r="AA182" s="3">
        <v>0.0</v>
      </c>
      <c r="AB182" s="3">
        <f t="shared" si="7"/>
        <v>0</v>
      </c>
      <c r="AC182" s="3">
        <f t="shared" si="8"/>
        <v>1</v>
      </c>
      <c r="AD182" s="3">
        <f t="shared" si="9"/>
        <v>1.428571429</v>
      </c>
      <c r="AE182" s="3">
        <f t="shared" si="10"/>
        <v>1.428571429</v>
      </c>
      <c r="AF182" s="3">
        <f t="shared" si="11"/>
        <v>2.142857143</v>
      </c>
      <c r="AG182" s="3">
        <f t="shared" si="12"/>
        <v>1</v>
      </c>
    </row>
    <row r="183">
      <c r="A183" s="1" t="s">
        <v>12</v>
      </c>
      <c r="B183" s="1" t="s">
        <v>305</v>
      </c>
      <c r="C183" s="1" t="s">
        <v>20</v>
      </c>
      <c r="D183" s="1" t="s">
        <v>165</v>
      </c>
      <c r="E183" s="1" t="s">
        <v>164</v>
      </c>
      <c r="F183" s="1" t="s">
        <v>166</v>
      </c>
      <c r="G183" s="1">
        <v>3.5</v>
      </c>
      <c r="H183" s="1" t="s">
        <v>60</v>
      </c>
      <c r="I183" s="1">
        <v>109.0</v>
      </c>
      <c r="J183" s="1">
        <v>-0.146616746411483</v>
      </c>
      <c r="K183" s="1" t="s">
        <v>61</v>
      </c>
      <c r="L183" s="1" t="s">
        <v>61</v>
      </c>
      <c r="M183" s="1" t="s">
        <v>62</v>
      </c>
      <c r="N183" s="1">
        <v>-143.0</v>
      </c>
      <c r="O183" s="1">
        <v>0.0796637860082302</v>
      </c>
      <c r="P183" s="1" t="s">
        <v>61</v>
      </c>
      <c r="Q183" s="1" t="s">
        <v>61</v>
      </c>
      <c r="R183" s="1">
        <f t="shared" si="1"/>
        <v>0.07966378601</v>
      </c>
      <c r="S183" s="1">
        <f t="shared" si="2"/>
        <v>-143</v>
      </c>
      <c r="T183" s="1">
        <f t="shared" si="3"/>
        <v>1.699300699</v>
      </c>
      <c r="U183" s="1">
        <f t="shared" si="4"/>
        <v>0</v>
      </c>
      <c r="V183" s="3">
        <f t="shared" si="5"/>
        <v>2</v>
      </c>
      <c r="W183" s="3">
        <f t="shared" si="6"/>
        <v>3</v>
      </c>
      <c r="X183" s="3" t="str">
        <f>IFERROR(__xludf.DUMMYFUNCTION("split(B183,"" "")"),"T.")</f>
        <v>T.</v>
      </c>
      <c r="Y183" s="3" t="str">
        <f>IFERROR(__xludf.DUMMYFUNCTION("""COMPUTED_VALUE"""),"Conklin")</f>
        <v>Conklin</v>
      </c>
      <c r="AA183" s="3">
        <v>1.0</v>
      </c>
      <c r="AB183" s="3">
        <f t="shared" si="7"/>
        <v>0</v>
      </c>
      <c r="AC183" s="3">
        <f t="shared" si="8"/>
        <v>1</v>
      </c>
      <c r="AD183" s="3">
        <f t="shared" si="9"/>
        <v>1.398601399</v>
      </c>
      <c r="AE183" s="3">
        <f t="shared" si="10"/>
        <v>1.398601399</v>
      </c>
      <c r="AF183" s="3">
        <f t="shared" si="11"/>
        <v>2.097902098</v>
      </c>
      <c r="AG183" s="3">
        <f t="shared" si="12"/>
        <v>0.7142857143</v>
      </c>
    </row>
    <row r="184">
      <c r="A184" s="1" t="s">
        <v>8</v>
      </c>
      <c r="B184" s="1" t="s">
        <v>75</v>
      </c>
      <c r="C184" s="1" t="s">
        <v>21</v>
      </c>
      <c r="D184" s="1" t="s">
        <v>76</v>
      </c>
      <c r="E184" s="1" t="s">
        <v>77</v>
      </c>
      <c r="F184" s="1" t="s">
        <v>78</v>
      </c>
      <c r="G184" s="1">
        <v>4.5</v>
      </c>
      <c r="H184" s="1" t="s">
        <v>60</v>
      </c>
      <c r="I184" s="1">
        <v>108.0</v>
      </c>
      <c r="J184" s="6">
        <v>-0.130564018471276</v>
      </c>
      <c r="K184" s="1" t="s">
        <v>61</v>
      </c>
      <c r="L184" s="1" t="s">
        <v>61</v>
      </c>
      <c r="M184" s="1" t="s">
        <v>62</v>
      </c>
      <c r="N184" s="1">
        <v>-144.0</v>
      </c>
      <c r="O184" s="6">
        <v>0.0596438024154403</v>
      </c>
      <c r="P184" s="1" t="s">
        <v>61</v>
      </c>
      <c r="Q184" s="1" t="s">
        <v>61</v>
      </c>
      <c r="R184" s="6">
        <f t="shared" si="1"/>
        <v>0.05964380242</v>
      </c>
      <c r="S184" s="1">
        <f t="shared" si="2"/>
        <v>-144</v>
      </c>
      <c r="T184" s="1">
        <f t="shared" si="3"/>
        <v>1.694444444</v>
      </c>
      <c r="U184" s="1">
        <f t="shared" si="4"/>
        <v>0</v>
      </c>
      <c r="V184" s="3">
        <f t="shared" si="5"/>
        <v>2</v>
      </c>
      <c r="W184" s="3">
        <f t="shared" si="6"/>
        <v>3</v>
      </c>
      <c r="X184" s="3" t="str">
        <f>IFERROR(__xludf.DUMMYFUNCTION("split(B184,"" "")"),"P.")</f>
        <v>P.</v>
      </c>
      <c r="Y184" s="3" t="str">
        <f>IFERROR(__xludf.DUMMYFUNCTION("""COMPUTED_VALUE"""),"Mahomes")</f>
        <v>Mahomes</v>
      </c>
      <c r="AA184" s="3">
        <v>2.0</v>
      </c>
      <c r="AB184" s="3">
        <f t="shared" si="7"/>
        <v>0</v>
      </c>
      <c r="AC184" s="3">
        <f t="shared" si="8"/>
        <v>1</v>
      </c>
      <c r="AD184" s="3">
        <f t="shared" si="9"/>
        <v>1.388888889</v>
      </c>
      <c r="AE184" s="3">
        <f t="shared" si="10"/>
        <v>1.388888889</v>
      </c>
      <c r="AF184" s="3">
        <f t="shared" si="11"/>
        <v>2.083333333</v>
      </c>
      <c r="AG184" s="3">
        <f t="shared" si="12"/>
        <v>0.5555555556</v>
      </c>
    </row>
    <row r="185">
      <c r="A185" s="1" t="s">
        <v>12</v>
      </c>
      <c r="B185" s="1" t="s">
        <v>307</v>
      </c>
      <c r="C185" s="1" t="s">
        <v>18</v>
      </c>
      <c r="D185" s="1" t="s">
        <v>113</v>
      </c>
      <c r="E185" s="1" t="s">
        <v>114</v>
      </c>
      <c r="F185" s="1" t="s">
        <v>90</v>
      </c>
      <c r="G185" s="1">
        <v>2.5</v>
      </c>
      <c r="H185" s="1" t="s">
        <v>60</v>
      </c>
      <c r="I185" s="1">
        <v>115.0</v>
      </c>
      <c r="J185" s="1">
        <v>-0.133914569474418</v>
      </c>
      <c r="K185" s="1" t="s">
        <v>61</v>
      </c>
      <c r="L185" s="1" t="s">
        <v>61</v>
      </c>
      <c r="M185" s="1" t="s">
        <v>62</v>
      </c>
      <c r="N185" s="1">
        <v>-148.0</v>
      </c>
      <c r="O185" s="1">
        <v>0.0720238990419354</v>
      </c>
      <c r="P185" s="1" t="s">
        <v>61</v>
      </c>
      <c r="Q185" s="1" t="s">
        <v>61</v>
      </c>
      <c r="R185" s="1">
        <f t="shared" si="1"/>
        <v>0.07202389904</v>
      </c>
      <c r="S185" s="1">
        <f t="shared" si="2"/>
        <v>-148</v>
      </c>
      <c r="T185" s="1">
        <f t="shared" si="3"/>
        <v>1.675675676</v>
      </c>
      <c r="U185" s="1">
        <f t="shared" si="4"/>
        <v>0</v>
      </c>
      <c r="V185" s="3">
        <f t="shared" si="5"/>
        <v>2</v>
      </c>
      <c r="W185" s="3">
        <f t="shared" si="6"/>
        <v>3</v>
      </c>
      <c r="X185" s="3" t="str">
        <f>IFERROR(__xludf.DUMMYFUNCTION("split(B185,"" "")"),"J.")</f>
        <v>J.</v>
      </c>
      <c r="Y185" s="3" t="str">
        <f>IFERROR(__xludf.DUMMYFUNCTION("""COMPUTED_VALUE"""),"McMillan")</f>
        <v>McMillan</v>
      </c>
      <c r="AA185" s="3">
        <v>1.0</v>
      </c>
      <c r="AB185" s="3">
        <f t="shared" si="7"/>
        <v>0</v>
      </c>
      <c r="AC185" s="3">
        <f t="shared" si="8"/>
        <v>1</v>
      </c>
      <c r="AD185" s="3">
        <f t="shared" si="9"/>
        <v>1.351351351</v>
      </c>
      <c r="AE185" s="3">
        <f t="shared" si="10"/>
        <v>1.351351351</v>
      </c>
      <c r="AF185" s="3">
        <f t="shared" si="11"/>
        <v>2.027027027</v>
      </c>
      <c r="AG185" s="3">
        <f t="shared" si="12"/>
        <v>0.6</v>
      </c>
    </row>
    <row r="186">
      <c r="A186" s="1" t="s">
        <v>12</v>
      </c>
      <c r="B186" s="1" t="s">
        <v>309</v>
      </c>
      <c r="C186" s="1" t="s">
        <v>19</v>
      </c>
      <c r="D186" s="1" t="s">
        <v>77</v>
      </c>
      <c r="E186" s="1" t="s">
        <v>76</v>
      </c>
      <c r="F186" s="1" t="s">
        <v>78</v>
      </c>
      <c r="G186" s="1">
        <v>1.5</v>
      </c>
      <c r="H186" s="1" t="s">
        <v>60</v>
      </c>
      <c r="I186" s="1">
        <v>116.0</v>
      </c>
      <c r="J186" s="6">
        <v>-0.129943186717222</v>
      </c>
      <c r="K186" s="1" t="s">
        <v>61</v>
      </c>
      <c r="L186" s="1" t="s">
        <v>61</v>
      </c>
      <c r="M186" s="1" t="s">
        <v>62</v>
      </c>
      <c r="N186" s="1">
        <v>-154.0</v>
      </c>
      <c r="O186" s="6">
        <v>0.0606655634999212</v>
      </c>
      <c r="P186" s="1" t="s">
        <v>61</v>
      </c>
      <c r="Q186" s="1" t="s">
        <v>61</v>
      </c>
      <c r="R186" s="6">
        <f t="shared" si="1"/>
        <v>0.0606655635</v>
      </c>
      <c r="S186" s="1">
        <f t="shared" si="2"/>
        <v>-154</v>
      </c>
      <c r="T186" s="1">
        <f t="shared" si="3"/>
        <v>1.649350649</v>
      </c>
      <c r="U186" s="1">
        <f t="shared" si="4"/>
        <v>0</v>
      </c>
      <c r="V186" s="3">
        <f t="shared" si="5"/>
        <v>2</v>
      </c>
      <c r="W186" s="3">
        <f t="shared" si="6"/>
        <v>3</v>
      </c>
      <c r="X186" s="3" t="str">
        <f>IFERROR(__xludf.DUMMYFUNCTION("split(B186,"" "")"),"D.")</f>
        <v>D.</v>
      </c>
      <c r="Y186" s="3" t="str">
        <f>IFERROR(__xludf.DUMMYFUNCTION("""COMPUTED_VALUE"""),"Henry")</f>
        <v>Henry</v>
      </c>
      <c r="AA186" s="3">
        <v>0.0</v>
      </c>
      <c r="AB186" s="3">
        <f t="shared" si="7"/>
        <v>0</v>
      </c>
      <c r="AC186" s="3">
        <f t="shared" si="8"/>
        <v>1</v>
      </c>
      <c r="AD186" s="3">
        <f t="shared" si="9"/>
        <v>1.298701299</v>
      </c>
      <c r="AE186" s="3">
        <f t="shared" si="10"/>
        <v>1.298701299</v>
      </c>
      <c r="AF186" s="3">
        <f t="shared" si="11"/>
        <v>1.948051948</v>
      </c>
      <c r="AG186" s="3">
        <f t="shared" si="12"/>
        <v>1</v>
      </c>
    </row>
    <row r="187">
      <c r="A187" s="1" t="s">
        <v>8</v>
      </c>
      <c r="B187" s="1" t="s">
        <v>251</v>
      </c>
      <c r="C187" s="1" t="s">
        <v>21</v>
      </c>
      <c r="D187" s="1" t="s">
        <v>88</v>
      </c>
      <c r="E187" s="1" t="s">
        <v>89</v>
      </c>
      <c r="F187" s="1" t="s">
        <v>90</v>
      </c>
      <c r="G187" s="1">
        <v>3.5</v>
      </c>
      <c r="H187" s="1" t="s">
        <v>60</v>
      </c>
      <c r="I187" s="1">
        <v>120.0</v>
      </c>
      <c r="J187" s="1">
        <v>-0.129248292739276</v>
      </c>
      <c r="K187" s="1" t="s">
        <v>61</v>
      </c>
      <c r="L187" s="1" t="s">
        <v>61</v>
      </c>
      <c r="M187" s="1" t="s">
        <v>62</v>
      </c>
      <c r="N187" s="1">
        <v>-160.0</v>
      </c>
      <c r="O187" s="1">
        <v>0.05933140719303</v>
      </c>
      <c r="P187" s="1" t="s">
        <v>61</v>
      </c>
      <c r="Q187" s="1" t="s">
        <v>61</v>
      </c>
      <c r="R187" s="1">
        <f t="shared" si="1"/>
        <v>0.05933140719</v>
      </c>
      <c r="S187" s="1">
        <f t="shared" si="2"/>
        <v>-160</v>
      </c>
      <c r="T187" s="1">
        <f t="shared" si="3"/>
        <v>1.625</v>
      </c>
      <c r="U187" s="1">
        <f t="shared" si="4"/>
        <v>0</v>
      </c>
      <c r="V187" s="3">
        <f t="shared" si="5"/>
        <v>2</v>
      </c>
      <c r="W187" s="3">
        <f t="shared" si="6"/>
        <v>3</v>
      </c>
      <c r="X187" s="3" t="str">
        <f>IFERROR(__xludf.DUMMYFUNCTION("split(B187,"" "")"),"D.")</f>
        <v>D.</v>
      </c>
      <c r="Y187" s="3" t="str">
        <f>IFERROR(__xludf.DUMMYFUNCTION("""COMPUTED_VALUE"""),"Prescott")</f>
        <v>Prescott</v>
      </c>
      <c r="AA187" s="3">
        <v>1.0</v>
      </c>
      <c r="AB187" s="3">
        <f t="shared" si="7"/>
        <v>0</v>
      </c>
      <c r="AC187" s="3">
        <f t="shared" si="8"/>
        <v>1</v>
      </c>
      <c r="AD187" s="3">
        <f t="shared" si="9"/>
        <v>1.25</v>
      </c>
      <c r="AE187" s="3">
        <f t="shared" si="10"/>
        <v>1.25</v>
      </c>
      <c r="AF187" s="3">
        <f t="shared" si="11"/>
        <v>1.875</v>
      </c>
      <c r="AG187" s="3">
        <f t="shared" si="12"/>
        <v>0.7142857143</v>
      </c>
    </row>
    <row r="188">
      <c r="A188" s="1" t="s">
        <v>12</v>
      </c>
      <c r="B188" s="1" t="s">
        <v>312</v>
      </c>
      <c r="C188" s="1" t="s">
        <v>20</v>
      </c>
      <c r="D188" s="1" t="s">
        <v>83</v>
      </c>
      <c r="E188" s="1" t="s">
        <v>82</v>
      </c>
      <c r="F188" s="1" t="s">
        <v>84</v>
      </c>
      <c r="G188" s="1">
        <v>2.5</v>
      </c>
      <c r="H188" s="1" t="s">
        <v>60</v>
      </c>
      <c r="I188" s="1">
        <v>130.0</v>
      </c>
      <c r="J188" s="1">
        <v>-0.119718991104347</v>
      </c>
      <c r="K188" s="1" t="s">
        <v>61</v>
      </c>
      <c r="L188" s="1" t="s">
        <v>61</v>
      </c>
      <c r="M188" s="1" t="s">
        <v>62</v>
      </c>
      <c r="N188" s="1">
        <v>-173.0</v>
      </c>
      <c r="O188" s="1">
        <v>0.0512290407450549</v>
      </c>
      <c r="P188" s="1" t="s">
        <v>61</v>
      </c>
      <c r="Q188" s="1" t="s">
        <v>61</v>
      </c>
      <c r="R188" s="1">
        <f t="shared" si="1"/>
        <v>0.05122904075</v>
      </c>
      <c r="S188" s="1">
        <f t="shared" si="2"/>
        <v>-173</v>
      </c>
      <c r="T188" s="1">
        <f t="shared" si="3"/>
        <v>1.578034682</v>
      </c>
      <c r="U188" s="1">
        <f t="shared" si="4"/>
        <v>0</v>
      </c>
      <c r="V188" s="3">
        <f t="shared" si="5"/>
        <v>2</v>
      </c>
      <c r="W188" s="3">
        <f t="shared" si="6"/>
        <v>3</v>
      </c>
      <c r="X188" s="3" t="str">
        <f>IFERROR(__xludf.DUMMYFUNCTION("split(B188,"" "")"),"G.")</f>
        <v>G.</v>
      </c>
      <c r="Y188" s="3" t="str">
        <f>IFERROR(__xludf.DUMMYFUNCTION("""COMPUTED_VALUE"""),"Dulcich")</f>
        <v>Dulcich</v>
      </c>
      <c r="AA188" s="3">
        <v>2.0</v>
      </c>
      <c r="AB188" s="3">
        <f t="shared" si="7"/>
        <v>0</v>
      </c>
      <c r="AC188" s="3">
        <f t="shared" si="8"/>
        <v>1</v>
      </c>
      <c r="AD188" s="3">
        <f t="shared" si="9"/>
        <v>1.156069364</v>
      </c>
      <c r="AE188" s="3">
        <f t="shared" si="10"/>
        <v>1.156069364</v>
      </c>
      <c r="AF188" s="3">
        <f t="shared" si="11"/>
        <v>1.734104046</v>
      </c>
      <c r="AG188" s="3">
        <f t="shared" si="12"/>
        <v>0.2</v>
      </c>
    </row>
    <row r="189">
      <c r="A189" s="1" t="s">
        <v>12</v>
      </c>
      <c r="B189" s="1" t="s">
        <v>266</v>
      </c>
      <c r="C189" s="1" t="s">
        <v>19</v>
      </c>
      <c r="D189" s="1" t="s">
        <v>57</v>
      </c>
      <c r="E189" s="1" t="s">
        <v>58</v>
      </c>
      <c r="F189" s="1" t="s">
        <v>59</v>
      </c>
      <c r="G189" s="1">
        <v>2.5</v>
      </c>
      <c r="H189" s="1" t="s">
        <v>60</v>
      </c>
      <c r="I189" s="1">
        <v>138.0</v>
      </c>
      <c r="J189" s="1">
        <v>-0.131820798766386</v>
      </c>
      <c r="K189" s="1" t="s">
        <v>61</v>
      </c>
      <c r="L189" s="1" t="s">
        <v>61</v>
      </c>
      <c r="M189" s="1" t="s">
        <v>62</v>
      </c>
      <c r="N189" s="1">
        <v>-186.0</v>
      </c>
      <c r="O189" s="1">
        <v>0.0613094942685314</v>
      </c>
      <c r="P189" s="1" t="s">
        <v>61</v>
      </c>
      <c r="Q189" s="1" t="s">
        <v>61</v>
      </c>
      <c r="R189" s="1">
        <f t="shared" si="1"/>
        <v>0.06130949427</v>
      </c>
      <c r="S189" s="1">
        <f t="shared" si="2"/>
        <v>-186</v>
      </c>
      <c r="T189" s="1">
        <f t="shared" si="3"/>
        <v>1.537634409</v>
      </c>
      <c r="U189" s="1">
        <f t="shared" si="4"/>
        <v>0</v>
      </c>
      <c r="V189" s="3">
        <f t="shared" si="5"/>
        <v>2</v>
      </c>
      <c r="W189" s="3">
        <f t="shared" si="6"/>
        <v>3</v>
      </c>
      <c r="X189" s="3" t="str">
        <f>IFERROR(__xludf.DUMMYFUNCTION("split(B189,"" "")"),"C.")</f>
        <v>C.</v>
      </c>
      <c r="Y189" s="3" t="str">
        <f>IFERROR(__xludf.DUMMYFUNCTION("""COMPUTED_VALUE"""),"Hubbard")</f>
        <v>Hubbard</v>
      </c>
      <c r="AA189" s="3">
        <v>0.0</v>
      </c>
      <c r="AB189" s="3">
        <f t="shared" si="7"/>
        <v>0</v>
      </c>
      <c r="AC189" s="3">
        <f t="shared" si="8"/>
        <v>1</v>
      </c>
      <c r="AD189" s="3">
        <f t="shared" si="9"/>
        <v>1.075268817</v>
      </c>
      <c r="AE189" s="3">
        <f t="shared" si="10"/>
        <v>1.075268817</v>
      </c>
      <c r="AF189" s="3">
        <f t="shared" si="11"/>
        <v>1.612903226</v>
      </c>
      <c r="AG189" s="3">
        <f t="shared" si="12"/>
        <v>1</v>
      </c>
    </row>
    <row r="190">
      <c r="A190" s="1" t="s">
        <v>8</v>
      </c>
      <c r="B190" s="1" t="s">
        <v>361</v>
      </c>
      <c r="C190" s="1" t="s">
        <v>19</v>
      </c>
      <c r="D190" s="1" t="s">
        <v>82</v>
      </c>
      <c r="E190" s="1" t="s">
        <v>83</v>
      </c>
      <c r="F190" s="1" t="s">
        <v>84</v>
      </c>
      <c r="G190" s="1">
        <v>6.5</v>
      </c>
      <c r="H190" s="1" t="s">
        <v>60</v>
      </c>
      <c r="I190" s="1">
        <v>104.0</v>
      </c>
      <c r="J190" s="1">
        <v>-0.166037580437241</v>
      </c>
      <c r="K190" s="1" t="s">
        <v>61</v>
      </c>
      <c r="L190" s="1" t="s">
        <v>61</v>
      </c>
      <c r="M190" s="1" t="s">
        <v>62</v>
      </c>
      <c r="N190" s="1">
        <v>-136.0</v>
      </c>
      <c r="O190" s="1">
        <v>0.099588764327364</v>
      </c>
      <c r="P190" s="1" t="s">
        <v>61</v>
      </c>
      <c r="Q190" s="1" t="s">
        <v>61</v>
      </c>
      <c r="R190" s="1">
        <f t="shared" si="1"/>
        <v>0.09958876433</v>
      </c>
      <c r="S190" s="1">
        <f t="shared" si="2"/>
        <v>-136</v>
      </c>
      <c r="T190" s="1">
        <f t="shared" si="3"/>
        <v>1.735294118</v>
      </c>
      <c r="U190" s="1">
        <f t="shared" si="4"/>
        <v>0</v>
      </c>
      <c r="V190" s="3">
        <f t="shared" si="5"/>
        <v>2</v>
      </c>
      <c r="W190" s="3">
        <f t="shared" si="6"/>
        <v>3</v>
      </c>
      <c r="X190" s="3" t="str">
        <f>IFERROR(__xludf.DUMMYFUNCTION("split(B190,"" "")"),"Z.")</f>
        <v>Z.</v>
      </c>
      <c r="Y190" s="3" t="str">
        <f>IFERROR(__xludf.DUMMYFUNCTION("""COMPUTED_VALUE"""),"Charbonnet")</f>
        <v>Charbonnet</v>
      </c>
      <c r="AA190" s="3">
        <v>8.0</v>
      </c>
      <c r="AB190" s="3">
        <f t="shared" si="7"/>
        <v>1</v>
      </c>
      <c r="AC190" s="3">
        <f t="shared" si="8"/>
        <v>0</v>
      </c>
      <c r="AD190" s="3">
        <f t="shared" si="9"/>
        <v>1.470588235</v>
      </c>
      <c r="AE190" s="3">
        <f t="shared" si="10"/>
        <v>-2</v>
      </c>
      <c r="AF190" s="3">
        <f t="shared" si="11"/>
        <v>-3</v>
      </c>
      <c r="AG190" s="3">
        <f t="shared" si="12"/>
        <v>-0.2307692308</v>
      </c>
    </row>
    <row r="191">
      <c r="A191" s="1" t="s">
        <v>12</v>
      </c>
      <c r="B191" s="1" t="s">
        <v>498</v>
      </c>
      <c r="C191" s="1" t="s">
        <v>20</v>
      </c>
      <c r="D191" s="1" t="s">
        <v>197</v>
      </c>
      <c r="E191" s="1" t="s">
        <v>196</v>
      </c>
      <c r="F191" s="1" t="s">
        <v>198</v>
      </c>
      <c r="G191" s="1">
        <v>5.5</v>
      </c>
      <c r="H191" s="1" t="s">
        <v>60</v>
      </c>
      <c r="I191" s="1">
        <v>119.0</v>
      </c>
      <c r="J191" s="1">
        <v>0.0983703196347032</v>
      </c>
      <c r="K191" s="1" t="s">
        <v>61</v>
      </c>
      <c r="L191" s="1" t="s">
        <v>61</v>
      </c>
      <c r="M191" s="1" t="s">
        <v>62</v>
      </c>
      <c r="N191" s="1">
        <v>-159.0</v>
      </c>
      <c r="O191" s="1">
        <v>-0.168876833976834</v>
      </c>
      <c r="P191" s="1" t="s">
        <v>61</v>
      </c>
      <c r="Q191" s="1" t="s">
        <v>61</v>
      </c>
      <c r="R191" s="1">
        <f t="shared" si="1"/>
        <v>0.09837031963</v>
      </c>
      <c r="S191" s="1">
        <f t="shared" si="2"/>
        <v>119</v>
      </c>
      <c r="T191" s="1">
        <f t="shared" si="3"/>
        <v>2.19</v>
      </c>
      <c r="U191" s="1">
        <f t="shared" si="4"/>
        <v>1</v>
      </c>
      <c r="V191" s="3">
        <f t="shared" si="5"/>
        <v>2</v>
      </c>
      <c r="W191" s="3">
        <f t="shared" si="6"/>
        <v>1</v>
      </c>
      <c r="X191" s="3" t="str">
        <f>IFERROR(__xludf.DUMMYFUNCTION("split(B191,"" "")"),"S.")</f>
        <v>S.</v>
      </c>
      <c r="Y191" s="3" t="str">
        <f>IFERROR(__xludf.DUMMYFUNCTION("""COMPUTED_VALUE"""),"LaPorta")</f>
        <v>LaPorta</v>
      </c>
      <c r="AA191" s="3">
        <v>4.0</v>
      </c>
      <c r="AB191" s="3">
        <f t="shared" si="7"/>
        <v>0</v>
      </c>
      <c r="AC191" s="3">
        <f t="shared" si="8"/>
        <v>0</v>
      </c>
      <c r="AD191" s="3">
        <f t="shared" si="9"/>
        <v>2.38</v>
      </c>
      <c r="AE191" s="3">
        <f t="shared" si="10"/>
        <v>-2</v>
      </c>
      <c r="AF191" s="3">
        <f t="shared" si="11"/>
        <v>-1</v>
      </c>
      <c r="AG191" s="3">
        <f t="shared" si="12"/>
        <v>-0.2727272727</v>
      </c>
    </row>
    <row r="192">
      <c r="A192" s="1" t="s">
        <v>12</v>
      </c>
      <c r="B192" s="1" t="s">
        <v>428</v>
      </c>
      <c r="C192" s="1" t="s">
        <v>18</v>
      </c>
      <c r="D192" s="1" t="s">
        <v>58</v>
      </c>
      <c r="E192" s="1" t="s">
        <v>57</v>
      </c>
      <c r="F192" s="1" t="s">
        <v>59</v>
      </c>
      <c r="G192" s="1">
        <v>3.0</v>
      </c>
      <c r="H192" s="1" t="s">
        <v>60</v>
      </c>
      <c r="I192" s="1">
        <v>-109.0</v>
      </c>
      <c r="J192" s="1">
        <v>-0.170685873397129</v>
      </c>
      <c r="K192" s="1" t="s">
        <v>61</v>
      </c>
      <c r="L192" s="1" t="s">
        <v>61</v>
      </c>
      <c r="M192" s="1" t="s">
        <v>62</v>
      </c>
      <c r="N192" s="1">
        <v>-132.0</v>
      </c>
      <c r="O192" s="1">
        <v>0.0965411325551723</v>
      </c>
      <c r="P192" s="1" t="s">
        <v>61</v>
      </c>
      <c r="Q192" s="1" t="s">
        <v>61</v>
      </c>
      <c r="R192" s="1">
        <f t="shared" si="1"/>
        <v>0.09654113256</v>
      </c>
      <c r="S192" s="1">
        <f t="shared" si="2"/>
        <v>-132</v>
      </c>
      <c r="T192" s="1">
        <f t="shared" si="3"/>
        <v>1.757575758</v>
      </c>
      <c r="U192" s="1">
        <f t="shared" si="4"/>
        <v>0</v>
      </c>
      <c r="V192" s="3">
        <f t="shared" si="5"/>
        <v>2</v>
      </c>
      <c r="W192" s="3">
        <f t="shared" si="6"/>
        <v>3</v>
      </c>
      <c r="X192" s="3" t="str">
        <f>IFERROR(__xludf.DUMMYFUNCTION("split(B192,"" "")"),"R.")</f>
        <v>R.</v>
      </c>
      <c r="Y192" s="3" t="str">
        <f>IFERROR(__xludf.DUMMYFUNCTION("""COMPUTED_VALUE"""),"Shaheed")</f>
        <v>Shaheed</v>
      </c>
      <c r="AA192" s="3">
        <v>3.0</v>
      </c>
      <c r="AB192" s="3">
        <f t="shared" si="7"/>
        <v>1</v>
      </c>
      <c r="AC192" s="3">
        <f t="shared" si="8"/>
        <v>0</v>
      </c>
      <c r="AD192" s="3">
        <f t="shared" si="9"/>
        <v>1.515151515</v>
      </c>
      <c r="AE192" s="3">
        <f t="shared" si="10"/>
        <v>-2</v>
      </c>
      <c r="AF192" s="3">
        <f t="shared" si="11"/>
        <v>-3</v>
      </c>
      <c r="AG192" s="3">
        <f t="shared" si="12"/>
        <v>0</v>
      </c>
    </row>
    <row r="193">
      <c r="A193" s="1" t="s">
        <v>12</v>
      </c>
      <c r="B193" s="1" t="s">
        <v>468</v>
      </c>
      <c r="C193" s="1" t="s">
        <v>20</v>
      </c>
      <c r="D193" s="1" t="s">
        <v>76</v>
      </c>
      <c r="E193" s="1" t="s">
        <v>77</v>
      </c>
      <c r="F193" s="1" t="s">
        <v>78</v>
      </c>
      <c r="G193" s="1">
        <v>1.5</v>
      </c>
      <c r="H193" s="1" t="s">
        <v>60</v>
      </c>
      <c r="I193" s="1">
        <v>-103.0</v>
      </c>
      <c r="J193" s="6">
        <v>-0.170133042896551</v>
      </c>
      <c r="K193" s="1" t="s">
        <v>61</v>
      </c>
      <c r="L193" s="1" t="s">
        <v>61</v>
      </c>
      <c r="M193" s="1" t="s">
        <v>62</v>
      </c>
      <c r="N193" s="1">
        <v>-131.0</v>
      </c>
      <c r="O193" s="6">
        <v>0.0956358272618181</v>
      </c>
      <c r="P193" s="1" t="s">
        <v>61</v>
      </c>
      <c r="Q193" s="1" t="s">
        <v>61</v>
      </c>
      <c r="R193" s="6">
        <f t="shared" si="1"/>
        <v>0.09563582726</v>
      </c>
      <c r="S193" s="1">
        <f t="shared" si="2"/>
        <v>-131</v>
      </c>
      <c r="T193" s="1">
        <f t="shared" si="3"/>
        <v>1.763358779</v>
      </c>
      <c r="U193" s="1">
        <f t="shared" si="4"/>
        <v>0</v>
      </c>
      <c r="V193" s="3">
        <f t="shared" si="5"/>
        <v>2</v>
      </c>
      <c r="W193" s="3">
        <f t="shared" si="6"/>
        <v>3</v>
      </c>
      <c r="X193" s="3" t="str">
        <f>IFERROR(__xludf.DUMMYFUNCTION("split(B193,"" "")"),"N.")</f>
        <v>N.</v>
      </c>
      <c r="Y193" s="3" t="str">
        <f>IFERROR(__xludf.DUMMYFUNCTION("""COMPUTED_VALUE"""),"Gray")</f>
        <v>Gray</v>
      </c>
      <c r="AA193" s="3">
        <v>3.0</v>
      </c>
      <c r="AB193" s="3">
        <f t="shared" si="7"/>
        <v>1</v>
      </c>
      <c r="AC193" s="3">
        <f t="shared" si="8"/>
        <v>0</v>
      </c>
      <c r="AD193" s="3">
        <f t="shared" si="9"/>
        <v>1.526717557</v>
      </c>
      <c r="AE193" s="3">
        <f t="shared" si="10"/>
        <v>-2</v>
      </c>
      <c r="AF193" s="3">
        <f t="shared" si="11"/>
        <v>-3</v>
      </c>
      <c r="AG193" s="3">
        <f t="shared" si="12"/>
        <v>-1</v>
      </c>
    </row>
    <row r="194">
      <c r="A194" s="1" t="s">
        <v>12</v>
      </c>
      <c r="B194" s="1" t="s">
        <v>359</v>
      </c>
      <c r="C194" s="1" t="s">
        <v>19</v>
      </c>
      <c r="D194" s="1" t="s">
        <v>72</v>
      </c>
      <c r="E194" s="1" t="s">
        <v>71</v>
      </c>
      <c r="F194" s="1" t="s">
        <v>59</v>
      </c>
      <c r="G194" s="1">
        <v>2.5</v>
      </c>
      <c r="H194" s="1" t="s">
        <v>60</v>
      </c>
      <c r="I194" s="1">
        <v>107.0</v>
      </c>
      <c r="J194" s="1">
        <v>-0.167038708823188</v>
      </c>
      <c r="K194" s="1" t="s">
        <v>61</v>
      </c>
      <c r="L194" s="1" t="s">
        <v>61</v>
      </c>
      <c r="M194" s="1" t="s">
        <v>62</v>
      </c>
      <c r="N194" s="1">
        <v>-143.0</v>
      </c>
      <c r="O194" s="1">
        <v>0.0954622060641974</v>
      </c>
      <c r="P194" s="1" t="s">
        <v>61</v>
      </c>
      <c r="Q194" s="1" t="s">
        <v>61</v>
      </c>
      <c r="R194" s="1">
        <f t="shared" si="1"/>
        <v>0.09546220606</v>
      </c>
      <c r="S194" s="1">
        <f t="shared" si="2"/>
        <v>-143</v>
      </c>
      <c r="T194" s="1">
        <f t="shared" si="3"/>
        <v>1.699300699</v>
      </c>
      <c r="U194" s="1">
        <f t="shared" si="4"/>
        <v>0</v>
      </c>
      <c r="V194" s="3">
        <f t="shared" si="5"/>
        <v>2</v>
      </c>
      <c r="W194" s="3">
        <f t="shared" si="6"/>
        <v>3</v>
      </c>
      <c r="X194" s="3" t="str">
        <f>IFERROR(__xludf.DUMMYFUNCTION("split(B194,"" "")"),"J.")</f>
        <v>J.</v>
      </c>
      <c r="Y194" s="3" t="str">
        <f>IFERROR(__xludf.DUMMYFUNCTION("""COMPUTED_VALUE"""),"Mixon")</f>
        <v>Mixon</v>
      </c>
      <c r="AA194" s="3">
        <v>3.0</v>
      </c>
      <c r="AB194" s="3">
        <f t="shared" si="7"/>
        <v>1</v>
      </c>
      <c r="AC194" s="3">
        <f t="shared" si="8"/>
        <v>0</v>
      </c>
      <c r="AD194" s="3">
        <f t="shared" si="9"/>
        <v>1.398601399</v>
      </c>
      <c r="AE194" s="3">
        <f t="shared" si="10"/>
        <v>-2</v>
      </c>
      <c r="AF194" s="3">
        <f t="shared" si="11"/>
        <v>-3</v>
      </c>
      <c r="AG194" s="3">
        <f t="shared" si="12"/>
        <v>-0.2</v>
      </c>
    </row>
    <row r="195">
      <c r="A195" s="1" t="s">
        <v>12</v>
      </c>
      <c r="B195" s="1" t="s">
        <v>207</v>
      </c>
      <c r="C195" s="1" t="s">
        <v>18</v>
      </c>
      <c r="D195" s="1" t="s">
        <v>57</v>
      </c>
      <c r="E195" s="1" t="s">
        <v>58</v>
      </c>
      <c r="F195" s="1" t="s">
        <v>59</v>
      </c>
      <c r="G195" s="1">
        <v>1.5</v>
      </c>
      <c r="H195" s="1" t="s">
        <v>60</v>
      </c>
      <c r="I195" s="1">
        <v>100.0</v>
      </c>
      <c r="J195" s="1">
        <v>-0.159842757069999</v>
      </c>
      <c r="K195" s="1" t="s">
        <v>61</v>
      </c>
      <c r="L195" s="1" t="s">
        <v>61</v>
      </c>
      <c r="M195" s="1" t="s">
        <v>62</v>
      </c>
      <c r="N195" s="1">
        <v>-130.0</v>
      </c>
      <c r="O195" s="1">
        <v>0.0946178992965216</v>
      </c>
      <c r="P195" s="1" t="s">
        <v>61</v>
      </c>
      <c r="Q195" s="1" t="s">
        <v>61</v>
      </c>
      <c r="R195" s="1">
        <f t="shared" si="1"/>
        <v>0.0946178993</v>
      </c>
      <c r="S195" s="1">
        <f t="shared" si="2"/>
        <v>-130</v>
      </c>
      <c r="T195" s="1">
        <f t="shared" si="3"/>
        <v>1.769230769</v>
      </c>
      <c r="U195" s="1">
        <f t="shared" si="4"/>
        <v>0</v>
      </c>
      <c r="V195" s="3">
        <f t="shared" si="5"/>
        <v>2</v>
      </c>
      <c r="W195" s="3">
        <f t="shared" si="6"/>
        <v>3</v>
      </c>
      <c r="X195" s="3" t="str">
        <f>IFERROR(__xludf.DUMMYFUNCTION("split(B195,"" "")"),"J.")</f>
        <v>J.</v>
      </c>
      <c r="Y195" s="3" t="str">
        <f>IFERROR(__xludf.DUMMYFUNCTION("""COMPUTED_VALUE"""),"Mingo")</f>
        <v>Mingo</v>
      </c>
      <c r="AA195" s="3">
        <v>2.0</v>
      </c>
      <c r="AB195" s="3">
        <f t="shared" si="7"/>
        <v>1</v>
      </c>
      <c r="AC195" s="3">
        <f t="shared" si="8"/>
        <v>0</v>
      </c>
      <c r="AD195" s="3">
        <f t="shared" si="9"/>
        <v>1.538461538</v>
      </c>
      <c r="AE195" s="3">
        <f t="shared" si="10"/>
        <v>-2</v>
      </c>
      <c r="AF195" s="3">
        <f t="shared" si="11"/>
        <v>-3</v>
      </c>
      <c r="AG195" s="3">
        <f t="shared" si="12"/>
        <v>-0.3333333333</v>
      </c>
    </row>
    <row r="196">
      <c r="A196" s="1" t="s">
        <v>10</v>
      </c>
      <c r="B196" s="1" t="s">
        <v>320</v>
      </c>
      <c r="C196" s="1" t="s">
        <v>21</v>
      </c>
      <c r="D196" s="1" t="s">
        <v>114</v>
      </c>
      <c r="E196" s="1" t="s">
        <v>113</v>
      </c>
      <c r="F196" s="1" t="s">
        <v>90</v>
      </c>
      <c r="G196" s="1">
        <v>39.5</v>
      </c>
      <c r="H196" s="1" t="s">
        <v>60</v>
      </c>
      <c r="I196" s="1">
        <v>-112.0</v>
      </c>
      <c r="J196" s="1">
        <v>-0.163123017135205</v>
      </c>
      <c r="K196" s="1" t="s">
        <v>61</v>
      </c>
      <c r="L196" s="1" t="s">
        <v>61</v>
      </c>
      <c r="M196" s="1" t="s">
        <v>62</v>
      </c>
      <c r="N196" s="1">
        <v>-118.0</v>
      </c>
      <c r="O196" s="1">
        <v>0.0935103392960684</v>
      </c>
      <c r="P196" s="1" t="s">
        <v>61</v>
      </c>
      <c r="Q196" s="1" t="s">
        <v>61</v>
      </c>
      <c r="R196" s="1">
        <f t="shared" si="1"/>
        <v>0.0935103393</v>
      </c>
      <c r="S196" s="1">
        <f t="shared" si="2"/>
        <v>-118</v>
      </c>
      <c r="T196" s="1">
        <f t="shared" si="3"/>
        <v>1.847457627</v>
      </c>
      <c r="U196" s="1">
        <f t="shared" si="4"/>
        <v>0</v>
      </c>
      <c r="V196" s="3">
        <f t="shared" si="5"/>
        <v>2</v>
      </c>
      <c r="W196" s="3">
        <f t="shared" si="6"/>
        <v>3</v>
      </c>
      <c r="X196" s="3" t="str">
        <f>IFERROR(__xludf.DUMMYFUNCTION("split(B196,"" "")"),"J.")</f>
        <v>J.</v>
      </c>
      <c r="Y196" s="3" t="str">
        <f>IFERROR(__xludf.DUMMYFUNCTION("""COMPUTED_VALUE"""),"Daniels")</f>
        <v>Daniels</v>
      </c>
      <c r="AA196" s="3">
        <v>88.0</v>
      </c>
      <c r="AB196" s="3">
        <f t="shared" si="7"/>
        <v>1</v>
      </c>
      <c r="AC196" s="3">
        <f t="shared" si="8"/>
        <v>0</v>
      </c>
      <c r="AD196" s="3">
        <f t="shared" si="9"/>
        <v>1.694915254</v>
      </c>
      <c r="AE196" s="3">
        <f t="shared" si="10"/>
        <v>-2</v>
      </c>
      <c r="AF196" s="3">
        <f t="shared" si="11"/>
        <v>-3</v>
      </c>
      <c r="AG196" s="3">
        <f t="shared" si="12"/>
        <v>-1.227848101</v>
      </c>
    </row>
    <row r="197">
      <c r="A197" s="1" t="s">
        <v>9</v>
      </c>
      <c r="B197" s="1" t="s">
        <v>403</v>
      </c>
      <c r="C197" s="1" t="s">
        <v>18</v>
      </c>
      <c r="D197" s="1" t="s">
        <v>110</v>
      </c>
      <c r="E197" s="1" t="s">
        <v>109</v>
      </c>
      <c r="F197" s="1" t="s">
        <v>59</v>
      </c>
      <c r="G197" s="1">
        <v>19.5</v>
      </c>
      <c r="H197" s="1" t="s">
        <v>60</v>
      </c>
      <c r="I197" s="1">
        <v>-115.0</v>
      </c>
      <c r="J197" s="1">
        <v>0.0910841267937728</v>
      </c>
      <c r="K197" s="1" t="s">
        <v>61</v>
      </c>
      <c r="L197" s="1" t="s">
        <v>61</v>
      </c>
      <c r="M197" s="1" t="s">
        <v>62</v>
      </c>
      <c r="N197" s="1">
        <v>-115.0</v>
      </c>
      <c r="O197" s="1">
        <v>-0.160816745812839</v>
      </c>
      <c r="P197" s="1" t="s">
        <v>61</v>
      </c>
      <c r="Q197" s="1" t="s">
        <v>61</v>
      </c>
      <c r="R197" s="1">
        <f t="shared" si="1"/>
        <v>0.09108412679</v>
      </c>
      <c r="S197" s="1">
        <f t="shared" si="2"/>
        <v>-115</v>
      </c>
      <c r="T197" s="1">
        <f t="shared" si="3"/>
        <v>1.869565217</v>
      </c>
      <c r="U197" s="1">
        <f t="shared" si="4"/>
        <v>1</v>
      </c>
      <c r="V197" s="3">
        <f t="shared" si="5"/>
        <v>2</v>
      </c>
      <c r="W197" s="3">
        <f t="shared" si="6"/>
        <v>2</v>
      </c>
      <c r="X197" s="3" t="str">
        <f>IFERROR(__xludf.DUMMYFUNCTION("split(B197,"" "")"),"V.")</f>
        <v>V.</v>
      </c>
      <c r="Y197" s="3" t="str">
        <f>IFERROR(__xludf.DUMMYFUNCTION("""COMPUTED_VALUE"""),"Jefferson")</f>
        <v>Jefferson</v>
      </c>
      <c r="AA197" s="3">
        <v>1.0</v>
      </c>
      <c r="AB197" s="3">
        <f t="shared" si="7"/>
        <v>0</v>
      </c>
      <c r="AC197" s="3">
        <f t="shared" si="8"/>
        <v>0</v>
      </c>
      <c r="AD197" s="3">
        <f t="shared" si="9"/>
        <v>1.739130435</v>
      </c>
      <c r="AE197" s="3">
        <f t="shared" si="10"/>
        <v>-2</v>
      </c>
      <c r="AF197" s="3">
        <f t="shared" si="11"/>
        <v>-2</v>
      </c>
      <c r="AG197" s="3">
        <f t="shared" si="12"/>
        <v>-0.9487179487</v>
      </c>
    </row>
    <row r="198">
      <c r="A198" s="1" t="s">
        <v>8</v>
      </c>
      <c r="B198" s="1" t="s">
        <v>253</v>
      </c>
      <c r="C198" s="1" t="s">
        <v>21</v>
      </c>
      <c r="D198" s="1" t="s">
        <v>113</v>
      </c>
      <c r="E198" s="1" t="s">
        <v>114</v>
      </c>
      <c r="F198" s="1" t="s">
        <v>90</v>
      </c>
      <c r="G198" s="1">
        <v>2.5</v>
      </c>
      <c r="H198" s="1" t="s">
        <v>60</v>
      </c>
      <c r="I198" s="1">
        <v>-120.0</v>
      </c>
      <c r="J198" s="1">
        <v>-0.158139194202336</v>
      </c>
      <c r="K198" s="1" t="s">
        <v>61</v>
      </c>
      <c r="L198" s="1" t="s">
        <v>61</v>
      </c>
      <c r="M198" s="1" t="s">
        <v>62</v>
      </c>
      <c r="N198" s="1">
        <v>-110.0</v>
      </c>
      <c r="O198" s="1">
        <v>0.0888880237950732</v>
      </c>
      <c r="P198" s="1" t="s">
        <v>61</v>
      </c>
      <c r="Q198" s="1" t="s">
        <v>61</v>
      </c>
      <c r="R198" s="1">
        <f t="shared" si="1"/>
        <v>0.0888880238</v>
      </c>
      <c r="S198" s="1">
        <f t="shared" si="2"/>
        <v>-110</v>
      </c>
      <c r="T198" s="1">
        <f t="shared" si="3"/>
        <v>1.909090909</v>
      </c>
      <c r="U198" s="1">
        <f t="shared" si="4"/>
        <v>0</v>
      </c>
      <c r="V198" s="3">
        <f t="shared" si="5"/>
        <v>2</v>
      </c>
      <c r="W198" s="3">
        <f t="shared" si="6"/>
        <v>2</v>
      </c>
      <c r="X198" s="3" t="str">
        <f>IFERROR(__xludf.DUMMYFUNCTION("split(B198,"" "")"),"B.")</f>
        <v>B.</v>
      </c>
      <c r="Y198" s="3" t="str">
        <f>IFERROR(__xludf.DUMMYFUNCTION("""COMPUTED_VALUE"""),"Mayfield")</f>
        <v>Mayfield</v>
      </c>
      <c r="AA198" s="3">
        <v>3.0</v>
      </c>
      <c r="AB198" s="3">
        <f t="shared" si="7"/>
        <v>1</v>
      </c>
      <c r="AC198" s="3">
        <f t="shared" si="8"/>
        <v>0</v>
      </c>
      <c r="AD198" s="3">
        <f t="shared" si="9"/>
        <v>1.818181818</v>
      </c>
      <c r="AE198" s="3">
        <f t="shared" si="10"/>
        <v>-2</v>
      </c>
      <c r="AF198" s="3">
        <f t="shared" si="11"/>
        <v>-2</v>
      </c>
      <c r="AG198" s="3">
        <f t="shared" si="12"/>
        <v>-0.2</v>
      </c>
    </row>
    <row r="199">
      <c r="A199" s="1" t="s">
        <v>12</v>
      </c>
      <c r="B199" s="1" t="s">
        <v>466</v>
      </c>
      <c r="C199" s="1" t="s">
        <v>18</v>
      </c>
      <c r="D199" s="1" t="s">
        <v>93</v>
      </c>
      <c r="E199" s="1" t="s">
        <v>94</v>
      </c>
      <c r="F199" s="1" t="s">
        <v>59</v>
      </c>
      <c r="G199" s="1">
        <v>3.5</v>
      </c>
      <c r="H199" s="1" t="s">
        <v>60</v>
      </c>
      <c r="I199" s="1">
        <v>-118.0</v>
      </c>
      <c r="J199" s="1">
        <v>-0.157284403669724</v>
      </c>
      <c r="K199" s="1" t="s">
        <v>61</v>
      </c>
      <c r="L199" s="1" t="s">
        <v>61</v>
      </c>
      <c r="M199" s="1" t="s">
        <v>62</v>
      </c>
      <c r="N199" s="1">
        <v>-112.0</v>
      </c>
      <c r="O199" s="1">
        <v>0.0876981132075472</v>
      </c>
      <c r="P199" s="1" t="s">
        <v>61</v>
      </c>
      <c r="Q199" s="1" t="s">
        <v>61</v>
      </c>
      <c r="R199" s="1">
        <f t="shared" si="1"/>
        <v>0.08769811321</v>
      </c>
      <c r="S199" s="1">
        <f t="shared" si="2"/>
        <v>-112</v>
      </c>
      <c r="T199" s="1">
        <f t="shared" si="3"/>
        <v>1.892857143</v>
      </c>
      <c r="U199" s="1">
        <f t="shared" si="4"/>
        <v>0</v>
      </c>
      <c r="V199" s="3">
        <f t="shared" si="5"/>
        <v>2</v>
      </c>
      <c r="W199" s="3">
        <f t="shared" si="6"/>
        <v>2</v>
      </c>
      <c r="X199" s="3" t="str">
        <f>IFERROR(__xludf.DUMMYFUNCTION("split(B199,"" "")"),"B.")</f>
        <v>B.</v>
      </c>
      <c r="Y199" s="3" t="str">
        <f>IFERROR(__xludf.DUMMYFUNCTION("""COMPUTED_VALUE"""),"Thomas")</f>
        <v>Thomas</v>
      </c>
      <c r="Z199" s="3" t="str">
        <f>IFERROR(__xludf.DUMMYFUNCTION("""COMPUTED_VALUE"""),"Jr.")</f>
        <v>Jr.</v>
      </c>
      <c r="AA199" s="3">
        <v>4.0</v>
      </c>
      <c r="AB199" s="3">
        <f t="shared" si="7"/>
        <v>1</v>
      </c>
      <c r="AC199" s="3">
        <f t="shared" si="8"/>
        <v>0</v>
      </c>
      <c r="AD199" s="3">
        <f t="shared" si="9"/>
        <v>1.785714286</v>
      </c>
      <c r="AE199" s="3">
        <f t="shared" si="10"/>
        <v>-2</v>
      </c>
      <c r="AF199" s="3">
        <f t="shared" si="11"/>
        <v>-2</v>
      </c>
      <c r="AG199" s="3">
        <f t="shared" si="12"/>
        <v>-0.1428571429</v>
      </c>
    </row>
    <row r="200">
      <c r="A200" s="1" t="s">
        <v>17</v>
      </c>
      <c r="B200" s="1" t="s">
        <v>275</v>
      </c>
      <c r="C200" s="1" t="s">
        <v>21</v>
      </c>
      <c r="D200" s="1" t="s">
        <v>100</v>
      </c>
      <c r="E200" s="1" t="s">
        <v>99</v>
      </c>
      <c r="F200" s="1" t="s">
        <v>59</v>
      </c>
      <c r="G200" s="1">
        <v>0.5</v>
      </c>
      <c r="H200" s="1" t="s">
        <v>60</v>
      </c>
      <c r="I200" s="1">
        <v>-153.0</v>
      </c>
      <c r="J200" s="1">
        <v>-0.160343083003952</v>
      </c>
      <c r="K200" s="1" t="s">
        <v>61</v>
      </c>
      <c r="L200" s="1" t="s">
        <v>61</v>
      </c>
      <c r="M200" s="1" t="s">
        <v>62</v>
      </c>
      <c r="N200" s="1">
        <v>113.0</v>
      </c>
      <c r="O200" s="1">
        <v>0.0861164319248826</v>
      </c>
      <c r="P200" s="1" t="s">
        <v>61</v>
      </c>
      <c r="Q200" s="1" t="s">
        <v>61</v>
      </c>
      <c r="R200" s="1">
        <f t="shared" si="1"/>
        <v>0.08611643192</v>
      </c>
      <c r="S200" s="1">
        <f t="shared" si="2"/>
        <v>113</v>
      </c>
      <c r="T200" s="1">
        <f t="shared" si="3"/>
        <v>2.13</v>
      </c>
      <c r="U200" s="1">
        <f t="shared" si="4"/>
        <v>0</v>
      </c>
      <c r="V200" s="3">
        <f t="shared" si="5"/>
        <v>2</v>
      </c>
      <c r="W200" s="3">
        <f t="shared" si="6"/>
        <v>1</v>
      </c>
      <c r="X200" s="3" t="str">
        <f>IFERROR(__xludf.DUMMYFUNCTION("split(B200,"" "")"),"W.")</f>
        <v>W.</v>
      </c>
      <c r="Y200" s="3" t="str">
        <f>IFERROR(__xludf.DUMMYFUNCTION("""COMPUTED_VALUE"""),"Levis")</f>
        <v>Levis</v>
      </c>
      <c r="AA200" s="3">
        <v>2.0</v>
      </c>
      <c r="AB200" s="3">
        <f t="shared" si="7"/>
        <v>1</v>
      </c>
      <c r="AC200" s="3">
        <f t="shared" si="8"/>
        <v>0</v>
      </c>
      <c r="AD200" s="3">
        <f t="shared" si="9"/>
        <v>2.26</v>
      </c>
      <c r="AE200" s="3">
        <f t="shared" si="10"/>
        <v>-2</v>
      </c>
      <c r="AF200" s="3">
        <f t="shared" si="11"/>
        <v>-1</v>
      </c>
      <c r="AG200" s="3">
        <f t="shared" si="12"/>
        <v>-3</v>
      </c>
    </row>
    <row r="201">
      <c r="A201" s="1" t="s">
        <v>12</v>
      </c>
      <c r="B201" s="1" t="s">
        <v>483</v>
      </c>
      <c r="C201" s="1" t="s">
        <v>18</v>
      </c>
      <c r="D201" s="1" t="s">
        <v>147</v>
      </c>
      <c r="E201" s="1" t="s">
        <v>146</v>
      </c>
      <c r="F201" s="1" t="s">
        <v>59</v>
      </c>
      <c r="G201" s="1">
        <v>2.5</v>
      </c>
      <c r="H201" s="1" t="s">
        <v>60</v>
      </c>
      <c r="I201" s="1">
        <v>117.0</v>
      </c>
      <c r="J201" s="1">
        <v>-0.153223297533179</v>
      </c>
      <c r="K201" s="1" t="s">
        <v>61</v>
      </c>
      <c r="L201" s="1" t="s">
        <v>61</v>
      </c>
      <c r="M201" s="1" t="s">
        <v>62</v>
      </c>
      <c r="N201" s="1">
        <v>-154.0</v>
      </c>
      <c r="O201" s="1">
        <v>0.0860938204779527</v>
      </c>
      <c r="P201" s="1" t="s">
        <v>61</v>
      </c>
      <c r="Q201" s="1" t="s">
        <v>61</v>
      </c>
      <c r="R201" s="1">
        <f t="shared" si="1"/>
        <v>0.08609382048</v>
      </c>
      <c r="S201" s="1">
        <f t="shared" si="2"/>
        <v>-154</v>
      </c>
      <c r="T201" s="1">
        <f t="shared" si="3"/>
        <v>1.649350649</v>
      </c>
      <c r="U201" s="1">
        <f t="shared" si="4"/>
        <v>0</v>
      </c>
      <c r="V201" s="3">
        <f t="shared" si="5"/>
        <v>2</v>
      </c>
      <c r="W201" s="3">
        <f t="shared" si="6"/>
        <v>3</v>
      </c>
      <c r="X201" s="3" t="str">
        <f>IFERROR(__xludf.DUMMYFUNCTION("split(B201,"" "")"),"D.")</f>
        <v>D.</v>
      </c>
      <c r="Y201" s="3" t="str">
        <f>IFERROR(__xludf.DUMMYFUNCTION("""COMPUTED_VALUE"""),"Slayton")</f>
        <v>Slayton</v>
      </c>
      <c r="AA201" s="3">
        <v>3.0</v>
      </c>
      <c r="AB201" s="3">
        <f t="shared" si="7"/>
        <v>1</v>
      </c>
      <c r="AC201" s="3">
        <f t="shared" si="8"/>
        <v>0</v>
      </c>
      <c r="AD201" s="3">
        <f t="shared" si="9"/>
        <v>1.298701299</v>
      </c>
      <c r="AE201" s="3">
        <f t="shared" si="10"/>
        <v>-2</v>
      </c>
      <c r="AF201" s="3">
        <f t="shared" si="11"/>
        <v>-3</v>
      </c>
      <c r="AG201" s="3">
        <f t="shared" si="12"/>
        <v>-0.2</v>
      </c>
    </row>
    <row r="202">
      <c r="A202" s="1" t="s">
        <v>11</v>
      </c>
      <c r="B202" s="1" t="s">
        <v>446</v>
      </c>
      <c r="C202" s="1" t="s">
        <v>19</v>
      </c>
      <c r="D202" s="1" t="s">
        <v>197</v>
      </c>
      <c r="E202" s="1" t="s">
        <v>196</v>
      </c>
      <c r="F202" s="1" t="s">
        <v>198</v>
      </c>
      <c r="G202" s="1">
        <v>6.5</v>
      </c>
      <c r="H202" s="1" t="s">
        <v>60</v>
      </c>
      <c r="I202" s="1">
        <v>-115.0</v>
      </c>
      <c r="J202" s="1">
        <v>0.0849633323114068</v>
      </c>
      <c r="K202" s="1" t="s">
        <v>61</v>
      </c>
      <c r="L202" s="1" t="s">
        <v>61</v>
      </c>
      <c r="M202" s="1" t="s">
        <v>62</v>
      </c>
      <c r="N202" s="1">
        <v>-115.0</v>
      </c>
      <c r="O202" s="1">
        <v>-0.154707832158117</v>
      </c>
      <c r="P202" s="1" t="s">
        <v>61</v>
      </c>
      <c r="Q202" s="1" t="s">
        <v>61</v>
      </c>
      <c r="R202" s="1">
        <f t="shared" si="1"/>
        <v>0.08496333231</v>
      </c>
      <c r="S202" s="1">
        <f t="shared" si="2"/>
        <v>-115</v>
      </c>
      <c r="T202" s="1">
        <f t="shared" si="3"/>
        <v>1.869565217</v>
      </c>
      <c r="U202" s="1">
        <f t="shared" si="4"/>
        <v>1</v>
      </c>
      <c r="V202" s="3">
        <f t="shared" si="5"/>
        <v>2</v>
      </c>
      <c r="W202" s="3">
        <f t="shared" si="6"/>
        <v>2</v>
      </c>
      <c r="X202" s="3" t="str">
        <f>IFERROR(__xludf.DUMMYFUNCTION("split(B202,"" "")"),"D.")</f>
        <v>D.</v>
      </c>
      <c r="Y202" s="3" t="str">
        <f>IFERROR(__xludf.DUMMYFUNCTION("""COMPUTED_VALUE"""),"Montgomery")</f>
        <v>Montgomery</v>
      </c>
      <c r="AA202" s="3">
        <v>2.0</v>
      </c>
      <c r="AB202" s="3">
        <f t="shared" si="7"/>
        <v>0</v>
      </c>
      <c r="AC202" s="3">
        <f t="shared" si="8"/>
        <v>0</v>
      </c>
      <c r="AD202" s="3">
        <f t="shared" si="9"/>
        <v>1.739130435</v>
      </c>
      <c r="AE202" s="3">
        <f t="shared" si="10"/>
        <v>-2</v>
      </c>
      <c r="AF202" s="3">
        <f t="shared" si="11"/>
        <v>-2</v>
      </c>
      <c r="AG202" s="3">
        <f t="shared" si="12"/>
        <v>-0.6923076923</v>
      </c>
    </row>
    <row r="203">
      <c r="A203" s="1" t="s">
        <v>8</v>
      </c>
      <c r="B203" s="1" t="s">
        <v>444</v>
      </c>
      <c r="C203" s="1" t="s">
        <v>19</v>
      </c>
      <c r="D203" s="1" t="s">
        <v>71</v>
      </c>
      <c r="E203" s="1" t="s">
        <v>72</v>
      </c>
      <c r="F203" s="1" t="s">
        <v>59</v>
      </c>
      <c r="G203" s="1">
        <v>18.5</v>
      </c>
      <c r="H203" s="1" t="s">
        <v>60</v>
      </c>
      <c r="I203" s="1">
        <v>105.0</v>
      </c>
      <c r="J203" s="1">
        <v>0.0834920008292682</v>
      </c>
      <c r="K203" s="1" t="s">
        <v>61</v>
      </c>
      <c r="L203" s="1" t="s">
        <v>61</v>
      </c>
      <c r="M203" s="1" t="s">
        <v>62</v>
      </c>
      <c r="N203" s="1">
        <v>-138.0</v>
      </c>
      <c r="O203" s="1">
        <v>-0.151129244411764</v>
      </c>
      <c r="P203" s="1" t="s">
        <v>61</v>
      </c>
      <c r="Q203" s="1" t="s">
        <v>61</v>
      </c>
      <c r="R203" s="1">
        <f t="shared" si="1"/>
        <v>0.08349200083</v>
      </c>
      <c r="S203" s="1">
        <f t="shared" si="2"/>
        <v>105</v>
      </c>
      <c r="T203" s="1">
        <f t="shared" si="3"/>
        <v>2.05</v>
      </c>
      <c r="U203" s="1">
        <f t="shared" si="4"/>
        <v>1</v>
      </c>
      <c r="V203" s="3">
        <f t="shared" si="5"/>
        <v>2</v>
      </c>
      <c r="W203" s="3">
        <f t="shared" si="6"/>
        <v>2</v>
      </c>
      <c r="X203" s="3" t="str">
        <f>IFERROR(__xludf.DUMMYFUNCTION("split(B203,"" "")"),"J.")</f>
        <v>J.</v>
      </c>
      <c r="Y203" s="3" t="str">
        <f>IFERROR(__xludf.DUMMYFUNCTION("""COMPUTED_VALUE"""),"Taylor")</f>
        <v>Taylor</v>
      </c>
      <c r="AA203" s="3">
        <v>16.0</v>
      </c>
      <c r="AB203" s="3">
        <f t="shared" si="7"/>
        <v>0</v>
      </c>
      <c r="AC203" s="3">
        <f t="shared" si="8"/>
        <v>0</v>
      </c>
      <c r="AD203" s="3">
        <f t="shared" si="9"/>
        <v>2.1</v>
      </c>
      <c r="AE203" s="3">
        <f t="shared" si="10"/>
        <v>-2</v>
      </c>
      <c r="AF203" s="3">
        <f t="shared" si="11"/>
        <v>-2</v>
      </c>
      <c r="AG203" s="3">
        <f t="shared" si="12"/>
        <v>-0.1351351351</v>
      </c>
    </row>
    <row r="204">
      <c r="A204" s="1" t="s">
        <v>12</v>
      </c>
      <c r="B204" s="1" t="s">
        <v>379</v>
      </c>
      <c r="C204" s="1" t="s">
        <v>18</v>
      </c>
      <c r="D204" s="1" t="s">
        <v>146</v>
      </c>
      <c r="E204" s="1" t="s">
        <v>147</v>
      </c>
      <c r="F204" s="1" t="s">
        <v>59</v>
      </c>
      <c r="G204" s="1">
        <v>6.5</v>
      </c>
      <c r="H204" s="1" t="s">
        <v>60</v>
      </c>
      <c r="I204" s="1">
        <v>-102.0</v>
      </c>
      <c r="J204" s="1">
        <v>0.0807999999999999</v>
      </c>
      <c r="K204" s="1" t="s">
        <v>61</v>
      </c>
      <c r="L204" s="1" t="s">
        <v>61</v>
      </c>
      <c r="M204" s="1" t="s">
        <v>62</v>
      </c>
      <c r="N204" s="1">
        <v>-131.0</v>
      </c>
      <c r="O204" s="1">
        <v>-0.152842857142857</v>
      </c>
      <c r="P204" s="1" t="s">
        <v>61</v>
      </c>
      <c r="Q204" s="1" t="s">
        <v>61</v>
      </c>
      <c r="R204" s="1">
        <f t="shared" si="1"/>
        <v>0.0808</v>
      </c>
      <c r="S204" s="1">
        <f t="shared" si="2"/>
        <v>-102</v>
      </c>
      <c r="T204" s="1">
        <f t="shared" si="3"/>
        <v>1.980392157</v>
      </c>
      <c r="U204" s="1">
        <f t="shared" si="4"/>
        <v>1</v>
      </c>
      <c r="V204" s="3">
        <f t="shared" si="5"/>
        <v>2</v>
      </c>
      <c r="W204" s="3">
        <f t="shared" si="6"/>
        <v>2</v>
      </c>
      <c r="X204" s="3" t="str">
        <f>IFERROR(__xludf.DUMMYFUNCTION("split(B204,"" "")"),"J.")</f>
        <v>J.</v>
      </c>
      <c r="Y204" s="3" t="str">
        <f>IFERROR(__xludf.DUMMYFUNCTION("""COMPUTED_VALUE"""),"Jefferson")</f>
        <v>Jefferson</v>
      </c>
      <c r="AA204" s="3">
        <v>4.0</v>
      </c>
      <c r="AB204" s="3">
        <f t="shared" si="7"/>
        <v>0</v>
      </c>
      <c r="AC204" s="3">
        <f t="shared" si="8"/>
        <v>0</v>
      </c>
      <c r="AD204" s="3">
        <f t="shared" si="9"/>
        <v>1.960784314</v>
      </c>
      <c r="AE204" s="3">
        <f t="shared" si="10"/>
        <v>-2</v>
      </c>
      <c r="AF204" s="3">
        <f t="shared" si="11"/>
        <v>-2</v>
      </c>
      <c r="AG204" s="3">
        <f t="shared" si="12"/>
        <v>-0.3846153846</v>
      </c>
    </row>
    <row r="205">
      <c r="A205" s="1" t="s">
        <v>8</v>
      </c>
      <c r="B205" s="1" t="s">
        <v>187</v>
      </c>
      <c r="C205" s="1" t="s">
        <v>19</v>
      </c>
      <c r="D205" s="1" t="s">
        <v>157</v>
      </c>
      <c r="E205" s="1" t="s">
        <v>156</v>
      </c>
      <c r="F205" s="1" t="s">
        <v>158</v>
      </c>
      <c r="G205" s="1">
        <v>15.5</v>
      </c>
      <c r="H205" s="1" t="s">
        <v>60</v>
      </c>
      <c r="I205" s="1">
        <v>-140.0</v>
      </c>
      <c r="J205" s="6">
        <v>-0.143274787324999</v>
      </c>
      <c r="K205" s="1" t="s">
        <v>61</v>
      </c>
      <c r="L205" s="1" t="s">
        <v>61</v>
      </c>
      <c r="M205" s="1" t="s">
        <v>62</v>
      </c>
      <c r="N205" s="1">
        <v>107.0</v>
      </c>
      <c r="O205" s="6">
        <v>0.0768562751594204</v>
      </c>
      <c r="P205" s="1" t="s">
        <v>61</v>
      </c>
      <c r="Q205" s="1" t="s">
        <v>61</v>
      </c>
      <c r="R205" s="6">
        <f t="shared" si="1"/>
        <v>0.07685627516</v>
      </c>
      <c r="S205" s="1">
        <f t="shared" si="2"/>
        <v>107</v>
      </c>
      <c r="T205" s="1">
        <f t="shared" si="3"/>
        <v>2.07</v>
      </c>
      <c r="U205" s="1">
        <f t="shared" si="4"/>
        <v>0</v>
      </c>
      <c r="V205" s="3">
        <f t="shared" si="5"/>
        <v>2</v>
      </c>
      <c r="W205" s="3">
        <f t="shared" si="6"/>
        <v>2</v>
      </c>
      <c r="X205" s="3" t="str">
        <f>IFERROR(__xludf.DUMMYFUNCTION("split(B205,"" "")"),"J.")</f>
        <v>J.</v>
      </c>
      <c r="Y205" s="3" t="str">
        <f>IFERROR(__xludf.DUMMYFUNCTION("""COMPUTED_VALUE"""),"Jacobs")</f>
        <v>Jacobs</v>
      </c>
      <c r="AA205" s="3">
        <v>16.0</v>
      </c>
      <c r="AB205" s="3">
        <f t="shared" si="7"/>
        <v>1</v>
      </c>
      <c r="AC205" s="3">
        <f t="shared" si="8"/>
        <v>0</v>
      </c>
      <c r="AD205" s="3">
        <f t="shared" si="9"/>
        <v>2.14</v>
      </c>
      <c r="AE205" s="3">
        <f t="shared" si="10"/>
        <v>-2</v>
      </c>
      <c r="AF205" s="3">
        <f t="shared" si="11"/>
        <v>-2</v>
      </c>
      <c r="AG205" s="3">
        <f t="shared" si="12"/>
        <v>-0.03225806452</v>
      </c>
    </row>
    <row r="206">
      <c r="A206" s="1" t="s">
        <v>16</v>
      </c>
      <c r="B206" s="1" t="s">
        <v>347</v>
      </c>
      <c r="C206" s="1" t="s">
        <v>21</v>
      </c>
      <c r="D206" s="1" t="s">
        <v>77</v>
      </c>
      <c r="E206" s="1" t="s">
        <v>76</v>
      </c>
      <c r="F206" s="1" t="s">
        <v>78</v>
      </c>
      <c r="G206" s="1">
        <v>30.5</v>
      </c>
      <c r="H206" s="1" t="s">
        <v>60</v>
      </c>
      <c r="I206" s="1">
        <v>-122.0</v>
      </c>
      <c r="J206" s="6">
        <v>-0.144922371891891</v>
      </c>
      <c r="K206" s="1" t="s">
        <v>61</v>
      </c>
      <c r="L206" s="1" t="s">
        <v>61</v>
      </c>
      <c r="M206" s="1" t="s">
        <v>62</v>
      </c>
      <c r="N206" s="1">
        <v>-108.0</v>
      </c>
      <c r="O206" s="6">
        <v>0.0761073648307693</v>
      </c>
      <c r="P206" s="1" t="s">
        <v>61</v>
      </c>
      <c r="Q206" s="1" t="s">
        <v>61</v>
      </c>
      <c r="R206" s="6">
        <f t="shared" si="1"/>
        <v>0.07610736483</v>
      </c>
      <c r="S206" s="1">
        <f t="shared" si="2"/>
        <v>-108</v>
      </c>
      <c r="T206" s="1">
        <f t="shared" si="3"/>
        <v>1.925925926</v>
      </c>
      <c r="U206" s="1">
        <f t="shared" si="4"/>
        <v>0</v>
      </c>
      <c r="V206" s="3">
        <f t="shared" si="5"/>
        <v>2</v>
      </c>
      <c r="W206" s="3">
        <f t="shared" si="6"/>
        <v>2</v>
      </c>
      <c r="X206" s="3" t="str">
        <f>IFERROR(__xludf.DUMMYFUNCTION("split(B206,"" "")"),"L.")</f>
        <v>L.</v>
      </c>
      <c r="Y206" s="3" t="str">
        <f>IFERROR(__xludf.DUMMYFUNCTION("""COMPUTED_VALUE"""),"Jackson")</f>
        <v>Jackson</v>
      </c>
      <c r="AA206" s="3">
        <v>41.0</v>
      </c>
      <c r="AB206" s="3">
        <f t="shared" si="7"/>
        <v>1</v>
      </c>
      <c r="AC206" s="3">
        <f t="shared" si="8"/>
        <v>0</v>
      </c>
      <c r="AD206" s="3">
        <f t="shared" si="9"/>
        <v>1.851851852</v>
      </c>
      <c r="AE206" s="3">
        <f t="shared" si="10"/>
        <v>-2</v>
      </c>
      <c r="AF206" s="3">
        <f t="shared" si="11"/>
        <v>-2</v>
      </c>
      <c r="AG206" s="3">
        <f t="shared" si="12"/>
        <v>-0.3442622951</v>
      </c>
    </row>
    <row r="207">
      <c r="A207" s="1" t="s">
        <v>8</v>
      </c>
      <c r="B207" s="1" t="s">
        <v>375</v>
      </c>
      <c r="C207" s="1" t="s">
        <v>19</v>
      </c>
      <c r="D207" s="1" t="s">
        <v>88</v>
      </c>
      <c r="E207" s="1" t="s">
        <v>89</v>
      </c>
      <c r="F207" s="1" t="s">
        <v>90</v>
      </c>
      <c r="G207" s="1">
        <v>9.5</v>
      </c>
      <c r="H207" s="1" t="s">
        <v>60</v>
      </c>
      <c r="I207" s="1">
        <v>-115.0</v>
      </c>
      <c r="J207" s="1">
        <v>-0.145626048335414</v>
      </c>
      <c r="K207" s="1" t="s">
        <v>61</v>
      </c>
      <c r="L207" s="1" t="s">
        <v>61</v>
      </c>
      <c r="M207" s="1" t="s">
        <v>62</v>
      </c>
      <c r="N207" s="1">
        <v>-115.0</v>
      </c>
      <c r="O207" s="1">
        <v>0.075864955585726</v>
      </c>
      <c r="P207" s="1" t="s">
        <v>61</v>
      </c>
      <c r="Q207" s="1" t="s">
        <v>61</v>
      </c>
      <c r="R207" s="1">
        <f t="shared" si="1"/>
        <v>0.07586495559</v>
      </c>
      <c r="S207" s="1">
        <f t="shared" si="2"/>
        <v>-115</v>
      </c>
      <c r="T207" s="1">
        <f t="shared" si="3"/>
        <v>1.869565217</v>
      </c>
      <c r="U207" s="1">
        <f t="shared" si="4"/>
        <v>0</v>
      </c>
      <c r="V207" s="3">
        <f t="shared" si="5"/>
        <v>2</v>
      </c>
      <c r="W207" s="3">
        <f t="shared" si="6"/>
        <v>2</v>
      </c>
      <c r="X207" s="3" t="str">
        <f>IFERROR(__xludf.DUMMYFUNCTION("split(B207,"" "")"),"E.")</f>
        <v>E.</v>
      </c>
      <c r="Y207" s="3" t="str">
        <f>IFERROR(__xludf.DUMMYFUNCTION("""COMPUTED_VALUE"""),"Elliott")</f>
        <v>Elliott</v>
      </c>
      <c r="AA207" s="3">
        <v>10.0</v>
      </c>
      <c r="AB207" s="3">
        <f t="shared" si="7"/>
        <v>1</v>
      </c>
      <c r="AC207" s="3">
        <f t="shared" si="8"/>
        <v>0</v>
      </c>
      <c r="AD207" s="3">
        <f t="shared" si="9"/>
        <v>1.739130435</v>
      </c>
      <c r="AE207" s="3">
        <f t="shared" si="10"/>
        <v>-2</v>
      </c>
      <c r="AF207" s="3">
        <f t="shared" si="11"/>
        <v>-2</v>
      </c>
      <c r="AG207" s="3">
        <f t="shared" si="12"/>
        <v>-0.05263157895</v>
      </c>
    </row>
    <row r="208">
      <c r="A208" s="1" t="s">
        <v>9</v>
      </c>
      <c r="B208" s="1" t="s">
        <v>243</v>
      </c>
      <c r="C208" s="1" t="s">
        <v>19</v>
      </c>
      <c r="D208" s="1" t="s">
        <v>156</v>
      </c>
      <c r="E208" s="1" t="s">
        <v>157</v>
      </c>
      <c r="F208" s="1" t="s">
        <v>158</v>
      </c>
      <c r="G208" s="1">
        <v>20.0</v>
      </c>
      <c r="H208" s="1" t="s">
        <v>60</v>
      </c>
      <c r="I208" s="1">
        <v>-117.0</v>
      </c>
      <c r="J208" s="6">
        <v>0.0755632008561647</v>
      </c>
      <c r="K208" s="1" t="s">
        <v>61</v>
      </c>
      <c r="L208" s="1" t="s">
        <v>61</v>
      </c>
      <c r="M208" s="1" t="s">
        <v>62</v>
      </c>
      <c r="N208" s="1">
        <v>-112.0</v>
      </c>
      <c r="O208" s="6">
        <v>-0.14134211479284</v>
      </c>
      <c r="P208" s="1" t="s">
        <v>61</v>
      </c>
      <c r="Q208" s="1" t="s">
        <v>61</v>
      </c>
      <c r="R208" s="6">
        <f t="shared" si="1"/>
        <v>0.07556320086</v>
      </c>
      <c r="S208" s="1">
        <f t="shared" si="2"/>
        <v>-117</v>
      </c>
      <c r="T208" s="1">
        <f t="shared" si="3"/>
        <v>1.854700855</v>
      </c>
      <c r="U208" s="1">
        <f t="shared" si="4"/>
        <v>1</v>
      </c>
      <c r="V208" s="3">
        <f t="shared" si="5"/>
        <v>2</v>
      </c>
      <c r="W208" s="3">
        <f t="shared" si="6"/>
        <v>2</v>
      </c>
      <c r="X208" s="3" t="str">
        <f>IFERROR(__xludf.DUMMYFUNCTION("split(B208,"" "")"),"K.")</f>
        <v>K.</v>
      </c>
      <c r="Y208" s="3" t="str">
        <f>IFERROR(__xludf.DUMMYFUNCTION("""COMPUTED_VALUE"""),"Gainwell")</f>
        <v>Gainwell</v>
      </c>
      <c r="AA208" s="3">
        <v>12.0</v>
      </c>
      <c r="AB208" s="3">
        <f t="shared" si="7"/>
        <v>0</v>
      </c>
      <c r="AC208" s="3">
        <f t="shared" si="8"/>
        <v>0</v>
      </c>
      <c r="AD208" s="3">
        <f t="shared" si="9"/>
        <v>1.709401709</v>
      </c>
      <c r="AE208" s="3">
        <f t="shared" si="10"/>
        <v>-2</v>
      </c>
      <c r="AF208" s="3">
        <f t="shared" si="11"/>
        <v>-2</v>
      </c>
      <c r="AG208" s="3">
        <f t="shared" si="12"/>
        <v>-0.4</v>
      </c>
    </row>
    <row r="209">
      <c r="A209" s="1" t="s">
        <v>10</v>
      </c>
      <c r="B209" s="1" t="s">
        <v>485</v>
      </c>
      <c r="C209" s="1" t="s">
        <v>19</v>
      </c>
      <c r="D209" s="1" t="s">
        <v>135</v>
      </c>
      <c r="E209" s="1" t="s">
        <v>134</v>
      </c>
      <c r="F209" s="1" t="s">
        <v>84</v>
      </c>
      <c r="G209" s="1">
        <v>35.5</v>
      </c>
      <c r="H209" s="1" t="s">
        <v>60</v>
      </c>
      <c r="I209" s="1">
        <v>-113.0</v>
      </c>
      <c r="J209" s="1">
        <v>-0.144669263054868</v>
      </c>
      <c r="K209" s="1" t="s">
        <v>61</v>
      </c>
      <c r="L209" s="1" t="s">
        <v>61</v>
      </c>
      <c r="M209" s="1" t="s">
        <v>62</v>
      </c>
      <c r="N209" s="1">
        <v>-117.0</v>
      </c>
      <c r="O209" s="1">
        <v>0.0749901661101556</v>
      </c>
      <c r="P209" s="1" t="s">
        <v>61</v>
      </c>
      <c r="Q209" s="1" t="s">
        <v>61</v>
      </c>
      <c r="R209" s="1">
        <f t="shared" si="1"/>
        <v>0.07499016611</v>
      </c>
      <c r="S209" s="1">
        <f t="shared" si="2"/>
        <v>-117</v>
      </c>
      <c r="T209" s="1">
        <f t="shared" si="3"/>
        <v>1.854700855</v>
      </c>
      <c r="U209" s="1">
        <f t="shared" si="4"/>
        <v>0</v>
      </c>
      <c r="V209" s="3">
        <f t="shared" si="5"/>
        <v>2</v>
      </c>
      <c r="W209" s="3">
        <f t="shared" si="6"/>
        <v>2</v>
      </c>
      <c r="X209" s="3" t="str">
        <f>IFERROR(__xludf.DUMMYFUNCTION("split(B209,"" "")"),"J.")</f>
        <v>J.</v>
      </c>
      <c r="Y209" s="3" t="str">
        <f>IFERROR(__xludf.DUMMYFUNCTION("""COMPUTED_VALUE"""),"Dobbins")</f>
        <v>Dobbins</v>
      </c>
      <c r="AA209" s="3">
        <v>135.0</v>
      </c>
      <c r="AB209" s="3">
        <f t="shared" si="7"/>
        <v>1</v>
      </c>
      <c r="AC209" s="3">
        <f t="shared" si="8"/>
        <v>0</v>
      </c>
      <c r="AD209" s="3">
        <f t="shared" si="9"/>
        <v>1.709401709</v>
      </c>
      <c r="AE209" s="3">
        <f t="shared" si="10"/>
        <v>-2</v>
      </c>
      <c r="AF209" s="3">
        <f t="shared" si="11"/>
        <v>-2</v>
      </c>
      <c r="AG209" s="3">
        <f t="shared" si="12"/>
        <v>-2.802816901</v>
      </c>
    </row>
    <row r="210">
      <c r="A210" s="1" t="s">
        <v>17</v>
      </c>
      <c r="B210" s="1" t="s">
        <v>247</v>
      </c>
      <c r="C210" s="1" t="s">
        <v>21</v>
      </c>
      <c r="D210" s="1" t="s">
        <v>196</v>
      </c>
      <c r="E210" s="1" t="s">
        <v>197</v>
      </c>
      <c r="F210" s="1" t="s">
        <v>198</v>
      </c>
      <c r="G210" s="1">
        <v>0.5</v>
      </c>
      <c r="H210" s="1" t="s">
        <v>60</v>
      </c>
      <c r="I210" s="1">
        <v>-149.0</v>
      </c>
      <c r="J210" s="1">
        <v>-0.150853413654618</v>
      </c>
      <c r="K210" s="1" t="s">
        <v>61</v>
      </c>
      <c r="L210" s="1" t="s">
        <v>61</v>
      </c>
      <c r="M210" s="1" t="s">
        <v>62</v>
      </c>
      <c r="N210" s="1">
        <v>109.0</v>
      </c>
      <c r="O210" s="1">
        <v>0.0739832535885167</v>
      </c>
      <c r="P210" s="1" t="s">
        <v>61</v>
      </c>
      <c r="Q210" s="1" t="s">
        <v>61</v>
      </c>
      <c r="R210" s="1">
        <f t="shared" si="1"/>
        <v>0.07398325359</v>
      </c>
      <c r="S210" s="1">
        <f t="shared" si="2"/>
        <v>109</v>
      </c>
      <c r="T210" s="1">
        <f t="shared" si="3"/>
        <v>2.09</v>
      </c>
      <c r="U210" s="1">
        <f t="shared" si="4"/>
        <v>0</v>
      </c>
      <c r="V210" s="3">
        <f t="shared" si="5"/>
        <v>2</v>
      </c>
      <c r="W210" s="3">
        <f t="shared" si="6"/>
        <v>2</v>
      </c>
      <c r="X210" s="3" t="str">
        <f>IFERROR(__xludf.DUMMYFUNCTION("split(B210,"" "")"),"M.")</f>
        <v>M.</v>
      </c>
      <c r="Y210" s="3" t="str">
        <f>IFERROR(__xludf.DUMMYFUNCTION("""COMPUTED_VALUE"""),"Stafford")</f>
        <v>Stafford</v>
      </c>
      <c r="AA210" s="3">
        <v>1.0</v>
      </c>
      <c r="AB210" s="3">
        <f t="shared" si="7"/>
        <v>1</v>
      </c>
      <c r="AC210" s="3">
        <f t="shared" si="8"/>
        <v>0</v>
      </c>
      <c r="AD210" s="3">
        <f t="shared" si="9"/>
        <v>2.18</v>
      </c>
      <c r="AE210" s="3">
        <f t="shared" si="10"/>
        <v>-2</v>
      </c>
      <c r="AF210" s="3">
        <f t="shared" si="11"/>
        <v>-2</v>
      </c>
      <c r="AG210" s="3">
        <f t="shared" si="12"/>
        <v>-1</v>
      </c>
    </row>
    <row r="211">
      <c r="A211" s="1" t="s">
        <v>11</v>
      </c>
      <c r="B211" s="1" t="s">
        <v>451</v>
      </c>
      <c r="C211" s="1" t="s">
        <v>18</v>
      </c>
      <c r="D211" s="1" t="s">
        <v>105</v>
      </c>
      <c r="E211" s="1" t="s">
        <v>104</v>
      </c>
      <c r="F211" s="1" t="s">
        <v>59</v>
      </c>
      <c r="G211" s="1">
        <v>27.5</v>
      </c>
      <c r="H211" s="1" t="s">
        <v>60</v>
      </c>
      <c r="I211" s="1">
        <v>-120.0</v>
      </c>
      <c r="J211" s="1">
        <v>-0.148617918830749</v>
      </c>
      <c r="K211" s="1" t="s">
        <v>61</v>
      </c>
      <c r="L211" s="1" t="s">
        <v>61</v>
      </c>
      <c r="M211" s="1" t="s">
        <v>62</v>
      </c>
      <c r="N211" s="1">
        <v>-113.0</v>
      </c>
      <c r="O211" s="1">
        <v>0.0726742470484715</v>
      </c>
      <c r="P211" s="1" t="s">
        <v>61</v>
      </c>
      <c r="Q211" s="1" t="s">
        <v>61</v>
      </c>
      <c r="R211" s="1">
        <f t="shared" si="1"/>
        <v>0.07267424705</v>
      </c>
      <c r="S211" s="1">
        <f t="shared" si="2"/>
        <v>-113</v>
      </c>
      <c r="T211" s="1">
        <f t="shared" si="3"/>
        <v>1.884955752</v>
      </c>
      <c r="U211" s="1">
        <f t="shared" si="4"/>
        <v>0</v>
      </c>
      <c r="V211" s="3">
        <f t="shared" si="5"/>
        <v>2</v>
      </c>
      <c r="W211" s="3">
        <f t="shared" si="6"/>
        <v>2</v>
      </c>
      <c r="X211" s="3" t="str">
        <f>IFERROR(__xludf.DUMMYFUNCTION("split(B211,"" "")"),"G.")</f>
        <v>G.</v>
      </c>
      <c r="Y211" s="3" t="str">
        <f>IFERROR(__xludf.DUMMYFUNCTION("""COMPUTED_VALUE"""),"Dortch")</f>
        <v>Dortch</v>
      </c>
      <c r="AA211" s="3">
        <v>47.0</v>
      </c>
      <c r="AB211" s="3">
        <f t="shared" si="7"/>
        <v>1</v>
      </c>
      <c r="AC211" s="3">
        <f t="shared" si="8"/>
        <v>0</v>
      </c>
      <c r="AD211" s="3">
        <f t="shared" si="9"/>
        <v>1.769911504</v>
      </c>
      <c r="AE211" s="3">
        <f t="shared" si="10"/>
        <v>-2</v>
      </c>
      <c r="AF211" s="3">
        <f t="shared" si="11"/>
        <v>-2</v>
      </c>
      <c r="AG211" s="3">
        <f t="shared" si="12"/>
        <v>-0.7090909091</v>
      </c>
    </row>
    <row r="212">
      <c r="A212" s="1" t="s">
        <v>10</v>
      </c>
      <c r="B212" s="1" t="s">
        <v>200</v>
      </c>
      <c r="C212" s="1" t="s">
        <v>21</v>
      </c>
      <c r="D212" s="1" t="s">
        <v>71</v>
      </c>
      <c r="E212" s="1" t="s">
        <v>72</v>
      </c>
      <c r="F212" s="1" t="s">
        <v>59</v>
      </c>
      <c r="G212" s="1">
        <v>42.5</v>
      </c>
      <c r="H212" s="1" t="s">
        <v>60</v>
      </c>
      <c r="I212" s="1">
        <v>-120.0</v>
      </c>
      <c r="J212" s="1">
        <v>-0.147782780038209</v>
      </c>
      <c r="K212" s="1" t="s">
        <v>61</v>
      </c>
      <c r="L212" s="1" t="s">
        <v>61</v>
      </c>
      <c r="M212" s="1" t="s">
        <v>62</v>
      </c>
      <c r="N212" s="1">
        <v>-113.0</v>
      </c>
      <c r="O212" s="1">
        <v>0.0718157151629049</v>
      </c>
      <c r="P212" s="1" t="s">
        <v>61</v>
      </c>
      <c r="Q212" s="1" t="s">
        <v>61</v>
      </c>
      <c r="R212" s="1">
        <f t="shared" si="1"/>
        <v>0.07181571516</v>
      </c>
      <c r="S212" s="1">
        <f t="shared" si="2"/>
        <v>-113</v>
      </c>
      <c r="T212" s="1">
        <f t="shared" si="3"/>
        <v>1.884955752</v>
      </c>
      <c r="U212" s="1">
        <f t="shared" si="4"/>
        <v>0</v>
      </c>
      <c r="V212" s="3">
        <f t="shared" si="5"/>
        <v>2</v>
      </c>
      <c r="W212" s="3">
        <f t="shared" si="6"/>
        <v>2</v>
      </c>
      <c r="X212" s="3" t="str">
        <f>IFERROR(__xludf.DUMMYFUNCTION("split(B212,"" "")"),"A.")</f>
        <v>A.</v>
      </c>
      <c r="Y212" s="3" t="str">
        <f>IFERROR(__xludf.DUMMYFUNCTION("""COMPUTED_VALUE"""),"Richardson")</f>
        <v>Richardson</v>
      </c>
      <c r="AA212" s="3">
        <v>56.0</v>
      </c>
      <c r="AB212" s="3">
        <f t="shared" si="7"/>
        <v>1</v>
      </c>
      <c r="AC212" s="3">
        <f t="shared" si="8"/>
        <v>0</v>
      </c>
      <c r="AD212" s="3">
        <f t="shared" si="9"/>
        <v>1.769911504</v>
      </c>
      <c r="AE212" s="3">
        <f t="shared" si="10"/>
        <v>-2</v>
      </c>
      <c r="AF212" s="3">
        <f t="shared" si="11"/>
        <v>-2</v>
      </c>
      <c r="AG212" s="3">
        <f t="shared" si="12"/>
        <v>-0.3176470588</v>
      </c>
    </row>
    <row r="213">
      <c r="A213" s="1" t="s">
        <v>12</v>
      </c>
      <c r="B213" s="1" t="s">
        <v>463</v>
      </c>
      <c r="C213" s="1" t="s">
        <v>18</v>
      </c>
      <c r="D213" s="1" t="s">
        <v>88</v>
      </c>
      <c r="E213" s="1" t="s">
        <v>89</v>
      </c>
      <c r="F213" s="1" t="s">
        <v>90</v>
      </c>
      <c r="G213" s="1">
        <v>3.5</v>
      </c>
      <c r="H213" s="1" t="s">
        <v>60</v>
      </c>
      <c r="I213" s="1">
        <v>-101.0</v>
      </c>
      <c r="J213" s="1">
        <v>-0.139337313432835</v>
      </c>
      <c r="K213" s="1" t="s">
        <v>61</v>
      </c>
      <c r="L213" s="1" t="s">
        <v>61</v>
      </c>
      <c r="M213" s="1" t="s">
        <v>62</v>
      </c>
      <c r="N213" s="1">
        <v>-130.0</v>
      </c>
      <c r="O213" s="1">
        <v>0.0716391304347825</v>
      </c>
      <c r="P213" s="1" t="s">
        <v>61</v>
      </c>
      <c r="Q213" s="1" t="s">
        <v>61</v>
      </c>
      <c r="R213" s="1">
        <f t="shared" si="1"/>
        <v>0.07163913043</v>
      </c>
      <c r="S213" s="1">
        <f t="shared" si="2"/>
        <v>-130</v>
      </c>
      <c r="T213" s="1">
        <f t="shared" si="3"/>
        <v>1.769230769</v>
      </c>
      <c r="U213" s="1">
        <f t="shared" si="4"/>
        <v>0</v>
      </c>
      <c r="V213" s="3">
        <f t="shared" si="5"/>
        <v>2</v>
      </c>
      <c r="W213" s="3">
        <f t="shared" si="6"/>
        <v>3</v>
      </c>
      <c r="X213" s="3" t="str">
        <f>IFERROR(__xludf.DUMMYFUNCTION("split(B213,"" "")"),"B.")</f>
        <v>B.</v>
      </c>
      <c r="Y213" s="3" t="str">
        <f>IFERROR(__xludf.DUMMYFUNCTION("""COMPUTED_VALUE"""),"Cooks")</f>
        <v>Cooks</v>
      </c>
      <c r="AA213" s="3">
        <v>4.0</v>
      </c>
      <c r="AB213" s="3">
        <f t="shared" si="7"/>
        <v>1</v>
      </c>
      <c r="AC213" s="3">
        <f t="shared" si="8"/>
        <v>0</v>
      </c>
      <c r="AD213" s="3">
        <f t="shared" si="9"/>
        <v>1.538461538</v>
      </c>
      <c r="AE213" s="3">
        <f t="shared" si="10"/>
        <v>-2</v>
      </c>
      <c r="AF213" s="3">
        <f t="shared" si="11"/>
        <v>-3</v>
      </c>
      <c r="AG213" s="3">
        <f t="shared" si="12"/>
        <v>-0.1428571429</v>
      </c>
    </row>
    <row r="214">
      <c r="A214" s="1" t="s">
        <v>12</v>
      </c>
      <c r="B214" s="1" t="s">
        <v>270</v>
      </c>
      <c r="C214" s="1" t="s">
        <v>19</v>
      </c>
      <c r="D214" s="1" t="s">
        <v>147</v>
      </c>
      <c r="E214" s="1" t="s">
        <v>146</v>
      </c>
      <c r="F214" s="1" t="s">
        <v>59</v>
      </c>
      <c r="G214" s="1">
        <v>2.5</v>
      </c>
      <c r="H214" s="1" t="s">
        <v>60</v>
      </c>
      <c r="I214" s="1">
        <v>132.0</v>
      </c>
      <c r="J214" s="1">
        <v>-0.135928873156896</v>
      </c>
      <c r="K214" s="1" t="s">
        <v>61</v>
      </c>
      <c r="L214" s="1" t="s">
        <v>61</v>
      </c>
      <c r="M214" s="1" t="s">
        <v>62</v>
      </c>
      <c r="N214" s="1">
        <v>-173.0</v>
      </c>
      <c r="O214" s="1">
        <v>0.0711941184655676</v>
      </c>
      <c r="P214" s="1" t="s">
        <v>61</v>
      </c>
      <c r="Q214" s="1" t="s">
        <v>61</v>
      </c>
      <c r="R214" s="1">
        <f t="shared" si="1"/>
        <v>0.07119411847</v>
      </c>
      <c r="S214" s="1">
        <f t="shared" si="2"/>
        <v>-173</v>
      </c>
      <c r="T214" s="1">
        <f t="shared" si="3"/>
        <v>1.578034682</v>
      </c>
      <c r="U214" s="1">
        <f t="shared" si="4"/>
        <v>0</v>
      </c>
      <c r="V214" s="3">
        <f t="shared" si="5"/>
        <v>2</v>
      </c>
      <c r="W214" s="3">
        <f t="shared" si="6"/>
        <v>3</v>
      </c>
      <c r="X214" s="3" t="str">
        <f>IFERROR(__xludf.DUMMYFUNCTION("split(B214,"" "")"),"D.")</f>
        <v>D.</v>
      </c>
      <c r="Y214" s="3" t="str">
        <f>IFERROR(__xludf.DUMMYFUNCTION("""COMPUTED_VALUE"""),"Singletary")</f>
        <v>Singletary</v>
      </c>
      <c r="AA214" s="3">
        <v>4.0</v>
      </c>
      <c r="AB214" s="3">
        <f t="shared" si="7"/>
        <v>1</v>
      </c>
      <c r="AC214" s="3">
        <f t="shared" si="8"/>
        <v>0</v>
      </c>
      <c r="AD214" s="3">
        <f t="shared" si="9"/>
        <v>1.156069364</v>
      </c>
      <c r="AE214" s="3">
        <f t="shared" si="10"/>
        <v>-2</v>
      </c>
      <c r="AF214" s="3">
        <f t="shared" si="11"/>
        <v>-3</v>
      </c>
      <c r="AG214" s="3">
        <f t="shared" si="12"/>
        <v>-0.6</v>
      </c>
    </row>
    <row r="215">
      <c r="A215" s="1" t="s">
        <v>12</v>
      </c>
      <c r="B215" s="1" t="s">
        <v>426</v>
      </c>
      <c r="C215" s="1" t="s">
        <v>18</v>
      </c>
      <c r="D215" s="1" t="s">
        <v>104</v>
      </c>
      <c r="E215" s="1" t="s">
        <v>105</v>
      </c>
      <c r="F215" s="1" t="s">
        <v>59</v>
      </c>
      <c r="G215" s="1">
        <v>2.5</v>
      </c>
      <c r="H215" s="1" t="s">
        <v>60</v>
      </c>
      <c r="I215" s="1">
        <v>-120.0</v>
      </c>
      <c r="J215" s="1">
        <v>-0.136851258181818</v>
      </c>
      <c r="K215" s="1" t="s">
        <v>61</v>
      </c>
      <c r="L215" s="1" t="s">
        <v>61</v>
      </c>
      <c r="M215" s="1" t="s">
        <v>62</v>
      </c>
      <c r="N215" s="1">
        <v>-109.0</v>
      </c>
      <c r="O215" s="1">
        <v>0.0698651278086124</v>
      </c>
      <c r="P215" s="1" t="s">
        <v>61</v>
      </c>
      <c r="Q215" s="1" t="s">
        <v>61</v>
      </c>
      <c r="R215" s="1">
        <f t="shared" si="1"/>
        <v>0.06986512781</v>
      </c>
      <c r="S215" s="1">
        <f t="shared" si="2"/>
        <v>-109</v>
      </c>
      <c r="T215" s="1">
        <f t="shared" si="3"/>
        <v>1.917431193</v>
      </c>
      <c r="U215" s="1">
        <f t="shared" si="4"/>
        <v>0</v>
      </c>
      <c r="V215" s="3">
        <f t="shared" si="5"/>
        <v>2</v>
      </c>
      <c r="W215" s="3">
        <f t="shared" si="6"/>
        <v>2</v>
      </c>
      <c r="X215" s="3" t="str">
        <f>IFERROR(__xludf.DUMMYFUNCTION("split(B215,"" "")"),"K.")</f>
        <v>K.</v>
      </c>
      <c r="Y215" s="3" t="str">
        <f>IFERROR(__xludf.DUMMYFUNCTION("""COMPUTED_VALUE"""),"Coleman")</f>
        <v>Coleman</v>
      </c>
      <c r="AA215" s="3">
        <v>4.0</v>
      </c>
      <c r="AB215" s="3">
        <f t="shared" si="7"/>
        <v>1</v>
      </c>
      <c r="AC215" s="3">
        <f t="shared" si="8"/>
        <v>0</v>
      </c>
      <c r="AD215" s="3">
        <f t="shared" si="9"/>
        <v>1.834862385</v>
      </c>
      <c r="AE215" s="3">
        <f t="shared" si="10"/>
        <v>-2</v>
      </c>
      <c r="AF215" s="3">
        <f t="shared" si="11"/>
        <v>-2</v>
      </c>
      <c r="AG215" s="3">
        <f t="shared" si="12"/>
        <v>-0.6</v>
      </c>
    </row>
    <row r="216">
      <c r="A216" s="1" t="s">
        <v>9</v>
      </c>
      <c r="B216" s="1" t="s">
        <v>282</v>
      </c>
      <c r="C216" s="1" t="s">
        <v>19</v>
      </c>
      <c r="D216" s="1" t="s">
        <v>58</v>
      </c>
      <c r="E216" s="1" t="s">
        <v>57</v>
      </c>
      <c r="F216" s="1" t="s">
        <v>59</v>
      </c>
      <c r="G216" s="1">
        <v>86.5</v>
      </c>
      <c r="H216" s="1" t="s">
        <v>60</v>
      </c>
      <c r="I216" s="1">
        <v>-116.0</v>
      </c>
      <c r="J216" s="1">
        <v>-0.141456169771212</v>
      </c>
      <c r="K216" s="1" t="s">
        <v>61</v>
      </c>
      <c r="L216" s="1" t="s">
        <v>61</v>
      </c>
      <c r="M216" s="1" t="s">
        <v>62</v>
      </c>
      <c r="N216" s="1">
        <v>-115.0</v>
      </c>
      <c r="O216" s="1">
        <v>0.0695694538193909</v>
      </c>
      <c r="P216" s="1" t="s">
        <v>61</v>
      </c>
      <c r="Q216" s="1" t="s">
        <v>61</v>
      </c>
      <c r="R216" s="1">
        <f t="shared" si="1"/>
        <v>0.06956945382</v>
      </c>
      <c r="S216" s="1">
        <f t="shared" si="2"/>
        <v>-115</v>
      </c>
      <c r="T216" s="1">
        <f t="shared" si="3"/>
        <v>1.869565217</v>
      </c>
      <c r="U216" s="1">
        <f t="shared" si="4"/>
        <v>0</v>
      </c>
      <c r="V216" s="3">
        <f t="shared" si="5"/>
        <v>2</v>
      </c>
      <c r="W216" s="3">
        <f t="shared" si="6"/>
        <v>2</v>
      </c>
      <c r="X216" s="3" t="str">
        <f>IFERROR(__xludf.DUMMYFUNCTION("split(B216,"" "")"),"A.")</f>
        <v>A.</v>
      </c>
      <c r="Y216" s="3" t="str">
        <f>IFERROR(__xludf.DUMMYFUNCTION("""COMPUTED_VALUE"""),"Kamara")</f>
        <v>Kamara</v>
      </c>
      <c r="AA216" s="3">
        <v>110.0</v>
      </c>
      <c r="AB216" s="3">
        <f t="shared" si="7"/>
        <v>1</v>
      </c>
      <c r="AC216" s="3">
        <f t="shared" si="8"/>
        <v>0</v>
      </c>
      <c r="AD216" s="3">
        <f t="shared" si="9"/>
        <v>1.739130435</v>
      </c>
      <c r="AE216" s="3">
        <f t="shared" si="10"/>
        <v>-2</v>
      </c>
      <c r="AF216" s="3">
        <f t="shared" si="11"/>
        <v>-2</v>
      </c>
      <c r="AG216" s="3">
        <f t="shared" si="12"/>
        <v>-0.2716763006</v>
      </c>
    </row>
    <row r="217">
      <c r="A217" s="1" t="s">
        <v>12</v>
      </c>
      <c r="B217" s="1" t="s">
        <v>282</v>
      </c>
      <c r="C217" s="1" t="s">
        <v>19</v>
      </c>
      <c r="D217" s="1" t="s">
        <v>58</v>
      </c>
      <c r="E217" s="1" t="s">
        <v>57</v>
      </c>
      <c r="F217" s="1" t="s">
        <v>59</v>
      </c>
      <c r="G217" s="1">
        <v>4.5</v>
      </c>
      <c r="H217" s="1" t="s">
        <v>60</v>
      </c>
      <c r="I217" s="1">
        <v>113.0</v>
      </c>
      <c r="J217" s="1">
        <v>-0.137230516431924</v>
      </c>
      <c r="K217" s="1" t="s">
        <v>61</v>
      </c>
      <c r="L217" s="1" t="s">
        <v>61</v>
      </c>
      <c r="M217" s="1" t="s">
        <v>62</v>
      </c>
      <c r="N217" s="1">
        <v>-149.0</v>
      </c>
      <c r="O217" s="1">
        <v>0.0693465863453814</v>
      </c>
      <c r="P217" s="1" t="s">
        <v>61</v>
      </c>
      <c r="Q217" s="1" t="s">
        <v>61</v>
      </c>
      <c r="R217" s="1">
        <f t="shared" si="1"/>
        <v>0.06934658635</v>
      </c>
      <c r="S217" s="1">
        <f t="shared" si="2"/>
        <v>-149</v>
      </c>
      <c r="T217" s="1">
        <f t="shared" si="3"/>
        <v>1.67114094</v>
      </c>
      <c r="U217" s="1">
        <f t="shared" si="4"/>
        <v>0</v>
      </c>
      <c r="V217" s="3">
        <f t="shared" si="5"/>
        <v>2</v>
      </c>
      <c r="W217" s="3">
        <f t="shared" si="6"/>
        <v>3</v>
      </c>
      <c r="X217" s="3" t="str">
        <f>IFERROR(__xludf.DUMMYFUNCTION("split(B217,"" "")"),"A.")</f>
        <v>A.</v>
      </c>
      <c r="Y217" s="3" t="str">
        <f>IFERROR(__xludf.DUMMYFUNCTION("""COMPUTED_VALUE"""),"Kamara")</f>
        <v>Kamara</v>
      </c>
      <c r="AA217" s="3">
        <v>5.0</v>
      </c>
      <c r="AB217" s="3">
        <f t="shared" si="7"/>
        <v>1</v>
      </c>
      <c r="AC217" s="3">
        <f t="shared" si="8"/>
        <v>0</v>
      </c>
      <c r="AD217" s="3">
        <f t="shared" si="9"/>
        <v>1.342281879</v>
      </c>
      <c r="AE217" s="3">
        <f t="shared" si="10"/>
        <v>-2</v>
      </c>
      <c r="AF217" s="3">
        <f t="shared" si="11"/>
        <v>-3</v>
      </c>
      <c r="AG217" s="3">
        <f t="shared" si="12"/>
        <v>-0.1111111111</v>
      </c>
    </row>
    <row r="218">
      <c r="A218" s="1" t="s">
        <v>9</v>
      </c>
      <c r="B218" s="1" t="s">
        <v>414</v>
      </c>
      <c r="C218" s="1" t="s">
        <v>18</v>
      </c>
      <c r="D218" s="1" t="s">
        <v>89</v>
      </c>
      <c r="E218" s="1" t="s">
        <v>88</v>
      </c>
      <c r="F218" s="1" t="s">
        <v>90</v>
      </c>
      <c r="G218" s="1">
        <v>21.5</v>
      </c>
      <c r="H218" s="1" t="s">
        <v>60</v>
      </c>
      <c r="I218" s="1">
        <v>-115.0</v>
      </c>
      <c r="J218" s="1">
        <v>0.0692959615369013</v>
      </c>
      <c r="K218" s="1" t="s">
        <v>61</v>
      </c>
      <c r="L218" s="1" t="s">
        <v>61</v>
      </c>
      <c r="M218" s="1" t="s">
        <v>62</v>
      </c>
      <c r="N218" s="1">
        <v>-115.0</v>
      </c>
      <c r="O218" s="1">
        <v>-0.139000355767436</v>
      </c>
      <c r="P218" s="1" t="s">
        <v>61</v>
      </c>
      <c r="Q218" s="1" t="s">
        <v>61</v>
      </c>
      <c r="R218" s="1">
        <f t="shared" si="1"/>
        <v>0.06929596154</v>
      </c>
      <c r="S218" s="1">
        <f t="shared" si="2"/>
        <v>-115</v>
      </c>
      <c r="T218" s="1">
        <f t="shared" si="3"/>
        <v>1.869565217</v>
      </c>
      <c r="U218" s="1">
        <f t="shared" si="4"/>
        <v>1</v>
      </c>
      <c r="V218" s="3">
        <f t="shared" si="5"/>
        <v>2</v>
      </c>
      <c r="W218" s="3">
        <f t="shared" si="6"/>
        <v>2</v>
      </c>
      <c r="X218" s="3" t="str">
        <f>IFERROR(__xludf.DUMMYFUNCTION("split(B218,"" "")"),"E.")</f>
        <v>E.</v>
      </c>
      <c r="Y218" s="3" t="str">
        <f>IFERROR(__xludf.DUMMYFUNCTION("""COMPUTED_VALUE"""),"Moore")</f>
        <v>Moore</v>
      </c>
      <c r="AA218" s="3">
        <v>9.0</v>
      </c>
      <c r="AB218" s="3">
        <f t="shared" si="7"/>
        <v>0</v>
      </c>
      <c r="AC218" s="3">
        <f t="shared" si="8"/>
        <v>0</v>
      </c>
      <c r="AD218" s="3">
        <f t="shared" si="9"/>
        <v>1.739130435</v>
      </c>
      <c r="AE218" s="3">
        <f t="shared" si="10"/>
        <v>-2</v>
      </c>
      <c r="AF218" s="3">
        <f t="shared" si="11"/>
        <v>-2</v>
      </c>
      <c r="AG218" s="3">
        <f t="shared" si="12"/>
        <v>-0.5813953488</v>
      </c>
    </row>
    <row r="219">
      <c r="A219" s="1" t="s">
        <v>8</v>
      </c>
      <c r="B219" s="1" t="s">
        <v>318</v>
      </c>
      <c r="C219" s="1" t="s">
        <v>21</v>
      </c>
      <c r="D219" s="1" t="s">
        <v>67</v>
      </c>
      <c r="E219" s="1" t="s">
        <v>66</v>
      </c>
      <c r="F219" s="1" t="s">
        <v>59</v>
      </c>
      <c r="G219" s="1">
        <v>3.5</v>
      </c>
      <c r="H219" s="1" t="s">
        <v>60</v>
      </c>
      <c r="I219" s="1">
        <v>115.0</v>
      </c>
      <c r="J219" s="1">
        <v>-0.140110169856464</v>
      </c>
      <c r="K219" s="1" t="s">
        <v>61</v>
      </c>
      <c r="L219" s="1" t="s">
        <v>61</v>
      </c>
      <c r="M219" s="1" t="s">
        <v>62</v>
      </c>
      <c r="N219" s="1">
        <v>-155.0</v>
      </c>
      <c r="O219" s="1">
        <v>0.0671499202205172</v>
      </c>
      <c r="P219" s="1" t="s">
        <v>61</v>
      </c>
      <c r="Q219" s="1" t="s">
        <v>61</v>
      </c>
      <c r="R219" s="1">
        <f t="shared" si="1"/>
        <v>0.06714992022</v>
      </c>
      <c r="S219" s="1">
        <f t="shared" si="2"/>
        <v>-155</v>
      </c>
      <c r="T219" s="1">
        <f t="shared" si="3"/>
        <v>1.64516129</v>
      </c>
      <c r="U219" s="1">
        <f t="shared" si="4"/>
        <v>0</v>
      </c>
      <c r="V219" s="3">
        <f t="shared" si="5"/>
        <v>2</v>
      </c>
      <c r="W219" s="3">
        <f t="shared" si="6"/>
        <v>3</v>
      </c>
      <c r="X219" s="3" t="str">
        <f>IFERROR(__xludf.DUMMYFUNCTION("split(B219,"" "")"),"J.")</f>
        <v>J.</v>
      </c>
      <c r="Y219" s="3" t="str">
        <f>IFERROR(__xludf.DUMMYFUNCTION("""COMPUTED_VALUE"""),"Burrow")</f>
        <v>Burrow</v>
      </c>
      <c r="AA219" s="3">
        <v>4.0</v>
      </c>
      <c r="AB219" s="3">
        <f t="shared" si="7"/>
        <v>1</v>
      </c>
      <c r="AC219" s="3">
        <f t="shared" si="8"/>
        <v>0</v>
      </c>
      <c r="AD219" s="3">
        <f t="shared" si="9"/>
        <v>1.290322581</v>
      </c>
      <c r="AE219" s="3">
        <f t="shared" si="10"/>
        <v>-2</v>
      </c>
      <c r="AF219" s="3">
        <f t="shared" si="11"/>
        <v>-3</v>
      </c>
      <c r="AG219" s="3">
        <f t="shared" si="12"/>
        <v>-0.1428571429</v>
      </c>
    </row>
    <row r="220">
      <c r="A220" s="1" t="s">
        <v>10</v>
      </c>
      <c r="B220" s="1" t="s">
        <v>65</v>
      </c>
      <c r="C220" s="1" t="s">
        <v>21</v>
      </c>
      <c r="D220" s="1" t="s">
        <v>66</v>
      </c>
      <c r="E220" s="1" t="s">
        <v>67</v>
      </c>
      <c r="F220" s="1" t="s">
        <v>59</v>
      </c>
      <c r="G220" s="1">
        <v>10.5</v>
      </c>
      <c r="H220" s="1" t="s">
        <v>60</v>
      </c>
      <c r="I220" s="1">
        <v>-120.0</v>
      </c>
      <c r="J220" s="1">
        <v>-0.135103068600404</v>
      </c>
      <c r="K220" s="1" t="s">
        <v>61</v>
      </c>
      <c r="L220" s="1" t="s">
        <v>61</v>
      </c>
      <c r="M220" s="1" t="s">
        <v>62</v>
      </c>
      <c r="N220" s="1">
        <v>-110.0</v>
      </c>
      <c r="O220" s="1">
        <v>0.0659073457204657</v>
      </c>
      <c r="P220" s="1" t="s">
        <v>61</v>
      </c>
      <c r="Q220" s="1" t="s">
        <v>61</v>
      </c>
      <c r="R220" s="1">
        <f t="shared" si="1"/>
        <v>0.06590734572</v>
      </c>
      <c r="S220" s="1">
        <f t="shared" si="2"/>
        <v>-110</v>
      </c>
      <c r="T220" s="1">
        <f t="shared" si="3"/>
        <v>1.909090909</v>
      </c>
      <c r="U220" s="1">
        <f t="shared" si="4"/>
        <v>0</v>
      </c>
      <c r="V220" s="3">
        <f t="shared" si="5"/>
        <v>2</v>
      </c>
      <c r="W220" s="3">
        <f t="shared" si="6"/>
        <v>2</v>
      </c>
      <c r="X220" s="3" t="str">
        <f>IFERROR(__xludf.DUMMYFUNCTION("split(B220,"" "")"),"J.")</f>
        <v>J.</v>
      </c>
      <c r="Y220" s="3" t="str">
        <f>IFERROR(__xludf.DUMMYFUNCTION("""COMPUTED_VALUE"""),"Brissett")</f>
        <v>Brissett</v>
      </c>
      <c r="AA220" s="3">
        <v>32.0</v>
      </c>
      <c r="AB220" s="3">
        <f t="shared" si="7"/>
        <v>1</v>
      </c>
      <c r="AC220" s="3">
        <f t="shared" si="8"/>
        <v>0</v>
      </c>
      <c r="AD220" s="3">
        <f t="shared" si="9"/>
        <v>1.818181818</v>
      </c>
      <c r="AE220" s="3">
        <f t="shared" si="10"/>
        <v>-2</v>
      </c>
      <c r="AF220" s="3">
        <f t="shared" si="11"/>
        <v>-2</v>
      </c>
      <c r="AG220" s="3">
        <f t="shared" si="12"/>
        <v>-2.047619048</v>
      </c>
    </row>
    <row r="221">
      <c r="A221" s="1" t="s">
        <v>11</v>
      </c>
      <c r="B221" s="1" t="s">
        <v>116</v>
      </c>
      <c r="C221" s="1" t="s">
        <v>18</v>
      </c>
      <c r="D221" s="1" t="s">
        <v>57</v>
      </c>
      <c r="E221" s="1" t="s">
        <v>58</v>
      </c>
      <c r="F221" s="1" t="s">
        <v>59</v>
      </c>
      <c r="G221" s="1">
        <v>39.5</v>
      </c>
      <c r="H221" s="1" t="s">
        <v>60</v>
      </c>
      <c r="I221" s="1">
        <v>-112.0</v>
      </c>
      <c r="J221" s="1">
        <v>-0.138224292369386</v>
      </c>
      <c r="K221" s="1" t="s">
        <v>61</v>
      </c>
      <c r="L221" s="1" t="s">
        <v>61</v>
      </c>
      <c r="M221" s="1" t="s">
        <v>62</v>
      </c>
      <c r="N221" s="1">
        <v>-120.0</v>
      </c>
      <c r="O221" s="1">
        <v>0.0645012795624182</v>
      </c>
      <c r="P221" s="1" t="s">
        <v>61</v>
      </c>
      <c r="Q221" s="1" t="s">
        <v>61</v>
      </c>
      <c r="R221" s="1">
        <f t="shared" si="1"/>
        <v>0.06450127956</v>
      </c>
      <c r="S221" s="1">
        <f t="shared" si="2"/>
        <v>-120</v>
      </c>
      <c r="T221" s="1">
        <f t="shared" si="3"/>
        <v>1.833333333</v>
      </c>
      <c r="U221" s="1">
        <f t="shared" si="4"/>
        <v>0</v>
      </c>
      <c r="V221" s="3">
        <f t="shared" si="5"/>
        <v>2</v>
      </c>
      <c r="W221" s="3">
        <f t="shared" si="6"/>
        <v>3</v>
      </c>
      <c r="X221" s="3" t="str">
        <f>IFERROR(__xludf.DUMMYFUNCTION("split(B221,"" "")"),"A.")</f>
        <v>A.</v>
      </c>
      <c r="Y221" s="3" t="str">
        <f>IFERROR(__xludf.DUMMYFUNCTION("""COMPUTED_VALUE"""),"Thielen")</f>
        <v>Thielen</v>
      </c>
      <c r="AA221" s="3">
        <v>49.0</v>
      </c>
      <c r="AB221" s="3">
        <f t="shared" si="7"/>
        <v>1</v>
      </c>
      <c r="AC221" s="3">
        <f t="shared" si="8"/>
        <v>0</v>
      </c>
      <c r="AD221" s="3">
        <f t="shared" si="9"/>
        <v>1.666666667</v>
      </c>
      <c r="AE221" s="3">
        <f t="shared" si="10"/>
        <v>-2</v>
      </c>
      <c r="AF221" s="3">
        <f t="shared" si="11"/>
        <v>-3</v>
      </c>
      <c r="AG221" s="3">
        <f t="shared" si="12"/>
        <v>-0.2405063291</v>
      </c>
    </row>
    <row r="222">
      <c r="A222" s="1" t="s">
        <v>8</v>
      </c>
      <c r="B222" s="1" t="s">
        <v>458</v>
      </c>
      <c r="C222" s="1" t="s">
        <v>19</v>
      </c>
      <c r="D222" s="1" t="s">
        <v>104</v>
      </c>
      <c r="E222" s="1" t="s">
        <v>105</v>
      </c>
      <c r="F222" s="1" t="s">
        <v>59</v>
      </c>
      <c r="G222" s="1">
        <v>13.5</v>
      </c>
      <c r="H222" s="1" t="s">
        <v>60</v>
      </c>
      <c r="I222" s="1">
        <v>-127.0</v>
      </c>
      <c r="J222" s="1">
        <v>-0.133224930897797</v>
      </c>
      <c r="K222" s="1" t="s">
        <v>61</v>
      </c>
      <c r="L222" s="1" t="s">
        <v>61</v>
      </c>
      <c r="M222" s="1" t="s">
        <v>62</v>
      </c>
      <c r="N222" s="1">
        <v>-104.0</v>
      </c>
      <c r="O222" s="1">
        <v>0.0639423415997647</v>
      </c>
      <c r="P222" s="1" t="s">
        <v>61</v>
      </c>
      <c r="Q222" s="1" t="s">
        <v>61</v>
      </c>
      <c r="R222" s="1">
        <f t="shared" si="1"/>
        <v>0.0639423416</v>
      </c>
      <c r="S222" s="1">
        <f t="shared" si="2"/>
        <v>-104</v>
      </c>
      <c r="T222" s="1">
        <f t="shared" si="3"/>
        <v>1.961538462</v>
      </c>
      <c r="U222" s="1">
        <f t="shared" si="4"/>
        <v>0</v>
      </c>
      <c r="V222" s="3">
        <f t="shared" si="5"/>
        <v>2</v>
      </c>
      <c r="W222" s="3">
        <f t="shared" si="6"/>
        <v>2</v>
      </c>
      <c r="X222" s="3" t="str">
        <f>IFERROR(__xludf.DUMMYFUNCTION("split(B222,"" "")"),"J.")</f>
        <v>J.</v>
      </c>
      <c r="Y222" s="3" t="str">
        <f>IFERROR(__xludf.DUMMYFUNCTION("""COMPUTED_VALUE"""),"Cook")</f>
        <v>Cook</v>
      </c>
      <c r="AA222" s="3">
        <v>19.0</v>
      </c>
      <c r="AB222" s="3">
        <f t="shared" si="7"/>
        <v>1</v>
      </c>
      <c r="AC222" s="3">
        <f t="shared" si="8"/>
        <v>0</v>
      </c>
      <c r="AD222" s="3">
        <f t="shared" si="9"/>
        <v>1.923076923</v>
      </c>
      <c r="AE222" s="3">
        <f t="shared" si="10"/>
        <v>-2</v>
      </c>
      <c r="AF222" s="3">
        <f t="shared" si="11"/>
        <v>-2</v>
      </c>
      <c r="AG222" s="3">
        <f t="shared" si="12"/>
        <v>-0.4074074074</v>
      </c>
    </row>
    <row r="223">
      <c r="A223" s="1" t="s">
        <v>12</v>
      </c>
      <c r="B223" s="1" t="s">
        <v>494</v>
      </c>
      <c r="C223" s="1" t="s">
        <v>20</v>
      </c>
      <c r="D223" s="1" t="s">
        <v>134</v>
      </c>
      <c r="E223" s="1" t="s">
        <v>135</v>
      </c>
      <c r="F223" s="1" t="s">
        <v>84</v>
      </c>
      <c r="G223" s="1">
        <v>3.5</v>
      </c>
      <c r="H223" s="1" t="s">
        <v>60</v>
      </c>
      <c r="I223" s="1">
        <v>-114.0</v>
      </c>
      <c r="J223" s="1">
        <v>-0.128603738317756</v>
      </c>
      <c r="K223" s="1" t="s">
        <v>61</v>
      </c>
      <c r="L223" s="1" t="s">
        <v>61</v>
      </c>
      <c r="M223" s="1" t="s">
        <v>62</v>
      </c>
      <c r="N223" s="1">
        <v>-114.0</v>
      </c>
      <c r="O223" s="1">
        <v>0.063196261682243</v>
      </c>
      <c r="P223" s="1" t="s">
        <v>61</v>
      </c>
      <c r="Q223" s="1" t="s">
        <v>61</v>
      </c>
      <c r="R223" s="1">
        <f t="shared" si="1"/>
        <v>0.06319626168</v>
      </c>
      <c r="S223" s="1">
        <f t="shared" si="2"/>
        <v>-114</v>
      </c>
      <c r="T223" s="1">
        <f t="shared" si="3"/>
        <v>1.877192982</v>
      </c>
      <c r="U223" s="1">
        <f t="shared" si="4"/>
        <v>0</v>
      </c>
      <c r="V223" s="3">
        <f t="shared" si="5"/>
        <v>2</v>
      </c>
      <c r="W223" s="3">
        <f t="shared" si="6"/>
        <v>2</v>
      </c>
      <c r="X223" s="3" t="str">
        <f>IFERROR(__xludf.DUMMYFUNCTION("split(B223,"" "")"),"B.")</f>
        <v>B.</v>
      </c>
      <c r="Y223" s="3" t="str">
        <f>IFERROR(__xludf.DUMMYFUNCTION("""COMPUTED_VALUE"""),"Bowers")</f>
        <v>Bowers</v>
      </c>
      <c r="AA223" s="3">
        <v>6.0</v>
      </c>
      <c r="AB223" s="3">
        <f t="shared" si="7"/>
        <v>1</v>
      </c>
      <c r="AC223" s="3">
        <f t="shared" si="8"/>
        <v>0</v>
      </c>
      <c r="AD223" s="3">
        <f t="shared" si="9"/>
        <v>1.754385965</v>
      </c>
      <c r="AE223" s="3">
        <f t="shared" si="10"/>
        <v>-2</v>
      </c>
      <c r="AF223" s="3">
        <f t="shared" si="11"/>
        <v>-2</v>
      </c>
      <c r="AG223" s="3">
        <f t="shared" si="12"/>
        <v>-0.7142857143</v>
      </c>
    </row>
    <row r="224">
      <c r="A224" s="1" t="s">
        <v>14</v>
      </c>
      <c r="B224" s="1" t="s">
        <v>297</v>
      </c>
      <c r="C224" s="1" t="s">
        <v>21</v>
      </c>
      <c r="D224" s="1" t="s">
        <v>157</v>
      </c>
      <c r="E224" s="1" t="s">
        <v>156</v>
      </c>
      <c r="F224" s="1" t="s">
        <v>158</v>
      </c>
      <c r="G224" s="1">
        <v>1.5</v>
      </c>
      <c r="H224" s="1" t="s">
        <v>60</v>
      </c>
      <c r="I224" s="1">
        <v>-157.0</v>
      </c>
      <c r="J224" s="6">
        <v>-0.125733852140077</v>
      </c>
      <c r="K224" s="1" t="s">
        <v>61</v>
      </c>
      <c r="L224" s="1" t="s">
        <v>61</v>
      </c>
      <c r="M224" s="1" t="s">
        <v>62</v>
      </c>
      <c r="N224" s="1">
        <v>121.0</v>
      </c>
      <c r="O224" s="6">
        <v>0.0623565610859728</v>
      </c>
      <c r="P224" s="1" t="s">
        <v>61</v>
      </c>
      <c r="Q224" s="1" t="s">
        <v>61</v>
      </c>
      <c r="R224" s="6">
        <f t="shared" si="1"/>
        <v>0.06235656109</v>
      </c>
      <c r="S224" s="1">
        <f t="shared" si="2"/>
        <v>121</v>
      </c>
      <c r="T224" s="1">
        <f t="shared" si="3"/>
        <v>2.21</v>
      </c>
      <c r="U224" s="1">
        <f t="shared" si="4"/>
        <v>0</v>
      </c>
      <c r="V224" s="3">
        <f t="shared" si="5"/>
        <v>2</v>
      </c>
      <c r="W224" s="3">
        <f t="shared" si="6"/>
        <v>1</v>
      </c>
      <c r="X224" s="3" t="str">
        <f>IFERROR(__xludf.DUMMYFUNCTION("split(B224,"" "")"),"J.")</f>
        <v>J.</v>
      </c>
      <c r="Y224" s="3" t="str">
        <f>IFERROR(__xludf.DUMMYFUNCTION("""COMPUTED_VALUE"""),"Love")</f>
        <v>Love</v>
      </c>
      <c r="AA224" s="3">
        <v>2.0</v>
      </c>
      <c r="AB224" s="3">
        <f t="shared" si="7"/>
        <v>1</v>
      </c>
      <c r="AC224" s="3">
        <f t="shared" si="8"/>
        <v>0</v>
      </c>
      <c r="AD224" s="3">
        <f t="shared" si="9"/>
        <v>2.42</v>
      </c>
      <c r="AE224" s="3">
        <f t="shared" si="10"/>
        <v>-2</v>
      </c>
      <c r="AF224" s="3">
        <f t="shared" si="11"/>
        <v>-1</v>
      </c>
      <c r="AG224" s="3">
        <f t="shared" si="12"/>
        <v>-0.3333333333</v>
      </c>
    </row>
    <row r="225">
      <c r="A225" s="1" t="s">
        <v>11</v>
      </c>
      <c r="B225" s="1" t="s">
        <v>493</v>
      </c>
      <c r="C225" s="1" t="s">
        <v>18</v>
      </c>
      <c r="D225" s="1" t="s">
        <v>76</v>
      </c>
      <c r="E225" s="1" t="s">
        <v>77</v>
      </c>
      <c r="F225" s="1" t="s">
        <v>78</v>
      </c>
      <c r="G225" s="1">
        <v>62.5</v>
      </c>
      <c r="H225" s="1" t="s">
        <v>60</v>
      </c>
      <c r="I225" s="1">
        <v>-118.0</v>
      </c>
      <c r="J225" s="6">
        <v>-0.122656479650622</v>
      </c>
      <c r="K225" s="1" t="s">
        <v>61</v>
      </c>
      <c r="L225" s="1" t="s">
        <v>61</v>
      </c>
      <c r="M225" s="1" t="s">
        <v>62</v>
      </c>
      <c r="N225" s="1">
        <v>-108.0</v>
      </c>
      <c r="O225" s="6">
        <v>0.0621101580334605</v>
      </c>
      <c r="P225" s="1" t="s">
        <v>61</v>
      </c>
      <c r="Q225" s="1" t="s">
        <v>61</v>
      </c>
      <c r="R225" s="6">
        <f t="shared" si="1"/>
        <v>0.06211015803</v>
      </c>
      <c r="S225" s="1">
        <f t="shared" si="2"/>
        <v>-108</v>
      </c>
      <c r="T225" s="1">
        <f t="shared" si="3"/>
        <v>1.925925926</v>
      </c>
      <c r="U225" s="1">
        <f t="shared" si="4"/>
        <v>0</v>
      </c>
      <c r="V225" s="3">
        <f t="shared" si="5"/>
        <v>2</v>
      </c>
      <c r="W225" s="3">
        <f t="shared" si="6"/>
        <v>2</v>
      </c>
      <c r="X225" s="3" t="str">
        <f>IFERROR(__xludf.DUMMYFUNCTION("split(B225,"" "")"),"R.")</f>
        <v>R.</v>
      </c>
      <c r="Y225" s="3" t="str">
        <f>IFERROR(__xludf.DUMMYFUNCTION("""COMPUTED_VALUE"""),"Rice")</f>
        <v>Rice</v>
      </c>
      <c r="AA225" s="3">
        <v>103.0</v>
      </c>
      <c r="AB225" s="3">
        <f t="shared" si="7"/>
        <v>1</v>
      </c>
      <c r="AC225" s="3">
        <f t="shared" si="8"/>
        <v>0</v>
      </c>
      <c r="AD225" s="3">
        <f t="shared" si="9"/>
        <v>1.851851852</v>
      </c>
      <c r="AE225" s="3">
        <f t="shared" si="10"/>
        <v>-2</v>
      </c>
      <c r="AF225" s="3">
        <f t="shared" si="11"/>
        <v>-2</v>
      </c>
      <c r="AG225" s="3">
        <f t="shared" si="12"/>
        <v>-0.648</v>
      </c>
    </row>
    <row r="226">
      <c r="A226" s="1" t="s">
        <v>12</v>
      </c>
      <c r="B226" s="1" t="s">
        <v>293</v>
      </c>
      <c r="C226" s="1" t="s">
        <v>19</v>
      </c>
      <c r="D226" s="1" t="s">
        <v>67</v>
      </c>
      <c r="E226" s="1" t="s">
        <v>66</v>
      </c>
      <c r="F226" s="1" t="s">
        <v>59</v>
      </c>
      <c r="G226" s="1">
        <v>2.5</v>
      </c>
      <c r="H226" s="1" t="s">
        <v>60</v>
      </c>
      <c r="I226" s="1">
        <v>130.0</v>
      </c>
      <c r="J226" s="1">
        <v>-0.125275967221739</v>
      </c>
      <c r="K226" s="1" t="s">
        <v>61</v>
      </c>
      <c r="L226" s="1" t="s">
        <v>61</v>
      </c>
      <c r="M226" s="1" t="s">
        <v>62</v>
      </c>
      <c r="N226" s="1">
        <v>-170.0</v>
      </c>
      <c r="O226" s="1">
        <v>0.0608629720333333</v>
      </c>
      <c r="P226" s="1" t="s">
        <v>61</v>
      </c>
      <c r="Q226" s="1" t="s">
        <v>61</v>
      </c>
      <c r="R226" s="1">
        <f t="shared" si="1"/>
        <v>0.06086297203</v>
      </c>
      <c r="S226" s="1">
        <f t="shared" si="2"/>
        <v>-170</v>
      </c>
      <c r="T226" s="1">
        <f t="shared" si="3"/>
        <v>1.588235294</v>
      </c>
      <c r="U226" s="1">
        <f t="shared" si="4"/>
        <v>0</v>
      </c>
      <c r="V226" s="3">
        <f t="shared" si="5"/>
        <v>2</v>
      </c>
      <c r="W226" s="3">
        <f t="shared" si="6"/>
        <v>3</v>
      </c>
      <c r="X226" s="3" t="str">
        <f>IFERROR(__xludf.DUMMYFUNCTION("split(B226,"" "")"),"C.")</f>
        <v>C.</v>
      </c>
      <c r="Y226" s="3" t="str">
        <f>IFERROR(__xludf.DUMMYFUNCTION("""COMPUTED_VALUE"""),"Brown")</f>
        <v>Brown</v>
      </c>
      <c r="AA226" s="3">
        <v>3.0</v>
      </c>
      <c r="AB226" s="3">
        <f t="shared" si="7"/>
        <v>1</v>
      </c>
      <c r="AC226" s="3">
        <f t="shared" si="8"/>
        <v>0</v>
      </c>
      <c r="AD226" s="3">
        <f t="shared" si="9"/>
        <v>1.176470588</v>
      </c>
      <c r="AE226" s="3">
        <f t="shared" si="10"/>
        <v>-2</v>
      </c>
      <c r="AF226" s="3">
        <f t="shared" si="11"/>
        <v>-3</v>
      </c>
      <c r="AG226" s="3">
        <f t="shared" si="12"/>
        <v>-0.2</v>
      </c>
    </row>
    <row r="227">
      <c r="A227" s="1" t="s">
        <v>10</v>
      </c>
      <c r="B227" s="1" t="s">
        <v>127</v>
      </c>
      <c r="C227" s="1" t="s">
        <v>19</v>
      </c>
      <c r="D227" s="1" t="s">
        <v>58</v>
      </c>
      <c r="E227" s="1" t="s">
        <v>57</v>
      </c>
      <c r="F227" s="1" t="s">
        <v>59</v>
      </c>
      <c r="G227" s="1">
        <v>24.5</v>
      </c>
      <c r="H227" s="1" t="s">
        <v>60</v>
      </c>
      <c r="I227" s="1">
        <v>-115.0</v>
      </c>
      <c r="J227" s="1">
        <v>-0.131437282689312</v>
      </c>
      <c r="K227" s="1" t="s">
        <v>61</v>
      </c>
      <c r="L227" s="1" t="s">
        <v>61</v>
      </c>
      <c r="M227" s="1" t="s">
        <v>62</v>
      </c>
      <c r="N227" s="1">
        <v>-116.0</v>
      </c>
      <c r="O227" s="1">
        <v>0.0594784180681228</v>
      </c>
      <c r="P227" s="1" t="s">
        <v>61</v>
      </c>
      <c r="Q227" s="1" t="s">
        <v>61</v>
      </c>
      <c r="R227" s="1">
        <f t="shared" si="1"/>
        <v>0.05947841807</v>
      </c>
      <c r="S227" s="1">
        <f t="shared" si="2"/>
        <v>-116</v>
      </c>
      <c r="T227" s="1">
        <f t="shared" si="3"/>
        <v>1.862068966</v>
      </c>
      <c r="U227" s="1">
        <f t="shared" si="4"/>
        <v>0</v>
      </c>
      <c r="V227" s="3">
        <f t="shared" si="5"/>
        <v>2</v>
      </c>
      <c r="W227" s="3">
        <f t="shared" si="6"/>
        <v>2</v>
      </c>
      <c r="X227" s="3" t="str">
        <f>IFERROR(__xludf.DUMMYFUNCTION("split(B227,"" "")"),"J.")</f>
        <v>J.</v>
      </c>
      <c r="Y227" s="3" t="str">
        <f>IFERROR(__xludf.DUMMYFUNCTION("""COMPUTED_VALUE"""),"Williams")</f>
        <v>Williams</v>
      </c>
      <c r="AA227" s="3">
        <v>38.0</v>
      </c>
      <c r="AB227" s="3">
        <f t="shared" si="7"/>
        <v>1</v>
      </c>
      <c r="AC227" s="3">
        <f t="shared" si="8"/>
        <v>0</v>
      </c>
      <c r="AD227" s="3">
        <f t="shared" si="9"/>
        <v>1.724137931</v>
      </c>
      <c r="AE227" s="3">
        <f t="shared" si="10"/>
        <v>-2</v>
      </c>
      <c r="AF227" s="3">
        <f t="shared" si="11"/>
        <v>-2</v>
      </c>
      <c r="AG227" s="3">
        <f t="shared" si="12"/>
        <v>-0.5510204082</v>
      </c>
    </row>
    <row r="228">
      <c r="A228" s="1" t="s">
        <v>12</v>
      </c>
      <c r="B228" s="1" t="s">
        <v>475</v>
      </c>
      <c r="C228" s="1" t="s">
        <v>18</v>
      </c>
      <c r="D228" s="1" t="s">
        <v>94</v>
      </c>
      <c r="E228" s="1" t="s">
        <v>93</v>
      </c>
      <c r="F228" s="1" t="s">
        <v>59</v>
      </c>
      <c r="G228" s="1">
        <v>4.5</v>
      </c>
      <c r="H228" s="1" t="s">
        <v>60</v>
      </c>
      <c r="I228" s="1">
        <v>-147.0</v>
      </c>
      <c r="J228" s="1">
        <v>-0.126301214574898</v>
      </c>
      <c r="K228" s="1" t="s">
        <v>61</v>
      </c>
      <c r="L228" s="1" t="s">
        <v>61</v>
      </c>
      <c r="M228" s="1" t="s">
        <v>62</v>
      </c>
      <c r="N228" s="1">
        <v>112.0</v>
      </c>
      <c r="O228" s="1">
        <v>0.0594547169811321</v>
      </c>
      <c r="P228" s="1" t="s">
        <v>61</v>
      </c>
      <c r="Q228" s="1" t="s">
        <v>61</v>
      </c>
      <c r="R228" s="1">
        <f t="shared" si="1"/>
        <v>0.05945471698</v>
      </c>
      <c r="S228" s="1">
        <f t="shared" si="2"/>
        <v>112</v>
      </c>
      <c r="T228" s="1">
        <f t="shared" si="3"/>
        <v>2.12</v>
      </c>
      <c r="U228" s="1">
        <f t="shared" si="4"/>
        <v>0</v>
      </c>
      <c r="V228" s="3">
        <f t="shared" si="5"/>
        <v>2</v>
      </c>
      <c r="W228" s="3">
        <f t="shared" si="6"/>
        <v>1</v>
      </c>
      <c r="X228" s="3" t="str">
        <f>IFERROR(__xludf.DUMMYFUNCTION("split(B228,"" "")"),"J.")</f>
        <v>J.</v>
      </c>
      <c r="Y228" s="3" t="str">
        <f>IFERROR(__xludf.DUMMYFUNCTION("""COMPUTED_VALUE"""),"Waddle")</f>
        <v>Waddle</v>
      </c>
      <c r="AA228" s="3">
        <v>5.0</v>
      </c>
      <c r="AB228" s="3">
        <f t="shared" si="7"/>
        <v>1</v>
      </c>
      <c r="AC228" s="3">
        <f t="shared" si="8"/>
        <v>0</v>
      </c>
      <c r="AD228" s="3">
        <f t="shared" si="9"/>
        <v>2.24</v>
      </c>
      <c r="AE228" s="3">
        <f t="shared" si="10"/>
        <v>-2</v>
      </c>
      <c r="AF228" s="3">
        <f t="shared" si="11"/>
        <v>-1</v>
      </c>
      <c r="AG228" s="3">
        <f t="shared" si="12"/>
        <v>-0.1111111111</v>
      </c>
    </row>
    <row r="229">
      <c r="A229" s="1" t="s">
        <v>8</v>
      </c>
      <c r="B229" s="1" t="s">
        <v>345</v>
      </c>
      <c r="C229" s="1" t="s">
        <v>19</v>
      </c>
      <c r="D229" s="1" t="s">
        <v>105</v>
      </c>
      <c r="E229" s="1" t="s">
        <v>104</v>
      </c>
      <c r="F229" s="1" t="s">
        <v>59</v>
      </c>
      <c r="G229" s="1">
        <v>12.5</v>
      </c>
      <c r="H229" s="1" t="s">
        <v>60</v>
      </c>
      <c r="I229" s="1">
        <v>-134.0</v>
      </c>
      <c r="J229" s="1">
        <v>-0.126548549269658</v>
      </c>
      <c r="K229" s="1" t="s">
        <v>61</v>
      </c>
      <c r="L229" s="1" t="s">
        <v>61</v>
      </c>
      <c r="M229" s="1" t="s">
        <v>62</v>
      </c>
      <c r="N229" s="1">
        <v>102.0</v>
      </c>
      <c r="O229" s="1">
        <v>0.0588493095499999</v>
      </c>
      <c r="P229" s="1" t="s">
        <v>61</v>
      </c>
      <c r="Q229" s="1" t="s">
        <v>61</v>
      </c>
      <c r="R229" s="1">
        <f t="shared" si="1"/>
        <v>0.05884930955</v>
      </c>
      <c r="S229" s="1">
        <f t="shared" si="2"/>
        <v>102</v>
      </c>
      <c r="T229" s="1">
        <f t="shared" si="3"/>
        <v>2.02</v>
      </c>
      <c r="U229" s="1">
        <f t="shared" si="4"/>
        <v>0</v>
      </c>
      <c r="V229" s="3">
        <f t="shared" si="5"/>
        <v>2</v>
      </c>
      <c r="W229" s="3">
        <f t="shared" si="6"/>
        <v>2</v>
      </c>
      <c r="X229" s="3" t="str">
        <f>IFERROR(__xludf.DUMMYFUNCTION("split(B229,"" "")"),"J.")</f>
        <v>J.</v>
      </c>
      <c r="Y229" s="3" t="str">
        <f>IFERROR(__xludf.DUMMYFUNCTION("""COMPUTED_VALUE"""),"Conner")</f>
        <v>Conner</v>
      </c>
      <c r="AA229" s="3">
        <v>16.0</v>
      </c>
      <c r="AB229" s="3">
        <f t="shared" si="7"/>
        <v>1</v>
      </c>
      <c r="AC229" s="3">
        <f t="shared" si="8"/>
        <v>0</v>
      </c>
      <c r="AD229" s="3">
        <f t="shared" si="9"/>
        <v>2.04</v>
      </c>
      <c r="AE229" s="3">
        <f t="shared" si="10"/>
        <v>-2</v>
      </c>
      <c r="AF229" s="3">
        <f t="shared" si="11"/>
        <v>-2</v>
      </c>
      <c r="AG229" s="3">
        <f t="shared" si="12"/>
        <v>-0.28</v>
      </c>
    </row>
    <row r="230">
      <c r="A230" s="1" t="s">
        <v>17</v>
      </c>
      <c r="B230" s="1" t="s">
        <v>464</v>
      </c>
      <c r="C230" s="1" t="s">
        <v>21</v>
      </c>
      <c r="D230" s="1" t="s">
        <v>83</v>
      </c>
      <c r="E230" s="1" t="s">
        <v>82</v>
      </c>
      <c r="F230" s="1" t="s">
        <v>84</v>
      </c>
      <c r="G230" s="1">
        <v>0.5</v>
      </c>
      <c r="H230" s="1" t="s">
        <v>60</v>
      </c>
      <c r="I230" s="1">
        <v>-151.0</v>
      </c>
      <c r="J230" s="1">
        <v>-0.131993625498007</v>
      </c>
      <c r="K230" s="1" t="s">
        <v>61</v>
      </c>
      <c r="L230" s="1" t="s">
        <v>61</v>
      </c>
      <c r="M230" s="1" t="s">
        <v>62</v>
      </c>
      <c r="N230" s="1">
        <v>112.0</v>
      </c>
      <c r="O230" s="1">
        <v>0.0587018867924528</v>
      </c>
      <c r="P230" s="1" t="s">
        <v>61</v>
      </c>
      <c r="Q230" s="1" t="s">
        <v>61</v>
      </c>
      <c r="R230" s="1">
        <f t="shared" si="1"/>
        <v>0.05870188679</v>
      </c>
      <c r="S230" s="1">
        <f t="shared" si="2"/>
        <v>112</v>
      </c>
      <c r="T230" s="1">
        <f t="shared" si="3"/>
        <v>2.12</v>
      </c>
      <c r="U230" s="1">
        <f t="shared" si="4"/>
        <v>0</v>
      </c>
      <c r="V230" s="3">
        <f t="shared" si="5"/>
        <v>2</v>
      </c>
      <c r="W230" s="3">
        <f t="shared" si="6"/>
        <v>1</v>
      </c>
      <c r="X230" s="3" t="str">
        <f>IFERROR(__xludf.DUMMYFUNCTION("split(B230,"" "")"),"B.")</f>
        <v>B.</v>
      </c>
      <c r="Y230" s="3" t="str">
        <f>IFERROR(__xludf.DUMMYFUNCTION("""COMPUTED_VALUE"""),"Nix")</f>
        <v>Nix</v>
      </c>
      <c r="AA230" s="3">
        <v>2.0</v>
      </c>
      <c r="AB230" s="3">
        <f t="shared" si="7"/>
        <v>1</v>
      </c>
      <c r="AC230" s="3">
        <f t="shared" si="8"/>
        <v>0</v>
      </c>
      <c r="AD230" s="3">
        <f t="shared" si="9"/>
        <v>2.24</v>
      </c>
      <c r="AE230" s="3">
        <f t="shared" si="10"/>
        <v>-2</v>
      </c>
      <c r="AF230" s="3">
        <f t="shared" si="11"/>
        <v>-1</v>
      </c>
      <c r="AG230" s="3">
        <f t="shared" si="12"/>
        <v>-3</v>
      </c>
    </row>
    <row r="231">
      <c r="A231" s="1" t="s">
        <v>14</v>
      </c>
      <c r="B231" s="1" t="s">
        <v>253</v>
      </c>
      <c r="C231" s="1" t="s">
        <v>21</v>
      </c>
      <c r="D231" s="1" t="s">
        <v>113</v>
      </c>
      <c r="E231" s="1" t="s">
        <v>114</v>
      </c>
      <c r="F231" s="1" t="s">
        <v>90</v>
      </c>
      <c r="G231" s="1">
        <v>1.5</v>
      </c>
      <c r="H231" s="1" t="s">
        <v>60</v>
      </c>
      <c r="I231" s="1">
        <v>-140.0</v>
      </c>
      <c r="J231" s="1">
        <v>-0.129833333333333</v>
      </c>
      <c r="K231" s="1" t="s">
        <v>61</v>
      </c>
      <c r="L231" s="1" t="s">
        <v>61</v>
      </c>
      <c r="M231" s="1" t="s">
        <v>62</v>
      </c>
      <c r="N231" s="1">
        <v>105.0</v>
      </c>
      <c r="O231" s="1">
        <v>0.0586951219512194</v>
      </c>
      <c r="P231" s="1" t="s">
        <v>61</v>
      </c>
      <c r="Q231" s="1" t="s">
        <v>61</v>
      </c>
      <c r="R231" s="1">
        <f t="shared" si="1"/>
        <v>0.05869512195</v>
      </c>
      <c r="S231" s="1">
        <f t="shared" si="2"/>
        <v>105</v>
      </c>
      <c r="T231" s="1">
        <f t="shared" si="3"/>
        <v>2.05</v>
      </c>
      <c r="U231" s="1">
        <f t="shared" si="4"/>
        <v>0</v>
      </c>
      <c r="V231" s="3">
        <f t="shared" si="5"/>
        <v>2</v>
      </c>
      <c r="W231" s="3">
        <f t="shared" si="6"/>
        <v>2</v>
      </c>
      <c r="X231" s="3" t="str">
        <f>IFERROR(__xludf.DUMMYFUNCTION("split(B231,"" "")"),"B.")</f>
        <v>B.</v>
      </c>
      <c r="Y231" s="3" t="str">
        <f>IFERROR(__xludf.DUMMYFUNCTION("""COMPUTED_VALUE"""),"Mayfield")</f>
        <v>Mayfield</v>
      </c>
      <c r="AA231" s="3">
        <v>4.0</v>
      </c>
      <c r="AB231" s="3">
        <f t="shared" si="7"/>
        <v>1</v>
      </c>
      <c r="AC231" s="3">
        <f t="shared" si="8"/>
        <v>0</v>
      </c>
      <c r="AD231" s="3">
        <f t="shared" si="9"/>
        <v>2.1</v>
      </c>
      <c r="AE231" s="3">
        <f t="shared" si="10"/>
        <v>-2</v>
      </c>
      <c r="AF231" s="3">
        <f t="shared" si="11"/>
        <v>-2</v>
      </c>
      <c r="AG231" s="3">
        <f t="shared" si="12"/>
        <v>-1.666666667</v>
      </c>
    </row>
    <row r="232">
      <c r="A232" s="1" t="s">
        <v>12</v>
      </c>
      <c r="B232" s="1" t="s">
        <v>499</v>
      </c>
      <c r="C232" s="1" t="s">
        <v>18</v>
      </c>
      <c r="D232" s="1" t="s">
        <v>109</v>
      </c>
      <c r="E232" s="1" t="s">
        <v>110</v>
      </c>
      <c r="F232" s="1" t="s">
        <v>59</v>
      </c>
      <c r="G232" s="1">
        <v>5.5</v>
      </c>
      <c r="H232" s="1" t="s">
        <v>60</v>
      </c>
      <c r="I232" s="1">
        <v>112.0</v>
      </c>
      <c r="J232" s="1">
        <v>0.0581547169811321</v>
      </c>
      <c r="K232" s="1" t="s">
        <v>61</v>
      </c>
      <c r="L232" s="1" t="s">
        <v>61</v>
      </c>
      <c r="M232" s="1" t="s">
        <v>62</v>
      </c>
      <c r="N232" s="1">
        <v>-152.0</v>
      </c>
      <c r="O232" s="1">
        <v>-0.13303492063492</v>
      </c>
      <c r="P232" s="1" t="s">
        <v>61</v>
      </c>
      <c r="Q232" s="1" t="s">
        <v>61</v>
      </c>
      <c r="R232" s="1">
        <f t="shared" si="1"/>
        <v>0.05815471698</v>
      </c>
      <c r="S232" s="1">
        <f t="shared" si="2"/>
        <v>112</v>
      </c>
      <c r="T232" s="1">
        <f t="shared" si="3"/>
        <v>2.12</v>
      </c>
      <c r="U232" s="1">
        <f t="shared" si="4"/>
        <v>1</v>
      </c>
      <c r="V232" s="3">
        <f t="shared" si="5"/>
        <v>2</v>
      </c>
      <c r="W232" s="3">
        <f t="shared" si="6"/>
        <v>1</v>
      </c>
      <c r="X232" s="3" t="str">
        <f>IFERROR(__xludf.DUMMYFUNCTION("split(B232,"" "")"),"D.")</f>
        <v>D.</v>
      </c>
      <c r="Y232" s="3" t="str">
        <f>IFERROR(__xludf.DUMMYFUNCTION("""COMPUTED_VALUE"""),"London")</f>
        <v>London</v>
      </c>
      <c r="AA232" s="3">
        <v>2.0</v>
      </c>
      <c r="AB232" s="3">
        <f t="shared" si="7"/>
        <v>0</v>
      </c>
      <c r="AC232" s="3">
        <f t="shared" si="8"/>
        <v>0</v>
      </c>
      <c r="AD232" s="3">
        <f t="shared" si="9"/>
        <v>2.24</v>
      </c>
      <c r="AE232" s="3">
        <f t="shared" si="10"/>
        <v>-2</v>
      </c>
      <c r="AF232" s="3">
        <f t="shared" si="11"/>
        <v>-1</v>
      </c>
      <c r="AG232" s="3">
        <f t="shared" si="12"/>
        <v>-0.6363636364</v>
      </c>
    </row>
    <row r="233">
      <c r="A233" s="1" t="s">
        <v>8</v>
      </c>
      <c r="B233" s="1" t="s">
        <v>274</v>
      </c>
      <c r="C233" s="1" t="s">
        <v>21</v>
      </c>
      <c r="D233" s="1" t="s">
        <v>99</v>
      </c>
      <c r="E233" s="1" t="s">
        <v>100</v>
      </c>
      <c r="F233" s="1" t="s">
        <v>59</v>
      </c>
      <c r="G233" s="1">
        <v>4.5</v>
      </c>
      <c r="H233" s="1" t="s">
        <v>60</v>
      </c>
      <c r="I233" s="1">
        <v>108.0</v>
      </c>
      <c r="J233" s="1">
        <v>-0.12095895945649</v>
      </c>
      <c r="K233" s="1" t="s">
        <v>61</v>
      </c>
      <c r="L233" s="1" t="s">
        <v>61</v>
      </c>
      <c r="M233" s="1" t="s">
        <v>62</v>
      </c>
      <c r="N233" s="1">
        <v>-140.0</v>
      </c>
      <c r="O233" s="1">
        <v>0.0568551272906255</v>
      </c>
      <c r="P233" s="1" t="s">
        <v>61</v>
      </c>
      <c r="Q233" s="1" t="s">
        <v>61</v>
      </c>
      <c r="R233" s="1">
        <f t="shared" si="1"/>
        <v>0.05685512729</v>
      </c>
      <c r="S233" s="1">
        <f t="shared" si="2"/>
        <v>-140</v>
      </c>
      <c r="T233" s="1">
        <f t="shared" si="3"/>
        <v>1.714285714</v>
      </c>
      <c r="U233" s="1">
        <f t="shared" si="4"/>
        <v>0</v>
      </c>
      <c r="V233" s="3">
        <f t="shared" si="5"/>
        <v>2</v>
      </c>
      <c r="W233" s="3">
        <f t="shared" si="6"/>
        <v>3</v>
      </c>
      <c r="X233" s="3" t="str">
        <f>IFERROR(__xludf.DUMMYFUNCTION("split(B233,"" "")"),"C.")</f>
        <v>C.</v>
      </c>
      <c r="Y233" s="3" t="str">
        <f>IFERROR(__xludf.DUMMYFUNCTION("""COMPUTED_VALUE"""),"Williams")</f>
        <v>Williams</v>
      </c>
      <c r="AA233" s="3">
        <v>5.0</v>
      </c>
      <c r="AB233" s="3">
        <f t="shared" si="7"/>
        <v>1</v>
      </c>
      <c r="AC233" s="3">
        <f t="shared" si="8"/>
        <v>0</v>
      </c>
      <c r="AD233" s="3">
        <f t="shared" si="9"/>
        <v>1.428571429</v>
      </c>
      <c r="AE233" s="3">
        <f t="shared" si="10"/>
        <v>-2</v>
      </c>
      <c r="AF233" s="3">
        <f t="shared" si="11"/>
        <v>-3</v>
      </c>
      <c r="AG233" s="3">
        <f t="shared" si="12"/>
        <v>-0.1111111111</v>
      </c>
    </row>
    <row r="234">
      <c r="A234" s="1" t="s">
        <v>12</v>
      </c>
      <c r="B234" s="1" t="s">
        <v>399</v>
      </c>
      <c r="C234" s="1" t="s">
        <v>18</v>
      </c>
      <c r="D234" s="1" t="s">
        <v>77</v>
      </c>
      <c r="E234" s="1" t="s">
        <v>76</v>
      </c>
      <c r="F234" s="1" t="s">
        <v>78</v>
      </c>
      <c r="G234" s="1">
        <v>4.5</v>
      </c>
      <c r="H234" s="1" t="s">
        <v>60</v>
      </c>
      <c r="I234" s="1">
        <v>-127.0</v>
      </c>
      <c r="J234" s="6">
        <v>-0.128471365638766</v>
      </c>
      <c r="K234" s="1" t="s">
        <v>61</v>
      </c>
      <c r="L234" s="1" t="s">
        <v>61</v>
      </c>
      <c r="M234" s="1" t="s">
        <v>62</v>
      </c>
      <c r="N234" s="1">
        <v>-105.0</v>
      </c>
      <c r="O234" s="6">
        <v>0.0568048780487804</v>
      </c>
      <c r="P234" s="1" t="s">
        <v>61</v>
      </c>
      <c r="Q234" s="1" t="s">
        <v>61</v>
      </c>
      <c r="R234" s="6">
        <f t="shared" si="1"/>
        <v>0.05680487805</v>
      </c>
      <c r="S234" s="1">
        <f t="shared" si="2"/>
        <v>-105</v>
      </c>
      <c r="T234" s="1">
        <f t="shared" si="3"/>
        <v>1.952380952</v>
      </c>
      <c r="U234" s="1">
        <f t="shared" si="4"/>
        <v>0</v>
      </c>
      <c r="V234" s="3">
        <f t="shared" si="5"/>
        <v>2</v>
      </c>
      <c r="W234" s="3">
        <f t="shared" si="6"/>
        <v>2</v>
      </c>
      <c r="X234" s="3" t="str">
        <f>IFERROR(__xludf.DUMMYFUNCTION("split(B234,"" "")"),"Z.")</f>
        <v>Z.</v>
      </c>
      <c r="Y234" s="3" t="str">
        <f>IFERROR(__xludf.DUMMYFUNCTION("""COMPUTED_VALUE"""),"Flowers")</f>
        <v>Flowers</v>
      </c>
      <c r="AA234" s="3">
        <v>6.0</v>
      </c>
      <c r="AB234" s="3">
        <f t="shared" si="7"/>
        <v>1</v>
      </c>
      <c r="AC234" s="3">
        <f t="shared" si="8"/>
        <v>0</v>
      </c>
      <c r="AD234" s="3">
        <f t="shared" si="9"/>
        <v>1.904761905</v>
      </c>
      <c r="AE234" s="3">
        <f t="shared" si="10"/>
        <v>-2</v>
      </c>
      <c r="AF234" s="3">
        <f t="shared" si="11"/>
        <v>-2</v>
      </c>
      <c r="AG234" s="3">
        <f t="shared" si="12"/>
        <v>-0.3333333333</v>
      </c>
    </row>
    <row r="235">
      <c r="A235" s="1" t="s">
        <v>12</v>
      </c>
      <c r="B235" s="1" t="s">
        <v>481</v>
      </c>
      <c r="C235" s="1" t="s">
        <v>18</v>
      </c>
      <c r="D235" s="1" t="s">
        <v>113</v>
      </c>
      <c r="E235" s="1" t="s">
        <v>114</v>
      </c>
      <c r="F235" s="1" t="s">
        <v>90</v>
      </c>
      <c r="G235" s="1">
        <v>4.5</v>
      </c>
      <c r="H235" s="1" t="s">
        <v>60</v>
      </c>
      <c r="I235" s="1">
        <v>-140.0</v>
      </c>
      <c r="J235" s="1">
        <v>-0.125375</v>
      </c>
      <c r="K235" s="1" t="s">
        <v>61</v>
      </c>
      <c r="L235" s="1" t="s">
        <v>61</v>
      </c>
      <c r="M235" s="1" t="s">
        <v>62</v>
      </c>
      <c r="N235" s="1">
        <v>106.0</v>
      </c>
      <c r="O235" s="1">
        <v>0.0566116504854369</v>
      </c>
      <c r="P235" s="1" t="s">
        <v>61</v>
      </c>
      <c r="Q235" s="1" t="s">
        <v>61</v>
      </c>
      <c r="R235" s="1">
        <f t="shared" si="1"/>
        <v>0.05661165049</v>
      </c>
      <c r="S235" s="1">
        <f t="shared" si="2"/>
        <v>106</v>
      </c>
      <c r="T235" s="1">
        <f t="shared" si="3"/>
        <v>2.06</v>
      </c>
      <c r="U235" s="1">
        <f t="shared" si="4"/>
        <v>0</v>
      </c>
      <c r="V235" s="3">
        <f t="shared" si="5"/>
        <v>2</v>
      </c>
      <c r="W235" s="3">
        <f t="shared" si="6"/>
        <v>2</v>
      </c>
      <c r="X235" s="3" t="str">
        <f>IFERROR(__xludf.DUMMYFUNCTION("split(B235,"" "")"),"M.")</f>
        <v>M.</v>
      </c>
      <c r="Y235" s="3" t="str">
        <f>IFERROR(__xludf.DUMMYFUNCTION("""COMPUTED_VALUE"""),"Evans")</f>
        <v>Evans</v>
      </c>
      <c r="AA235" s="3">
        <v>5.0</v>
      </c>
      <c r="AB235" s="3">
        <f t="shared" si="7"/>
        <v>1</v>
      </c>
      <c r="AC235" s="3">
        <f t="shared" si="8"/>
        <v>0</v>
      </c>
      <c r="AD235" s="3">
        <f t="shared" si="9"/>
        <v>2.12</v>
      </c>
      <c r="AE235" s="3">
        <f t="shared" si="10"/>
        <v>-2</v>
      </c>
      <c r="AF235" s="3">
        <f t="shared" si="11"/>
        <v>-2</v>
      </c>
      <c r="AG235" s="3">
        <f t="shared" si="12"/>
        <v>-0.1111111111</v>
      </c>
    </row>
    <row r="236">
      <c r="A236" s="1" t="s">
        <v>12</v>
      </c>
      <c r="B236" s="1" t="s">
        <v>357</v>
      </c>
      <c r="C236" s="1" t="s">
        <v>18</v>
      </c>
      <c r="D236" s="1" t="s">
        <v>57</v>
      </c>
      <c r="E236" s="1" t="s">
        <v>58</v>
      </c>
      <c r="F236" s="1" t="s">
        <v>59</v>
      </c>
      <c r="G236" s="1">
        <v>1.5</v>
      </c>
      <c r="H236" s="1" t="s">
        <v>60</v>
      </c>
      <c r="I236" s="1">
        <v>-105.0</v>
      </c>
      <c r="J236" s="1">
        <v>-0.123791508365853</v>
      </c>
      <c r="K236" s="1" t="s">
        <v>61</v>
      </c>
      <c r="L236" s="1" t="s">
        <v>61</v>
      </c>
      <c r="M236" s="1" t="s">
        <v>62</v>
      </c>
      <c r="N236" s="1">
        <v>-125.0</v>
      </c>
      <c r="O236" s="1">
        <v>0.0560542178611109</v>
      </c>
      <c r="P236" s="1" t="s">
        <v>61</v>
      </c>
      <c r="Q236" s="1" t="s">
        <v>61</v>
      </c>
      <c r="R236" s="1">
        <f t="shared" si="1"/>
        <v>0.05605421786</v>
      </c>
      <c r="S236" s="1">
        <f t="shared" si="2"/>
        <v>-125</v>
      </c>
      <c r="T236" s="1">
        <f t="shared" si="3"/>
        <v>1.8</v>
      </c>
      <c r="U236" s="1">
        <f t="shared" si="4"/>
        <v>0</v>
      </c>
      <c r="V236" s="3">
        <f t="shared" si="5"/>
        <v>2</v>
      </c>
      <c r="W236" s="3">
        <f t="shared" si="6"/>
        <v>3</v>
      </c>
      <c r="X236" s="3" t="str">
        <f>IFERROR(__xludf.DUMMYFUNCTION("split(B236,"" "")"),"X.")</f>
        <v>X.</v>
      </c>
      <c r="Y236" s="3" t="str">
        <f>IFERROR(__xludf.DUMMYFUNCTION("""COMPUTED_VALUE"""),"Legette")</f>
        <v>Legette</v>
      </c>
      <c r="AA236" s="3">
        <v>4.0</v>
      </c>
      <c r="AB236" s="3">
        <f t="shared" si="7"/>
        <v>1</v>
      </c>
      <c r="AC236" s="3">
        <f t="shared" si="8"/>
        <v>0</v>
      </c>
      <c r="AD236" s="3">
        <f t="shared" si="9"/>
        <v>1.6</v>
      </c>
      <c r="AE236" s="3">
        <f t="shared" si="10"/>
        <v>-2</v>
      </c>
      <c r="AF236" s="3">
        <f t="shared" si="11"/>
        <v>-3</v>
      </c>
      <c r="AG236" s="3">
        <f t="shared" si="12"/>
        <v>-1.666666667</v>
      </c>
    </row>
    <row r="237">
      <c r="A237" s="1" t="s">
        <v>17</v>
      </c>
      <c r="B237" s="1" t="s">
        <v>462</v>
      </c>
      <c r="C237" s="1" t="s">
        <v>21</v>
      </c>
      <c r="D237" s="1" t="s">
        <v>89</v>
      </c>
      <c r="E237" s="1" t="s">
        <v>88</v>
      </c>
      <c r="F237" s="1" t="s">
        <v>90</v>
      </c>
      <c r="G237" s="1">
        <v>0.5</v>
      </c>
      <c r="H237" s="1" t="s">
        <v>60</v>
      </c>
      <c r="I237" s="1">
        <v>-130.0</v>
      </c>
      <c r="J237" s="1">
        <v>-0.133160869565217</v>
      </c>
      <c r="K237" s="1" t="s">
        <v>61</v>
      </c>
      <c r="L237" s="1" t="s">
        <v>61</v>
      </c>
      <c r="M237" s="1" t="s">
        <v>62</v>
      </c>
      <c r="N237" s="1">
        <v>-105.0</v>
      </c>
      <c r="O237" s="1">
        <v>0.0557560975609755</v>
      </c>
      <c r="P237" s="1" t="s">
        <v>61</v>
      </c>
      <c r="Q237" s="1" t="s">
        <v>61</v>
      </c>
      <c r="R237" s="1">
        <f t="shared" si="1"/>
        <v>0.05575609756</v>
      </c>
      <c r="S237" s="1">
        <f t="shared" si="2"/>
        <v>-105</v>
      </c>
      <c r="T237" s="1">
        <f t="shared" si="3"/>
        <v>1.952380952</v>
      </c>
      <c r="U237" s="1">
        <f t="shared" si="4"/>
        <v>0</v>
      </c>
      <c r="V237" s="3">
        <f t="shared" si="5"/>
        <v>2</v>
      </c>
      <c r="W237" s="3">
        <f t="shared" si="6"/>
        <v>2</v>
      </c>
      <c r="X237" s="3" t="str">
        <f>IFERROR(__xludf.DUMMYFUNCTION("split(B237,"" "")"),"D.")</f>
        <v>D.</v>
      </c>
      <c r="Y237" s="3" t="str">
        <f>IFERROR(__xludf.DUMMYFUNCTION("""COMPUTED_VALUE"""),"Watson")</f>
        <v>Watson</v>
      </c>
      <c r="AA237" s="3">
        <v>2.0</v>
      </c>
      <c r="AB237" s="3">
        <f t="shared" si="7"/>
        <v>1</v>
      </c>
      <c r="AC237" s="3">
        <f t="shared" si="8"/>
        <v>0</v>
      </c>
      <c r="AD237" s="3">
        <f t="shared" si="9"/>
        <v>1.904761905</v>
      </c>
      <c r="AE237" s="3">
        <f t="shared" si="10"/>
        <v>-2</v>
      </c>
      <c r="AF237" s="3">
        <f t="shared" si="11"/>
        <v>-2</v>
      </c>
      <c r="AG237" s="3">
        <f t="shared" si="12"/>
        <v>-3</v>
      </c>
    </row>
    <row r="238">
      <c r="A238" s="1" t="s">
        <v>8</v>
      </c>
      <c r="B238" s="1" t="s">
        <v>282</v>
      </c>
      <c r="C238" s="1" t="s">
        <v>19</v>
      </c>
      <c r="D238" s="1" t="s">
        <v>58</v>
      </c>
      <c r="E238" s="1" t="s">
        <v>57</v>
      </c>
      <c r="F238" s="1" t="s">
        <v>59</v>
      </c>
      <c r="G238" s="1">
        <v>12.5</v>
      </c>
      <c r="H238" s="1" t="s">
        <v>60</v>
      </c>
      <c r="I238" s="1">
        <v>-110.0</v>
      </c>
      <c r="J238" s="1">
        <v>-0.123408865686666</v>
      </c>
      <c r="K238" s="1" t="s">
        <v>61</v>
      </c>
      <c r="L238" s="1" t="s">
        <v>61</v>
      </c>
      <c r="M238" s="1" t="s">
        <v>62</v>
      </c>
      <c r="N238" s="1">
        <v>-120.0</v>
      </c>
      <c r="O238" s="1">
        <v>0.0541447006956363</v>
      </c>
      <c r="P238" s="1" t="s">
        <v>61</v>
      </c>
      <c r="Q238" s="1" t="s">
        <v>61</v>
      </c>
      <c r="R238" s="1">
        <f t="shared" si="1"/>
        <v>0.0541447007</v>
      </c>
      <c r="S238" s="1">
        <f t="shared" si="2"/>
        <v>-120</v>
      </c>
      <c r="T238" s="1">
        <f t="shared" si="3"/>
        <v>1.833333333</v>
      </c>
      <c r="U238" s="1">
        <f t="shared" si="4"/>
        <v>0</v>
      </c>
      <c r="V238" s="3">
        <f t="shared" si="5"/>
        <v>2</v>
      </c>
      <c r="W238" s="3">
        <f t="shared" si="6"/>
        <v>3</v>
      </c>
      <c r="X238" s="3" t="str">
        <f>IFERROR(__xludf.DUMMYFUNCTION("split(B238,"" "")"),"A.")</f>
        <v>A.</v>
      </c>
      <c r="Y238" s="3" t="str">
        <f>IFERROR(__xludf.DUMMYFUNCTION("""COMPUTED_VALUE"""),"Kamara")</f>
        <v>Kamara</v>
      </c>
      <c r="AA238" s="3">
        <v>15.0</v>
      </c>
      <c r="AB238" s="3">
        <f t="shared" si="7"/>
        <v>1</v>
      </c>
      <c r="AC238" s="3">
        <f t="shared" si="8"/>
        <v>0</v>
      </c>
      <c r="AD238" s="3">
        <f t="shared" si="9"/>
        <v>1.666666667</v>
      </c>
      <c r="AE238" s="3">
        <f t="shared" si="10"/>
        <v>-2</v>
      </c>
      <c r="AF238" s="3">
        <f t="shared" si="11"/>
        <v>-3</v>
      </c>
      <c r="AG238" s="3">
        <f t="shared" si="12"/>
        <v>-0.2</v>
      </c>
    </row>
    <row r="239">
      <c r="A239" s="1" t="s">
        <v>12</v>
      </c>
      <c r="B239" s="1" t="s">
        <v>470</v>
      </c>
      <c r="C239" s="1" t="s">
        <v>20</v>
      </c>
      <c r="D239" s="1" t="s">
        <v>196</v>
      </c>
      <c r="E239" s="1" t="s">
        <v>197</v>
      </c>
      <c r="F239" s="1" t="s">
        <v>198</v>
      </c>
      <c r="G239" s="1">
        <v>2.5</v>
      </c>
      <c r="H239" s="1" t="s">
        <v>60</v>
      </c>
      <c r="I239" s="1">
        <v>-101.0</v>
      </c>
      <c r="J239" s="1">
        <v>-0.123184883980099</v>
      </c>
      <c r="K239" s="1" t="s">
        <v>61</v>
      </c>
      <c r="L239" s="1" t="s">
        <v>61</v>
      </c>
      <c r="M239" s="1" t="s">
        <v>62</v>
      </c>
      <c r="N239" s="1">
        <v>-131.0</v>
      </c>
      <c r="O239" s="1">
        <v>0.0535973800900433</v>
      </c>
      <c r="P239" s="1" t="s">
        <v>61</v>
      </c>
      <c r="Q239" s="1" t="s">
        <v>61</v>
      </c>
      <c r="R239" s="1">
        <f t="shared" si="1"/>
        <v>0.05359738009</v>
      </c>
      <c r="S239" s="1">
        <f t="shared" si="2"/>
        <v>-131</v>
      </c>
      <c r="T239" s="1">
        <f t="shared" si="3"/>
        <v>1.763358779</v>
      </c>
      <c r="U239" s="1">
        <f t="shared" si="4"/>
        <v>0</v>
      </c>
      <c r="V239" s="3">
        <f t="shared" si="5"/>
        <v>2</v>
      </c>
      <c r="W239" s="3">
        <f t="shared" si="6"/>
        <v>3</v>
      </c>
      <c r="X239" s="3" t="str">
        <f>IFERROR(__xludf.DUMMYFUNCTION("split(B239,"" "")"),"C.")</f>
        <v>C.</v>
      </c>
      <c r="Y239" s="3" t="str">
        <f>IFERROR(__xludf.DUMMYFUNCTION("""COMPUTED_VALUE"""),"Parkinson")</f>
        <v>Parkinson</v>
      </c>
      <c r="AA239" s="3">
        <v>4.0</v>
      </c>
      <c r="AB239" s="3">
        <f t="shared" si="7"/>
        <v>1</v>
      </c>
      <c r="AC239" s="3">
        <f t="shared" si="8"/>
        <v>0</v>
      </c>
      <c r="AD239" s="3">
        <f t="shared" si="9"/>
        <v>1.526717557</v>
      </c>
      <c r="AE239" s="3">
        <f t="shared" si="10"/>
        <v>-2</v>
      </c>
      <c r="AF239" s="3">
        <f t="shared" si="11"/>
        <v>-3</v>
      </c>
      <c r="AG239" s="3">
        <f t="shared" si="12"/>
        <v>-0.6</v>
      </c>
    </row>
    <row r="240">
      <c r="A240" s="1" t="s">
        <v>8</v>
      </c>
      <c r="B240" s="1" t="s">
        <v>446</v>
      </c>
      <c r="C240" s="1" t="s">
        <v>19</v>
      </c>
      <c r="D240" s="1" t="s">
        <v>197</v>
      </c>
      <c r="E240" s="1" t="s">
        <v>196</v>
      </c>
      <c r="F240" s="1" t="s">
        <v>198</v>
      </c>
      <c r="G240" s="1">
        <v>12.5</v>
      </c>
      <c r="H240" s="1" t="s">
        <v>60</v>
      </c>
      <c r="I240" s="1">
        <v>-115.0</v>
      </c>
      <c r="J240" s="1">
        <v>-0.122229487094883</v>
      </c>
      <c r="K240" s="1" t="s">
        <v>61</v>
      </c>
      <c r="L240" s="1" t="s">
        <v>61</v>
      </c>
      <c r="M240" s="1" t="s">
        <v>62</v>
      </c>
      <c r="N240" s="1">
        <v>-115.0</v>
      </c>
      <c r="O240" s="1">
        <v>0.0524689101591161</v>
      </c>
      <c r="P240" s="1" t="s">
        <v>61</v>
      </c>
      <c r="Q240" s="1" t="s">
        <v>61</v>
      </c>
      <c r="R240" s="1">
        <f t="shared" si="1"/>
        <v>0.05246891016</v>
      </c>
      <c r="S240" s="1">
        <f t="shared" si="2"/>
        <v>-115</v>
      </c>
      <c r="T240" s="1">
        <f t="shared" si="3"/>
        <v>1.869565217</v>
      </c>
      <c r="U240" s="1">
        <f t="shared" si="4"/>
        <v>0</v>
      </c>
      <c r="V240" s="3">
        <f t="shared" si="5"/>
        <v>2</v>
      </c>
      <c r="W240" s="3">
        <f t="shared" si="6"/>
        <v>2</v>
      </c>
      <c r="X240" s="3" t="str">
        <f>IFERROR(__xludf.DUMMYFUNCTION("split(B240,"" "")"),"D.")</f>
        <v>D.</v>
      </c>
      <c r="Y240" s="3" t="str">
        <f>IFERROR(__xludf.DUMMYFUNCTION("""COMPUTED_VALUE"""),"Montgomery")</f>
        <v>Montgomery</v>
      </c>
      <c r="AA240" s="3">
        <v>17.0</v>
      </c>
      <c r="AB240" s="3">
        <f t="shared" si="7"/>
        <v>1</v>
      </c>
      <c r="AC240" s="3">
        <f t="shared" si="8"/>
        <v>0</v>
      </c>
      <c r="AD240" s="3">
        <f t="shared" si="9"/>
        <v>1.739130435</v>
      </c>
      <c r="AE240" s="3">
        <f t="shared" si="10"/>
        <v>-2</v>
      </c>
      <c r="AF240" s="3">
        <f t="shared" si="11"/>
        <v>-2</v>
      </c>
      <c r="AG240" s="3">
        <f t="shared" si="12"/>
        <v>-0.36</v>
      </c>
    </row>
    <row r="241">
      <c r="A241" s="1" t="s">
        <v>15</v>
      </c>
      <c r="B241" s="1" t="s">
        <v>464</v>
      </c>
      <c r="C241" s="1" t="s">
        <v>21</v>
      </c>
      <c r="D241" s="1" t="s">
        <v>83</v>
      </c>
      <c r="E241" s="1" t="s">
        <v>82</v>
      </c>
      <c r="F241" s="1" t="s">
        <v>84</v>
      </c>
      <c r="G241" s="1">
        <v>19.5</v>
      </c>
      <c r="H241" s="1" t="s">
        <v>60</v>
      </c>
      <c r="I241" s="1">
        <v>-119.0</v>
      </c>
      <c r="J241" s="1">
        <v>-0.126169257945205</v>
      </c>
      <c r="K241" s="1" t="s">
        <v>61</v>
      </c>
      <c r="L241" s="1" t="s">
        <v>61</v>
      </c>
      <c r="M241" s="1" t="s">
        <v>62</v>
      </c>
      <c r="N241" s="1">
        <v>-113.0</v>
      </c>
      <c r="O241" s="1">
        <v>0.0522884378577465</v>
      </c>
      <c r="P241" s="1" t="s">
        <v>61</v>
      </c>
      <c r="Q241" s="1" t="s">
        <v>61</v>
      </c>
      <c r="R241" s="1">
        <f t="shared" si="1"/>
        <v>0.05228843786</v>
      </c>
      <c r="S241" s="1">
        <f t="shared" si="2"/>
        <v>-113</v>
      </c>
      <c r="T241" s="1">
        <f t="shared" si="3"/>
        <v>1.884955752</v>
      </c>
      <c r="U241" s="1">
        <f t="shared" si="4"/>
        <v>0</v>
      </c>
      <c r="V241" s="3">
        <f t="shared" si="5"/>
        <v>2</v>
      </c>
      <c r="W241" s="3">
        <f t="shared" si="6"/>
        <v>2</v>
      </c>
      <c r="X241" s="3" t="str">
        <f>IFERROR(__xludf.DUMMYFUNCTION("split(B241,"" "")"),"B.")</f>
        <v>B.</v>
      </c>
      <c r="Y241" s="3" t="str">
        <f>IFERROR(__xludf.DUMMYFUNCTION("""COMPUTED_VALUE"""),"Nix")</f>
        <v>Nix</v>
      </c>
      <c r="AA241" s="3">
        <v>26.0</v>
      </c>
      <c r="AB241" s="3">
        <f t="shared" si="7"/>
        <v>1</v>
      </c>
      <c r="AC241" s="3">
        <f t="shared" si="8"/>
        <v>0</v>
      </c>
      <c r="AD241" s="3">
        <f t="shared" si="9"/>
        <v>1.769911504</v>
      </c>
      <c r="AE241" s="3">
        <f t="shared" si="10"/>
        <v>-2</v>
      </c>
      <c r="AF241" s="3">
        <f t="shared" si="11"/>
        <v>-2</v>
      </c>
      <c r="AG241" s="3">
        <f t="shared" si="12"/>
        <v>-0.3333333333</v>
      </c>
    </row>
    <row r="242">
      <c r="A242" s="1" t="s">
        <v>8</v>
      </c>
      <c r="B242" s="1" t="s">
        <v>304</v>
      </c>
      <c r="C242" s="1" t="s">
        <v>19</v>
      </c>
      <c r="D242" s="1" t="s">
        <v>146</v>
      </c>
      <c r="E242" s="1" t="s">
        <v>147</v>
      </c>
      <c r="F242" s="1" t="s">
        <v>59</v>
      </c>
      <c r="G242" s="1">
        <v>13.5</v>
      </c>
      <c r="H242" s="1" t="s">
        <v>60</v>
      </c>
      <c r="I242" s="1">
        <v>-112.0</v>
      </c>
      <c r="J242" s="1">
        <v>-0.119446978229717</v>
      </c>
      <c r="K242" s="1" t="s">
        <v>61</v>
      </c>
      <c r="L242" s="1" t="s">
        <v>61</v>
      </c>
      <c r="M242" s="1" t="s">
        <v>62</v>
      </c>
      <c r="N242" s="1">
        <v>-117.0</v>
      </c>
      <c r="O242" s="1">
        <v>0.0519810344705023</v>
      </c>
      <c r="P242" s="1" t="s">
        <v>61</v>
      </c>
      <c r="Q242" s="1" t="s">
        <v>61</v>
      </c>
      <c r="R242" s="1">
        <f t="shared" si="1"/>
        <v>0.05198103447</v>
      </c>
      <c r="S242" s="1">
        <f t="shared" si="2"/>
        <v>-117</v>
      </c>
      <c r="T242" s="1">
        <f t="shared" si="3"/>
        <v>1.854700855</v>
      </c>
      <c r="U242" s="1">
        <f t="shared" si="4"/>
        <v>0</v>
      </c>
      <c r="V242" s="3">
        <f t="shared" si="5"/>
        <v>2</v>
      </c>
      <c r="W242" s="3">
        <f t="shared" si="6"/>
        <v>2</v>
      </c>
      <c r="X242" s="3" t="str">
        <f>IFERROR(__xludf.DUMMYFUNCTION("split(B242,"" "")"),"A.")</f>
        <v>A.</v>
      </c>
      <c r="Y242" s="3" t="str">
        <f>IFERROR(__xludf.DUMMYFUNCTION("""COMPUTED_VALUE"""),"Jones")</f>
        <v>Jones</v>
      </c>
      <c r="AA242" s="3">
        <v>14.0</v>
      </c>
      <c r="AB242" s="3">
        <f t="shared" si="7"/>
        <v>1</v>
      </c>
      <c r="AC242" s="3">
        <f t="shared" si="8"/>
        <v>0</v>
      </c>
      <c r="AD242" s="3">
        <f t="shared" si="9"/>
        <v>1.709401709</v>
      </c>
      <c r="AE242" s="3">
        <f t="shared" si="10"/>
        <v>-2</v>
      </c>
      <c r="AF242" s="3">
        <f t="shared" si="11"/>
        <v>-2</v>
      </c>
      <c r="AG242" s="3">
        <f t="shared" si="12"/>
        <v>-0.03703703704</v>
      </c>
    </row>
    <row r="243">
      <c r="A243" s="1" t="s">
        <v>10</v>
      </c>
      <c r="B243" s="1" t="s">
        <v>330</v>
      </c>
      <c r="C243" s="1" t="s">
        <v>21</v>
      </c>
      <c r="D243" s="1" t="s">
        <v>165</v>
      </c>
      <c r="E243" s="1" t="s">
        <v>164</v>
      </c>
      <c r="F243" s="1" t="s">
        <v>166</v>
      </c>
      <c r="G243" s="1">
        <v>1.5</v>
      </c>
      <c r="H243" s="1" t="s">
        <v>60</v>
      </c>
      <c r="I243" s="1">
        <v>-114.0</v>
      </c>
      <c r="J243" s="1">
        <v>0.0993097233498089</v>
      </c>
      <c r="K243" s="1" t="s">
        <v>61</v>
      </c>
      <c r="L243" s="1" t="s">
        <v>61</v>
      </c>
      <c r="M243" s="1" t="s">
        <v>62</v>
      </c>
      <c r="N243" s="1">
        <v>-117.0</v>
      </c>
      <c r="O243" s="1">
        <v>-0.171147440241129</v>
      </c>
      <c r="P243" s="1" t="s">
        <v>61</v>
      </c>
      <c r="Q243" s="1" t="s">
        <v>61</v>
      </c>
      <c r="R243" s="1">
        <f t="shared" si="1"/>
        <v>0.09930972335</v>
      </c>
      <c r="S243" s="1">
        <f t="shared" si="2"/>
        <v>-114</v>
      </c>
      <c r="T243" s="1">
        <f t="shared" si="3"/>
        <v>1.877192982</v>
      </c>
      <c r="U243" s="1">
        <f t="shared" si="4"/>
        <v>1</v>
      </c>
      <c r="V243" s="3">
        <f t="shared" si="5"/>
        <v>2</v>
      </c>
      <c r="W243" s="3">
        <f t="shared" si="6"/>
        <v>2</v>
      </c>
      <c r="X243" s="3" t="str">
        <f>IFERROR(__xludf.DUMMYFUNCTION("split(B243,"" "")"),"A.")</f>
        <v>A.</v>
      </c>
      <c r="Y243" s="3" t="str">
        <f>IFERROR(__xludf.DUMMYFUNCTION("""COMPUTED_VALUE"""),"Rodgers")</f>
        <v>Rodgers</v>
      </c>
      <c r="AA243" s="3">
        <v>-1.0</v>
      </c>
      <c r="AB243" s="3">
        <f t="shared" si="7"/>
        <v>0</v>
      </c>
      <c r="AC243" s="3">
        <f t="shared" si="8"/>
        <v>0</v>
      </c>
      <c r="AD243" s="3">
        <f t="shared" si="9"/>
        <v>1.754385965</v>
      </c>
      <c r="AE243" s="3">
        <f t="shared" si="10"/>
        <v>-2</v>
      </c>
      <c r="AF243" s="3">
        <f t="shared" si="11"/>
        <v>-2</v>
      </c>
      <c r="AG243" s="3">
        <f t="shared" si="12"/>
        <v>-1.666666667</v>
      </c>
    </row>
    <row r="244">
      <c r="A244" s="1" t="s">
        <v>11</v>
      </c>
      <c r="B244" s="1" t="s">
        <v>291</v>
      </c>
      <c r="C244" s="1" t="s">
        <v>18</v>
      </c>
      <c r="D244" s="1" t="s">
        <v>165</v>
      </c>
      <c r="E244" s="1" t="s">
        <v>164</v>
      </c>
      <c r="F244" s="1" t="s">
        <v>166</v>
      </c>
      <c r="G244" s="1">
        <v>18.5</v>
      </c>
      <c r="H244" s="1" t="s">
        <v>60</v>
      </c>
      <c r="I244" s="1">
        <v>-115.0</v>
      </c>
      <c r="J244" s="1">
        <v>-0.134230525258619</v>
      </c>
      <c r="K244" s="1" t="s">
        <v>61</v>
      </c>
      <c r="L244" s="1" t="s">
        <v>61</v>
      </c>
      <c r="M244" s="1" t="s">
        <v>62</v>
      </c>
      <c r="N244" s="1">
        <v>-110.0</v>
      </c>
      <c r="O244" s="1">
        <v>0.0755558058269691</v>
      </c>
      <c r="P244" s="1" t="s">
        <v>61</v>
      </c>
      <c r="Q244" s="1" t="s">
        <v>61</v>
      </c>
      <c r="R244" s="1">
        <f t="shared" si="1"/>
        <v>0.07555580583</v>
      </c>
      <c r="S244" s="1">
        <f t="shared" si="2"/>
        <v>-110</v>
      </c>
      <c r="T244" s="1">
        <f t="shared" si="3"/>
        <v>1.909090909</v>
      </c>
      <c r="U244" s="1">
        <f t="shared" si="4"/>
        <v>0</v>
      </c>
      <c r="V244" s="3">
        <f t="shared" si="5"/>
        <v>2</v>
      </c>
      <c r="W244" s="3">
        <f t="shared" si="6"/>
        <v>2</v>
      </c>
      <c r="X244" s="3" t="str">
        <f>IFERROR(__xludf.DUMMYFUNCTION("split(B244,"" "")"),"A.")</f>
        <v>A.</v>
      </c>
      <c r="Y244" s="3" t="str">
        <f>IFERROR(__xludf.DUMMYFUNCTION("""COMPUTED_VALUE"""),"Lazard")</f>
        <v>Lazard</v>
      </c>
      <c r="AA244" s="3">
        <v>89.0</v>
      </c>
      <c r="AB244" s="3">
        <f t="shared" si="7"/>
        <v>1</v>
      </c>
      <c r="AC244" s="3">
        <f t="shared" si="8"/>
        <v>0</v>
      </c>
      <c r="AD244" s="3">
        <f t="shared" si="9"/>
        <v>1.818181818</v>
      </c>
      <c r="AE244" s="3">
        <f t="shared" si="10"/>
        <v>-2</v>
      </c>
      <c r="AF244" s="3">
        <f t="shared" si="11"/>
        <v>-2</v>
      </c>
      <c r="AG244" s="3">
        <f t="shared" si="12"/>
        <v>-3.810810811</v>
      </c>
    </row>
    <row r="245">
      <c r="A245" s="1" t="s">
        <v>12</v>
      </c>
      <c r="B245" s="1" t="s">
        <v>496</v>
      </c>
      <c r="C245" s="1" t="s">
        <v>18</v>
      </c>
      <c r="D245" s="1" t="s">
        <v>164</v>
      </c>
      <c r="E245" s="1" t="s">
        <v>165</v>
      </c>
      <c r="F245" s="1" t="s">
        <v>166</v>
      </c>
      <c r="G245" s="1">
        <v>4.5</v>
      </c>
      <c r="H245" s="1" t="s">
        <v>60</v>
      </c>
      <c r="I245" s="1">
        <v>-125.0</v>
      </c>
      <c r="J245" s="1">
        <v>-0.145599999999999</v>
      </c>
      <c r="K245" s="1" t="s">
        <v>61</v>
      </c>
      <c r="L245" s="1" t="s">
        <v>61</v>
      </c>
      <c r="M245" s="1" t="s">
        <v>62</v>
      </c>
      <c r="N245" s="1">
        <v>-110.0</v>
      </c>
      <c r="O245" s="1">
        <v>0.066242857142857</v>
      </c>
      <c r="P245" s="1" t="s">
        <v>61</v>
      </c>
      <c r="Q245" s="1" t="s">
        <v>61</v>
      </c>
      <c r="R245" s="1">
        <f t="shared" si="1"/>
        <v>0.06624285714</v>
      </c>
      <c r="S245" s="1">
        <f t="shared" si="2"/>
        <v>-110</v>
      </c>
      <c r="T245" s="1">
        <f t="shared" si="3"/>
        <v>1.909090909</v>
      </c>
      <c r="U245" s="1">
        <f t="shared" si="4"/>
        <v>0</v>
      </c>
      <c r="V245" s="3">
        <f t="shared" si="5"/>
        <v>2</v>
      </c>
      <c r="W245" s="3">
        <f t="shared" si="6"/>
        <v>2</v>
      </c>
      <c r="X245" s="3" t="str">
        <f>IFERROR(__xludf.DUMMYFUNCTION("split(B245,"" "")"),"D.")</f>
        <v>D.</v>
      </c>
      <c r="Y245" s="3" t="str">
        <f>IFERROR(__xludf.DUMMYFUNCTION("""COMPUTED_VALUE"""),"Samuel")</f>
        <v>Samuel</v>
      </c>
      <c r="AA245" s="3">
        <v>5.0</v>
      </c>
      <c r="AB245" s="3">
        <f t="shared" si="7"/>
        <v>1</v>
      </c>
      <c r="AC245" s="3">
        <f t="shared" si="8"/>
        <v>0</v>
      </c>
      <c r="AD245" s="3">
        <f t="shared" si="9"/>
        <v>1.818181818</v>
      </c>
      <c r="AE245" s="3">
        <f t="shared" si="10"/>
        <v>-2</v>
      </c>
      <c r="AF245" s="3">
        <f t="shared" si="11"/>
        <v>-2</v>
      </c>
      <c r="AG245" s="3">
        <f t="shared" si="12"/>
        <v>-0.1111111111</v>
      </c>
    </row>
    <row r="246">
      <c r="A246" s="1" t="s">
        <v>8</v>
      </c>
      <c r="B246" s="1" t="s">
        <v>420</v>
      </c>
      <c r="C246" s="1" t="s">
        <v>19</v>
      </c>
      <c r="D246" s="1" t="s">
        <v>164</v>
      </c>
      <c r="E246" s="1" t="s">
        <v>165</v>
      </c>
      <c r="F246" s="1" t="s">
        <v>166</v>
      </c>
      <c r="G246" s="1">
        <v>16.5</v>
      </c>
      <c r="H246" s="1" t="s">
        <v>60</v>
      </c>
      <c r="I246" s="1">
        <v>-113.0</v>
      </c>
      <c r="J246" s="1">
        <v>0.0569817678873239</v>
      </c>
      <c r="K246" s="1" t="s">
        <v>61</v>
      </c>
      <c r="L246" s="1" t="s">
        <v>61</v>
      </c>
      <c r="M246" s="1" t="s">
        <v>62</v>
      </c>
      <c r="N246" s="1">
        <v>-118.0</v>
      </c>
      <c r="O246" s="1">
        <v>-0.128797621746788</v>
      </c>
      <c r="P246" s="1" t="s">
        <v>61</v>
      </c>
      <c r="Q246" s="1" t="s">
        <v>61</v>
      </c>
      <c r="R246" s="1">
        <f t="shared" si="1"/>
        <v>0.05698176789</v>
      </c>
      <c r="S246" s="1">
        <f t="shared" si="2"/>
        <v>-113</v>
      </c>
      <c r="T246" s="1">
        <f t="shared" si="3"/>
        <v>1.884955752</v>
      </c>
      <c r="U246" s="1">
        <f t="shared" si="4"/>
        <v>1</v>
      </c>
      <c r="V246" s="3">
        <f t="shared" si="5"/>
        <v>2</v>
      </c>
      <c r="W246" s="3">
        <f t="shared" si="6"/>
        <v>2</v>
      </c>
      <c r="X246" s="3" t="str">
        <f>IFERROR(__xludf.DUMMYFUNCTION("split(B246,"" "")"),"C.")</f>
        <v>C.</v>
      </c>
      <c r="Y246" s="3" t="str">
        <f>IFERROR(__xludf.DUMMYFUNCTION("""COMPUTED_VALUE"""),"McCaffrey")</f>
        <v>McCaffrey</v>
      </c>
      <c r="AA246" s="3">
        <v>0.0</v>
      </c>
      <c r="AB246" s="3">
        <f t="shared" si="7"/>
        <v>0</v>
      </c>
      <c r="AC246" s="3">
        <f t="shared" si="8"/>
        <v>0</v>
      </c>
      <c r="AD246" s="3">
        <f t="shared" si="9"/>
        <v>1.769911504</v>
      </c>
      <c r="AE246" s="3">
        <f t="shared" si="10"/>
        <v>-2</v>
      </c>
      <c r="AF246" s="3">
        <f t="shared" si="11"/>
        <v>-2</v>
      </c>
      <c r="AG246" s="3">
        <f t="shared" si="12"/>
        <v>-1</v>
      </c>
    </row>
    <row r="247">
      <c r="A247" s="1" t="s">
        <v>10</v>
      </c>
      <c r="B247" s="1" t="s">
        <v>496</v>
      </c>
      <c r="C247" s="1" t="s">
        <v>18</v>
      </c>
      <c r="D247" s="1" t="s">
        <v>164</v>
      </c>
      <c r="E247" s="1" t="s">
        <v>165</v>
      </c>
      <c r="F247" s="1" t="s">
        <v>166</v>
      </c>
      <c r="G247" s="1">
        <v>14.5</v>
      </c>
      <c r="H247" s="1" t="s">
        <v>60</v>
      </c>
      <c r="I247" s="1">
        <v>-119.0</v>
      </c>
      <c r="J247" s="1">
        <v>-0.131379715272511</v>
      </c>
      <c r="K247" s="1" t="s">
        <v>61</v>
      </c>
      <c r="L247" s="1" t="s">
        <v>61</v>
      </c>
      <c r="M247" s="1" t="s">
        <v>62</v>
      </c>
      <c r="N247" s="1">
        <v>-115.0</v>
      </c>
      <c r="O247" s="1">
        <v>0.0530999827506145</v>
      </c>
      <c r="P247" s="1" t="s">
        <v>61</v>
      </c>
      <c r="Q247" s="1" t="s">
        <v>61</v>
      </c>
      <c r="R247" s="1">
        <f t="shared" si="1"/>
        <v>0.05309998275</v>
      </c>
      <c r="S247" s="1">
        <f t="shared" si="2"/>
        <v>-115</v>
      </c>
      <c r="T247" s="1">
        <f t="shared" si="3"/>
        <v>1.869565217</v>
      </c>
      <c r="U247" s="1">
        <f t="shared" si="4"/>
        <v>0</v>
      </c>
      <c r="V247" s="3">
        <f t="shared" si="5"/>
        <v>2</v>
      </c>
      <c r="W247" s="3">
        <f t="shared" si="6"/>
        <v>2</v>
      </c>
      <c r="X247" s="3" t="str">
        <f>IFERROR(__xludf.DUMMYFUNCTION("split(B247,"" "")"),"D.")</f>
        <v>D.</v>
      </c>
      <c r="Y247" s="3" t="str">
        <f>IFERROR(__xludf.DUMMYFUNCTION("""COMPUTED_VALUE"""),"Samuel")</f>
        <v>Samuel</v>
      </c>
      <c r="AA247" s="3">
        <v>23.0</v>
      </c>
      <c r="AB247" s="3">
        <f t="shared" si="7"/>
        <v>1</v>
      </c>
      <c r="AC247" s="3">
        <f t="shared" si="8"/>
        <v>0</v>
      </c>
      <c r="AD247" s="3">
        <f t="shared" si="9"/>
        <v>1.739130435</v>
      </c>
      <c r="AE247" s="3">
        <f t="shared" si="10"/>
        <v>-2</v>
      </c>
      <c r="AF247" s="3">
        <f t="shared" si="11"/>
        <v>-2</v>
      </c>
      <c r="AG247" s="3">
        <f t="shared" si="12"/>
        <v>-0.5862068966</v>
      </c>
    </row>
    <row r="248">
      <c r="A248" s="1" t="s">
        <v>17</v>
      </c>
      <c r="B248" s="1" t="s">
        <v>330</v>
      </c>
      <c r="C248" s="1" t="s">
        <v>21</v>
      </c>
      <c r="D248" s="1" t="s">
        <v>165</v>
      </c>
      <c r="E248" s="1" t="s">
        <v>164</v>
      </c>
      <c r="F248" s="1" t="s">
        <v>166</v>
      </c>
      <c r="G248" s="1">
        <v>0.5</v>
      </c>
      <c r="H248" s="1" t="s">
        <v>60</v>
      </c>
      <c r="I248" s="1">
        <v>-127.0</v>
      </c>
      <c r="J248" s="1">
        <v>-0.134015418502202</v>
      </c>
      <c r="K248" s="1" t="s">
        <v>61</v>
      </c>
      <c r="L248" s="1" t="s">
        <v>61</v>
      </c>
      <c r="M248" s="1" t="s">
        <v>62</v>
      </c>
      <c r="N248" s="1">
        <v>-110.0</v>
      </c>
      <c r="O248" s="1">
        <v>0.050742857142857</v>
      </c>
      <c r="P248" s="1" t="s">
        <v>61</v>
      </c>
      <c r="Q248" s="1" t="s">
        <v>61</v>
      </c>
      <c r="R248" s="1">
        <f t="shared" si="1"/>
        <v>0.05074285714</v>
      </c>
      <c r="S248" s="1">
        <f t="shared" si="2"/>
        <v>-110</v>
      </c>
      <c r="T248" s="1">
        <f t="shared" si="3"/>
        <v>1.909090909</v>
      </c>
      <c r="U248" s="1">
        <f t="shared" si="4"/>
        <v>0</v>
      </c>
      <c r="V248" s="3">
        <f t="shared" si="5"/>
        <v>2</v>
      </c>
      <c r="W248" s="3">
        <f t="shared" si="6"/>
        <v>2</v>
      </c>
      <c r="X248" s="3" t="str">
        <f>IFERROR(__xludf.DUMMYFUNCTION("split(B248,"" "")"),"A.")</f>
        <v>A.</v>
      </c>
      <c r="Y248" s="3" t="str">
        <f>IFERROR(__xludf.DUMMYFUNCTION("""COMPUTED_VALUE"""),"Rodgers")</f>
        <v>Rodgers</v>
      </c>
      <c r="AA248" s="3">
        <v>1.0</v>
      </c>
      <c r="AB248" s="3">
        <f t="shared" si="7"/>
        <v>1</v>
      </c>
      <c r="AC248" s="3">
        <f t="shared" si="8"/>
        <v>0</v>
      </c>
      <c r="AD248" s="3">
        <f t="shared" si="9"/>
        <v>1.818181818</v>
      </c>
      <c r="AE248" s="3">
        <f t="shared" si="10"/>
        <v>-2</v>
      </c>
      <c r="AF248" s="3">
        <f t="shared" si="11"/>
        <v>-2</v>
      </c>
      <c r="AG248" s="3">
        <f t="shared" si="12"/>
        <v>-1</v>
      </c>
    </row>
    <row r="249">
      <c r="A249" s="1" t="s">
        <v>12</v>
      </c>
      <c r="B249" s="1" t="s">
        <v>310</v>
      </c>
      <c r="C249" s="1" t="s">
        <v>18</v>
      </c>
      <c r="D249" s="1" t="s">
        <v>72</v>
      </c>
      <c r="E249" s="1" t="s">
        <v>71</v>
      </c>
      <c r="F249" s="1" t="s">
        <v>59</v>
      </c>
      <c r="G249" s="1">
        <v>5.5</v>
      </c>
      <c r="H249" s="1" t="s">
        <v>60</v>
      </c>
      <c r="I249" s="1">
        <v>119.0</v>
      </c>
      <c r="J249" s="1">
        <v>0.00802465753424652</v>
      </c>
      <c r="K249" s="1" t="s">
        <v>61</v>
      </c>
      <c r="L249" s="1" t="s">
        <v>61</v>
      </c>
      <c r="M249" s="1" t="s">
        <v>62</v>
      </c>
      <c r="N249" s="1">
        <v>-160.0</v>
      </c>
      <c r="O249" s="1">
        <v>-0.0800230769230769</v>
      </c>
      <c r="P249" s="1" t="s">
        <v>61</v>
      </c>
      <c r="Q249" s="1" t="s">
        <v>61</v>
      </c>
      <c r="R249" s="1">
        <f t="shared" si="1"/>
        <v>0.008024657534</v>
      </c>
      <c r="S249" s="1">
        <f t="shared" si="2"/>
        <v>119</v>
      </c>
      <c r="T249" s="1">
        <f t="shared" si="3"/>
        <v>2.19</v>
      </c>
      <c r="U249" s="1">
        <f t="shared" si="4"/>
        <v>1</v>
      </c>
      <c r="V249" s="3">
        <f t="shared" si="5"/>
        <v>1</v>
      </c>
      <c r="W249" s="3">
        <f t="shared" si="6"/>
        <v>1</v>
      </c>
      <c r="X249" s="3" t="str">
        <f>IFERROR(__xludf.DUMMYFUNCTION("split(B249,"" "")"),"S.")</f>
        <v>S.</v>
      </c>
      <c r="Y249" s="3" t="str">
        <f>IFERROR(__xludf.DUMMYFUNCTION("""COMPUTED_VALUE"""),"Diggs")</f>
        <v>Diggs</v>
      </c>
      <c r="AA249" s="3">
        <v>6.0</v>
      </c>
      <c r="AB249" s="3">
        <f t="shared" si="7"/>
        <v>1</v>
      </c>
      <c r="AC249" s="3">
        <f t="shared" si="8"/>
        <v>1</v>
      </c>
      <c r="AD249" s="3">
        <f t="shared" si="9"/>
        <v>1.19</v>
      </c>
      <c r="AE249" s="3">
        <f t="shared" si="10"/>
        <v>1.19</v>
      </c>
      <c r="AF249" s="3">
        <f t="shared" si="11"/>
        <v>1.19</v>
      </c>
      <c r="AG249" s="3">
        <f t="shared" si="12"/>
        <v>0.09090909091</v>
      </c>
    </row>
    <row r="250">
      <c r="A250" s="1" t="s">
        <v>12</v>
      </c>
      <c r="B250" s="1" t="s">
        <v>314</v>
      </c>
      <c r="C250" s="1" t="s">
        <v>18</v>
      </c>
      <c r="D250" s="1" t="s">
        <v>113</v>
      </c>
      <c r="E250" s="1" t="s">
        <v>114</v>
      </c>
      <c r="F250" s="1" t="s">
        <v>90</v>
      </c>
      <c r="G250" s="1">
        <v>5.5</v>
      </c>
      <c r="H250" s="1" t="s">
        <v>60</v>
      </c>
      <c r="I250" s="1">
        <v>110.0</v>
      </c>
      <c r="J250" s="1">
        <v>0.00376190476190485</v>
      </c>
      <c r="K250" s="1" t="s">
        <v>61</v>
      </c>
      <c r="L250" s="1" t="s">
        <v>61</v>
      </c>
      <c r="M250" s="1" t="s">
        <v>62</v>
      </c>
      <c r="N250" s="1">
        <v>-148.0</v>
      </c>
      <c r="O250" s="1">
        <v>-0.0767338709677419</v>
      </c>
      <c r="P250" s="1" t="s">
        <v>61</v>
      </c>
      <c r="Q250" s="1" t="s">
        <v>61</v>
      </c>
      <c r="R250" s="1">
        <f t="shared" si="1"/>
        <v>0.003761904762</v>
      </c>
      <c r="S250" s="1">
        <f t="shared" si="2"/>
        <v>110</v>
      </c>
      <c r="T250" s="1">
        <f t="shared" si="3"/>
        <v>2.1</v>
      </c>
      <c r="U250" s="1">
        <f t="shared" si="4"/>
        <v>1</v>
      </c>
      <c r="V250" s="3">
        <f t="shared" si="5"/>
        <v>1</v>
      </c>
      <c r="W250" s="3">
        <f t="shared" si="6"/>
        <v>2</v>
      </c>
      <c r="X250" s="3" t="str">
        <f>IFERROR(__xludf.DUMMYFUNCTION("split(B250,"" "")"),"C.")</f>
        <v>C.</v>
      </c>
      <c r="Y250" s="3" t="str">
        <f>IFERROR(__xludf.DUMMYFUNCTION("""COMPUTED_VALUE"""),"Godwin")</f>
        <v>Godwin</v>
      </c>
      <c r="AA250" s="3">
        <v>8.0</v>
      </c>
      <c r="AB250" s="3">
        <f t="shared" si="7"/>
        <v>1</v>
      </c>
      <c r="AC250" s="3">
        <f t="shared" si="8"/>
        <v>1</v>
      </c>
      <c r="AD250" s="3">
        <f t="shared" si="9"/>
        <v>1.1</v>
      </c>
      <c r="AE250" s="3">
        <f t="shared" si="10"/>
        <v>1.1</v>
      </c>
      <c r="AF250" s="3">
        <f t="shared" si="11"/>
        <v>2.2</v>
      </c>
      <c r="AG250" s="3">
        <f t="shared" si="12"/>
        <v>0.4545454545</v>
      </c>
    </row>
    <row r="251">
      <c r="A251" s="1" t="s">
        <v>14</v>
      </c>
      <c r="B251" s="1" t="s">
        <v>316</v>
      </c>
      <c r="C251" s="1" t="s">
        <v>21</v>
      </c>
      <c r="D251" s="1" t="s">
        <v>94</v>
      </c>
      <c r="E251" s="1" t="s">
        <v>93</v>
      </c>
      <c r="F251" s="1" t="s">
        <v>59</v>
      </c>
      <c r="G251" s="1">
        <v>1.5</v>
      </c>
      <c r="H251" s="1" t="s">
        <v>60</v>
      </c>
      <c r="I251" s="1">
        <v>-145.0</v>
      </c>
      <c r="J251" s="1">
        <v>-0.0976367346938775</v>
      </c>
      <c r="K251" s="1" t="s">
        <v>61</v>
      </c>
      <c r="L251" s="1" t="s">
        <v>61</v>
      </c>
      <c r="M251" s="1" t="s">
        <v>62</v>
      </c>
      <c r="N251" s="1">
        <v>109.0</v>
      </c>
      <c r="O251" s="1">
        <v>0.0273311004784688</v>
      </c>
      <c r="P251" s="1" t="s">
        <v>61</v>
      </c>
      <c r="Q251" s="1" t="s">
        <v>61</v>
      </c>
      <c r="R251" s="1">
        <f t="shared" si="1"/>
        <v>0.02733110048</v>
      </c>
      <c r="S251" s="1">
        <f t="shared" si="2"/>
        <v>109</v>
      </c>
      <c r="T251" s="1">
        <f t="shared" si="3"/>
        <v>2.09</v>
      </c>
      <c r="U251" s="1">
        <f t="shared" si="4"/>
        <v>0</v>
      </c>
      <c r="V251" s="3">
        <f t="shared" si="5"/>
        <v>1</v>
      </c>
      <c r="W251" s="3">
        <f t="shared" si="6"/>
        <v>2</v>
      </c>
      <c r="X251" s="3" t="str">
        <f>IFERROR(__xludf.DUMMYFUNCTION("split(B251,"" "")"),"T.")</f>
        <v>T.</v>
      </c>
      <c r="Y251" s="3" t="str">
        <f>IFERROR(__xludf.DUMMYFUNCTION("""COMPUTED_VALUE"""),"Tagovailoa")</f>
        <v>Tagovailoa</v>
      </c>
      <c r="AA251" s="3">
        <v>1.0</v>
      </c>
      <c r="AB251" s="3">
        <f t="shared" si="7"/>
        <v>0</v>
      </c>
      <c r="AC251" s="3">
        <f t="shared" si="8"/>
        <v>1</v>
      </c>
      <c r="AD251" s="3">
        <f t="shared" si="9"/>
        <v>1.09</v>
      </c>
      <c r="AE251" s="3">
        <f t="shared" si="10"/>
        <v>1.09</v>
      </c>
      <c r="AF251" s="3">
        <f t="shared" si="11"/>
        <v>2.18</v>
      </c>
      <c r="AG251" s="3">
        <f t="shared" si="12"/>
        <v>0.3333333333</v>
      </c>
    </row>
    <row r="252">
      <c r="A252" s="1" t="s">
        <v>14</v>
      </c>
      <c r="B252" s="1" t="s">
        <v>318</v>
      </c>
      <c r="C252" s="1" t="s">
        <v>21</v>
      </c>
      <c r="D252" s="1" t="s">
        <v>67</v>
      </c>
      <c r="E252" s="1" t="s">
        <v>66</v>
      </c>
      <c r="F252" s="1" t="s">
        <v>59</v>
      </c>
      <c r="G252" s="1">
        <v>1.5</v>
      </c>
      <c r="H252" s="1" t="s">
        <v>60</v>
      </c>
      <c r="I252" s="1">
        <v>-145.0</v>
      </c>
      <c r="J252" s="1">
        <v>-0.0882775510204081</v>
      </c>
      <c r="K252" s="1" t="s">
        <v>61</v>
      </c>
      <c r="L252" s="1" t="s">
        <v>61</v>
      </c>
      <c r="M252" s="1" t="s">
        <v>62</v>
      </c>
      <c r="N252" s="1">
        <v>108.0</v>
      </c>
      <c r="O252" s="1">
        <v>0.0156788461538461</v>
      </c>
      <c r="P252" s="1" t="s">
        <v>61</v>
      </c>
      <c r="Q252" s="1" t="s">
        <v>61</v>
      </c>
      <c r="R252" s="1">
        <f t="shared" si="1"/>
        <v>0.01567884615</v>
      </c>
      <c r="S252" s="1">
        <f t="shared" si="2"/>
        <v>108</v>
      </c>
      <c r="T252" s="1">
        <f t="shared" si="3"/>
        <v>2.08</v>
      </c>
      <c r="U252" s="1">
        <f t="shared" si="4"/>
        <v>0</v>
      </c>
      <c r="V252" s="3">
        <f t="shared" si="5"/>
        <v>1</v>
      </c>
      <c r="W252" s="3">
        <f t="shared" si="6"/>
        <v>2</v>
      </c>
      <c r="X252" s="3" t="str">
        <f>IFERROR(__xludf.DUMMYFUNCTION("split(B252,"" "")"),"J.")</f>
        <v>J.</v>
      </c>
      <c r="Y252" s="3" t="str">
        <f>IFERROR(__xludf.DUMMYFUNCTION("""COMPUTED_VALUE"""),"Burrow")</f>
        <v>Burrow</v>
      </c>
      <c r="AA252" s="3">
        <v>0.0</v>
      </c>
      <c r="AB252" s="3">
        <f t="shared" si="7"/>
        <v>0</v>
      </c>
      <c r="AC252" s="3">
        <f t="shared" si="8"/>
        <v>1</v>
      </c>
      <c r="AD252" s="3">
        <f t="shared" si="9"/>
        <v>1.08</v>
      </c>
      <c r="AE252" s="3">
        <f t="shared" si="10"/>
        <v>1.08</v>
      </c>
      <c r="AF252" s="3">
        <f t="shared" si="11"/>
        <v>2.16</v>
      </c>
      <c r="AG252" s="3">
        <f t="shared" si="12"/>
        <v>1</v>
      </c>
    </row>
    <row r="253">
      <c r="A253" s="1" t="s">
        <v>17</v>
      </c>
      <c r="B253" s="1" t="s">
        <v>320</v>
      </c>
      <c r="C253" s="1" t="s">
        <v>21</v>
      </c>
      <c r="D253" s="1" t="s">
        <v>114</v>
      </c>
      <c r="E253" s="1" t="s">
        <v>113</v>
      </c>
      <c r="F253" s="1" t="s">
        <v>90</v>
      </c>
      <c r="G253" s="1">
        <v>0.5</v>
      </c>
      <c r="H253" s="1" t="s">
        <v>60</v>
      </c>
      <c r="I253" s="1">
        <v>-143.0</v>
      </c>
      <c r="J253" s="1">
        <v>-0.120277366255144</v>
      </c>
      <c r="K253" s="1" t="s">
        <v>61</v>
      </c>
      <c r="L253" s="1" t="s">
        <v>61</v>
      </c>
      <c r="M253" s="1" t="s">
        <v>62</v>
      </c>
      <c r="N253" s="1">
        <v>104.0</v>
      </c>
      <c r="O253" s="1">
        <v>0.0416039215686275</v>
      </c>
      <c r="P253" s="1" t="s">
        <v>61</v>
      </c>
      <c r="Q253" s="1" t="s">
        <v>61</v>
      </c>
      <c r="R253" s="1">
        <f t="shared" si="1"/>
        <v>0.04160392157</v>
      </c>
      <c r="S253" s="1">
        <f t="shared" si="2"/>
        <v>104</v>
      </c>
      <c r="T253" s="1">
        <f t="shared" si="3"/>
        <v>2.04</v>
      </c>
      <c r="U253" s="1">
        <f t="shared" si="4"/>
        <v>0</v>
      </c>
      <c r="V253" s="3">
        <f t="shared" si="5"/>
        <v>1</v>
      </c>
      <c r="W253" s="3">
        <f t="shared" si="6"/>
        <v>2</v>
      </c>
      <c r="X253" s="3" t="str">
        <f>IFERROR(__xludf.DUMMYFUNCTION("split(B253,"" "")"),"J.")</f>
        <v>J.</v>
      </c>
      <c r="Y253" s="3" t="str">
        <f>IFERROR(__xludf.DUMMYFUNCTION("""COMPUTED_VALUE"""),"Daniels")</f>
        <v>Daniels</v>
      </c>
      <c r="AA253" s="3">
        <v>0.0</v>
      </c>
      <c r="AB253" s="3">
        <f t="shared" si="7"/>
        <v>0</v>
      </c>
      <c r="AC253" s="3">
        <f t="shared" si="8"/>
        <v>1</v>
      </c>
      <c r="AD253" s="3">
        <f t="shared" si="9"/>
        <v>1.04</v>
      </c>
      <c r="AE253" s="3">
        <f t="shared" si="10"/>
        <v>1.04</v>
      </c>
      <c r="AF253" s="3">
        <f t="shared" si="11"/>
        <v>2.08</v>
      </c>
      <c r="AG253" s="3">
        <f t="shared" si="12"/>
        <v>1</v>
      </c>
    </row>
    <row r="254">
      <c r="A254" s="1" t="s">
        <v>9</v>
      </c>
      <c r="B254" s="1" t="s">
        <v>322</v>
      </c>
      <c r="C254" s="1" t="s">
        <v>18</v>
      </c>
      <c r="D254" s="1" t="s">
        <v>134</v>
      </c>
      <c r="E254" s="1" t="s">
        <v>135</v>
      </c>
      <c r="F254" s="1" t="s">
        <v>84</v>
      </c>
      <c r="G254" s="1">
        <v>70.0</v>
      </c>
      <c r="H254" s="1" t="s">
        <v>60</v>
      </c>
      <c r="I254" s="1">
        <v>-140.0</v>
      </c>
      <c r="J254" s="1">
        <v>-0.116929902255123</v>
      </c>
      <c r="K254" s="1" t="s">
        <v>61</v>
      </c>
      <c r="L254" s="1" t="s">
        <v>61</v>
      </c>
      <c r="M254" s="1" t="s">
        <v>62</v>
      </c>
      <c r="N254" s="1">
        <v>103.0</v>
      </c>
      <c r="O254" s="1">
        <v>0.0418782095627082</v>
      </c>
      <c r="P254" s="1" t="s">
        <v>61</v>
      </c>
      <c r="Q254" s="1" t="s">
        <v>61</v>
      </c>
      <c r="R254" s="1">
        <f t="shared" si="1"/>
        <v>0.04187820956</v>
      </c>
      <c r="S254" s="1">
        <f t="shared" si="2"/>
        <v>103</v>
      </c>
      <c r="T254" s="1">
        <f t="shared" si="3"/>
        <v>2.03</v>
      </c>
      <c r="U254" s="1">
        <f t="shared" si="4"/>
        <v>0</v>
      </c>
      <c r="V254" s="3">
        <f t="shared" si="5"/>
        <v>1</v>
      </c>
      <c r="W254" s="3">
        <f t="shared" si="6"/>
        <v>2</v>
      </c>
      <c r="X254" s="3" t="str">
        <f>IFERROR(__xludf.DUMMYFUNCTION("split(B254,"" "")"),"D.")</f>
        <v>D.</v>
      </c>
      <c r="Y254" s="3" t="str">
        <f>IFERROR(__xludf.DUMMYFUNCTION("""COMPUTED_VALUE"""),"Adams")</f>
        <v>Adams</v>
      </c>
      <c r="AA254" s="3">
        <v>59.0</v>
      </c>
      <c r="AB254" s="3">
        <f t="shared" si="7"/>
        <v>0</v>
      </c>
      <c r="AC254" s="3">
        <f t="shared" si="8"/>
        <v>1</v>
      </c>
      <c r="AD254" s="3">
        <f t="shared" si="9"/>
        <v>1.03</v>
      </c>
      <c r="AE254" s="3">
        <f t="shared" si="10"/>
        <v>1.03</v>
      </c>
      <c r="AF254" s="3">
        <f t="shared" si="11"/>
        <v>2.06</v>
      </c>
      <c r="AG254" s="3">
        <f t="shared" si="12"/>
        <v>0.1571428571</v>
      </c>
    </row>
    <row r="255">
      <c r="A255" s="1" t="s">
        <v>8</v>
      </c>
      <c r="B255" s="1" t="s">
        <v>324</v>
      </c>
      <c r="C255" s="1" t="s">
        <v>19</v>
      </c>
      <c r="D255" s="1" t="s">
        <v>89</v>
      </c>
      <c r="E255" s="1" t="s">
        <v>88</v>
      </c>
      <c r="F255" s="1" t="s">
        <v>90</v>
      </c>
      <c r="G255" s="1">
        <v>12.5</v>
      </c>
      <c r="H255" s="1" t="s">
        <v>60</v>
      </c>
      <c r="I255" s="1">
        <v>-133.0</v>
      </c>
      <c r="J255" s="1">
        <v>-0.0767707424695278</v>
      </c>
      <c r="K255" s="1" t="s">
        <v>61</v>
      </c>
      <c r="L255" s="1" t="s">
        <v>61</v>
      </c>
      <c r="M255" s="1" t="s">
        <v>62</v>
      </c>
      <c r="N255" s="1">
        <v>102.0</v>
      </c>
      <c r="O255" s="1">
        <v>0.0108989257198019</v>
      </c>
      <c r="P255" s="1" t="s">
        <v>61</v>
      </c>
      <c r="Q255" s="1" t="s">
        <v>61</v>
      </c>
      <c r="R255" s="1">
        <f t="shared" si="1"/>
        <v>0.01089892572</v>
      </c>
      <c r="S255" s="1">
        <f t="shared" si="2"/>
        <v>102</v>
      </c>
      <c r="T255" s="1">
        <f t="shared" si="3"/>
        <v>2.02</v>
      </c>
      <c r="U255" s="1">
        <f t="shared" si="4"/>
        <v>0</v>
      </c>
      <c r="V255" s="3">
        <f t="shared" si="5"/>
        <v>1</v>
      </c>
      <c r="W255" s="3">
        <f t="shared" si="6"/>
        <v>2</v>
      </c>
      <c r="X255" s="3" t="str">
        <f>IFERROR(__xludf.DUMMYFUNCTION("split(B255,"" "")"),"J.")</f>
        <v>J.</v>
      </c>
      <c r="Y255" s="3" t="str">
        <f>IFERROR(__xludf.DUMMYFUNCTION("""COMPUTED_VALUE"""),"Ford")</f>
        <v>Ford</v>
      </c>
      <c r="AA255" s="3">
        <v>12.0</v>
      </c>
      <c r="AB255" s="3">
        <f t="shared" si="7"/>
        <v>0</v>
      </c>
      <c r="AC255" s="3">
        <f t="shared" si="8"/>
        <v>1</v>
      </c>
      <c r="AD255" s="3">
        <f t="shared" si="9"/>
        <v>1.02</v>
      </c>
      <c r="AE255" s="3">
        <f t="shared" si="10"/>
        <v>1.02</v>
      </c>
      <c r="AF255" s="3">
        <f t="shared" si="11"/>
        <v>2.04</v>
      </c>
      <c r="AG255" s="3">
        <f t="shared" si="12"/>
        <v>0.04</v>
      </c>
    </row>
    <row r="256">
      <c r="A256" s="1" t="s">
        <v>12</v>
      </c>
      <c r="B256" s="1" t="s">
        <v>326</v>
      </c>
      <c r="C256" s="1" t="s">
        <v>20</v>
      </c>
      <c r="D256" s="1" t="s">
        <v>76</v>
      </c>
      <c r="E256" s="1" t="s">
        <v>77</v>
      </c>
      <c r="F256" s="1" t="s">
        <v>78</v>
      </c>
      <c r="G256" s="1">
        <v>5.5</v>
      </c>
      <c r="H256" s="1" t="s">
        <v>60</v>
      </c>
      <c r="I256" s="1">
        <v>-136.0</v>
      </c>
      <c r="J256" s="6">
        <v>-0.0868711864406779</v>
      </c>
      <c r="K256" s="1" t="s">
        <v>61</v>
      </c>
      <c r="L256" s="1" t="s">
        <v>61</v>
      </c>
      <c r="M256" s="1" t="s">
        <v>62</v>
      </c>
      <c r="N256" s="1">
        <v>101.0</v>
      </c>
      <c r="O256" s="6">
        <v>0.0130875621890547</v>
      </c>
      <c r="P256" s="1" t="s">
        <v>61</v>
      </c>
      <c r="Q256" s="1" t="s">
        <v>61</v>
      </c>
      <c r="R256" s="6">
        <f t="shared" si="1"/>
        <v>0.01308756219</v>
      </c>
      <c r="S256" s="1">
        <f t="shared" si="2"/>
        <v>101</v>
      </c>
      <c r="T256" s="1">
        <f t="shared" si="3"/>
        <v>2.01</v>
      </c>
      <c r="U256" s="1">
        <f t="shared" si="4"/>
        <v>0</v>
      </c>
      <c r="V256" s="3">
        <f t="shared" si="5"/>
        <v>1</v>
      </c>
      <c r="W256" s="3">
        <f t="shared" si="6"/>
        <v>2</v>
      </c>
      <c r="X256" s="3" t="str">
        <f>IFERROR(__xludf.DUMMYFUNCTION("split(B256,"" "")"),"T.")</f>
        <v>T.</v>
      </c>
      <c r="Y256" s="3" t="str">
        <f>IFERROR(__xludf.DUMMYFUNCTION("""COMPUTED_VALUE"""),"Kelce")</f>
        <v>Kelce</v>
      </c>
      <c r="AA256" s="3">
        <v>3.0</v>
      </c>
      <c r="AB256" s="3">
        <f t="shared" si="7"/>
        <v>0</v>
      </c>
      <c r="AC256" s="3">
        <f t="shared" si="8"/>
        <v>1</v>
      </c>
      <c r="AD256" s="3">
        <f t="shared" si="9"/>
        <v>1.01</v>
      </c>
      <c r="AE256" s="3">
        <f t="shared" si="10"/>
        <v>1.01</v>
      </c>
      <c r="AF256" s="3">
        <f t="shared" si="11"/>
        <v>2.02</v>
      </c>
      <c r="AG256" s="3">
        <f t="shared" si="12"/>
        <v>0.4545454545</v>
      </c>
    </row>
    <row r="257">
      <c r="A257" s="1" t="s">
        <v>11</v>
      </c>
      <c r="B257" s="1" t="s">
        <v>322</v>
      </c>
      <c r="C257" s="1" t="s">
        <v>18</v>
      </c>
      <c r="D257" s="1" t="s">
        <v>134</v>
      </c>
      <c r="E257" s="1" t="s">
        <v>135</v>
      </c>
      <c r="F257" s="1" t="s">
        <v>84</v>
      </c>
      <c r="G257" s="1">
        <v>70.5</v>
      </c>
      <c r="H257" s="1" t="s">
        <v>60</v>
      </c>
      <c r="I257" s="1">
        <v>-133.0</v>
      </c>
      <c r="J257" s="1">
        <v>-0.0875280980699703</v>
      </c>
      <c r="K257" s="1" t="s">
        <v>61</v>
      </c>
      <c r="L257" s="1" t="s">
        <v>61</v>
      </c>
      <c r="M257" s="1" t="s">
        <v>62</v>
      </c>
      <c r="N257" s="1">
        <v>100.0</v>
      </c>
      <c r="O257" s="1">
        <v>0.0167474610458405</v>
      </c>
      <c r="P257" s="1" t="s">
        <v>61</v>
      </c>
      <c r="Q257" s="1" t="s">
        <v>61</v>
      </c>
      <c r="R257" s="1">
        <f t="shared" si="1"/>
        <v>0.01674746105</v>
      </c>
      <c r="S257" s="1">
        <f t="shared" si="2"/>
        <v>100</v>
      </c>
      <c r="T257" s="1">
        <f t="shared" si="3"/>
        <v>2</v>
      </c>
      <c r="U257" s="1">
        <f t="shared" si="4"/>
        <v>0</v>
      </c>
      <c r="V257" s="3">
        <f t="shared" si="5"/>
        <v>1</v>
      </c>
      <c r="W257" s="3">
        <f t="shared" si="6"/>
        <v>2</v>
      </c>
      <c r="X257" s="3" t="str">
        <f>IFERROR(__xludf.DUMMYFUNCTION("split(B257,"" "")"),"D.")</f>
        <v>D.</v>
      </c>
      <c r="Y257" s="3" t="str">
        <f>IFERROR(__xludf.DUMMYFUNCTION("""COMPUTED_VALUE"""),"Adams")</f>
        <v>Adams</v>
      </c>
      <c r="AA257" s="3">
        <v>59.0</v>
      </c>
      <c r="AB257" s="3">
        <f t="shared" si="7"/>
        <v>0</v>
      </c>
      <c r="AC257" s="3">
        <f t="shared" si="8"/>
        <v>1</v>
      </c>
      <c r="AD257" s="3">
        <f t="shared" si="9"/>
        <v>1</v>
      </c>
      <c r="AE257" s="3">
        <f t="shared" si="10"/>
        <v>1</v>
      </c>
      <c r="AF257" s="3">
        <f t="shared" si="11"/>
        <v>2</v>
      </c>
      <c r="AG257" s="3">
        <f t="shared" si="12"/>
        <v>0.1631205674</v>
      </c>
    </row>
    <row r="258">
      <c r="A258" s="1" t="s">
        <v>15</v>
      </c>
      <c r="B258" s="1" t="s">
        <v>328</v>
      </c>
      <c r="C258" s="1" t="s">
        <v>21</v>
      </c>
      <c r="D258" s="1" t="s">
        <v>109</v>
      </c>
      <c r="E258" s="1" t="s">
        <v>110</v>
      </c>
      <c r="F258" s="1" t="s">
        <v>59</v>
      </c>
      <c r="G258" s="1">
        <v>21.5</v>
      </c>
      <c r="H258" s="1" t="s">
        <v>60</v>
      </c>
      <c r="I258" s="1">
        <v>-132.0</v>
      </c>
      <c r="J258" s="1">
        <v>-0.0900362068965517</v>
      </c>
      <c r="K258" s="1" t="s">
        <v>61</v>
      </c>
      <c r="L258" s="1" t="s">
        <v>61</v>
      </c>
      <c r="M258" s="1" t="s">
        <v>62</v>
      </c>
      <c r="N258" s="1">
        <v>-102.0</v>
      </c>
      <c r="O258" s="1">
        <v>0.0160980198019802</v>
      </c>
      <c r="P258" s="1" t="s">
        <v>61</v>
      </c>
      <c r="Q258" s="1" t="s">
        <v>61</v>
      </c>
      <c r="R258" s="1">
        <f t="shared" si="1"/>
        <v>0.0160980198</v>
      </c>
      <c r="S258" s="1">
        <f t="shared" si="2"/>
        <v>-102</v>
      </c>
      <c r="T258" s="1">
        <f t="shared" si="3"/>
        <v>1.980392157</v>
      </c>
      <c r="U258" s="1">
        <f t="shared" si="4"/>
        <v>0</v>
      </c>
      <c r="V258" s="3">
        <f t="shared" si="5"/>
        <v>1</v>
      </c>
      <c r="W258" s="3">
        <f t="shared" si="6"/>
        <v>2</v>
      </c>
      <c r="X258" s="3" t="str">
        <f>IFERROR(__xludf.DUMMYFUNCTION("split(B258,"" "")"),"K.")</f>
        <v>K.</v>
      </c>
      <c r="Y258" s="3" t="str">
        <f>IFERROR(__xludf.DUMMYFUNCTION("""COMPUTED_VALUE"""),"Cousins")</f>
        <v>Cousins</v>
      </c>
      <c r="AA258" s="3">
        <v>16.0</v>
      </c>
      <c r="AB258" s="3">
        <f t="shared" si="7"/>
        <v>0</v>
      </c>
      <c r="AC258" s="3">
        <f t="shared" si="8"/>
        <v>1</v>
      </c>
      <c r="AD258" s="3">
        <f t="shared" si="9"/>
        <v>0.9803921569</v>
      </c>
      <c r="AE258" s="3">
        <f t="shared" si="10"/>
        <v>0.9803921569</v>
      </c>
      <c r="AF258" s="3">
        <f t="shared" si="11"/>
        <v>1.960784314</v>
      </c>
      <c r="AG258" s="3">
        <f t="shared" si="12"/>
        <v>0.2558139535</v>
      </c>
    </row>
    <row r="259">
      <c r="A259" s="1" t="s">
        <v>16</v>
      </c>
      <c r="B259" s="1" t="s">
        <v>328</v>
      </c>
      <c r="C259" s="1" t="s">
        <v>21</v>
      </c>
      <c r="D259" s="1" t="s">
        <v>109</v>
      </c>
      <c r="E259" s="1" t="s">
        <v>110</v>
      </c>
      <c r="F259" s="1" t="s">
        <v>59</v>
      </c>
      <c r="G259" s="1">
        <v>33.5</v>
      </c>
      <c r="H259" s="1" t="s">
        <v>60</v>
      </c>
      <c r="I259" s="1">
        <v>-125.0</v>
      </c>
      <c r="J259" s="1">
        <v>-0.0838132457777777</v>
      </c>
      <c r="K259" s="1" t="s">
        <v>61</v>
      </c>
      <c r="L259" s="1" t="s">
        <v>61</v>
      </c>
      <c r="M259" s="1" t="s">
        <v>62</v>
      </c>
      <c r="N259" s="1">
        <v>-105.0</v>
      </c>
      <c r="O259" s="1">
        <v>0.0160555328780487</v>
      </c>
      <c r="P259" s="1" t="s">
        <v>61</v>
      </c>
      <c r="Q259" s="1" t="s">
        <v>61</v>
      </c>
      <c r="R259" s="1">
        <f t="shared" si="1"/>
        <v>0.01605553288</v>
      </c>
      <c r="S259" s="1">
        <f t="shared" si="2"/>
        <v>-105</v>
      </c>
      <c r="T259" s="1">
        <f t="shared" si="3"/>
        <v>1.952380952</v>
      </c>
      <c r="U259" s="1">
        <f t="shared" si="4"/>
        <v>0</v>
      </c>
      <c r="V259" s="3">
        <f t="shared" si="5"/>
        <v>1</v>
      </c>
      <c r="W259" s="3">
        <f t="shared" si="6"/>
        <v>2</v>
      </c>
      <c r="X259" s="3" t="str">
        <f>IFERROR(__xludf.DUMMYFUNCTION("split(B259,"" "")"),"K.")</f>
        <v>K.</v>
      </c>
      <c r="Y259" s="3" t="str">
        <f>IFERROR(__xludf.DUMMYFUNCTION("""COMPUTED_VALUE"""),"Cousins")</f>
        <v>Cousins</v>
      </c>
      <c r="AA259" s="3">
        <v>26.0</v>
      </c>
      <c r="AB259" s="3">
        <f t="shared" si="7"/>
        <v>0</v>
      </c>
      <c r="AC259" s="3">
        <f t="shared" si="8"/>
        <v>1</v>
      </c>
      <c r="AD259" s="3">
        <f t="shared" si="9"/>
        <v>0.9523809524</v>
      </c>
      <c r="AE259" s="3">
        <f t="shared" si="10"/>
        <v>0.9523809524</v>
      </c>
      <c r="AF259" s="3">
        <f t="shared" si="11"/>
        <v>1.904761905</v>
      </c>
      <c r="AG259" s="3">
        <f t="shared" si="12"/>
        <v>0.223880597</v>
      </c>
    </row>
    <row r="260">
      <c r="A260" s="1" t="s">
        <v>15</v>
      </c>
      <c r="B260" s="1" t="s">
        <v>330</v>
      </c>
      <c r="C260" s="1" t="s">
        <v>21</v>
      </c>
      <c r="D260" s="1" t="s">
        <v>165</v>
      </c>
      <c r="E260" s="1" t="s">
        <v>164</v>
      </c>
      <c r="F260" s="1" t="s">
        <v>166</v>
      </c>
      <c r="G260" s="1">
        <v>21.5</v>
      </c>
      <c r="H260" s="1" t="s">
        <v>60</v>
      </c>
      <c r="I260" s="1">
        <v>-127.0</v>
      </c>
      <c r="J260" s="1">
        <v>-0.0999035242290748</v>
      </c>
      <c r="K260" s="1" t="s">
        <v>61</v>
      </c>
      <c r="L260" s="1" t="s">
        <v>61</v>
      </c>
      <c r="M260" s="1" t="s">
        <v>62</v>
      </c>
      <c r="N260" s="1">
        <v>-105.0</v>
      </c>
      <c r="O260" s="1">
        <v>0.0282585365853659</v>
      </c>
      <c r="P260" s="1" t="s">
        <v>61</v>
      </c>
      <c r="Q260" s="1" t="s">
        <v>61</v>
      </c>
      <c r="R260" s="1">
        <f t="shared" si="1"/>
        <v>0.02825853659</v>
      </c>
      <c r="S260" s="1">
        <f t="shared" si="2"/>
        <v>-105</v>
      </c>
      <c r="T260" s="1">
        <f t="shared" si="3"/>
        <v>1.952380952</v>
      </c>
      <c r="U260" s="1">
        <f t="shared" si="4"/>
        <v>0</v>
      </c>
      <c r="V260" s="3">
        <f t="shared" si="5"/>
        <v>1</v>
      </c>
      <c r="W260" s="3">
        <f t="shared" si="6"/>
        <v>2</v>
      </c>
      <c r="X260" s="3" t="str">
        <f>IFERROR(__xludf.DUMMYFUNCTION("split(B260,"" "")"),"A.")</f>
        <v>A.</v>
      </c>
      <c r="Y260" s="3" t="str">
        <f>IFERROR(__xludf.DUMMYFUNCTION("""COMPUTED_VALUE"""),"Rodgers")</f>
        <v>Rodgers</v>
      </c>
      <c r="AA260" s="3">
        <v>13.0</v>
      </c>
      <c r="AB260" s="3">
        <f t="shared" si="7"/>
        <v>0</v>
      </c>
      <c r="AC260" s="3">
        <f t="shared" si="8"/>
        <v>1</v>
      </c>
      <c r="AD260" s="3">
        <f t="shared" si="9"/>
        <v>0.9523809524</v>
      </c>
      <c r="AE260" s="3">
        <f t="shared" si="10"/>
        <v>0.9523809524</v>
      </c>
      <c r="AF260" s="3">
        <f t="shared" si="11"/>
        <v>1.904761905</v>
      </c>
      <c r="AG260" s="3">
        <f t="shared" si="12"/>
        <v>0.3953488372</v>
      </c>
    </row>
    <row r="261">
      <c r="A261" s="1" t="s">
        <v>11</v>
      </c>
      <c r="B261" s="1" t="s">
        <v>332</v>
      </c>
      <c r="C261" s="1" t="s">
        <v>20</v>
      </c>
      <c r="D261" s="1" t="s">
        <v>164</v>
      </c>
      <c r="E261" s="1" t="s">
        <v>165</v>
      </c>
      <c r="F261" s="1" t="s">
        <v>166</v>
      </c>
      <c r="G261" s="1">
        <v>45.0</v>
      </c>
      <c r="H261" s="1" t="s">
        <v>60</v>
      </c>
      <c r="I261" s="1">
        <v>-129.0</v>
      </c>
      <c r="J261" s="1">
        <v>-0.113508499386244</v>
      </c>
      <c r="K261" s="1" t="s">
        <v>61</v>
      </c>
      <c r="L261" s="1" t="s">
        <v>61</v>
      </c>
      <c r="M261" s="1" t="s">
        <v>62</v>
      </c>
      <c r="N261" s="1">
        <v>-106.0</v>
      </c>
      <c r="O261" s="1">
        <v>0.0363191910220972</v>
      </c>
      <c r="P261" s="1" t="s">
        <v>61</v>
      </c>
      <c r="Q261" s="1" t="s">
        <v>61</v>
      </c>
      <c r="R261" s="1">
        <f t="shared" si="1"/>
        <v>0.03631919102</v>
      </c>
      <c r="S261" s="1">
        <f t="shared" si="2"/>
        <v>-106</v>
      </c>
      <c r="T261" s="1">
        <f t="shared" si="3"/>
        <v>1.943396226</v>
      </c>
      <c r="U261" s="1">
        <f t="shared" si="4"/>
        <v>0</v>
      </c>
      <c r="V261" s="3">
        <f t="shared" si="5"/>
        <v>1</v>
      </c>
      <c r="W261" s="3">
        <f t="shared" si="6"/>
        <v>2</v>
      </c>
      <c r="X261" s="3" t="str">
        <f>IFERROR(__xludf.DUMMYFUNCTION("split(B261,"" "")"),"G.")</f>
        <v>G.</v>
      </c>
      <c r="Y261" s="3" t="str">
        <f>IFERROR(__xludf.DUMMYFUNCTION("""COMPUTED_VALUE"""),"Kittle")</f>
        <v>Kittle</v>
      </c>
      <c r="AA261" s="3">
        <v>40.0</v>
      </c>
      <c r="AB261" s="3">
        <f t="shared" si="7"/>
        <v>0</v>
      </c>
      <c r="AC261" s="3">
        <f t="shared" si="8"/>
        <v>1</v>
      </c>
      <c r="AD261" s="3">
        <f t="shared" si="9"/>
        <v>0.9433962264</v>
      </c>
      <c r="AE261" s="3">
        <f t="shared" si="10"/>
        <v>0.9433962264</v>
      </c>
      <c r="AF261" s="3">
        <f t="shared" si="11"/>
        <v>1.886792453</v>
      </c>
      <c r="AG261" s="3">
        <f t="shared" si="12"/>
        <v>0.1111111111</v>
      </c>
    </row>
    <row r="262">
      <c r="A262" s="1" t="s">
        <v>17</v>
      </c>
      <c r="B262" s="1" t="s">
        <v>274</v>
      </c>
      <c r="C262" s="1" t="s">
        <v>21</v>
      </c>
      <c r="D262" s="1" t="s">
        <v>99</v>
      </c>
      <c r="E262" s="1" t="s">
        <v>100</v>
      </c>
      <c r="F262" s="1" t="s">
        <v>59</v>
      </c>
      <c r="G262" s="1">
        <v>0.5</v>
      </c>
      <c r="H262" s="1" t="s">
        <v>60</v>
      </c>
      <c r="I262" s="1">
        <v>-126.0</v>
      </c>
      <c r="J262" s="1">
        <v>-0.102722123893805</v>
      </c>
      <c r="K262" s="1" t="s">
        <v>61</v>
      </c>
      <c r="L262" s="1" t="s">
        <v>61</v>
      </c>
      <c r="M262" s="1" t="s">
        <v>62</v>
      </c>
      <c r="N262" s="1">
        <v>-107.0</v>
      </c>
      <c r="O262" s="1">
        <v>0.0282917874396135</v>
      </c>
      <c r="P262" s="1" t="s">
        <v>61</v>
      </c>
      <c r="Q262" s="1" t="s">
        <v>61</v>
      </c>
      <c r="R262" s="1">
        <f t="shared" si="1"/>
        <v>0.02829178744</v>
      </c>
      <c r="S262" s="1">
        <f t="shared" si="2"/>
        <v>-107</v>
      </c>
      <c r="T262" s="1">
        <f t="shared" si="3"/>
        <v>1.934579439</v>
      </c>
      <c r="U262" s="1">
        <f t="shared" si="4"/>
        <v>0</v>
      </c>
      <c r="V262" s="3">
        <f t="shared" si="5"/>
        <v>1</v>
      </c>
      <c r="W262" s="3">
        <f t="shared" si="6"/>
        <v>2</v>
      </c>
      <c r="X262" s="3" t="str">
        <f>IFERROR(__xludf.DUMMYFUNCTION("split(B262,"" "")"),"C.")</f>
        <v>C.</v>
      </c>
      <c r="Y262" s="3" t="str">
        <f>IFERROR(__xludf.DUMMYFUNCTION("""COMPUTED_VALUE"""),"Williams")</f>
        <v>Williams</v>
      </c>
      <c r="AA262" s="3">
        <v>0.0</v>
      </c>
      <c r="AB262" s="3">
        <f t="shared" si="7"/>
        <v>0</v>
      </c>
      <c r="AC262" s="3">
        <f t="shared" si="8"/>
        <v>1</v>
      </c>
      <c r="AD262" s="3">
        <f t="shared" si="9"/>
        <v>0.9345794393</v>
      </c>
      <c r="AE262" s="3">
        <f t="shared" si="10"/>
        <v>0.9345794393</v>
      </c>
      <c r="AF262" s="3">
        <f t="shared" si="11"/>
        <v>1.869158879</v>
      </c>
      <c r="AG262" s="3">
        <f t="shared" si="12"/>
        <v>1</v>
      </c>
    </row>
    <row r="263">
      <c r="A263" s="1" t="s">
        <v>10</v>
      </c>
      <c r="B263" s="1" t="s">
        <v>179</v>
      </c>
      <c r="C263" s="1" t="s">
        <v>19</v>
      </c>
      <c r="D263" s="1" t="s">
        <v>76</v>
      </c>
      <c r="E263" s="1" t="s">
        <v>77</v>
      </c>
      <c r="F263" s="1" t="s">
        <v>78</v>
      </c>
      <c r="G263" s="1">
        <v>59.5</v>
      </c>
      <c r="H263" s="1" t="s">
        <v>60</v>
      </c>
      <c r="I263" s="1">
        <v>-126.0</v>
      </c>
      <c r="J263" s="6">
        <v>-0.076503336933633</v>
      </c>
      <c r="K263" s="1" t="s">
        <v>61</v>
      </c>
      <c r="L263" s="1" t="s">
        <v>61</v>
      </c>
      <c r="M263" s="1" t="s">
        <v>62</v>
      </c>
      <c r="N263" s="1">
        <v>-107.0</v>
      </c>
      <c r="O263" s="6">
        <v>0.00208598978116214</v>
      </c>
      <c r="P263" s="1" t="s">
        <v>61</v>
      </c>
      <c r="Q263" s="1" t="s">
        <v>61</v>
      </c>
      <c r="R263" s="6">
        <f t="shared" si="1"/>
        <v>0.002085989781</v>
      </c>
      <c r="S263" s="1">
        <f t="shared" si="2"/>
        <v>-107</v>
      </c>
      <c r="T263" s="1">
        <f t="shared" si="3"/>
        <v>1.934579439</v>
      </c>
      <c r="U263" s="1">
        <f t="shared" si="4"/>
        <v>0</v>
      </c>
      <c r="V263" s="3">
        <f t="shared" si="5"/>
        <v>1</v>
      </c>
      <c r="W263" s="3">
        <f t="shared" si="6"/>
        <v>2</v>
      </c>
      <c r="X263" s="3" t="str">
        <f>IFERROR(__xludf.DUMMYFUNCTION("split(B263,"" "")"),"I.")</f>
        <v>I.</v>
      </c>
      <c r="Y263" s="3" t="str">
        <f>IFERROR(__xludf.DUMMYFUNCTION("""COMPUTED_VALUE"""),"Pacheco")</f>
        <v>Pacheco</v>
      </c>
      <c r="AA263" s="3">
        <v>45.0</v>
      </c>
      <c r="AB263" s="3">
        <f t="shared" si="7"/>
        <v>0</v>
      </c>
      <c r="AC263" s="3">
        <f t="shared" si="8"/>
        <v>1</v>
      </c>
      <c r="AD263" s="3">
        <f t="shared" si="9"/>
        <v>0.9345794393</v>
      </c>
      <c r="AE263" s="3">
        <f t="shared" si="10"/>
        <v>0.9345794393</v>
      </c>
      <c r="AF263" s="3">
        <f t="shared" si="11"/>
        <v>1.869158879</v>
      </c>
      <c r="AG263" s="3">
        <f t="shared" si="12"/>
        <v>0.243697479</v>
      </c>
    </row>
    <row r="264">
      <c r="A264" s="1" t="s">
        <v>11</v>
      </c>
      <c r="B264" s="1" t="s">
        <v>334</v>
      </c>
      <c r="C264" s="1" t="s">
        <v>18</v>
      </c>
      <c r="D264" s="1" t="s">
        <v>82</v>
      </c>
      <c r="E264" s="1" t="s">
        <v>83</v>
      </c>
      <c r="F264" s="1" t="s">
        <v>84</v>
      </c>
      <c r="G264" s="1">
        <v>43.5</v>
      </c>
      <c r="H264" s="1" t="s">
        <v>60</v>
      </c>
      <c r="I264" s="1">
        <v>-123.0</v>
      </c>
      <c r="J264" s="1">
        <v>-0.10953950646852</v>
      </c>
      <c r="K264" s="1" t="s">
        <v>61</v>
      </c>
      <c r="L264" s="1" t="s">
        <v>61</v>
      </c>
      <c r="M264" s="1" t="s">
        <v>62</v>
      </c>
      <c r="N264" s="1">
        <v>-108.0</v>
      </c>
      <c r="O264" s="1">
        <v>0.0387804610653079</v>
      </c>
      <c r="P264" s="1" t="s">
        <v>61</v>
      </c>
      <c r="Q264" s="1" t="s">
        <v>61</v>
      </c>
      <c r="R264" s="1">
        <f t="shared" si="1"/>
        <v>0.03878046107</v>
      </c>
      <c r="S264" s="1">
        <f t="shared" si="2"/>
        <v>-108</v>
      </c>
      <c r="T264" s="1">
        <f t="shared" si="3"/>
        <v>1.925925926</v>
      </c>
      <c r="U264" s="1">
        <f t="shared" si="4"/>
        <v>0</v>
      </c>
      <c r="V264" s="3">
        <f t="shared" si="5"/>
        <v>1</v>
      </c>
      <c r="W264" s="3">
        <f t="shared" si="6"/>
        <v>2</v>
      </c>
      <c r="X264" s="3" t="str">
        <f>IFERROR(__xludf.DUMMYFUNCTION("split(B264,"" "")"),"J.")</f>
        <v>J.</v>
      </c>
      <c r="Y264" s="3" t="str">
        <f>IFERROR(__xludf.DUMMYFUNCTION("""COMPUTED_VALUE"""),"Smith-Njigba")</f>
        <v>Smith-Njigba</v>
      </c>
      <c r="AA264" s="3">
        <v>19.0</v>
      </c>
      <c r="AB264" s="3">
        <f t="shared" si="7"/>
        <v>0</v>
      </c>
      <c r="AC264" s="3">
        <f t="shared" si="8"/>
        <v>1</v>
      </c>
      <c r="AD264" s="3">
        <f t="shared" si="9"/>
        <v>0.9259259259</v>
      </c>
      <c r="AE264" s="3">
        <f t="shared" si="10"/>
        <v>0.9259259259</v>
      </c>
      <c r="AF264" s="3">
        <f t="shared" si="11"/>
        <v>1.851851852</v>
      </c>
      <c r="AG264" s="3">
        <f t="shared" si="12"/>
        <v>0.5632183908</v>
      </c>
    </row>
    <row r="265">
      <c r="A265" s="1" t="s">
        <v>16</v>
      </c>
      <c r="B265" s="1" t="s">
        <v>251</v>
      </c>
      <c r="C265" s="1" t="s">
        <v>21</v>
      </c>
      <c r="D265" s="1" t="s">
        <v>88</v>
      </c>
      <c r="E265" s="1" t="s">
        <v>89</v>
      </c>
      <c r="F265" s="1" t="s">
        <v>90</v>
      </c>
      <c r="G265" s="1">
        <v>35.5</v>
      </c>
      <c r="H265" s="1" t="s">
        <v>60</v>
      </c>
      <c r="I265" s="1">
        <v>-123.0</v>
      </c>
      <c r="J265" s="1">
        <v>-0.0914148713399104</v>
      </c>
      <c r="K265" s="1" t="s">
        <v>61</v>
      </c>
      <c r="L265" s="1" t="s">
        <v>61</v>
      </c>
      <c r="M265" s="1" t="s">
        <v>62</v>
      </c>
      <c r="N265" s="1">
        <v>-108.0</v>
      </c>
      <c r="O265" s="1">
        <v>0.0206216084615386</v>
      </c>
      <c r="P265" s="1" t="s">
        <v>61</v>
      </c>
      <c r="Q265" s="1" t="s">
        <v>61</v>
      </c>
      <c r="R265" s="1">
        <f t="shared" si="1"/>
        <v>0.02062160846</v>
      </c>
      <c r="S265" s="1">
        <f t="shared" si="2"/>
        <v>-108</v>
      </c>
      <c r="T265" s="1">
        <f t="shared" si="3"/>
        <v>1.925925926</v>
      </c>
      <c r="U265" s="1">
        <f t="shared" si="4"/>
        <v>0</v>
      </c>
      <c r="V265" s="3">
        <f t="shared" si="5"/>
        <v>1</v>
      </c>
      <c r="W265" s="3">
        <f t="shared" si="6"/>
        <v>2</v>
      </c>
      <c r="X265" s="3" t="str">
        <f>IFERROR(__xludf.DUMMYFUNCTION("split(B265,"" "")"),"D.")</f>
        <v>D.</v>
      </c>
      <c r="Y265" s="3" t="str">
        <f>IFERROR(__xludf.DUMMYFUNCTION("""COMPUTED_VALUE"""),"Prescott")</f>
        <v>Prescott</v>
      </c>
      <c r="AA265" s="3">
        <v>32.0</v>
      </c>
      <c r="AB265" s="3">
        <f t="shared" si="7"/>
        <v>0</v>
      </c>
      <c r="AC265" s="3">
        <f t="shared" si="8"/>
        <v>1</v>
      </c>
      <c r="AD265" s="3">
        <f t="shared" si="9"/>
        <v>0.9259259259</v>
      </c>
      <c r="AE265" s="3">
        <f t="shared" si="10"/>
        <v>0.9259259259</v>
      </c>
      <c r="AF265" s="3">
        <f t="shared" si="11"/>
        <v>1.851851852</v>
      </c>
      <c r="AG265" s="3">
        <f t="shared" si="12"/>
        <v>0.0985915493</v>
      </c>
    </row>
    <row r="266">
      <c r="A266" s="1" t="s">
        <v>10</v>
      </c>
      <c r="B266" s="1" t="s">
        <v>336</v>
      </c>
      <c r="C266" s="1" t="s">
        <v>19</v>
      </c>
      <c r="D266" s="1" t="s">
        <v>165</v>
      </c>
      <c r="E266" s="1" t="s">
        <v>164</v>
      </c>
      <c r="F266" s="1" t="s">
        <v>166</v>
      </c>
      <c r="G266" s="1">
        <v>64.5</v>
      </c>
      <c r="H266" s="1" t="s">
        <v>60</v>
      </c>
      <c r="I266" s="1">
        <v>-120.0</v>
      </c>
      <c r="J266" s="1">
        <v>-0.108594200894002</v>
      </c>
      <c r="K266" s="1" t="s">
        <v>61</v>
      </c>
      <c r="L266" s="1" t="s">
        <v>61</v>
      </c>
      <c r="M266" s="1" t="s">
        <v>62</v>
      </c>
      <c r="N266" s="1">
        <v>-108.0</v>
      </c>
      <c r="O266" s="1">
        <v>0.0439141548962729</v>
      </c>
      <c r="P266" s="1" t="s">
        <v>61</v>
      </c>
      <c r="Q266" s="1" t="s">
        <v>61</v>
      </c>
      <c r="R266" s="1">
        <f t="shared" si="1"/>
        <v>0.0439141549</v>
      </c>
      <c r="S266" s="1">
        <f t="shared" si="2"/>
        <v>-108</v>
      </c>
      <c r="T266" s="1">
        <f t="shared" si="3"/>
        <v>1.925925926</v>
      </c>
      <c r="U266" s="1">
        <f t="shared" si="4"/>
        <v>0</v>
      </c>
      <c r="V266" s="3">
        <f t="shared" si="5"/>
        <v>1</v>
      </c>
      <c r="W266" s="3">
        <f t="shared" si="6"/>
        <v>2</v>
      </c>
      <c r="X266" s="3" t="str">
        <f>IFERROR(__xludf.DUMMYFUNCTION("split(B266,"" "")"),"B.")</f>
        <v>B.</v>
      </c>
      <c r="Y266" s="3" t="str">
        <f>IFERROR(__xludf.DUMMYFUNCTION("""COMPUTED_VALUE"""),"Hall")</f>
        <v>Hall</v>
      </c>
      <c r="AA266" s="3">
        <v>54.0</v>
      </c>
      <c r="AB266" s="3">
        <f t="shared" si="7"/>
        <v>0</v>
      </c>
      <c r="AC266" s="3">
        <f t="shared" si="8"/>
        <v>1</v>
      </c>
      <c r="AD266" s="3">
        <f t="shared" si="9"/>
        <v>0.9259259259</v>
      </c>
      <c r="AE266" s="3">
        <f t="shared" si="10"/>
        <v>0.9259259259</v>
      </c>
      <c r="AF266" s="3">
        <f t="shared" si="11"/>
        <v>1.851851852</v>
      </c>
      <c r="AG266" s="3">
        <f t="shared" si="12"/>
        <v>0.1627906977</v>
      </c>
    </row>
    <row r="267">
      <c r="A267" s="1" t="s">
        <v>10</v>
      </c>
      <c r="B267" s="1" t="s">
        <v>75</v>
      </c>
      <c r="C267" s="1" t="s">
        <v>21</v>
      </c>
      <c r="D267" s="1" t="s">
        <v>76</v>
      </c>
      <c r="E267" s="1" t="s">
        <v>77</v>
      </c>
      <c r="F267" s="1" t="s">
        <v>78</v>
      </c>
      <c r="G267" s="1">
        <v>20.5</v>
      </c>
      <c r="H267" s="1" t="s">
        <v>60</v>
      </c>
      <c r="I267" s="1">
        <v>-121.0</v>
      </c>
      <c r="J267" s="6">
        <v>-0.108418025312255</v>
      </c>
      <c r="K267" s="1" t="s">
        <v>61</v>
      </c>
      <c r="L267" s="1" t="s">
        <v>61</v>
      </c>
      <c r="M267" s="1" t="s">
        <v>62</v>
      </c>
      <c r="N267" s="1">
        <v>-109.0</v>
      </c>
      <c r="O267" s="6">
        <v>0.0394071536721021</v>
      </c>
      <c r="P267" s="1" t="s">
        <v>61</v>
      </c>
      <c r="Q267" s="1" t="s">
        <v>61</v>
      </c>
      <c r="R267" s="6">
        <f t="shared" si="1"/>
        <v>0.03940715367</v>
      </c>
      <c r="S267" s="1">
        <f t="shared" si="2"/>
        <v>-109</v>
      </c>
      <c r="T267" s="1">
        <f t="shared" si="3"/>
        <v>1.917431193</v>
      </c>
      <c r="U267" s="1">
        <f t="shared" si="4"/>
        <v>0</v>
      </c>
      <c r="V267" s="3">
        <f t="shared" si="5"/>
        <v>1</v>
      </c>
      <c r="W267" s="3">
        <f t="shared" si="6"/>
        <v>2</v>
      </c>
      <c r="X267" s="3" t="str">
        <f>IFERROR(__xludf.DUMMYFUNCTION("split(B267,"" "")"),"P.")</f>
        <v>P.</v>
      </c>
      <c r="Y267" s="3" t="str">
        <f>IFERROR(__xludf.DUMMYFUNCTION("""COMPUTED_VALUE"""),"Mahomes")</f>
        <v>Mahomes</v>
      </c>
      <c r="AA267" s="3">
        <v>3.0</v>
      </c>
      <c r="AB267" s="3">
        <f t="shared" si="7"/>
        <v>0</v>
      </c>
      <c r="AC267" s="3">
        <f t="shared" si="8"/>
        <v>1</v>
      </c>
      <c r="AD267" s="3">
        <f t="shared" si="9"/>
        <v>0.9174311927</v>
      </c>
      <c r="AE267" s="3">
        <f t="shared" si="10"/>
        <v>0.9174311927</v>
      </c>
      <c r="AF267" s="3">
        <f t="shared" si="11"/>
        <v>1.834862385</v>
      </c>
      <c r="AG267" s="3">
        <f t="shared" si="12"/>
        <v>0.8536585366</v>
      </c>
    </row>
    <row r="268">
      <c r="A268" s="1" t="s">
        <v>10</v>
      </c>
      <c r="B268" s="1" t="s">
        <v>338</v>
      </c>
      <c r="C268" s="1" t="s">
        <v>21</v>
      </c>
      <c r="D268" s="1" t="s">
        <v>156</v>
      </c>
      <c r="E268" s="1" t="s">
        <v>157</v>
      </c>
      <c r="F268" s="1" t="s">
        <v>158</v>
      </c>
      <c r="G268" s="1">
        <v>40.5</v>
      </c>
      <c r="H268" s="1" t="s">
        <v>60</v>
      </c>
      <c r="I268" s="1">
        <v>-110.0</v>
      </c>
      <c r="J268" s="6">
        <v>-0.0829405677452713</v>
      </c>
      <c r="K268" s="1" t="s">
        <v>61</v>
      </c>
      <c r="L268" s="1" t="s">
        <v>61</v>
      </c>
      <c r="M268" s="1" t="s">
        <v>62</v>
      </c>
      <c r="N268" s="1">
        <v>-110.0</v>
      </c>
      <c r="O268" s="6">
        <v>0.0353442942597984</v>
      </c>
      <c r="P268" s="1" t="s">
        <v>61</v>
      </c>
      <c r="Q268" s="1" t="s">
        <v>61</v>
      </c>
      <c r="R268" s="6">
        <f t="shared" si="1"/>
        <v>0.03534429426</v>
      </c>
      <c r="S268" s="1">
        <f t="shared" si="2"/>
        <v>-110</v>
      </c>
      <c r="T268" s="1">
        <f t="shared" si="3"/>
        <v>1.909090909</v>
      </c>
      <c r="U268" s="1">
        <f t="shared" si="4"/>
        <v>0</v>
      </c>
      <c r="V268" s="3">
        <f t="shared" si="5"/>
        <v>1</v>
      </c>
      <c r="W268" s="3">
        <f t="shared" si="6"/>
        <v>2</v>
      </c>
      <c r="X268" s="3" t="str">
        <f>IFERROR(__xludf.DUMMYFUNCTION("split(B268,"" "")"),"J.")</f>
        <v>J.</v>
      </c>
      <c r="Y268" s="3" t="str">
        <f>IFERROR(__xludf.DUMMYFUNCTION("""COMPUTED_VALUE"""),"Hurts")</f>
        <v>Hurts</v>
      </c>
      <c r="AA268" s="3">
        <v>33.0</v>
      </c>
      <c r="AB268" s="3">
        <f t="shared" si="7"/>
        <v>0</v>
      </c>
      <c r="AC268" s="3">
        <f t="shared" si="8"/>
        <v>1</v>
      </c>
      <c r="AD268" s="3">
        <f t="shared" si="9"/>
        <v>0.9090909091</v>
      </c>
      <c r="AE268" s="3">
        <f t="shared" si="10"/>
        <v>0.9090909091</v>
      </c>
      <c r="AF268" s="3">
        <f t="shared" si="11"/>
        <v>1.818181818</v>
      </c>
      <c r="AG268" s="3">
        <f t="shared" si="12"/>
        <v>0.1851851852</v>
      </c>
    </row>
    <row r="269">
      <c r="A269" s="1" t="s">
        <v>11</v>
      </c>
      <c r="B269" s="1" t="s">
        <v>170</v>
      </c>
      <c r="C269" s="1" t="s">
        <v>18</v>
      </c>
      <c r="D269" s="1" t="s">
        <v>66</v>
      </c>
      <c r="E269" s="1" t="s">
        <v>67</v>
      </c>
      <c r="F269" s="1" t="s">
        <v>59</v>
      </c>
      <c r="G269" s="1">
        <v>28.5</v>
      </c>
      <c r="H269" s="1" t="s">
        <v>60</v>
      </c>
      <c r="I269" s="1">
        <v>-120.0</v>
      </c>
      <c r="J269" s="1">
        <v>-0.104477229642454</v>
      </c>
      <c r="K269" s="1" t="s">
        <v>61</v>
      </c>
      <c r="L269" s="1" t="s">
        <v>61</v>
      </c>
      <c r="M269" s="1" t="s">
        <v>62</v>
      </c>
      <c r="N269" s="1">
        <v>-110.0</v>
      </c>
      <c r="O269" s="1">
        <v>0.0352775693974952</v>
      </c>
      <c r="P269" s="1" t="s">
        <v>61</v>
      </c>
      <c r="Q269" s="1" t="s">
        <v>61</v>
      </c>
      <c r="R269" s="1">
        <f t="shared" si="1"/>
        <v>0.0352775694</v>
      </c>
      <c r="S269" s="1">
        <f t="shared" si="2"/>
        <v>-110</v>
      </c>
      <c r="T269" s="1">
        <f t="shared" si="3"/>
        <v>1.909090909</v>
      </c>
      <c r="U269" s="1">
        <f t="shared" si="4"/>
        <v>0</v>
      </c>
      <c r="V269" s="3">
        <f t="shared" si="5"/>
        <v>1</v>
      </c>
      <c r="W269" s="3">
        <f t="shared" si="6"/>
        <v>2</v>
      </c>
      <c r="X269" s="3" t="str">
        <f>IFERROR(__xludf.DUMMYFUNCTION("split(B269,"" "")"),"J.")</f>
        <v>J.</v>
      </c>
      <c r="Y269" s="3" t="str">
        <f>IFERROR(__xludf.DUMMYFUNCTION("""COMPUTED_VALUE"""),"Polk")</f>
        <v>Polk</v>
      </c>
      <c r="AA269" s="3">
        <v>6.0</v>
      </c>
      <c r="AB269" s="3">
        <f t="shared" si="7"/>
        <v>0</v>
      </c>
      <c r="AC269" s="3">
        <f t="shared" si="8"/>
        <v>1</v>
      </c>
      <c r="AD269" s="3">
        <f t="shared" si="9"/>
        <v>0.9090909091</v>
      </c>
      <c r="AE269" s="3">
        <f t="shared" si="10"/>
        <v>0.9090909091</v>
      </c>
      <c r="AF269" s="3">
        <f t="shared" si="11"/>
        <v>1.818181818</v>
      </c>
      <c r="AG269" s="3">
        <f t="shared" si="12"/>
        <v>0.7894736842</v>
      </c>
    </row>
    <row r="270">
      <c r="A270" s="1" t="s">
        <v>10</v>
      </c>
      <c r="B270" s="1" t="s">
        <v>133</v>
      </c>
      <c r="C270" s="1" t="s">
        <v>19</v>
      </c>
      <c r="D270" s="1" t="s">
        <v>134</v>
      </c>
      <c r="E270" s="1" t="s">
        <v>135</v>
      </c>
      <c r="F270" s="1" t="s">
        <v>84</v>
      </c>
      <c r="G270" s="1">
        <v>54.5</v>
      </c>
      <c r="H270" s="1" t="s">
        <v>60</v>
      </c>
      <c r="I270" s="1">
        <v>-120.0</v>
      </c>
      <c r="J270" s="1">
        <v>-0.0959941445203059</v>
      </c>
      <c r="K270" s="1" t="s">
        <v>61</v>
      </c>
      <c r="L270" s="1" t="s">
        <v>61</v>
      </c>
      <c r="M270" s="1" t="s">
        <v>62</v>
      </c>
      <c r="N270" s="1">
        <v>-110.0</v>
      </c>
      <c r="O270" s="1">
        <v>0.0267493509264478</v>
      </c>
      <c r="P270" s="1" t="s">
        <v>61</v>
      </c>
      <c r="Q270" s="1" t="s">
        <v>61</v>
      </c>
      <c r="R270" s="1">
        <f t="shared" si="1"/>
        <v>0.02674935093</v>
      </c>
      <c r="S270" s="1">
        <f t="shared" si="2"/>
        <v>-110</v>
      </c>
      <c r="T270" s="1">
        <f t="shared" si="3"/>
        <v>1.909090909</v>
      </c>
      <c r="U270" s="1">
        <f t="shared" si="4"/>
        <v>0</v>
      </c>
      <c r="V270" s="3">
        <f t="shared" si="5"/>
        <v>1</v>
      </c>
      <c r="W270" s="3">
        <f t="shared" si="6"/>
        <v>2</v>
      </c>
      <c r="X270" s="3" t="str">
        <f>IFERROR(__xludf.DUMMYFUNCTION("split(B270,"" "")"),"Z.")</f>
        <v>Z.</v>
      </c>
      <c r="Y270" s="3" t="str">
        <f>IFERROR(__xludf.DUMMYFUNCTION("""COMPUTED_VALUE"""),"White")</f>
        <v>White</v>
      </c>
      <c r="AA270" s="3">
        <v>44.0</v>
      </c>
      <c r="AB270" s="3">
        <f t="shared" si="7"/>
        <v>0</v>
      </c>
      <c r="AC270" s="3">
        <f t="shared" si="8"/>
        <v>1</v>
      </c>
      <c r="AD270" s="3">
        <f t="shared" si="9"/>
        <v>0.9090909091</v>
      </c>
      <c r="AE270" s="3">
        <f t="shared" si="10"/>
        <v>0.9090909091</v>
      </c>
      <c r="AF270" s="3">
        <f t="shared" si="11"/>
        <v>1.818181818</v>
      </c>
      <c r="AG270" s="3">
        <f t="shared" si="12"/>
        <v>0.1926605505</v>
      </c>
    </row>
    <row r="271">
      <c r="A271" s="1" t="s">
        <v>11</v>
      </c>
      <c r="B271" s="1" t="s">
        <v>326</v>
      </c>
      <c r="C271" s="1" t="s">
        <v>20</v>
      </c>
      <c r="D271" s="1" t="s">
        <v>76</v>
      </c>
      <c r="E271" s="1" t="s">
        <v>77</v>
      </c>
      <c r="F271" s="1" t="s">
        <v>78</v>
      </c>
      <c r="G271" s="1">
        <v>56.5</v>
      </c>
      <c r="H271" s="1" t="s">
        <v>60</v>
      </c>
      <c r="I271" s="1">
        <v>-123.0</v>
      </c>
      <c r="J271" s="6">
        <v>-0.0984335340196858</v>
      </c>
      <c r="K271" s="1" t="s">
        <v>61</v>
      </c>
      <c r="L271" s="1" t="s">
        <v>61</v>
      </c>
      <c r="M271" s="1" t="s">
        <v>62</v>
      </c>
      <c r="N271" s="1">
        <v>-110.0</v>
      </c>
      <c r="O271" s="6">
        <v>0.0230314617219041</v>
      </c>
      <c r="P271" s="1" t="s">
        <v>61</v>
      </c>
      <c r="Q271" s="1" t="s">
        <v>61</v>
      </c>
      <c r="R271" s="6">
        <f t="shared" si="1"/>
        <v>0.02303146172</v>
      </c>
      <c r="S271" s="1">
        <f t="shared" si="2"/>
        <v>-110</v>
      </c>
      <c r="T271" s="1">
        <f t="shared" si="3"/>
        <v>1.909090909</v>
      </c>
      <c r="U271" s="1">
        <f t="shared" si="4"/>
        <v>0</v>
      </c>
      <c r="V271" s="3">
        <f t="shared" si="5"/>
        <v>1</v>
      </c>
      <c r="W271" s="3">
        <f t="shared" si="6"/>
        <v>2</v>
      </c>
      <c r="X271" s="3" t="str">
        <f>IFERROR(__xludf.DUMMYFUNCTION("split(B271,"" "")"),"T.")</f>
        <v>T.</v>
      </c>
      <c r="Y271" s="3" t="str">
        <f>IFERROR(__xludf.DUMMYFUNCTION("""COMPUTED_VALUE"""),"Kelce")</f>
        <v>Kelce</v>
      </c>
      <c r="AA271" s="3">
        <v>34.0</v>
      </c>
      <c r="AB271" s="3">
        <f t="shared" si="7"/>
        <v>0</v>
      </c>
      <c r="AC271" s="3">
        <f t="shared" si="8"/>
        <v>1</v>
      </c>
      <c r="AD271" s="3">
        <f t="shared" si="9"/>
        <v>0.9090909091</v>
      </c>
      <c r="AE271" s="3">
        <f t="shared" si="10"/>
        <v>0.9090909091</v>
      </c>
      <c r="AF271" s="3">
        <f t="shared" si="11"/>
        <v>1.818181818</v>
      </c>
      <c r="AG271" s="3">
        <f t="shared" si="12"/>
        <v>0.3982300885</v>
      </c>
    </row>
    <row r="272">
      <c r="A272" s="1" t="s">
        <v>11</v>
      </c>
      <c r="B272" s="1" t="s">
        <v>233</v>
      </c>
      <c r="C272" s="1" t="s">
        <v>18</v>
      </c>
      <c r="D272" s="1" t="s">
        <v>105</v>
      </c>
      <c r="E272" s="1" t="s">
        <v>104</v>
      </c>
      <c r="F272" s="1" t="s">
        <v>59</v>
      </c>
      <c r="G272" s="1">
        <v>28.5</v>
      </c>
      <c r="H272" s="1" t="s">
        <v>60</v>
      </c>
      <c r="I272" s="1">
        <v>-120.0</v>
      </c>
      <c r="J272" s="1">
        <v>-0.0916514606723182</v>
      </c>
      <c r="K272" s="1" t="s">
        <v>61</v>
      </c>
      <c r="L272" s="1" t="s">
        <v>61</v>
      </c>
      <c r="M272" s="1" t="s">
        <v>62</v>
      </c>
      <c r="N272" s="1">
        <v>-110.0</v>
      </c>
      <c r="O272" s="1">
        <v>0.0224159031976238</v>
      </c>
      <c r="P272" s="1" t="s">
        <v>61</v>
      </c>
      <c r="Q272" s="1" t="s">
        <v>61</v>
      </c>
      <c r="R272" s="1">
        <f t="shared" si="1"/>
        <v>0.0224159032</v>
      </c>
      <c r="S272" s="1">
        <f t="shared" si="2"/>
        <v>-110</v>
      </c>
      <c r="T272" s="1">
        <f t="shared" si="3"/>
        <v>1.909090909</v>
      </c>
      <c r="U272" s="1">
        <f t="shared" si="4"/>
        <v>0</v>
      </c>
      <c r="V272" s="3">
        <f t="shared" si="5"/>
        <v>1</v>
      </c>
      <c r="W272" s="3">
        <f t="shared" si="6"/>
        <v>2</v>
      </c>
      <c r="X272" s="3" t="str">
        <f>IFERROR(__xludf.DUMMYFUNCTION("split(B272,"" "")"),"M.")</f>
        <v>M.</v>
      </c>
      <c r="Y272" s="3" t="str">
        <f>IFERROR(__xludf.DUMMYFUNCTION("""COMPUTED_VALUE"""),"Wilson")</f>
        <v>Wilson</v>
      </c>
      <c r="AA272" s="3">
        <v>5.0</v>
      </c>
      <c r="AB272" s="3">
        <f t="shared" si="7"/>
        <v>0</v>
      </c>
      <c r="AC272" s="3">
        <f t="shared" si="8"/>
        <v>1</v>
      </c>
      <c r="AD272" s="3">
        <f t="shared" si="9"/>
        <v>0.9090909091</v>
      </c>
      <c r="AE272" s="3">
        <f t="shared" si="10"/>
        <v>0.9090909091</v>
      </c>
      <c r="AF272" s="3">
        <f t="shared" si="11"/>
        <v>1.818181818</v>
      </c>
      <c r="AG272" s="3">
        <f t="shared" si="12"/>
        <v>0.8245614035</v>
      </c>
    </row>
    <row r="273">
      <c r="A273" s="1" t="s">
        <v>11</v>
      </c>
      <c r="B273" s="1" t="s">
        <v>340</v>
      </c>
      <c r="C273" s="1" t="s">
        <v>19</v>
      </c>
      <c r="D273" s="1" t="s">
        <v>100</v>
      </c>
      <c r="E273" s="1" t="s">
        <v>99</v>
      </c>
      <c r="F273" s="1" t="s">
        <v>59</v>
      </c>
      <c r="G273" s="1">
        <v>10.5</v>
      </c>
      <c r="H273" s="1" t="s">
        <v>60</v>
      </c>
      <c r="I273" s="1">
        <v>-110.0</v>
      </c>
      <c r="J273" s="1">
        <v>0.0114938713812478</v>
      </c>
      <c r="K273" s="1" t="s">
        <v>61</v>
      </c>
      <c r="L273" s="1" t="s">
        <v>61</v>
      </c>
      <c r="M273" s="1" t="s">
        <v>62</v>
      </c>
      <c r="N273" s="1">
        <v>-120.0</v>
      </c>
      <c r="O273" s="1">
        <v>-0.0807002526730656</v>
      </c>
      <c r="P273" s="1" t="s">
        <v>61</v>
      </c>
      <c r="Q273" s="1" t="s">
        <v>61</v>
      </c>
      <c r="R273" s="1">
        <f t="shared" si="1"/>
        <v>0.01149387138</v>
      </c>
      <c r="S273" s="1">
        <f t="shared" si="2"/>
        <v>-110</v>
      </c>
      <c r="T273" s="1">
        <f t="shared" si="3"/>
        <v>1.909090909</v>
      </c>
      <c r="U273" s="1">
        <f t="shared" si="4"/>
        <v>1</v>
      </c>
      <c r="V273" s="3">
        <f t="shared" si="5"/>
        <v>1</v>
      </c>
      <c r="W273" s="3">
        <f t="shared" si="6"/>
        <v>2</v>
      </c>
      <c r="X273" s="3" t="str">
        <f>IFERROR(__xludf.DUMMYFUNCTION("split(B273,"" "")"),"T.")</f>
        <v>T.</v>
      </c>
      <c r="Y273" s="3" t="str">
        <f>IFERROR(__xludf.DUMMYFUNCTION("""COMPUTED_VALUE"""),"Pollard")</f>
        <v>Pollard</v>
      </c>
      <c r="AA273" s="3">
        <v>12.0</v>
      </c>
      <c r="AB273" s="3">
        <f t="shared" si="7"/>
        <v>1</v>
      </c>
      <c r="AC273" s="3">
        <f t="shared" si="8"/>
        <v>1</v>
      </c>
      <c r="AD273" s="3">
        <f t="shared" si="9"/>
        <v>0.9090909091</v>
      </c>
      <c r="AE273" s="3">
        <f t="shared" si="10"/>
        <v>0.9090909091</v>
      </c>
      <c r="AF273" s="3">
        <f t="shared" si="11"/>
        <v>1.818181818</v>
      </c>
      <c r="AG273" s="3">
        <f t="shared" si="12"/>
        <v>0.1428571429</v>
      </c>
    </row>
    <row r="274">
      <c r="A274" s="1" t="s">
        <v>10</v>
      </c>
      <c r="B274" s="1" t="s">
        <v>342</v>
      </c>
      <c r="C274" s="1" t="s">
        <v>19</v>
      </c>
      <c r="D274" s="1" t="s">
        <v>104</v>
      </c>
      <c r="E274" s="1" t="s">
        <v>105</v>
      </c>
      <c r="F274" s="1" t="s">
        <v>59</v>
      </c>
      <c r="G274" s="1">
        <v>16.5</v>
      </c>
      <c r="H274" s="1" t="s">
        <v>60</v>
      </c>
      <c r="I274" s="1">
        <v>-120.0</v>
      </c>
      <c r="J274" s="1">
        <v>-0.0767321278622548</v>
      </c>
      <c r="K274" s="1" t="s">
        <v>61</v>
      </c>
      <c r="L274" s="1" t="s">
        <v>61</v>
      </c>
      <c r="M274" s="1" t="s">
        <v>62</v>
      </c>
      <c r="N274" s="1">
        <v>-110.0</v>
      </c>
      <c r="O274" s="1">
        <v>0.00749511877459829</v>
      </c>
      <c r="P274" s="1" t="s">
        <v>61</v>
      </c>
      <c r="Q274" s="1" t="s">
        <v>61</v>
      </c>
      <c r="R274" s="1">
        <f t="shared" si="1"/>
        <v>0.007495118775</v>
      </c>
      <c r="S274" s="1">
        <f t="shared" si="2"/>
        <v>-110</v>
      </c>
      <c r="T274" s="1">
        <f t="shared" si="3"/>
        <v>1.909090909</v>
      </c>
      <c r="U274" s="1">
        <f t="shared" si="4"/>
        <v>0</v>
      </c>
      <c r="V274" s="3">
        <f t="shared" si="5"/>
        <v>1</v>
      </c>
      <c r="W274" s="3">
        <f t="shared" si="6"/>
        <v>2</v>
      </c>
      <c r="X274" s="3" t="str">
        <f>IFERROR(__xludf.DUMMYFUNCTION("split(B274,"" "")"),"R.")</f>
        <v>R.</v>
      </c>
      <c r="Y274" s="3" t="str">
        <f>IFERROR(__xludf.DUMMYFUNCTION("""COMPUTED_VALUE"""),"Davis")</f>
        <v>Davis</v>
      </c>
      <c r="AA274" s="3">
        <v>13.0</v>
      </c>
      <c r="AB274" s="3">
        <f t="shared" si="7"/>
        <v>0</v>
      </c>
      <c r="AC274" s="3">
        <f t="shared" si="8"/>
        <v>1</v>
      </c>
      <c r="AD274" s="3">
        <f t="shared" si="9"/>
        <v>0.9090909091</v>
      </c>
      <c r="AE274" s="3">
        <f t="shared" si="10"/>
        <v>0.9090909091</v>
      </c>
      <c r="AF274" s="3">
        <f t="shared" si="11"/>
        <v>1.818181818</v>
      </c>
      <c r="AG274" s="3">
        <f t="shared" si="12"/>
        <v>0.2121212121</v>
      </c>
    </row>
    <row r="275">
      <c r="A275" s="1" t="s">
        <v>11</v>
      </c>
      <c r="B275" s="1" t="s">
        <v>344</v>
      </c>
      <c r="C275" s="1" t="s">
        <v>18</v>
      </c>
      <c r="D275" s="1" t="s">
        <v>157</v>
      </c>
      <c r="E275" s="1" t="s">
        <v>156</v>
      </c>
      <c r="F275" s="1" t="s">
        <v>158</v>
      </c>
      <c r="G275" s="1">
        <v>39.5</v>
      </c>
      <c r="H275" s="1" t="s">
        <v>60</v>
      </c>
      <c r="I275" s="1">
        <v>-110.0</v>
      </c>
      <c r="J275" s="6">
        <v>-0.0547030645709524</v>
      </c>
      <c r="K275" s="1" t="s">
        <v>61</v>
      </c>
      <c r="L275" s="1" t="s">
        <v>61</v>
      </c>
      <c r="M275" s="1" t="s">
        <v>62</v>
      </c>
      <c r="N275" s="1">
        <v>-110.0</v>
      </c>
      <c r="O275" s="6">
        <v>0.00710216198004753</v>
      </c>
      <c r="P275" s="1" t="s">
        <v>61</v>
      </c>
      <c r="Q275" s="1" t="s">
        <v>61</v>
      </c>
      <c r="R275" s="6">
        <f t="shared" si="1"/>
        <v>0.00710216198</v>
      </c>
      <c r="S275" s="1">
        <f t="shared" si="2"/>
        <v>-110</v>
      </c>
      <c r="T275" s="1">
        <f t="shared" si="3"/>
        <v>1.909090909</v>
      </c>
      <c r="U275" s="1">
        <f t="shared" si="4"/>
        <v>0</v>
      </c>
      <c r="V275" s="3">
        <f t="shared" si="5"/>
        <v>1</v>
      </c>
      <c r="W275" s="3">
        <f t="shared" si="6"/>
        <v>2</v>
      </c>
      <c r="X275" s="3" t="str">
        <f>IFERROR(__xludf.DUMMYFUNCTION("split(B275,"" "")"),"C.")</f>
        <v>C.</v>
      </c>
      <c r="Y275" s="3" t="str">
        <f>IFERROR(__xludf.DUMMYFUNCTION("""COMPUTED_VALUE"""),"Watson")</f>
        <v>Watson</v>
      </c>
      <c r="AA275" s="3">
        <v>25.0</v>
      </c>
      <c r="AB275" s="3">
        <f t="shared" si="7"/>
        <v>0</v>
      </c>
      <c r="AC275" s="3">
        <f t="shared" si="8"/>
        <v>1</v>
      </c>
      <c r="AD275" s="3">
        <f t="shared" si="9"/>
        <v>0.9090909091</v>
      </c>
      <c r="AE275" s="3">
        <f t="shared" si="10"/>
        <v>0.9090909091</v>
      </c>
      <c r="AF275" s="3">
        <f t="shared" si="11"/>
        <v>1.818181818</v>
      </c>
      <c r="AG275" s="3">
        <f t="shared" si="12"/>
        <v>0.3670886076</v>
      </c>
    </row>
    <row r="276">
      <c r="A276" s="1" t="s">
        <v>11</v>
      </c>
      <c r="B276" s="1" t="s">
        <v>150</v>
      </c>
      <c r="C276" s="1" t="s">
        <v>18</v>
      </c>
      <c r="D276" s="1" t="s">
        <v>147</v>
      </c>
      <c r="E276" s="1" t="s">
        <v>146</v>
      </c>
      <c r="F276" s="1" t="s">
        <v>59</v>
      </c>
      <c r="G276" s="1">
        <v>17.5</v>
      </c>
      <c r="H276" s="1" t="s">
        <v>60</v>
      </c>
      <c r="I276" s="1">
        <v>-120.0</v>
      </c>
      <c r="J276" s="1">
        <v>-0.0755566536397316</v>
      </c>
      <c r="K276" s="1" t="s">
        <v>61</v>
      </c>
      <c r="L276" s="1" t="s">
        <v>61</v>
      </c>
      <c r="M276" s="1" t="s">
        <v>62</v>
      </c>
      <c r="N276" s="1">
        <v>-110.0</v>
      </c>
      <c r="O276" s="1">
        <v>0.00633861990864326</v>
      </c>
      <c r="P276" s="1" t="s">
        <v>61</v>
      </c>
      <c r="Q276" s="1" t="s">
        <v>61</v>
      </c>
      <c r="R276" s="1">
        <f t="shared" si="1"/>
        <v>0.006338619909</v>
      </c>
      <c r="S276" s="1">
        <f t="shared" si="2"/>
        <v>-110</v>
      </c>
      <c r="T276" s="1">
        <f t="shared" si="3"/>
        <v>1.909090909</v>
      </c>
      <c r="U276" s="1">
        <f t="shared" si="4"/>
        <v>0</v>
      </c>
      <c r="V276" s="3">
        <f t="shared" si="5"/>
        <v>1</v>
      </c>
      <c r="W276" s="3">
        <f t="shared" si="6"/>
        <v>2</v>
      </c>
      <c r="X276" s="3" t="str">
        <f>IFERROR(__xludf.DUMMYFUNCTION("split(B276,"" "")"),"J.")</f>
        <v>J.</v>
      </c>
      <c r="Y276" s="3" t="str">
        <f>IFERROR(__xludf.DUMMYFUNCTION("""COMPUTED_VALUE"""),"Hyatt")</f>
        <v>Hyatt</v>
      </c>
      <c r="AA276" s="3">
        <v>0.0</v>
      </c>
      <c r="AB276" s="3">
        <f t="shared" si="7"/>
        <v>0</v>
      </c>
      <c r="AC276" s="3">
        <f t="shared" si="8"/>
        <v>1</v>
      </c>
      <c r="AD276" s="3">
        <f t="shared" si="9"/>
        <v>0.9090909091</v>
      </c>
      <c r="AE276" s="3">
        <f t="shared" si="10"/>
        <v>0.9090909091</v>
      </c>
      <c r="AF276" s="3">
        <f t="shared" si="11"/>
        <v>1.818181818</v>
      </c>
      <c r="AG276" s="3">
        <f t="shared" si="12"/>
        <v>1</v>
      </c>
    </row>
    <row r="277">
      <c r="A277" s="1" t="s">
        <v>10</v>
      </c>
      <c r="B277" s="1" t="s">
        <v>345</v>
      </c>
      <c r="C277" s="1" t="s">
        <v>19</v>
      </c>
      <c r="D277" s="1" t="s">
        <v>105</v>
      </c>
      <c r="E277" s="1" t="s">
        <v>104</v>
      </c>
      <c r="F277" s="1" t="s">
        <v>59</v>
      </c>
      <c r="G277" s="1">
        <v>53.0</v>
      </c>
      <c r="H277" s="1" t="s">
        <v>60</v>
      </c>
      <c r="I277" s="1">
        <v>-121.0</v>
      </c>
      <c r="J277" s="1">
        <v>-0.07291367768148</v>
      </c>
      <c r="K277" s="1" t="s">
        <v>61</v>
      </c>
      <c r="L277" s="1" t="s">
        <v>61</v>
      </c>
      <c r="M277" s="1" t="s">
        <v>62</v>
      </c>
      <c r="N277" s="1">
        <v>-110.0</v>
      </c>
      <c r="O277" s="1">
        <v>0.00286795514003701</v>
      </c>
      <c r="P277" s="1" t="s">
        <v>61</v>
      </c>
      <c r="Q277" s="1" t="s">
        <v>61</v>
      </c>
      <c r="R277" s="1">
        <f t="shared" si="1"/>
        <v>0.00286795514</v>
      </c>
      <c r="S277" s="1">
        <f t="shared" si="2"/>
        <v>-110</v>
      </c>
      <c r="T277" s="1">
        <f t="shared" si="3"/>
        <v>1.909090909</v>
      </c>
      <c r="U277" s="1">
        <f t="shared" si="4"/>
        <v>0</v>
      </c>
      <c r="V277" s="3">
        <f t="shared" si="5"/>
        <v>1</v>
      </c>
      <c r="W277" s="3">
        <f t="shared" si="6"/>
        <v>2</v>
      </c>
      <c r="X277" s="3" t="str">
        <f>IFERROR(__xludf.DUMMYFUNCTION("split(B277,"" "")"),"J.")</f>
        <v>J.</v>
      </c>
      <c r="Y277" s="3" t="str">
        <f>IFERROR(__xludf.DUMMYFUNCTION("""COMPUTED_VALUE"""),"Conner")</f>
        <v>Conner</v>
      </c>
      <c r="AA277" s="3">
        <v>50.0</v>
      </c>
      <c r="AB277" s="3">
        <f t="shared" si="7"/>
        <v>0</v>
      </c>
      <c r="AC277" s="3">
        <f t="shared" si="8"/>
        <v>1</v>
      </c>
      <c r="AD277" s="3">
        <f t="shared" si="9"/>
        <v>0.9090909091</v>
      </c>
      <c r="AE277" s="3">
        <f t="shared" si="10"/>
        <v>0.9090909091</v>
      </c>
      <c r="AF277" s="3">
        <f t="shared" si="11"/>
        <v>1.818181818</v>
      </c>
      <c r="AG277" s="3">
        <f t="shared" si="12"/>
        <v>0.05660377358</v>
      </c>
    </row>
    <row r="278">
      <c r="A278" s="1" t="s">
        <v>17</v>
      </c>
      <c r="B278" s="1" t="s">
        <v>347</v>
      </c>
      <c r="C278" s="1" t="s">
        <v>21</v>
      </c>
      <c r="D278" s="1" t="s">
        <v>77</v>
      </c>
      <c r="E278" s="1" t="s">
        <v>76</v>
      </c>
      <c r="F278" s="1" t="s">
        <v>78</v>
      </c>
      <c r="G278" s="1">
        <v>0.5</v>
      </c>
      <c r="H278" s="1" t="s">
        <v>60</v>
      </c>
      <c r="I278" s="1">
        <v>-122.0</v>
      </c>
      <c r="J278" s="6">
        <v>-0.106149549549549</v>
      </c>
      <c r="K278" s="1" t="s">
        <v>61</v>
      </c>
      <c r="L278" s="1" t="s">
        <v>61</v>
      </c>
      <c r="M278" s="1" t="s">
        <v>62</v>
      </c>
      <c r="N278" s="1">
        <v>-111.0</v>
      </c>
      <c r="O278" s="6">
        <v>0.0305336492890995</v>
      </c>
      <c r="P278" s="1" t="s">
        <v>61</v>
      </c>
      <c r="Q278" s="1" t="s">
        <v>61</v>
      </c>
      <c r="R278" s="6">
        <f t="shared" si="1"/>
        <v>0.03053364929</v>
      </c>
      <c r="S278" s="1">
        <f t="shared" si="2"/>
        <v>-111</v>
      </c>
      <c r="T278" s="1">
        <f t="shared" si="3"/>
        <v>1.900900901</v>
      </c>
      <c r="U278" s="1">
        <f t="shared" si="4"/>
        <v>0</v>
      </c>
      <c r="V278" s="3">
        <f t="shared" si="5"/>
        <v>1</v>
      </c>
      <c r="W278" s="3">
        <f t="shared" si="6"/>
        <v>2</v>
      </c>
      <c r="X278" s="3" t="str">
        <f>IFERROR(__xludf.DUMMYFUNCTION("split(B278,"" "")"),"L.")</f>
        <v>L.</v>
      </c>
      <c r="Y278" s="3" t="str">
        <f>IFERROR(__xludf.DUMMYFUNCTION("""COMPUTED_VALUE"""),"Jackson")</f>
        <v>Jackson</v>
      </c>
      <c r="AA278" s="3">
        <v>0.0</v>
      </c>
      <c r="AB278" s="3">
        <f t="shared" si="7"/>
        <v>0</v>
      </c>
      <c r="AC278" s="3">
        <f t="shared" si="8"/>
        <v>1</v>
      </c>
      <c r="AD278" s="3">
        <f t="shared" si="9"/>
        <v>0.9009009009</v>
      </c>
      <c r="AE278" s="3">
        <f t="shared" si="10"/>
        <v>0.9009009009</v>
      </c>
      <c r="AF278" s="3">
        <f t="shared" si="11"/>
        <v>1.801801802</v>
      </c>
      <c r="AG278" s="3">
        <f t="shared" si="12"/>
        <v>1</v>
      </c>
    </row>
    <row r="279">
      <c r="A279" s="1" t="s">
        <v>17</v>
      </c>
      <c r="B279" s="1" t="s">
        <v>260</v>
      </c>
      <c r="C279" s="1" t="s">
        <v>21</v>
      </c>
      <c r="D279" s="1" t="s">
        <v>147</v>
      </c>
      <c r="E279" s="1" t="s">
        <v>146</v>
      </c>
      <c r="F279" s="1" t="s">
        <v>59</v>
      </c>
      <c r="G279" s="1">
        <v>0.5</v>
      </c>
      <c r="H279" s="1" t="s">
        <v>60</v>
      </c>
      <c r="I279" s="1">
        <v>-121.0</v>
      </c>
      <c r="J279" s="1">
        <v>-0.119766063348416</v>
      </c>
      <c r="K279" s="1" t="s">
        <v>61</v>
      </c>
      <c r="L279" s="1" t="s">
        <v>61</v>
      </c>
      <c r="M279" s="1" t="s">
        <v>62</v>
      </c>
      <c r="N279" s="1">
        <v>-112.0</v>
      </c>
      <c r="O279" s="1">
        <v>0.043945283018868</v>
      </c>
      <c r="P279" s="1" t="s">
        <v>61</v>
      </c>
      <c r="Q279" s="1" t="s">
        <v>61</v>
      </c>
      <c r="R279" s="1">
        <f t="shared" si="1"/>
        <v>0.04394528302</v>
      </c>
      <c r="S279" s="1">
        <f t="shared" si="2"/>
        <v>-112</v>
      </c>
      <c r="T279" s="1">
        <f t="shared" si="3"/>
        <v>1.892857143</v>
      </c>
      <c r="U279" s="1">
        <f t="shared" si="4"/>
        <v>0</v>
      </c>
      <c r="V279" s="3">
        <f t="shared" si="5"/>
        <v>1</v>
      </c>
      <c r="W279" s="3">
        <f t="shared" si="6"/>
        <v>2</v>
      </c>
      <c r="X279" s="3" t="str">
        <f>IFERROR(__xludf.DUMMYFUNCTION("split(B279,"" "")"),"D.")</f>
        <v>D.</v>
      </c>
      <c r="Y279" s="3" t="str">
        <f>IFERROR(__xludf.DUMMYFUNCTION("""COMPUTED_VALUE"""),"Jones")</f>
        <v>Jones</v>
      </c>
      <c r="AA279" s="3">
        <v>0.0</v>
      </c>
      <c r="AB279" s="3">
        <f t="shared" si="7"/>
        <v>0</v>
      </c>
      <c r="AC279" s="3">
        <f t="shared" si="8"/>
        <v>1</v>
      </c>
      <c r="AD279" s="3">
        <f t="shared" si="9"/>
        <v>0.8928571429</v>
      </c>
      <c r="AE279" s="3">
        <f t="shared" si="10"/>
        <v>0.8928571429</v>
      </c>
      <c r="AF279" s="3">
        <f t="shared" si="11"/>
        <v>1.785714286</v>
      </c>
      <c r="AG279" s="3">
        <f t="shared" si="12"/>
        <v>1</v>
      </c>
    </row>
    <row r="280">
      <c r="A280" s="1" t="s">
        <v>11</v>
      </c>
      <c r="B280" s="1" t="s">
        <v>349</v>
      </c>
      <c r="C280" s="1" t="s">
        <v>20</v>
      </c>
      <c r="D280" s="1" t="s">
        <v>105</v>
      </c>
      <c r="E280" s="1" t="s">
        <v>104</v>
      </c>
      <c r="F280" s="1" t="s">
        <v>59</v>
      </c>
      <c r="G280" s="1">
        <v>50.5</v>
      </c>
      <c r="H280" s="1" t="s">
        <v>60</v>
      </c>
      <c r="I280" s="1">
        <v>-117.0</v>
      </c>
      <c r="J280" s="1">
        <v>-0.0811552022388294</v>
      </c>
      <c r="K280" s="1" t="s">
        <v>61</v>
      </c>
      <c r="L280" s="1" t="s">
        <v>61</v>
      </c>
      <c r="M280" s="1" t="s">
        <v>62</v>
      </c>
      <c r="N280" s="1">
        <v>-112.0</v>
      </c>
      <c r="O280" s="1">
        <v>0.0137094807005659</v>
      </c>
      <c r="P280" s="1" t="s">
        <v>61</v>
      </c>
      <c r="Q280" s="1" t="s">
        <v>61</v>
      </c>
      <c r="R280" s="1">
        <f t="shared" si="1"/>
        <v>0.0137094807</v>
      </c>
      <c r="S280" s="1">
        <f t="shared" si="2"/>
        <v>-112</v>
      </c>
      <c r="T280" s="1">
        <f t="shared" si="3"/>
        <v>1.892857143</v>
      </c>
      <c r="U280" s="1">
        <f t="shared" si="4"/>
        <v>0</v>
      </c>
      <c r="V280" s="3">
        <f t="shared" si="5"/>
        <v>1</v>
      </c>
      <c r="W280" s="3">
        <f t="shared" si="6"/>
        <v>2</v>
      </c>
      <c r="X280" s="3" t="str">
        <f>IFERROR(__xludf.DUMMYFUNCTION("split(B280,"" "")"),"T.")</f>
        <v>T.</v>
      </c>
      <c r="Y280" s="3" t="str">
        <f>IFERROR(__xludf.DUMMYFUNCTION("""COMPUTED_VALUE"""),"McBride")</f>
        <v>McBride</v>
      </c>
      <c r="AA280" s="3">
        <v>30.0</v>
      </c>
      <c r="AB280" s="3">
        <f t="shared" si="7"/>
        <v>0</v>
      </c>
      <c r="AC280" s="3">
        <f t="shared" si="8"/>
        <v>1</v>
      </c>
      <c r="AD280" s="3">
        <f t="shared" si="9"/>
        <v>0.8928571429</v>
      </c>
      <c r="AE280" s="3">
        <f t="shared" si="10"/>
        <v>0.8928571429</v>
      </c>
      <c r="AF280" s="3">
        <f t="shared" si="11"/>
        <v>1.785714286</v>
      </c>
      <c r="AG280" s="3">
        <f t="shared" si="12"/>
        <v>0.4059405941</v>
      </c>
    </row>
    <row r="281">
      <c r="A281" s="1" t="s">
        <v>11</v>
      </c>
      <c r="B281" s="1" t="s">
        <v>351</v>
      </c>
      <c r="C281" s="1" t="s">
        <v>18</v>
      </c>
      <c r="D281" s="1" t="s">
        <v>99</v>
      </c>
      <c r="E281" s="1" t="s">
        <v>100</v>
      </c>
      <c r="F281" s="1" t="s">
        <v>59</v>
      </c>
      <c r="G281" s="1">
        <v>60.5</v>
      </c>
      <c r="H281" s="1" t="s">
        <v>60</v>
      </c>
      <c r="I281" s="1">
        <v>-117.0</v>
      </c>
      <c r="J281" s="1">
        <v>-0.0808482315977601</v>
      </c>
      <c r="K281" s="1" t="s">
        <v>61</v>
      </c>
      <c r="L281" s="1" t="s">
        <v>61</v>
      </c>
      <c r="M281" s="1" t="s">
        <v>62</v>
      </c>
      <c r="N281" s="1">
        <v>-112.0</v>
      </c>
      <c r="O281" s="1">
        <v>0.0133276106359887</v>
      </c>
      <c r="P281" s="1" t="s">
        <v>61</v>
      </c>
      <c r="Q281" s="1" t="s">
        <v>61</v>
      </c>
      <c r="R281" s="1">
        <f t="shared" si="1"/>
        <v>0.01332761064</v>
      </c>
      <c r="S281" s="1">
        <f t="shared" si="2"/>
        <v>-112</v>
      </c>
      <c r="T281" s="1">
        <f t="shared" si="3"/>
        <v>1.892857143</v>
      </c>
      <c r="U281" s="1">
        <f t="shared" si="4"/>
        <v>0</v>
      </c>
      <c r="V281" s="3">
        <f t="shared" si="5"/>
        <v>1</v>
      </c>
      <c r="W281" s="3">
        <f t="shared" si="6"/>
        <v>2</v>
      </c>
      <c r="X281" s="3" t="str">
        <f>IFERROR(__xludf.DUMMYFUNCTION("split(B281,"" "")"),"D.")</f>
        <v>D.</v>
      </c>
      <c r="Y281" s="3" t="str">
        <f>IFERROR(__xludf.DUMMYFUNCTION("""COMPUTED_VALUE"""),"Moore")</f>
        <v>Moore</v>
      </c>
      <c r="AA281" s="3">
        <v>36.0</v>
      </c>
      <c r="AB281" s="3">
        <f t="shared" si="7"/>
        <v>0</v>
      </c>
      <c r="AC281" s="3">
        <f t="shared" si="8"/>
        <v>1</v>
      </c>
      <c r="AD281" s="3">
        <f t="shared" si="9"/>
        <v>0.8928571429</v>
      </c>
      <c r="AE281" s="3">
        <f t="shared" si="10"/>
        <v>0.8928571429</v>
      </c>
      <c r="AF281" s="3">
        <f t="shared" si="11"/>
        <v>1.785714286</v>
      </c>
      <c r="AG281" s="3">
        <f t="shared" si="12"/>
        <v>0.4049586777</v>
      </c>
    </row>
    <row r="282">
      <c r="A282" s="1" t="s">
        <v>11</v>
      </c>
      <c r="B282" s="1" t="s">
        <v>127</v>
      </c>
      <c r="C282" s="1" t="s">
        <v>19</v>
      </c>
      <c r="D282" s="1" t="s">
        <v>83</v>
      </c>
      <c r="E282" s="1" t="s">
        <v>82</v>
      </c>
      <c r="F282" s="1" t="s">
        <v>84</v>
      </c>
      <c r="G282" s="1">
        <v>16.5</v>
      </c>
      <c r="H282" s="1" t="s">
        <v>60</v>
      </c>
      <c r="I282" s="1">
        <v>-118.0</v>
      </c>
      <c r="J282" s="1">
        <v>-0.0806857003137733</v>
      </c>
      <c r="K282" s="1" t="s">
        <v>61</v>
      </c>
      <c r="L282" s="1" t="s">
        <v>61</v>
      </c>
      <c r="M282" s="1" t="s">
        <v>62</v>
      </c>
      <c r="N282" s="1">
        <v>-112.0</v>
      </c>
      <c r="O282" s="1">
        <v>0.0111299461726928</v>
      </c>
      <c r="P282" s="1" t="s">
        <v>61</v>
      </c>
      <c r="Q282" s="1" t="s">
        <v>61</v>
      </c>
      <c r="R282" s="1">
        <f t="shared" si="1"/>
        <v>0.01112994617</v>
      </c>
      <c r="S282" s="1">
        <f t="shared" si="2"/>
        <v>-112</v>
      </c>
      <c r="T282" s="1">
        <f t="shared" si="3"/>
        <v>1.892857143</v>
      </c>
      <c r="U282" s="1">
        <f t="shared" si="4"/>
        <v>0</v>
      </c>
      <c r="V282" s="3">
        <f t="shared" si="5"/>
        <v>1</v>
      </c>
      <c r="W282" s="3">
        <f t="shared" si="6"/>
        <v>2</v>
      </c>
      <c r="X282" s="3" t="str">
        <f>IFERROR(__xludf.DUMMYFUNCTION("split(B282,"" "")"),"J.")</f>
        <v>J.</v>
      </c>
      <c r="Y282" s="3" t="str">
        <f>IFERROR(__xludf.DUMMYFUNCTION("""COMPUTED_VALUE"""),"Williams")</f>
        <v>Williams</v>
      </c>
      <c r="AA282" s="3">
        <v>0.0</v>
      </c>
      <c r="AB282" s="3">
        <f t="shared" si="7"/>
        <v>0</v>
      </c>
      <c r="AC282" s="3">
        <f t="shared" si="8"/>
        <v>1</v>
      </c>
      <c r="AD282" s="3">
        <f t="shared" si="9"/>
        <v>0.8928571429</v>
      </c>
      <c r="AE282" s="3">
        <f t="shared" si="10"/>
        <v>0.8928571429</v>
      </c>
      <c r="AF282" s="3">
        <f t="shared" si="11"/>
        <v>1.785714286</v>
      </c>
      <c r="AG282" s="3">
        <f t="shared" si="12"/>
        <v>1</v>
      </c>
    </row>
    <row r="283">
      <c r="A283" s="1" t="s">
        <v>11</v>
      </c>
      <c r="B283" s="1" t="s">
        <v>177</v>
      </c>
      <c r="C283" s="1" t="s">
        <v>19</v>
      </c>
      <c r="D283" s="1" t="s">
        <v>110</v>
      </c>
      <c r="E283" s="1" t="s">
        <v>109</v>
      </c>
      <c r="F283" s="1" t="s">
        <v>59</v>
      </c>
      <c r="G283" s="1">
        <v>13.0</v>
      </c>
      <c r="H283" s="1" t="s">
        <v>60</v>
      </c>
      <c r="I283" s="1">
        <v>-112.0</v>
      </c>
      <c r="J283" s="1">
        <v>0.00452550024096132</v>
      </c>
      <c r="K283" s="1" t="s">
        <v>61</v>
      </c>
      <c r="L283" s="1" t="s">
        <v>61</v>
      </c>
      <c r="M283" s="1" t="s">
        <v>62</v>
      </c>
      <c r="N283" s="1">
        <v>-117.0</v>
      </c>
      <c r="O283" s="1">
        <v>-0.0708145671878711</v>
      </c>
      <c r="P283" s="1" t="s">
        <v>61</v>
      </c>
      <c r="Q283" s="1" t="s">
        <v>61</v>
      </c>
      <c r="R283" s="1">
        <f t="shared" si="1"/>
        <v>0.004525500241</v>
      </c>
      <c r="S283" s="1">
        <f t="shared" si="2"/>
        <v>-112</v>
      </c>
      <c r="T283" s="1">
        <f t="shared" si="3"/>
        <v>1.892857143</v>
      </c>
      <c r="U283" s="1">
        <f t="shared" si="4"/>
        <v>1</v>
      </c>
      <c r="V283" s="3">
        <f t="shared" si="5"/>
        <v>1</v>
      </c>
      <c r="W283" s="3">
        <f t="shared" si="6"/>
        <v>2</v>
      </c>
      <c r="X283" s="3" t="str">
        <f>IFERROR(__xludf.DUMMYFUNCTION("split(B283,"" "")"),"J.")</f>
        <v>J.</v>
      </c>
      <c r="Y283" s="3" t="str">
        <f>IFERROR(__xludf.DUMMYFUNCTION("""COMPUTED_VALUE"""),"Warren")</f>
        <v>Warren</v>
      </c>
      <c r="AA283" s="3">
        <v>13.0</v>
      </c>
      <c r="AB283" s="3">
        <f t="shared" si="7"/>
        <v>1</v>
      </c>
      <c r="AC283" s="3">
        <f t="shared" si="8"/>
        <v>1</v>
      </c>
      <c r="AD283" s="3">
        <f t="shared" si="9"/>
        <v>0.8928571429</v>
      </c>
      <c r="AE283" s="3">
        <f t="shared" si="10"/>
        <v>0.8928571429</v>
      </c>
      <c r="AF283" s="3">
        <f t="shared" si="11"/>
        <v>1.785714286</v>
      </c>
      <c r="AG283" s="3">
        <f t="shared" si="12"/>
        <v>0</v>
      </c>
    </row>
    <row r="284">
      <c r="A284" s="1" t="s">
        <v>16</v>
      </c>
      <c r="B284" s="1" t="s">
        <v>320</v>
      </c>
      <c r="C284" s="1" t="s">
        <v>21</v>
      </c>
      <c r="D284" s="1" t="s">
        <v>114</v>
      </c>
      <c r="E284" s="1" t="s">
        <v>113</v>
      </c>
      <c r="F284" s="1" t="s">
        <v>90</v>
      </c>
      <c r="G284" s="1">
        <v>32.5</v>
      </c>
      <c r="H284" s="1" t="s">
        <v>60</v>
      </c>
      <c r="I284" s="1">
        <v>-118.0</v>
      </c>
      <c r="J284" s="1">
        <v>-0.0713177852678899</v>
      </c>
      <c r="K284" s="1" t="s">
        <v>61</v>
      </c>
      <c r="L284" s="1" t="s">
        <v>61</v>
      </c>
      <c r="M284" s="1" t="s">
        <v>62</v>
      </c>
      <c r="N284" s="1">
        <v>-112.0</v>
      </c>
      <c r="O284" s="1">
        <v>0.00176577066037741</v>
      </c>
      <c r="P284" s="1" t="s">
        <v>61</v>
      </c>
      <c r="Q284" s="1" t="s">
        <v>61</v>
      </c>
      <c r="R284" s="1">
        <f t="shared" si="1"/>
        <v>0.00176577066</v>
      </c>
      <c r="S284" s="1">
        <f t="shared" si="2"/>
        <v>-112</v>
      </c>
      <c r="T284" s="1">
        <f t="shared" si="3"/>
        <v>1.892857143</v>
      </c>
      <c r="U284" s="1">
        <f t="shared" si="4"/>
        <v>0</v>
      </c>
      <c r="V284" s="3">
        <f t="shared" si="5"/>
        <v>1</v>
      </c>
      <c r="W284" s="3">
        <f t="shared" si="6"/>
        <v>2</v>
      </c>
      <c r="X284" s="3" t="str">
        <f>IFERROR(__xludf.DUMMYFUNCTION("split(B284,"" "")"),"J.")</f>
        <v>J.</v>
      </c>
      <c r="Y284" s="3" t="str">
        <f>IFERROR(__xludf.DUMMYFUNCTION("""COMPUTED_VALUE"""),"Daniels")</f>
        <v>Daniels</v>
      </c>
      <c r="AA284" s="3">
        <v>24.0</v>
      </c>
      <c r="AB284" s="3">
        <f t="shared" si="7"/>
        <v>0</v>
      </c>
      <c r="AC284" s="3">
        <f t="shared" si="8"/>
        <v>1</v>
      </c>
      <c r="AD284" s="3">
        <f t="shared" si="9"/>
        <v>0.8928571429</v>
      </c>
      <c r="AE284" s="3">
        <f t="shared" si="10"/>
        <v>0.8928571429</v>
      </c>
      <c r="AF284" s="3">
        <f t="shared" si="11"/>
        <v>1.785714286</v>
      </c>
      <c r="AG284" s="3">
        <f t="shared" si="12"/>
        <v>0.2615384615</v>
      </c>
    </row>
    <row r="285">
      <c r="A285" s="1" t="s">
        <v>11</v>
      </c>
      <c r="B285" s="1" t="s">
        <v>305</v>
      </c>
      <c r="C285" s="1" t="s">
        <v>20</v>
      </c>
      <c r="D285" s="1" t="s">
        <v>165</v>
      </c>
      <c r="E285" s="1" t="s">
        <v>164</v>
      </c>
      <c r="F285" s="1" t="s">
        <v>166</v>
      </c>
      <c r="G285" s="1">
        <v>28.5</v>
      </c>
      <c r="H285" s="1" t="s">
        <v>60</v>
      </c>
      <c r="I285" s="1">
        <v>-116.0</v>
      </c>
      <c r="J285" s="1">
        <v>-0.100476120353657</v>
      </c>
      <c r="K285" s="1" t="s">
        <v>61</v>
      </c>
      <c r="L285" s="1" t="s">
        <v>61</v>
      </c>
      <c r="M285" s="1" t="s">
        <v>62</v>
      </c>
      <c r="N285" s="1">
        <v>-112.0</v>
      </c>
      <c r="O285" s="1">
        <v>0.0351850520564001</v>
      </c>
      <c r="P285" s="1" t="s">
        <v>61</v>
      </c>
      <c r="Q285" s="1" t="s">
        <v>61</v>
      </c>
      <c r="R285" s="1">
        <f t="shared" si="1"/>
        <v>0.03518505206</v>
      </c>
      <c r="S285" s="1">
        <f t="shared" si="2"/>
        <v>-112</v>
      </c>
      <c r="T285" s="1">
        <f t="shared" si="3"/>
        <v>1.892857143</v>
      </c>
      <c r="U285" s="1">
        <f t="shared" si="4"/>
        <v>0</v>
      </c>
      <c r="V285" s="3">
        <f t="shared" si="5"/>
        <v>1</v>
      </c>
      <c r="W285" s="3">
        <f t="shared" si="6"/>
        <v>2</v>
      </c>
      <c r="X285" s="3" t="str">
        <f>IFERROR(__xludf.DUMMYFUNCTION("split(B285,"" "")"),"T.")</f>
        <v>T.</v>
      </c>
      <c r="Y285" s="3" t="str">
        <f>IFERROR(__xludf.DUMMYFUNCTION("""COMPUTED_VALUE"""),"Conklin")</f>
        <v>Conklin</v>
      </c>
      <c r="AA285" s="3">
        <v>6.0</v>
      </c>
      <c r="AB285" s="3">
        <f t="shared" si="7"/>
        <v>0</v>
      </c>
      <c r="AC285" s="3">
        <f t="shared" si="8"/>
        <v>1</v>
      </c>
      <c r="AD285" s="3">
        <f t="shared" si="9"/>
        <v>0.8928571429</v>
      </c>
      <c r="AE285" s="3">
        <f t="shared" si="10"/>
        <v>0.8928571429</v>
      </c>
      <c r="AF285" s="3">
        <f t="shared" si="11"/>
        <v>1.785714286</v>
      </c>
      <c r="AG285" s="3">
        <f t="shared" si="12"/>
        <v>0.7894736842</v>
      </c>
    </row>
    <row r="286">
      <c r="A286" s="1" t="s">
        <v>10</v>
      </c>
      <c r="B286" s="1" t="s">
        <v>316</v>
      </c>
      <c r="C286" s="1" t="s">
        <v>21</v>
      </c>
      <c r="D286" s="1" t="s">
        <v>94</v>
      </c>
      <c r="E286" s="1" t="s">
        <v>93</v>
      </c>
      <c r="F286" s="1" t="s">
        <v>59</v>
      </c>
      <c r="G286" s="1">
        <v>3.5</v>
      </c>
      <c r="H286" s="1" t="s">
        <v>60</v>
      </c>
      <c r="I286" s="1">
        <v>-113.0</v>
      </c>
      <c r="J286" s="1">
        <v>0.0472362156420999</v>
      </c>
      <c r="K286" s="1" t="s">
        <v>61</v>
      </c>
      <c r="L286" s="1" t="s">
        <v>61</v>
      </c>
      <c r="M286" s="1" t="s">
        <v>62</v>
      </c>
      <c r="N286" s="1">
        <v>-118.0</v>
      </c>
      <c r="O286" s="1">
        <v>-0.119045102933419</v>
      </c>
      <c r="P286" s="1" t="s">
        <v>61</v>
      </c>
      <c r="Q286" s="1" t="s">
        <v>61</v>
      </c>
      <c r="R286" s="1">
        <f t="shared" si="1"/>
        <v>0.04723621564</v>
      </c>
      <c r="S286" s="1">
        <f t="shared" si="2"/>
        <v>-113</v>
      </c>
      <c r="T286" s="1">
        <f t="shared" si="3"/>
        <v>1.884955752</v>
      </c>
      <c r="U286" s="1">
        <f t="shared" si="4"/>
        <v>1</v>
      </c>
      <c r="V286" s="3">
        <f t="shared" si="5"/>
        <v>1</v>
      </c>
      <c r="W286" s="3">
        <f t="shared" si="6"/>
        <v>2</v>
      </c>
      <c r="X286" s="3" t="str">
        <f>IFERROR(__xludf.DUMMYFUNCTION("split(B286,"" "")"),"T.")</f>
        <v>T.</v>
      </c>
      <c r="Y286" s="3" t="str">
        <f>IFERROR(__xludf.DUMMYFUNCTION("""COMPUTED_VALUE"""),"Tagovailoa")</f>
        <v>Tagovailoa</v>
      </c>
      <c r="AA286" s="3">
        <v>11.0</v>
      </c>
      <c r="AB286" s="3">
        <f t="shared" si="7"/>
        <v>1</v>
      </c>
      <c r="AC286" s="3">
        <f t="shared" si="8"/>
        <v>1</v>
      </c>
      <c r="AD286" s="3">
        <f t="shared" si="9"/>
        <v>0.8849557522</v>
      </c>
      <c r="AE286" s="3">
        <f t="shared" si="10"/>
        <v>0.8849557522</v>
      </c>
      <c r="AF286" s="3">
        <f t="shared" si="11"/>
        <v>1.769911504</v>
      </c>
      <c r="AG286" s="3">
        <f t="shared" si="12"/>
        <v>2.142857143</v>
      </c>
    </row>
    <row r="287">
      <c r="A287" s="1" t="s">
        <v>11</v>
      </c>
      <c r="B287" s="1" t="s">
        <v>268</v>
      </c>
      <c r="C287" s="1" t="s">
        <v>18</v>
      </c>
      <c r="D287" s="1" t="s">
        <v>99</v>
      </c>
      <c r="E287" s="1" t="s">
        <v>100</v>
      </c>
      <c r="F287" s="1" t="s">
        <v>59</v>
      </c>
      <c r="G287" s="1">
        <v>50.5</v>
      </c>
      <c r="H287" s="1" t="s">
        <v>60</v>
      </c>
      <c r="I287" s="1">
        <v>-118.0</v>
      </c>
      <c r="J287" s="1">
        <v>-0.118694192503027</v>
      </c>
      <c r="K287" s="1" t="s">
        <v>61</v>
      </c>
      <c r="L287" s="1" t="s">
        <v>61</v>
      </c>
      <c r="M287" s="1" t="s">
        <v>62</v>
      </c>
      <c r="N287" s="1">
        <v>-113.0</v>
      </c>
      <c r="O287" s="1">
        <v>0.0468786074353755</v>
      </c>
      <c r="P287" s="1" t="s">
        <v>61</v>
      </c>
      <c r="Q287" s="1" t="s">
        <v>61</v>
      </c>
      <c r="R287" s="1">
        <f t="shared" si="1"/>
        <v>0.04687860744</v>
      </c>
      <c r="S287" s="1">
        <f t="shared" si="2"/>
        <v>-113</v>
      </c>
      <c r="T287" s="1">
        <f t="shared" si="3"/>
        <v>1.884955752</v>
      </c>
      <c r="U287" s="1">
        <f t="shared" si="4"/>
        <v>0</v>
      </c>
      <c r="V287" s="3">
        <f t="shared" si="5"/>
        <v>1</v>
      </c>
      <c r="W287" s="3">
        <f t="shared" si="6"/>
        <v>2</v>
      </c>
      <c r="X287" s="3" t="str">
        <f>IFERROR(__xludf.DUMMYFUNCTION("split(B287,"" "")"),"K.")</f>
        <v>K.</v>
      </c>
      <c r="Y287" s="3" t="str">
        <f>IFERROR(__xludf.DUMMYFUNCTION("""COMPUTED_VALUE"""),"Allen")</f>
        <v>Allen</v>
      </c>
      <c r="AA287" s="3">
        <v>29.0</v>
      </c>
      <c r="AB287" s="3">
        <f t="shared" si="7"/>
        <v>0</v>
      </c>
      <c r="AC287" s="3">
        <f t="shared" si="8"/>
        <v>1</v>
      </c>
      <c r="AD287" s="3">
        <f t="shared" si="9"/>
        <v>0.8849557522</v>
      </c>
      <c r="AE287" s="3">
        <f t="shared" si="10"/>
        <v>0.8849557522</v>
      </c>
      <c r="AF287" s="3">
        <f t="shared" si="11"/>
        <v>1.769911504</v>
      </c>
      <c r="AG287" s="3">
        <f t="shared" si="12"/>
        <v>0.4257425743</v>
      </c>
    </row>
    <row r="288">
      <c r="A288" s="1" t="s">
        <v>17</v>
      </c>
      <c r="B288" s="1" t="s">
        <v>287</v>
      </c>
      <c r="C288" s="1" t="s">
        <v>21</v>
      </c>
      <c r="D288" s="1" t="s">
        <v>58</v>
      </c>
      <c r="E288" s="1" t="s">
        <v>57</v>
      </c>
      <c r="F288" s="1" t="s">
        <v>59</v>
      </c>
      <c r="G288" s="1">
        <v>0.5</v>
      </c>
      <c r="H288" s="1" t="s">
        <v>60</v>
      </c>
      <c r="I288" s="1">
        <v>-119.0</v>
      </c>
      <c r="J288" s="1">
        <v>-0.117978995433789</v>
      </c>
      <c r="K288" s="1" t="s">
        <v>61</v>
      </c>
      <c r="L288" s="1" t="s">
        <v>61</v>
      </c>
      <c r="M288" s="1" t="s">
        <v>62</v>
      </c>
      <c r="N288" s="1">
        <v>-113.0</v>
      </c>
      <c r="O288" s="1">
        <v>0.0440835680751173</v>
      </c>
      <c r="P288" s="1" t="s">
        <v>61</v>
      </c>
      <c r="Q288" s="1" t="s">
        <v>61</v>
      </c>
      <c r="R288" s="1">
        <f t="shared" si="1"/>
        <v>0.04408356808</v>
      </c>
      <c r="S288" s="1">
        <f t="shared" si="2"/>
        <v>-113</v>
      </c>
      <c r="T288" s="1">
        <f t="shared" si="3"/>
        <v>1.884955752</v>
      </c>
      <c r="U288" s="1">
        <f t="shared" si="4"/>
        <v>0</v>
      </c>
      <c r="V288" s="3">
        <f t="shared" si="5"/>
        <v>1</v>
      </c>
      <c r="W288" s="3">
        <f t="shared" si="6"/>
        <v>2</v>
      </c>
      <c r="X288" s="3" t="str">
        <f>IFERROR(__xludf.DUMMYFUNCTION("split(B288,"" "")"),"D.")</f>
        <v>D.</v>
      </c>
      <c r="Y288" s="3" t="str">
        <f>IFERROR(__xludf.DUMMYFUNCTION("""COMPUTED_VALUE"""),"Carr")</f>
        <v>Carr</v>
      </c>
      <c r="AA288" s="3">
        <v>0.0</v>
      </c>
      <c r="AB288" s="3">
        <f t="shared" si="7"/>
        <v>0</v>
      </c>
      <c r="AC288" s="3">
        <f t="shared" si="8"/>
        <v>1</v>
      </c>
      <c r="AD288" s="3">
        <f t="shared" si="9"/>
        <v>0.8849557522</v>
      </c>
      <c r="AE288" s="3">
        <f t="shared" si="10"/>
        <v>0.8849557522</v>
      </c>
      <c r="AF288" s="3">
        <f t="shared" si="11"/>
        <v>1.769911504</v>
      </c>
      <c r="AG288" s="3">
        <f t="shared" si="12"/>
        <v>1</v>
      </c>
    </row>
    <row r="289">
      <c r="A289" s="1" t="s">
        <v>11</v>
      </c>
      <c r="B289" s="1" t="s">
        <v>175</v>
      </c>
      <c r="C289" s="1" t="s">
        <v>18</v>
      </c>
      <c r="D289" s="1" t="s">
        <v>146</v>
      </c>
      <c r="E289" s="1" t="s">
        <v>147</v>
      </c>
      <c r="F289" s="1" t="s">
        <v>59</v>
      </c>
      <c r="G289" s="1">
        <v>45.5</v>
      </c>
      <c r="H289" s="1" t="s">
        <v>60</v>
      </c>
      <c r="I289" s="1">
        <v>-117.0</v>
      </c>
      <c r="J289" s="1">
        <v>-0.101569479309401</v>
      </c>
      <c r="K289" s="1" t="s">
        <v>61</v>
      </c>
      <c r="L289" s="1" t="s">
        <v>61</v>
      </c>
      <c r="M289" s="1" t="s">
        <v>62</v>
      </c>
      <c r="N289" s="1">
        <v>-113.0</v>
      </c>
      <c r="O289" s="1">
        <v>0.0318813169120095</v>
      </c>
      <c r="P289" s="1" t="s">
        <v>61</v>
      </c>
      <c r="Q289" s="1" t="s">
        <v>61</v>
      </c>
      <c r="R289" s="1">
        <f t="shared" si="1"/>
        <v>0.03188131691</v>
      </c>
      <c r="S289" s="1">
        <f t="shared" si="2"/>
        <v>-113</v>
      </c>
      <c r="T289" s="1">
        <f t="shared" si="3"/>
        <v>1.884955752</v>
      </c>
      <c r="U289" s="1">
        <f t="shared" si="4"/>
        <v>0</v>
      </c>
      <c r="V289" s="3">
        <f t="shared" si="5"/>
        <v>1</v>
      </c>
      <c r="W289" s="3">
        <f t="shared" si="6"/>
        <v>2</v>
      </c>
      <c r="X289" s="3" t="str">
        <f>IFERROR(__xludf.DUMMYFUNCTION("split(B289,"" "")"),"J.")</f>
        <v>J.</v>
      </c>
      <c r="Y289" s="3" t="str">
        <f>IFERROR(__xludf.DUMMYFUNCTION("""COMPUTED_VALUE"""),"Addison")</f>
        <v>Addison</v>
      </c>
      <c r="AA289" s="3">
        <v>35.0</v>
      </c>
      <c r="AB289" s="3">
        <f t="shared" si="7"/>
        <v>0</v>
      </c>
      <c r="AC289" s="3">
        <f t="shared" si="8"/>
        <v>1</v>
      </c>
      <c r="AD289" s="3">
        <f t="shared" si="9"/>
        <v>0.8849557522</v>
      </c>
      <c r="AE289" s="3">
        <f t="shared" si="10"/>
        <v>0.8849557522</v>
      </c>
      <c r="AF289" s="3">
        <f t="shared" si="11"/>
        <v>1.769911504</v>
      </c>
      <c r="AG289" s="3">
        <f t="shared" si="12"/>
        <v>0.2307692308</v>
      </c>
    </row>
    <row r="290">
      <c r="A290" s="1" t="s">
        <v>11</v>
      </c>
      <c r="B290" s="1" t="s">
        <v>353</v>
      </c>
      <c r="C290" s="1" t="s">
        <v>18</v>
      </c>
      <c r="D290" s="1" t="s">
        <v>57</v>
      </c>
      <c r="E290" s="1" t="s">
        <v>58</v>
      </c>
      <c r="F290" s="1" t="s">
        <v>59</v>
      </c>
      <c r="G290" s="1">
        <v>52.5</v>
      </c>
      <c r="H290" s="1" t="s">
        <v>60</v>
      </c>
      <c r="I290" s="1">
        <v>-118.0</v>
      </c>
      <c r="J290" s="1">
        <v>-0.103292935536119</v>
      </c>
      <c r="K290" s="1" t="s">
        <v>61</v>
      </c>
      <c r="L290" s="1" t="s">
        <v>61</v>
      </c>
      <c r="M290" s="1" t="s">
        <v>62</v>
      </c>
      <c r="N290" s="1">
        <v>-113.0</v>
      </c>
      <c r="O290" s="1">
        <v>0.0314774040018779</v>
      </c>
      <c r="P290" s="1" t="s">
        <v>61</v>
      </c>
      <c r="Q290" s="1" t="s">
        <v>61</v>
      </c>
      <c r="R290" s="1">
        <f t="shared" si="1"/>
        <v>0.031477404</v>
      </c>
      <c r="S290" s="1">
        <f t="shared" si="2"/>
        <v>-113</v>
      </c>
      <c r="T290" s="1">
        <f t="shared" si="3"/>
        <v>1.884955752</v>
      </c>
      <c r="U290" s="1">
        <f t="shared" si="4"/>
        <v>0</v>
      </c>
      <c r="V290" s="3">
        <f t="shared" si="5"/>
        <v>1</v>
      </c>
      <c r="W290" s="3">
        <f t="shared" si="6"/>
        <v>2</v>
      </c>
      <c r="X290" s="3" t="str">
        <f>IFERROR(__xludf.DUMMYFUNCTION("split(B290,"" "")"),"D.")</f>
        <v>D.</v>
      </c>
      <c r="Y290" s="3" t="str">
        <f>IFERROR(__xludf.DUMMYFUNCTION("""COMPUTED_VALUE"""),"Johnson")</f>
        <v>Johnson</v>
      </c>
      <c r="AA290" s="3">
        <v>19.0</v>
      </c>
      <c r="AB290" s="3">
        <f t="shared" si="7"/>
        <v>0</v>
      </c>
      <c r="AC290" s="3">
        <f t="shared" si="8"/>
        <v>1</v>
      </c>
      <c r="AD290" s="3">
        <f t="shared" si="9"/>
        <v>0.8849557522</v>
      </c>
      <c r="AE290" s="3">
        <f t="shared" si="10"/>
        <v>0.8849557522</v>
      </c>
      <c r="AF290" s="3">
        <f t="shared" si="11"/>
        <v>1.769911504</v>
      </c>
      <c r="AG290" s="3">
        <f t="shared" si="12"/>
        <v>0.6380952381</v>
      </c>
    </row>
    <row r="291">
      <c r="A291" s="1" t="s">
        <v>9</v>
      </c>
      <c r="B291" s="1" t="s">
        <v>354</v>
      </c>
      <c r="C291" s="1" t="s">
        <v>18</v>
      </c>
      <c r="D291" s="1" t="s">
        <v>147</v>
      </c>
      <c r="E291" s="1" t="s">
        <v>146</v>
      </c>
      <c r="F291" s="1" t="s">
        <v>59</v>
      </c>
      <c r="G291" s="1">
        <v>30.5</v>
      </c>
      <c r="H291" s="1" t="s">
        <v>60</v>
      </c>
      <c r="I291" s="1">
        <v>-113.0</v>
      </c>
      <c r="J291" s="1">
        <v>0.0249075776066535</v>
      </c>
      <c r="K291" s="1" t="s">
        <v>61</v>
      </c>
      <c r="L291" s="1" t="s">
        <v>61</v>
      </c>
      <c r="M291" s="1" t="s">
        <v>62</v>
      </c>
      <c r="N291" s="1">
        <v>-120.0</v>
      </c>
      <c r="O291" s="1">
        <v>-0.100833894710275</v>
      </c>
      <c r="P291" s="1" t="s">
        <v>61</v>
      </c>
      <c r="Q291" s="1" t="s">
        <v>61</v>
      </c>
      <c r="R291" s="1">
        <f t="shared" si="1"/>
        <v>0.02490757761</v>
      </c>
      <c r="S291" s="1">
        <f t="shared" si="2"/>
        <v>-113</v>
      </c>
      <c r="T291" s="1">
        <f t="shared" si="3"/>
        <v>1.884955752</v>
      </c>
      <c r="U291" s="1">
        <f t="shared" si="4"/>
        <v>1</v>
      </c>
      <c r="V291" s="3">
        <f t="shared" si="5"/>
        <v>1</v>
      </c>
      <c r="W291" s="3">
        <f t="shared" si="6"/>
        <v>2</v>
      </c>
      <c r="X291" s="3" t="str">
        <f>IFERROR(__xludf.DUMMYFUNCTION("split(B291,"" "")"),"W.")</f>
        <v>W.</v>
      </c>
      <c r="Y291" s="3" t="str">
        <f>IFERROR(__xludf.DUMMYFUNCTION("""COMPUTED_VALUE"""),"Robinson")</f>
        <v>Robinson</v>
      </c>
      <c r="AA291" s="3">
        <v>58.0</v>
      </c>
      <c r="AB291" s="3">
        <f t="shared" si="7"/>
        <v>1</v>
      </c>
      <c r="AC291" s="3">
        <f t="shared" si="8"/>
        <v>1</v>
      </c>
      <c r="AD291" s="3">
        <f t="shared" si="9"/>
        <v>0.8849557522</v>
      </c>
      <c r="AE291" s="3">
        <f t="shared" si="10"/>
        <v>0.8849557522</v>
      </c>
      <c r="AF291" s="3">
        <f t="shared" si="11"/>
        <v>1.769911504</v>
      </c>
      <c r="AG291" s="3">
        <f t="shared" si="12"/>
        <v>0.9016393443</v>
      </c>
    </row>
    <row r="292">
      <c r="A292" s="1" t="s">
        <v>11</v>
      </c>
      <c r="B292" s="1" t="s">
        <v>355</v>
      </c>
      <c r="C292" s="1" t="s">
        <v>18</v>
      </c>
      <c r="D292" s="1" t="s">
        <v>109</v>
      </c>
      <c r="E292" s="1" t="s">
        <v>110</v>
      </c>
      <c r="F292" s="1" t="s">
        <v>59</v>
      </c>
      <c r="G292" s="1">
        <v>35.5</v>
      </c>
      <c r="H292" s="1" t="s">
        <v>60</v>
      </c>
      <c r="I292" s="1">
        <v>-116.0</v>
      </c>
      <c r="J292" s="1">
        <v>-0.0834213666482871</v>
      </c>
      <c r="K292" s="1" t="s">
        <v>61</v>
      </c>
      <c r="L292" s="1" t="s">
        <v>61</v>
      </c>
      <c r="M292" s="1" t="s">
        <v>62</v>
      </c>
      <c r="N292" s="1">
        <v>-113.0</v>
      </c>
      <c r="O292" s="1">
        <v>0.0158645450169105</v>
      </c>
      <c r="P292" s="1" t="s">
        <v>61</v>
      </c>
      <c r="Q292" s="1" t="s">
        <v>61</v>
      </c>
      <c r="R292" s="1">
        <f t="shared" si="1"/>
        <v>0.01586454502</v>
      </c>
      <c r="S292" s="1">
        <f t="shared" si="2"/>
        <v>-113</v>
      </c>
      <c r="T292" s="1">
        <f t="shared" si="3"/>
        <v>1.884955752</v>
      </c>
      <c r="U292" s="1">
        <f t="shared" si="4"/>
        <v>0</v>
      </c>
      <c r="V292" s="3">
        <f t="shared" si="5"/>
        <v>1</v>
      </c>
      <c r="W292" s="3">
        <f t="shared" si="6"/>
        <v>2</v>
      </c>
      <c r="X292" s="3" t="str">
        <f>IFERROR(__xludf.DUMMYFUNCTION("split(B292,"" "")"),"D.")</f>
        <v>D.</v>
      </c>
      <c r="Y292" s="3" t="str">
        <f>IFERROR(__xludf.DUMMYFUNCTION("""COMPUTED_VALUE"""),"Mooney")</f>
        <v>Mooney</v>
      </c>
      <c r="AA292" s="3">
        <v>15.0</v>
      </c>
      <c r="AB292" s="3">
        <f t="shared" si="7"/>
        <v>0</v>
      </c>
      <c r="AC292" s="3">
        <f t="shared" si="8"/>
        <v>1</v>
      </c>
      <c r="AD292" s="3">
        <f t="shared" si="9"/>
        <v>0.8849557522</v>
      </c>
      <c r="AE292" s="3">
        <f t="shared" si="10"/>
        <v>0.8849557522</v>
      </c>
      <c r="AF292" s="3">
        <f t="shared" si="11"/>
        <v>1.769911504</v>
      </c>
      <c r="AG292" s="3">
        <f t="shared" si="12"/>
        <v>0.5774647887</v>
      </c>
    </row>
    <row r="293">
      <c r="A293" s="1" t="s">
        <v>11</v>
      </c>
      <c r="B293" s="1" t="s">
        <v>357</v>
      </c>
      <c r="C293" s="1" t="s">
        <v>18</v>
      </c>
      <c r="D293" s="1" t="s">
        <v>57</v>
      </c>
      <c r="E293" s="1" t="s">
        <v>58</v>
      </c>
      <c r="F293" s="1" t="s">
        <v>59</v>
      </c>
      <c r="G293" s="1">
        <v>15.5</v>
      </c>
      <c r="H293" s="1" t="s">
        <v>60</v>
      </c>
      <c r="I293" s="1">
        <v>-113.0</v>
      </c>
      <c r="J293" s="1">
        <v>0.00992965112841304</v>
      </c>
      <c r="K293" s="1" t="s">
        <v>61</v>
      </c>
      <c r="L293" s="1" t="s">
        <v>61</v>
      </c>
      <c r="M293" s="1" t="s">
        <v>62</v>
      </c>
      <c r="N293" s="1">
        <v>-118.0</v>
      </c>
      <c r="O293" s="1">
        <v>-0.0817222408927309</v>
      </c>
      <c r="P293" s="1" t="s">
        <v>61</v>
      </c>
      <c r="Q293" s="1" t="s">
        <v>61</v>
      </c>
      <c r="R293" s="1">
        <f t="shared" si="1"/>
        <v>0.009929651128</v>
      </c>
      <c r="S293" s="1">
        <f t="shared" si="2"/>
        <v>-113</v>
      </c>
      <c r="T293" s="1">
        <f t="shared" si="3"/>
        <v>1.884955752</v>
      </c>
      <c r="U293" s="1">
        <f t="shared" si="4"/>
        <v>1</v>
      </c>
      <c r="V293" s="3">
        <f t="shared" si="5"/>
        <v>1</v>
      </c>
      <c r="W293" s="3">
        <f t="shared" si="6"/>
        <v>2</v>
      </c>
      <c r="X293" s="3" t="str">
        <f>IFERROR(__xludf.DUMMYFUNCTION("split(B293,"" "")"),"X.")</f>
        <v>X.</v>
      </c>
      <c r="Y293" s="3" t="str">
        <f>IFERROR(__xludf.DUMMYFUNCTION("""COMPUTED_VALUE"""),"Legette")</f>
        <v>Legette</v>
      </c>
      <c r="AA293" s="3">
        <v>35.0</v>
      </c>
      <c r="AB293" s="3">
        <f t="shared" si="7"/>
        <v>1</v>
      </c>
      <c r="AC293" s="3">
        <f t="shared" si="8"/>
        <v>1</v>
      </c>
      <c r="AD293" s="3">
        <f t="shared" si="9"/>
        <v>0.8849557522</v>
      </c>
      <c r="AE293" s="3">
        <f t="shared" si="10"/>
        <v>0.8849557522</v>
      </c>
      <c r="AF293" s="3">
        <f t="shared" si="11"/>
        <v>1.769911504</v>
      </c>
      <c r="AG293" s="3">
        <f t="shared" si="12"/>
        <v>1.258064516</v>
      </c>
    </row>
    <row r="294">
      <c r="A294" s="1" t="s">
        <v>8</v>
      </c>
      <c r="B294" s="1" t="s">
        <v>359</v>
      </c>
      <c r="C294" s="1" t="s">
        <v>19</v>
      </c>
      <c r="D294" s="1" t="s">
        <v>72</v>
      </c>
      <c r="E294" s="1" t="s">
        <v>71</v>
      </c>
      <c r="F294" s="1" t="s">
        <v>59</v>
      </c>
      <c r="G294" s="1">
        <v>15.5</v>
      </c>
      <c r="H294" s="1" t="s">
        <v>60</v>
      </c>
      <c r="I294" s="1">
        <v>-113.0</v>
      </c>
      <c r="J294" s="1">
        <v>0.00547829915492958</v>
      </c>
      <c r="K294" s="1" t="s">
        <v>61</v>
      </c>
      <c r="L294" s="1" t="s">
        <v>61</v>
      </c>
      <c r="M294" s="1" t="s">
        <v>62</v>
      </c>
      <c r="N294" s="1">
        <v>-117.0</v>
      </c>
      <c r="O294" s="1">
        <v>-0.0751792992276498</v>
      </c>
      <c r="P294" s="1" t="s">
        <v>61</v>
      </c>
      <c r="Q294" s="1" t="s">
        <v>61</v>
      </c>
      <c r="R294" s="1">
        <f t="shared" si="1"/>
        <v>0.005478299155</v>
      </c>
      <c r="S294" s="1">
        <f t="shared" si="2"/>
        <v>-113</v>
      </c>
      <c r="T294" s="1">
        <f t="shared" si="3"/>
        <v>1.884955752</v>
      </c>
      <c r="U294" s="1">
        <f t="shared" si="4"/>
        <v>1</v>
      </c>
      <c r="V294" s="3">
        <f t="shared" si="5"/>
        <v>1</v>
      </c>
      <c r="W294" s="3">
        <f t="shared" si="6"/>
        <v>2</v>
      </c>
      <c r="X294" s="3" t="str">
        <f>IFERROR(__xludf.DUMMYFUNCTION("split(B294,"" "")"),"J.")</f>
        <v>J.</v>
      </c>
      <c r="Y294" s="3" t="str">
        <f>IFERROR(__xludf.DUMMYFUNCTION("""COMPUTED_VALUE"""),"Mixon")</f>
        <v>Mixon</v>
      </c>
      <c r="AA294" s="3">
        <v>30.0</v>
      </c>
      <c r="AB294" s="3">
        <f t="shared" si="7"/>
        <v>1</v>
      </c>
      <c r="AC294" s="3">
        <f t="shared" si="8"/>
        <v>1</v>
      </c>
      <c r="AD294" s="3">
        <f t="shared" si="9"/>
        <v>0.8849557522</v>
      </c>
      <c r="AE294" s="3">
        <f t="shared" si="10"/>
        <v>0.8849557522</v>
      </c>
      <c r="AF294" s="3">
        <f t="shared" si="11"/>
        <v>1.769911504</v>
      </c>
      <c r="AG294" s="3">
        <f t="shared" si="12"/>
        <v>0.935483871</v>
      </c>
    </row>
    <row r="295">
      <c r="A295" s="1" t="s">
        <v>10</v>
      </c>
      <c r="B295" s="1" t="s">
        <v>361</v>
      </c>
      <c r="C295" s="1" t="s">
        <v>19</v>
      </c>
      <c r="D295" s="1" t="s">
        <v>82</v>
      </c>
      <c r="E295" s="1" t="s">
        <v>83</v>
      </c>
      <c r="F295" s="1" t="s">
        <v>84</v>
      </c>
      <c r="G295" s="1">
        <v>24.5</v>
      </c>
      <c r="H295" s="1" t="s">
        <v>60</v>
      </c>
      <c r="I295" s="1">
        <v>-117.0</v>
      </c>
      <c r="J295" s="1">
        <v>-0.0749538062947933</v>
      </c>
      <c r="K295" s="1" t="s">
        <v>61</v>
      </c>
      <c r="L295" s="1" t="s">
        <v>61</v>
      </c>
      <c r="M295" s="1" t="s">
        <v>62</v>
      </c>
      <c r="N295" s="1">
        <v>-113.0</v>
      </c>
      <c r="O295" s="1">
        <v>0.00527946404481816</v>
      </c>
      <c r="P295" s="1" t="s">
        <v>61</v>
      </c>
      <c r="Q295" s="1" t="s">
        <v>61</v>
      </c>
      <c r="R295" s="1">
        <f t="shared" si="1"/>
        <v>0.005279464045</v>
      </c>
      <c r="S295" s="1">
        <f t="shared" si="2"/>
        <v>-113</v>
      </c>
      <c r="T295" s="1">
        <f t="shared" si="3"/>
        <v>1.884955752</v>
      </c>
      <c r="U295" s="1">
        <f t="shared" si="4"/>
        <v>0</v>
      </c>
      <c r="V295" s="3">
        <f t="shared" si="5"/>
        <v>1</v>
      </c>
      <c r="W295" s="3">
        <f t="shared" si="6"/>
        <v>2</v>
      </c>
      <c r="X295" s="3" t="str">
        <f>IFERROR(__xludf.DUMMYFUNCTION("split(B295,"" "")"),"Z.")</f>
        <v>Z.</v>
      </c>
      <c r="Y295" s="3" t="str">
        <f>IFERROR(__xludf.DUMMYFUNCTION("""COMPUTED_VALUE"""),"Charbonnet")</f>
        <v>Charbonnet</v>
      </c>
      <c r="AA295" s="3">
        <v>12.0</v>
      </c>
      <c r="AB295" s="3">
        <f t="shared" si="7"/>
        <v>0</v>
      </c>
      <c r="AC295" s="3">
        <f t="shared" si="8"/>
        <v>1</v>
      </c>
      <c r="AD295" s="3">
        <f t="shared" si="9"/>
        <v>0.8849557522</v>
      </c>
      <c r="AE295" s="3">
        <f t="shared" si="10"/>
        <v>0.8849557522</v>
      </c>
      <c r="AF295" s="3">
        <f t="shared" si="11"/>
        <v>1.769911504</v>
      </c>
      <c r="AG295" s="3">
        <f t="shared" si="12"/>
        <v>0.5102040816</v>
      </c>
    </row>
    <row r="296">
      <c r="A296" s="1" t="s">
        <v>11</v>
      </c>
      <c r="B296" s="1" t="s">
        <v>131</v>
      </c>
      <c r="C296" s="1" t="s">
        <v>18</v>
      </c>
      <c r="D296" s="1" t="s">
        <v>66</v>
      </c>
      <c r="E296" s="1" t="s">
        <v>67</v>
      </c>
      <c r="F296" s="1" t="s">
        <v>59</v>
      </c>
      <c r="G296" s="1">
        <v>36.5</v>
      </c>
      <c r="H296" s="1" t="s">
        <v>60</v>
      </c>
      <c r="I296" s="1">
        <v>-116.0</v>
      </c>
      <c r="J296" s="1">
        <v>-0.105408426970324</v>
      </c>
      <c r="K296" s="1" t="s">
        <v>61</v>
      </c>
      <c r="L296" s="1" t="s">
        <v>61</v>
      </c>
      <c r="M296" s="1" t="s">
        <v>62</v>
      </c>
      <c r="N296" s="1">
        <v>-114.0</v>
      </c>
      <c r="O296" s="1">
        <v>0.0356856866889562</v>
      </c>
      <c r="P296" s="1" t="s">
        <v>61</v>
      </c>
      <c r="Q296" s="1" t="s">
        <v>61</v>
      </c>
      <c r="R296" s="1">
        <f t="shared" si="1"/>
        <v>0.03568568669</v>
      </c>
      <c r="S296" s="1">
        <f t="shared" si="2"/>
        <v>-114</v>
      </c>
      <c r="T296" s="1">
        <f t="shared" si="3"/>
        <v>1.877192982</v>
      </c>
      <c r="U296" s="1">
        <f t="shared" si="4"/>
        <v>0</v>
      </c>
      <c r="V296" s="3">
        <f t="shared" si="5"/>
        <v>1</v>
      </c>
      <c r="W296" s="3">
        <f t="shared" si="6"/>
        <v>2</v>
      </c>
      <c r="X296" s="3" t="str">
        <f>IFERROR(__xludf.DUMMYFUNCTION("split(B296,"" "")"),"D.")</f>
        <v>D.</v>
      </c>
      <c r="Y296" s="3" t="str">
        <f>IFERROR(__xludf.DUMMYFUNCTION("""COMPUTED_VALUE"""),"Douglas")</f>
        <v>Douglas</v>
      </c>
      <c r="AA296" s="3">
        <v>12.0</v>
      </c>
      <c r="AB296" s="3">
        <f t="shared" si="7"/>
        <v>0</v>
      </c>
      <c r="AC296" s="3">
        <f t="shared" si="8"/>
        <v>1</v>
      </c>
      <c r="AD296" s="3">
        <f t="shared" si="9"/>
        <v>0.8771929825</v>
      </c>
      <c r="AE296" s="3">
        <f t="shared" si="10"/>
        <v>0.8771929825</v>
      </c>
      <c r="AF296" s="3">
        <f t="shared" si="11"/>
        <v>1.754385965</v>
      </c>
      <c r="AG296" s="3">
        <f t="shared" si="12"/>
        <v>0.6712328767</v>
      </c>
    </row>
    <row r="297">
      <c r="A297" s="1" t="s">
        <v>10</v>
      </c>
      <c r="B297" s="1" t="s">
        <v>127</v>
      </c>
      <c r="C297" s="1" t="s">
        <v>19</v>
      </c>
      <c r="D297" s="1" t="s">
        <v>83</v>
      </c>
      <c r="E297" s="1" t="s">
        <v>82</v>
      </c>
      <c r="F297" s="1" t="s">
        <v>84</v>
      </c>
      <c r="G297" s="1">
        <v>50.5</v>
      </c>
      <c r="H297" s="1" t="s">
        <v>60</v>
      </c>
      <c r="I297" s="1">
        <v>-118.0</v>
      </c>
      <c r="J297" s="1">
        <v>-0.103039095918529</v>
      </c>
      <c r="K297" s="1" t="s">
        <v>61</v>
      </c>
      <c r="L297" s="1" t="s">
        <v>61</v>
      </c>
      <c r="M297" s="1" t="s">
        <v>62</v>
      </c>
      <c r="N297" s="1">
        <v>-114.0</v>
      </c>
      <c r="O297" s="1">
        <v>0.0290047809484302</v>
      </c>
      <c r="P297" s="1" t="s">
        <v>61</v>
      </c>
      <c r="Q297" s="1" t="s">
        <v>61</v>
      </c>
      <c r="R297" s="1">
        <f t="shared" si="1"/>
        <v>0.02900478095</v>
      </c>
      <c r="S297" s="1">
        <f t="shared" si="2"/>
        <v>-114</v>
      </c>
      <c r="T297" s="1">
        <f t="shared" si="3"/>
        <v>1.877192982</v>
      </c>
      <c r="U297" s="1">
        <f t="shared" si="4"/>
        <v>0</v>
      </c>
      <c r="V297" s="3">
        <f t="shared" si="5"/>
        <v>1</v>
      </c>
      <c r="W297" s="3">
        <f t="shared" si="6"/>
        <v>2</v>
      </c>
      <c r="X297" s="3" t="str">
        <f>IFERROR(__xludf.DUMMYFUNCTION("split(B297,"" "")"),"J.")</f>
        <v>J.</v>
      </c>
      <c r="Y297" s="3" t="str">
        <f>IFERROR(__xludf.DUMMYFUNCTION("""COMPUTED_VALUE"""),"Williams")</f>
        <v>Williams</v>
      </c>
      <c r="AA297" s="3">
        <v>23.0</v>
      </c>
      <c r="AB297" s="3">
        <f t="shared" si="7"/>
        <v>0</v>
      </c>
      <c r="AC297" s="3">
        <f t="shared" si="8"/>
        <v>1</v>
      </c>
      <c r="AD297" s="3">
        <f t="shared" si="9"/>
        <v>0.8771929825</v>
      </c>
      <c r="AE297" s="3">
        <f t="shared" si="10"/>
        <v>0.8771929825</v>
      </c>
      <c r="AF297" s="3">
        <f t="shared" si="11"/>
        <v>1.754385965</v>
      </c>
      <c r="AG297" s="3">
        <f t="shared" si="12"/>
        <v>0.5445544554</v>
      </c>
    </row>
    <row r="298">
      <c r="A298" s="1" t="s">
        <v>11</v>
      </c>
      <c r="B298" s="1" t="s">
        <v>363</v>
      </c>
      <c r="C298" s="1" t="s">
        <v>20</v>
      </c>
      <c r="D298" s="1" t="s">
        <v>93</v>
      </c>
      <c r="E298" s="1" t="s">
        <v>94</v>
      </c>
      <c r="F298" s="1" t="s">
        <v>59</v>
      </c>
      <c r="G298" s="1">
        <v>43.5</v>
      </c>
      <c r="H298" s="1" t="s">
        <v>60</v>
      </c>
      <c r="I298" s="1">
        <v>-114.0</v>
      </c>
      <c r="J298" s="1">
        <v>-0.0899248501029906</v>
      </c>
      <c r="K298" s="1" t="s">
        <v>61</v>
      </c>
      <c r="L298" s="1" t="s">
        <v>61</v>
      </c>
      <c r="M298" s="1" t="s">
        <v>62</v>
      </c>
      <c r="N298" s="1">
        <v>-114.0</v>
      </c>
      <c r="O298" s="1">
        <v>0.0245750982010095</v>
      </c>
      <c r="P298" s="1" t="s">
        <v>61</v>
      </c>
      <c r="Q298" s="1" t="s">
        <v>61</v>
      </c>
      <c r="R298" s="1">
        <f t="shared" si="1"/>
        <v>0.0245750982</v>
      </c>
      <c r="S298" s="1">
        <f t="shared" si="2"/>
        <v>-114</v>
      </c>
      <c r="T298" s="1">
        <f t="shared" si="3"/>
        <v>1.877192982</v>
      </c>
      <c r="U298" s="1">
        <f t="shared" si="4"/>
        <v>0</v>
      </c>
      <c r="V298" s="3">
        <f t="shared" si="5"/>
        <v>1</v>
      </c>
      <c r="W298" s="3">
        <f t="shared" si="6"/>
        <v>2</v>
      </c>
      <c r="X298" s="3" t="str">
        <f>IFERROR(__xludf.DUMMYFUNCTION("split(B298,"" "")"),"E.")</f>
        <v>E.</v>
      </c>
      <c r="Y298" s="3" t="str">
        <f>IFERROR(__xludf.DUMMYFUNCTION("""COMPUTED_VALUE"""),"Engram")</f>
        <v>Engram</v>
      </c>
      <c r="AA298" s="3">
        <v>5.0</v>
      </c>
      <c r="AB298" s="3">
        <f t="shared" si="7"/>
        <v>0</v>
      </c>
      <c r="AC298" s="3">
        <f t="shared" si="8"/>
        <v>1</v>
      </c>
      <c r="AD298" s="3">
        <f t="shared" si="9"/>
        <v>0.8771929825</v>
      </c>
      <c r="AE298" s="3">
        <f t="shared" si="10"/>
        <v>0.8771929825</v>
      </c>
      <c r="AF298" s="3">
        <f t="shared" si="11"/>
        <v>1.754385965</v>
      </c>
      <c r="AG298" s="3">
        <f t="shared" si="12"/>
        <v>0.8850574713</v>
      </c>
    </row>
    <row r="299">
      <c r="A299" s="1" t="s">
        <v>13</v>
      </c>
      <c r="B299" s="1" t="s">
        <v>275</v>
      </c>
      <c r="C299" s="1" t="s">
        <v>21</v>
      </c>
      <c r="D299" s="1" t="s">
        <v>100</v>
      </c>
      <c r="E299" s="1" t="s">
        <v>99</v>
      </c>
      <c r="F299" s="1" t="s">
        <v>59</v>
      </c>
      <c r="G299" s="1">
        <v>234.0</v>
      </c>
      <c r="H299" s="1" t="s">
        <v>60</v>
      </c>
      <c r="I299" s="1">
        <v>-117.0</v>
      </c>
      <c r="J299" s="1">
        <v>-0.0952147465437789</v>
      </c>
      <c r="K299" s="1" t="s">
        <v>61</v>
      </c>
      <c r="L299" s="1" t="s">
        <v>61</v>
      </c>
      <c r="M299" s="1" t="s">
        <v>62</v>
      </c>
      <c r="N299" s="1">
        <v>-114.0</v>
      </c>
      <c r="O299" s="1">
        <v>0.0235280373831778</v>
      </c>
      <c r="P299" s="1" t="s">
        <v>61</v>
      </c>
      <c r="Q299" s="1" t="s">
        <v>61</v>
      </c>
      <c r="R299" s="1">
        <f t="shared" si="1"/>
        <v>0.02352803738</v>
      </c>
      <c r="S299" s="1">
        <f t="shared" si="2"/>
        <v>-114</v>
      </c>
      <c r="T299" s="1">
        <f t="shared" si="3"/>
        <v>1.877192982</v>
      </c>
      <c r="U299" s="1">
        <f t="shared" si="4"/>
        <v>0</v>
      </c>
      <c r="V299" s="3">
        <f t="shared" si="5"/>
        <v>1</v>
      </c>
      <c r="W299" s="3">
        <f t="shared" si="6"/>
        <v>2</v>
      </c>
      <c r="X299" s="3" t="str">
        <f>IFERROR(__xludf.DUMMYFUNCTION("split(B299,"" "")"),"W.")</f>
        <v>W.</v>
      </c>
      <c r="Y299" s="3" t="str">
        <f>IFERROR(__xludf.DUMMYFUNCTION("""COMPUTED_VALUE"""),"Levis")</f>
        <v>Levis</v>
      </c>
      <c r="AA299" s="3">
        <v>127.0</v>
      </c>
      <c r="AB299" s="3">
        <f t="shared" si="7"/>
        <v>0</v>
      </c>
      <c r="AC299" s="3">
        <f t="shared" si="8"/>
        <v>1</v>
      </c>
      <c r="AD299" s="3">
        <f t="shared" si="9"/>
        <v>0.8771929825</v>
      </c>
      <c r="AE299" s="3">
        <f t="shared" si="10"/>
        <v>0.8771929825</v>
      </c>
      <c r="AF299" s="3">
        <f t="shared" si="11"/>
        <v>1.754385965</v>
      </c>
      <c r="AG299" s="3">
        <f t="shared" si="12"/>
        <v>0.4572649573</v>
      </c>
    </row>
    <row r="300">
      <c r="A300" s="1" t="s">
        <v>11</v>
      </c>
      <c r="B300" s="1" t="s">
        <v>366</v>
      </c>
      <c r="C300" s="1" t="s">
        <v>20</v>
      </c>
      <c r="D300" s="1" t="s">
        <v>156</v>
      </c>
      <c r="E300" s="1" t="s">
        <v>157</v>
      </c>
      <c r="F300" s="1" t="s">
        <v>158</v>
      </c>
      <c r="G300" s="1">
        <v>38.5</v>
      </c>
      <c r="H300" s="1" t="s">
        <v>60</v>
      </c>
      <c r="I300" s="1">
        <v>-114.0</v>
      </c>
      <c r="J300" s="6">
        <v>-0.0855296047602804</v>
      </c>
      <c r="K300" s="1" t="s">
        <v>61</v>
      </c>
      <c r="L300" s="1" t="s">
        <v>61</v>
      </c>
      <c r="M300" s="1" t="s">
        <v>62</v>
      </c>
      <c r="N300" s="1">
        <v>-114.0</v>
      </c>
      <c r="O300" s="6">
        <v>0.0200551260907195</v>
      </c>
      <c r="P300" s="1" t="s">
        <v>61</v>
      </c>
      <c r="Q300" s="1" t="s">
        <v>61</v>
      </c>
      <c r="R300" s="6">
        <f t="shared" si="1"/>
        <v>0.02005512609</v>
      </c>
      <c r="S300" s="1">
        <f t="shared" si="2"/>
        <v>-114</v>
      </c>
      <c r="T300" s="1">
        <f t="shared" si="3"/>
        <v>1.877192982</v>
      </c>
      <c r="U300" s="1">
        <f t="shared" si="4"/>
        <v>0</v>
      </c>
      <c r="V300" s="3">
        <f t="shared" si="5"/>
        <v>1</v>
      </c>
      <c r="W300" s="3">
        <f t="shared" si="6"/>
        <v>2</v>
      </c>
      <c r="X300" s="3" t="str">
        <f>IFERROR(__xludf.DUMMYFUNCTION("split(B300,"" "")"),"D.")</f>
        <v>D.</v>
      </c>
      <c r="Y300" s="3" t="str">
        <f>IFERROR(__xludf.DUMMYFUNCTION("""COMPUTED_VALUE"""),"Goedert")</f>
        <v>Goedert</v>
      </c>
      <c r="AA300" s="3">
        <v>31.0</v>
      </c>
      <c r="AB300" s="3">
        <f t="shared" si="7"/>
        <v>0</v>
      </c>
      <c r="AC300" s="3">
        <f t="shared" si="8"/>
        <v>1</v>
      </c>
      <c r="AD300" s="3">
        <f t="shared" si="9"/>
        <v>0.8771929825</v>
      </c>
      <c r="AE300" s="3">
        <f t="shared" si="10"/>
        <v>0.8771929825</v>
      </c>
      <c r="AF300" s="3">
        <f t="shared" si="11"/>
        <v>1.754385965</v>
      </c>
      <c r="AG300" s="3">
        <f t="shared" si="12"/>
        <v>0.1948051948</v>
      </c>
    </row>
    <row r="301">
      <c r="A301" s="1" t="s">
        <v>10</v>
      </c>
      <c r="B301" s="1" t="s">
        <v>266</v>
      </c>
      <c r="C301" s="1" t="s">
        <v>19</v>
      </c>
      <c r="D301" s="1" t="s">
        <v>57</v>
      </c>
      <c r="E301" s="1" t="s">
        <v>58</v>
      </c>
      <c r="F301" s="1" t="s">
        <v>59</v>
      </c>
      <c r="G301" s="1">
        <v>54.5</v>
      </c>
      <c r="H301" s="1" t="s">
        <v>60</v>
      </c>
      <c r="I301" s="1">
        <v>-118.0</v>
      </c>
      <c r="J301" s="1">
        <v>-0.0877034855910413</v>
      </c>
      <c r="K301" s="1" t="s">
        <v>61</v>
      </c>
      <c r="L301" s="1" t="s">
        <v>61</v>
      </c>
      <c r="M301" s="1" t="s">
        <v>62</v>
      </c>
      <c r="N301" s="1">
        <v>-114.0</v>
      </c>
      <c r="O301" s="1">
        <v>0.0136776213851195</v>
      </c>
      <c r="P301" s="1" t="s">
        <v>61</v>
      </c>
      <c r="Q301" s="1" t="s">
        <v>61</v>
      </c>
      <c r="R301" s="1">
        <f t="shared" si="1"/>
        <v>0.01367762139</v>
      </c>
      <c r="S301" s="1">
        <f t="shared" si="2"/>
        <v>-114</v>
      </c>
      <c r="T301" s="1">
        <f t="shared" si="3"/>
        <v>1.877192982</v>
      </c>
      <c r="U301" s="1">
        <f t="shared" si="4"/>
        <v>0</v>
      </c>
      <c r="V301" s="3">
        <f t="shared" si="5"/>
        <v>1</v>
      </c>
      <c r="W301" s="3">
        <f t="shared" si="6"/>
        <v>2</v>
      </c>
      <c r="X301" s="3" t="str">
        <f>IFERROR(__xludf.DUMMYFUNCTION("split(B301,"" "")"),"C.")</f>
        <v>C.</v>
      </c>
      <c r="Y301" s="3" t="str">
        <f>IFERROR(__xludf.DUMMYFUNCTION("""COMPUTED_VALUE"""),"Hubbard")</f>
        <v>Hubbard</v>
      </c>
      <c r="AA301" s="3">
        <v>14.0</v>
      </c>
      <c r="AB301" s="3">
        <f t="shared" si="7"/>
        <v>0</v>
      </c>
      <c r="AC301" s="3">
        <f t="shared" si="8"/>
        <v>1</v>
      </c>
      <c r="AD301" s="3">
        <f t="shared" si="9"/>
        <v>0.8771929825</v>
      </c>
      <c r="AE301" s="3">
        <f t="shared" si="10"/>
        <v>0.8771929825</v>
      </c>
      <c r="AF301" s="3">
        <f t="shared" si="11"/>
        <v>1.754385965</v>
      </c>
      <c r="AG301" s="3">
        <f t="shared" si="12"/>
        <v>0.7431192661</v>
      </c>
    </row>
    <row r="302">
      <c r="A302" s="1" t="s">
        <v>9</v>
      </c>
      <c r="B302" s="1" t="s">
        <v>368</v>
      </c>
      <c r="C302" s="1" t="s">
        <v>19</v>
      </c>
      <c r="D302" s="1" t="s">
        <v>196</v>
      </c>
      <c r="E302" s="1" t="s">
        <v>197</v>
      </c>
      <c r="F302" s="1" t="s">
        <v>198</v>
      </c>
      <c r="G302" s="1">
        <v>79.5</v>
      </c>
      <c r="H302" s="1" t="s">
        <v>60</v>
      </c>
      <c r="I302" s="1">
        <v>-117.0</v>
      </c>
      <c r="J302" s="1">
        <v>-0.0845808718230478</v>
      </c>
      <c r="K302" s="1" t="s">
        <v>61</v>
      </c>
      <c r="L302" s="1" t="s">
        <v>61</v>
      </c>
      <c r="M302" s="1" t="s">
        <v>62</v>
      </c>
      <c r="N302" s="1">
        <v>-114.0</v>
      </c>
      <c r="O302" s="1">
        <v>0.0127328975307735</v>
      </c>
      <c r="P302" s="1" t="s">
        <v>61</v>
      </c>
      <c r="Q302" s="1" t="s">
        <v>61</v>
      </c>
      <c r="R302" s="1">
        <f t="shared" si="1"/>
        <v>0.01273289753</v>
      </c>
      <c r="S302" s="1">
        <f t="shared" si="2"/>
        <v>-114</v>
      </c>
      <c r="T302" s="1">
        <f t="shared" si="3"/>
        <v>1.877192982</v>
      </c>
      <c r="U302" s="1">
        <f t="shared" si="4"/>
        <v>0</v>
      </c>
      <c r="V302" s="3">
        <f t="shared" si="5"/>
        <v>1</v>
      </c>
      <c r="W302" s="3">
        <f t="shared" si="6"/>
        <v>2</v>
      </c>
      <c r="X302" s="3" t="str">
        <f>IFERROR(__xludf.DUMMYFUNCTION("split(B302,"" "")"),"K.")</f>
        <v>K.</v>
      </c>
      <c r="Y302" s="3" t="str">
        <f>IFERROR(__xludf.DUMMYFUNCTION("""COMPUTED_VALUE"""),"Williams")</f>
        <v>Williams</v>
      </c>
      <c r="AA302" s="3">
        <v>54.0</v>
      </c>
      <c r="AB302" s="3">
        <f t="shared" si="7"/>
        <v>0</v>
      </c>
      <c r="AC302" s="3">
        <f t="shared" si="8"/>
        <v>1</v>
      </c>
      <c r="AD302" s="3">
        <f t="shared" si="9"/>
        <v>0.8771929825</v>
      </c>
      <c r="AE302" s="3">
        <f t="shared" si="10"/>
        <v>0.8771929825</v>
      </c>
      <c r="AF302" s="3">
        <f t="shared" si="11"/>
        <v>1.754385965</v>
      </c>
      <c r="AG302" s="3">
        <f t="shared" si="12"/>
        <v>0.320754717</v>
      </c>
    </row>
    <row r="303">
      <c r="A303" s="1" t="s">
        <v>11</v>
      </c>
      <c r="B303" s="1" t="s">
        <v>140</v>
      </c>
      <c r="C303" s="1" t="s">
        <v>20</v>
      </c>
      <c r="D303" s="1" t="s">
        <v>66</v>
      </c>
      <c r="E303" s="1" t="s">
        <v>67</v>
      </c>
      <c r="F303" s="1" t="s">
        <v>59</v>
      </c>
      <c r="G303" s="1">
        <v>27.0</v>
      </c>
      <c r="H303" s="1" t="s">
        <v>60</v>
      </c>
      <c r="I303" s="1">
        <v>-117.0</v>
      </c>
      <c r="J303" s="1">
        <v>-0.0808679066247926</v>
      </c>
      <c r="K303" s="1" t="s">
        <v>61</v>
      </c>
      <c r="L303" s="1" t="s">
        <v>61</v>
      </c>
      <c r="M303" s="1" t="s">
        <v>62</v>
      </c>
      <c r="N303" s="1">
        <v>-114.0</v>
      </c>
      <c r="O303" s="1">
        <v>0.0100317885086038</v>
      </c>
      <c r="P303" s="1" t="s">
        <v>61</v>
      </c>
      <c r="Q303" s="1" t="s">
        <v>61</v>
      </c>
      <c r="R303" s="1">
        <f t="shared" si="1"/>
        <v>0.01003178851</v>
      </c>
      <c r="S303" s="1">
        <f t="shared" si="2"/>
        <v>-114</v>
      </c>
      <c r="T303" s="1">
        <f t="shared" si="3"/>
        <v>1.877192982</v>
      </c>
      <c r="U303" s="1">
        <f t="shared" si="4"/>
        <v>0</v>
      </c>
      <c r="V303" s="3">
        <f t="shared" si="5"/>
        <v>1</v>
      </c>
      <c r="W303" s="3">
        <f t="shared" si="6"/>
        <v>2</v>
      </c>
      <c r="X303" s="3" t="str">
        <f>IFERROR(__xludf.DUMMYFUNCTION("split(B303,"" "")"),"H.")</f>
        <v>H.</v>
      </c>
      <c r="Y303" s="3" t="str">
        <f>IFERROR(__xludf.DUMMYFUNCTION("""COMPUTED_VALUE"""),"Henry")</f>
        <v>Henry</v>
      </c>
      <c r="AA303" s="3">
        <v>18.0</v>
      </c>
      <c r="AB303" s="3">
        <f t="shared" si="7"/>
        <v>0</v>
      </c>
      <c r="AC303" s="3">
        <f t="shared" si="8"/>
        <v>1</v>
      </c>
      <c r="AD303" s="3">
        <f t="shared" si="9"/>
        <v>0.8771929825</v>
      </c>
      <c r="AE303" s="3">
        <f t="shared" si="10"/>
        <v>0.8771929825</v>
      </c>
      <c r="AF303" s="3">
        <f t="shared" si="11"/>
        <v>1.754385965</v>
      </c>
      <c r="AG303" s="3">
        <f t="shared" si="12"/>
        <v>0.3333333333</v>
      </c>
    </row>
    <row r="304">
      <c r="A304" s="1" t="s">
        <v>14</v>
      </c>
      <c r="B304" s="1" t="s">
        <v>262</v>
      </c>
      <c r="C304" s="1" t="s">
        <v>21</v>
      </c>
      <c r="D304" s="1" t="s">
        <v>164</v>
      </c>
      <c r="E304" s="1" t="s">
        <v>165</v>
      </c>
      <c r="F304" s="1" t="s">
        <v>166</v>
      </c>
      <c r="G304" s="1">
        <v>1.5</v>
      </c>
      <c r="H304" s="1" t="s">
        <v>60</v>
      </c>
      <c r="I304" s="1">
        <v>-118.0</v>
      </c>
      <c r="J304" s="1">
        <v>-0.0988844036697246</v>
      </c>
      <c r="K304" s="1" t="s">
        <v>61</v>
      </c>
      <c r="L304" s="1" t="s">
        <v>61</v>
      </c>
      <c r="M304" s="1" t="s">
        <v>62</v>
      </c>
      <c r="N304" s="1">
        <v>-114.0</v>
      </c>
      <c r="O304" s="1">
        <v>0.0248897196261683</v>
      </c>
      <c r="P304" s="1" t="s">
        <v>61</v>
      </c>
      <c r="Q304" s="1" t="s">
        <v>61</v>
      </c>
      <c r="R304" s="1">
        <f t="shared" si="1"/>
        <v>0.02488971963</v>
      </c>
      <c r="S304" s="1">
        <f t="shared" si="2"/>
        <v>-114</v>
      </c>
      <c r="T304" s="1">
        <f t="shared" si="3"/>
        <v>1.877192982</v>
      </c>
      <c r="U304" s="1">
        <f t="shared" si="4"/>
        <v>0</v>
      </c>
      <c r="V304" s="3">
        <f t="shared" si="5"/>
        <v>1</v>
      </c>
      <c r="W304" s="3">
        <f t="shared" si="6"/>
        <v>2</v>
      </c>
      <c r="X304" s="3" t="str">
        <f>IFERROR(__xludf.DUMMYFUNCTION("split(B304,"" "")"),"B.")</f>
        <v>B.</v>
      </c>
      <c r="Y304" s="3" t="str">
        <f>IFERROR(__xludf.DUMMYFUNCTION("""COMPUTED_VALUE"""),"Purdy")</f>
        <v>Purdy</v>
      </c>
      <c r="AA304" s="3">
        <v>0.0</v>
      </c>
      <c r="AB304" s="3">
        <f t="shared" si="7"/>
        <v>0</v>
      </c>
      <c r="AC304" s="3">
        <f t="shared" si="8"/>
        <v>1</v>
      </c>
      <c r="AD304" s="3">
        <f t="shared" si="9"/>
        <v>0.8771929825</v>
      </c>
      <c r="AE304" s="3">
        <f t="shared" si="10"/>
        <v>0.8771929825</v>
      </c>
      <c r="AF304" s="3">
        <f t="shared" si="11"/>
        <v>1.754385965</v>
      </c>
      <c r="AG304" s="3">
        <f t="shared" si="12"/>
        <v>1</v>
      </c>
    </row>
    <row r="305">
      <c r="A305" s="1" t="s">
        <v>11</v>
      </c>
      <c r="B305" s="1" t="s">
        <v>189</v>
      </c>
      <c r="C305" s="1" t="s">
        <v>18</v>
      </c>
      <c r="D305" s="1" t="s">
        <v>104</v>
      </c>
      <c r="E305" s="1" t="s">
        <v>105</v>
      </c>
      <c r="F305" s="1" t="s">
        <v>59</v>
      </c>
      <c r="G305" s="1">
        <v>45.0</v>
      </c>
      <c r="H305" s="1" t="s">
        <v>60</v>
      </c>
      <c r="I305" s="1">
        <v>-113.0</v>
      </c>
      <c r="J305" s="1">
        <v>-0.11339001418845</v>
      </c>
      <c r="K305" s="1" t="s">
        <v>61</v>
      </c>
      <c r="L305" s="1" t="s">
        <v>61</v>
      </c>
      <c r="M305" s="1" t="s">
        <v>62</v>
      </c>
      <c r="N305" s="1">
        <v>-115.0</v>
      </c>
      <c r="O305" s="1">
        <v>0.0485838337011628</v>
      </c>
      <c r="P305" s="1" t="s">
        <v>61</v>
      </c>
      <c r="Q305" s="1" t="s">
        <v>61</v>
      </c>
      <c r="R305" s="1">
        <f t="shared" si="1"/>
        <v>0.0485838337</v>
      </c>
      <c r="S305" s="1">
        <f t="shared" si="2"/>
        <v>-115</v>
      </c>
      <c r="T305" s="1">
        <f t="shared" si="3"/>
        <v>1.869565217</v>
      </c>
      <c r="U305" s="1">
        <f t="shared" si="4"/>
        <v>0</v>
      </c>
      <c r="V305" s="3">
        <f t="shared" si="5"/>
        <v>1</v>
      </c>
      <c r="W305" s="3">
        <f t="shared" si="6"/>
        <v>2</v>
      </c>
      <c r="X305" s="3" t="str">
        <f>IFERROR(__xludf.DUMMYFUNCTION("split(B305,"" "")"),"K.")</f>
        <v>K.</v>
      </c>
      <c r="Y305" s="3" t="str">
        <f>IFERROR(__xludf.DUMMYFUNCTION("""COMPUTED_VALUE"""),"Shakir")</f>
        <v>Shakir</v>
      </c>
      <c r="AA305" s="3">
        <v>42.0</v>
      </c>
      <c r="AB305" s="3">
        <f t="shared" si="7"/>
        <v>0</v>
      </c>
      <c r="AC305" s="3">
        <f t="shared" si="8"/>
        <v>1</v>
      </c>
      <c r="AD305" s="3">
        <f t="shared" si="9"/>
        <v>0.8695652174</v>
      </c>
      <c r="AE305" s="3">
        <f t="shared" si="10"/>
        <v>0.8695652174</v>
      </c>
      <c r="AF305" s="3">
        <f t="shared" si="11"/>
        <v>1.739130435</v>
      </c>
      <c r="AG305" s="3">
        <f t="shared" si="12"/>
        <v>0.06666666667</v>
      </c>
    </row>
    <row r="306">
      <c r="A306" s="1" t="s">
        <v>10</v>
      </c>
      <c r="B306" s="1" t="s">
        <v>243</v>
      </c>
      <c r="C306" s="1" t="s">
        <v>19</v>
      </c>
      <c r="D306" s="1" t="s">
        <v>156</v>
      </c>
      <c r="E306" s="1" t="s">
        <v>157</v>
      </c>
      <c r="F306" s="1" t="s">
        <v>158</v>
      </c>
      <c r="G306" s="1">
        <v>12.5</v>
      </c>
      <c r="H306" s="1" t="s">
        <v>60</v>
      </c>
      <c r="I306" s="1">
        <v>-115.0</v>
      </c>
      <c r="J306" s="6">
        <v>-0.118267529239853</v>
      </c>
      <c r="K306" s="1" t="s">
        <v>61</v>
      </c>
      <c r="L306" s="1" t="s">
        <v>61</v>
      </c>
      <c r="M306" s="1" t="s">
        <v>62</v>
      </c>
      <c r="N306" s="1">
        <v>-115.0</v>
      </c>
      <c r="O306" s="6">
        <v>0.0485126586258313</v>
      </c>
      <c r="P306" s="1" t="s">
        <v>61</v>
      </c>
      <c r="Q306" s="1" t="s">
        <v>61</v>
      </c>
      <c r="R306" s="6">
        <f t="shared" si="1"/>
        <v>0.04851265863</v>
      </c>
      <c r="S306" s="1">
        <f t="shared" si="2"/>
        <v>-115</v>
      </c>
      <c r="T306" s="1">
        <f t="shared" si="3"/>
        <v>1.869565217</v>
      </c>
      <c r="U306" s="1">
        <f t="shared" si="4"/>
        <v>0</v>
      </c>
      <c r="V306" s="3">
        <f t="shared" si="5"/>
        <v>1</v>
      </c>
      <c r="W306" s="3">
        <f t="shared" si="6"/>
        <v>2</v>
      </c>
      <c r="X306" s="3" t="str">
        <f>IFERROR(__xludf.DUMMYFUNCTION("split(B306,"" "")"),"K.")</f>
        <v>K.</v>
      </c>
      <c r="Y306" s="3" t="str">
        <f>IFERROR(__xludf.DUMMYFUNCTION("""COMPUTED_VALUE"""),"Gainwell")</f>
        <v>Gainwell</v>
      </c>
      <c r="AA306" s="3">
        <v>2.0</v>
      </c>
      <c r="AB306" s="3">
        <f t="shared" si="7"/>
        <v>0</v>
      </c>
      <c r="AC306" s="3">
        <f t="shared" si="8"/>
        <v>1</v>
      </c>
      <c r="AD306" s="3">
        <f t="shared" si="9"/>
        <v>0.8695652174</v>
      </c>
      <c r="AE306" s="3">
        <f t="shared" si="10"/>
        <v>0.8695652174</v>
      </c>
      <c r="AF306" s="3">
        <f t="shared" si="11"/>
        <v>1.739130435</v>
      </c>
      <c r="AG306" s="3">
        <f t="shared" si="12"/>
        <v>0.84</v>
      </c>
    </row>
    <row r="307">
      <c r="A307" s="1" t="s">
        <v>17</v>
      </c>
      <c r="B307" s="1" t="s">
        <v>369</v>
      </c>
      <c r="C307" s="1" t="s">
        <v>21</v>
      </c>
      <c r="D307" s="1" t="s">
        <v>72</v>
      </c>
      <c r="E307" s="1" t="s">
        <v>71</v>
      </c>
      <c r="F307" s="1" t="s">
        <v>59</v>
      </c>
      <c r="G307" s="1">
        <v>0.5</v>
      </c>
      <c r="H307" s="1" t="s">
        <v>60</v>
      </c>
      <c r="I307" s="1">
        <v>-118.0</v>
      </c>
      <c r="J307" s="1">
        <v>-0.118884403669724</v>
      </c>
      <c r="K307" s="1" t="s">
        <v>61</v>
      </c>
      <c r="L307" s="1" t="s">
        <v>61</v>
      </c>
      <c r="M307" s="1" t="s">
        <v>62</v>
      </c>
      <c r="N307" s="1">
        <v>-115.0</v>
      </c>
      <c r="O307" s="1">
        <v>0.0427162790697673</v>
      </c>
      <c r="P307" s="1" t="s">
        <v>61</v>
      </c>
      <c r="Q307" s="1" t="s">
        <v>61</v>
      </c>
      <c r="R307" s="1">
        <f t="shared" si="1"/>
        <v>0.04271627907</v>
      </c>
      <c r="S307" s="1">
        <f t="shared" si="2"/>
        <v>-115</v>
      </c>
      <c r="T307" s="1">
        <f t="shared" si="3"/>
        <v>1.869565217</v>
      </c>
      <c r="U307" s="1">
        <f t="shared" si="4"/>
        <v>0</v>
      </c>
      <c r="V307" s="3">
        <f t="shared" si="5"/>
        <v>1</v>
      </c>
      <c r="W307" s="3">
        <f t="shared" si="6"/>
        <v>2</v>
      </c>
      <c r="X307" s="3" t="str">
        <f>IFERROR(__xludf.DUMMYFUNCTION("split(B307,"" "")"),"C.")</f>
        <v>C.</v>
      </c>
      <c r="Y307" s="3" t="str">
        <f>IFERROR(__xludf.DUMMYFUNCTION("""COMPUTED_VALUE"""),"Stroud")</f>
        <v>Stroud</v>
      </c>
      <c r="AA307" s="3">
        <v>0.0</v>
      </c>
      <c r="AB307" s="3">
        <f t="shared" si="7"/>
        <v>0</v>
      </c>
      <c r="AC307" s="3">
        <f t="shared" si="8"/>
        <v>1</v>
      </c>
      <c r="AD307" s="3">
        <f t="shared" si="9"/>
        <v>0.8695652174</v>
      </c>
      <c r="AE307" s="3">
        <f t="shared" si="10"/>
        <v>0.8695652174</v>
      </c>
      <c r="AF307" s="3">
        <f t="shared" si="11"/>
        <v>1.739130435</v>
      </c>
      <c r="AG307" s="3">
        <f t="shared" si="12"/>
        <v>1</v>
      </c>
    </row>
    <row r="308">
      <c r="A308" s="1" t="s">
        <v>11</v>
      </c>
      <c r="B308" s="1" t="s">
        <v>121</v>
      </c>
      <c r="C308" s="1" t="s">
        <v>18</v>
      </c>
      <c r="D308" s="1" t="s">
        <v>93</v>
      </c>
      <c r="E308" s="1" t="s">
        <v>94</v>
      </c>
      <c r="F308" s="1" t="s">
        <v>59</v>
      </c>
      <c r="G308" s="1">
        <v>55.5</v>
      </c>
      <c r="H308" s="1" t="s">
        <v>60</v>
      </c>
      <c r="I308" s="1">
        <v>-115.0</v>
      </c>
      <c r="J308" s="1">
        <v>-0.110843820818767</v>
      </c>
      <c r="K308" s="1" t="s">
        <v>61</v>
      </c>
      <c r="L308" s="1" t="s">
        <v>61</v>
      </c>
      <c r="M308" s="1" t="s">
        <v>62</v>
      </c>
      <c r="N308" s="1">
        <v>-115.0</v>
      </c>
      <c r="O308" s="1">
        <v>0.0410551180902324</v>
      </c>
      <c r="P308" s="1" t="s">
        <v>61</v>
      </c>
      <c r="Q308" s="1" t="s">
        <v>61</v>
      </c>
      <c r="R308" s="1">
        <f t="shared" si="1"/>
        <v>0.04105511809</v>
      </c>
      <c r="S308" s="1">
        <f t="shared" si="2"/>
        <v>-115</v>
      </c>
      <c r="T308" s="1">
        <f t="shared" si="3"/>
        <v>1.869565217</v>
      </c>
      <c r="U308" s="1">
        <f t="shared" si="4"/>
        <v>0</v>
      </c>
      <c r="V308" s="3">
        <f t="shared" si="5"/>
        <v>1</v>
      </c>
      <c r="W308" s="3">
        <f t="shared" si="6"/>
        <v>2</v>
      </c>
      <c r="X308" s="3" t="str">
        <f>IFERROR(__xludf.DUMMYFUNCTION("split(B308,"" "")"),"C.")</f>
        <v>C.</v>
      </c>
      <c r="Y308" s="3" t="str">
        <f>IFERROR(__xludf.DUMMYFUNCTION("""COMPUTED_VALUE"""),"Kirk")</f>
        <v>Kirk</v>
      </c>
      <c r="AA308" s="3">
        <v>30.0</v>
      </c>
      <c r="AB308" s="3">
        <f t="shared" si="7"/>
        <v>0</v>
      </c>
      <c r="AC308" s="3">
        <f t="shared" si="8"/>
        <v>1</v>
      </c>
      <c r="AD308" s="3">
        <f t="shared" si="9"/>
        <v>0.8695652174</v>
      </c>
      <c r="AE308" s="3">
        <f t="shared" si="10"/>
        <v>0.8695652174</v>
      </c>
      <c r="AF308" s="3">
        <f t="shared" si="11"/>
        <v>1.739130435</v>
      </c>
      <c r="AG308" s="3">
        <f t="shared" si="12"/>
        <v>0.4594594595</v>
      </c>
    </row>
    <row r="309">
      <c r="A309" s="1" t="s">
        <v>12</v>
      </c>
      <c r="B309" s="1" t="s">
        <v>353</v>
      </c>
      <c r="C309" s="1" t="s">
        <v>18</v>
      </c>
      <c r="D309" s="1" t="s">
        <v>57</v>
      </c>
      <c r="E309" s="1" t="s">
        <v>58</v>
      </c>
      <c r="F309" s="1" t="s">
        <v>59</v>
      </c>
      <c r="G309" s="1">
        <v>4.5</v>
      </c>
      <c r="H309" s="1" t="s">
        <v>60</v>
      </c>
      <c r="I309" s="1">
        <v>-119.0</v>
      </c>
      <c r="J309" s="1">
        <v>-0.117633333333333</v>
      </c>
      <c r="K309" s="1" t="s">
        <v>61</v>
      </c>
      <c r="L309" s="1" t="s">
        <v>61</v>
      </c>
      <c r="M309" s="1" t="s">
        <v>62</v>
      </c>
      <c r="N309" s="1">
        <v>-115.0</v>
      </c>
      <c r="O309" s="1">
        <v>0.0393627906976743</v>
      </c>
      <c r="P309" s="1" t="s">
        <v>61</v>
      </c>
      <c r="Q309" s="1" t="s">
        <v>61</v>
      </c>
      <c r="R309" s="1">
        <f t="shared" si="1"/>
        <v>0.0393627907</v>
      </c>
      <c r="S309" s="1">
        <f t="shared" si="2"/>
        <v>-115</v>
      </c>
      <c r="T309" s="1">
        <f t="shared" si="3"/>
        <v>1.869565217</v>
      </c>
      <c r="U309" s="1">
        <f t="shared" si="4"/>
        <v>0</v>
      </c>
      <c r="V309" s="3">
        <f t="shared" si="5"/>
        <v>1</v>
      </c>
      <c r="W309" s="3">
        <f t="shared" si="6"/>
        <v>2</v>
      </c>
      <c r="X309" s="3" t="str">
        <f>IFERROR(__xludf.DUMMYFUNCTION("split(B309,"" "")"),"D.")</f>
        <v>D.</v>
      </c>
      <c r="Y309" s="3" t="str">
        <f>IFERROR(__xludf.DUMMYFUNCTION("""COMPUTED_VALUE"""),"Johnson")</f>
        <v>Johnson</v>
      </c>
      <c r="AA309" s="3">
        <v>2.0</v>
      </c>
      <c r="AB309" s="3">
        <f t="shared" si="7"/>
        <v>0</v>
      </c>
      <c r="AC309" s="3">
        <f t="shared" si="8"/>
        <v>1</v>
      </c>
      <c r="AD309" s="3">
        <f t="shared" si="9"/>
        <v>0.8695652174</v>
      </c>
      <c r="AE309" s="3">
        <f t="shared" si="10"/>
        <v>0.8695652174</v>
      </c>
      <c r="AF309" s="3">
        <f t="shared" si="11"/>
        <v>1.739130435</v>
      </c>
      <c r="AG309" s="3">
        <f t="shared" si="12"/>
        <v>0.5555555556</v>
      </c>
    </row>
    <row r="310">
      <c r="A310" s="1" t="s">
        <v>11</v>
      </c>
      <c r="B310" s="1" t="s">
        <v>371</v>
      </c>
      <c r="C310" s="1" t="s">
        <v>18</v>
      </c>
      <c r="D310" s="1" t="s">
        <v>66</v>
      </c>
      <c r="E310" s="1" t="s">
        <v>67</v>
      </c>
      <c r="F310" s="1" t="s">
        <v>59</v>
      </c>
      <c r="G310" s="1">
        <v>9.5</v>
      </c>
      <c r="H310" s="1" t="s">
        <v>60</v>
      </c>
      <c r="I310" s="1">
        <v>-115.0</v>
      </c>
      <c r="J310" s="1">
        <v>0.0345963391443171</v>
      </c>
      <c r="K310" s="1" t="s">
        <v>61</v>
      </c>
      <c r="L310" s="1" t="s">
        <v>61</v>
      </c>
      <c r="M310" s="1" t="s">
        <v>62</v>
      </c>
      <c r="N310" s="1">
        <v>-115.0</v>
      </c>
      <c r="O310" s="1">
        <v>-0.104375790015965</v>
      </c>
      <c r="P310" s="1" t="s">
        <v>61</v>
      </c>
      <c r="Q310" s="1" t="s">
        <v>61</v>
      </c>
      <c r="R310" s="1">
        <f t="shared" si="1"/>
        <v>0.03459633914</v>
      </c>
      <c r="S310" s="1">
        <f t="shared" si="2"/>
        <v>-115</v>
      </c>
      <c r="T310" s="1">
        <f t="shared" si="3"/>
        <v>1.869565217</v>
      </c>
      <c r="U310" s="1">
        <f t="shared" si="4"/>
        <v>1</v>
      </c>
      <c r="V310" s="3">
        <f t="shared" si="5"/>
        <v>1</v>
      </c>
      <c r="W310" s="3">
        <f t="shared" si="6"/>
        <v>2</v>
      </c>
      <c r="X310" s="3" t="str">
        <f>IFERROR(__xludf.DUMMYFUNCTION("split(B310,"" "")"),"T.")</f>
        <v>T.</v>
      </c>
      <c r="Y310" s="3" t="str">
        <f>IFERROR(__xludf.DUMMYFUNCTION("""COMPUTED_VALUE"""),"Thornton")</f>
        <v>Thornton</v>
      </c>
      <c r="AA310" s="3">
        <v>27.0</v>
      </c>
      <c r="AB310" s="3">
        <f t="shared" si="7"/>
        <v>1</v>
      </c>
      <c r="AC310" s="3">
        <f t="shared" si="8"/>
        <v>1</v>
      </c>
      <c r="AD310" s="3">
        <f t="shared" si="9"/>
        <v>0.8695652174</v>
      </c>
      <c r="AE310" s="3">
        <f t="shared" si="10"/>
        <v>0.8695652174</v>
      </c>
      <c r="AF310" s="3">
        <f t="shared" si="11"/>
        <v>1.739130435</v>
      </c>
      <c r="AG310" s="3">
        <f t="shared" si="12"/>
        <v>1.842105263</v>
      </c>
    </row>
    <row r="311">
      <c r="A311" s="1" t="s">
        <v>10</v>
      </c>
      <c r="B311" s="1" t="s">
        <v>373</v>
      </c>
      <c r="C311" s="1" t="s">
        <v>19</v>
      </c>
      <c r="D311" s="1" t="s">
        <v>105</v>
      </c>
      <c r="E311" s="1" t="s">
        <v>104</v>
      </c>
      <c r="F311" s="1" t="s">
        <v>59</v>
      </c>
      <c r="G311" s="1">
        <v>20.5</v>
      </c>
      <c r="H311" s="1" t="s">
        <v>60</v>
      </c>
      <c r="I311" s="1">
        <v>-115.0</v>
      </c>
      <c r="J311" s="1">
        <v>-0.101231492396803</v>
      </c>
      <c r="K311" s="1" t="s">
        <v>61</v>
      </c>
      <c r="L311" s="1" t="s">
        <v>61</v>
      </c>
      <c r="M311" s="1" t="s">
        <v>62</v>
      </c>
      <c r="N311" s="1">
        <v>-115.0</v>
      </c>
      <c r="O311" s="1">
        <v>0.0315312162563238</v>
      </c>
      <c r="P311" s="1" t="s">
        <v>61</v>
      </c>
      <c r="Q311" s="1" t="s">
        <v>61</v>
      </c>
      <c r="R311" s="1">
        <f t="shared" si="1"/>
        <v>0.03153121626</v>
      </c>
      <c r="S311" s="1">
        <f t="shared" si="2"/>
        <v>-115</v>
      </c>
      <c r="T311" s="1">
        <f t="shared" si="3"/>
        <v>1.869565217</v>
      </c>
      <c r="U311" s="1">
        <f t="shared" si="4"/>
        <v>0</v>
      </c>
      <c r="V311" s="3">
        <f t="shared" si="5"/>
        <v>1</v>
      </c>
      <c r="W311" s="3">
        <f t="shared" si="6"/>
        <v>2</v>
      </c>
      <c r="X311" s="3" t="str">
        <f>IFERROR(__xludf.DUMMYFUNCTION("split(B311,"" "")"),"T.")</f>
        <v>T.</v>
      </c>
      <c r="Y311" s="3" t="str">
        <f>IFERROR(__xludf.DUMMYFUNCTION("""COMPUTED_VALUE"""),"Benson")</f>
        <v>Benson</v>
      </c>
      <c r="AA311" s="3">
        <v>13.0</v>
      </c>
      <c r="AB311" s="3">
        <f t="shared" si="7"/>
        <v>0</v>
      </c>
      <c r="AC311" s="3">
        <f t="shared" si="8"/>
        <v>1</v>
      </c>
      <c r="AD311" s="3">
        <f t="shared" si="9"/>
        <v>0.8695652174</v>
      </c>
      <c r="AE311" s="3">
        <f t="shared" si="10"/>
        <v>0.8695652174</v>
      </c>
      <c r="AF311" s="3">
        <f t="shared" si="11"/>
        <v>1.739130435</v>
      </c>
      <c r="AG311" s="3">
        <f t="shared" si="12"/>
        <v>0.3658536585</v>
      </c>
    </row>
    <row r="312">
      <c r="A312" s="1" t="s">
        <v>11</v>
      </c>
      <c r="B312" s="1" t="s">
        <v>375</v>
      </c>
      <c r="C312" s="1" t="s">
        <v>19</v>
      </c>
      <c r="D312" s="1" t="s">
        <v>88</v>
      </c>
      <c r="E312" s="1" t="s">
        <v>89</v>
      </c>
      <c r="F312" s="1" t="s">
        <v>90</v>
      </c>
      <c r="G312" s="1">
        <v>8.5</v>
      </c>
      <c r="H312" s="1" t="s">
        <v>60</v>
      </c>
      <c r="I312" s="1">
        <v>-115.0</v>
      </c>
      <c r="J312" s="1">
        <v>0.0313055769916297</v>
      </c>
      <c r="K312" s="1" t="s">
        <v>61</v>
      </c>
      <c r="L312" s="1" t="s">
        <v>61</v>
      </c>
      <c r="M312" s="1" t="s">
        <v>62</v>
      </c>
      <c r="N312" s="1">
        <v>-115.0</v>
      </c>
      <c r="O312" s="1">
        <v>-0.101041413540374</v>
      </c>
      <c r="P312" s="1" t="s">
        <v>61</v>
      </c>
      <c r="Q312" s="1" t="s">
        <v>61</v>
      </c>
      <c r="R312" s="1">
        <f t="shared" si="1"/>
        <v>0.03130557699</v>
      </c>
      <c r="S312" s="1">
        <f t="shared" si="2"/>
        <v>-115</v>
      </c>
      <c r="T312" s="1">
        <f t="shared" si="3"/>
        <v>1.869565217</v>
      </c>
      <c r="U312" s="1">
        <f t="shared" si="4"/>
        <v>1</v>
      </c>
      <c r="V312" s="3">
        <f t="shared" si="5"/>
        <v>1</v>
      </c>
      <c r="W312" s="3">
        <f t="shared" si="6"/>
        <v>2</v>
      </c>
      <c r="X312" s="3" t="str">
        <f>IFERROR(__xludf.DUMMYFUNCTION("split(B312,"" "")"),"E.")</f>
        <v>E.</v>
      </c>
      <c r="Y312" s="3" t="str">
        <f>IFERROR(__xludf.DUMMYFUNCTION("""COMPUTED_VALUE"""),"Elliott")</f>
        <v>Elliott</v>
      </c>
      <c r="AA312" s="3">
        <v>9.0</v>
      </c>
      <c r="AB312" s="3">
        <f t="shared" si="7"/>
        <v>1</v>
      </c>
      <c r="AC312" s="3">
        <f t="shared" si="8"/>
        <v>1</v>
      </c>
      <c r="AD312" s="3">
        <f t="shared" si="9"/>
        <v>0.8695652174</v>
      </c>
      <c r="AE312" s="3">
        <f t="shared" si="10"/>
        <v>0.8695652174</v>
      </c>
      <c r="AF312" s="3">
        <f t="shared" si="11"/>
        <v>1.739130435</v>
      </c>
      <c r="AG312" s="3">
        <f t="shared" si="12"/>
        <v>0.05882352941</v>
      </c>
    </row>
    <row r="313">
      <c r="A313" s="1" t="s">
        <v>10</v>
      </c>
      <c r="B313" s="1" t="s">
        <v>280</v>
      </c>
      <c r="C313" s="1" t="s">
        <v>19</v>
      </c>
      <c r="D313" s="1" t="s">
        <v>94</v>
      </c>
      <c r="E313" s="1" t="s">
        <v>93</v>
      </c>
      <c r="F313" s="1" t="s">
        <v>59</v>
      </c>
      <c r="G313" s="1">
        <v>45.0</v>
      </c>
      <c r="H313" s="1" t="s">
        <v>60</v>
      </c>
      <c r="I313" s="1">
        <v>-116.0</v>
      </c>
      <c r="J313" s="1">
        <v>-0.101878542557198</v>
      </c>
      <c r="K313" s="1" t="s">
        <v>61</v>
      </c>
      <c r="L313" s="1" t="s">
        <v>61</v>
      </c>
      <c r="M313" s="1" t="s">
        <v>62</v>
      </c>
      <c r="N313" s="1">
        <v>-115.0</v>
      </c>
      <c r="O313" s="1">
        <v>0.0311135909716653</v>
      </c>
      <c r="P313" s="1" t="s">
        <v>61</v>
      </c>
      <c r="Q313" s="1" t="s">
        <v>61</v>
      </c>
      <c r="R313" s="1">
        <f t="shared" si="1"/>
        <v>0.03111359097</v>
      </c>
      <c r="S313" s="1">
        <f t="shared" si="2"/>
        <v>-115</v>
      </c>
      <c r="T313" s="1">
        <f t="shared" si="3"/>
        <v>1.869565217</v>
      </c>
      <c r="U313" s="1">
        <f t="shared" si="4"/>
        <v>0</v>
      </c>
      <c r="V313" s="3">
        <f t="shared" si="5"/>
        <v>1</v>
      </c>
      <c r="W313" s="3">
        <f t="shared" si="6"/>
        <v>2</v>
      </c>
      <c r="X313" s="3" t="str">
        <f>IFERROR(__xludf.DUMMYFUNCTION("split(B313,"" "")"),"R.")</f>
        <v>R.</v>
      </c>
      <c r="Y313" s="3" t="str">
        <f>IFERROR(__xludf.DUMMYFUNCTION("""COMPUTED_VALUE"""),"Mostert")</f>
        <v>Mostert</v>
      </c>
      <c r="AA313" s="3">
        <v>9.0</v>
      </c>
      <c r="AB313" s="3">
        <f t="shared" si="7"/>
        <v>0</v>
      </c>
      <c r="AC313" s="3">
        <f t="shared" si="8"/>
        <v>1</v>
      </c>
      <c r="AD313" s="3">
        <f t="shared" si="9"/>
        <v>0.8695652174</v>
      </c>
      <c r="AE313" s="3">
        <f t="shared" si="10"/>
        <v>0.8695652174</v>
      </c>
      <c r="AF313" s="3">
        <f t="shared" si="11"/>
        <v>1.739130435</v>
      </c>
      <c r="AG313" s="3">
        <f t="shared" si="12"/>
        <v>0.8</v>
      </c>
    </row>
    <row r="314">
      <c r="A314" s="1" t="s">
        <v>10</v>
      </c>
      <c r="B314" s="1" t="s">
        <v>377</v>
      </c>
      <c r="C314" s="1" t="s">
        <v>19</v>
      </c>
      <c r="D314" s="1" t="s">
        <v>146</v>
      </c>
      <c r="E314" s="1" t="s">
        <v>147</v>
      </c>
      <c r="F314" s="1" t="s">
        <v>59</v>
      </c>
      <c r="G314" s="1">
        <v>28.5</v>
      </c>
      <c r="H314" s="1" t="s">
        <v>60</v>
      </c>
      <c r="I314" s="1">
        <v>-115.0</v>
      </c>
      <c r="J314" s="1">
        <v>-0.100460111723868</v>
      </c>
      <c r="K314" s="1" t="s">
        <v>61</v>
      </c>
      <c r="L314" s="1" t="s">
        <v>61</v>
      </c>
      <c r="M314" s="1" t="s">
        <v>62</v>
      </c>
      <c r="N314" s="1">
        <v>-115.0</v>
      </c>
      <c r="O314" s="1">
        <v>0.030734128482449</v>
      </c>
      <c r="P314" s="1" t="s">
        <v>61</v>
      </c>
      <c r="Q314" s="1" t="s">
        <v>61</v>
      </c>
      <c r="R314" s="1">
        <f t="shared" si="1"/>
        <v>0.03073412848</v>
      </c>
      <c r="S314" s="1">
        <f t="shared" si="2"/>
        <v>-115</v>
      </c>
      <c r="T314" s="1">
        <f t="shared" si="3"/>
        <v>1.869565217</v>
      </c>
      <c r="U314" s="1">
        <f t="shared" si="4"/>
        <v>0</v>
      </c>
      <c r="V314" s="3">
        <f t="shared" si="5"/>
        <v>1</v>
      </c>
      <c r="W314" s="3">
        <f t="shared" si="6"/>
        <v>2</v>
      </c>
      <c r="X314" s="3" t="str">
        <f>IFERROR(__xludf.DUMMYFUNCTION("split(B314,"" "")"),"T.")</f>
        <v>T.</v>
      </c>
      <c r="Y314" s="3" t="str">
        <f>IFERROR(__xludf.DUMMYFUNCTION("""COMPUTED_VALUE"""),"Chandler")</f>
        <v>Chandler</v>
      </c>
      <c r="AA314" s="3">
        <v>17.0</v>
      </c>
      <c r="AB314" s="3">
        <f t="shared" si="7"/>
        <v>0</v>
      </c>
      <c r="AC314" s="3">
        <f t="shared" si="8"/>
        <v>1</v>
      </c>
      <c r="AD314" s="3">
        <f t="shared" si="9"/>
        <v>0.8695652174</v>
      </c>
      <c r="AE314" s="3">
        <f t="shared" si="10"/>
        <v>0.8695652174</v>
      </c>
      <c r="AF314" s="3">
        <f t="shared" si="11"/>
        <v>1.739130435</v>
      </c>
      <c r="AG314" s="3">
        <f t="shared" si="12"/>
        <v>0.4035087719</v>
      </c>
    </row>
    <row r="315">
      <c r="A315" s="1" t="s">
        <v>11</v>
      </c>
      <c r="B315" s="1" t="s">
        <v>377</v>
      </c>
      <c r="C315" s="1" t="s">
        <v>19</v>
      </c>
      <c r="D315" s="1" t="s">
        <v>146</v>
      </c>
      <c r="E315" s="1" t="s">
        <v>147</v>
      </c>
      <c r="F315" s="1" t="s">
        <v>59</v>
      </c>
      <c r="G315" s="1">
        <v>7.5</v>
      </c>
      <c r="H315" s="1" t="s">
        <v>60</v>
      </c>
      <c r="I315" s="1">
        <v>-115.0</v>
      </c>
      <c r="J315" s="1">
        <v>0.0295521520288095</v>
      </c>
      <c r="K315" s="1" t="s">
        <v>61</v>
      </c>
      <c r="L315" s="1" t="s">
        <v>61</v>
      </c>
      <c r="M315" s="1" t="s">
        <v>62</v>
      </c>
      <c r="N315" s="1">
        <v>-115.0</v>
      </c>
      <c r="O315" s="1">
        <v>-0.0992949748331311</v>
      </c>
      <c r="P315" s="1" t="s">
        <v>61</v>
      </c>
      <c r="Q315" s="1" t="s">
        <v>61</v>
      </c>
      <c r="R315" s="1">
        <f t="shared" si="1"/>
        <v>0.02955215203</v>
      </c>
      <c r="S315" s="1">
        <f t="shared" si="2"/>
        <v>-115</v>
      </c>
      <c r="T315" s="1">
        <f t="shared" si="3"/>
        <v>1.869565217</v>
      </c>
      <c r="U315" s="1">
        <f t="shared" si="4"/>
        <v>1</v>
      </c>
      <c r="V315" s="3">
        <f t="shared" si="5"/>
        <v>1</v>
      </c>
      <c r="W315" s="3">
        <f t="shared" si="6"/>
        <v>2</v>
      </c>
      <c r="X315" s="3" t="str">
        <f>IFERROR(__xludf.DUMMYFUNCTION("split(B315,"" "")"),"T.")</f>
        <v>T.</v>
      </c>
      <c r="Y315" s="3" t="str">
        <f>IFERROR(__xludf.DUMMYFUNCTION("""COMPUTED_VALUE"""),"Chandler")</f>
        <v>Chandler</v>
      </c>
      <c r="AA315" s="3">
        <v>25.0</v>
      </c>
      <c r="AB315" s="3">
        <f t="shared" si="7"/>
        <v>1</v>
      </c>
      <c r="AC315" s="3">
        <f t="shared" si="8"/>
        <v>1</v>
      </c>
      <c r="AD315" s="3">
        <f t="shared" si="9"/>
        <v>0.8695652174</v>
      </c>
      <c r="AE315" s="3">
        <f t="shared" si="10"/>
        <v>0.8695652174</v>
      </c>
      <c r="AF315" s="3">
        <f t="shared" si="11"/>
        <v>1.739130435</v>
      </c>
      <c r="AG315" s="3">
        <f t="shared" si="12"/>
        <v>2.333333333</v>
      </c>
    </row>
    <row r="316">
      <c r="A316" s="1" t="s">
        <v>10</v>
      </c>
      <c r="B316" s="1" t="s">
        <v>202</v>
      </c>
      <c r="C316" s="1" t="s">
        <v>19</v>
      </c>
      <c r="D316" s="1" t="s">
        <v>109</v>
      </c>
      <c r="E316" s="1" t="s">
        <v>110</v>
      </c>
      <c r="F316" s="1" t="s">
        <v>59</v>
      </c>
      <c r="G316" s="1">
        <v>28.5</v>
      </c>
      <c r="H316" s="1" t="s">
        <v>60</v>
      </c>
      <c r="I316" s="1">
        <v>-115.0</v>
      </c>
      <c r="J316" s="1">
        <v>-0.0985198751278889</v>
      </c>
      <c r="K316" s="1" t="s">
        <v>61</v>
      </c>
      <c r="L316" s="1" t="s">
        <v>61</v>
      </c>
      <c r="M316" s="1" t="s">
        <v>62</v>
      </c>
      <c r="N316" s="1">
        <v>-115.0</v>
      </c>
      <c r="O316" s="1">
        <v>0.0287728563970721</v>
      </c>
      <c r="P316" s="1" t="s">
        <v>61</v>
      </c>
      <c r="Q316" s="1" t="s">
        <v>61</v>
      </c>
      <c r="R316" s="1">
        <f t="shared" si="1"/>
        <v>0.0287728564</v>
      </c>
      <c r="S316" s="1">
        <f t="shared" si="2"/>
        <v>-115</v>
      </c>
      <c r="T316" s="1">
        <f t="shared" si="3"/>
        <v>1.869565217</v>
      </c>
      <c r="U316" s="1">
        <f t="shared" si="4"/>
        <v>0</v>
      </c>
      <c r="V316" s="3">
        <f t="shared" si="5"/>
        <v>1</v>
      </c>
      <c r="W316" s="3">
        <f t="shared" si="6"/>
        <v>2</v>
      </c>
      <c r="X316" s="3" t="str">
        <f>IFERROR(__xludf.DUMMYFUNCTION("split(B316,"" "")"),"T.")</f>
        <v>T.</v>
      </c>
      <c r="Y316" s="3" t="str">
        <f>IFERROR(__xludf.DUMMYFUNCTION("""COMPUTED_VALUE"""),"Allgeier")</f>
        <v>Allgeier</v>
      </c>
      <c r="AA316" s="3">
        <v>21.0</v>
      </c>
      <c r="AB316" s="3">
        <f t="shared" si="7"/>
        <v>0</v>
      </c>
      <c r="AC316" s="3">
        <f t="shared" si="8"/>
        <v>1</v>
      </c>
      <c r="AD316" s="3">
        <f t="shared" si="9"/>
        <v>0.8695652174</v>
      </c>
      <c r="AE316" s="3">
        <f t="shared" si="10"/>
        <v>0.8695652174</v>
      </c>
      <c r="AF316" s="3">
        <f t="shared" si="11"/>
        <v>1.739130435</v>
      </c>
      <c r="AG316" s="3">
        <f t="shared" si="12"/>
        <v>0.2631578947</v>
      </c>
    </row>
    <row r="317">
      <c r="A317" s="1" t="s">
        <v>11</v>
      </c>
      <c r="B317" s="1" t="s">
        <v>299</v>
      </c>
      <c r="C317" s="1" t="s">
        <v>18</v>
      </c>
      <c r="D317" s="1" t="s">
        <v>89</v>
      </c>
      <c r="E317" s="1" t="s">
        <v>88</v>
      </c>
      <c r="F317" s="1" t="s">
        <v>90</v>
      </c>
      <c r="G317" s="1">
        <v>39.5</v>
      </c>
      <c r="H317" s="1" t="s">
        <v>60</v>
      </c>
      <c r="I317" s="1">
        <v>-115.0</v>
      </c>
      <c r="J317" s="1">
        <v>-0.0983229797893024</v>
      </c>
      <c r="K317" s="1" t="s">
        <v>61</v>
      </c>
      <c r="L317" s="1" t="s">
        <v>61</v>
      </c>
      <c r="M317" s="1" t="s">
        <v>62</v>
      </c>
      <c r="N317" s="1">
        <v>-115.0</v>
      </c>
      <c r="O317" s="1">
        <v>0.0285607977926976</v>
      </c>
      <c r="P317" s="1" t="s">
        <v>61</v>
      </c>
      <c r="Q317" s="1" t="s">
        <v>61</v>
      </c>
      <c r="R317" s="1">
        <f t="shared" si="1"/>
        <v>0.02856079779</v>
      </c>
      <c r="S317" s="1">
        <f t="shared" si="2"/>
        <v>-115</v>
      </c>
      <c r="T317" s="1">
        <f t="shared" si="3"/>
        <v>1.869565217</v>
      </c>
      <c r="U317" s="1">
        <f t="shared" si="4"/>
        <v>0</v>
      </c>
      <c r="V317" s="3">
        <f t="shared" si="5"/>
        <v>1</v>
      </c>
      <c r="W317" s="3">
        <f t="shared" si="6"/>
        <v>2</v>
      </c>
      <c r="X317" s="3" t="str">
        <f>IFERROR(__xludf.DUMMYFUNCTION("split(B317,"" "")"),"J.")</f>
        <v>J.</v>
      </c>
      <c r="Y317" s="3" t="str">
        <f>IFERROR(__xludf.DUMMYFUNCTION("""COMPUTED_VALUE"""),"Jeudy")</f>
        <v>Jeudy</v>
      </c>
      <c r="AA317" s="3">
        <v>25.0</v>
      </c>
      <c r="AB317" s="3">
        <f t="shared" si="7"/>
        <v>0</v>
      </c>
      <c r="AC317" s="3">
        <f t="shared" si="8"/>
        <v>1</v>
      </c>
      <c r="AD317" s="3">
        <f t="shared" si="9"/>
        <v>0.8695652174</v>
      </c>
      <c r="AE317" s="3">
        <f t="shared" si="10"/>
        <v>0.8695652174</v>
      </c>
      <c r="AF317" s="3">
        <f t="shared" si="11"/>
        <v>1.739130435</v>
      </c>
      <c r="AG317" s="3">
        <f t="shared" si="12"/>
        <v>0.3670886076</v>
      </c>
    </row>
    <row r="318">
      <c r="A318" s="1" t="s">
        <v>9</v>
      </c>
      <c r="B318" s="1" t="s">
        <v>379</v>
      </c>
      <c r="C318" s="1" t="s">
        <v>18</v>
      </c>
      <c r="D318" s="1" t="s">
        <v>146</v>
      </c>
      <c r="E318" s="1" t="s">
        <v>147</v>
      </c>
      <c r="F318" s="1" t="s">
        <v>59</v>
      </c>
      <c r="G318" s="1">
        <v>83.0</v>
      </c>
      <c r="H318" s="1" t="s">
        <v>60</v>
      </c>
      <c r="I318" s="1">
        <v>-120.0</v>
      </c>
      <c r="J318" s="1">
        <v>-0.107054194796186</v>
      </c>
      <c r="K318" s="1" t="s">
        <v>61</v>
      </c>
      <c r="L318" s="1" t="s">
        <v>61</v>
      </c>
      <c r="M318" s="1" t="s">
        <v>62</v>
      </c>
      <c r="N318" s="1">
        <v>-115.0</v>
      </c>
      <c r="O318" s="1">
        <v>0.0273167966671407</v>
      </c>
      <c r="P318" s="1" t="s">
        <v>61</v>
      </c>
      <c r="Q318" s="1" t="s">
        <v>61</v>
      </c>
      <c r="R318" s="1">
        <f t="shared" si="1"/>
        <v>0.02731679667</v>
      </c>
      <c r="S318" s="1">
        <f t="shared" si="2"/>
        <v>-115</v>
      </c>
      <c r="T318" s="1">
        <f t="shared" si="3"/>
        <v>1.869565217</v>
      </c>
      <c r="U318" s="1">
        <f t="shared" si="4"/>
        <v>0</v>
      </c>
      <c r="V318" s="3">
        <f t="shared" si="5"/>
        <v>1</v>
      </c>
      <c r="W318" s="3">
        <f t="shared" si="6"/>
        <v>2</v>
      </c>
      <c r="X318" s="3" t="str">
        <f>IFERROR(__xludf.DUMMYFUNCTION("split(B318,"" "")"),"J.")</f>
        <v>J.</v>
      </c>
      <c r="Y318" s="3" t="str">
        <f>IFERROR(__xludf.DUMMYFUNCTION("""COMPUTED_VALUE"""),"Jefferson")</f>
        <v>Jefferson</v>
      </c>
      <c r="AA318" s="3">
        <v>59.0</v>
      </c>
      <c r="AB318" s="3">
        <f t="shared" si="7"/>
        <v>0</v>
      </c>
      <c r="AC318" s="3">
        <f t="shared" si="8"/>
        <v>1</v>
      </c>
      <c r="AD318" s="3">
        <f t="shared" si="9"/>
        <v>0.8695652174</v>
      </c>
      <c r="AE318" s="3">
        <f t="shared" si="10"/>
        <v>0.8695652174</v>
      </c>
      <c r="AF318" s="3">
        <f t="shared" si="11"/>
        <v>1.739130435</v>
      </c>
      <c r="AG318" s="3">
        <f t="shared" si="12"/>
        <v>0.2891566265</v>
      </c>
    </row>
    <row r="319">
      <c r="A319" s="1" t="s">
        <v>10</v>
      </c>
      <c r="B319" s="1" t="s">
        <v>289</v>
      </c>
      <c r="C319" s="1" t="s">
        <v>19</v>
      </c>
      <c r="D319" s="1" t="s">
        <v>94</v>
      </c>
      <c r="E319" s="1" t="s">
        <v>93</v>
      </c>
      <c r="F319" s="1" t="s">
        <v>59</v>
      </c>
      <c r="G319" s="1">
        <v>54.5</v>
      </c>
      <c r="H319" s="1" t="s">
        <v>60</v>
      </c>
      <c r="I319" s="1">
        <v>-115.0</v>
      </c>
      <c r="J319" s="1">
        <v>-0.0958951378329671</v>
      </c>
      <c r="K319" s="1" t="s">
        <v>61</v>
      </c>
      <c r="L319" s="1" t="s">
        <v>61</v>
      </c>
      <c r="M319" s="1" t="s">
        <v>62</v>
      </c>
      <c r="N319" s="1">
        <v>-115.0</v>
      </c>
      <c r="O319" s="1">
        <v>0.026112157351412</v>
      </c>
      <c r="P319" s="1" t="s">
        <v>61</v>
      </c>
      <c r="Q319" s="1" t="s">
        <v>61</v>
      </c>
      <c r="R319" s="1">
        <f t="shared" si="1"/>
        <v>0.02611215735</v>
      </c>
      <c r="S319" s="1">
        <f t="shared" si="2"/>
        <v>-115</v>
      </c>
      <c r="T319" s="1">
        <f t="shared" si="3"/>
        <v>1.869565217</v>
      </c>
      <c r="U319" s="1">
        <f t="shared" si="4"/>
        <v>0</v>
      </c>
      <c r="V319" s="3">
        <f t="shared" si="5"/>
        <v>1</v>
      </c>
      <c r="W319" s="3">
        <f t="shared" si="6"/>
        <v>2</v>
      </c>
      <c r="X319" s="3" t="str">
        <f>IFERROR(__xludf.DUMMYFUNCTION("split(B319,"" "")"),"D.")</f>
        <v>D.</v>
      </c>
      <c r="Y319" s="3" t="str">
        <f>IFERROR(__xludf.DUMMYFUNCTION("""COMPUTED_VALUE"""),"Achane")</f>
        <v>Achane</v>
      </c>
      <c r="AA319" s="3">
        <v>24.0</v>
      </c>
      <c r="AB319" s="3">
        <f t="shared" si="7"/>
        <v>0</v>
      </c>
      <c r="AC319" s="3">
        <f t="shared" si="8"/>
        <v>1</v>
      </c>
      <c r="AD319" s="3">
        <f t="shared" si="9"/>
        <v>0.8695652174</v>
      </c>
      <c r="AE319" s="3">
        <f t="shared" si="10"/>
        <v>0.8695652174</v>
      </c>
      <c r="AF319" s="3">
        <f t="shared" si="11"/>
        <v>1.739130435</v>
      </c>
      <c r="AG319" s="3">
        <f t="shared" si="12"/>
        <v>0.5596330275</v>
      </c>
    </row>
    <row r="320">
      <c r="A320" s="1" t="s">
        <v>13</v>
      </c>
      <c r="B320" s="1" t="s">
        <v>274</v>
      </c>
      <c r="C320" s="1" t="s">
        <v>21</v>
      </c>
      <c r="D320" s="1" t="s">
        <v>99</v>
      </c>
      <c r="E320" s="1" t="s">
        <v>100</v>
      </c>
      <c r="F320" s="1" t="s">
        <v>59</v>
      </c>
      <c r="G320" s="1">
        <v>242.0</v>
      </c>
      <c r="H320" s="1" t="s">
        <v>60</v>
      </c>
      <c r="I320" s="1">
        <v>-115.0</v>
      </c>
      <c r="J320" s="1">
        <v>-0.0933837209302326</v>
      </c>
      <c r="K320" s="1" t="s">
        <v>61</v>
      </c>
      <c r="L320" s="1" t="s">
        <v>61</v>
      </c>
      <c r="M320" s="1" t="s">
        <v>62</v>
      </c>
      <c r="N320" s="1">
        <v>-115.0</v>
      </c>
      <c r="O320" s="1">
        <v>0.0239162790697673</v>
      </c>
      <c r="P320" s="1" t="s">
        <v>61</v>
      </c>
      <c r="Q320" s="1" t="s">
        <v>61</v>
      </c>
      <c r="R320" s="1">
        <f t="shared" si="1"/>
        <v>0.02391627907</v>
      </c>
      <c r="S320" s="1">
        <f t="shared" si="2"/>
        <v>-115</v>
      </c>
      <c r="T320" s="1">
        <f t="shared" si="3"/>
        <v>1.869565217</v>
      </c>
      <c r="U320" s="1">
        <f t="shared" si="4"/>
        <v>0</v>
      </c>
      <c r="V320" s="3">
        <f t="shared" si="5"/>
        <v>1</v>
      </c>
      <c r="W320" s="3">
        <f t="shared" si="6"/>
        <v>2</v>
      </c>
      <c r="X320" s="3" t="str">
        <f>IFERROR(__xludf.DUMMYFUNCTION("split(B320,"" "")"),"C.")</f>
        <v>C.</v>
      </c>
      <c r="Y320" s="3" t="str">
        <f>IFERROR(__xludf.DUMMYFUNCTION("""COMPUTED_VALUE"""),"Williams")</f>
        <v>Williams</v>
      </c>
      <c r="AA320" s="3">
        <v>93.0</v>
      </c>
      <c r="AB320" s="3">
        <f t="shared" si="7"/>
        <v>0</v>
      </c>
      <c r="AC320" s="3">
        <f t="shared" si="8"/>
        <v>1</v>
      </c>
      <c r="AD320" s="3">
        <f t="shared" si="9"/>
        <v>0.8695652174</v>
      </c>
      <c r="AE320" s="3">
        <f t="shared" si="10"/>
        <v>0.8695652174</v>
      </c>
      <c r="AF320" s="3">
        <f t="shared" si="11"/>
        <v>1.739130435</v>
      </c>
      <c r="AG320" s="3">
        <f t="shared" si="12"/>
        <v>0.6157024793</v>
      </c>
    </row>
    <row r="321">
      <c r="A321" s="1" t="s">
        <v>11</v>
      </c>
      <c r="B321" s="1" t="s">
        <v>231</v>
      </c>
      <c r="C321" s="1" t="s">
        <v>20</v>
      </c>
      <c r="D321" s="1" t="s">
        <v>99</v>
      </c>
      <c r="E321" s="1" t="s">
        <v>100</v>
      </c>
      <c r="F321" s="1" t="s">
        <v>59</v>
      </c>
      <c r="G321" s="1">
        <v>22.5</v>
      </c>
      <c r="H321" s="1" t="s">
        <v>60</v>
      </c>
      <c r="I321" s="1">
        <v>-116.0</v>
      </c>
      <c r="J321" s="1">
        <v>-0.0950597092684075</v>
      </c>
      <c r="K321" s="1" t="s">
        <v>61</v>
      </c>
      <c r="L321" s="1" t="s">
        <v>61</v>
      </c>
      <c r="M321" s="1" t="s">
        <v>62</v>
      </c>
      <c r="N321" s="1">
        <v>-115.0</v>
      </c>
      <c r="O321" s="1">
        <v>0.023142473405918</v>
      </c>
      <c r="P321" s="1" t="s">
        <v>61</v>
      </c>
      <c r="Q321" s="1" t="s">
        <v>61</v>
      </c>
      <c r="R321" s="1">
        <f t="shared" si="1"/>
        <v>0.02314247341</v>
      </c>
      <c r="S321" s="1">
        <f t="shared" si="2"/>
        <v>-115</v>
      </c>
      <c r="T321" s="1">
        <f t="shared" si="3"/>
        <v>1.869565217</v>
      </c>
      <c r="U321" s="1">
        <f t="shared" si="4"/>
        <v>0</v>
      </c>
      <c r="V321" s="3">
        <f t="shared" si="5"/>
        <v>1</v>
      </c>
      <c r="W321" s="3">
        <f t="shared" si="6"/>
        <v>2</v>
      </c>
      <c r="X321" s="3" t="str">
        <f>IFERROR(__xludf.DUMMYFUNCTION("split(B321,"" "")"),"C.")</f>
        <v>C.</v>
      </c>
      <c r="Y321" s="3" t="str">
        <f>IFERROR(__xludf.DUMMYFUNCTION("""COMPUTED_VALUE"""),"Kmet")</f>
        <v>Kmet</v>
      </c>
      <c r="AA321" s="3">
        <v>4.0</v>
      </c>
      <c r="AB321" s="3">
        <f t="shared" si="7"/>
        <v>0</v>
      </c>
      <c r="AC321" s="3">
        <f t="shared" si="8"/>
        <v>1</v>
      </c>
      <c r="AD321" s="3">
        <f t="shared" si="9"/>
        <v>0.8695652174</v>
      </c>
      <c r="AE321" s="3">
        <f t="shared" si="10"/>
        <v>0.8695652174</v>
      </c>
      <c r="AF321" s="3">
        <f t="shared" si="11"/>
        <v>1.739130435</v>
      </c>
      <c r="AG321" s="3">
        <f t="shared" si="12"/>
        <v>0.8222222222</v>
      </c>
    </row>
    <row r="322">
      <c r="A322" s="1" t="s">
        <v>11</v>
      </c>
      <c r="B322" s="1" t="s">
        <v>381</v>
      </c>
      <c r="C322" s="1" t="s">
        <v>18</v>
      </c>
      <c r="D322" s="1" t="s">
        <v>135</v>
      </c>
      <c r="E322" s="1" t="s">
        <v>134</v>
      </c>
      <c r="F322" s="1" t="s">
        <v>84</v>
      </c>
      <c r="G322" s="1">
        <v>49.0</v>
      </c>
      <c r="H322" s="1" t="s">
        <v>60</v>
      </c>
      <c r="I322" s="1">
        <v>-115.0</v>
      </c>
      <c r="J322" s="1">
        <v>-0.0920270026137209</v>
      </c>
      <c r="K322" s="1" t="s">
        <v>61</v>
      </c>
      <c r="L322" s="1" t="s">
        <v>61</v>
      </c>
      <c r="M322" s="1" t="s">
        <v>62</v>
      </c>
      <c r="N322" s="1">
        <v>-115.0</v>
      </c>
      <c r="O322" s="1">
        <v>0.023075466588279</v>
      </c>
      <c r="P322" s="1" t="s">
        <v>61</v>
      </c>
      <c r="Q322" s="1" t="s">
        <v>61</v>
      </c>
      <c r="R322" s="1">
        <f t="shared" si="1"/>
        <v>0.02307546659</v>
      </c>
      <c r="S322" s="1">
        <f t="shared" si="2"/>
        <v>-115</v>
      </c>
      <c r="T322" s="1">
        <f t="shared" si="3"/>
        <v>1.869565217</v>
      </c>
      <c r="U322" s="1">
        <f t="shared" si="4"/>
        <v>0</v>
      </c>
      <c r="V322" s="3">
        <f t="shared" si="5"/>
        <v>1</v>
      </c>
      <c r="W322" s="3">
        <f t="shared" si="6"/>
        <v>2</v>
      </c>
      <c r="X322" s="3" t="str">
        <f>IFERROR(__xludf.DUMMYFUNCTION("split(B322,"" "")"),"J.")</f>
        <v>J.</v>
      </c>
      <c r="Y322" s="3" t="str">
        <f>IFERROR(__xludf.DUMMYFUNCTION("""COMPUTED_VALUE"""),"Palmer")</f>
        <v>Palmer</v>
      </c>
      <c r="AA322" s="3">
        <v>15.0</v>
      </c>
      <c r="AB322" s="3">
        <f t="shared" si="7"/>
        <v>0</v>
      </c>
      <c r="AC322" s="3">
        <f t="shared" si="8"/>
        <v>1</v>
      </c>
      <c r="AD322" s="3">
        <f t="shared" si="9"/>
        <v>0.8695652174</v>
      </c>
      <c r="AE322" s="3">
        <f t="shared" si="10"/>
        <v>0.8695652174</v>
      </c>
      <c r="AF322" s="3">
        <f t="shared" si="11"/>
        <v>1.739130435</v>
      </c>
      <c r="AG322" s="3">
        <f t="shared" si="12"/>
        <v>0.693877551</v>
      </c>
    </row>
    <row r="323">
      <c r="A323" s="1" t="s">
        <v>10</v>
      </c>
      <c r="B323" s="1" t="s">
        <v>383</v>
      </c>
      <c r="C323" s="1" t="s">
        <v>19</v>
      </c>
      <c r="D323" s="1" t="s">
        <v>66</v>
      </c>
      <c r="E323" s="1" t="s">
        <v>67</v>
      </c>
      <c r="F323" s="1" t="s">
        <v>59</v>
      </c>
      <c r="G323" s="1">
        <v>20.5</v>
      </c>
      <c r="H323" s="1" t="s">
        <v>60</v>
      </c>
      <c r="I323" s="1">
        <v>-115.0</v>
      </c>
      <c r="J323" s="1">
        <v>-0.0909727873703552</v>
      </c>
      <c r="K323" s="1" t="s">
        <v>61</v>
      </c>
      <c r="L323" s="1" t="s">
        <v>61</v>
      </c>
      <c r="M323" s="1" t="s">
        <v>62</v>
      </c>
      <c r="N323" s="1">
        <v>-115.0</v>
      </c>
      <c r="O323" s="1">
        <v>0.0212787054759083</v>
      </c>
      <c r="P323" s="1" t="s">
        <v>61</v>
      </c>
      <c r="Q323" s="1" t="s">
        <v>61</v>
      </c>
      <c r="R323" s="1">
        <f t="shared" si="1"/>
        <v>0.02127870548</v>
      </c>
      <c r="S323" s="1">
        <f t="shared" si="2"/>
        <v>-115</v>
      </c>
      <c r="T323" s="1">
        <f t="shared" si="3"/>
        <v>1.869565217</v>
      </c>
      <c r="U323" s="1">
        <f t="shared" si="4"/>
        <v>0</v>
      </c>
      <c r="V323" s="3">
        <f t="shared" si="5"/>
        <v>1</v>
      </c>
      <c r="W323" s="3">
        <f t="shared" si="6"/>
        <v>2</v>
      </c>
      <c r="X323" s="3" t="str">
        <f>IFERROR(__xludf.DUMMYFUNCTION("split(B323,"" "")"),"A.")</f>
        <v>A.</v>
      </c>
      <c r="Y323" s="3" t="str">
        <f>IFERROR(__xludf.DUMMYFUNCTION("""COMPUTED_VALUE"""),"Gibson")</f>
        <v>Gibson</v>
      </c>
      <c r="AA323" s="3">
        <v>18.0</v>
      </c>
      <c r="AB323" s="3">
        <f t="shared" si="7"/>
        <v>0</v>
      </c>
      <c r="AC323" s="3">
        <f t="shared" si="8"/>
        <v>1</v>
      </c>
      <c r="AD323" s="3">
        <f t="shared" si="9"/>
        <v>0.8695652174</v>
      </c>
      <c r="AE323" s="3">
        <f t="shared" si="10"/>
        <v>0.8695652174</v>
      </c>
      <c r="AF323" s="3">
        <f t="shared" si="11"/>
        <v>1.739130435</v>
      </c>
      <c r="AG323" s="3">
        <f t="shared" si="12"/>
        <v>0.1219512195</v>
      </c>
    </row>
    <row r="324">
      <c r="A324" s="1" t="s">
        <v>11</v>
      </c>
      <c r="B324" s="1" t="s">
        <v>182</v>
      </c>
      <c r="C324" s="1" t="s">
        <v>19</v>
      </c>
      <c r="D324" s="1" t="s">
        <v>77</v>
      </c>
      <c r="E324" s="1" t="s">
        <v>76</v>
      </c>
      <c r="F324" s="1" t="s">
        <v>78</v>
      </c>
      <c r="G324" s="1">
        <v>9.5</v>
      </c>
      <c r="H324" s="1" t="s">
        <v>60</v>
      </c>
      <c r="I324" s="1">
        <v>-115.0</v>
      </c>
      <c r="J324" s="6">
        <v>0.0208155442913681</v>
      </c>
      <c r="K324" s="1" t="s">
        <v>61</v>
      </c>
      <c r="L324" s="1" t="s">
        <v>61</v>
      </c>
      <c r="M324" s="1" t="s">
        <v>62</v>
      </c>
      <c r="N324" s="1">
        <v>-110.0</v>
      </c>
      <c r="O324" s="6">
        <v>-0.0794834582138503</v>
      </c>
      <c r="P324" s="1" t="s">
        <v>61</v>
      </c>
      <c r="Q324" s="1" t="s">
        <v>61</v>
      </c>
      <c r="R324" s="6">
        <f t="shared" si="1"/>
        <v>0.02081554429</v>
      </c>
      <c r="S324" s="1">
        <f t="shared" si="2"/>
        <v>-115</v>
      </c>
      <c r="T324" s="1">
        <f t="shared" si="3"/>
        <v>1.869565217</v>
      </c>
      <c r="U324" s="1">
        <f t="shared" si="4"/>
        <v>1</v>
      </c>
      <c r="V324" s="3">
        <f t="shared" si="5"/>
        <v>1</v>
      </c>
      <c r="W324" s="3">
        <f t="shared" si="6"/>
        <v>2</v>
      </c>
      <c r="X324" s="3" t="str">
        <f>IFERROR(__xludf.DUMMYFUNCTION("split(B324,"" "")"),"J.")</f>
        <v>J.</v>
      </c>
      <c r="Y324" s="3" t="str">
        <f>IFERROR(__xludf.DUMMYFUNCTION("""COMPUTED_VALUE"""),"Hill")</f>
        <v>Hill</v>
      </c>
      <c r="AA324" s="3">
        <v>52.0</v>
      </c>
      <c r="AB324" s="3">
        <f t="shared" si="7"/>
        <v>1</v>
      </c>
      <c r="AC324" s="3">
        <f t="shared" si="8"/>
        <v>1</v>
      </c>
      <c r="AD324" s="3">
        <f t="shared" si="9"/>
        <v>0.8695652174</v>
      </c>
      <c r="AE324" s="3">
        <f t="shared" si="10"/>
        <v>0.8695652174</v>
      </c>
      <c r="AF324" s="3">
        <f t="shared" si="11"/>
        <v>1.739130435</v>
      </c>
      <c r="AG324" s="3">
        <f t="shared" si="12"/>
        <v>4.473684211</v>
      </c>
    </row>
    <row r="325">
      <c r="A325" s="1" t="s">
        <v>9</v>
      </c>
      <c r="B325" s="1" t="s">
        <v>385</v>
      </c>
      <c r="C325" s="1" t="s">
        <v>18</v>
      </c>
      <c r="D325" s="1" t="s">
        <v>197</v>
      </c>
      <c r="E325" s="1" t="s">
        <v>196</v>
      </c>
      <c r="F325" s="1" t="s">
        <v>198</v>
      </c>
      <c r="G325" s="1">
        <v>86.0</v>
      </c>
      <c r="H325" s="1" t="s">
        <v>60</v>
      </c>
      <c r="I325" s="1">
        <v>-117.0</v>
      </c>
      <c r="J325" s="1">
        <v>-0.0927627903722275</v>
      </c>
      <c r="K325" s="1" t="s">
        <v>61</v>
      </c>
      <c r="L325" s="1" t="s">
        <v>61</v>
      </c>
      <c r="M325" s="1" t="s">
        <v>62</v>
      </c>
      <c r="N325" s="1">
        <v>-115.0</v>
      </c>
      <c r="O325" s="1">
        <v>0.0193648105743227</v>
      </c>
      <c r="P325" s="1" t="s">
        <v>61</v>
      </c>
      <c r="Q325" s="1" t="s">
        <v>61</v>
      </c>
      <c r="R325" s="1">
        <f t="shared" si="1"/>
        <v>0.01936481057</v>
      </c>
      <c r="S325" s="1">
        <f t="shared" si="2"/>
        <v>-115</v>
      </c>
      <c r="T325" s="1">
        <f t="shared" si="3"/>
        <v>1.869565217</v>
      </c>
      <c r="U325" s="1">
        <f t="shared" si="4"/>
        <v>0</v>
      </c>
      <c r="V325" s="3">
        <f t="shared" si="5"/>
        <v>1</v>
      </c>
      <c r="W325" s="3">
        <f t="shared" si="6"/>
        <v>2</v>
      </c>
      <c r="X325" s="3" t="str">
        <f>IFERROR(__xludf.DUMMYFUNCTION("split(B325,"" "")"),"A.")</f>
        <v>A.</v>
      </c>
      <c r="Y325" s="3" t="str">
        <f>IFERROR(__xludf.DUMMYFUNCTION("""COMPUTED_VALUE"""),"St.")</f>
        <v>St.</v>
      </c>
      <c r="Z325" s="3" t="str">
        <f>IFERROR(__xludf.DUMMYFUNCTION("""COMPUTED_VALUE"""),"Brown")</f>
        <v>Brown</v>
      </c>
      <c r="AA325" s="3">
        <v>13.0</v>
      </c>
      <c r="AB325" s="3">
        <f t="shared" si="7"/>
        <v>0</v>
      </c>
      <c r="AC325" s="3">
        <f t="shared" si="8"/>
        <v>1</v>
      </c>
      <c r="AD325" s="3">
        <f t="shared" si="9"/>
        <v>0.8695652174</v>
      </c>
      <c r="AE325" s="3">
        <f t="shared" si="10"/>
        <v>0.8695652174</v>
      </c>
      <c r="AF325" s="3">
        <f t="shared" si="11"/>
        <v>1.739130435</v>
      </c>
      <c r="AG325" s="3">
        <f t="shared" si="12"/>
        <v>0.8488372093</v>
      </c>
    </row>
    <row r="326">
      <c r="A326" s="1" t="s">
        <v>11</v>
      </c>
      <c r="B326" s="1" t="s">
        <v>361</v>
      </c>
      <c r="C326" s="1" t="s">
        <v>19</v>
      </c>
      <c r="D326" s="1" t="s">
        <v>82</v>
      </c>
      <c r="E326" s="1" t="s">
        <v>83</v>
      </c>
      <c r="F326" s="1" t="s">
        <v>84</v>
      </c>
      <c r="G326" s="1">
        <v>9.5</v>
      </c>
      <c r="H326" s="1" t="s">
        <v>60</v>
      </c>
      <c r="I326" s="1">
        <v>-115.0</v>
      </c>
      <c r="J326" s="1">
        <v>0.0166633902035154</v>
      </c>
      <c r="K326" s="1" t="s">
        <v>61</v>
      </c>
      <c r="L326" s="1" t="s">
        <v>61</v>
      </c>
      <c r="M326" s="1" t="s">
        <v>62</v>
      </c>
      <c r="N326" s="1">
        <v>-115.0</v>
      </c>
      <c r="O326" s="1">
        <v>-0.086407898734043</v>
      </c>
      <c r="P326" s="1" t="s">
        <v>61</v>
      </c>
      <c r="Q326" s="1" t="s">
        <v>61</v>
      </c>
      <c r="R326" s="1">
        <f t="shared" si="1"/>
        <v>0.0166633902</v>
      </c>
      <c r="S326" s="1">
        <f t="shared" si="2"/>
        <v>-115</v>
      </c>
      <c r="T326" s="1">
        <f t="shared" si="3"/>
        <v>1.869565217</v>
      </c>
      <c r="U326" s="1">
        <f t="shared" si="4"/>
        <v>1</v>
      </c>
      <c r="V326" s="3">
        <f t="shared" si="5"/>
        <v>1</v>
      </c>
      <c r="W326" s="3">
        <f t="shared" si="6"/>
        <v>2</v>
      </c>
      <c r="X326" s="3" t="str">
        <f>IFERROR(__xludf.DUMMYFUNCTION("split(B326,"" "")"),"Z.")</f>
        <v>Z.</v>
      </c>
      <c r="Y326" s="3" t="str">
        <f>IFERROR(__xludf.DUMMYFUNCTION("""COMPUTED_VALUE"""),"Charbonnet")</f>
        <v>Charbonnet</v>
      </c>
      <c r="AA326" s="3">
        <v>29.0</v>
      </c>
      <c r="AB326" s="3">
        <f t="shared" si="7"/>
        <v>1</v>
      </c>
      <c r="AC326" s="3">
        <f t="shared" si="8"/>
        <v>1</v>
      </c>
      <c r="AD326" s="3">
        <f t="shared" si="9"/>
        <v>0.8695652174</v>
      </c>
      <c r="AE326" s="3">
        <f t="shared" si="10"/>
        <v>0.8695652174</v>
      </c>
      <c r="AF326" s="3">
        <f t="shared" si="11"/>
        <v>1.739130435</v>
      </c>
      <c r="AG326" s="3">
        <f t="shared" si="12"/>
        <v>2.052631579</v>
      </c>
    </row>
    <row r="327">
      <c r="A327" s="1" t="s">
        <v>11</v>
      </c>
      <c r="B327" s="1" t="s">
        <v>237</v>
      </c>
      <c r="C327" s="1" t="s">
        <v>18</v>
      </c>
      <c r="D327" s="1" t="s">
        <v>76</v>
      </c>
      <c r="E327" s="1" t="s">
        <v>77</v>
      </c>
      <c r="F327" s="1" t="s">
        <v>78</v>
      </c>
      <c r="G327" s="1">
        <v>16.5</v>
      </c>
      <c r="H327" s="1" t="s">
        <v>60</v>
      </c>
      <c r="I327" s="1">
        <v>-115.0</v>
      </c>
      <c r="J327" s="6">
        <v>0.0165930099139021</v>
      </c>
      <c r="K327" s="1" t="s">
        <v>61</v>
      </c>
      <c r="L327" s="1" t="s">
        <v>61</v>
      </c>
      <c r="M327" s="1" t="s">
        <v>62</v>
      </c>
      <c r="N327" s="1">
        <v>-110.0</v>
      </c>
      <c r="O327" s="6">
        <v>-0.0752706992601803</v>
      </c>
      <c r="P327" s="1" t="s">
        <v>61</v>
      </c>
      <c r="Q327" s="1" t="s">
        <v>61</v>
      </c>
      <c r="R327" s="6">
        <f t="shared" si="1"/>
        <v>0.01659300991</v>
      </c>
      <c r="S327" s="1">
        <f t="shared" si="2"/>
        <v>-115</v>
      </c>
      <c r="T327" s="1">
        <f t="shared" si="3"/>
        <v>1.869565217</v>
      </c>
      <c r="U327" s="1">
        <f t="shared" si="4"/>
        <v>1</v>
      </c>
      <c r="V327" s="3">
        <f t="shared" si="5"/>
        <v>1</v>
      </c>
      <c r="W327" s="3">
        <f t="shared" si="6"/>
        <v>2</v>
      </c>
      <c r="X327" s="3" t="str">
        <f>IFERROR(__xludf.DUMMYFUNCTION("split(B327,"" "")"),"J.")</f>
        <v>J.</v>
      </c>
      <c r="Y327" s="3" t="str">
        <f>IFERROR(__xludf.DUMMYFUNCTION("""COMPUTED_VALUE"""),"Watson")</f>
        <v>Watson</v>
      </c>
      <c r="AA327" s="3">
        <v>25.0</v>
      </c>
      <c r="AB327" s="3">
        <f t="shared" si="7"/>
        <v>1</v>
      </c>
      <c r="AC327" s="3">
        <f t="shared" si="8"/>
        <v>1</v>
      </c>
      <c r="AD327" s="3">
        <f t="shared" si="9"/>
        <v>0.8695652174</v>
      </c>
      <c r="AE327" s="3">
        <f t="shared" si="10"/>
        <v>0.8695652174</v>
      </c>
      <c r="AF327" s="3">
        <f t="shared" si="11"/>
        <v>1.739130435</v>
      </c>
      <c r="AG327" s="3">
        <f t="shared" si="12"/>
        <v>0.5151515152</v>
      </c>
    </row>
    <row r="328">
      <c r="A328" s="1" t="s">
        <v>12</v>
      </c>
      <c r="B328" s="1" t="s">
        <v>387</v>
      </c>
      <c r="C328" s="1" t="s">
        <v>18</v>
      </c>
      <c r="D328" s="1" t="s">
        <v>82</v>
      </c>
      <c r="E328" s="1" t="s">
        <v>83</v>
      </c>
      <c r="F328" s="1" t="s">
        <v>84</v>
      </c>
      <c r="G328" s="1">
        <v>4.5</v>
      </c>
      <c r="H328" s="1" t="s">
        <v>60</v>
      </c>
      <c r="I328" s="1">
        <v>-115.0</v>
      </c>
      <c r="J328" s="1">
        <v>-0.0861837209302326</v>
      </c>
      <c r="K328" s="1" t="s">
        <v>61</v>
      </c>
      <c r="L328" s="1" t="s">
        <v>61</v>
      </c>
      <c r="M328" s="1" t="s">
        <v>62</v>
      </c>
      <c r="N328" s="1">
        <v>-115.0</v>
      </c>
      <c r="O328" s="1">
        <v>0.0164162790697673</v>
      </c>
      <c r="P328" s="1" t="s">
        <v>61</v>
      </c>
      <c r="Q328" s="1" t="s">
        <v>61</v>
      </c>
      <c r="R328" s="1">
        <f t="shared" si="1"/>
        <v>0.01641627907</v>
      </c>
      <c r="S328" s="1">
        <f t="shared" si="2"/>
        <v>-115</v>
      </c>
      <c r="T328" s="1">
        <f t="shared" si="3"/>
        <v>1.869565217</v>
      </c>
      <c r="U328" s="1">
        <f t="shared" si="4"/>
        <v>0</v>
      </c>
      <c r="V328" s="3">
        <f t="shared" si="5"/>
        <v>1</v>
      </c>
      <c r="W328" s="3">
        <f t="shared" si="6"/>
        <v>2</v>
      </c>
      <c r="X328" s="3" t="str">
        <f>IFERROR(__xludf.DUMMYFUNCTION("split(B328,"" "")"),"D.")</f>
        <v>D.</v>
      </c>
      <c r="Y328" s="3" t="str">
        <f>IFERROR(__xludf.DUMMYFUNCTION("""COMPUTED_VALUE"""),"Metcalf")</f>
        <v>Metcalf</v>
      </c>
      <c r="AA328" s="3">
        <v>3.0</v>
      </c>
      <c r="AB328" s="3">
        <f t="shared" si="7"/>
        <v>0</v>
      </c>
      <c r="AC328" s="3">
        <f t="shared" si="8"/>
        <v>1</v>
      </c>
      <c r="AD328" s="3">
        <f t="shared" si="9"/>
        <v>0.8695652174</v>
      </c>
      <c r="AE328" s="3">
        <f t="shared" si="10"/>
        <v>0.8695652174</v>
      </c>
      <c r="AF328" s="3">
        <f t="shared" si="11"/>
        <v>1.739130435</v>
      </c>
      <c r="AG328" s="3">
        <f t="shared" si="12"/>
        <v>0.3333333333</v>
      </c>
    </row>
    <row r="329">
      <c r="A329" s="1" t="s">
        <v>11</v>
      </c>
      <c r="B329" s="1" t="s">
        <v>389</v>
      </c>
      <c r="C329" s="1" t="s">
        <v>18</v>
      </c>
      <c r="D329" s="1" t="s">
        <v>67</v>
      </c>
      <c r="E329" s="1" t="s">
        <v>66</v>
      </c>
      <c r="F329" s="1" t="s">
        <v>59</v>
      </c>
      <c r="G329" s="1">
        <v>59.5</v>
      </c>
      <c r="H329" s="1" t="s">
        <v>60</v>
      </c>
      <c r="I329" s="1">
        <v>-115.0</v>
      </c>
      <c r="J329" s="1">
        <v>0.0134907319980128</v>
      </c>
      <c r="K329" s="1" t="s">
        <v>61</v>
      </c>
      <c r="L329" s="1" t="s">
        <v>61</v>
      </c>
      <c r="M329" s="1" t="s">
        <v>62</v>
      </c>
      <c r="N329" s="1">
        <v>-115.0</v>
      </c>
      <c r="O329" s="1">
        <v>-0.0832097852765398</v>
      </c>
      <c r="P329" s="1" t="s">
        <v>61</v>
      </c>
      <c r="Q329" s="1" t="s">
        <v>61</v>
      </c>
      <c r="R329" s="1">
        <f t="shared" si="1"/>
        <v>0.013490732</v>
      </c>
      <c r="S329" s="1">
        <f t="shared" si="2"/>
        <v>-115</v>
      </c>
      <c r="T329" s="1">
        <f t="shared" si="3"/>
        <v>1.869565217</v>
      </c>
      <c r="U329" s="1">
        <f t="shared" si="4"/>
        <v>1</v>
      </c>
      <c r="V329" s="3">
        <f t="shared" si="5"/>
        <v>1</v>
      </c>
      <c r="W329" s="3">
        <f t="shared" si="6"/>
        <v>2</v>
      </c>
      <c r="X329" s="3" t="str">
        <f>IFERROR(__xludf.DUMMYFUNCTION("split(B329,"" "")"),"J.")</f>
        <v>J.</v>
      </c>
      <c r="Y329" s="3" t="str">
        <f>IFERROR(__xludf.DUMMYFUNCTION("""COMPUTED_VALUE"""),"Chase")</f>
        <v>Chase</v>
      </c>
      <c r="AA329" s="3">
        <v>62.0</v>
      </c>
      <c r="AB329" s="3">
        <f t="shared" si="7"/>
        <v>1</v>
      </c>
      <c r="AC329" s="3">
        <f t="shared" si="8"/>
        <v>1</v>
      </c>
      <c r="AD329" s="3">
        <f t="shared" si="9"/>
        <v>0.8695652174</v>
      </c>
      <c r="AE329" s="3">
        <f t="shared" si="10"/>
        <v>0.8695652174</v>
      </c>
      <c r="AF329" s="3">
        <f t="shared" si="11"/>
        <v>1.739130435</v>
      </c>
      <c r="AG329" s="3">
        <f t="shared" si="12"/>
        <v>0.04201680672</v>
      </c>
    </row>
    <row r="330">
      <c r="A330" s="1" t="s">
        <v>16</v>
      </c>
      <c r="B330" s="1" t="s">
        <v>369</v>
      </c>
      <c r="C330" s="1" t="s">
        <v>21</v>
      </c>
      <c r="D330" s="1" t="s">
        <v>72</v>
      </c>
      <c r="E330" s="1" t="s">
        <v>71</v>
      </c>
      <c r="F330" s="1" t="s">
        <v>59</v>
      </c>
      <c r="G330" s="1">
        <v>35.5</v>
      </c>
      <c r="H330" s="1" t="s">
        <v>60</v>
      </c>
      <c r="I330" s="1">
        <v>-116.0</v>
      </c>
      <c r="J330" s="1">
        <v>-0.0816301831</v>
      </c>
      <c r="K330" s="1" t="s">
        <v>61</v>
      </c>
      <c r="L330" s="1" t="s">
        <v>61</v>
      </c>
      <c r="M330" s="1" t="s">
        <v>62</v>
      </c>
      <c r="N330" s="1">
        <v>-115.0</v>
      </c>
      <c r="O330" s="1">
        <v>0.00972373516279057</v>
      </c>
      <c r="P330" s="1" t="s">
        <v>61</v>
      </c>
      <c r="Q330" s="1" t="s">
        <v>61</v>
      </c>
      <c r="R330" s="1">
        <f t="shared" si="1"/>
        <v>0.009723735163</v>
      </c>
      <c r="S330" s="1">
        <f t="shared" si="2"/>
        <v>-115</v>
      </c>
      <c r="T330" s="1">
        <f t="shared" si="3"/>
        <v>1.869565217</v>
      </c>
      <c r="U330" s="1">
        <f t="shared" si="4"/>
        <v>0</v>
      </c>
      <c r="V330" s="3">
        <f t="shared" si="5"/>
        <v>1</v>
      </c>
      <c r="W330" s="3">
        <f t="shared" si="6"/>
        <v>2</v>
      </c>
      <c r="X330" s="3" t="str">
        <f>IFERROR(__xludf.DUMMYFUNCTION("split(B330,"" "")"),"C.")</f>
        <v>C.</v>
      </c>
      <c r="Y330" s="3" t="str">
        <f>IFERROR(__xludf.DUMMYFUNCTION("""COMPUTED_VALUE"""),"Stroud")</f>
        <v>Stroud</v>
      </c>
      <c r="AA330" s="3">
        <v>32.0</v>
      </c>
      <c r="AB330" s="3">
        <f t="shared" si="7"/>
        <v>0</v>
      </c>
      <c r="AC330" s="3">
        <f t="shared" si="8"/>
        <v>1</v>
      </c>
      <c r="AD330" s="3">
        <f t="shared" si="9"/>
        <v>0.8695652174</v>
      </c>
      <c r="AE330" s="3">
        <f t="shared" si="10"/>
        <v>0.8695652174</v>
      </c>
      <c r="AF330" s="3">
        <f t="shared" si="11"/>
        <v>1.739130435</v>
      </c>
      <c r="AG330" s="3">
        <f t="shared" si="12"/>
        <v>0.0985915493</v>
      </c>
    </row>
    <row r="331">
      <c r="A331" s="1" t="s">
        <v>11</v>
      </c>
      <c r="B331" s="1" t="s">
        <v>70</v>
      </c>
      <c r="C331" s="1" t="s">
        <v>20</v>
      </c>
      <c r="D331" s="1" t="s">
        <v>71</v>
      </c>
      <c r="E331" s="1" t="s">
        <v>72</v>
      </c>
      <c r="F331" s="1" t="s">
        <v>59</v>
      </c>
      <c r="G331" s="1">
        <v>19.5</v>
      </c>
      <c r="H331" s="1" t="s">
        <v>60</v>
      </c>
      <c r="I331" s="1">
        <v>-115.0</v>
      </c>
      <c r="J331" s="1">
        <v>-0.0792073591574978</v>
      </c>
      <c r="K331" s="1" t="s">
        <v>61</v>
      </c>
      <c r="L331" s="1" t="s">
        <v>61</v>
      </c>
      <c r="M331" s="1" t="s">
        <v>62</v>
      </c>
      <c r="N331" s="1">
        <v>-115.0</v>
      </c>
      <c r="O331" s="1">
        <v>0.00947346303112239</v>
      </c>
      <c r="P331" s="1" t="s">
        <v>61</v>
      </c>
      <c r="Q331" s="1" t="s">
        <v>61</v>
      </c>
      <c r="R331" s="1">
        <f t="shared" si="1"/>
        <v>0.009473463031</v>
      </c>
      <c r="S331" s="1">
        <f t="shared" si="2"/>
        <v>-115</v>
      </c>
      <c r="T331" s="1">
        <f t="shared" si="3"/>
        <v>1.869565217</v>
      </c>
      <c r="U331" s="1">
        <f t="shared" si="4"/>
        <v>0</v>
      </c>
      <c r="V331" s="3">
        <f t="shared" si="5"/>
        <v>1</v>
      </c>
      <c r="W331" s="3">
        <f t="shared" si="6"/>
        <v>2</v>
      </c>
      <c r="X331" s="3" t="str">
        <f>IFERROR(__xludf.DUMMYFUNCTION("split(B331,"" "")"),"K.")</f>
        <v>K.</v>
      </c>
      <c r="Y331" s="3" t="str">
        <f>IFERROR(__xludf.DUMMYFUNCTION("""COMPUTED_VALUE"""),"Granson")</f>
        <v>Granson</v>
      </c>
      <c r="AA331" s="3">
        <v>0.0</v>
      </c>
      <c r="AB331" s="3">
        <f t="shared" si="7"/>
        <v>0</v>
      </c>
      <c r="AC331" s="3">
        <f t="shared" si="8"/>
        <v>1</v>
      </c>
      <c r="AD331" s="3">
        <f t="shared" si="9"/>
        <v>0.8695652174</v>
      </c>
      <c r="AE331" s="3">
        <f t="shared" si="10"/>
        <v>0.8695652174</v>
      </c>
      <c r="AF331" s="3">
        <f t="shared" si="11"/>
        <v>1.739130435</v>
      </c>
      <c r="AG331" s="3">
        <f t="shared" si="12"/>
        <v>1</v>
      </c>
    </row>
    <row r="332">
      <c r="A332" s="1" t="s">
        <v>10</v>
      </c>
      <c r="B332" s="1" t="s">
        <v>92</v>
      </c>
      <c r="C332" s="1" t="s">
        <v>19</v>
      </c>
      <c r="D332" s="1" t="s">
        <v>93</v>
      </c>
      <c r="E332" s="1" t="s">
        <v>94</v>
      </c>
      <c r="F332" s="1" t="s">
        <v>59</v>
      </c>
      <c r="G332" s="1">
        <v>57.5</v>
      </c>
      <c r="H332" s="1" t="s">
        <v>60</v>
      </c>
      <c r="I332" s="1">
        <v>-115.0</v>
      </c>
      <c r="J332" s="1">
        <v>-0.0791214583448981</v>
      </c>
      <c r="K332" s="1" t="s">
        <v>61</v>
      </c>
      <c r="L332" s="1" t="s">
        <v>61</v>
      </c>
      <c r="M332" s="1" t="s">
        <v>62</v>
      </c>
      <c r="N332" s="1">
        <v>-115.0</v>
      </c>
      <c r="O332" s="1">
        <v>0.00937349997193282</v>
      </c>
      <c r="P332" s="1" t="s">
        <v>61</v>
      </c>
      <c r="Q332" s="1" t="s">
        <v>61</v>
      </c>
      <c r="R332" s="1">
        <f t="shared" si="1"/>
        <v>0.009373499972</v>
      </c>
      <c r="S332" s="1">
        <f t="shared" si="2"/>
        <v>-115</v>
      </c>
      <c r="T332" s="1">
        <f t="shared" si="3"/>
        <v>1.869565217</v>
      </c>
      <c r="U332" s="1">
        <f t="shared" si="4"/>
        <v>0</v>
      </c>
      <c r="V332" s="3">
        <f t="shared" si="5"/>
        <v>1</v>
      </c>
      <c r="W332" s="3">
        <f t="shared" si="6"/>
        <v>2</v>
      </c>
      <c r="X332" s="3" t="str">
        <f>IFERROR(__xludf.DUMMYFUNCTION("split(B332,"" "")"),"T.")</f>
        <v>T.</v>
      </c>
      <c r="Y332" s="3" t="str">
        <f>IFERROR(__xludf.DUMMYFUNCTION("""COMPUTED_VALUE"""),"Etienne")</f>
        <v>Etienne</v>
      </c>
      <c r="Z332" s="3" t="str">
        <f>IFERROR(__xludf.DUMMYFUNCTION("""COMPUTED_VALUE"""),"Jr.")</f>
        <v>Jr.</v>
      </c>
      <c r="AA332" s="3">
        <v>44.0</v>
      </c>
      <c r="AB332" s="3">
        <f t="shared" si="7"/>
        <v>0</v>
      </c>
      <c r="AC332" s="3">
        <f t="shared" si="8"/>
        <v>1</v>
      </c>
      <c r="AD332" s="3">
        <f t="shared" si="9"/>
        <v>0.8695652174</v>
      </c>
      <c r="AE332" s="3">
        <f t="shared" si="10"/>
        <v>0.8695652174</v>
      </c>
      <c r="AF332" s="3">
        <f t="shared" si="11"/>
        <v>1.739130435</v>
      </c>
      <c r="AG332" s="3">
        <f t="shared" si="12"/>
        <v>0.2347826087</v>
      </c>
    </row>
    <row r="333">
      <c r="A333" s="1" t="s">
        <v>9</v>
      </c>
      <c r="B333" s="1" t="s">
        <v>361</v>
      </c>
      <c r="C333" s="1" t="s">
        <v>19</v>
      </c>
      <c r="D333" s="1" t="s">
        <v>82</v>
      </c>
      <c r="E333" s="1" t="s">
        <v>83</v>
      </c>
      <c r="F333" s="1" t="s">
        <v>84</v>
      </c>
      <c r="G333" s="1">
        <v>37.5</v>
      </c>
      <c r="H333" s="1" t="s">
        <v>60</v>
      </c>
      <c r="I333" s="1">
        <v>-115.0</v>
      </c>
      <c r="J333" s="1">
        <v>0.00824511452106668</v>
      </c>
      <c r="K333" s="1" t="s">
        <v>61</v>
      </c>
      <c r="L333" s="1" t="s">
        <v>61</v>
      </c>
      <c r="M333" s="1" t="s">
        <v>62</v>
      </c>
      <c r="N333" s="1">
        <v>-115.0</v>
      </c>
      <c r="O333" s="1">
        <v>-0.0780168816992268</v>
      </c>
      <c r="P333" s="1" t="s">
        <v>61</v>
      </c>
      <c r="Q333" s="1" t="s">
        <v>61</v>
      </c>
      <c r="R333" s="1">
        <f t="shared" si="1"/>
        <v>0.008245114521</v>
      </c>
      <c r="S333" s="1">
        <f t="shared" si="2"/>
        <v>-115</v>
      </c>
      <c r="T333" s="1">
        <f t="shared" si="3"/>
        <v>1.869565217</v>
      </c>
      <c r="U333" s="1">
        <f t="shared" si="4"/>
        <v>1</v>
      </c>
      <c r="V333" s="3">
        <f t="shared" si="5"/>
        <v>1</v>
      </c>
      <c r="W333" s="3">
        <f t="shared" si="6"/>
        <v>2</v>
      </c>
      <c r="X333" s="3" t="str">
        <f>IFERROR(__xludf.DUMMYFUNCTION("split(B333,"" "")"),"Z.")</f>
        <v>Z.</v>
      </c>
      <c r="Y333" s="3" t="str">
        <f>IFERROR(__xludf.DUMMYFUNCTION("""COMPUTED_VALUE"""),"Charbonnet")</f>
        <v>Charbonnet</v>
      </c>
      <c r="AA333" s="3">
        <v>41.0</v>
      </c>
      <c r="AB333" s="3">
        <f t="shared" si="7"/>
        <v>1</v>
      </c>
      <c r="AC333" s="3">
        <f t="shared" si="8"/>
        <v>1</v>
      </c>
      <c r="AD333" s="3">
        <f t="shared" si="9"/>
        <v>0.8695652174</v>
      </c>
      <c r="AE333" s="3">
        <f t="shared" si="10"/>
        <v>0.8695652174</v>
      </c>
      <c r="AF333" s="3">
        <f t="shared" si="11"/>
        <v>1.739130435</v>
      </c>
      <c r="AG333" s="3">
        <f t="shared" si="12"/>
        <v>0.09333333333</v>
      </c>
    </row>
    <row r="334">
      <c r="A334" s="1" t="s">
        <v>11</v>
      </c>
      <c r="B334" s="1" t="s">
        <v>391</v>
      </c>
      <c r="C334" s="1" t="s">
        <v>18</v>
      </c>
      <c r="D334" s="1" t="s">
        <v>71</v>
      </c>
      <c r="E334" s="1" t="s">
        <v>72</v>
      </c>
      <c r="F334" s="1" t="s">
        <v>59</v>
      </c>
      <c r="G334" s="1">
        <v>64.0</v>
      </c>
      <c r="H334" s="1" t="s">
        <v>60</v>
      </c>
      <c r="I334" s="1">
        <v>-116.0</v>
      </c>
      <c r="J334" s="1">
        <v>-0.0786052312250808</v>
      </c>
      <c r="K334" s="1" t="s">
        <v>61</v>
      </c>
      <c r="L334" s="1" t="s">
        <v>61</v>
      </c>
      <c r="M334" s="1" t="s">
        <v>62</v>
      </c>
      <c r="N334" s="1">
        <v>-115.0</v>
      </c>
      <c r="O334" s="1">
        <v>0.00733128167455077</v>
      </c>
      <c r="P334" s="1" t="s">
        <v>61</v>
      </c>
      <c r="Q334" s="1" t="s">
        <v>61</v>
      </c>
      <c r="R334" s="1">
        <f t="shared" si="1"/>
        <v>0.007331281675</v>
      </c>
      <c r="S334" s="1">
        <f t="shared" si="2"/>
        <v>-115</v>
      </c>
      <c r="T334" s="1">
        <f t="shared" si="3"/>
        <v>1.869565217</v>
      </c>
      <c r="U334" s="1">
        <f t="shared" si="4"/>
        <v>0</v>
      </c>
      <c r="V334" s="3">
        <f t="shared" si="5"/>
        <v>1</v>
      </c>
      <c r="W334" s="3">
        <f t="shared" si="6"/>
        <v>2</v>
      </c>
      <c r="X334" s="3" t="str">
        <f>IFERROR(__xludf.DUMMYFUNCTION("split(B334,"" "")"),"M.")</f>
        <v>M.</v>
      </c>
      <c r="Y334" s="3" t="str">
        <f>IFERROR(__xludf.DUMMYFUNCTION("""COMPUTED_VALUE"""),"Pittman")</f>
        <v>Pittman</v>
      </c>
      <c r="Z334" s="3" t="str">
        <f>IFERROR(__xludf.DUMMYFUNCTION("""COMPUTED_VALUE"""),"Jr.")</f>
        <v>Jr.</v>
      </c>
      <c r="AA334" s="3">
        <v>31.0</v>
      </c>
      <c r="AB334" s="3">
        <f t="shared" si="7"/>
        <v>0</v>
      </c>
      <c r="AC334" s="3">
        <f t="shared" si="8"/>
        <v>1</v>
      </c>
      <c r="AD334" s="3">
        <f t="shared" si="9"/>
        <v>0.8695652174</v>
      </c>
      <c r="AE334" s="3">
        <f t="shared" si="10"/>
        <v>0.8695652174</v>
      </c>
      <c r="AF334" s="3">
        <f t="shared" si="11"/>
        <v>1.739130435</v>
      </c>
      <c r="AG334" s="3">
        <f t="shared" si="12"/>
        <v>0.515625</v>
      </c>
    </row>
    <row r="335">
      <c r="A335" s="1" t="s">
        <v>9</v>
      </c>
      <c r="B335" s="1" t="s">
        <v>393</v>
      </c>
      <c r="C335" s="1" t="s">
        <v>19</v>
      </c>
      <c r="D335" s="1" t="s">
        <v>197</v>
      </c>
      <c r="E335" s="1" t="s">
        <v>196</v>
      </c>
      <c r="F335" s="1" t="s">
        <v>198</v>
      </c>
      <c r="G335" s="1">
        <v>78.5</v>
      </c>
      <c r="H335" s="1" t="s">
        <v>60</v>
      </c>
      <c r="I335" s="1">
        <v>-115.0</v>
      </c>
      <c r="J335" s="1">
        <v>-0.0757176418609229</v>
      </c>
      <c r="K335" s="1" t="s">
        <v>61</v>
      </c>
      <c r="L335" s="1" t="s">
        <v>61</v>
      </c>
      <c r="M335" s="1" t="s">
        <v>62</v>
      </c>
      <c r="N335" s="1">
        <v>-115.0</v>
      </c>
      <c r="O335" s="1">
        <v>0.00594028814006109</v>
      </c>
      <c r="P335" s="1" t="s">
        <v>61</v>
      </c>
      <c r="Q335" s="1" t="s">
        <v>61</v>
      </c>
      <c r="R335" s="1">
        <f t="shared" si="1"/>
        <v>0.00594028814</v>
      </c>
      <c r="S335" s="1">
        <f t="shared" si="2"/>
        <v>-115</v>
      </c>
      <c r="T335" s="1">
        <f t="shared" si="3"/>
        <v>1.869565217</v>
      </c>
      <c r="U335" s="1">
        <f t="shared" si="4"/>
        <v>0</v>
      </c>
      <c r="V335" s="3">
        <f t="shared" si="5"/>
        <v>1</v>
      </c>
      <c r="W335" s="3">
        <f t="shared" si="6"/>
        <v>2</v>
      </c>
      <c r="X335" s="3" t="str">
        <f>IFERROR(__xludf.DUMMYFUNCTION("split(B335,"" "")"),"J.")</f>
        <v>J.</v>
      </c>
      <c r="Y335" s="3" t="str">
        <f>IFERROR(__xludf.DUMMYFUNCTION("""COMPUTED_VALUE"""),"Gibbs")</f>
        <v>Gibbs</v>
      </c>
      <c r="AA335" s="3">
        <v>74.0</v>
      </c>
      <c r="AB335" s="3">
        <f t="shared" si="7"/>
        <v>0</v>
      </c>
      <c r="AC335" s="3">
        <f t="shared" si="8"/>
        <v>1</v>
      </c>
      <c r="AD335" s="3">
        <f t="shared" si="9"/>
        <v>0.8695652174</v>
      </c>
      <c r="AE335" s="3">
        <f t="shared" si="10"/>
        <v>0.8695652174</v>
      </c>
      <c r="AF335" s="3">
        <f t="shared" si="11"/>
        <v>1.739130435</v>
      </c>
      <c r="AG335" s="3">
        <f t="shared" si="12"/>
        <v>0.05732484076</v>
      </c>
    </row>
    <row r="336">
      <c r="A336" s="1" t="s">
        <v>11</v>
      </c>
      <c r="B336" s="1" t="s">
        <v>249</v>
      </c>
      <c r="C336" s="1" t="s">
        <v>18</v>
      </c>
      <c r="D336" s="1" t="s">
        <v>114</v>
      </c>
      <c r="E336" s="1" t="s">
        <v>113</v>
      </c>
      <c r="F336" s="1" t="s">
        <v>90</v>
      </c>
      <c r="G336" s="1">
        <v>59.5</v>
      </c>
      <c r="H336" s="1" t="s">
        <v>60</v>
      </c>
      <c r="I336" s="1">
        <v>-115.0</v>
      </c>
      <c r="J336" s="1">
        <v>-0.0745985301950501</v>
      </c>
      <c r="K336" s="1" t="s">
        <v>61</v>
      </c>
      <c r="L336" s="1" t="s">
        <v>61</v>
      </c>
      <c r="M336" s="1" t="s">
        <v>62</v>
      </c>
      <c r="N336" s="1">
        <v>-115.0</v>
      </c>
      <c r="O336" s="1">
        <v>0.00480215531134731</v>
      </c>
      <c r="P336" s="1" t="s">
        <v>61</v>
      </c>
      <c r="Q336" s="1" t="s">
        <v>61</v>
      </c>
      <c r="R336" s="1">
        <f t="shared" si="1"/>
        <v>0.004802155311</v>
      </c>
      <c r="S336" s="1">
        <f t="shared" si="2"/>
        <v>-115</v>
      </c>
      <c r="T336" s="1">
        <f t="shared" si="3"/>
        <v>1.869565217</v>
      </c>
      <c r="U336" s="1">
        <f t="shared" si="4"/>
        <v>0</v>
      </c>
      <c r="V336" s="3">
        <f t="shared" si="5"/>
        <v>1</v>
      </c>
      <c r="W336" s="3">
        <f t="shared" si="6"/>
        <v>2</v>
      </c>
      <c r="X336" s="3" t="str">
        <f>IFERROR(__xludf.DUMMYFUNCTION("split(B336,"" "")"),"T.")</f>
        <v>T.</v>
      </c>
      <c r="Y336" s="3" t="str">
        <f>IFERROR(__xludf.DUMMYFUNCTION("""COMPUTED_VALUE"""),"McLaurin")</f>
        <v>McLaurin</v>
      </c>
      <c r="AA336" s="3">
        <v>17.0</v>
      </c>
      <c r="AB336" s="3">
        <f t="shared" si="7"/>
        <v>0</v>
      </c>
      <c r="AC336" s="3">
        <f t="shared" si="8"/>
        <v>1</v>
      </c>
      <c r="AD336" s="3">
        <f t="shared" si="9"/>
        <v>0.8695652174</v>
      </c>
      <c r="AE336" s="3">
        <f t="shared" si="10"/>
        <v>0.8695652174</v>
      </c>
      <c r="AF336" s="3">
        <f t="shared" si="11"/>
        <v>1.739130435</v>
      </c>
      <c r="AG336" s="3">
        <f t="shared" si="12"/>
        <v>0.7142857143</v>
      </c>
    </row>
    <row r="337">
      <c r="A337" s="1" t="s">
        <v>11</v>
      </c>
      <c r="B337" s="1" t="s">
        <v>81</v>
      </c>
      <c r="C337" s="1" t="s">
        <v>20</v>
      </c>
      <c r="D337" s="1" t="s">
        <v>82</v>
      </c>
      <c r="E337" s="1" t="s">
        <v>83</v>
      </c>
      <c r="F337" s="1" t="s">
        <v>84</v>
      </c>
      <c r="G337" s="1">
        <v>28.0</v>
      </c>
      <c r="H337" s="1" t="s">
        <v>60</v>
      </c>
      <c r="I337" s="1">
        <v>-115.0</v>
      </c>
      <c r="J337" s="1">
        <v>-0.070700686411349</v>
      </c>
      <c r="K337" s="1" t="s">
        <v>61</v>
      </c>
      <c r="L337" s="1" t="s">
        <v>61</v>
      </c>
      <c r="M337" s="1" t="s">
        <v>62</v>
      </c>
      <c r="N337" s="1">
        <v>-115.0</v>
      </c>
      <c r="O337" s="1">
        <v>0.00202935409805105</v>
      </c>
      <c r="P337" s="1" t="s">
        <v>61</v>
      </c>
      <c r="Q337" s="1" t="s">
        <v>61</v>
      </c>
      <c r="R337" s="1">
        <f t="shared" si="1"/>
        <v>0.002029354098</v>
      </c>
      <c r="S337" s="1">
        <f t="shared" si="2"/>
        <v>-115</v>
      </c>
      <c r="T337" s="1">
        <f t="shared" si="3"/>
        <v>1.869565217</v>
      </c>
      <c r="U337" s="1">
        <f t="shared" si="4"/>
        <v>0</v>
      </c>
      <c r="V337" s="3">
        <f t="shared" si="5"/>
        <v>1</v>
      </c>
      <c r="W337" s="3">
        <f t="shared" si="6"/>
        <v>2</v>
      </c>
      <c r="X337" s="3" t="str">
        <f>IFERROR(__xludf.DUMMYFUNCTION("split(B337,"" "")"),"N.")</f>
        <v>N.</v>
      </c>
      <c r="Y337" s="3" t="str">
        <f>IFERROR(__xludf.DUMMYFUNCTION("""COMPUTED_VALUE"""),"Fant")</f>
        <v>Fant</v>
      </c>
      <c r="AA337" s="3">
        <v>11.0</v>
      </c>
      <c r="AB337" s="3">
        <f t="shared" si="7"/>
        <v>0</v>
      </c>
      <c r="AC337" s="3">
        <f t="shared" si="8"/>
        <v>1</v>
      </c>
      <c r="AD337" s="3">
        <f t="shared" si="9"/>
        <v>0.8695652174</v>
      </c>
      <c r="AE337" s="3">
        <f t="shared" si="10"/>
        <v>0.8695652174</v>
      </c>
      <c r="AF337" s="3">
        <f t="shared" si="11"/>
        <v>1.739130435</v>
      </c>
      <c r="AG337" s="3">
        <f t="shared" si="12"/>
        <v>0.6071428571</v>
      </c>
    </row>
    <row r="338">
      <c r="A338" s="1" t="s">
        <v>11</v>
      </c>
      <c r="B338" s="1" t="s">
        <v>112</v>
      </c>
      <c r="C338" s="1" t="s">
        <v>20</v>
      </c>
      <c r="D338" s="1" t="s">
        <v>113</v>
      </c>
      <c r="E338" s="1" t="s">
        <v>114</v>
      </c>
      <c r="F338" s="1" t="s">
        <v>90</v>
      </c>
      <c r="G338" s="1">
        <v>25.5</v>
      </c>
      <c r="H338" s="1" t="s">
        <v>60</v>
      </c>
      <c r="I338" s="1">
        <v>-115.0</v>
      </c>
      <c r="J338" s="1">
        <v>-0.0702681221662001</v>
      </c>
      <c r="K338" s="1" t="s">
        <v>61</v>
      </c>
      <c r="L338" s="1" t="s">
        <v>61</v>
      </c>
      <c r="M338" s="1" t="s">
        <v>62</v>
      </c>
      <c r="N338" s="1">
        <v>-115.0</v>
      </c>
      <c r="O338" s="1">
        <v>5.73340491130003E-4</v>
      </c>
      <c r="P338" s="1" t="s">
        <v>61</v>
      </c>
      <c r="Q338" s="1" t="s">
        <v>61</v>
      </c>
      <c r="R338" s="1">
        <f t="shared" si="1"/>
        <v>0.0005733404911</v>
      </c>
      <c r="S338" s="1">
        <f t="shared" si="2"/>
        <v>-115</v>
      </c>
      <c r="T338" s="1">
        <f t="shared" si="3"/>
        <v>1.869565217</v>
      </c>
      <c r="U338" s="1">
        <f t="shared" si="4"/>
        <v>0</v>
      </c>
      <c r="V338" s="3">
        <f t="shared" si="5"/>
        <v>1</v>
      </c>
      <c r="W338" s="3">
        <f t="shared" si="6"/>
        <v>2</v>
      </c>
      <c r="X338" s="3" t="str">
        <f>IFERROR(__xludf.DUMMYFUNCTION("split(B338,"" "")"),"C.")</f>
        <v>C.</v>
      </c>
      <c r="Y338" s="3" t="str">
        <f>IFERROR(__xludf.DUMMYFUNCTION("""COMPUTED_VALUE"""),"Otton")</f>
        <v>Otton</v>
      </c>
      <c r="AA338" s="3">
        <v>5.0</v>
      </c>
      <c r="AB338" s="3">
        <f t="shared" si="7"/>
        <v>0</v>
      </c>
      <c r="AC338" s="3">
        <f t="shared" si="8"/>
        <v>1</v>
      </c>
      <c r="AD338" s="3">
        <f t="shared" si="9"/>
        <v>0.8695652174</v>
      </c>
      <c r="AE338" s="3">
        <f t="shared" si="10"/>
        <v>0.8695652174</v>
      </c>
      <c r="AF338" s="3">
        <f t="shared" si="11"/>
        <v>1.739130435</v>
      </c>
      <c r="AG338" s="3">
        <f t="shared" si="12"/>
        <v>0.8039215686</v>
      </c>
    </row>
    <row r="339">
      <c r="A339" s="1" t="s">
        <v>10</v>
      </c>
      <c r="B339" s="1" t="s">
        <v>143</v>
      </c>
      <c r="C339" s="1" t="s">
        <v>19</v>
      </c>
      <c r="D339" s="1" t="s">
        <v>99</v>
      </c>
      <c r="E339" s="1" t="s">
        <v>100</v>
      </c>
      <c r="F339" s="1" t="s">
        <v>59</v>
      </c>
      <c r="G339" s="1">
        <v>29.5</v>
      </c>
      <c r="H339" s="1" t="s">
        <v>60</v>
      </c>
      <c r="I339" s="1">
        <v>-113.0</v>
      </c>
      <c r="J339" s="1">
        <v>-0.111042370210197</v>
      </c>
      <c r="K339" s="1" t="s">
        <v>61</v>
      </c>
      <c r="L339" s="1" t="s">
        <v>61</v>
      </c>
      <c r="M339" s="1" t="s">
        <v>62</v>
      </c>
      <c r="N339" s="1">
        <v>-116.0</v>
      </c>
      <c r="O339" s="1">
        <v>0.0435358001459976</v>
      </c>
      <c r="P339" s="1" t="s">
        <v>61</v>
      </c>
      <c r="Q339" s="1" t="s">
        <v>61</v>
      </c>
      <c r="R339" s="1">
        <f t="shared" si="1"/>
        <v>0.04353580015</v>
      </c>
      <c r="S339" s="1">
        <f t="shared" si="2"/>
        <v>-116</v>
      </c>
      <c r="T339" s="1">
        <f t="shared" si="3"/>
        <v>1.862068966</v>
      </c>
      <c r="U339" s="1">
        <f t="shared" si="4"/>
        <v>0</v>
      </c>
      <c r="V339" s="3">
        <f t="shared" si="5"/>
        <v>1</v>
      </c>
      <c r="W339" s="3">
        <f t="shared" si="6"/>
        <v>2</v>
      </c>
      <c r="X339" s="3" t="str">
        <f>IFERROR(__xludf.DUMMYFUNCTION("split(B339,"" "")"),"K.")</f>
        <v>K.</v>
      </c>
      <c r="Y339" s="3" t="str">
        <f>IFERROR(__xludf.DUMMYFUNCTION("""COMPUTED_VALUE"""),"Herbert")</f>
        <v>Herbert</v>
      </c>
      <c r="AA339" s="3">
        <v>4.0</v>
      </c>
      <c r="AB339" s="3">
        <f t="shared" si="7"/>
        <v>0</v>
      </c>
      <c r="AC339" s="3">
        <f t="shared" si="8"/>
        <v>1</v>
      </c>
      <c r="AD339" s="3">
        <f t="shared" si="9"/>
        <v>0.8620689655</v>
      </c>
      <c r="AE339" s="3">
        <f t="shared" si="10"/>
        <v>0.8620689655</v>
      </c>
      <c r="AF339" s="3">
        <f t="shared" si="11"/>
        <v>1.724137931</v>
      </c>
      <c r="AG339" s="3">
        <f t="shared" si="12"/>
        <v>0.8644067797</v>
      </c>
    </row>
    <row r="340">
      <c r="A340" s="1" t="s">
        <v>9</v>
      </c>
      <c r="B340" s="1" t="s">
        <v>127</v>
      </c>
      <c r="C340" s="1" t="s">
        <v>19</v>
      </c>
      <c r="D340" s="1" t="s">
        <v>83</v>
      </c>
      <c r="E340" s="1" t="s">
        <v>82</v>
      </c>
      <c r="F340" s="1" t="s">
        <v>84</v>
      </c>
      <c r="G340" s="1">
        <v>70.5</v>
      </c>
      <c r="H340" s="1" t="s">
        <v>60</v>
      </c>
      <c r="I340" s="1">
        <v>-116.0</v>
      </c>
      <c r="J340" s="1">
        <v>-0.111980559769901</v>
      </c>
      <c r="K340" s="1" t="s">
        <v>61</v>
      </c>
      <c r="L340" s="1" t="s">
        <v>61</v>
      </c>
      <c r="M340" s="1" t="s">
        <v>62</v>
      </c>
      <c r="N340" s="1">
        <v>-116.0</v>
      </c>
      <c r="O340" s="1">
        <v>0.0378654493330858</v>
      </c>
      <c r="P340" s="1" t="s">
        <v>61</v>
      </c>
      <c r="Q340" s="1" t="s">
        <v>61</v>
      </c>
      <c r="R340" s="1">
        <f t="shared" si="1"/>
        <v>0.03786544933</v>
      </c>
      <c r="S340" s="1">
        <f t="shared" si="2"/>
        <v>-116</v>
      </c>
      <c r="T340" s="1">
        <f t="shared" si="3"/>
        <v>1.862068966</v>
      </c>
      <c r="U340" s="1">
        <f t="shared" si="4"/>
        <v>0</v>
      </c>
      <c r="V340" s="3">
        <f t="shared" si="5"/>
        <v>1</v>
      </c>
      <c r="W340" s="3">
        <f t="shared" si="6"/>
        <v>2</v>
      </c>
      <c r="X340" s="3" t="str">
        <f>IFERROR(__xludf.DUMMYFUNCTION("split(B340,"" "")"),"J.")</f>
        <v>J.</v>
      </c>
      <c r="Y340" s="3" t="str">
        <f>IFERROR(__xludf.DUMMYFUNCTION("""COMPUTED_VALUE"""),"Williams")</f>
        <v>Williams</v>
      </c>
      <c r="AA340" s="3">
        <v>23.0</v>
      </c>
      <c r="AB340" s="3">
        <f t="shared" si="7"/>
        <v>0</v>
      </c>
      <c r="AC340" s="3">
        <f t="shared" si="8"/>
        <v>1</v>
      </c>
      <c r="AD340" s="3">
        <f t="shared" si="9"/>
        <v>0.8620689655</v>
      </c>
      <c r="AE340" s="3">
        <f t="shared" si="10"/>
        <v>0.8620689655</v>
      </c>
      <c r="AF340" s="3">
        <f t="shared" si="11"/>
        <v>1.724137931</v>
      </c>
      <c r="AG340" s="3">
        <f t="shared" si="12"/>
        <v>0.6737588652</v>
      </c>
    </row>
    <row r="341">
      <c r="A341" s="1" t="s">
        <v>9</v>
      </c>
      <c r="B341" s="1" t="s">
        <v>395</v>
      </c>
      <c r="C341" s="1" t="s">
        <v>18</v>
      </c>
      <c r="D341" s="1" t="s">
        <v>88</v>
      </c>
      <c r="E341" s="1" t="s">
        <v>89</v>
      </c>
      <c r="F341" s="1" t="s">
        <v>90</v>
      </c>
      <c r="G341" s="1">
        <v>86.5</v>
      </c>
      <c r="H341" s="1" t="s">
        <v>60</v>
      </c>
      <c r="I341" s="1">
        <v>-116.0</v>
      </c>
      <c r="J341" s="1">
        <v>-0.107771525616566</v>
      </c>
      <c r="K341" s="1" t="s">
        <v>61</v>
      </c>
      <c r="L341" s="1" t="s">
        <v>61</v>
      </c>
      <c r="M341" s="1" t="s">
        <v>62</v>
      </c>
      <c r="N341" s="1">
        <v>-116.0</v>
      </c>
      <c r="O341" s="1">
        <v>0.0337029697152165</v>
      </c>
      <c r="P341" s="1" t="s">
        <v>61</v>
      </c>
      <c r="Q341" s="1" t="s">
        <v>61</v>
      </c>
      <c r="R341" s="1">
        <f t="shared" si="1"/>
        <v>0.03370296972</v>
      </c>
      <c r="S341" s="1">
        <f t="shared" si="2"/>
        <v>-116</v>
      </c>
      <c r="T341" s="1">
        <f t="shared" si="3"/>
        <v>1.862068966</v>
      </c>
      <c r="U341" s="1">
        <f t="shared" si="4"/>
        <v>0</v>
      </c>
      <c r="V341" s="3">
        <f t="shared" si="5"/>
        <v>1</v>
      </c>
      <c r="W341" s="3">
        <f t="shared" si="6"/>
        <v>2</v>
      </c>
      <c r="X341" s="3" t="str">
        <f>IFERROR(__xludf.DUMMYFUNCTION("split(B341,"" "")"),"C.")</f>
        <v>C.</v>
      </c>
      <c r="Y341" s="3" t="str">
        <f>IFERROR(__xludf.DUMMYFUNCTION("""COMPUTED_VALUE"""),"Lamb")</f>
        <v>Lamb</v>
      </c>
      <c r="AA341" s="3">
        <v>86.0</v>
      </c>
      <c r="AB341" s="3">
        <f t="shared" si="7"/>
        <v>0</v>
      </c>
      <c r="AC341" s="3">
        <f t="shared" si="8"/>
        <v>1</v>
      </c>
      <c r="AD341" s="3">
        <f t="shared" si="9"/>
        <v>0.8620689655</v>
      </c>
      <c r="AE341" s="3">
        <f t="shared" si="10"/>
        <v>0.8620689655</v>
      </c>
      <c r="AF341" s="3">
        <f t="shared" si="11"/>
        <v>1.724137931</v>
      </c>
      <c r="AG341" s="3">
        <f t="shared" si="12"/>
        <v>0.005780346821</v>
      </c>
    </row>
    <row r="342">
      <c r="A342" s="1" t="s">
        <v>9</v>
      </c>
      <c r="B342" s="1" t="s">
        <v>266</v>
      </c>
      <c r="C342" s="1" t="s">
        <v>19</v>
      </c>
      <c r="D342" s="1" t="s">
        <v>57</v>
      </c>
      <c r="E342" s="1" t="s">
        <v>58</v>
      </c>
      <c r="F342" s="1" t="s">
        <v>59</v>
      </c>
      <c r="G342" s="1">
        <v>72.5</v>
      </c>
      <c r="H342" s="1" t="s">
        <v>60</v>
      </c>
      <c r="I342" s="1">
        <v>-116.0</v>
      </c>
      <c r="J342" s="1">
        <v>-0.107153942782845</v>
      </c>
      <c r="K342" s="1" t="s">
        <v>61</v>
      </c>
      <c r="L342" s="1" t="s">
        <v>61</v>
      </c>
      <c r="M342" s="1" t="s">
        <v>62</v>
      </c>
      <c r="N342" s="1">
        <v>-116.0</v>
      </c>
      <c r="O342" s="1">
        <v>0.0330825736281009</v>
      </c>
      <c r="P342" s="1" t="s">
        <v>61</v>
      </c>
      <c r="Q342" s="1" t="s">
        <v>61</v>
      </c>
      <c r="R342" s="1">
        <f t="shared" si="1"/>
        <v>0.03308257363</v>
      </c>
      <c r="S342" s="1">
        <f t="shared" si="2"/>
        <v>-116</v>
      </c>
      <c r="T342" s="1">
        <f t="shared" si="3"/>
        <v>1.862068966</v>
      </c>
      <c r="U342" s="1">
        <f t="shared" si="4"/>
        <v>0</v>
      </c>
      <c r="V342" s="3">
        <f t="shared" si="5"/>
        <v>1</v>
      </c>
      <c r="W342" s="3">
        <f t="shared" si="6"/>
        <v>2</v>
      </c>
      <c r="X342" s="3" t="str">
        <f>IFERROR(__xludf.DUMMYFUNCTION("split(B342,"" "")"),"C.")</f>
        <v>C.</v>
      </c>
      <c r="Y342" s="3" t="str">
        <f>IFERROR(__xludf.DUMMYFUNCTION("""COMPUTED_VALUE"""),"Hubbard")</f>
        <v>Hubbard</v>
      </c>
      <c r="AA342" s="3">
        <v>14.0</v>
      </c>
      <c r="AB342" s="3">
        <f t="shared" si="7"/>
        <v>0</v>
      </c>
      <c r="AC342" s="3">
        <f t="shared" si="8"/>
        <v>1</v>
      </c>
      <c r="AD342" s="3">
        <f t="shared" si="9"/>
        <v>0.8620689655</v>
      </c>
      <c r="AE342" s="3">
        <f t="shared" si="10"/>
        <v>0.8620689655</v>
      </c>
      <c r="AF342" s="3">
        <f t="shared" si="11"/>
        <v>1.724137931</v>
      </c>
      <c r="AG342" s="3">
        <f t="shared" si="12"/>
        <v>0.8068965517</v>
      </c>
    </row>
    <row r="343">
      <c r="A343" s="1" t="s">
        <v>10</v>
      </c>
      <c r="B343" s="1" t="s">
        <v>119</v>
      </c>
      <c r="C343" s="1" t="s">
        <v>21</v>
      </c>
      <c r="D343" s="1" t="s">
        <v>93</v>
      </c>
      <c r="E343" s="1" t="s">
        <v>94</v>
      </c>
      <c r="F343" s="1" t="s">
        <v>59</v>
      </c>
      <c r="G343" s="1">
        <v>16.5</v>
      </c>
      <c r="H343" s="1" t="s">
        <v>60</v>
      </c>
      <c r="I343" s="1">
        <v>-113.0</v>
      </c>
      <c r="J343" s="1">
        <v>-0.098097088793026</v>
      </c>
      <c r="K343" s="1" t="s">
        <v>61</v>
      </c>
      <c r="L343" s="1" t="s">
        <v>61</v>
      </c>
      <c r="M343" s="1" t="s">
        <v>62</v>
      </c>
      <c r="N343" s="1">
        <v>-116.0</v>
      </c>
      <c r="O343" s="1">
        <v>0.0305552254582447</v>
      </c>
      <c r="P343" s="1" t="s">
        <v>61</v>
      </c>
      <c r="Q343" s="1" t="s">
        <v>61</v>
      </c>
      <c r="R343" s="1">
        <f t="shared" si="1"/>
        <v>0.03055522546</v>
      </c>
      <c r="S343" s="1">
        <f t="shared" si="2"/>
        <v>-116</v>
      </c>
      <c r="T343" s="1">
        <f t="shared" si="3"/>
        <v>1.862068966</v>
      </c>
      <c r="U343" s="1">
        <f t="shared" si="4"/>
        <v>0</v>
      </c>
      <c r="V343" s="3">
        <f t="shared" si="5"/>
        <v>1</v>
      </c>
      <c r="W343" s="3">
        <f t="shared" si="6"/>
        <v>2</v>
      </c>
      <c r="X343" s="3" t="str">
        <f>IFERROR(__xludf.DUMMYFUNCTION("split(B343,"" "")"),"T.")</f>
        <v>T.</v>
      </c>
      <c r="Y343" s="3" t="str">
        <f>IFERROR(__xludf.DUMMYFUNCTION("""COMPUTED_VALUE"""),"Lawrence")</f>
        <v>Lawrence</v>
      </c>
      <c r="AA343" s="3">
        <v>8.0</v>
      </c>
      <c r="AB343" s="3">
        <f t="shared" si="7"/>
        <v>0</v>
      </c>
      <c r="AC343" s="3">
        <f t="shared" si="8"/>
        <v>1</v>
      </c>
      <c r="AD343" s="3">
        <f t="shared" si="9"/>
        <v>0.8620689655</v>
      </c>
      <c r="AE343" s="3">
        <f t="shared" si="10"/>
        <v>0.8620689655</v>
      </c>
      <c r="AF343" s="3">
        <f t="shared" si="11"/>
        <v>1.724137931</v>
      </c>
      <c r="AG343" s="3">
        <f t="shared" si="12"/>
        <v>0.5151515152</v>
      </c>
    </row>
    <row r="344">
      <c r="A344" s="1" t="s">
        <v>11</v>
      </c>
      <c r="B344" s="1" t="s">
        <v>191</v>
      </c>
      <c r="C344" s="1" t="s">
        <v>18</v>
      </c>
      <c r="D344" s="1" t="s">
        <v>99</v>
      </c>
      <c r="E344" s="1" t="s">
        <v>100</v>
      </c>
      <c r="F344" s="1" t="s">
        <v>59</v>
      </c>
      <c r="G344" s="1">
        <v>43.5</v>
      </c>
      <c r="H344" s="1" t="s">
        <v>60</v>
      </c>
      <c r="I344" s="1">
        <v>-113.0</v>
      </c>
      <c r="J344" s="1">
        <v>-0.0956585672061033</v>
      </c>
      <c r="K344" s="1" t="s">
        <v>61</v>
      </c>
      <c r="L344" s="1" t="s">
        <v>61</v>
      </c>
      <c r="M344" s="1" t="s">
        <v>62</v>
      </c>
      <c r="N344" s="1">
        <v>-116.0</v>
      </c>
      <c r="O344" s="1">
        <v>0.028124156555037</v>
      </c>
      <c r="P344" s="1" t="s">
        <v>61</v>
      </c>
      <c r="Q344" s="1" t="s">
        <v>61</v>
      </c>
      <c r="R344" s="1">
        <f t="shared" si="1"/>
        <v>0.02812415656</v>
      </c>
      <c r="S344" s="1">
        <f t="shared" si="2"/>
        <v>-116</v>
      </c>
      <c r="T344" s="1">
        <f t="shared" si="3"/>
        <v>1.862068966</v>
      </c>
      <c r="U344" s="1">
        <f t="shared" si="4"/>
        <v>0</v>
      </c>
      <c r="V344" s="3">
        <f t="shared" si="5"/>
        <v>1</v>
      </c>
      <c r="W344" s="3">
        <f t="shared" si="6"/>
        <v>2</v>
      </c>
      <c r="X344" s="3" t="str">
        <f>IFERROR(__xludf.DUMMYFUNCTION("split(B344,"" "")"),"R.")</f>
        <v>R.</v>
      </c>
      <c r="Y344" s="3" t="str">
        <f>IFERROR(__xludf.DUMMYFUNCTION("""COMPUTED_VALUE"""),"Odunze")</f>
        <v>Odunze</v>
      </c>
      <c r="AA344" s="3">
        <v>11.0</v>
      </c>
      <c r="AB344" s="3">
        <f t="shared" si="7"/>
        <v>0</v>
      </c>
      <c r="AC344" s="3">
        <f t="shared" si="8"/>
        <v>1</v>
      </c>
      <c r="AD344" s="3">
        <f t="shared" si="9"/>
        <v>0.8620689655</v>
      </c>
      <c r="AE344" s="3">
        <f t="shared" si="10"/>
        <v>0.8620689655</v>
      </c>
      <c r="AF344" s="3">
        <f t="shared" si="11"/>
        <v>1.724137931</v>
      </c>
      <c r="AG344" s="3">
        <f t="shared" si="12"/>
        <v>0.7471264368</v>
      </c>
    </row>
    <row r="345">
      <c r="A345" s="1" t="s">
        <v>14</v>
      </c>
      <c r="B345" s="1" t="s">
        <v>119</v>
      </c>
      <c r="C345" s="1" t="s">
        <v>21</v>
      </c>
      <c r="D345" s="1" t="s">
        <v>93</v>
      </c>
      <c r="E345" s="1" t="s">
        <v>94</v>
      </c>
      <c r="F345" s="1" t="s">
        <v>59</v>
      </c>
      <c r="G345" s="1">
        <v>1.5</v>
      </c>
      <c r="H345" s="1" t="s">
        <v>60</v>
      </c>
      <c r="I345" s="1">
        <v>-116.0</v>
      </c>
      <c r="J345" s="1">
        <v>-0.100237037037037</v>
      </c>
      <c r="K345" s="1" t="s">
        <v>61</v>
      </c>
      <c r="L345" s="1" t="s">
        <v>61</v>
      </c>
      <c r="M345" s="1" t="s">
        <v>62</v>
      </c>
      <c r="N345" s="1">
        <v>-116.0</v>
      </c>
      <c r="O345" s="1">
        <v>0.0261629629629629</v>
      </c>
      <c r="P345" s="1" t="s">
        <v>61</v>
      </c>
      <c r="Q345" s="1" t="s">
        <v>61</v>
      </c>
      <c r="R345" s="1">
        <f t="shared" si="1"/>
        <v>0.02616296296</v>
      </c>
      <c r="S345" s="1">
        <f t="shared" si="2"/>
        <v>-116</v>
      </c>
      <c r="T345" s="1">
        <f t="shared" si="3"/>
        <v>1.862068966</v>
      </c>
      <c r="U345" s="1">
        <f t="shared" si="4"/>
        <v>0</v>
      </c>
      <c r="V345" s="3">
        <f t="shared" si="5"/>
        <v>1</v>
      </c>
      <c r="W345" s="3">
        <f t="shared" si="6"/>
        <v>2</v>
      </c>
      <c r="X345" s="3" t="str">
        <f>IFERROR(__xludf.DUMMYFUNCTION("split(B345,"" "")"),"T.")</f>
        <v>T.</v>
      </c>
      <c r="Y345" s="3" t="str">
        <f>IFERROR(__xludf.DUMMYFUNCTION("""COMPUTED_VALUE"""),"Lawrence")</f>
        <v>Lawrence</v>
      </c>
      <c r="AA345" s="3">
        <v>1.0</v>
      </c>
      <c r="AB345" s="3">
        <f t="shared" si="7"/>
        <v>0</v>
      </c>
      <c r="AC345" s="3">
        <f t="shared" si="8"/>
        <v>1</v>
      </c>
      <c r="AD345" s="3">
        <f t="shared" si="9"/>
        <v>0.8620689655</v>
      </c>
      <c r="AE345" s="3">
        <f t="shared" si="10"/>
        <v>0.8620689655</v>
      </c>
      <c r="AF345" s="3">
        <f t="shared" si="11"/>
        <v>1.724137931</v>
      </c>
      <c r="AG345" s="3">
        <f t="shared" si="12"/>
        <v>0.3333333333</v>
      </c>
    </row>
    <row r="346">
      <c r="A346" s="1" t="s">
        <v>9</v>
      </c>
      <c r="B346" s="1" t="s">
        <v>179</v>
      </c>
      <c r="C346" s="1" t="s">
        <v>19</v>
      </c>
      <c r="D346" s="1" t="s">
        <v>76</v>
      </c>
      <c r="E346" s="1" t="s">
        <v>77</v>
      </c>
      <c r="F346" s="1" t="s">
        <v>78</v>
      </c>
      <c r="G346" s="1">
        <v>79.0</v>
      </c>
      <c r="H346" s="1" t="s">
        <v>60</v>
      </c>
      <c r="I346" s="1">
        <v>-115.0</v>
      </c>
      <c r="J346" s="6">
        <v>-0.0898365872586228</v>
      </c>
      <c r="K346" s="1" t="s">
        <v>61</v>
      </c>
      <c r="L346" s="1" t="s">
        <v>61</v>
      </c>
      <c r="M346" s="1" t="s">
        <v>62</v>
      </c>
      <c r="N346" s="1">
        <v>-116.0</v>
      </c>
      <c r="O346" s="6">
        <v>0.0184806706587986</v>
      </c>
      <c r="P346" s="1" t="s">
        <v>61</v>
      </c>
      <c r="Q346" s="1" t="s">
        <v>61</v>
      </c>
      <c r="R346" s="6">
        <f t="shared" si="1"/>
        <v>0.01848067066</v>
      </c>
      <c r="S346" s="1">
        <f t="shared" si="2"/>
        <v>-116</v>
      </c>
      <c r="T346" s="1">
        <f t="shared" si="3"/>
        <v>1.862068966</v>
      </c>
      <c r="U346" s="1">
        <f t="shared" si="4"/>
        <v>0</v>
      </c>
      <c r="V346" s="3">
        <f t="shared" si="5"/>
        <v>1</v>
      </c>
      <c r="W346" s="3">
        <f t="shared" si="6"/>
        <v>2</v>
      </c>
      <c r="X346" s="3" t="str">
        <f>IFERROR(__xludf.DUMMYFUNCTION("split(B346,"" "")"),"I.")</f>
        <v>I.</v>
      </c>
      <c r="Y346" s="3" t="str">
        <f>IFERROR(__xludf.DUMMYFUNCTION("""COMPUTED_VALUE"""),"Pacheco")</f>
        <v>Pacheco</v>
      </c>
      <c r="AA346" s="3">
        <v>78.0</v>
      </c>
      <c r="AB346" s="3">
        <f t="shared" si="7"/>
        <v>0</v>
      </c>
      <c r="AC346" s="3">
        <f t="shared" si="8"/>
        <v>1</v>
      </c>
      <c r="AD346" s="3">
        <f t="shared" si="9"/>
        <v>0.8620689655</v>
      </c>
      <c r="AE346" s="3">
        <f t="shared" si="10"/>
        <v>0.8620689655</v>
      </c>
      <c r="AF346" s="3">
        <f t="shared" si="11"/>
        <v>1.724137931</v>
      </c>
      <c r="AG346" s="3">
        <f t="shared" si="12"/>
        <v>0.01265822785</v>
      </c>
    </row>
    <row r="347">
      <c r="A347" s="1" t="s">
        <v>11</v>
      </c>
      <c r="B347" s="1" t="s">
        <v>310</v>
      </c>
      <c r="C347" s="1" t="s">
        <v>18</v>
      </c>
      <c r="D347" s="1" t="s">
        <v>72</v>
      </c>
      <c r="E347" s="1" t="s">
        <v>71</v>
      </c>
      <c r="F347" s="1" t="s">
        <v>59</v>
      </c>
      <c r="G347" s="1">
        <v>60.5</v>
      </c>
      <c r="H347" s="1" t="s">
        <v>60</v>
      </c>
      <c r="I347" s="1">
        <v>-116.0</v>
      </c>
      <c r="J347" s="1">
        <v>-0.0893992819357248</v>
      </c>
      <c r="K347" s="1" t="s">
        <v>61</v>
      </c>
      <c r="L347" s="1" t="s">
        <v>61</v>
      </c>
      <c r="M347" s="1" t="s">
        <v>62</v>
      </c>
      <c r="N347" s="1">
        <v>-116.0</v>
      </c>
      <c r="O347" s="1">
        <v>0.0153018960990728</v>
      </c>
      <c r="P347" s="1" t="s">
        <v>61</v>
      </c>
      <c r="Q347" s="1" t="s">
        <v>61</v>
      </c>
      <c r="R347" s="1">
        <f t="shared" si="1"/>
        <v>0.0153018961</v>
      </c>
      <c r="S347" s="1">
        <f t="shared" si="2"/>
        <v>-116</v>
      </c>
      <c r="T347" s="1">
        <f t="shared" si="3"/>
        <v>1.862068966</v>
      </c>
      <c r="U347" s="1">
        <f t="shared" si="4"/>
        <v>0</v>
      </c>
      <c r="V347" s="3">
        <f t="shared" si="5"/>
        <v>1</v>
      </c>
      <c r="W347" s="3">
        <f t="shared" si="6"/>
        <v>2</v>
      </c>
      <c r="X347" s="3" t="str">
        <f>IFERROR(__xludf.DUMMYFUNCTION("split(B347,"" "")"),"S.")</f>
        <v>S.</v>
      </c>
      <c r="Y347" s="3" t="str">
        <f>IFERROR(__xludf.DUMMYFUNCTION("""COMPUTED_VALUE"""),"Diggs")</f>
        <v>Diggs</v>
      </c>
      <c r="AA347" s="3">
        <v>33.0</v>
      </c>
      <c r="AB347" s="3">
        <f t="shared" si="7"/>
        <v>0</v>
      </c>
      <c r="AC347" s="3">
        <f t="shared" si="8"/>
        <v>1</v>
      </c>
      <c r="AD347" s="3">
        <f t="shared" si="9"/>
        <v>0.8620689655</v>
      </c>
      <c r="AE347" s="3">
        <f t="shared" si="10"/>
        <v>0.8620689655</v>
      </c>
      <c r="AF347" s="3">
        <f t="shared" si="11"/>
        <v>1.724137931</v>
      </c>
      <c r="AG347" s="3">
        <f t="shared" si="12"/>
        <v>0.4545454545</v>
      </c>
    </row>
    <row r="348">
      <c r="A348" s="1" t="s">
        <v>11</v>
      </c>
      <c r="B348" s="1" t="s">
        <v>127</v>
      </c>
      <c r="C348" s="1" t="s">
        <v>18</v>
      </c>
      <c r="D348" s="1" t="s">
        <v>197</v>
      </c>
      <c r="E348" s="1" t="s">
        <v>196</v>
      </c>
      <c r="F348" s="1" t="s">
        <v>198</v>
      </c>
      <c r="G348" s="1">
        <v>40.5</v>
      </c>
      <c r="H348" s="1" t="s">
        <v>60</v>
      </c>
      <c r="I348" s="1">
        <v>-118.0</v>
      </c>
      <c r="J348" s="1">
        <v>-0.09079955732</v>
      </c>
      <c r="K348" s="1" t="s">
        <v>61</v>
      </c>
      <c r="L348" s="1" t="s">
        <v>61</v>
      </c>
      <c r="M348" s="1" t="s">
        <v>62</v>
      </c>
      <c r="N348" s="1">
        <v>-116.0</v>
      </c>
      <c r="O348" s="1">
        <v>0.0125314643921111</v>
      </c>
      <c r="P348" s="1" t="s">
        <v>61</v>
      </c>
      <c r="Q348" s="1" t="s">
        <v>61</v>
      </c>
      <c r="R348" s="1">
        <f t="shared" si="1"/>
        <v>0.01253146439</v>
      </c>
      <c r="S348" s="1">
        <f t="shared" si="2"/>
        <v>-116</v>
      </c>
      <c r="T348" s="1">
        <f t="shared" si="3"/>
        <v>1.862068966</v>
      </c>
      <c r="U348" s="1">
        <f t="shared" si="4"/>
        <v>0</v>
      </c>
      <c r="V348" s="3">
        <f t="shared" si="5"/>
        <v>1</v>
      </c>
      <c r="W348" s="3">
        <f t="shared" si="6"/>
        <v>2</v>
      </c>
      <c r="X348" s="3" t="str">
        <f>IFERROR(__xludf.DUMMYFUNCTION("split(B348,"" "")"),"J.")</f>
        <v>J.</v>
      </c>
      <c r="Y348" s="3" t="str">
        <f>IFERROR(__xludf.DUMMYFUNCTION("""COMPUTED_VALUE"""),"Williams")</f>
        <v>Williams</v>
      </c>
      <c r="AA348" s="3">
        <v>4.0</v>
      </c>
      <c r="AB348" s="3">
        <f t="shared" si="7"/>
        <v>0</v>
      </c>
      <c r="AC348" s="3">
        <f t="shared" si="8"/>
        <v>1</v>
      </c>
      <c r="AD348" s="3">
        <f t="shared" si="9"/>
        <v>0.8620689655</v>
      </c>
      <c r="AE348" s="3">
        <f t="shared" si="10"/>
        <v>0.8620689655</v>
      </c>
      <c r="AF348" s="3">
        <f t="shared" si="11"/>
        <v>1.724137931</v>
      </c>
      <c r="AG348" s="3">
        <f t="shared" si="12"/>
        <v>0.9012345679</v>
      </c>
    </row>
    <row r="349">
      <c r="A349" s="1" t="s">
        <v>9</v>
      </c>
      <c r="B349" s="1" t="s">
        <v>133</v>
      </c>
      <c r="C349" s="1" t="s">
        <v>19</v>
      </c>
      <c r="D349" s="1" t="s">
        <v>134</v>
      </c>
      <c r="E349" s="1" t="s">
        <v>135</v>
      </c>
      <c r="F349" s="1" t="s">
        <v>84</v>
      </c>
      <c r="G349" s="1">
        <v>67.5</v>
      </c>
      <c r="H349" s="1" t="s">
        <v>60</v>
      </c>
      <c r="I349" s="1">
        <v>-115.0</v>
      </c>
      <c r="J349" s="1">
        <v>-0.0836038613514378</v>
      </c>
      <c r="K349" s="1" t="s">
        <v>61</v>
      </c>
      <c r="L349" s="1" t="s">
        <v>61</v>
      </c>
      <c r="M349" s="1" t="s">
        <v>62</v>
      </c>
      <c r="N349" s="1">
        <v>-116.0</v>
      </c>
      <c r="O349" s="1">
        <v>0.0116862176900396</v>
      </c>
      <c r="P349" s="1" t="s">
        <v>61</v>
      </c>
      <c r="Q349" s="1" t="s">
        <v>61</v>
      </c>
      <c r="R349" s="1">
        <f t="shared" si="1"/>
        <v>0.01168621769</v>
      </c>
      <c r="S349" s="1">
        <f t="shared" si="2"/>
        <v>-116</v>
      </c>
      <c r="T349" s="1">
        <f t="shared" si="3"/>
        <v>1.862068966</v>
      </c>
      <c r="U349" s="1">
        <f t="shared" si="4"/>
        <v>0</v>
      </c>
      <c r="V349" s="3">
        <f t="shared" si="5"/>
        <v>1</v>
      </c>
      <c r="W349" s="3">
        <f t="shared" si="6"/>
        <v>2</v>
      </c>
      <c r="X349" s="3" t="str">
        <f>IFERROR(__xludf.DUMMYFUNCTION("split(B349,"" "")"),"Z.")</f>
        <v>Z.</v>
      </c>
      <c r="Y349" s="3" t="str">
        <f>IFERROR(__xludf.DUMMYFUNCTION("""COMPUTED_VALUE"""),"White")</f>
        <v>White</v>
      </c>
      <c r="AA349" s="3">
        <v>46.0</v>
      </c>
      <c r="AB349" s="3">
        <f t="shared" si="7"/>
        <v>0</v>
      </c>
      <c r="AC349" s="3">
        <f t="shared" si="8"/>
        <v>1</v>
      </c>
      <c r="AD349" s="3">
        <f t="shared" si="9"/>
        <v>0.8620689655</v>
      </c>
      <c r="AE349" s="3">
        <f t="shared" si="10"/>
        <v>0.8620689655</v>
      </c>
      <c r="AF349" s="3">
        <f t="shared" si="11"/>
        <v>1.724137931</v>
      </c>
      <c r="AG349" s="3">
        <f t="shared" si="12"/>
        <v>0.3185185185</v>
      </c>
    </row>
    <row r="350">
      <c r="A350" s="1" t="s">
        <v>13</v>
      </c>
      <c r="B350" s="1" t="s">
        <v>369</v>
      </c>
      <c r="C350" s="1" t="s">
        <v>21</v>
      </c>
      <c r="D350" s="1" t="s">
        <v>72</v>
      </c>
      <c r="E350" s="1" t="s">
        <v>71</v>
      </c>
      <c r="F350" s="1" t="s">
        <v>59</v>
      </c>
      <c r="G350" s="1">
        <v>273.5</v>
      </c>
      <c r="H350" s="1" t="s">
        <v>60</v>
      </c>
      <c r="I350" s="1">
        <v>-116.0</v>
      </c>
      <c r="J350" s="1">
        <v>-0.0841244721388889</v>
      </c>
      <c r="K350" s="1" t="s">
        <v>61</v>
      </c>
      <c r="L350" s="1" t="s">
        <v>61</v>
      </c>
      <c r="M350" s="1" t="s">
        <v>62</v>
      </c>
      <c r="N350" s="1">
        <v>-116.0</v>
      </c>
      <c r="O350" s="1">
        <v>0.0100797173611109</v>
      </c>
      <c r="P350" s="1" t="s">
        <v>61</v>
      </c>
      <c r="Q350" s="1" t="s">
        <v>61</v>
      </c>
      <c r="R350" s="1">
        <f t="shared" si="1"/>
        <v>0.01007971736</v>
      </c>
      <c r="S350" s="1">
        <f t="shared" si="2"/>
        <v>-116</v>
      </c>
      <c r="T350" s="1">
        <f t="shared" si="3"/>
        <v>1.862068966</v>
      </c>
      <c r="U350" s="1">
        <f t="shared" si="4"/>
        <v>0</v>
      </c>
      <c r="V350" s="3">
        <f t="shared" si="5"/>
        <v>1</v>
      </c>
      <c r="W350" s="3">
        <f t="shared" si="6"/>
        <v>2</v>
      </c>
      <c r="X350" s="3" t="str">
        <f>IFERROR(__xludf.DUMMYFUNCTION("split(B350,"" "")"),"C.")</f>
        <v>C.</v>
      </c>
      <c r="Y350" s="3" t="str">
        <f>IFERROR(__xludf.DUMMYFUNCTION("""COMPUTED_VALUE"""),"Stroud")</f>
        <v>Stroud</v>
      </c>
      <c r="AA350" s="3">
        <v>234.0</v>
      </c>
      <c r="AB350" s="3">
        <f t="shared" si="7"/>
        <v>0</v>
      </c>
      <c r="AC350" s="3">
        <f t="shared" si="8"/>
        <v>1</v>
      </c>
      <c r="AD350" s="3">
        <f t="shared" si="9"/>
        <v>0.8620689655</v>
      </c>
      <c r="AE350" s="3">
        <f t="shared" si="10"/>
        <v>0.8620689655</v>
      </c>
      <c r="AF350" s="3">
        <f t="shared" si="11"/>
        <v>1.724137931</v>
      </c>
      <c r="AG350" s="3">
        <f t="shared" si="12"/>
        <v>0.1444241316</v>
      </c>
    </row>
    <row r="351">
      <c r="A351" s="1" t="s">
        <v>11</v>
      </c>
      <c r="B351" s="1" t="s">
        <v>185</v>
      </c>
      <c r="C351" s="1" t="s">
        <v>20</v>
      </c>
      <c r="D351" s="1" t="s">
        <v>146</v>
      </c>
      <c r="E351" s="1" t="s">
        <v>147</v>
      </c>
      <c r="F351" s="1" t="s">
        <v>59</v>
      </c>
      <c r="G351" s="1">
        <v>20.5</v>
      </c>
      <c r="H351" s="1" t="s">
        <v>60</v>
      </c>
      <c r="I351" s="1">
        <v>-113.0</v>
      </c>
      <c r="J351" s="1">
        <v>-0.074628707940033</v>
      </c>
      <c r="K351" s="1" t="s">
        <v>61</v>
      </c>
      <c r="L351" s="1" t="s">
        <v>61</v>
      </c>
      <c r="M351" s="1" t="s">
        <v>62</v>
      </c>
      <c r="N351" s="1">
        <v>-116.0</v>
      </c>
      <c r="O351" s="1">
        <v>0.0070770053602932</v>
      </c>
      <c r="P351" s="1" t="s">
        <v>61</v>
      </c>
      <c r="Q351" s="1" t="s">
        <v>61</v>
      </c>
      <c r="R351" s="1">
        <f t="shared" si="1"/>
        <v>0.00707700536</v>
      </c>
      <c r="S351" s="1">
        <f t="shared" si="2"/>
        <v>-116</v>
      </c>
      <c r="T351" s="1">
        <f t="shared" si="3"/>
        <v>1.862068966</v>
      </c>
      <c r="U351" s="1">
        <f t="shared" si="4"/>
        <v>0</v>
      </c>
      <c r="V351" s="3">
        <f t="shared" si="5"/>
        <v>1</v>
      </c>
      <c r="W351" s="3">
        <f t="shared" si="6"/>
        <v>2</v>
      </c>
      <c r="X351" s="3" t="str">
        <f>IFERROR(__xludf.DUMMYFUNCTION("split(B351,"" "")"),"J.")</f>
        <v>J.</v>
      </c>
      <c r="Y351" s="3" t="str">
        <f>IFERROR(__xludf.DUMMYFUNCTION("""COMPUTED_VALUE"""),"Mundt")</f>
        <v>Mundt</v>
      </c>
      <c r="AA351" s="3">
        <v>15.0</v>
      </c>
      <c r="AB351" s="3">
        <f t="shared" si="7"/>
        <v>0</v>
      </c>
      <c r="AC351" s="3">
        <f t="shared" si="8"/>
        <v>1</v>
      </c>
      <c r="AD351" s="3">
        <f t="shared" si="9"/>
        <v>0.8620689655</v>
      </c>
      <c r="AE351" s="3">
        <f t="shared" si="10"/>
        <v>0.8620689655</v>
      </c>
      <c r="AF351" s="3">
        <f t="shared" si="11"/>
        <v>1.724137931</v>
      </c>
      <c r="AG351" s="3">
        <f t="shared" si="12"/>
        <v>0.2682926829</v>
      </c>
    </row>
    <row r="352">
      <c r="A352" s="1" t="s">
        <v>11</v>
      </c>
      <c r="B352" s="1" t="s">
        <v>220</v>
      </c>
      <c r="C352" s="1" t="s">
        <v>20</v>
      </c>
      <c r="D352" s="1" t="s">
        <v>94</v>
      </c>
      <c r="E352" s="1" t="s">
        <v>93</v>
      </c>
      <c r="F352" s="1" t="s">
        <v>59</v>
      </c>
      <c r="G352" s="1">
        <v>24.5</v>
      </c>
      <c r="H352" s="1" t="s">
        <v>60</v>
      </c>
      <c r="I352" s="1">
        <v>-113.0</v>
      </c>
      <c r="J352" s="1">
        <v>-0.0736042790848638</v>
      </c>
      <c r="K352" s="1" t="s">
        <v>61</v>
      </c>
      <c r="L352" s="1" t="s">
        <v>61</v>
      </c>
      <c r="M352" s="1" t="s">
        <v>62</v>
      </c>
      <c r="N352" s="1">
        <v>-116.0</v>
      </c>
      <c r="O352" s="1">
        <v>0.00613539479763047</v>
      </c>
      <c r="P352" s="1" t="s">
        <v>61</v>
      </c>
      <c r="Q352" s="1" t="s">
        <v>61</v>
      </c>
      <c r="R352" s="1">
        <f t="shared" si="1"/>
        <v>0.006135394798</v>
      </c>
      <c r="S352" s="1">
        <f t="shared" si="2"/>
        <v>-116</v>
      </c>
      <c r="T352" s="1">
        <f t="shared" si="3"/>
        <v>1.862068966</v>
      </c>
      <c r="U352" s="1">
        <f t="shared" si="4"/>
        <v>0</v>
      </c>
      <c r="V352" s="3">
        <f t="shared" si="5"/>
        <v>1</v>
      </c>
      <c r="W352" s="3">
        <f t="shared" si="6"/>
        <v>2</v>
      </c>
      <c r="X352" s="3" t="str">
        <f>IFERROR(__xludf.DUMMYFUNCTION("split(B352,"" "")"),"J.")</f>
        <v>J.</v>
      </c>
      <c r="Y352" s="3" t="str">
        <f>IFERROR(__xludf.DUMMYFUNCTION("""COMPUTED_VALUE"""),"Smith")</f>
        <v>Smith</v>
      </c>
      <c r="AA352" s="3">
        <v>7.0</v>
      </c>
      <c r="AB352" s="3">
        <f t="shared" si="7"/>
        <v>0</v>
      </c>
      <c r="AC352" s="3">
        <f t="shared" si="8"/>
        <v>1</v>
      </c>
      <c r="AD352" s="3">
        <f t="shared" si="9"/>
        <v>0.8620689655</v>
      </c>
      <c r="AE352" s="3">
        <f t="shared" si="10"/>
        <v>0.8620689655</v>
      </c>
      <c r="AF352" s="3">
        <f t="shared" si="11"/>
        <v>1.724137931</v>
      </c>
      <c r="AG352" s="3">
        <f t="shared" si="12"/>
        <v>0.7142857143</v>
      </c>
    </row>
    <row r="353">
      <c r="A353" s="1" t="s">
        <v>9</v>
      </c>
      <c r="B353" s="1" t="s">
        <v>397</v>
      </c>
      <c r="C353" s="1" t="s">
        <v>18</v>
      </c>
      <c r="D353" s="1" t="s">
        <v>196</v>
      </c>
      <c r="E353" s="1" t="s">
        <v>197</v>
      </c>
      <c r="F353" s="1" t="s">
        <v>198</v>
      </c>
      <c r="G353" s="1">
        <v>78.5</v>
      </c>
      <c r="H353" s="1" t="s">
        <v>60</v>
      </c>
      <c r="I353" s="1">
        <v>-116.0</v>
      </c>
      <c r="J353" s="1">
        <v>-0.0771562810890509</v>
      </c>
      <c r="K353" s="1" t="s">
        <v>61</v>
      </c>
      <c r="L353" s="1" t="s">
        <v>61</v>
      </c>
      <c r="M353" s="1" t="s">
        <v>62</v>
      </c>
      <c r="N353" s="1">
        <v>-116.0</v>
      </c>
      <c r="O353" s="1">
        <v>0.00310128606329884</v>
      </c>
      <c r="P353" s="1" t="s">
        <v>61</v>
      </c>
      <c r="Q353" s="1" t="s">
        <v>61</v>
      </c>
      <c r="R353" s="1">
        <f t="shared" si="1"/>
        <v>0.003101286063</v>
      </c>
      <c r="S353" s="1">
        <f t="shared" si="2"/>
        <v>-116</v>
      </c>
      <c r="T353" s="1">
        <f t="shared" si="3"/>
        <v>1.862068966</v>
      </c>
      <c r="U353" s="1">
        <f t="shared" si="4"/>
        <v>0</v>
      </c>
      <c r="V353" s="3">
        <f t="shared" si="5"/>
        <v>1</v>
      </c>
      <c r="W353" s="3">
        <f t="shared" si="6"/>
        <v>2</v>
      </c>
      <c r="X353" s="3" t="str">
        <f>IFERROR(__xludf.DUMMYFUNCTION("split(B353,"" "")"),"P.")</f>
        <v>P.</v>
      </c>
      <c r="Y353" s="3" t="str">
        <f>IFERROR(__xludf.DUMMYFUNCTION("""COMPUTED_VALUE"""),"Nacua")</f>
        <v>Nacua</v>
      </c>
      <c r="AA353" s="3">
        <v>42.0</v>
      </c>
      <c r="AB353" s="3">
        <f t="shared" si="7"/>
        <v>0</v>
      </c>
      <c r="AC353" s="3">
        <f t="shared" si="8"/>
        <v>1</v>
      </c>
      <c r="AD353" s="3">
        <f t="shared" si="9"/>
        <v>0.8620689655</v>
      </c>
      <c r="AE353" s="3">
        <f t="shared" si="10"/>
        <v>0.8620689655</v>
      </c>
      <c r="AF353" s="3">
        <f t="shared" si="11"/>
        <v>1.724137931</v>
      </c>
      <c r="AG353" s="3">
        <f t="shared" si="12"/>
        <v>0.4649681529</v>
      </c>
    </row>
    <row r="354">
      <c r="A354" s="1" t="s">
        <v>13</v>
      </c>
      <c r="B354" s="1" t="s">
        <v>251</v>
      </c>
      <c r="C354" s="1" t="s">
        <v>21</v>
      </c>
      <c r="D354" s="1" t="s">
        <v>88</v>
      </c>
      <c r="E354" s="1" t="s">
        <v>89</v>
      </c>
      <c r="F354" s="1" t="s">
        <v>90</v>
      </c>
      <c r="G354" s="1">
        <v>249.5</v>
      </c>
      <c r="H354" s="1" t="s">
        <v>60</v>
      </c>
      <c r="I354" s="1">
        <v>-116.0</v>
      </c>
      <c r="J354" s="1">
        <v>-0.0767296296296297</v>
      </c>
      <c r="K354" s="1" t="s">
        <v>61</v>
      </c>
      <c r="L354" s="1" t="s">
        <v>61</v>
      </c>
      <c r="M354" s="1" t="s">
        <v>62</v>
      </c>
      <c r="N354" s="1">
        <v>-116.0</v>
      </c>
      <c r="O354" s="1">
        <v>0.00267037037037043</v>
      </c>
      <c r="P354" s="1" t="s">
        <v>61</v>
      </c>
      <c r="Q354" s="1" t="s">
        <v>61</v>
      </c>
      <c r="R354" s="1">
        <f t="shared" si="1"/>
        <v>0.00267037037</v>
      </c>
      <c r="S354" s="1">
        <f t="shared" si="2"/>
        <v>-116</v>
      </c>
      <c r="T354" s="1">
        <f t="shared" si="3"/>
        <v>1.862068966</v>
      </c>
      <c r="U354" s="1">
        <f t="shared" si="4"/>
        <v>0</v>
      </c>
      <c r="V354" s="3">
        <f t="shared" si="5"/>
        <v>1</v>
      </c>
      <c r="W354" s="3">
        <f t="shared" si="6"/>
        <v>2</v>
      </c>
      <c r="X354" s="3" t="str">
        <f>IFERROR(__xludf.DUMMYFUNCTION("split(B354,"" "")"),"D.")</f>
        <v>D.</v>
      </c>
      <c r="Y354" s="3" t="str">
        <f>IFERROR(__xludf.DUMMYFUNCTION("""COMPUTED_VALUE"""),"Prescott")</f>
        <v>Prescott</v>
      </c>
      <c r="AA354" s="3">
        <v>179.0</v>
      </c>
      <c r="AB354" s="3">
        <f t="shared" si="7"/>
        <v>0</v>
      </c>
      <c r="AC354" s="3">
        <f t="shared" si="8"/>
        <v>1</v>
      </c>
      <c r="AD354" s="3">
        <f t="shared" si="9"/>
        <v>0.8620689655</v>
      </c>
      <c r="AE354" s="3">
        <f t="shared" si="10"/>
        <v>0.8620689655</v>
      </c>
      <c r="AF354" s="3">
        <f t="shared" si="11"/>
        <v>1.724137931</v>
      </c>
      <c r="AG354" s="3">
        <f t="shared" si="12"/>
        <v>0.2825651303</v>
      </c>
    </row>
    <row r="355">
      <c r="A355" s="1" t="s">
        <v>9</v>
      </c>
      <c r="B355" s="1" t="s">
        <v>336</v>
      </c>
      <c r="C355" s="1" t="s">
        <v>19</v>
      </c>
      <c r="D355" s="1" t="s">
        <v>165</v>
      </c>
      <c r="E355" s="1" t="s">
        <v>164</v>
      </c>
      <c r="F355" s="1" t="s">
        <v>166</v>
      </c>
      <c r="G355" s="1">
        <v>96.0</v>
      </c>
      <c r="H355" s="1" t="s">
        <v>60</v>
      </c>
      <c r="I355" s="1">
        <v>-115.0</v>
      </c>
      <c r="J355" s="1">
        <v>-0.0982076413287619</v>
      </c>
      <c r="K355" s="1" t="s">
        <v>61</v>
      </c>
      <c r="L355" s="1" t="s">
        <v>61</v>
      </c>
      <c r="M355" s="1" t="s">
        <v>62</v>
      </c>
      <c r="N355" s="1">
        <v>-116.0</v>
      </c>
      <c r="O355" s="1">
        <v>0.0270632462284872</v>
      </c>
      <c r="P355" s="1" t="s">
        <v>61</v>
      </c>
      <c r="Q355" s="1" t="s">
        <v>61</v>
      </c>
      <c r="R355" s="1">
        <f t="shared" si="1"/>
        <v>0.02706324623</v>
      </c>
      <c r="S355" s="1">
        <f t="shared" si="2"/>
        <v>-116</v>
      </c>
      <c r="T355" s="1">
        <f t="shared" si="3"/>
        <v>1.862068966</v>
      </c>
      <c r="U355" s="1">
        <f t="shared" si="4"/>
        <v>0</v>
      </c>
      <c r="V355" s="3">
        <f t="shared" si="5"/>
        <v>1</v>
      </c>
      <c r="W355" s="3">
        <f t="shared" si="6"/>
        <v>2</v>
      </c>
      <c r="X355" s="3" t="str">
        <f>IFERROR(__xludf.DUMMYFUNCTION("split(B355,"" "")"),"B.")</f>
        <v>B.</v>
      </c>
      <c r="Y355" s="3" t="str">
        <f>IFERROR(__xludf.DUMMYFUNCTION("""COMPUTED_VALUE"""),"Hall")</f>
        <v>Hall</v>
      </c>
      <c r="AA355" s="3">
        <v>93.0</v>
      </c>
      <c r="AB355" s="3">
        <f t="shared" si="7"/>
        <v>0</v>
      </c>
      <c r="AC355" s="3">
        <f t="shared" si="8"/>
        <v>1</v>
      </c>
      <c r="AD355" s="3">
        <f t="shared" si="9"/>
        <v>0.8620689655</v>
      </c>
      <c r="AE355" s="3">
        <f t="shared" si="10"/>
        <v>0.8620689655</v>
      </c>
      <c r="AF355" s="3">
        <f t="shared" si="11"/>
        <v>1.724137931</v>
      </c>
      <c r="AG355" s="3">
        <f t="shared" si="12"/>
        <v>0.03125</v>
      </c>
    </row>
    <row r="356">
      <c r="A356" s="1" t="s">
        <v>9</v>
      </c>
      <c r="B356" s="1" t="s">
        <v>92</v>
      </c>
      <c r="C356" s="1" t="s">
        <v>19</v>
      </c>
      <c r="D356" s="1" t="s">
        <v>93</v>
      </c>
      <c r="E356" s="1" t="s">
        <v>94</v>
      </c>
      <c r="F356" s="1" t="s">
        <v>59</v>
      </c>
      <c r="G356" s="1">
        <v>80.0</v>
      </c>
      <c r="H356" s="1" t="s">
        <v>60</v>
      </c>
      <c r="I356" s="1">
        <v>-116.0</v>
      </c>
      <c r="J356" s="1">
        <v>-0.106846623228723</v>
      </c>
      <c r="K356" s="1" t="s">
        <v>61</v>
      </c>
      <c r="L356" s="1" t="s">
        <v>61</v>
      </c>
      <c r="M356" s="1" t="s">
        <v>62</v>
      </c>
      <c r="N356" s="1">
        <v>-117.0</v>
      </c>
      <c r="O356" s="1">
        <v>0.0313978554025941</v>
      </c>
      <c r="P356" s="1" t="s">
        <v>61</v>
      </c>
      <c r="Q356" s="1" t="s">
        <v>61</v>
      </c>
      <c r="R356" s="1">
        <f t="shared" si="1"/>
        <v>0.0313978554</v>
      </c>
      <c r="S356" s="1">
        <f t="shared" si="2"/>
        <v>-117</v>
      </c>
      <c r="T356" s="1">
        <f t="shared" si="3"/>
        <v>1.854700855</v>
      </c>
      <c r="U356" s="1">
        <f t="shared" si="4"/>
        <v>0</v>
      </c>
      <c r="V356" s="3">
        <f t="shared" si="5"/>
        <v>1</v>
      </c>
      <c r="W356" s="3">
        <f t="shared" si="6"/>
        <v>2</v>
      </c>
      <c r="X356" s="3" t="str">
        <f>IFERROR(__xludf.DUMMYFUNCTION("split(B356,"" "")"),"T.")</f>
        <v>T.</v>
      </c>
      <c r="Y356" s="3" t="str">
        <f>IFERROR(__xludf.DUMMYFUNCTION("""COMPUTED_VALUE"""),"Etienne")</f>
        <v>Etienne</v>
      </c>
      <c r="Z356" s="3" t="str">
        <f>IFERROR(__xludf.DUMMYFUNCTION("""COMPUTED_VALUE"""),"Jr.")</f>
        <v>Jr.</v>
      </c>
      <c r="AA356" s="3">
        <v>0.0</v>
      </c>
      <c r="AB356" s="3">
        <f t="shared" si="7"/>
        <v>0</v>
      </c>
      <c r="AC356" s="3">
        <f t="shared" si="8"/>
        <v>1</v>
      </c>
      <c r="AD356" s="3">
        <f t="shared" si="9"/>
        <v>0.8547008547</v>
      </c>
      <c r="AE356" s="3">
        <f t="shared" si="10"/>
        <v>0.8547008547</v>
      </c>
      <c r="AF356" s="3">
        <f t="shared" si="11"/>
        <v>1.709401709</v>
      </c>
      <c r="AG356" s="3">
        <f t="shared" si="12"/>
        <v>1</v>
      </c>
    </row>
    <row r="357">
      <c r="A357" s="1" t="s">
        <v>9</v>
      </c>
      <c r="B357" s="1" t="s">
        <v>239</v>
      </c>
      <c r="C357" s="1" t="s">
        <v>18</v>
      </c>
      <c r="D357" s="1" t="s">
        <v>77</v>
      </c>
      <c r="E357" s="1" t="s">
        <v>76</v>
      </c>
      <c r="F357" s="1" t="s">
        <v>78</v>
      </c>
      <c r="G357" s="1">
        <v>29.5</v>
      </c>
      <c r="H357" s="1" t="s">
        <v>60</v>
      </c>
      <c r="I357" s="1">
        <v>-117.0</v>
      </c>
      <c r="J357" s="6">
        <v>0.0275040745448187</v>
      </c>
      <c r="K357" s="1" t="s">
        <v>61</v>
      </c>
      <c r="L357" s="1" t="s">
        <v>61</v>
      </c>
      <c r="M357" s="1" t="s">
        <v>62</v>
      </c>
      <c r="N357" s="1">
        <v>-118.0</v>
      </c>
      <c r="O357" s="6">
        <v>-0.107919629944707</v>
      </c>
      <c r="P357" s="1" t="s">
        <v>61</v>
      </c>
      <c r="Q357" s="1" t="s">
        <v>61</v>
      </c>
      <c r="R357" s="6">
        <f t="shared" si="1"/>
        <v>0.02750407454</v>
      </c>
      <c r="S357" s="1">
        <f t="shared" si="2"/>
        <v>-117</v>
      </c>
      <c r="T357" s="1">
        <f t="shared" si="3"/>
        <v>1.854700855</v>
      </c>
      <c r="U357" s="1">
        <f t="shared" si="4"/>
        <v>1</v>
      </c>
      <c r="V357" s="3">
        <f t="shared" si="5"/>
        <v>1</v>
      </c>
      <c r="W357" s="3">
        <f t="shared" si="6"/>
        <v>2</v>
      </c>
      <c r="X357" s="3" t="str">
        <f>IFERROR(__xludf.DUMMYFUNCTION("split(B357,"" "")"),"R.")</f>
        <v>R.</v>
      </c>
      <c r="Y357" s="3" t="str">
        <f>IFERROR(__xludf.DUMMYFUNCTION("""COMPUTED_VALUE"""),"Bateman")</f>
        <v>Bateman</v>
      </c>
      <c r="AA357" s="3">
        <v>53.0</v>
      </c>
      <c r="AB357" s="3">
        <f t="shared" si="7"/>
        <v>1</v>
      </c>
      <c r="AC357" s="3">
        <f t="shared" si="8"/>
        <v>1</v>
      </c>
      <c r="AD357" s="3">
        <f t="shared" si="9"/>
        <v>0.8547008547</v>
      </c>
      <c r="AE357" s="3">
        <f t="shared" si="10"/>
        <v>0.8547008547</v>
      </c>
      <c r="AF357" s="3">
        <f t="shared" si="11"/>
        <v>1.709401709</v>
      </c>
      <c r="AG357" s="3">
        <f t="shared" si="12"/>
        <v>0.7966101695</v>
      </c>
    </row>
    <row r="358">
      <c r="A358" s="1" t="s">
        <v>11</v>
      </c>
      <c r="B358" s="1" t="s">
        <v>399</v>
      </c>
      <c r="C358" s="1" t="s">
        <v>18</v>
      </c>
      <c r="D358" s="1" t="s">
        <v>77</v>
      </c>
      <c r="E358" s="1" t="s">
        <v>76</v>
      </c>
      <c r="F358" s="1" t="s">
        <v>78</v>
      </c>
      <c r="G358" s="1">
        <v>52.5</v>
      </c>
      <c r="H358" s="1" t="s">
        <v>60</v>
      </c>
      <c r="I358" s="1">
        <v>-112.0</v>
      </c>
      <c r="J358" s="6">
        <v>-0.0859019719853961</v>
      </c>
      <c r="K358" s="1" t="s">
        <v>61</v>
      </c>
      <c r="L358" s="1" t="s">
        <v>61</v>
      </c>
      <c r="M358" s="1" t="s">
        <v>62</v>
      </c>
      <c r="N358" s="1">
        <v>-117.0</v>
      </c>
      <c r="O358" s="6">
        <v>0.0184292635965437</v>
      </c>
      <c r="P358" s="1" t="s">
        <v>61</v>
      </c>
      <c r="Q358" s="1" t="s">
        <v>61</v>
      </c>
      <c r="R358" s="6">
        <f t="shared" si="1"/>
        <v>0.0184292636</v>
      </c>
      <c r="S358" s="1">
        <f t="shared" si="2"/>
        <v>-117</v>
      </c>
      <c r="T358" s="1">
        <f t="shared" si="3"/>
        <v>1.854700855</v>
      </c>
      <c r="U358" s="1">
        <f t="shared" si="4"/>
        <v>0</v>
      </c>
      <c r="V358" s="3">
        <f t="shared" si="5"/>
        <v>1</v>
      </c>
      <c r="W358" s="3">
        <f t="shared" si="6"/>
        <v>2</v>
      </c>
      <c r="X358" s="3" t="str">
        <f>IFERROR(__xludf.DUMMYFUNCTION("split(B358,"" "")"),"Z.")</f>
        <v>Z.</v>
      </c>
      <c r="Y358" s="3" t="str">
        <f>IFERROR(__xludf.DUMMYFUNCTION("""COMPUTED_VALUE"""),"Flowers")</f>
        <v>Flowers</v>
      </c>
      <c r="AA358" s="3">
        <v>37.0</v>
      </c>
      <c r="AB358" s="3">
        <f t="shared" si="7"/>
        <v>0</v>
      </c>
      <c r="AC358" s="3">
        <f t="shared" si="8"/>
        <v>1</v>
      </c>
      <c r="AD358" s="3">
        <f t="shared" si="9"/>
        <v>0.8547008547</v>
      </c>
      <c r="AE358" s="3">
        <f t="shared" si="10"/>
        <v>0.8547008547</v>
      </c>
      <c r="AF358" s="3">
        <f t="shared" si="11"/>
        <v>1.709401709</v>
      </c>
      <c r="AG358" s="3">
        <f t="shared" si="12"/>
        <v>0.2952380952</v>
      </c>
    </row>
    <row r="359">
      <c r="A359" s="1" t="s">
        <v>11</v>
      </c>
      <c r="B359" s="1" t="s">
        <v>401</v>
      </c>
      <c r="C359" s="1" t="s">
        <v>18</v>
      </c>
      <c r="D359" s="1" t="s">
        <v>83</v>
      </c>
      <c r="E359" s="1" t="s">
        <v>82</v>
      </c>
      <c r="F359" s="1" t="s">
        <v>84</v>
      </c>
      <c r="G359" s="1">
        <v>48.5</v>
      </c>
      <c r="H359" s="1" t="s">
        <v>60</v>
      </c>
      <c r="I359" s="1">
        <v>-115.0</v>
      </c>
      <c r="J359" s="1">
        <v>-0.088231708502093</v>
      </c>
      <c r="K359" s="1" t="s">
        <v>61</v>
      </c>
      <c r="L359" s="1" t="s">
        <v>61</v>
      </c>
      <c r="M359" s="1" t="s">
        <v>62</v>
      </c>
      <c r="N359" s="1">
        <v>-117.0</v>
      </c>
      <c r="O359" s="1">
        <v>0.0141844860750321</v>
      </c>
      <c r="P359" s="1" t="s">
        <v>61</v>
      </c>
      <c r="Q359" s="1" t="s">
        <v>61</v>
      </c>
      <c r="R359" s="1">
        <f t="shared" si="1"/>
        <v>0.01418448608</v>
      </c>
      <c r="S359" s="1">
        <f t="shared" si="2"/>
        <v>-117</v>
      </c>
      <c r="T359" s="1">
        <f t="shared" si="3"/>
        <v>1.854700855</v>
      </c>
      <c r="U359" s="1">
        <f t="shared" si="4"/>
        <v>0</v>
      </c>
      <c r="V359" s="3">
        <f t="shared" si="5"/>
        <v>1</v>
      </c>
      <c r="W359" s="3">
        <f t="shared" si="6"/>
        <v>2</v>
      </c>
      <c r="X359" s="3" t="str">
        <f>IFERROR(__xludf.DUMMYFUNCTION("split(B359,"" "")"),"C.")</f>
        <v>C.</v>
      </c>
      <c r="Y359" s="3" t="str">
        <f>IFERROR(__xludf.DUMMYFUNCTION("""COMPUTED_VALUE"""),"Sutton")</f>
        <v>Sutton</v>
      </c>
      <c r="AA359" s="3">
        <v>38.0</v>
      </c>
      <c r="AB359" s="3">
        <f t="shared" si="7"/>
        <v>0</v>
      </c>
      <c r="AC359" s="3">
        <f t="shared" si="8"/>
        <v>1</v>
      </c>
      <c r="AD359" s="3">
        <f t="shared" si="9"/>
        <v>0.8547008547</v>
      </c>
      <c r="AE359" s="3">
        <f t="shared" si="10"/>
        <v>0.8547008547</v>
      </c>
      <c r="AF359" s="3">
        <f t="shared" si="11"/>
        <v>1.709401709</v>
      </c>
      <c r="AG359" s="3">
        <f t="shared" si="12"/>
        <v>0.2164948454</v>
      </c>
    </row>
    <row r="360">
      <c r="A360" s="1" t="s">
        <v>11</v>
      </c>
      <c r="B360" s="1" t="s">
        <v>403</v>
      </c>
      <c r="C360" s="1" t="s">
        <v>18</v>
      </c>
      <c r="D360" s="1" t="s">
        <v>110</v>
      </c>
      <c r="E360" s="1" t="s">
        <v>109</v>
      </c>
      <c r="F360" s="1" t="s">
        <v>59</v>
      </c>
      <c r="G360" s="1">
        <v>18.5</v>
      </c>
      <c r="H360" s="1" t="s">
        <v>60</v>
      </c>
      <c r="I360" s="1">
        <v>-112.0</v>
      </c>
      <c r="J360" s="1">
        <v>-0.079169222726981</v>
      </c>
      <c r="K360" s="1" t="s">
        <v>61</v>
      </c>
      <c r="L360" s="1" t="s">
        <v>61</v>
      </c>
      <c r="M360" s="1" t="s">
        <v>62</v>
      </c>
      <c r="N360" s="1">
        <v>-117.0</v>
      </c>
      <c r="O360" s="1">
        <v>0.0117350691483888</v>
      </c>
      <c r="P360" s="1" t="s">
        <v>61</v>
      </c>
      <c r="Q360" s="1" t="s">
        <v>61</v>
      </c>
      <c r="R360" s="1">
        <f t="shared" si="1"/>
        <v>0.01173506915</v>
      </c>
      <c r="S360" s="1">
        <f t="shared" si="2"/>
        <v>-117</v>
      </c>
      <c r="T360" s="1">
        <f t="shared" si="3"/>
        <v>1.854700855</v>
      </c>
      <c r="U360" s="1">
        <f t="shared" si="4"/>
        <v>0</v>
      </c>
      <c r="V360" s="3">
        <f t="shared" si="5"/>
        <v>1</v>
      </c>
      <c r="W360" s="3">
        <f t="shared" si="6"/>
        <v>2</v>
      </c>
      <c r="X360" s="3" t="str">
        <f>IFERROR(__xludf.DUMMYFUNCTION("split(B360,"" "")"),"V.")</f>
        <v>V.</v>
      </c>
      <c r="Y360" s="3" t="str">
        <f>IFERROR(__xludf.DUMMYFUNCTION("""COMPUTED_VALUE"""),"Jefferson")</f>
        <v>Jefferson</v>
      </c>
      <c r="AA360" s="3">
        <v>1.0</v>
      </c>
      <c r="AB360" s="3">
        <f t="shared" si="7"/>
        <v>0</v>
      </c>
      <c r="AC360" s="3">
        <f t="shared" si="8"/>
        <v>1</v>
      </c>
      <c r="AD360" s="3">
        <f t="shared" si="9"/>
        <v>0.8547008547</v>
      </c>
      <c r="AE360" s="3">
        <f t="shared" si="10"/>
        <v>0.8547008547</v>
      </c>
      <c r="AF360" s="3">
        <f t="shared" si="11"/>
        <v>1.709401709</v>
      </c>
      <c r="AG360" s="3">
        <f t="shared" si="12"/>
        <v>0.9459459459</v>
      </c>
    </row>
    <row r="361">
      <c r="A361" s="1" t="s">
        <v>10</v>
      </c>
      <c r="B361" s="1" t="s">
        <v>152</v>
      </c>
      <c r="C361" s="1" t="s">
        <v>19</v>
      </c>
      <c r="D361" s="1" t="s">
        <v>88</v>
      </c>
      <c r="E361" s="1" t="s">
        <v>89</v>
      </c>
      <c r="F361" s="1" t="s">
        <v>90</v>
      </c>
      <c r="G361" s="1">
        <v>31.0</v>
      </c>
      <c r="H361" s="1" t="s">
        <v>60</v>
      </c>
      <c r="I361" s="1">
        <v>-112.0</v>
      </c>
      <c r="J361" s="1">
        <v>-0.0764662615241438</v>
      </c>
      <c r="K361" s="1" t="s">
        <v>61</v>
      </c>
      <c r="L361" s="1" t="s">
        <v>61</v>
      </c>
      <c r="M361" s="1" t="s">
        <v>62</v>
      </c>
      <c r="N361" s="1">
        <v>-117.0</v>
      </c>
      <c r="O361" s="1">
        <v>0.00980410833386469</v>
      </c>
      <c r="P361" s="1" t="s">
        <v>61</v>
      </c>
      <c r="Q361" s="1" t="s">
        <v>61</v>
      </c>
      <c r="R361" s="1">
        <f t="shared" si="1"/>
        <v>0.009804108334</v>
      </c>
      <c r="S361" s="1">
        <f t="shared" si="2"/>
        <v>-117</v>
      </c>
      <c r="T361" s="1">
        <f t="shared" si="3"/>
        <v>1.854700855</v>
      </c>
      <c r="U361" s="1">
        <f t="shared" si="4"/>
        <v>0</v>
      </c>
      <c r="V361" s="3">
        <f t="shared" si="5"/>
        <v>1</v>
      </c>
      <c r="W361" s="3">
        <f t="shared" si="6"/>
        <v>2</v>
      </c>
      <c r="X361" s="3" t="str">
        <f>IFERROR(__xludf.DUMMYFUNCTION("split(B361,"" "")"),"R.")</f>
        <v>R.</v>
      </c>
      <c r="Y361" s="3" t="str">
        <f>IFERROR(__xludf.DUMMYFUNCTION("""COMPUTED_VALUE"""),"Dowdle")</f>
        <v>Dowdle</v>
      </c>
      <c r="AA361" s="3">
        <v>26.0</v>
      </c>
      <c r="AB361" s="3">
        <f t="shared" si="7"/>
        <v>0</v>
      </c>
      <c r="AC361" s="3">
        <f t="shared" si="8"/>
        <v>1</v>
      </c>
      <c r="AD361" s="3">
        <f t="shared" si="9"/>
        <v>0.8547008547</v>
      </c>
      <c r="AE361" s="3">
        <f t="shared" si="10"/>
        <v>0.8547008547</v>
      </c>
      <c r="AF361" s="3">
        <f t="shared" si="11"/>
        <v>1.709401709</v>
      </c>
      <c r="AG361" s="3">
        <f t="shared" si="12"/>
        <v>0.1612903226</v>
      </c>
    </row>
    <row r="362">
      <c r="A362" s="1" t="s">
        <v>10</v>
      </c>
      <c r="B362" s="1" t="s">
        <v>195</v>
      </c>
      <c r="C362" s="1" t="s">
        <v>19</v>
      </c>
      <c r="D362" s="1" t="s">
        <v>196</v>
      </c>
      <c r="E362" s="1" t="s">
        <v>197</v>
      </c>
      <c r="F362" s="1" t="s">
        <v>198</v>
      </c>
      <c r="G362" s="1">
        <v>24.5</v>
      </c>
      <c r="H362" s="1" t="s">
        <v>60</v>
      </c>
      <c r="I362" s="1">
        <v>-113.0</v>
      </c>
      <c r="J362" s="1">
        <v>-0.10775999467689</v>
      </c>
      <c r="K362" s="1" t="s">
        <v>61</v>
      </c>
      <c r="L362" s="1" t="s">
        <v>61</v>
      </c>
      <c r="M362" s="1" t="s">
        <v>62</v>
      </c>
      <c r="N362" s="1">
        <v>-118.0</v>
      </c>
      <c r="O362" s="1">
        <v>0.0359505278077513</v>
      </c>
      <c r="P362" s="1" t="s">
        <v>61</v>
      </c>
      <c r="Q362" s="1" t="s">
        <v>61</v>
      </c>
      <c r="R362" s="1">
        <f t="shared" si="1"/>
        <v>0.03595052781</v>
      </c>
      <c r="S362" s="1">
        <f t="shared" si="2"/>
        <v>-118</v>
      </c>
      <c r="T362" s="1">
        <f t="shared" si="3"/>
        <v>1.847457627</v>
      </c>
      <c r="U362" s="1">
        <f t="shared" si="4"/>
        <v>0</v>
      </c>
      <c r="V362" s="3">
        <f t="shared" si="5"/>
        <v>1</v>
      </c>
      <c r="W362" s="3">
        <f t="shared" si="6"/>
        <v>3</v>
      </c>
      <c r="X362" s="3" t="str">
        <f>IFERROR(__xludf.DUMMYFUNCTION("split(B362,"" "")"),"B.")</f>
        <v>B.</v>
      </c>
      <c r="Y362" s="3" t="str">
        <f>IFERROR(__xludf.DUMMYFUNCTION("""COMPUTED_VALUE"""),"Corum")</f>
        <v>Corum</v>
      </c>
      <c r="AA362" s="3">
        <v>0.0</v>
      </c>
      <c r="AB362" s="3">
        <f t="shared" si="7"/>
        <v>0</v>
      </c>
      <c r="AC362" s="3">
        <f t="shared" si="8"/>
        <v>1</v>
      </c>
      <c r="AD362" s="3">
        <f t="shared" si="9"/>
        <v>0.8474576271</v>
      </c>
      <c r="AE362" s="3">
        <f t="shared" si="10"/>
        <v>0.8474576271</v>
      </c>
      <c r="AF362" s="3">
        <f t="shared" si="11"/>
        <v>2.542372881</v>
      </c>
      <c r="AG362" s="3">
        <f t="shared" si="12"/>
        <v>1</v>
      </c>
    </row>
    <row r="363">
      <c r="A363" s="1" t="s">
        <v>10</v>
      </c>
      <c r="B363" s="1" t="s">
        <v>405</v>
      </c>
      <c r="C363" s="1" t="s">
        <v>21</v>
      </c>
      <c r="D363" s="1" t="s">
        <v>135</v>
      </c>
      <c r="E363" s="1" t="s">
        <v>134</v>
      </c>
      <c r="F363" s="1" t="s">
        <v>84</v>
      </c>
      <c r="G363" s="1">
        <v>13.5</v>
      </c>
      <c r="H363" s="1" t="s">
        <v>60</v>
      </c>
      <c r="I363" s="1">
        <v>-113.0</v>
      </c>
      <c r="J363" s="1">
        <v>-0.105094686895034</v>
      </c>
      <c r="K363" s="1" t="s">
        <v>61</v>
      </c>
      <c r="L363" s="1" t="s">
        <v>61</v>
      </c>
      <c r="M363" s="1" t="s">
        <v>62</v>
      </c>
      <c r="N363" s="1">
        <v>-118.0</v>
      </c>
      <c r="O363" s="1">
        <v>0.0333211128632938</v>
      </c>
      <c r="P363" s="1" t="s">
        <v>61</v>
      </c>
      <c r="Q363" s="1" t="s">
        <v>61</v>
      </c>
      <c r="R363" s="1">
        <f t="shared" si="1"/>
        <v>0.03332111286</v>
      </c>
      <c r="S363" s="1">
        <f t="shared" si="2"/>
        <v>-118</v>
      </c>
      <c r="T363" s="1">
        <f t="shared" si="3"/>
        <v>1.847457627</v>
      </c>
      <c r="U363" s="1">
        <f t="shared" si="4"/>
        <v>0</v>
      </c>
      <c r="V363" s="3">
        <f t="shared" si="5"/>
        <v>1</v>
      </c>
      <c r="W363" s="3">
        <f t="shared" si="6"/>
        <v>3</v>
      </c>
      <c r="X363" s="3" t="str">
        <f>IFERROR(__xludf.DUMMYFUNCTION("split(B363,"" "")"),"J.")</f>
        <v>J.</v>
      </c>
      <c r="Y363" s="3" t="str">
        <f>IFERROR(__xludf.DUMMYFUNCTION("""COMPUTED_VALUE"""),"Herbert")</f>
        <v>Herbert</v>
      </c>
      <c r="AA363" s="3">
        <v>6.0</v>
      </c>
      <c r="AB363" s="3">
        <f t="shared" si="7"/>
        <v>0</v>
      </c>
      <c r="AC363" s="3">
        <f t="shared" si="8"/>
        <v>1</v>
      </c>
      <c r="AD363" s="3">
        <f t="shared" si="9"/>
        <v>0.8474576271</v>
      </c>
      <c r="AE363" s="3">
        <f t="shared" si="10"/>
        <v>0.8474576271</v>
      </c>
      <c r="AF363" s="3">
        <f t="shared" si="11"/>
        <v>2.542372881</v>
      </c>
      <c r="AG363" s="3">
        <f t="shared" si="12"/>
        <v>0.5555555556</v>
      </c>
    </row>
    <row r="364">
      <c r="A364" s="1" t="s">
        <v>11</v>
      </c>
      <c r="B364" s="1" t="s">
        <v>406</v>
      </c>
      <c r="C364" s="1" t="s">
        <v>18</v>
      </c>
      <c r="D364" s="1" t="s">
        <v>100</v>
      </c>
      <c r="E364" s="1" t="s">
        <v>99</v>
      </c>
      <c r="F364" s="1" t="s">
        <v>59</v>
      </c>
      <c r="G364" s="1">
        <v>47.5</v>
      </c>
      <c r="H364" s="1" t="s">
        <v>60</v>
      </c>
      <c r="I364" s="1">
        <v>-113.0</v>
      </c>
      <c r="J364" s="1">
        <v>-0.100200765703614</v>
      </c>
      <c r="K364" s="1" t="s">
        <v>61</v>
      </c>
      <c r="L364" s="1" t="s">
        <v>61</v>
      </c>
      <c r="M364" s="1" t="s">
        <v>62</v>
      </c>
      <c r="N364" s="1">
        <v>-118.0</v>
      </c>
      <c r="O364" s="1">
        <v>0.0284425204891008</v>
      </c>
      <c r="P364" s="1" t="s">
        <v>61</v>
      </c>
      <c r="Q364" s="1" t="s">
        <v>61</v>
      </c>
      <c r="R364" s="1">
        <f t="shared" si="1"/>
        <v>0.02844252049</v>
      </c>
      <c r="S364" s="1">
        <f t="shared" si="2"/>
        <v>-118</v>
      </c>
      <c r="T364" s="1">
        <f t="shared" si="3"/>
        <v>1.847457627</v>
      </c>
      <c r="U364" s="1">
        <f t="shared" si="4"/>
        <v>0</v>
      </c>
      <c r="V364" s="3">
        <f t="shared" si="5"/>
        <v>1</v>
      </c>
      <c r="W364" s="3">
        <f t="shared" si="6"/>
        <v>3</v>
      </c>
      <c r="X364" s="3" t="str">
        <f>IFERROR(__xludf.DUMMYFUNCTION("split(B364,"" "")"),"D.")</f>
        <v>D.</v>
      </c>
      <c r="Y364" s="3" t="str">
        <f>IFERROR(__xludf.DUMMYFUNCTION("""COMPUTED_VALUE"""),"Hopkins")</f>
        <v>Hopkins</v>
      </c>
      <c r="AA364" s="3">
        <v>8.0</v>
      </c>
      <c r="AB364" s="3">
        <f t="shared" si="7"/>
        <v>0</v>
      </c>
      <c r="AC364" s="3">
        <f t="shared" si="8"/>
        <v>1</v>
      </c>
      <c r="AD364" s="3">
        <f t="shared" si="9"/>
        <v>0.8474576271</v>
      </c>
      <c r="AE364" s="3">
        <f t="shared" si="10"/>
        <v>0.8474576271</v>
      </c>
      <c r="AF364" s="3">
        <f t="shared" si="11"/>
        <v>2.542372881</v>
      </c>
      <c r="AG364" s="3">
        <f t="shared" si="12"/>
        <v>0.8315789474</v>
      </c>
    </row>
    <row r="365">
      <c r="A365" s="1" t="s">
        <v>10</v>
      </c>
      <c r="B365" s="1" t="s">
        <v>408</v>
      </c>
      <c r="C365" s="1" t="s">
        <v>19</v>
      </c>
      <c r="D365" s="1" t="s">
        <v>114</v>
      </c>
      <c r="E365" s="1" t="s">
        <v>113</v>
      </c>
      <c r="F365" s="1" t="s">
        <v>90</v>
      </c>
      <c r="G365" s="1">
        <v>25.5</v>
      </c>
      <c r="H365" s="1" t="s">
        <v>60</v>
      </c>
      <c r="I365" s="1">
        <v>-113.0</v>
      </c>
      <c r="J365" s="1">
        <v>-0.0995866588517503</v>
      </c>
      <c r="K365" s="1" t="s">
        <v>61</v>
      </c>
      <c r="L365" s="1" t="s">
        <v>61</v>
      </c>
      <c r="M365" s="1" t="s">
        <v>62</v>
      </c>
      <c r="N365" s="1">
        <v>-118.0</v>
      </c>
      <c r="O365" s="1">
        <v>0.0278271506229309</v>
      </c>
      <c r="P365" s="1" t="s">
        <v>61</v>
      </c>
      <c r="Q365" s="1" t="s">
        <v>61</v>
      </c>
      <c r="R365" s="1">
        <f t="shared" si="1"/>
        <v>0.02782715062</v>
      </c>
      <c r="S365" s="1">
        <f t="shared" si="2"/>
        <v>-118</v>
      </c>
      <c r="T365" s="1">
        <f t="shared" si="3"/>
        <v>1.847457627</v>
      </c>
      <c r="U365" s="1">
        <f t="shared" si="4"/>
        <v>0</v>
      </c>
      <c r="V365" s="3">
        <f t="shared" si="5"/>
        <v>1</v>
      </c>
      <c r="W365" s="3">
        <f t="shared" si="6"/>
        <v>3</v>
      </c>
      <c r="X365" s="3" t="str">
        <f>IFERROR(__xludf.DUMMYFUNCTION("split(B365,"" "")"),"A.")</f>
        <v>A.</v>
      </c>
      <c r="Y365" s="3" t="str">
        <f>IFERROR(__xludf.DUMMYFUNCTION("""COMPUTED_VALUE"""),"Ekeler")</f>
        <v>Ekeler</v>
      </c>
      <c r="AA365" s="3">
        <v>10.0</v>
      </c>
      <c r="AB365" s="3">
        <f t="shared" si="7"/>
        <v>0</v>
      </c>
      <c r="AC365" s="3">
        <f t="shared" si="8"/>
        <v>1</v>
      </c>
      <c r="AD365" s="3">
        <f t="shared" si="9"/>
        <v>0.8474576271</v>
      </c>
      <c r="AE365" s="3">
        <f t="shared" si="10"/>
        <v>0.8474576271</v>
      </c>
      <c r="AF365" s="3">
        <f t="shared" si="11"/>
        <v>2.542372881</v>
      </c>
      <c r="AG365" s="3">
        <f t="shared" si="12"/>
        <v>0.6078431373</v>
      </c>
    </row>
    <row r="366">
      <c r="A366" s="1" t="s">
        <v>11</v>
      </c>
      <c r="B366" s="1" t="s">
        <v>235</v>
      </c>
      <c r="C366" s="1" t="s">
        <v>20</v>
      </c>
      <c r="D366" s="1" t="s">
        <v>104</v>
      </c>
      <c r="E366" s="1" t="s">
        <v>105</v>
      </c>
      <c r="F366" s="1" t="s">
        <v>59</v>
      </c>
      <c r="G366" s="1">
        <v>51.5</v>
      </c>
      <c r="H366" s="1" t="s">
        <v>60</v>
      </c>
      <c r="I366" s="1">
        <v>-113.0</v>
      </c>
      <c r="J366" s="1">
        <v>-0.0980927772272627</v>
      </c>
      <c r="K366" s="1" t="s">
        <v>61</v>
      </c>
      <c r="L366" s="1" t="s">
        <v>61</v>
      </c>
      <c r="M366" s="1" t="s">
        <v>62</v>
      </c>
      <c r="N366" s="1">
        <v>-118.0</v>
      </c>
      <c r="O366" s="1">
        <v>0.0263490328289449</v>
      </c>
      <c r="P366" s="1" t="s">
        <v>61</v>
      </c>
      <c r="Q366" s="1" t="s">
        <v>61</v>
      </c>
      <c r="R366" s="1">
        <f t="shared" si="1"/>
        <v>0.02634903283</v>
      </c>
      <c r="S366" s="1">
        <f t="shared" si="2"/>
        <v>-118</v>
      </c>
      <c r="T366" s="1">
        <f t="shared" si="3"/>
        <v>1.847457627</v>
      </c>
      <c r="U366" s="1">
        <f t="shared" si="4"/>
        <v>0</v>
      </c>
      <c r="V366" s="3">
        <f t="shared" si="5"/>
        <v>1</v>
      </c>
      <c r="W366" s="3">
        <f t="shared" si="6"/>
        <v>3</v>
      </c>
      <c r="X366" s="3" t="str">
        <f>IFERROR(__xludf.DUMMYFUNCTION("split(B366,"" "")"),"D.")</f>
        <v>D.</v>
      </c>
      <c r="Y366" s="3" t="str">
        <f>IFERROR(__xludf.DUMMYFUNCTION("""COMPUTED_VALUE"""),"Kincaid")</f>
        <v>Kincaid</v>
      </c>
      <c r="AA366" s="3">
        <v>11.0</v>
      </c>
      <c r="AB366" s="3">
        <f t="shared" si="7"/>
        <v>0</v>
      </c>
      <c r="AC366" s="3">
        <f t="shared" si="8"/>
        <v>1</v>
      </c>
      <c r="AD366" s="3">
        <f t="shared" si="9"/>
        <v>0.8474576271</v>
      </c>
      <c r="AE366" s="3">
        <f t="shared" si="10"/>
        <v>0.8474576271</v>
      </c>
      <c r="AF366" s="3">
        <f t="shared" si="11"/>
        <v>2.542372881</v>
      </c>
      <c r="AG366" s="3">
        <f t="shared" si="12"/>
        <v>0.786407767</v>
      </c>
    </row>
    <row r="367">
      <c r="A367" s="1" t="s">
        <v>11</v>
      </c>
      <c r="B367" s="1" t="s">
        <v>410</v>
      </c>
      <c r="C367" s="1" t="s">
        <v>20</v>
      </c>
      <c r="D367" s="1" t="s">
        <v>72</v>
      </c>
      <c r="E367" s="1" t="s">
        <v>71</v>
      </c>
      <c r="F367" s="1" t="s">
        <v>59</v>
      </c>
      <c r="G367" s="1">
        <v>33.5</v>
      </c>
      <c r="H367" s="1" t="s">
        <v>60</v>
      </c>
      <c r="I367" s="1">
        <v>-113.0</v>
      </c>
      <c r="J367" s="1">
        <v>-0.0952483517875118</v>
      </c>
      <c r="K367" s="1" t="s">
        <v>61</v>
      </c>
      <c r="L367" s="1" t="s">
        <v>61</v>
      </c>
      <c r="M367" s="1" t="s">
        <v>62</v>
      </c>
      <c r="N367" s="1">
        <v>-118.0</v>
      </c>
      <c r="O367" s="1">
        <v>0.0234502871999965</v>
      </c>
      <c r="P367" s="1" t="s">
        <v>61</v>
      </c>
      <c r="Q367" s="1" t="s">
        <v>61</v>
      </c>
      <c r="R367" s="1">
        <f t="shared" si="1"/>
        <v>0.0234502872</v>
      </c>
      <c r="S367" s="1">
        <f t="shared" si="2"/>
        <v>-118</v>
      </c>
      <c r="T367" s="1">
        <f t="shared" si="3"/>
        <v>1.847457627</v>
      </c>
      <c r="U367" s="1">
        <f t="shared" si="4"/>
        <v>0</v>
      </c>
      <c r="V367" s="3">
        <f t="shared" si="5"/>
        <v>1</v>
      </c>
      <c r="W367" s="3">
        <f t="shared" si="6"/>
        <v>3</v>
      </c>
      <c r="X367" s="3" t="str">
        <f>IFERROR(__xludf.DUMMYFUNCTION("split(B367,"" "")"),"D.")</f>
        <v>D.</v>
      </c>
      <c r="Y367" s="3" t="str">
        <f>IFERROR(__xludf.DUMMYFUNCTION("""COMPUTED_VALUE"""),"Schultz")</f>
        <v>Schultz</v>
      </c>
      <c r="AA367" s="3">
        <v>16.0</v>
      </c>
      <c r="AB367" s="3">
        <f t="shared" si="7"/>
        <v>0</v>
      </c>
      <c r="AC367" s="3">
        <f t="shared" si="8"/>
        <v>1</v>
      </c>
      <c r="AD367" s="3">
        <f t="shared" si="9"/>
        <v>0.8474576271</v>
      </c>
      <c r="AE367" s="3">
        <f t="shared" si="10"/>
        <v>0.8474576271</v>
      </c>
      <c r="AF367" s="3">
        <f t="shared" si="11"/>
        <v>2.542372881</v>
      </c>
      <c r="AG367" s="3">
        <f t="shared" si="12"/>
        <v>0.5223880597</v>
      </c>
    </row>
    <row r="368">
      <c r="A368" s="1" t="s">
        <v>11</v>
      </c>
      <c r="B368" s="1" t="s">
        <v>264</v>
      </c>
      <c r="C368" s="1" t="s">
        <v>19</v>
      </c>
      <c r="D368" s="1" t="s">
        <v>114</v>
      </c>
      <c r="E368" s="1" t="s">
        <v>113</v>
      </c>
      <c r="F368" s="1" t="s">
        <v>90</v>
      </c>
      <c r="G368" s="1">
        <v>8.5</v>
      </c>
      <c r="H368" s="1" t="s">
        <v>60</v>
      </c>
      <c r="I368" s="1">
        <v>-118.0</v>
      </c>
      <c r="J368" s="1">
        <v>0.023419503763859</v>
      </c>
      <c r="K368" s="1" t="s">
        <v>61</v>
      </c>
      <c r="L368" s="1" t="s">
        <v>61</v>
      </c>
      <c r="M368" s="1" t="s">
        <v>62</v>
      </c>
      <c r="N368" s="1">
        <v>-112.0</v>
      </c>
      <c r="O368" s="1">
        <v>-0.0929608775423764</v>
      </c>
      <c r="P368" s="1" t="s">
        <v>61</v>
      </c>
      <c r="Q368" s="1" t="s">
        <v>61</v>
      </c>
      <c r="R368" s="1">
        <f t="shared" si="1"/>
        <v>0.02341950376</v>
      </c>
      <c r="S368" s="1">
        <f t="shared" si="2"/>
        <v>-118</v>
      </c>
      <c r="T368" s="1">
        <f t="shared" si="3"/>
        <v>1.847457627</v>
      </c>
      <c r="U368" s="1">
        <f t="shared" si="4"/>
        <v>1</v>
      </c>
      <c r="V368" s="3">
        <f t="shared" si="5"/>
        <v>1</v>
      </c>
      <c r="W368" s="3">
        <f t="shared" si="6"/>
        <v>3</v>
      </c>
      <c r="X368" s="3" t="str">
        <f>IFERROR(__xludf.DUMMYFUNCTION("split(B368,"" "")"),"B.")</f>
        <v>B.</v>
      </c>
      <c r="Y368" s="3" t="str">
        <f>IFERROR(__xludf.DUMMYFUNCTION("""COMPUTED_VALUE"""),"Robinson")</f>
        <v>Robinson</v>
      </c>
      <c r="AA368" s="3">
        <v>49.0</v>
      </c>
      <c r="AB368" s="3">
        <f t="shared" si="7"/>
        <v>1</v>
      </c>
      <c r="AC368" s="3">
        <f t="shared" si="8"/>
        <v>1</v>
      </c>
      <c r="AD368" s="3">
        <f t="shared" si="9"/>
        <v>0.8474576271</v>
      </c>
      <c r="AE368" s="3">
        <f t="shared" si="10"/>
        <v>0.8474576271</v>
      </c>
      <c r="AF368" s="3">
        <f t="shared" si="11"/>
        <v>2.542372881</v>
      </c>
      <c r="AG368" s="3">
        <f t="shared" si="12"/>
        <v>4.764705882</v>
      </c>
    </row>
    <row r="369">
      <c r="A369" s="1" t="s">
        <v>11</v>
      </c>
      <c r="B369" s="1" t="s">
        <v>412</v>
      </c>
      <c r="C369" s="1" t="s">
        <v>20</v>
      </c>
      <c r="D369" s="1" t="s">
        <v>88</v>
      </c>
      <c r="E369" s="1" t="s">
        <v>89</v>
      </c>
      <c r="F369" s="1" t="s">
        <v>90</v>
      </c>
      <c r="G369" s="1">
        <v>41.5</v>
      </c>
      <c r="H369" s="1" t="s">
        <v>60</v>
      </c>
      <c r="I369" s="1">
        <v>-113.0</v>
      </c>
      <c r="J369" s="1">
        <v>-0.0946405412230986</v>
      </c>
      <c r="K369" s="1" t="s">
        <v>61</v>
      </c>
      <c r="L369" s="1" t="s">
        <v>61</v>
      </c>
      <c r="M369" s="1" t="s">
        <v>62</v>
      </c>
      <c r="N369" s="1">
        <v>-118.0</v>
      </c>
      <c r="O369" s="1">
        <v>0.0228735548523669</v>
      </c>
      <c r="P369" s="1" t="s">
        <v>61</v>
      </c>
      <c r="Q369" s="1" t="s">
        <v>61</v>
      </c>
      <c r="R369" s="1">
        <f t="shared" si="1"/>
        <v>0.02287355485</v>
      </c>
      <c r="S369" s="1">
        <f t="shared" si="2"/>
        <v>-118</v>
      </c>
      <c r="T369" s="1">
        <f t="shared" si="3"/>
        <v>1.847457627</v>
      </c>
      <c r="U369" s="1">
        <f t="shared" si="4"/>
        <v>0</v>
      </c>
      <c r="V369" s="3">
        <f t="shared" si="5"/>
        <v>1</v>
      </c>
      <c r="W369" s="3">
        <f t="shared" si="6"/>
        <v>3</v>
      </c>
      <c r="X369" s="3" t="str">
        <f>IFERROR(__xludf.DUMMYFUNCTION("split(B369,"" "")"),"J.")</f>
        <v>J.</v>
      </c>
      <c r="Y369" s="3" t="str">
        <f>IFERROR(__xludf.DUMMYFUNCTION("""COMPUTED_VALUE"""),"Ferguson")</f>
        <v>Ferguson</v>
      </c>
      <c r="AA369" s="3">
        <v>15.0</v>
      </c>
      <c r="AB369" s="3">
        <f t="shared" si="7"/>
        <v>0</v>
      </c>
      <c r="AC369" s="3">
        <f t="shared" si="8"/>
        <v>1</v>
      </c>
      <c r="AD369" s="3">
        <f t="shared" si="9"/>
        <v>0.8474576271</v>
      </c>
      <c r="AE369" s="3">
        <f t="shared" si="10"/>
        <v>0.8474576271</v>
      </c>
      <c r="AF369" s="3">
        <f t="shared" si="11"/>
        <v>2.542372881</v>
      </c>
      <c r="AG369" s="3">
        <f t="shared" si="12"/>
        <v>0.6385542169</v>
      </c>
    </row>
    <row r="370">
      <c r="A370" s="1" t="s">
        <v>11</v>
      </c>
      <c r="B370" s="1" t="s">
        <v>414</v>
      </c>
      <c r="C370" s="1" t="s">
        <v>18</v>
      </c>
      <c r="D370" s="1" t="s">
        <v>89</v>
      </c>
      <c r="E370" s="1" t="s">
        <v>88</v>
      </c>
      <c r="F370" s="1" t="s">
        <v>90</v>
      </c>
      <c r="G370" s="1">
        <v>20.5</v>
      </c>
      <c r="H370" s="1" t="s">
        <v>60</v>
      </c>
      <c r="I370" s="1">
        <v>-113.0</v>
      </c>
      <c r="J370" s="1">
        <v>-0.0823625654484413</v>
      </c>
      <c r="K370" s="1" t="s">
        <v>61</v>
      </c>
      <c r="L370" s="1" t="s">
        <v>61</v>
      </c>
      <c r="M370" s="1" t="s">
        <v>62</v>
      </c>
      <c r="N370" s="1">
        <v>-118.0</v>
      </c>
      <c r="O370" s="1">
        <v>0.0105840788982167</v>
      </c>
      <c r="P370" s="1" t="s">
        <v>61</v>
      </c>
      <c r="Q370" s="1" t="s">
        <v>61</v>
      </c>
      <c r="R370" s="1">
        <f t="shared" si="1"/>
        <v>0.0105840789</v>
      </c>
      <c r="S370" s="1">
        <f t="shared" si="2"/>
        <v>-118</v>
      </c>
      <c r="T370" s="1">
        <f t="shared" si="3"/>
        <v>1.847457627</v>
      </c>
      <c r="U370" s="1">
        <f t="shared" si="4"/>
        <v>0</v>
      </c>
      <c r="V370" s="3">
        <f t="shared" si="5"/>
        <v>1</v>
      </c>
      <c r="W370" s="3">
        <f t="shared" si="6"/>
        <v>3</v>
      </c>
      <c r="X370" s="3" t="str">
        <f>IFERROR(__xludf.DUMMYFUNCTION("split(B370,"" "")"),"E.")</f>
        <v>E.</v>
      </c>
      <c r="Y370" s="3" t="str">
        <f>IFERROR(__xludf.DUMMYFUNCTION("""COMPUTED_VALUE"""),"Moore")</f>
        <v>Moore</v>
      </c>
      <c r="AA370" s="3">
        <v>9.0</v>
      </c>
      <c r="AB370" s="3">
        <f t="shared" si="7"/>
        <v>0</v>
      </c>
      <c r="AC370" s="3">
        <f t="shared" si="8"/>
        <v>1</v>
      </c>
      <c r="AD370" s="3">
        <f t="shared" si="9"/>
        <v>0.8474576271</v>
      </c>
      <c r="AE370" s="3">
        <f t="shared" si="10"/>
        <v>0.8474576271</v>
      </c>
      <c r="AF370" s="3">
        <f t="shared" si="11"/>
        <v>2.542372881</v>
      </c>
      <c r="AG370" s="3">
        <f t="shared" si="12"/>
        <v>0.5609756098</v>
      </c>
    </row>
    <row r="371">
      <c r="A371" s="1" t="s">
        <v>9</v>
      </c>
      <c r="B371" s="1" t="s">
        <v>415</v>
      </c>
      <c r="C371" s="1" t="s">
        <v>18</v>
      </c>
      <c r="D371" s="1" t="s">
        <v>110</v>
      </c>
      <c r="E371" s="1" t="s">
        <v>109</v>
      </c>
      <c r="F371" s="1" t="s">
        <v>59</v>
      </c>
      <c r="G371" s="1">
        <v>55.0</v>
      </c>
      <c r="H371" s="1" t="s">
        <v>60</v>
      </c>
      <c r="I371" s="1">
        <v>-118.0</v>
      </c>
      <c r="J371" s="1">
        <v>0.00691859987222265</v>
      </c>
      <c r="K371" s="1" t="s">
        <v>61</v>
      </c>
      <c r="L371" s="1" t="s">
        <v>61</v>
      </c>
      <c r="M371" s="1" t="s">
        <v>62</v>
      </c>
      <c r="N371" s="1">
        <v>-117.0</v>
      </c>
      <c r="O371" s="1">
        <v>-0.086233991167784</v>
      </c>
      <c r="P371" s="1" t="s">
        <v>61</v>
      </c>
      <c r="Q371" s="1" t="s">
        <v>61</v>
      </c>
      <c r="R371" s="1">
        <f t="shared" si="1"/>
        <v>0.006918599872</v>
      </c>
      <c r="S371" s="1">
        <f t="shared" si="2"/>
        <v>-118</v>
      </c>
      <c r="T371" s="1">
        <f t="shared" si="3"/>
        <v>1.847457627</v>
      </c>
      <c r="U371" s="1">
        <f t="shared" si="4"/>
        <v>1</v>
      </c>
      <c r="V371" s="3">
        <f t="shared" si="5"/>
        <v>1</v>
      </c>
      <c r="W371" s="3">
        <f t="shared" si="6"/>
        <v>3</v>
      </c>
      <c r="X371" s="3" t="str">
        <f>IFERROR(__xludf.DUMMYFUNCTION("split(B371,"" "")"),"G.")</f>
        <v>G.</v>
      </c>
      <c r="Y371" s="3" t="str">
        <f>IFERROR(__xludf.DUMMYFUNCTION("""COMPUTED_VALUE"""),"Pickens")</f>
        <v>Pickens</v>
      </c>
      <c r="AA371" s="3">
        <v>75.0</v>
      </c>
      <c r="AB371" s="3">
        <f t="shared" si="7"/>
        <v>1</v>
      </c>
      <c r="AC371" s="3">
        <f t="shared" si="8"/>
        <v>1</v>
      </c>
      <c r="AD371" s="3">
        <f t="shared" si="9"/>
        <v>0.8474576271</v>
      </c>
      <c r="AE371" s="3">
        <f t="shared" si="10"/>
        <v>0.8474576271</v>
      </c>
      <c r="AF371" s="3">
        <f t="shared" si="11"/>
        <v>2.542372881</v>
      </c>
      <c r="AG371" s="3">
        <f t="shared" si="12"/>
        <v>0.3636363636</v>
      </c>
    </row>
    <row r="372">
      <c r="A372" s="1" t="s">
        <v>10</v>
      </c>
      <c r="B372" s="1" t="s">
        <v>417</v>
      </c>
      <c r="C372" s="1" t="s">
        <v>19</v>
      </c>
      <c r="D372" s="1" t="s">
        <v>113</v>
      </c>
      <c r="E372" s="1" t="s">
        <v>114</v>
      </c>
      <c r="F372" s="1" t="s">
        <v>90</v>
      </c>
      <c r="G372" s="1">
        <v>59.5</v>
      </c>
      <c r="H372" s="1" t="s">
        <v>60</v>
      </c>
      <c r="I372" s="1">
        <v>-113.0</v>
      </c>
      <c r="J372" s="1">
        <v>-0.072799283746414</v>
      </c>
      <c r="K372" s="1" t="s">
        <v>61</v>
      </c>
      <c r="L372" s="1" t="s">
        <v>61</v>
      </c>
      <c r="M372" s="1" t="s">
        <v>62</v>
      </c>
      <c r="N372" s="1">
        <v>-118.0</v>
      </c>
      <c r="O372" s="1">
        <v>0.0010255637769867</v>
      </c>
      <c r="P372" s="1" t="s">
        <v>61</v>
      </c>
      <c r="Q372" s="1" t="s">
        <v>61</v>
      </c>
      <c r="R372" s="1">
        <f t="shared" si="1"/>
        <v>0.001025563777</v>
      </c>
      <c r="S372" s="1">
        <f t="shared" si="2"/>
        <v>-118</v>
      </c>
      <c r="T372" s="1">
        <f t="shared" si="3"/>
        <v>1.847457627</v>
      </c>
      <c r="U372" s="1">
        <f t="shared" si="4"/>
        <v>0</v>
      </c>
      <c r="V372" s="3">
        <f t="shared" si="5"/>
        <v>1</v>
      </c>
      <c r="W372" s="3">
        <f t="shared" si="6"/>
        <v>3</v>
      </c>
      <c r="X372" s="3" t="str">
        <f>IFERROR(__xludf.DUMMYFUNCTION("split(B372,"" "")"),"R.")</f>
        <v>R.</v>
      </c>
      <c r="Y372" s="3" t="str">
        <f>IFERROR(__xludf.DUMMYFUNCTION("""COMPUTED_VALUE"""),"White")</f>
        <v>White</v>
      </c>
      <c r="AA372" s="3">
        <v>31.0</v>
      </c>
      <c r="AB372" s="3">
        <f t="shared" si="7"/>
        <v>0</v>
      </c>
      <c r="AC372" s="3">
        <f t="shared" si="8"/>
        <v>1</v>
      </c>
      <c r="AD372" s="3">
        <f t="shared" si="9"/>
        <v>0.8474576271</v>
      </c>
      <c r="AE372" s="3">
        <f t="shared" si="10"/>
        <v>0.8474576271</v>
      </c>
      <c r="AF372" s="3">
        <f t="shared" si="11"/>
        <v>2.542372881</v>
      </c>
      <c r="AG372" s="3">
        <f t="shared" si="12"/>
        <v>0.4789915966</v>
      </c>
    </row>
    <row r="373">
      <c r="A373" s="1" t="s">
        <v>16</v>
      </c>
      <c r="B373" s="1" t="s">
        <v>262</v>
      </c>
      <c r="C373" s="1" t="s">
        <v>21</v>
      </c>
      <c r="D373" s="1" t="s">
        <v>164</v>
      </c>
      <c r="E373" s="1" t="s">
        <v>165</v>
      </c>
      <c r="F373" s="1" t="s">
        <v>166</v>
      </c>
      <c r="G373" s="1">
        <v>31.0</v>
      </c>
      <c r="H373" s="1" t="s">
        <v>60</v>
      </c>
      <c r="I373" s="1">
        <v>-117.0</v>
      </c>
      <c r="J373" s="1">
        <v>-0.101804374423963</v>
      </c>
      <c r="K373" s="1" t="s">
        <v>61</v>
      </c>
      <c r="L373" s="1" t="s">
        <v>61</v>
      </c>
      <c r="M373" s="1" t="s">
        <v>62</v>
      </c>
      <c r="N373" s="1">
        <v>-118.0</v>
      </c>
      <c r="O373" s="1">
        <v>0.0249693308027522</v>
      </c>
      <c r="P373" s="1" t="s">
        <v>61</v>
      </c>
      <c r="Q373" s="1" t="s">
        <v>61</v>
      </c>
      <c r="R373" s="1">
        <f t="shared" si="1"/>
        <v>0.0249693308</v>
      </c>
      <c r="S373" s="1">
        <f t="shared" si="2"/>
        <v>-118</v>
      </c>
      <c r="T373" s="1">
        <f t="shared" si="3"/>
        <v>1.847457627</v>
      </c>
      <c r="U373" s="1">
        <f t="shared" si="4"/>
        <v>0</v>
      </c>
      <c r="V373" s="3">
        <f t="shared" si="5"/>
        <v>1</v>
      </c>
      <c r="W373" s="3">
        <f t="shared" si="6"/>
        <v>3</v>
      </c>
      <c r="X373" s="3" t="str">
        <f>IFERROR(__xludf.DUMMYFUNCTION("split(B373,"" "")"),"B.")</f>
        <v>B.</v>
      </c>
      <c r="Y373" s="3" t="str">
        <f>IFERROR(__xludf.DUMMYFUNCTION("""COMPUTED_VALUE"""),"Purdy")</f>
        <v>Purdy</v>
      </c>
      <c r="AA373" s="3">
        <v>29.0</v>
      </c>
      <c r="AB373" s="3">
        <f t="shared" si="7"/>
        <v>0</v>
      </c>
      <c r="AC373" s="3">
        <f t="shared" si="8"/>
        <v>1</v>
      </c>
      <c r="AD373" s="3">
        <f t="shared" si="9"/>
        <v>0.8474576271</v>
      </c>
      <c r="AE373" s="3">
        <f t="shared" si="10"/>
        <v>0.8474576271</v>
      </c>
      <c r="AF373" s="3">
        <f t="shared" si="11"/>
        <v>2.542372881</v>
      </c>
      <c r="AG373" s="3">
        <f t="shared" si="12"/>
        <v>0.06451612903</v>
      </c>
    </row>
    <row r="374">
      <c r="A374" s="1" t="s">
        <v>11</v>
      </c>
      <c r="B374" s="1" t="s">
        <v>418</v>
      </c>
      <c r="C374" s="1" t="s">
        <v>20</v>
      </c>
      <c r="D374" s="1" t="s">
        <v>77</v>
      </c>
      <c r="E374" s="1" t="s">
        <v>76</v>
      </c>
      <c r="F374" s="1" t="s">
        <v>78</v>
      </c>
      <c r="G374" s="1">
        <v>48.5</v>
      </c>
      <c r="H374" s="1" t="s">
        <v>60</v>
      </c>
      <c r="I374" s="1">
        <v>-113.0</v>
      </c>
      <c r="J374" s="6">
        <v>-0.0762176281230186</v>
      </c>
      <c r="K374" s="1" t="s">
        <v>61</v>
      </c>
      <c r="L374" s="1" t="s">
        <v>61</v>
      </c>
      <c r="M374" s="1" t="s">
        <v>62</v>
      </c>
      <c r="N374" s="1">
        <v>-119.0</v>
      </c>
      <c r="O374" s="6">
        <v>0.00232181859862568</v>
      </c>
      <c r="P374" s="1" t="s">
        <v>61</v>
      </c>
      <c r="Q374" s="1" t="s">
        <v>61</v>
      </c>
      <c r="R374" s="6">
        <f t="shared" si="1"/>
        <v>0.002321818599</v>
      </c>
      <c r="S374" s="1">
        <f t="shared" si="2"/>
        <v>-119</v>
      </c>
      <c r="T374" s="1">
        <f t="shared" si="3"/>
        <v>1.840336134</v>
      </c>
      <c r="U374" s="1">
        <f t="shared" si="4"/>
        <v>0</v>
      </c>
      <c r="V374" s="3">
        <f t="shared" si="5"/>
        <v>1</v>
      </c>
      <c r="W374" s="3">
        <f t="shared" si="6"/>
        <v>3</v>
      </c>
      <c r="X374" s="3" t="str">
        <f>IFERROR(__xludf.DUMMYFUNCTION("split(B374,"" "")"),"M.")</f>
        <v>M.</v>
      </c>
      <c r="Y374" s="3" t="str">
        <f>IFERROR(__xludf.DUMMYFUNCTION("""COMPUTED_VALUE"""),"Andrews")</f>
        <v>Andrews</v>
      </c>
      <c r="AA374" s="3">
        <v>14.0</v>
      </c>
      <c r="AB374" s="3">
        <f t="shared" si="7"/>
        <v>0</v>
      </c>
      <c r="AC374" s="3">
        <f t="shared" si="8"/>
        <v>1</v>
      </c>
      <c r="AD374" s="3">
        <f t="shared" si="9"/>
        <v>0.8403361345</v>
      </c>
      <c r="AE374" s="3">
        <f t="shared" si="10"/>
        <v>0.8403361345</v>
      </c>
      <c r="AF374" s="3">
        <f t="shared" si="11"/>
        <v>2.521008403</v>
      </c>
      <c r="AG374" s="3">
        <f t="shared" si="12"/>
        <v>0.7113402062</v>
      </c>
    </row>
    <row r="375">
      <c r="A375" s="1" t="s">
        <v>11</v>
      </c>
      <c r="B375" s="1" t="s">
        <v>420</v>
      </c>
      <c r="C375" s="1" t="s">
        <v>19</v>
      </c>
      <c r="D375" s="1" t="s">
        <v>164</v>
      </c>
      <c r="E375" s="1" t="s">
        <v>165</v>
      </c>
      <c r="F375" s="1" t="s">
        <v>166</v>
      </c>
      <c r="G375" s="1">
        <v>33.5</v>
      </c>
      <c r="H375" s="1" t="s">
        <v>60</v>
      </c>
      <c r="I375" s="1">
        <v>-115.0</v>
      </c>
      <c r="J375" s="1">
        <v>-0.0968936535035348</v>
      </c>
      <c r="K375" s="1" t="s">
        <v>61</v>
      </c>
      <c r="L375" s="1" t="s">
        <v>61</v>
      </c>
      <c r="M375" s="1" t="s">
        <v>62</v>
      </c>
      <c r="N375" s="1">
        <v>-119.0</v>
      </c>
      <c r="O375" s="1">
        <v>0.0186808650317552</v>
      </c>
      <c r="P375" s="1" t="s">
        <v>61</v>
      </c>
      <c r="Q375" s="1" t="s">
        <v>61</v>
      </c>
      <c r="R375" s="1">
        <f t="shared" si="1"/>
        <v>0.01868086503</v>
      </c>
      <c r="S375" s="1">
        <f t="shared" si="2"/>
        <v>-119</v>
      </c>
      <c r="T375" s="1">
        <f t="shared" si="3"/>
        <v>1.840336134</v>
      </c>
      <c r="U375" s="1">
        <f t="shared" si="4"/>
        <v>0</v>
      </c>
      <c r="V375" s="3">
        <f t="shared" si="5"/>
        <v>1</v>
      </c>
      <c r="W375" s="3">
        <f t="shared" si="6"/>
        <v>3</v>
      </c>
      <c r="X375" s="3" t="str">
        <f>IFERROR(__xludf.DUMMYFUNCTION("split(B375,"" "")"),"C.")</f>
        <v>C.</v>
      </c>
      <c r="Y375" s="3" t="str">
        <f>IFERROR(__xludf.DUMMYFUNCTION("""COMPUTED_VALUE"""),"McCaffrey")</f>
        <v>McCaffrey</v>
      </c>
      <c r="AA375" s="3">
        <v>0.0</v>
      </c>
      <c r="AB375" s="3">
        <f t="shared" si="7"/>
        <v>0</v>
      </c>
      <c r="AC375" s="3">
        <f t="shared" si="8"/>
        <v>1</v>
      </c>
      <c r="AD375" s="3">
        <f t="shared" si="9"/>
        <v>0.8403361345</v>
      </c>
      <c r="AE375" s="3">
        <f t="shared" si="10"/>
        <v>0.8403361345</v>
      </c>
      <c r="AF375" s="3">
        <f t="shared" si="11"/>
        <v>2.521008403</v>
      </c>
      <c r="AG375" s="3">
        <f t="shared" si="12"/>
        <v>1</v>
      </c>
    </row>
    <row r="376">
      <c r="A376" s="1" t="s">
        <v>9</v>
      </c>
      <c r="B376" s="1" t="s">
        <v>422</v>
      </c>
      <c r="C376" s="1" t="s">
        <v>18</v>
      </c>
      <c r="D376" s="1" t="s">
        <v>83</v>
      </c>
      <c r="E376" s="1" t="s">
        <v>82</v>
      </c>
      <c r="F376" s="1" t="s">
        <v>84</v>
      </c>
      <c r="G376" s="1">
        <v>27.5</v>
      </c>
      <c r="H376" s="1" t="s">
        <v>60</v>
      </c>
      <c r="I376" s="1">
        <v>-120.0</v>
      </c>
      <c r="J376" s="1">
        <v>0.0472474627567632</v>
      </c>
      <c r="K376" s="1" t="s">
        <v>61</v>
      </c>
      <c r="L376" s="1" t="s">
        <v>61</v>
      </c>
      <c r="M376" s="1" t="s">
        <v>62</v>
      </c>
      <c r="N376" s="1">
        <v>-110.0</v>
      </c>
      <c r="O376" s="1">
        <v>-0.116511838033984</v>
      </c>
      <c r="P376" s="1" t="s">
        <v>61</v>
      </c>
      <c r="Q376" s="1" t="s">
        <v>61</v>
      </c>
      <c r="R376" s="1">
        <f t="shared" si="1"/>
        <v>0.04724746276</v>
      </c>
      <c r="S376" s="1">
        <f t="shared" si="2"/>
        <v>-120</v>
      </c>
      <c r="T376" s="1">
        <f t="shared" si="3"/>
        <v>1.833333333</v>
      </c>
      <c r="U376" s="1">
        <f t="shared" si="4"/>
        <v>1</v>
      </c>
      <c r="V376" s="3">
        <f t="shared" si="5"/>
        <v>1</v>
      </c>
      <c r="W376" s="3">
        <f t="shared" si="6"/>
        <v>3</v>
      </c>
      <c r="X376" s="3" t="str">
        <f>IFERROR(__xludf.DUMMYFUNCTION("split(B376,"" "")"),"J.")</f>
        <v>J.</v>
      </c>
      <c r="Y376" s="3" t="str">
        <f>IFERROR(__xludf.DUMMYFUNCTION("""COMPUTED_VALUE"""),"Reynolds")</f>
        <v>Reynolds</v>
      </c>
      <c r="AA376" s="3">
        <v>45.0</v>
      </c>
      <c r="AB376" s="3">
        <f t="shared" si="7"/>
        <v>1</v>
      </c>
      <c r="AC376" s="3">
        <f t="shared" si="8"/>
        <v>1</v>
      </c>
      <c r="AD376" s="3">
        <f t="shared" si="9"/>
        <v>0.8333333333</v>
      </c>
      <c r="AE376" s="3">
        <f t="shared" si="10"/>
        <v>0.8333333333</v>
      </c>
      <c r="AF376" s="3">
        <f t="shared" si="11"/>
        <v>2.5</v>
      </c>
      <c r="AG376" s="3">
        <f t="shared" si="12"/>
        <v>0.6363636364</v>
      </c>
    </row>
    <row r="377">
      <c r="A377" s="1" t="s">
        <v>11</v>
      </c>
      <c r="B377" s="1" t="s">
        <v>424</v>
      </c>
      <c r="C377" s="1" t="s">
        <v>19</v>
      </c>
      <c r="D377" s="1" t="s">
        <v>76</v>
      </c>
      <c r="E377" s="1" t="s">
        <v>77</v>
      </c>
      <c r="F377" s="1" t="s">
        <v>78</v>
      </c>
      <c r="G377" s="1">
        <v>7.5</v>
      </c>
      <c r="H377" s="1" t="s">
        <v>60</v>
      </c>
      <c r="I377" s="1">
        <v>-120.0</v>
      </c>
      <c r="J377" s="6">
        <v>0.0469294799880658</v>
      </c>
      <c r="K377" s="1" t="s">
        <v>61</v>
      </c>
      <c r="L377" s="1" t="s">
        <v>61</v>
      </c>
      <c r="M377" s="1" t="s">
        <v>62</v>
      </c>
      <c r="N377" s="1">
        <v>-110.0</v>
      </c>
      <c r="O377" s="6">
        <v>-0.116191115033866</v>
      </c>
      <c r="P377" s="1" t="s">
        <v>61</v>
      </c>
      <c r="Q377" s="1" t="s">
        <v>61</v>
      </c>
      <c r="R377" s="6">
        <f t="shared" si="1"/>
        <v>0.04692947999</v>
      </c>
      <c r="S377" s="1">
        <f t="shared" si="2"/>
        <v>-120</v>
      </c>
      <c r="T377" s="1">
        <f t="shared" si="3"/>
        <v>1.833333333</v>
      </c>
      <c r="U377" s="1">
        <f t="shared" si="4"/>
        <v>1</v>
      </c>
      <c r="V377" s="3">
        <f t="shared" si="5"/>
        <v>1</v>
      </c>
      <c r="W377" s="3">
        <f t="shared" si="6"/>
        <v>3</v>
      </c>
      <c r="X377" s="3" t="str">
        <f>IFERROR(__xludf.DUMMYFUNCTION("split(B377,"" "")"),"S.")</f>
        <v>S.</v>
      </c>
      <c r="Y377" s="3" t="str">
        <f>IFERROR(__xludf.DUMMYFUNCTION("""COMPUTED_VALUE"""),"Perine")</f>
        <v>Perine</v>
      </c>
      <c r="AA377" s="3">
        <v>10.0</v>
      </c>
      <c r="AB377" s="3">
        <f t="shared" si="7"/>
        <v>1</v>
      </c>
      <c r="AC377" s="3">
        <f t="shared" si="8"/>
        <v>1</v>
      </c>
      <c r="AD377" s="3">
        <f t="shared" si="9"/>
        <v>0.8333333333</v>
      </c>
      <c r="AE377" s="3">
        <f t="shared" si="10"/>
        <v>0.8333333333</v>
      </c>
      <c r="AF377" s="3">
        <f t="shared" si="11"/>
        <v>2.5</v>
      </c>
      <c r="AG377" s="3">
        <f t="shared" si="12"/>
        <v>0.3333333333</v>
      </c>
    </row>
    <row r="378">
      <c r="A378" s="1" t="s">
        <v>9</v>
      </c>
      <c r="B378" s="1" t="s">
        <v>426</v>
      </c>
      <c r="C378" s="1" t="s">
        <v>18</v>
      </c>
      <c r="D378" s="1" t="s">
        <v>104</v>
      </c>
      <c r="E378" s="1" t="s">
        <v>105</v>
      </c>
      <c r="F378" s="1" t="s">
        <v>59</v>
      </c>
      <c r="G378" s="1">
        <v>33.5</v>
      </c>
      <c r="H378" s="1" t="s">
        <v>60</v>
      </c>
      <c r="I378" s="1">
        <v>-120.0</v>
      </c>
      <c r="J378" s="1">
        <v>0.0448749237668875</v>
      </c>
      <c r="K378" s="1" t="s">
        <v>61</v>
      </c>
      <c r="L378" s="1" t="s">
        <v>61</v>
      </c>
      <c r="M378" s="1" t="s">
        <v>62</v>
      </c>
      <c r="N378" s="1">
        <v>-115.0</v>
      </c>
      <c r="O378" s="1">
        <v>-0.125236073083825</v>
      </c>
      <c r="P378" s="1" t="s">
        <v>61</v>
      </c>
      <c r="Q378" s="1" t="s">
        <v>61</v>
      </c>
      <c r="R378" s="1">
        <f t="shared" si="1"/>
        <v>0.04487492377</v>
      </c>
      <c r="S378" s="1">
        <f t="shared" si="2"/>
        <v>-120</v>
      </c>
      <c r="T378" s="1">
        <f t="shared" si="3"/>
        <v>1.833333333</v>
      </c>
      <c r="U378" s="1">
        <f t="shared" si="4"/>
        <v>1</v>
      </c>
      <c r="V378" s="3">
        <f t="shared" si="5"/>
        <v>1</v>
      </c>
      <c r="W378" s="3">
        <f t="shared" si="6"/>
        <v>3</v>
      </c>
      <c r="X378" s="3" t="str">
        <f>IFERROR(__xludf.DUMMYFUNCTION("split(B378,"" "")"),"K.")</f>
        <v>K.</v>
      </c>
      <c r="Y378" s="3" t="str">
        <f>IFERROR(__xludf.DUMMYFUNCTION("""COMPUTED_VALUE"""),"Coleman")</f>
        <v>Coleman</v>
      </c>
      <c r="AA378" s="3">
        <v>51.0</v>
      </c>
      <c r="AB378" s="3">
        <f t="shared" si="7"/>
        <v>1</v>
      </c>
      <c r="AC378" s="3">
        <f t="shared" si="8"/>
        <v>1</v>
      </c>
      <c r="AD378" s="3">
        <f t="shared" si="9"/>
        <v>0.8333333333</v>
      </c>
      <c r="AE378" s="3">
        <f t="shared" si="10"/>
        <v>0.8333333333</v>
      </c>
      <c r="AF378" s="3">
        <f t="shared" si="11"/>
        <v>2.5</v>
      </c>
      <c r="AG378" s="3">
        <f t="shared" si="12"/>
        <v>0.5223880597</v>
      </c>
    </row>
    <row r="379">
      <c r="A379" s="1" t="s">
        <v>10</v>
      </c>
      <c r="B379" s="1" t="s">
        <v>274</v>
      </c>
      <c r="C379" s="1" t="s">
        <v>21</v>
      </c>
      <c r="D379" s="1" t="s">
        <v>99</v>
      </c>
      <c r="E379" s="1" t="s">
        <v>100</v>
      </c>
      <c r="F379" s="1" t="s">
        <v>59</v>
      </c>
      <c r="G379" s="1">
        <v>19.5</v>
      </c>
      <c r="H379" s="1" t="s">
        <v>60</v>
      </c>
      <c r="I379" s="1">
        <v>-110.0</v>
      </c>
      <c r="J379" s="1">
        <v>-0.110147987650315</v>
      </c>
      <c r="K379" s="1" t="s">
        <v>61</v>
      </c>
      <c r="L379" s="1" t="s">
        <v>61</v>
      </c>
      <c r="M379" s="1" t="s">
        <v>62</v>
      </c>
      <c r="N379" s="1">
        <v>-120.0</v>
      </c>
      <c r="O379" s="1">
        <v>0.0409040585812704</v>
      </c>
      <c r="P379" s="1" t="s">
        <v>61</v>
      </c>
      <c r="Q379" s="1" t="s">
        <v>61</v>
      </c>
      <c r="R379" s="1">
        <f t="shared" si="1"/>
        <v>0.04090405858</v>
      </c>
      <c r="S379" s="1">
        <f t="shared" si="2"/>
        <v>-120</v>
      </c>
      <c r="T379" s="1">
        <f t="shared" si="3"/>
        <v>1.833333333</v>
      </c>
      <c r="U379" s="1">
        <f t="shared" si="4"/>
        <v>0</v>
      </c>
      <c r="V379" s="3">
        <f t="shared" si="5"/>
        <v>1</v>
      </c>
      <c r="W379" s="3">
        <f t="shared" si="6"/>
        <v>3</v>
      </c>
      <c r="X379" s="3" t="str">
        <f>IFERROR(__xludf.DUMMYFUNCTION("split(B379,"" "")"),"C.")</f>
        <v>C.</v>
      </c>
      <c r="Y379" s="3" t="str">
        <f>IFERROR(__xludf.DUMMYFUNCTION("""COMPUTED_VALUE"""),"Williams")</f>
        <v>Williams</v>
      </c>
      <c r="AA379" s="3">
        <v>15.0</v>
      </c>
      <c r="AB379" s="3">
        <f t="shared" si="7"/>
        <v>0</v>
      </c>
      <c r="AC379" s="3">
        <f t="shared" si="8"/>
        <v>1</v>
      </c>
      <c r="AD379" s="3">
        <f t="shared" si="9"/>
        <v>0.8333333333</v>
      </c>
      <c r="AE379" s="3">
        <f t="shared" si="10"/>
        <v>0.8333333333</v>
      </c>
      <c r="AF379" s="3">
        <f t="shared" si="11"/>
        <v>2.5</v>
      </c>
      <c r="AG379" s="3">
        <f t="shared" si="12"/>
        <v>0.2307692308</v>
      </c>
    </row>
    <row r="380">
      <c r="A380" s="1" t="s">
        <v>10</v>
      </c>
      <c r="B380" s="1" t="s">
        <v>168</v>
      </c>
      <c r="C380" s="1" t="s">
        <v>19</v>
      </c>
      <c r="D380" s="1" t="s">
        <v>67</v>
      </c>
      <c r="E380" s="1" t="s">
        <v>66</v>
      </c>
      <c r="F380" s="1" t="s">
        <v>59</v>
      </c>
      <c r="G380" s="1">
        <v>47.5</v>
      </c>
      <c r="H380" s="1" t="s">
        <v>60</v>
      </c>
      <c r="I380" s="1">
        <v>-110.0</v>
      </c>
      <c r="J380" s="1">
        <v>-0.0935839218957702</v>
      </c>
      <c r="K380" s="1" t="s">
        <v>61</v>
      </c>
      <c r="L380" s="1" t="s">
        <v>61</v>
      </c>
      <c r="M380" s="1" t="s">
        <v>62</v>
      </c>
      <c r="N380" s="1">
        <v>-120.0</v>
      </c>
      <c r="O380" s="1">
        <v>0.0243596494995187</v>
      </c>
      <c r="P380" s="1" t="s">
        <v>61</v>
      </c>
      <c r="Q380" s="1" t="s">
        <v>61</v>
      </c>
      <c r="R380" s="1">
        <f t="shared" si="1"/>
        <v>0.0243596495</v>
      </c>
      <c r="S380" s="1">
        <f t="shared" si="2"/>
        <v>-120</v>
      </c>
      <c r="T380" s="1">
        <f t="shared" si="3"/>
        <v>1.833333333</v>
      </c>
      <c r="U380" s="1">
        <f t="shared" si="4"/>
        <v>0</v>
      </c>
      <c r="V380" s="3">
        <f t="shared" si="5"/>
        <v>1</v>
      </c>
      <c r="W380" s="3">
        <f t="shared" si="6"/>
        <v>3</v>
      </c>
      <c r="X380" s="3" t="str">
        <f>IFERROR(__xludf.DUMMYFUNCTION("split(B380,"" "")"),"Z.")</f>
        <v>Z.</v>
      </c>
      <c r="Y380" s="3" t="str">
        <f>IFERROR(__xludf.DUMMYFUNCTION("""COMPUTED_VALUE"""),"Moss")</f>
        <v>Moss</v>
      </c>
      <c r="AA380" s="3">
        <v>44.0</v>
      </c>
      <c r="AB380" s="3">
        <f t="shared" si="7"/>
        <v>0</v>
      </c>
      <c r="AC380" s="3">
        <f t="shared" si="8"/>
        <v>1</v>
      </c>
      <c r="AD380" s="3">
        <f t="shared" si="9"/>
        <v>0.8333333333</v>
      </c>
      <c r="AE380" s="3">
        <f t="shared" si="10"/>
        <v>0.8333333333</v>
      </c>
      <c r="AF380" s="3">
        <f t="shared" si="11"/>
        <v>2.5</v>
      </c>
      <c r="AG380" s="3">
        <f t="shared" si="12"/>
        <v>0.07368421053</v>
      </c>
    </row>
    <row r="381">
      <c r="A381" s="1" t="s">
        <v>11</v>
      </c>
      <c r="B381" s="1" t="s">
        <v>217</v>
      </c>
      <c r="C381" s="1" t="s">
        <v>18</v>
      </c>
      <c r="D381" s="1" t="s">
        <v>71</v>
      </c>
      <c r="E381" s="1" t="s">
        <v>72</v>
      </c>
      <c r="F381" s="1" t="s">
        <v>59</v>
      </c>
      <c r="G381" s="1">
        <v>33.5</v>
      </c>
      <c r="H381" s="1" t="s">
        <v>60</v>
      </c>
      <c r="I381" s="1">
        <v>-115.0</v>
      </c>
      <c r="J381" s="1">
        <v>-0.103906609445814</v>
      </c>
      <c r="K381" s="1" t="s">
        <v>61</v>
      </c>
      <c r="L381" s="1" t="s">
        <v>61</v>
      </c>
      <c r="M381" s="1" t="s">
        <v>62</v>
      </c>
      <c r="N381" s="1">
        <v>-120.0</v>
      </c>
      <c r="O381" s="1">
        <v>0.0235715703173639</v>
      </c>
      <c r="P381" s="1" t="s">
        <v>61</v>
      </c>
      <c r="Q381" s="1" t="s">
        <v>61</v>
      </c>
      <c r="R381" s="1">
        <f t="shared" si="1"/>
        <v>0.02357157032</v>
      </c>
      <c r="S381" s="1">
        <f t="shared" si="2"/>
        <v>-120</v>
      </c>
      <c r="T381" s="1">
        <f t="shared" si="3"/>
        <v>1.833333333</v>
      </c>
      <c r="U381" s="1">
        <f t="shared" si="4"/>
        <v>0</v>
      </c>
      <c r="V381" s="3">
        <f t="shared" si="5"/>
        <v>1</v>
      </c>
      <c r="W381" s="3">
        <f t="shared" si="6"/>
        <v>3</v>
      </c>
      <c r="X381" s="3" t="str">
        <f>IFERROR(__xludf.DUMMYFUNCTION("split(B381,"" "")"),"A.")</f>
        <v>A.</v>
      </c>
      <c r="Y381" s="3" t="str">
        <f>IFERROR(__xludf.DUMMYFUNCTION("""COMPUTED_VALUE"""),"Pierce")</f>
        <v>Pierce</v>
      </c>
      <c r="AA381" s="3">
        <v>0.0</v>
      </c>
      <c r="AB381" s="3">
        <f t="shared" si="7"/>
        <v>0</v>
      </c>
      <c r="AC381" s="3">
        <f t="shared" si="8"/>
        <v>1</v>
      </c>
      <c r="AD381" s="3">
        <f t="shared" si="9"/>
        <v>0.8333333333</v>
      </c>
      <c r="AE381" s="3">
        <f t="shared" si="10"/>
        <v>0.8333333333</v>
      </c>
      <c r="AF381" s="3">
        <f t="shared" si="11"/>
        <v>2.5</v>
      </c>
      <c r="AG381" s="3">
        <f t="shared" si="12"/>
        <v>1</v>
      </c>
    </row>
    <row r="382">
      <c r="A382" s="1" t="s">
        <v>9</v>
      </c>
      <c r="B382" s="1" t="s">
        <v>428</v>
      </c>
      <c r="C382" s="1" t="s">
        <v>18</v>
      </c>
      <c r="D382" s="1" t="s">
        <v>58</v>
      </c>
      <c r="E382" s="1" t="s">
        <v>57</v>
      </c>
      <c r="F382" s="1" t="s">
        <v>59</v>
      </c>
      <c r="G382" s="1">
        <v>38.5</v>
      </c>
      <c r="H382" s="1" t="s">
        <v>60</v>
      </c>
      <c r="I382" s="1">
        <v>-120.0</v>
      </c>
      <c r="J382" s="1">
        <v>0.0226649756758738</v>
      </c>
      <c r="K382" s="1" t="s">
        <v>61</v>
      </c>
      <c r="L382" s="1" t="s">
        <v>61</v>
      </c>
      <c r="M382" s="1" t="s">
        <v>62</v>
      </c>
      <c r="N382" s="1">
        <v>-110.0</v>
      </c>
      <c r="O382" s="1">
        <v>-0.0918710672074355</v>
      </c>
      <c r="P382" s="1" t="s">
        <v>61</v>
      </c>
      <c r="Q382" s="1" t="s">
        <v>61</v>
      </c>
      <c r="R382" s="1">
        <f t="shared" si="1"/>
        <v>0.02266497568</v>
      </c>
      <c r="S382" s="1">
        <f t="shared" si="2"/>
        <v>-120</v>
      </c>
      <c r="T382" s="1">
        <f t="shared" si="3"/>
        <v>1.833333333</v>
      </c>
      <c r="U382" s="1">
        <f t="shared" si="4"/>
        <v>1</v>
      </c>
      <c r="V382" s="3">
        <f t="shared" si="5"/>
        <v>1</v>
      </c>
      <c r="W382" s="3">
        <f t="shared" si="6"/>
        <v>3</v>
      </c>
      <c r="X382" s="3" t="str">
        <f>IFERROR(__xludf.DUMMYFUNCTION("split(B382,"" "")"),"R.")</f>
        <v>R.</v>
      </c>
      <c r="Y382" s="3" t="str">
        <f>IFERROR(__xludf.DUMMYFUNCTION("""COMPUTED_VALUE"""),"Shaheed")</f>
        <v>Shaheed</v>
      </c>
      <c r="AA382" s="3">
        <v>73.0</v>
      </c>
      <c r="AB382" s="3">
        <f t="shared" si="7"/>
        <v>1</v>
      </c>
      <c r="AC382" s="3">
        <f t="shared" si="8"/>
        <v>1</v>
      </c>
      <c r="AD382" s="3">
        <f t="shared" si="9"/>
        <v>0.8333333333</v>
      </c>
      <c r="AE382" s="3">
        <f t="shared" si="10"/>
        <v>0.8333333333</v>
      </c>
      <c r="AF382" s="3">
        <f t="shared" si="11"/>
        <v>2.5</v>
      </c>
      <c r="AG382" s="3">
        <f t="shared" si="12"/>
        <v>0.8961038961</v>
      </c>
    </row>
    <row r="383">
      <c r="A383" s="1" t="s">
        <v>11</v>
      </c>
      <c r="B383" s="1" t="s">
        <v>430</v>
      </c>
      <c r="C383" s="1" t="s">
        <v>20</v>
      </c>
      <c r="D383" s="1" t="s">
        <v>100</v>
      </c>
      <c r="E383" s="1" t="s">
        <v>99</v>
      </c>
      <c r="F383" s="1" t="s">
        <v>59</v>
      </c>
      <c r="G383" s="1">
        <v>31.5</v>
      </c>
      <c r="H383" s="1" t="s">
        <v>60</v>
      </c>
      <c r="I383" s="1">
        <v>-110.0</v>
      </c>
      <c r="J383" s="1">
        <v>-0.0891255383120001</v>
      </c>
      <c r="K383" s="1" t="s">
        <v>61</v>
      </c>
      <c r="L383" s="1" t="s">
        <v>61</v>
      </c>
      <c r="M383" s="1" t="s">
        <v>62</v>
      </c>
      <c r="N383" s="1">
        <v>-120.0</v>
      </c>
      <c r="O383" s="1">
        <v>0.0198774041610183</v>
      </c>
      <c r="P383" s="1" t="s">
        <v>61</v>
      </c>
      <c r="Q383" s="1" t="s">
        <v>61</v>
      </c>
      <c r="R383" s="1">
        <f t="shared" si="1"/>
        <v>0.01987740416</v>
      </c>
      <c r="S383" s="1">
        <f t="shared" si="2"/>
        <v>-120</v>
      </c>
      <c r="T383" s="1">
        <f t="shared" si="3"/>
        <v>1.833333333</v>
      </c>
      <c r="U383" s="1">
        <f t="shared" si="4"/>
        <v>0</v>
      </c>
      <c r="V383" s="3">
        <f t="shared" si="5"/>
        <v>1</v>
      </c>
      <c r="W383" s="3">
        <f t="shared" si="6"/>
        <v>3</v>
      </c>
      <c r="X383" s="3" t="str">
        <f>IFERROR(__xludf.DUMMYFUNCTION("split(B383,"" "")"),"C.")</f>
        <v>C.</v>
      </c>
      <c r="Y383" s="3" t="str">
        <f>IFERROR(__xludf.DUMMYFUNCTION("""COMPUTED_VALUE"""),"Okonkwo")</f>
        <v>Okonkwo</v>
      </c>
      <c r="AA383" s="3">
        <v>15.0</v>
      </c>
      <c r="AB383" s="3">
        <f t="shared" si="7"/>
        <v>0</v>
      </c>
      <c r="AC383" s="3">
        <f t="shared" si="8"/>
        <v>1</v>
      </c>
      <c r="AD383" s="3">
        <f t="shared" si="9"/>
        <v>0.8333333333</v>
      </c>
      <c r="AE383" s="3">
        <f t="shared" si="10"/>
        <v>0.8333333333</v>
      </c>
      <c r="AF383" s="3">
        <f t="shared" si="11"/>
        <v>2.5</v>
      </c>
      <c r="AG383" s="3">
        <f t="shared" si="12"/>
        <v>0.5238095238</v>
      </c>
    </row>
    <row r="384">
      <c r="A384" s="1" t="s">
        <v>9</v>
      </c>
      <c r="B384" s="1" t="s">
        <v>432</v>
      </c>
      <c r="C384" s="1" t="s">
        <v>18</v>
      </c>
      <c r="D384" s="1" t="s">
        <v>135</v>
      </c>
      <c r="E384" s="1" t="s">
        <v>134</v>
      </c>
      <c r="F384" s="1" t="s">
        <v>84</v>
      </c>
      <c r="G384" s="1">
        <v>37.5</v>
      </c>
      <c r="H384" s="1" t="s">
        <v>60</v>
      </c>
      <c r="I384" s="1">
        <v>-120.0</v>
      </c>
      <c r="J384" s="1">
        <v>0.018612028842854</v>
      </c>
      <c r="K384" s="1" t="s">
        <v>61</v>
      </c>
      <c r="L384" s="1" t="s">
        <v>61</v>
      </c>
      <c r="M384" s="1" t="s">
        <v>62</v>
      </c>
      <c r="N384" s="1">
        <v>-110.0</v>
      </c>
      <c r="O384" s="1">
        <v>-0.0878252903808126</v>
      </c>
      <c r="P384" s="1" t="s">
        <v>61</v>
      </c>
      <c r="Q384" s="1" t="s">
        <v>61</v>
      </c>
      <c r="R384" s="1">
        <f t="shared" si="1"/>
        <v>0.01861202884</v>
      </c>
      <c r="S384" s="1">
        <f t="shared" si="2"/>
        <v>-120</v>
      </c>
      <c r="T384" s="1">
        <f t="shared" si="3"/>
        <v>1.833333333</v>
      </c>
      <c r="U384" s="1">
        <f t="shared" si="4"/>
        <v>1</v>
      </c>
      <c r="V384" s="3">
        <f t="shared" si="5"/>
        <v>1</v>
      </c>
      <c r="W384" s="3">
        <f t="shared" si="6"/>
        <v>3</v>
      </c>
      <c r="X384" s="3" t="str">
        <f>IFERROR(__xludf.DUMMYFUNCTION("split(B384,"" "")"),"L.")</f>
        <v>L.</v>
      </c>
      <c r="Y384" s="3" t="str">
        <f>IFERROR(__xludf.DUMMYFUNCTION("""COMPUTED_VALUE"""),"McConkey")</f>
        <v>McConkey</v>
      </c>
      <c r="AA384" s="3">
        <v>39.0</v>
      </c>
      <c r="AB384" s="3">
        <f t="shared" si="7"/>
        <v>1</v>
      </c>
      <c r="AC384" s="3">
        <f t="shared" si="8"/>
        <v>1</v>
      </c>
      <c r="AD384" s="3">
        <f t="shared" si="9"/>
        <v>0.8333333333</v>
      </c>
      <c r="AE384" s="3">
        <f t="shared" si="10"/>
        <v>0.8333333333</v>
      </c>
      <c r="AF384" s="3">
        <f t="shared" si="11"/>
        <v>2.5</v>
      </c>
      <c r="AG384" s="3">
        <f t="shared" si="12"/>
        <v>0.04</v>
      </c>
    </row>
    <row r="385">
      <c r="A385" s="1" t="s">
        <v>11</v>
      </c>
      <c r="B385" s="1" t="s">
        <v>168</v>
      </c>
      <c r="C385" s="1" t="s">
        <v>19</v>
      </c>
      <c r="D385" s="1" t="s">
        <v>67</v>
      </c>
      <c r="E385" s="1" t="s">
        <v>66</v>
      </c>
      <c r="F385" s="1" t="s">
        <v>59</v>
      </c>
      <c r="G385" s="1">
        <v>9.5</v>
      </c>
      <c r="H385" s="1" t="s">
        <v>60</v>
      </c>
      <c r="I385" s="1">
        <v>-120.0</v>
      </c>
      <c r="J385" s="1">
        <v>0.016245044053154</v>
      </c>
      <c r="K385" s="1" t="s">
        <v>61</v>
      </c>
      <c r="L385" s="1" t="s">
        <v>61</v>
      </c>
      <c r="M385" s="1" t="s">
        <v>62</v>
      </c>
      <c r="N385" s="1">
        <v>-110.0</v>
      </c>
      <c r="O385" s="1">
        <v>-0.0854938126707774</v>
      </c>
      <c r="P385" s="1" t="s">
        <v>61</v>
      </c>
      <c r="Q385" s="1" t="s">
        <v>61</v>
      </c>
      <c r="R385" s="1">
        <f t="shared" si="1"/>
        <v>0.01624504405</v>
      </c>
      <c r="S385" s="1">
        <f t="shared" si="2"/>
        <v>-120</v>
      </c>
      <c r="T385" s="1">
        <f t="shared" si="3"/>
        <v>1.833333333</v>
      </c>
      <c r="U385" s="1">
        <f t="shared" si="4"/>
        <v>1</v>
      </c>
      <c r="V385" s="3">
        <f t="shared" si="5"/>
        <v>1</v>
      </c>
      <c r="W385" s="3">
        <f t="shared" si="6"/>
        <v>3</v>
      </c>
      <c r="X385" s="3" t="str">
        <f>IFERROR(__xludf.DUMMYFUNCTION("split(B385,"" "")"),"Z.")</f>
        <v>Z.</v>
      </c>
      <c r="Y385" s="3" t="str">
        <f>IFERROR(__xludf.DUMMYFUNCTION("""COMPUTED_VALUE"""),"Moss")</f>
        <v>Moss</v>
      </c>
      <c r="AA385" s="3">
        <v>17.0</v>
      </c>
      <c r="AB385" s="3">
        <f t="shared" si="7"/>
        <v>1</v>
      </c>
      <c r="AC385" s="3">
        <f t="shared" si="8"/>
        <v>1</v>
      </c>
      <c r="AD385" s="3">
        <f t="shared" si="9"/>
        <v>0.8333333333</v>
      </c>
      <c r="AE385" s="3">
        <f t="shared" si="10"/>
        <v>0.8333333333</v>
      </c>
      <c r="AF385" s="3">
        <f t="shared" si="11"/>
        <v>2.5</v>
      </c>
      <c r="AG385" s="3">
        <f t="shared" si="12"/>
        <v>0.7894736842</v>
      </c>
    </row>
    <row r="386">
      <c r="A386" s="1" t="s">
        <v>9</v>
      </c>
      <c r="B386" s="1" t="s">
        <v>182</v>
      </c>
      <c r="C386" s="1" t="s">
        <v>19</v>
      </c>
      <c r="D386" s="1" t="s">
        <v>77</v>
      </c>
      <c r="E386" s="1" t="s">
        <v>76</v>
      </c>
      <c r="F386" s="1" t="s">
        <v>78</v>
      </c>
      <c r="G386" s="1">
        <v>27.0</v>
      </c>
      <c r="H386" s="1" t="s">
        <v>60</v>
      </c>
      <c r="I386" s="1">
        <v>-120.0</v>
      </c>
      <c r="J386" s="6">
        <v>0.0146472965678625</v>
      </c>
      <c r="K386" s="1" t="s">
        <v>61</v>
      </c>
      <c r="L386" s="1" t="s">
        <v>61</v>
      </c>
      <c r="M386" s="1" t="s">
        <v>62</v>
      </c>
      <c r="N386" s="1">
        <v>-110.0</v>
      </c>
      <c r="O386" s="6">
        <v>-0.0832106941401082</v>
      </c>
      <c r="P386" s="1" t="s">
        <v>61</v>
      </c>
      <c r="Q386" s="1" t="s">
        <v>61</v>
      </c>
      <c r="R386" s="6">
        <f t="shared" si="1"/>
        <v>0.01464729657</v>
      </c>
      <c r="S386" s="1">
        <f t="shared" si="2"/>
        <v>-120</v>
      </c>
      <c r="T386" s="1">
        <f t="shared" si="3"/>
        <v>1.833333333</v>
      </c>
      <c r="U386" s="1">
        <f t="shared" si="4"/>
        <v>1</v>
      </c>
      <c r="V386" s="3">
        <f t="shared" si="5"/>
        <v>1</v>
      </c>
      <c r="W386" s="3">
        <f t="shared" si="6"/>
        <v>3</v>
      </c>
      <c r="X386" s="3" t="str">
        <f>IFERROR(__xludf.DUMMYFUNCTION("split(B386,"" "")"),"J.")</f>
        <v>J.</v>
      </c>
      <c r="Y386" s="3" t="str">
        <f>IFERROR(__xludf.DUMMYFUNCTION("""COMPUTED_VALUE"""),"Hill")</f>
        <v>Hill</v>
      </c>
      <c r="AA386" s="3">
        <v>55.0</v>
      </c>
      <c r="AB386" s="3">
        <f t="shared" si="7"/>
        <v>1</v>
      </c>
      <c r="AC386" s="3">
        <f t="shared" si="8"/>
        <v>1</v>
      </c>
      <c r="AD386" s="3">
        <f t="shared" si="9"/>
        <v>0.8333333333</v>
      </c>
      <c r="AE386" s="3">
        <f t="shared" si="10"/>
        <v>0.8333333333</v>
      </c>
      <c r="AF386" s="3">
        <f t="shared" si="11"/>
        <v>2.5</v>
      </c>
      <c r="AG386" s="3">
        <f t="shared" si="12"/>
        <v>1.037037037</v>
      </c>
    </row>
    <row r="387">
      <c r="A387" s="1" t="s">
        <v>14</v>
      </c>
      <c r="B387" s="1" t="s">
        <v>328</v>
      </c>
      <c r="C387" s="1" t="s">
        <v>21</v>
      </c>
      <c r="D387" s="1" t="s">
        <v>109</v>
      </c>
      <c r="E387" s="1" t="s">
        <v>110</v>
      </c>
      <c r="F387" s="1" t="s">
        <v>59</v>
      </c>
      <c r="G387" s="1">
        <v>1.5</v>
      </c>
      <c r="H387" s="1" t="s">
        <v>60</v>
      </c>
      <c r="I387" s="1">
        <v>-111.0</v>
      </c>
      <c r="J387" s="1">
        <v>-0.0784663507109004</v>
      </c>
      <c r="K387" s="1" t="s">
        <v>61</v>
      </c>
      <c r="L387" s="1" t="s">
        <v>61</v>
      </c>
      <c r="M387" s="1" t="s">
        <v>62</v>
      </c>
      <c r="N387" s="1">
        <v>-120.0</v>
      </c>
      <c r="O387" s="1">
        <v>0.00694545454545458</v>
      </c>
      <c r="P387" s="1" t="s">
        <v>61</v>
      </c>
      <c r="Q387" s="1" t="s">
        <v>61</v>
      </c>
      <c r="R387" s="1">
        <f t="shared" si="1"/>
        <v>0.006945454545</v>
      </c>
      <c r="S387" s="1">
        <f t="shared" si="2"/>
        <v>-120</v>
      </c>
      <c r="T387" s="1">
        <f t="shared" si="3"/>
        <v>1.833333333</v>
      </c>
      <c r="U387" s="1">
        <f t="shared" si="4"/>
        <v>0</v>
      </c>
      <c r="V387" s="3">
        <f t="shared" si="5"/>
        <v>1</v>
      </c>
      <c r="W387" s="3">
        <f t="shared" si="6"/>
        <v>3</v>
      </c>
      <c r="X387" s="3" t="str">
        <f>IFERROR(__xludf.DUMMYFUNCTION("split(B387,"" "")"),"K.")</f>
        <v>K.</v>
      </c>
      <c r="Y387" s="3" t="str">
        <f>IFERROR(__xludf.DUMMYFUNCTION("""COMPUTED_VALUE"""),"Cousins")</f>
        <v>Cousins</v>
      </c>
      <c r="AA387" s="3">
        <v>1.0</v>
      </c>
      <c r="AB387" s="3">
        <f t="shared" si="7"/>
        <v>0</v>
      </c>
      <c r="AC387" s="3">
        <f t="shared" si="8"/>
        <v>1</v>
      </c>
      <c r="AD387" s="3">
        <f t="shared" si="9"/>
        <v>0.8333333333</v>
      </c>
      <c r="AE387" s="3">
        <f t="shared" si="10"/>
        <v>0.8333333333</v>
      </c>
      <c r="AF387" s="3">
        <f t="shared" si="11"/>
        <v>2.5</v>
      </c>
      <c r="AG387" s="3">
        <f t="shared" si="12"/>
        <v>0.3333333333</v>
      </c>
    </row>
    <row r="388">
      <c r="A388" s="1" t="s">
        <v>17</v>
      </c>
      <c r="B388" s="1" t="s">
        <v>434</v>
      </c>
      <c r="C388" s="1" t="s">
        <v>21</v>
      </c>
      <c r="D388" s="1" t="s">
        <v>104</v>
      </c>
      <c r="E388" s="1" t="s">
        <v>105</v>
      </c>
      <c r="F388" s="1" t="s">
        <v>59</v>
      </c>
      <c r="G388" s="1">
        <v>0.5</v>
      </c>
      <c r="H388" s="1" t="s">
        <v>60</v>
      </c>
      <c r="I388" s="1">
        <v>-111.0</v>
      </c>
      <c r="J388" s="1">
        <v>-0.0781189573459715</v>
      </c>
      <c r="K388" s="1" t="s">
        <v>61</v>
      </c>
      <c r="L388" s="1" t="s">
        <v>61</v>
      </c>
      <c r="M388" s="1" t="s">
        <v>62</v>
      </c>
      <c r="N388" s="1">
        <v>-121.0</v>
      </c>
      <c r="O388" s="1">
        <v>0.00453393665158374</v>
      </c>
      <c r="P388" s="1" t="s">
        <v>61</v>
      </c>
      <c r="Q388" s="1" t="s">
        <v>61</v>
      </c>
      <c r="R388" s="1">
        <f t="shared" si="1"/>
        <v>0.004533936652</v>
      </c>
      <c r="S388" s="1">
        <f t="shared" si="2"/>
        <v>-121</v>
      </c>
      <c r="T388" s="1">
        <f t="shared" si="3"/>
        <v>1.826446281</v>
      </c>
      <c r="U388" s="1">
        <f t="shared" si="4"/>
        <v>0</v>
      </c>
      <c r="V388" s="3">
        <f t="shared" si="5"/>
        <v>1</v>
      </c>
      <c r="W388" s="3">
        <f t="shared" si="6"/>
        <v>3</v>
      </c>
      <c r="X388" s="3" t="str">
        <f>IFERROR(__xludf.DUMMYFUNCTION("split(B388,"" "")"),"J.")</f>
        <v>J.</v>
      </c>
      <c r="Y388" s="3" t="str">
        <f>IFERROR(__xludf.DUMMYFUNCTION("""COMPUTED_VALUE"""),"Allen")</f>
        <v>Allen</v>
      </c>
      <c r="AA388" s="3">
        <v>0.0</v>
      </c>
      <c r="AB388" s="3">
        <f t="shared" si="7"/>
        <v>0</v>
      </c>
      <c r="AC388" s="3">
        <f t="shared" si="8"/>
        <v>1</v>
      </c>
      <c r="AD388" s="3">
        <f t="shared" si="9"/>
        <v>0.826446281</v>
      </c>
      <c r="AE388" s="3">
        <f t="shared" si="10"/>
        <v>0.826446281</v>
      </c>
      <c r="AF388" s="3">
        <f t="shared" si="11"/>
        <v>2.479338843</v>
      </c>
      <c r="AG388" s="3">
        <f t="shared" si="12"/>
        <v>1</v>
      </c>
    </row>
    <row r="389">
      <c r="A389" s="1" t="s">
        <v>17</v>
      </c>
      <c r="B389" s="1" t="s">
        <v>316</v>
      </c>
      <c r="C389" s="1" t="s">
        <v>21</v>
      </c>
      <c r="D389" s="1" t="s">
        <v>94</v>
      </c>
      <c r="E389" s="1" t="s">
        <v>93</v>
      </c>
      <c r="F389" s="1" t="s">
        <v>59</v>
      </c>
      <c r="G389" s="1">
        <v>0.5</v>
      </c>
      <c r="H389" s="1" t="s">
        <v>60</v>
      </c>
      <c r="I389" s="1">
        <v>-112.0</v>
      </c>
      <c r="J389" s="1">
        <v>-0.0799490566037735</v>
      </c>
      <c r="K389" s="1" t="s">
        <v>61</v>
      </c>
      <c r="L389" s="1" t="s">
        <v>61</v>
      </c>
      <c r="M389" s="1" t="s">
        <v>62</v>
      </c>
      <c r="N389" s="1">
        <v>-121.0</v>
      </c>
      <c r="O389" s="1">
        <v>0.00414343891402713</v>
      </c>
      <c r="P389" s="1" t="s">
        <v>61</v>
      </c>
      <c r="Q389" s="1" t="s">
        <v>61</v>
      </c>
      <c r="R389" s="1">
        <f t="shared" si="1"/>
        <v>0.004143438914</v>
      </c>
      <c r="S389" s="1">
        <f t="shared" si="2"/>
        <v>-121</v>
      </c>
      <c r="T389" s="1">
        <f t="shared" si="3"/>
        <v>1.826446281</v>
      </c>
      <c r="U389" s="1">
        <f t="shared" si="4"/>
        <v>0</v>
      </c>
      <c r="V389" s="3">
        <f t="shared" si="5"/>
        <v>1</v>
      </c>
      <c r="W389" s="3">
        <f t="shared" si="6"/>
        <v>3</v>
      </c>
      <c r="X389" s="3" t="str">
        <f>IFERROR(__xludf.DUMMYFUNCTION("split(B389,"" "")"),"T.")</f>
        <v>T.</v>
      </c>
      <c r="Y389" s="3" t="str">
        <f>IFERROR(__xludf.DUMMYFUNCTION("""COMPUTED_VALUE"""),"Tagovailoa")</f>
        <v>Tagovailoa</v>
      </c>
      <c r="AA389" s="3">
        <v>0.0</v>
      </c>
      <c r="AB389" s="3">
        <f t="shared" si="7"/>
        <v>0</v>
      </c>
      <c r="AC389" s="3">
        <f t="shared" si="8"/>
        <v>1</v>
      </c>
      <c r="AD389" s="3">
        <f t="shared" si="9"/>
        <v>0.826446281</v>
      </c>
      <c r="AE389" s="3">
        <f t="shared" si="10"/>
        <v>0.826446281</v>
      </c>
      <c r="AF389" s="3">
        <f t="shared" si="11"/>
        <v>2.479338843</v>
      </c>
      <c r="AG389" s="3">
        <f t="shared" si="12"/>
        <v>1</v>
      </c>
    </row>
    <row r="390">
      <c r="A390" s="1" t="s">
        <v>12</v>
      </c>
      <c r="B390" s="1" t="s">
        <v>381</v>
      </c>
      <c r="C390" s="1" t="s">
        <v>18</v>
      </c>
      <c r="D390" s="1" t="s">
        <v>135</v>
      </c>
      <c r="E390" s="1" t="s">
        <v>134</v>
      </c>
      <c r="F390" s="1" t="s">
        <v>84</v>
      </c>
      <c r="G390" s="1">
        <v>4.5</v>
      </c>
      <c r="H390" s="1" t="s">
        <v>60</v>
      </c>
      <c r="I390" s="1">
        <v>-106.0</v>
      </c>
      <c r="J390" s="1">
        <v>-0.114260194174757</v>
      </c>
      <c r="K390" s="1" t="s">
        <v>61</v>
      </c>
      <c r="L390" s="1" t="s">
        <v>61</v>
      </c>
      <c r="M390" s="1" t="s">
        <v>62</v>
      </c>
      <c r="N390" s="1">
        <v>-124.0</v>
      </c>
      <c r="O390" s="1">
        <v>0.0461392857142857</v>
      </c>
      <c r="P390" s="1" t="s">
        <v>61</v>
      </c>
      <c r="Q390" s="1" t="s">
        <v>61</v>
      </c>
      <c r="R390" s="1">
        <f t="shared" si="1"/>
        <v>0.04613928571</v>
      </c>
      <c r="S390" s="1">
        <f t="shared" si="2"/>
        <v>-124</v>
      </c>
      <c r="T390" s="1">
        <f t="shared" si="3"/>
        <v>1.806451613</v>
      </c>
      <c r="U390" s="1">
        <f t="shared" si="4"/>
        <v>0</v>
      </c>
      <c r="V390" s="3">
        <f t="shared" si="5"/>
        <v>1</v>
      </c>
      <c r="W390" s="3">
        <f t="shared" si="6"/>
        <v>3</v>
      </c>
      <c r="X390" s="3" t="str">
        <f>IFERROR(__xludf.DUMMYFUNCTION("split(B390,"" "")"),"J.")</f>
        <v>J.</v>
      </c>
      <c r="Y390" s="3" t="str">
        <f>IFERROR(__xludf.DUMMYFUNCTION("""COMPUTED_VALUE"""),"Palmer")</f>
        <v>Palmer</v>
      </c>
      <c r="AA390" s="3">
        <v>2.0</v>
      </c>
      <c r="AB390" s="3">
        <f t="shared" si="7"/>
        <v>0</v>
      </c>
      <c r="AC390" s="3">
        <f t="shared" si="8"/>
        <v>1</v>
      </c>
      <c r="AD390" s="3">
        <f t="shared" si="9"/>
        <v>0.8064516129</v>
      </c>
      <c r="AE390" s="3">
        <f t="shared" si="10"/>
        <v>0.8064516129</v>
      </c>
      <c r="AF390" s="3">
        <f t="shared" si="11"/>
        <v>2.419354839</v>
      </c>
      <c r="AG390" s="3">
        <f t="shared" si="12"/>
        <v>0.5555555556</v>
      </c>
    </row>
    <row r="391">
      <c r="A391" s="1" t="s">
        <v>12</v>
      </c>
      <c r="B391" s="1" t="s">
        <v>435</v>
      </c>
      <c r="C391" s="1" t="s">
        <v>20</v>
      </c>
      <c r="D391" s="1" t="s">
        <v>89</v>
      </c>
      <c r="E391" s="1" t="s">
        <v>88</v>
      </c>
      <c r="F391" s="1" t="s">
        <v>90</v>
      </c>
      <c r="G391" s="1">
        <v>4.5</v>
      </c>
      <c r="H391" s="1" t="s">
        <v>60</v>
      </c>
      <c r="I391" s="1">
        <v>-108.0</v>
      </c>
      <c r="J391" s="1">
        <v>-0.114682692307692</v>
      </c>
      <c r="K391" s="1" t="s">
        <v>61</v>
      </c>
      <c r="L391" s="1" t="s">
        <v>61</v>
      </c>
      <c r="M391" s="1" t="s">
        <v>62</v>
      </c>
      <c r="N391" s="1">
        <v>-126.0</v>
      </c>
      <c r="O391" s="1">
        <v>0.0379221238938052</v>
      </c>
      <c r="P391" s="1" t="s">
        <v>61</v>
      </c>
      <c r="Q391" s="1" t="s">
        <v>61</v>
      </c>
      <c r="R391" s="1">
        <f t="shared" si="1"/>
        <v>0.03792212389</v>
      </c>
      <c r="S391" s="1">
        <f t="shared" si="2"/>
        <v>-126</v>
      </c>
      <c r="T391" s="1">
        <f t="shared" si="3"/>
        <v>1.793650794</v>
      </c>
      <c r="U391" s="1">
        <f t="shared" si="4"/>
        <v>0</v>
      </c>
      <c r="V391" s="3">
        <f t="shared" si="5"/>
        <v>1</v>
      </c>
      <c r="W391" s="3">
        <f t="shared" si="6"/>
        <v>3</v>
      </c>
      <c r="X391" s="3" t="str">
        <f>IFERROR(__xludf.DUMMYFUNCTION("split(B391,"" "")"),"D.")</f>
        <v>D.</v>
      </c>
      <c r="Y391" s="3" t="str">
        <f>IFERROR(__xludf.DUMMYFUNCTION("""COMPUTED_VALUE"""),"Njoku")</f>
        <v>Njoku</v>
      </c>
      <c r="AA391" s="3">
        <v>4.0</v>
      </c>
      <c r="AB391" s="3">
        <f t="shared" si="7"/>
        <v>0</v>
      </c>
      <c r="AC391" s="3">
        <f t="shared" si="8"/>
        <v>1</v>
      </c>
      <c r="AD391" s="3">
        <f t="shared" si="9"/>
        <v>0.7936507937</v>
      </c>
      <c r="AE391" s="3">
        <f t="shared" si="10"/>
        <v>0.7936507937</v>
      </c>
      <c r="AF391" s="3">
        <f t="shared" si="11"/>
        <v>2.380952381</v>
      </c>
      <c r="AG391" s="3">
        <f t="shared" si="12"/>
        <v>0.1111111111</v>
      </c>
    </row>
    <row r="392">
      <c r="A392" s="1" t="s">
        <v>15</v>
      </c>
      <c r="B392" s="1" t="s">
        <v>274</v>
      </c>
      <c r="C392" s="1" t="s">
        <v>21</v>
      </c>
      <c r="D392" s="1" t="s">
        <v>99</v>
      </c>
      <c r="E392" s="1" t="s">
        <v>100</v>
      </c>
      <c r="F392" s="1" t="s">
        <v>59</v>
      </c>
      <c r="G392" s="1">
        <v>22.5</v>
      </c>
      <c r="H392" s="1" t="s">
        <v>60</v>
      </c>
      <c r="I392" s="1">
        <v>-106.0</v>
      </c>
      <c r="J392" s="1">
        <v>-0.0939145631067962</v>
      </c>
      <c r="K392" s="1" t="s">
        <v>61</v>
      </c>
      <c r="L392" s="1" t="s">
        <v>61</v>
      </c>
      <c r="M392" s="1" t="s">
        <v>62</v>
      </c>
      <c r="N392" s="1">
        <v>-126.0</v>
      </c>
      <c r="O392" s="1">
        <v>0.0218221238938052</v>
      </c>
      <c r="P392" s="1" t="s">
        <v>61</v>
      </c>
      <c r="Q392" s="1" t="s">
        <v>61</v>
      </c>
      <c r="R392" s="1">
        <f t="shared" si="1"/>
        <v>0.02182212389</v>
      </c>
      <c r="S392" s="1">
        <f t="shared" si="2"/>
        <v>-126</v>
      </c>
      <c r="T392" s="1">
        <f t="shared" si="3"/>
        <v>1.793650794</v>
      </c>
      <c r="U392" s="1">
        <f t="shared" si="4"/>
        <v>0</v>
      </c>
      <c r="V392" s="3">
        <f t="shared" si="5"/>
        <v>1</v>
      </c>
      <c r="W392" s="3">
        <f t="shared" si="6"/>
        <v>3</v>
      </c>
      <c r="X392" s="3" t="str">
        <f>IFERROR(__xludf.DUMMYFUNCTION("split(B392,"" "")"),"C.")</f>
        <v>C.</v>
      </c>
      <c r="Y392" s="3" t="str">
        <f>IFERROR(__xludf.DUMMYFUNCTION("""COMPUTED_VALUE"""),"Williams")</f>
        <v>Williams</v>
      </c>
      <c r="AA392" s="3">
        <v>14.0</v>
      </c>
      <c r="AB392" s="3">
        <f t="shared" si="7"/>
        <v>0</v>
      </c>
      <c r="AC392" s="3">
        <f t="shared" si="8"/>
        <v>1</v>
      </c>
      <c r="AD392" s="3">
        <f t="shared" si="9"/>
        <v>0.7936507937</v>
      </c>
      <c r="AE392" s="3">
        <f t="shared" si="10"/>
        <v>0.7936507937</v>
      </c>
      <c r="AF392" s="3">
        <f t="shared" si="11"/>
        <v>2.380952381</v>
      </c>
      <c r="AG392" s="3">
        <f t="shared" si="12"/>
        <v>0.3777777778</v>
      </c>
    </row>
    <row r="393">
      <c r="A393" s="1" t="s">
        <v>16</v>
      </c>
      <c r="B393" s="1" t="s">
        <v>214</v>
      </c>
      <c r="C393" s="1" t="s">
        <v>21</v>
      </c>
      <c r="D393" s="1" t="s">
        <v>110</v>
      </c>
      <c r="E393" s="1" t="s">
        <v>109</v>
      </c>
      <c r="F393" s="1" t="s">
        <v>59</v>
      </c>
      <c r="G393" s="1">
        <v>29.5</v>
      </c>
      <c r="H393" s="1" t="s">
        <v>60</v>
      </c>
      <c r="I393" s="1">
        <v>-108.0</v>
      </c>
      <c r="J393" s="1">
        <v>-0.0981773192307693</v>
      </c>
      <c r="K393" s="1" t="s">
        <v>61</v>
      </c>
      <c r="L393" s="1" t="s">
        <v>61</v>
      </c>
      <c r="M393" s="1" t="s">
        <v>62</v>
      </c>
      <c r="N393" s="1">
        <v>-127.0</v>
      </c>
      <c r="O393" s="1">
        <v>0.0194828046167402</v>
      </c>
      <c r="P393" s="1" t="s">
        <v>61</v>
      </c>
      <c r="Q393" s="1" t="s">
        <v>61</v>
      </c>
      <c r="R393" s="1">
        <f t="shared" si="1"/>
        <v>0.01948280462</v>
      </c>
      <c r="S393" s="1">
        <f t="shared" si="2"/>
        <v>-127</v>
      </c>
      <c r="T393" s="1">
        <f t="shared" si="3"/>
        <v>1.787401575</v>
      </c>
      <c r="U393" s="1">
        <f t="shared" si="4"/>
        <v>0</v>
      </c>
      <c r="V393" s="3">
        <f t="shared" si="5"/>
        <v>1</v>
      </c>
      <c r="W393" s="3">
        <f t="shared" si="6"/>
        <v>3</v>
      </c>
      <c r="X393" s="3" t="str">
        <f>IFERROR(__xludf.DUMMYFUNCTION("split(B393,"" "")"),"R.")</f>
        <v>R.</v>
      </c>
      <c r="Y393" s="3" t="str">
        <f>IFERROR(__xludf.DUMMYFUNCTION("""COMPUTED_VALUE"""),"Wilson")</f>
        <v>Wilson</v>
      </c>
      <c r="AA393" s="3">
        <v>0.0</v>
      </c>
      <c r="AB393" s="3">
        <f t="shared" si="7"/>
        <v>0</v>
      </c>
      <c r="AC393" s="3">
        <f t="shared" si="8"/>
        <v>1</v>
      </c>
      <c r="AD393" s="3">
        <f t="shared" si="9"/>
        <v>0.7874015748</v>
      </c>
      <c r="AE393" s="3">
        <f t="shared" si="10"/>
        <v>0.7874015748</v>
      </c>
      <c r="AF393" s="3">
        <f t="shared" si="11"/>
        <v>2.362204724</v>
      </c>
      <c r="AG393" s="3">
        <f t="shared" si="12"/>
        <v>1</v>
      </c>
    </row>
    <row r="394">
      <c r="A394" s="1" t="s">
        <v>11</v>
      </c>
      <c r="B394" s="1" t="s">
        <v>437</v>
      </c>
      <c r="C394" s="1" t="s">
        <v>18</v>
      </c>
      <c r="D394" s="1" t="s">
        <v>100</v>
      </c>
      <c r="E394" s="1" t="s">
        <v>99</v>
      </c>
      <c r="F394" s="1" t="s">
        <v>59</v>
      </c>
      <c r="G394" s="1">
        <v>55.5</v>
      </c>
      <c r="H394" s="1" t="s">
        <v>60</v>
      </c>
      <c r="I394" s="1">
        <v>-141.0</v>
      </c>
      <c r="J394" s="1">
        <v>-0.158354565212364</v>
      </c>
      <c r="K394" s="1" t="s">
        <v>61</v>
      </c>
      <c r="L394" s="1" t="s">
        <v>61</v>
      </c>
      <c r="M394" s="1" t="s">
        <v>62</v>
      </c>
      <c r="N394" s="1">
        <v>-127.0</v>
      </c>
      <c r="O394" s="1">
        <v>0.0137480025771804</v>
      </c>
      <c r="P394" s="1" t="s">
        <v>61</v>
      </c>
      <c r="Q394" s="1" t="s">
        <v>61</v>
      </c>
      <c r="R394" s="1">
        <f t="shared" si="1"/>
        <v>0.01374800258</v>
      </c>
      <c r="S394" s="1">
        <f t="shared" si="2"/>
        <v>-127</v>
      </c>
      <c r="T394" s="1">
        <f t="shared" si="3"/>
        <v>1.787401575</v>
      </c>
      <c r="U394" s="1">
        <f t="shared" si="4"/>
        <v>0</v>
      </c>
      <c r="V394" s="3">
        <f t="shared" si="5"/>
        <v>1</v>
      </c>
      <c r="W394" s="3">
        <f t="shared" si="6"/>
        <v>3</v>
      </c>
      <c r="X394" s="3" t="str">
        <f>IFERROR(__xludf.DUMMYFUNCTION("split(B394,"" "")"),"C.")</f>
        <v>C.</v>
      </c>
      <c r="Y394" s="3" t="str">
        <f>IFERROR(__xludf.DUMMYFUNCTION("""COMPUTED_VALUE"""),"Ridley")</f>
        <v>Ridley</v>
      </c>
      <c r="AA394" s="3">
        <v>50.0</v>
      </c>
      <c r="AB394" s="3">
        <f t="shared" si="7"/>
        <v>0</v>
      </c>
      <c r="AC394" s="3">
        <f t="shared" si="8"/>
        <v>1</v>
      </c>
      <c r="AD394" s="3">
        <f t="shared" si="9"/>
        <v>0.7874015748</v>
      </c>
      <c r="AE394" s="3">
        <f t="shared" si="10"/>
        <v>0.7874015748</v>
      </c>
      <c r="AF394" s="3">
        <f t="shared" si="11"/>
        <v>2.362204724</v>
      </c>
      <c r="AG394" s="3">
        <f t="shared" si="12"/>
        <v>0.0990990991</v>
      </c>
    </row>
    <row r="395">
      <c r="A395" s="1" t="s">
        <v>16</v>
      </c>
      <c r="B395" s="1" t="s">
        <v>260</v>
      </c>
      <c r="C395" s="1" t="s">
        <v>21</v>
      </c>
      <c r="D395" s="1" t="s">
        <v>147</v>
      </c>
      <c r="E395" s="1" t="s">
        <v>146</v>
      </c>
      <c r="F395" s="1" t="s">
        <v>59</v>
      </c>
      <c r="G395" s="1">
        <v>31.5</v>
      </c>
      <c r="H395" s="1" t="s">
        <v>60</v>
      </c>
      <c r="I395" s="1">
        <v>-103.0</v>
      </c>
      <c r="J395" s="1">
        <v>-0.0812864104433497</v>
      </c>
      <c r="K395" s="1" t="s">
        <v>61</v>
      </c>
      <c r="L395" s="1" t="s">
        <v>61</v>
      </c>
      <c r="M395" s="1" t="s">
        <v>62</v>
      </c>
      <c r="N395" s="1">
        <v>-130.0</v>
      </c>
      <c r="O395" s="1">
        <v>0.00866471180869543</v>
      </c>
      <c r="P395" s="1" t="s">
        <v>61</v>
      </c>
      <c r="Q395" s="1" t="s">
        <v>61</v>
      </c>
      <c r="R395" s="1">
        <f t="shared" si="1"/>
        <v>0.008664711809</v>
      </c>
      <c r="S395" s="1">
        <f t="shared" si="2"/>
        <v>-130</v>
      </c>
      <c r="T395" s="1">
        <f t="shared" si="3"/>
        <v>1.769230769</v>
      </c>
      <c r="U395" s="1">
        <f t="shared" si="4"/>
        <v>0</v>
      </c>
      <c r="V395" s="3">
        <f t="shared" si="5"/>
        <v>1</v>
      </c>
      <c r="W395" s="3">
        <f t="shared" si="6"/>
        <v>3</v>
      </c>
      <c r="X395" s="3" t="str">
        <f>IFERROR(__xludf.DUMMYFUNCTION("split(B395,"" "")"),"D.")</f>
        <v>D.</v>
      </c>
      <c r="Y395" s="3" t="str">
        <f>IFERROR(__xludf.DUMMYFUNCTION("""COMPUTED_VALUE"""),"Jones")</f>
        <v>Jones</v>
      </c>
      <c r="AA395" s="3">
        <v>0.0</v>
      </c>
      <c r="AB395" s="3">
        <f t="shared" si="7"/>
        <v>0</v>
      </c>
      <c r="AC395" s="3">
        <f t="shared" si="8"/>
        <v>1</v>
      </c>
      <c r="AD395" s="3">
        <f t="shared" si="9"/>
        <v>0.7692307692</v>
      </c>
      <c r="AE395" s="3">
        <f t="shared" si="10"/>
        <v>0.7692307692</v>
      </c>
      <c r="AF395" s="3">
        <f t="shared" si="11"/>
        <v>2.307692308</v>
      </c>
      <c r="AG395" s="3">
        <f t="shared" si="12"/>
        <v>1</v>
      </c>
    </row>
    <row r="396">
      <c r="A396" s="1" t="s">
        <v>8</v>
      </c>
      <c r="B396" s="1" t="s">
        <v>439</v>
      </c>
      <c r="C396" s="1" t="s">
        <v>19</v>
      </c>
      <c r="D396" s="1" t="s">
        <v>135</v>
      </c>
      <c r="E396" s="1" t="s">
        <v>134</v>
      </c>
      <c r="F396" s="1" t="s">
        <v>84</v>
      </c>
      <c r="G396" s="1">
        <v>11.5</v>
      </c>
      <c r="H396" s="1" t="s">
        <v>60</v>
      </c>
      <c r="I396" s="1">
        <v>102.0</v>
      </c>
      <c r="J396" s="1">
        <v>-0.076350178568096</v>
      </c>
      <c r="K396" s="1" t="s">
        <v>61</v>
      </c>
      <c r="L396" s="1" t="s">
        <v>61</v>
      </c>
      <c r="M396" s="1" t="s">
        <v>62</v>
      </c>
      <c r="N396" s="1">
        <v>-136.0</v>
      </c>
      <c r="O396" s="1">
        <v>0.00504370661443731</v>
      </c>
      <c r="P396" s="1" t="s">
        <v>61</v>
      </c>
      <c r="Q396" s="1" t="s">
        <v>61</v>
      </c>
      <c r="R396" s="1">
        <f t="shared" si="1"/>
        <v>0.005043706614</v>
      </c>
      <c r="S396" s="1">
        <f t="shared" si="2"/>
        <v>-136</v>
      </c>
      <c r="T396" s="1">
        <f t="shared" si="3"/>
        <v>1.735294118</v>
      </c>
      <c r="U396" s="1">
        <f t="shared" si="4"/>
        <v>0</v>
      </c>
      <c r="V396" s="3">
        <f t="shared" si="5"/>
        <v>1</v>
      </c>
      <c r="W396" s="3">
        <f t="shared" si="6"/>
        <v>3</v>
      </c>
      <c r="X396" s="3" t="str">
        <f>IFERROR(__xludf.DUMMYFUNCTION("split(B396,"" "")"),"G.")</f>
        <v>G.</v>
      </c>
      <c r="Y396" s="3" t="str">
        <f>IFERROR(__xludf.DUMMYFUNCTION("""COMPUTED_VALUE"""),"Edwards")</f>
        <v>Edwards</v>
      </c>
      <c r="AA396" s="3">
        <v>11.0</v>
      </c>
      <c r="AB396" s="3">
        <f t="shared" si="7"/>
        <v>0</v>
      </c>
      <c r="AC396" s="3">
        <f t="shared" si="8"/>
        <v>1</v>
      </c>
      <c r="AD396" s="3">
        <f t="shared" si="9"/>
        <v>0.7352941176</v>
      </c>
      <c r="AE396" s="3">
        <f t="shared" si="10"/>
        <v>0.7352941176</v>
      </c>
      <c r="AF396" s="3">
        <f t="shared" si="11"/>
        <v>2.205882353</v>
      </c>
      <c r="AG396" s="3">
        <f t="shared" si="12"/>
        <v>0.04347826087</v>
      </c>
    </row>
    <row r="397">
      <c r="A397" s="1" t="s">
        <v>8</v>
      </c>
      <c r="B397" s="1" t="s">
        <v>393</v>
      </c>
      <c r="C397" s="1" t="s">
        <v>19</v>
      </c>
      <c r="D397" s="1" t="s">
        <v>197</v>
      </c>
      <c r="E397" s="1" t="s">
        <v>196</v>
      </c>
      <c r="F397" s="1" t="s">
        <v>198</v>
      </c>
      <c r="G397" s="1">
        <v>11.5</v>
      </c>
      <c r="H397" s="1" t="s">
        <v>60</v>
      </c>
      <c r="I397" s="1">
        <v>105.0</v>
      </c>
      <c r="J397" s="1">
        <v>-0.0800533811821585</v>
      </c>
      <c r="K397" s="1" t="s">
        <v>61</v>
      </c>
      <c r="L397" s="1" t="s">
        <v>61</v>
      </c>
      <c r="M397" s="1" t="s">
        <v>62</v>
      </c>
      <c r="N397" s="1">
        <v>-138.0</v>
      </c>
      <c r="O397" s="1">
        <v>0.0124097700537522</v>
      </c>
      <c r="P397" s="1" t="s">
        <v>61</v>
      </c>
      <c r="Q397" s="1" t="s">
        <v>61</v>
      </c>
      <c r="R397" s="1">
        <f t="shared" si="1"/>
        <v>0.01240977005</v>
      </c>
      <c r="S397" s="1">
        <f t="shared" si="2"/>
        <v>-138</v>
      </c>
      <c r="T397" s="1">
        <f t="shared" si="3"/>
        <v>1.724637681</v>
      </c>
      <c r="U397" s="1">
        <f t="shared" si="4"/>
        <v>0</v>
      </c>
      <c r="V397" s="3">
        <f t="shared" si="5"/>
        <v>1</v>
      </c>
      <c r="W397" s="3">
        <f t="shared" si="6"/>
        <v>3</v>
      </c>
      <c r="X397" s="3" t="str">
        <f>IFERROR(__xludf.DUMMYFUNCTION("split(B397,"" "")"),"J.")</f>
        <v>J.</v>
      </c>
      <c r="Y397" s="3" t="str">
        <f>IFERROR(__xludf.DUMMYFUNCTION("""COMPUTED_VALUE"""),"Gibbs")</f>
        <v>Gibbs</v>
      </c>
      <c r="AA397" s="3">
        <v>11.0</v>
      </c>
      <c r="AB397" s="3">
        <f t="shared" si="7"/>
        <v>0</v>
      </c>
      <c r="AC397" s="3">
        <f t="shared" si="8"/>
        <v>1</v>
      </c>
      <c r="AD397" s="3">
        <f t="shared" si="9"/>
        <v>0.7246376812</v>
      </c>
      <c r="AE397" s="3">
        <f t="shared" si="10"/>
        <v>0.7246376812</v>
      </c>
      <c r="AF397" s="3">
        <f t="shared" si="11"/>
        <v>2.173913043</v>
      </c>
      <c r="AG397" s="3">
        <f t="shared" si="12"/>
        <v>0.04347826087</v>
      </c>
    </row>
    <row r="398">
      <c r="A398" s="1" t="s">
        <v>12</v>
      </c>
      <c r="B398" s="1" t="s">
        <v>441</v>
      </c>
      <c r="C398" s="1" t="s">
        <v>18</v>
      </c>
      <c r="D398" s="1" t="s">
        <v>94</v>
      </c>
      <c r="E398" s="1" t="s">
        <v>93</v>
      </c>
      <c r="F398" s="1" t="s">
        <v>59</v>
      </c>
      <c r="G398" s="1">
        <v>6.5</v>
      </c>
      <c r="H398" s="1" t="s">
        <v>60</v>
      </c>
      <c r="I398" s="1">
        <v>-140.0</v>
      </c>
      <c r="J398" s="1">
        <v>0.028125</v>
      </c>
      <c r="K398" s="1" t="s">
        <v>61</v>
      </c>
      <c r="L398" s="1" t="s">
        <v>61</v>
      </c>
      <c r="M398" s="1" t="s">
        <v>62</v>
      </c>
      <c r="N398" s="1">
        <v>107.0</v>
      </c>
      <c r="O398" s="1">
        <v>-0.0945434782608695</v>
      </c>
      <c r="P398" s="1" t="s">
        <v>61</v>
      </c>
      <c r="Q398" s="1" t="s">
        <v>61</v>
      </c>
      <c r="R398" s="1">
        <f t="shared" si="1"/>
        <v>0.028125</v>
      </c>
      <c r="S398" s="1">
        <f t="shared" si="2"/>
        <v>-140</v>
      </c>
      <c r="T398" s="1">
        <f t="shared" si="3"/>
        <v>1.714285714</v>
      </c>
      <c r="U398" s="1">
        <f t="shared" si="4"/>
        <v>1</v>
      </c>
      <c r="V398" s="3">
        <f t="shared" si="5"/>
        <v>1</v>
      </c>
      <c r="W398" s="3">
        <f t="shared" si="6"/>
        <v>3</v>
      </c>
      <c r="X398" s="3" t="str">
        <f>IFERROR(__xludf.DUMMYFUNCTION("split(B398,"" "")"),"T.")</f>
        <v>T.</v>
      </c>
      <c r="Y398" s="3" t="str">
        <f>IFERROR(__xludf.DUMMYFUNCTION("""COMPUTED_VALUE"""),"Hill")</f>
        <v>Hill</v>
      </c>
      <c r="AA398" s="3">
        <v>7.0</v>
      </c>
      <c r="AB398" s="3">
        <f t="shared" si="7"/>
        <v>1</v>
      </c>
      <c r="AC398" s="3">
        <f t="shared" si="8"/>
        <v>1</v>
      </c>
      <c r="AD398" s="3">
        <f t="shared" si="9"/>
        <v>0.7142857143</v>
      </c>
      <c r="AE398" s="3">
        <f t="shared" si="10"/>
        <v>0.7142857143</v>
      </c>
      <c r="AF398" s="3">
        <f t="shared" si="11"/>
        <v>2.142857143</v>
      </c>
      <c r="AG398" s="3">
        <f t="shared" si="12"/>
        <v>0.07692307692</v>
      </c>
    </row>
    <row r="399">
      <c r="A399" s="1" t="s">
        <v>12</v>
      </c>
      <c r="B399" s="1" t="s">
        <v>355</v>
      </c>
      <c r="C399" s="1" t="s">
        <v>18</v>
      </c>
      <c r="D399" s="1" t="s">
        <v>109</v>
      </c>
      <c r="E399" s="1" t="s">
        <v>110</v>
      </c>
      <c r="F399" s="1" t="s">
        <v>59</v>
      </c>
      <c r="G399" s="1">
        <v>3.5</v>
      </c>
      <c r="H399" s="1" t="s">
        <v>60</v>
      </c>
      <c r="I399" s="1">
        <v>112.0</v>
      </c>
      <c r="J399" s="1">
        <v>-0.108350943396226</v>
      </c>
      <c r="K399" s="1" t="s">
        <v>61</v>
      </c>
      <c r="L399" s="1" t="s">
        <v>61</v>
      </c>
      <c r="M399" s="1" t="s">
        <v>62</v>
      </c>
      <c r="N399" s="1">
        <v>-145.0</v>
      </c>
      <c r="O399" s="1">
        <v>0.0448224489795917</v>
      </c>
      <c r="P399" s="1" t="s">
        <v>61</v>
      </c>
      <c r="Q399" s="1" t="s">
        <v>61</v>
      </c>
      <c r="R399" s="1">
        <f t="shared" si="1"/>
        <v>0.04482244898</v>
      </c>
      <c r="S399" s="1">
        <f t="shared" si="2"/>
        <v>-145</v>
      </c>
      <c r="T399" s="1">
        <f t="shared" si="3"/>
        <v>1.689655172</v>
      </c>
      <c r="U399" s="1">
        <f t="shared" si="4"/>
        <v>0</v>
      </c>
      <c r="V399" s="3">
        <f t="shared" si="5"/>
        <v>1</v>
      </c>
      <c r="W399" s="3">
        <f t="shared" si="6"/>
        <v>3</v>
      </c>
      <c r="X399" s="3" t="str">
        <f>IFERROR(__xludf.DUMMYFUNCTION("split(B399,"" "")"),"D.")</f>
        <v>D.</v>
      </c>
      <c r="Y399" s="3" t="str">
        <f>IFERROR(__xludf.DUMMYFUNCTION("""COMPUTED_VALUE"""),"Mooney")</f>
        <v>Mooney</v>
      </c>
      <c r="AA399" s="3">
        <v>1.0</v>
      </c>
      <c r="AB399" s="3">
        <f t="shared" si="7"/>
        <v>0</v>
      </c>
      <c r="AC399" s="3">
        <f t="shared" si="8"/>
        <v>1</v>
      </c>
      <c r="AD399" s="3">
        <f t="shared" si="9"/>
        <v>0.6896551724</v>
      </c>
      <c r="AE399" s="3">
        <f t="shared" si="10"/>
        <v>0.6896551724</v>
      </c>
      <c r="AF399" s="3">
        <f t="shared" si="11"/>
        <v>2.068965517</v>
      </c>
      <c r="AG399" s="3">
        <f t="shared" si="12"/>
        <v>0.7142857143</v>
      </c>
    </row>
    <row r="400">
      <c r="A400" s="1" t="s">
        <v>12</v>
      </c>
      <c r="B400" s="1" t="s">
        <v>442</v>
      </c>
      <c r="C400" s="1" t="s">
        <v>18</v>
      </c>
      <c r="D400" s="1" t="s">
        <v>89</v>
      </c>
      <c r="E400" s="1" t="s">
        <v>88</v>
      </c>
      <c r="F400" s="1" t="s">
        <v>90</v>
      </c>
      <c r="G400" s="1">
        <v>4.5</v>
      </c>
      <c r="H400" s="1" t="s">
        <v>60</v>
      </c>
      <c r="I400" s="1">
        <v>108.0</v>
      </c>
      <c r="J400" s="1">
        <v>-0.0748173076923075</v>
      </c>
      <c r="K400" s="1" t="s">
        <v>61</v>
      </c>
      <c r="L400" s="1" t="s">
        <v>61</v>
      </c>
      <c r="M400" s="1" t="s">
        <v>62</v>
      </c>
      <c r="N400" s="1">
        <v>-145.0</v>
      </c>
      <c r="O400" s="1">
        <v>0.00220408163265317</v>
      </c>
      <c r="P400" s="1" t="s">
        <v>61</v>
      </c>
      <c r="Q400" s="1" t="s">
        <v>61</v>
      </c>
      <c r="R400" s="1">
        <f t="shared" si="1"/>
        <v>0.002204081633</v>
      </c>
      <c r="S400" s="1">
        <f t="shared" si="2"/>
        <v>-145</v>
      </c>
      <c r="T400" s="1">
        <f t="shared" si="3"/>
        <v>1.689655172</v>
      </c>
      <c r="U400" s="1">
        <f t="shared" si="4"/>
        <v>0</v>
      </c>
      <c r="V400" s="3">
        <f t="shared" si="5"/>
        <v>1</v>
      </c>
      <c r="W400" s="3">
        <f t="shared" si="6"/>
        <v>3</v>
      </c>
      <c r="X400" s="3" t="str">
        <f>IFERROR(__xludf.DUMMYFUNCTION("split(B400,"" "")"),"A.")</f>
        <v>A.</v>
      </c>
      <c r="Y400" s="3" t="str">
        <f>IFERROR(__xludf.DUMMYFUNCTION("""COMPUTED_VALUE"""),"Cooper")</f>
        <v>Cooper</v>
      </c>
      <c r="AA400" s="3">
        <v>2.0</v>
      </c>
      <c r="AB400" s="3">
        <f t="shared" si="7"/>
        <v>0</v>
      </c>
      <c r="AC400" s="3">
        <f t="shared" si="8"/>
        <v>1</v>
      </c>
      <c r="AD400" s="3">
        <f t="shared" si="9"/>
        <v>0.6896551724</v>
      </c>
      <c r="AE400" s="3">
        <f t="shared" si="10"/>
        <v>0.6896551724</v>
      </c>
      <c r="AF400" s="3">
        <f t="shared" si="11"/>
        <v>2.068965517</v>
      </c>
      <c r="AG400" s="3">
        <f t="shared" si="12"/>
        <v>0.5555555556</v>
      </c>
    </row>
    <row r="401">
      <c r="A401" s="1" t="s">
        <v>12</v>
      </c>
      <c r="B401" s="1" t="s">
        <v>237</v>
      </c>
      <c r="C401" s="1" t="s">
        <v>18</v>
      </c>
      <c r="D401" s="1" t="s">
        <v>76</v>
      </c>
      <c r="E401" s="1" t="s">
        <v>77</v>
      </c>
      <c r="F401" s="1" t="s">
        <v>78</v>
      </c>
      <c r="G401" s="1">
        <v>1.5</v>
      </c>
      <c r="H401" s="1" t="s">
        <v>60</v>
      </c>
      <c r="I401" s="1">
        <v>112.0</v>
      </c>
      <c r="J401" s="6">
        <v>-0.0966970495615093</v>
      </c>
      <c r="K401" s="1" t="s">
        <v>61</v>
      </c>
      <c r="L401" s="1" t="s">
        <v>61</v>
      </c>
      <c r="M401" s="1" t="s">
        <v>62</v>
      </c>
      <c r="N401" s="1">
        <v>-150.0</v>
      </c>
      <c r="O401" s="6">
        <v>0.0249987920019998</v>
      </c>
      <c r="P401" s="1" t="s">
        <v>61</v>
      </c>
      <c r="Q401" s="1" t="s">
        <v>61</v>
      </c>
      <c r="R401" s="6">
        <f t="shared" si="1"/>
        <v>0.024998792</v>
      </c>
      <c r="S401" s="1">
        <f t="shared" si="2"/>
        <v>-150</v>
      </c>
      <c r="T401" s="1">
        <f t="shared" si="3"/>
        <v>1.666666667</v>
      </c>
      <c r="U401" s="1">
        <f t="shared" si="4"/>
        <v>0</v>
      </c>
      <c r="V401" s="3">
        <f t="shared" si="5"/>
        <v>1</v>
      </c>
      <c r="W401" s="3">
        <f t="shared" si="6"/>
        <v>3</v>
      </c>
      <c r="X401" s="3" t="str">
        <f>IFERROR(__xludf.DUMMYFUNCTION("split(B401,"" "")"),"J.")</f>
        <v>J.</v>
      </c>
      <c r="Y401" s="3" t="str">
        <f>IFERROR(__xludf.DUMMYFUNCTION("""COMPUTED_VALUE"""),"Watson")</f>
        <v>Watson</v>
      </c>
      <c r="AA401" s="3">
        <v>1.0</v>
      </c>
      <c r="AB401" s="3">
        <f t="shared" si="7"/>
        <v>0</v>
      </c>
      <c r="AC401" s="3">
        <f t="shared" si="8"/>
        <v>1</v>
      </c>
      <c r="AD401" s="3">
        <f t="shared" si="9"/>
        <v>0.6666666667</v>
      </c>
      <c r="AE401" s="3">
        <f t="shared" si="10"/>
        <v>0.6666666667</v>
      </c>
      <c r="AF401" s="3">
        <f t="shared" si="11"/>
        <v>2</v>
      </c>
      <c r="AG401" s="3">
        <f t="shared" si="12"/>
        <v>0.3333333333</v>
      </c>
    </row>
    <row r="402">
      <c r="A402" s="1" t="s">
        <v>14</v>
      </c>
      <c r="B402" s="1" t="s">
        <v>330</v>
      </c>
      <c r="C402" s="1" t="s">
        <v>21</v>
      </c>
      <c r="D402" s="1" t="s">
        <v>165</v>
      </c>
      <c r="E402" s="1" t="s">
        <v>164</v>
      </c>
      <c r="F402" s="1" t="s">
        <v>166</v>
      </c>
      <c r="G402" s="1">
        <v>1.5</v>
      </c>
      <c r="H402" s="1" t="s">
        <v>60</v>
      </c>
      <c r="I402" s="1">
        <v>110.0</v>
      </c>
      <c r="J402" s="1">
        <v>-0.112190476190476</v>
      </c>
      <c r="K402" s="1" t="s">
        <v>61</v>
      </c>
      <c r="L402" s="1" t="s">
        <v>61</v>
      </c>
      <c r="M402" s="1" t="s">
        <v>62</v>
      </c>
      <c r="N402" s="1">
        <v>-151.0</v>
      </c>
      <c r="O402" s="1">
        <v>0.034406374501992</v>
      </c>
      <c r="P402" s="1" t="s">
        <v>61</v>
      </c>
      <c r="Q402" s="1" t="s">
        <v>61</v>
      </c>
      <c r="R402" s="1">
        <f t="shared" si="1"/>
        <v>0.0344063745</v>
      </c>
      <c r="S402" s="1">
        <f t="shared" si="2"/>
        <v>-151</v>
      </c>
      <c r="T402" s="1">
        <f t="shared" si="3"/>
        <v>1.662251656</v>
      </c>
      <c r="U402" s="1">
        <f t="shared" si="4"/>
        <v>0</v>
      </c>
      <c r="V402" s="3">
        <f t="shared" si="5"/>
        <v>1</v>
      </c>
      <c r="W402" s="3">
        <f t="shared" si="6"/>
        <v>3</v>
      </c>
      <c r="X402" s="3" t="str">
        <f>IFERROR(__xludf.DUMMYFUNCTION("split(B402,"" "")"),"A.")</f>
        <v>A.</v>
      </c>
      <c r="Y402" s="3" t="str">
        <f>IFERROR(__xludf.DUMMYFUNCTION("""COMPUTED_VALUE"""),"Rodgers")</f>
        <v>Rodgers</v>
      </c>
      <c r="AA402" s="3">
        <v>1.0</v>
      </c>
      <c r="AB402" s="3">
        <f t="shared" si="7"/>
        <v>0</v>
      </c>
      <c r="AC402" s="3">
        <f t="shared" si="8"/>
        <v>1</v>
      </c>
      <c r="AD402" s="3">
        <f t="shared" si="9"/>
        <v>0.6622516556</v>
      </c>
      <c r="AE402" s="3">
        <f t="shared" si="10"/>
        <v>0.6622516556</v>
      </c>
      <c r="AF402" s="3">
        <f t="shared" si="11"/>
        <v>1.986754967</v>
      </c>
      <c r="AG402" s="3">
        <f t="shared" si="12"/>
        <v>0.3333333333</v>
      </c>
    </row>
    <row r="403">
      <c r="A403" s="1" t="s">
        <v>12</v>
      </c>
      <c r="B403" s="1" t="s">
        <v>410</v>
      </c>
      <c r="C403" s="1" t="s">
        <v>20</v>
      </c>
      <c r="D403" s="1" t="s">
        <v>72</v>
      </c>
      <c r="E403" s="1" t="s">
        <v>71</v>
      </c>
      <c r="F403" s="1" t="s">
        <v>59</v>
      </c>
      <c r="G403" s="1">
        <v>3.5</v>
      </c>
      <c r="H403" s="1" t="s">
        <v>60</v>
      </c>
      <c r="I403" s="1">
        <v>115.0</v>
      </c>
      <c r="J403" s="1">
        <v>-0.11736976744186</v>
      </c>
      <c r="K403" s="1" t="s">
        <v>61</v>
      </c>
      <c r="L403" s="1" t="s">
        <v>61</v>
      </c>
      <c r="M403" s="1" t="s">
        <v>62</v>
      </c>
      <c r="N403" s="1">
        <v>-155.0</v>
      </c>
      <c r="O403" s="1">
        <v>0.0444176470588234</v>
      </c>
      <c r="P403" s="1" t="s">
        <v>61</v>
      </c>
      <c r="Q403" s="1" t="s">
        <v>61</v>
      </c>
      <c r="R403" s="1">
        <f t="shared" si="1"/>
        <v>0.04441764706</v>
      </c>
      <c r="S403" s="1">
        <f t="shared" si="2"/>
        <v>-155</v>
      </c>
      <c r="T403" s="1">
        <f t="shared" si="3"/>
        <v>1.64516129</v>
      </c>
      <c r="U403" s="1">
        <f t="shared" si="4"/>
        <v>0</v>
      </c>
      <c r="V403" s="3">
        <f t="shared" si="5"/>
        <v>1</v>
      </c>
      <c r="W403" s="3">
        <f t="shared" si="6"/>
        <v>3</v>
      </c>
      <c r="X403" s="3" t="str">
        <f>IFERROR(__xludf.DUMMYFUNCTION("split(B403,"" "")"),"D.")</f>
        <v>D.</v>
      </c>
      <c r="Y403" s="3" t="str">
        <f>IFERROR(__xludf.DUMMYFUNCTION("""COMPUTED_VALUE"""),"Schultz")</f>
        <v>Schultz</v>
      </c>
      <c r="AA403" s="3">
        <v>3.0</v>
      </c>
      <c r="AB403" s="3">
        <f t="shared" si="7"/>
        <v>0</v>
      </c>
      <c r="AC403" s="3">
        <f t="shared" si="8"/>
        <v>1</v>
      </c>
      <c r="AD403" s="3">
        <f t="shared" si="9"/>
        <v>0.6451612903</v>
      </c>
      <c r="AE403" s="3">
        <f t="shared" si="10"/>
        <v>0.6451612903</v>
      </c>
      <c r="AF403" s="3">
        <f t="shared" si="11"/>
        <v>1.935483871</v>
      </c>
      <c r="AG403" s="3">
        <f t="shared" si="12"/>
        <v>0.1428571429</v>
      </c>
    </row>
    <row r="404">
      <c r="A404" s="1" t="s">
        <v>8</v>
      </c>
      <c r="B404" s="1" t="s">
        <v>316</v>
      </c>
      <c r="C404" s="1" t="s">
        <v>21</v>
      </c>
      <c r="D404" s="1" t="s">
        <v>94</v>
      </c>
      <c r="E404" s="1" t="s">
        <v>93</v>
      </c>
      <c r="F404" s="1" t="s">
        <v>59</v>
      </c>
      <c r="G404" s="1">
        <v>2.5</v>
      </c>
      <c r="H404" s="1" t="s">
        <v>60</v>
      </c>
      <c r="I404" s="1">
        <v>115.0</v>
      </c>
      <c r="J404" s="1">
        <v>-0.0985596277096646</v>
      </c>
      <c r="K404" s="1" t="s">
        <v>61</v>
      </c>
      <c r="L404" s="1" t="s">
        <v>61</v>
      </c>
      <c r="M404" s="1" t="s">
        <v>62</v>
      </c>
      <c r="N404" s="1">
        <v>-155.0</v>
      </c>
      <c r="O404" s="1">
        <v>0.0256061242429521</v>
      </c>
      <c r="P404" s="1" t="s">
        <v>61</v>
      </c>
      <c r="Q404" s="1" t="s">
        <v>61</v>
      </c>
      <c r="R404" s="1">
        <f t="shared" si="1"/>
        <v>0.02560612424</v>
      </c>
      <c r="S404" s="1">
        <f t="shared" si="2"/>
        <v>-155</v>
      </c>
      <c r="T404" s="1">
        <f t="shared" si="3"/>
        <v>1.64516129</v>
      </c>
      <c r="U404" s="1">
        <f t="shared" si="4"/>
        <v>0</v>
      </c>
      <c r="V404" s="3">
        <f t="shared" si="5"/>
        <v>1</v>
      </c>
      <c r="W404" s="3">
        <f t="shared" si="6"/>
        <v>3</v>
      </c>
      <c r="X404" s="3" t="str">
        <f>IFERROR(__xludf.DUMMYFUNCTION("split(B404,"" "")"),"T.")</f>
        <v>T.</v>
      </c>
      <c r="Y404" s="3" t="str">
        <f>IFERROR(__xludf.DUMMYFUNCTION("""COMPUTED_VALUE"""),"Tagovailoa")</f>
        <v>Tagovailoa</v>
      </c>
      <c r="AA404" s="3">
        <v>1.0</v>
      </c>
      <c r="AB404" s="3">
        <f t="shared" si="7"/>
        <v>0</v>
      </c>
      <c r="AC404" s="3">
        <f t="shared" si="8"/>
        <v>1</v>
      </c>
      <c r="AD404" s="3">
        <f t="shared" si="9"/>
        <v>0.6451612903</v>
      </c>
      <c r="AE404" s="3">
        <f t="shared" si="10"/>
        <v>0.6451612903</v>
      </c>
      <c r="AF404" s="3">
        <f t="shared" si="11"/>
        <v>1.935483871</v>
      </c>
      <c r="AG404" s="3">
        <f t="shared" si="12"/>
        <v>0.6</v>
      </c>
    </row>
    <row r="405">
      <c r="A405" s="1" t="s">
        <v>14</v>
      </c>
      <c r="B405" s="1" t="s">
        <v>204</v>
      </c>
      <c r="C405" s="1" t="s">
        <v>21</v>
      </c>
      <c r="D405" s="1" t="s">
        <v>105</v>
      </c>
      <c r="E405" s="1" t="s">
        <v>104</v>
      </c>
      <c r="F405" s="1" t="s">
        <v>59</v>
      </c>
      <c r="G405" s="1">
        <v>1.5</v>
      </c>
      <c r="H405" s="1" t="s">
        <v>60</v>
      </c>
      <c r="I405" s="1">
        <v>120.0</v>
      </c>
      <c r="J405" s="1">
        <v>-0.082090909090909</v>
      </c>
      <c r="K405" s="1" t="s">
        <v>61</v>
      </c>
      <c r="L405" s="1" t="s">
        <v>61</v>
      </c>
      <c r="M405" s="1" t="s">
        <v>62</v>
      </c>
      <c r="N405" s="1">
        <v>-159.0</v>
      </c>
      <c r="O405" s="1">
        <v>0.0136389961389961</v>
      </c>
      <c r="P405" s="1" t="s">
        <v>61</v>
      </c>
      <c r="Q405" s="1" t="s">
        <v>61</v>
      </c>
      <c r="R405" s="1">
        <f t="shared" si="1"/>
        <v>0.01363899614</v>
      </c>
      <c r="S405" s="1">
        <f t="shared" si="2"/>
        <v>-159</v>
      </c>
      <c r="T405" s="1">
        <f t="shared" si="3"/>
        <v>1.628930818</v>
      </c>
      <c r="U405" s="1">
        <f t="shared" si="4"/>
        <v>0</v>
      </c>
      <c r="V405" s="3">
        <f t="shared" si="5"/>
        <v>1</v>
      </c>
      <c r="W405" s="3">
        <f t="shared" si="6"/>
        <v>3</v>
      </c>
      <c r="X405" s="3" t="str">
        <f>IFERROR(__xludf.DUMMYFUNCTION("split(B405,"" "")"),"K.")</f>
        <v>K.</v>
      </c>
      <c r="Y405" s="3" t="str">
        <f>IFERROR(__xludf.DUMMYFUNCTION("""COMPUTED_VALUE"""),"Murray")</f>
        <v>Murray</v>
      </c>
      <c r="AA405" s="3">
        <v>1.0</v>
      </c>
      <c r="AB405" s="3">
        <f t="shared" si="7"/>
        <v>0</v>
      </c>
      <c r="AC405" s="3">
        <f t="shared" si="8"/>
        <v>1</v>
      </c>
      <c r="AD405" s="3">
        <f t="shared" si="9"/>
        <v>0.6289308176</v>
      </c>
      <c r="AE405" s="3">
        <f t="shared" si="10"/>
        <v>0.6289308176</v>
      </c>
      <c r="AF405" s="3">
        <f t="shared" si="11"/>
        <v>1.886792453</v>
      </c>
      <c r="AG405" s="3">
        <f t="shared" si="12"/>
        <v>0.3333333333</v>
      </c>
    </row>
    <row r="406">
      <c r="A406" s="1" t="s">
        <v>12</v>
      </c>
      <c r="B406" s="1" t="s">
        <v>444</v>
      </c>
      <c r="C406" s="1" t="s">
        <v>19</v>
      </c>
      <c r="D406" s="1" t="s">
        <v>71</v>
      </c>
      <c r="E406" s="1" t="s">
        <v>72</v>
      </c>
      <c r="F406" s="1" t="s">
        <v>59</v>
      </c>
      <c r="G406" s="1">
        <v>2.5</v>
      </c>
      <c r="H406" s="1" t="s">
        <v>60</v>
      </c>
      <c r="I406" s="1">
        <v>123.0</v>
      </c>
      <c r="J406" s="1">
        <v>-0.0811830326959641</v>
      </c>
      <c r="K406" s="1" t="s">
        <v>61</v>
      </c>
      <c r="L406" s="1" t="s">
        <v>61</v>
      </c>
      <c r="M406" s="1" t="s">
        <v>62</v>
      </c>
      <c r="N406" s="1">
        <v>-163.0</v>
      </c>
      <c r="O406" s="1">
        <v>0.0129871728790874</v>
      </c>
      <c r="P406" s="1" t="s">
        <v>61</v>
      </c>
      <c r="Q406" s="1" t="s">
        <v>61</v>
      </c>
      <c r="R406" s="1">
        <f t="shared" si="1"/>
        <v>0.01298717288</v>
      </c>
      <c r="S406" s="1">
        <f t="shared" si="2"/>
        <v>-163</v>
      </c>
      <c r="T406" s="1">
        <f t="shared" si="3"/>
        <v>1.613496933</v>
      </c>
      <c r="U406" s="1">
        <f t="shared" si="4"/>
        <v>0</v>
      </c>
      <c r="V406" s="3">
        <f t="shared" si="5"/>
        <v>1</v>
      </c>
      <c r="W406" s="3">
        <f t="shared" si="6"/>
        <v>3</v>
      </c>
      <c r="X406" s="3" t="str">
        <f>IFERROR(__xludf.DUMMYFUNCTION("split(B406,"" "")"),"J.")</f>
        <v>J.</v>
      </c>
      <c r="Y406" s="3" t="str">
        <f>IFERROR(__xludf.DUMMYFUNCTION("""COMPUTED_VALUE"""),"Taylor")</f>
        <v>Taylor</v>
      </c>
      <c r="AA406" s="3">
        <v>0.0</v>
      </c>
      <c r="AB406" s="3">
        <f t="shared" si="7"/>
        <v>0</v>
      </c>
      <c r="AC406" s="3">
        <f t="shared" si="8"/>
        <v>1</v>
      </c>
      <c r="AD406" s="3">
        <f t="shared" si="9"/>
        <v>0.6134969325</v>
      </c>
      <c r="AE406" s="3">
        <f t="shared" si="10"/>
        <v>0.6134969325</v>
      </c>
      <c r="AF406" s="3">
        <f t="shared" si="11"/>
        <v>1.840490798</v>
      </c>
      <c r="AG406" s="3">
        <f t="shared" si="12"/>
        <v>1</v>
      </c>
    </row>
    <row r="407">
      <c r="A407" s="1" t="s">
        <v>12</v>
      </c>
      <c r="B407" s="1" t="s">
        <v>401</v>
      </c>
      <c r="C407" s="1" t="s">
        <v>18</v>
      </c>
      <c r="D407" s="1" t="s">
        <v>83</v>
      </c>
      <c r="E407" s="1" t="s">
        <v>82</v>
      </c>
      <c r="F407" s="1" t="s">
        <v>84</v>
      </c>
      <c r="G407" s="1">
        <v>4.5</v>
      </c>
      <c r="H407" s="1" t="s">
        <v>60</v>
      </c>
      <c r="I407" s="1">
        <v>121.0</v>
      </c>
      <c r="J407" s="1">
        <v>-0.0763339366515837</v>
      </c>
      <c r="K407" s="1" t="s">
        <v>61</v>
      </c>
      <c r="L407" s="1" t="s">
        <v>61</v>
      </c>
      <c r="M407" s="1" t="s">
        <v>62</v>
      </c>
      <c r="N407" s="1">
        <v>-163.0</v>
      </c>
      <c r="O407" s="1">
        <v>0.00406615969581736</v>
      </c>
      <c r="P407" s="1" t="s">
        <v>61</v>
      </c>
      <c r="Q407" s="1" t="s">
        <v>61</v>
      </c>
      <c r="R407" s="1">
        <f t="shared" si="1"/>
        <v>0.004066159696</v>
      </c>
      <c r="S407" s="1">
        <f t="shared" si="2"/>
        <v>-163</v>
      </c>
      <c r="T407" s="1">
        <f t="shared" si="3"/>
        <v>1.613496933</v>
      </c>
      <c r="U407" s="1">
        <f t="shared" si="4"/>
        <v>0</v>
      </c>
      <c r="V407" s="3">
        <f t="shared" si="5"/>
        <v>1</v>
      </c>
      <c r="W407" s="3">
        <f t="shared" si="6"/>
        <v>3</v>
      </c>
      <c r="X407" s="3" t="str">
        <f>IFERROR(__xludf.DUMMYFUNCTION("split(B407,"" "")"),"C.")</f>
        <v>C.</v>
      </c>
      <c r="Y407" s="3" t="str">
        <f>IFERROR(__xludf.DUMMYFUNCTION("""COMPUTED_VALUE"""),"Sutton")</f>
        <v>Sutton</v>
      </c>
      <c r="AA407" s="3">
        <v>4.0</v>
      </c>
      <c r="AB407" s="3">
        <f t="shared" si="7"/>
        <v>0</v>
      </c>
      <c r="AC407" s="3">
        <f t="shared" si="8"/>
        <v>1</v>
      </c>
      <c r="AD407" s="3">
        <f t="shared" si="9"/>
        <v>0.6134969325</v>
      </c>
      <c r="AE407" s="3">
        <f t="shared" si="10"/>
        <v>0.6134969325</v>
      </c>
      <c r="AF407" s="3">
        <f t="shared" si="11"/>
        <v>1.840490798</v>
      </c>
      <c r="AG407" s="3">
        <f t="shared" si="12"/>
        <v>0.1111111111</v>
      </c>
    </row>
    <row r="408">
      <c r="A408" s="1" t="s">
        <v>12</v>
      </c>
      <c r="B408" s="1" t="s">
        <v>446</v>
      </c>
      <c r="C408" s="1" t="s">
        <v>19</v>
      </c>
      <c r="D408" s="1" t="s">
        <v>197</v>
      </c>
      <c r="E408" s="1" t="s">
        <v>196</v>
      </c>
      <c r="F408" s="1" t="s">
        <v>198</v>
      </c>
      <c r="G408" s="1">
        <v>1.5</v>
      </c>
      <c r="H408" s="1" t="s">
        <v>60</v>
      </c>
      <c r="I408" s="1">
        <v>129.0</v>
      </c>
      <c r="J408" s="1">
        <v>-0.0769707442627511</v>
      </c>
      <c r="K408" s="1" t="s">
        <v>61</v>
      </c>
      <c r="L408" s="1" t="s">
        <v>61</v>
      </c>
      <c r="M408" s="1" t="s">
        <v>62</v>
      </c>
      <c r="N408" s="1">
        <v>-170.0</v>
      </c>
      <c r="O408" s="1">
        <v>0.0106586584596297</v>
      </c>
      <c r="P408" s="1" t="s">
        <v>61</v>
      </c>
      <c r="Q408" s="1" t="s">
        <v>61</v>
      </c>
      <c r="R408" s="1">
        <f t="shared" si="1"/>
        <v>0.01065865846</v>
      </c>
      <c r="S408" s="1">
        <f t="shared" si="2"/>
        <v>-170</v>
      </c>
      <c r="T408" s="1">
        <f t="shared" si="3"/>
        <v>1.588235294</v>
      </c>
      <c r="U408" s="1">
        <f t="shared" si="4"/>
        <v>0</v>
      </c>
      <c r="V408" s="3">
        <f t="shared" si="5"/>
        <v>1</v>
      </c>
      <c r="W408" s="3">
        <f t="shared" si="6"/>
        <v>3</v>
      </c>
      <c r="X408" s="3" t="str">
        <f>IFERROR(__xludf.DUMMYFUNCTION("split(B408,"" "")"),"D.")</f>
        <v>D.</v>
      </c>
      <c r="Y408" s="3" t="str">
        <f>IFERROR(__xludf.DUMMYFUNCTION("""COMPUTED_VALUE"""),"Montgomery")</f>
        <v>Montgomery</v>
      </c>
      <c r="AA408" s="3">
        <v>1.0</v>
      </c>
      <c r="AB408" s="3">
        <f t="shared" si="7"/>
        <v>0</v>
      </c>
      <c r="AC408" s="3">
        <f t="shared" si="8"/>
        <v>1</v>
      </c>
      <c r="AD408" s="3">
        <f t="shared" si="9"/>
        <v>0.5882352941</v>
      </c>
      <c r="AE408" s="3">
        <f t="shared" si="10"/>
        <v>0.5882352941</v>
      </c>
      <c r="AF408" s="3">
        <f t="shared" si="11"/>
        <v>1.764705882</v>
      </c>
      <c r="AG408" s="3">
        <f t="shared" si="12"/>
        <v>0.3333333333</v>
      </c>
    </row>
    <row r="409">
      <c r="A409" s="1" t="s">
        <v>12</v>
      </c>
      <c r="B409" s="1" t="s">
        <v>127</v>
      </c>
      <c r="C409" s="1" t="s">
        <v>18</v>
      </c>
      <c r="D409" s="1" t="s">
        <v>197</v>
      </c>
      <c r="E409" s="1" t="s">
        <v>196</v>
      </c>
      <c r="F409" s="1" t="s">
        <v>198</v>
      </c>
      <c r="G409" s="1">
        <v>3.5</v>
      </c>
      <c r="H409" s="1" t="s">
        <v>60</v>
      </c>
      <c r="I409" s="1">
        <v>127.0</v>
      </c>
      <c r="J409" s="1">
        <v>-0.110228634361233</v>
      </c>
      <c r="K409" s="1" t="s">
        <v>61</v>
      </c>
      <c r="L409" s="1" t="s">
        <v>61</v>
      </c>
      <c r="M409" s="1" t="s">
        <v>62</v>
      </c>
      <c r="N409" s="1">
        <v>-171.0</v>
      </c>
      <c r="O409" s="1">
        <v>0.0387036900369003</v>
      </c>
      <c r="P409" s="1" t="s">
        <v>61</v>
      </c>
      <c r="Q409" s="1" t="s">
        <v>61</v>
      </c>
      <c r="R409" s="1">
        <f t="shared" si="1"/>
        <v>0.03870369004</v>
      </c>
      <c r="S409" s="1">
        <f t="shared" si="2"/>
        <v>-171</v>
      </c>
      <c r="T409" s="1">
        <f t="shared" si="3"/>
        <v>1.584795322</v>
      </c>
      <c r="U409" s="1">
        <f t="shared" si="4"/>
        <v>0</v>
      </c>
      <c r="V409" s="3">
        <f t="shared" si="5"/>
        <v>1</v>
      </c>
      <c r="W409" s="3">
        <f t="shared" si="6"/>
        <v>3</v>
      </c>
      <c r="X409" s="3" t="str">
        <f>IFERROR(__xludf.DUMMYFUNCTION("split(B409,"" "")"),"J.")</f>
        <v>J.</v>
      </c>
      <c r="Y409" s="3" t="str">
        <f>IFERROR(__xludf.DUMMYFUNCTION("""COMPUTED_VALUE"""),"Williams")</f>
        <v>Williams</v>
      </c>
      <c r="AA409" s="3">
        <v>3.0</v>
      </c>
      <c r="AB409" s="3">
        <f t="shared" si="7"/>
        <v>0</v>
      </c>
      <c r="AC409" s="3">
        <f t="shared" si="8"/>
        <v>1</v>
      </c>
      <c r="AD409" s="3">
        <f t="shared" si="9"/>
        <v>0.5847953216</v>
      </c>
      <c r="AE409" s="3">
        <f t="shared" si="10"/>
        <v>0.5847953216</v>
      </c>
      <c r="AF409" s="3">
        <f t="shared" si="11"/>
        <v>1.754385965</v>
      </c>
      <c r="AG409" s="3">
        <f t="shared" si="12"/>
        <v>0.1428571429</v>
      </c>
    </row>
    <row r="410">
      <c r="A410" s="1" t="s">
        <v>12</v>
      </c>
      <c r="B410" s="1" t="s">
        <v>344</v>
      </c>
      <c r="C410" s="1" t="s">
        <v>18</v>
      </c>
      <c r="D410" s="1" t="s">
        <v>157</v>
      </c>
      <c r="E410" s="1" t="s">
        <v>156</v>
      </c>
      <c r="F410" s="1" t="s">
        <v>158</v>
      </c>
      <c r="G410" s="1">
        <v>3.5</v>
      </c>
      <c r="H410" s="1" t="s">
        <v>60</v>
      </c>
      <c r="I410" s="1">
        <v>130.0</v>
      </c>
      <c r="J410" s="6">
        <v>-0.0750826086956522</v>
      </c>
      <c r="K410" s="1" t="s">
        <v>61</v>
      </c>
      <c r="L410" s="1" t="s">
        <v>61</v>
      </c>
      <c r="M410" s="1" t="s">
        <v>62</v>
      </c>
      <c r="N410" s="1">
        <v>-175.0</v>
      </c>
      <c r="O410" s="6">
        <v>0.00393636363636362</v>
      </c>
      <c r="P410" s="1" t="s">
        <v>61</v>
      </c>
      <c r="Q410" s="1" t="s">
        <v>61</v>
      </c>
      <c r="R410" s="6">
        <f t="shared" si="1"/>
        <v>0.003936363636</v>
      </c>
      <c r="S410" s="1">
        <f t="shared" si="2"/>
        <v>-175</v>
      </c>
      <c r="T410" s="1">
        <f t="shared" si="3"/>
        <v>1.571428571</v>
      </c>
      <c r="U410" s="1">
        <f t="shared" si="4"/>
        <v>0</v>
      </c>
      <c r="V410" s="3">
        <f t="shared" si="5"/>
        <v>1</v>
      </c>
      <c r="W410" s="3">
        <f t="shared" si="6"/>
        <v>3</v>
      </c>
      <c r="X410" s="3" t="str">
        <f>IFERROR(__xludf.DUMMYFUNCTION("split(B410,"" "")"),"C.")</f>
        <v>C.</v>
      </c>
      <c r="Y410" s="3" t="str">
        <f>IFERROR(__xludf.DUMMYFUNCTION("""COMPUTED_VALUE"""),"Watson")</f>
        <v>Watson</v>
      </c>
      <c r="AA410" s="3">
        <v>1.0</v>
      </c>
      <c r="AB410" s="3">
        <f t="shared" si="7"/>
        <v>0</v>
      </c>
      <c r="AC410" s="3">
        <f t="shared" si="8"/>
        <v>1</v>
      </c>
      <c r="AD410" s="3">
        <f t="shared" si="9"/>
        <v>0.5714285714</v>
      </c>
      <c r="AE410" s="3">
        <f t="shared" si="10"/>
        <v>0.5714285714</v>
      </c>
      <c r="AF410" s="3">
        <f t="shared" si="11"/>
        <v>1.714285714</v>
      </c>
      <c r="AG410" s="3">
        <f t="shared" si="12"/>
        <v>0.7142857143</v>
      </c>
    </row>
    <row r="411">
      <c r="A411" s="1" t="s">
        <v>12</v>
      </c>
      <c r="B411" s="1" t="s">
        <v>448</v>
      </c>
      <c r="C411" s="1" t="s">
        <v>18</v>
      </c>
      <c r="D411" s="1" t="s">
        <v>83</v>
      </c>
      <c r="E411" s="1" t="s">
        <v>82</v>
      </c>
      <c r="F411" s="1" t="s">
        <v>84</v>
      </c>
      <c r="G411" s="1">
        <v>2.5</v>
      </c>
      <c r="H411" s="1" t="s">
        <v>60</v>
      </c>
      <c r="I411" s="1">
        <v>143.0</v>
      </c>
      <c r="J411" s="1">
        <v>-0.0948621957658437</v>
      </c>
      <c r="K411" s="1" t="s">
        <v>61</v>
      </c>
      <c r="L411" s="1" t="s">
        <v>61</v>
      </c>
      <c r="M411" s="1" t="s">
        <v>62</v>
      </c>
      <c r="N411" s="1">
        <v>-189.0</v>
      </c>
      <c r="O411" s="1">
        <v>0.0293535960737024</v>
      </c>
      <c r="P411" s="1" t="s">
        <v>61</v>
      </c>
      <c r="Q411" s="1" t="s">
        <v>61</v>
      </c>
      <c r="R411" s="1">
        <f t="shared" si="1"/>
        <v>0.02935359607</v>
      </c>
      <c r="S411" s="1">
        <f t="shared" si="2"/>
        <v>-189</v>
      </c>
      <c r="T411" s="1">
        <f t="shared" si="3"/>
        <v>1.529100529</v>
      </c>
      <c r="U411" s="1">
        <f t="shared" si="4"/>
        <v>0</v>
      </c>
      <c r="V411" s="3">
        <f t="shared" si="5"/>
        <v>1</v>
      </c>
      <c r="W411" s="3">
        <f t="shared" si="6"/>
        <v>3</v>
      </c>
      <c r="X411" s="3" t="str">
        <f>IFERROR(__xludf.DUMMYFUNCTION("split(B411,"" "")"),"M.")</f>
        <v>M.</v>
      </c>
      <c r="Y411" s="3" t="str">
        <f>IFERROR(__xludf.DUMMYFUNCTION("""COMPUTED_VALUE"""),"Mims")</f>
        <v>Mims</v>
      </c>
      <c r="Z411" s="3" t="str">
        <f>IFERROR(__xludf.DUMMYFUNCTION("""COMPUTED_VALUE"""),"Jr.")</f>
        <v>Jr.</v>
      </c>
      <c r="AA411" s="3">
        <v>0.0</v>
      </c>
      <c r="AB411" s="3">
        <f t="shared" si="7"/>
        <v>0</v>
      </c>
      <c r="AC411" s="3">
        <f t="shared" si="8"/>
        <v>1</v>
      </c>
      <c r="AD411" s="3">
        <f t="shared" si="9"/>
        <v>0.5291005291</v>
      </c>
      <c r="AE411" s="3">
        <f t="shared" si="10"/>
        <v>0.5291005291</v>
      </c>
      <c r="AF411" s="3">
        <f t="shared" si="11"/>
        <v>1.587301587</v>
      </c>
      <c r="AG411" s="3">
        <f t="shared" si="12"/>
        <v>1</v>
      </c>
    </row>
    <row r="412">
      <c r="A412" s="1" t="s">
        <v>12</v>
      </c>
      <c r="B412" s="1" t="s">
        <v>127</v>
      </c>
      <c r="C412" s="1" t="s">
        <v>19</v>
      </c>
      <c r="D412" s="1" t="s">
        <v>58</v>
      </c>
      <c r="E412" s="1" t="s">
        <v>57</v>
      </c>
      <c r="F412" s="1" t="s">
        <v>59</v>
      </c>
      <c r="G412" s="1">
        <v>1.5</v>
      </c>
      <c r="H412" s="1" t="s">
        <v>60</v>
      </c>
      <c r="I412" s="1">
        <v>170.0</v>
      </c>
      <c r="J412" s="1">
        <v>-0.0786216724855555</v>
      </c>
      <c r="K412" s="1" t="s">
        <v>61</v>
      </c>
      <c r="L412" s="1" t="s">
        <v>61</v>
      </c>
      <c r="M412" s="1" t="s">
        <v>62</v>
      </c>
      <c r="N412" s="1">
        <v>-237.0</v>
      </c>
      <c r="O412" s="1">
        <v>0.00499320688341242</v>
      </c>
      <c r="P412" s="1" t="s">
        <v>61</v>
      </c>
      <c r="Q412" s="1" t="s">
        <v>61</v>
      </c>
      <c r="R412" s="1">
        <f t="shared" si="1"/>
        <v>0.004993206883</v>
      </c>
      <c r="S412" s="1">
        <f t="shared" si="2"/>
        <v>-237</v>
      </c>
      <c r="T412" s="1">
        <f t="shared" si="3"/>
        <v>1.421940928</v>
      </c>
      <c r="U412" s="1">
        <f t="shared" si="4"/>
        <v>0</v>
      </c>
      <c r="V412" s="3">
        <f t="shared" si="5"/>
        <v>1</v>
      </c>
      <c r="W412" s="3">
        <f t="shared" si="6"/>
        <v>3</v>
      </c>
      <c r="X412" s="3" t="str">
        <f>IFERROR(__xludf.DUMMYFUNCTION("split(B412,"" "")"),"J.")</f>
        <v>J.</v>
      </c>
      <c r="Y412" s="3" t="str">
        <f>IFERROR(__xludf.DUMMYFUNCTION("""COMPUTED_VALUE"""),"Williams")</f>
        <v>Williams</v>
      </c>
      <c r="AA412" s="3">
        <v>1.0</v>
      </c>
      <c r="AB412" s="3">
        <f t="shared" si="7"/>
        <v>0</v>
      </c>
      <c r="AC412" s="3">
        <f t="shared" si="8"/>
        <v>1</v>
      </c>
      <c r="AD412" s="3">
        <f t="shared" si="9"/>
        <v>0.4219409283</v>
      </c>
      <c r="AE412" s="3">
        <f t="shared" si="10"/>
        <v>0.4219409283</v>
      </c>
      <c r="AF412" s="3">
        <f t="shared" si="11"/>
        <v>1.265822785</v>
      </c>
      <c r="AG412" s="3">
        <f t="shared" si="12"/>
        <v>0.3333333333</v>
      </c>
    </row>
    <row r="413">
      <c r="A413" s="1" t="s">
        <v>12</v>
      </c>
      <c r="B413" s="1" t="s">
        <v>482</v>
      </c>
      <c r="C413" s="1" t="s">
        <v>18</v>
      </c>
      <c r="D413" s="1" t="s">
        <v>157</v>
      </c>
      <c r="E413" s="1" t="s">
        <v>156</v>
      </c>
      <c r="F413" s="1" t="s">
        <v>158</v>
      </c>
      <c r="G413" s="1">
        <v>3.5</v>
      </c>
      <c r="H413" s="1" t="s">
        <v>60</v>
      </c>
      <c r="I413" s="1">
        <v>108.0</v>
      </c>
      <c r="J413" s="6">
        <v>-0.120717307692307</v>
      </c>
      <c r="K413" s="1" t="s">
        <v>61</v>
      </c>
      <c r="L413" s="1" t="s">
        <v>61</v>
      </c>
      <c r="M413" s="1" t="s">
        <v>62</v>
      </c>
      <c r="N413" s="1">
        <v>-144.0</v>
      </c>
      <c r="O413" s="6">
        <v>0.0497770491803278</v>
      </c>
      <c r="P413" s="1" t="s">
        <v>61</v>
      </c>
      <c r="Q413" s="1" t="s">
        <v>61</v>
      </c>
      <c r="R413" s="6">
        <f t="shared" si="1"/>
        <v>0.04977704918</v>
      </c>
      <c r="S413" s="1">
        <f t="shared" si="2"/>
        <v>-144</v>
      </c>
      <c r="T413" s="1">
        <f t="shared" si="3"/>
        <v>1.694444444</v>
      </c>
      <c r="U413" s="1">
        <f t="shared" si="4"/>
        <v>0</v>
      </c>
      <c r="V413" s="3">
        <f t="shared" si="5"/>
        <v>1</v>
      </c>
      <c r="W413" s="3">
        <f t="shared" si="6"/>
        <v>3</v>
      </c>
      <c r="X413" s="3" t="str">
        <f>IFERROR(__xludf.DUMMYFUNCTION("split(B413,"" "")"),"R.")</f>
        <v>R.</v>
      </c>
      <c r="Y413" s="3" t="str">
        <f>IFERROR(__xludf.DUMMYFUNCTION("""COMPUTED_VALUE"""),"Doubs")</f>
        <v>Doubs</v>
      </c>
      <c r="AA413" s="3">
        <v>4.0</v>
      </c>
      <c r="AB413" s="3">
        <f t="shared" si="7"/>
        <v>1</v>
      </c>
      <c r="AC413" s="3">
        <f t="shared" si="8"/>
        <v>0</v>
      </c>
      <c r="AD413" s="3">
        <f t="shared" si="9"/>
        <v>0.6944444444</v>
      </c>
      <c r="AE413" s="3">
        <f t="shared" si="10"/>
        <v>-1</v>
      </c>
      <c r="AF413" s="3">
        <f t="shared" si="11"/>
        <v>-3</v>
      </c>
      <c r="AG413" s="3">
        <f t="shared" si="12"/>
        <v>-0.1428571429</v>
      </c>
    </row>
    <row r="414">
      <c r="A414" s="1" t="s">
        <v>12</v>
      </c>
      <c r="B414" s="1" t="s">
        <v>417</v>
      </c>
      <c r="C414" s="1" t="s">
        <v>19</v>
      </c>
      <c r="D414" s="1" t="s">
        <v>113</v>
      </c>
      <c r="E414" s="1" t="s">
        <v>114</v>
      </c>
      <c r="F414" s="1" t="s">
        <v>90</v>
      </c>
      <c r="G414" s="1">
        <v>3.5</v>
      </c>
      <c r="H414" s="1" t="s">
        <v>60</v>
      </c>
      <c r="I414" s="1">
        <v>121.0</v>
      </c>
      <c r="J414" s="1">
        <v>-0.117533936651583</v>
      </c>
      <c r="K414" s="1" t="s">
        <v>61</v>
      </c>
      <c r="L414" s="1" t="s">
        <v>61</v>
      </c>
      <c r="M414" s="1" t="s">
        <v>62</v>
      </c>
      <c r="N414" s="1">
        <v>-160.0</v>
      </c>
      <c r="O414" s="1">
        <v>0.0496538461538461</v>
      </c>
      <c r="P414" s="1" t="s">
        <v>61</v>
      </c>
      <c r="Q414" s="1" t="s">
        <v>61</v>
      </c>
      <c r="R414" s="1">
        <f t="shared" si="1"/>
        <v>0.04965384615</v>
      </c>
      <c r="S414" s="1">
        <f t="shared" si="2"/>
        <v>-160</v>
      </c>
      <c r="T414" s="1">
        <f t="shared" si="3"/>
        <v>1.625</v>
      </c>
      <c r="U414" s="1">
        <f t="shared" si="4"/>
        <v>0</v>
      </c>
      <c r="V414" s="3">
        <f t="shared" si="5"/>
        <v>1</v>
      </c>
      <c r="W414" s="3">
        <f t="shared" si="6"/>
        <v>3</v>
      </c>
      <c r="X414" s="3" t="str">
        <f>IFERROR(__xludf.DUMMYFUNCTION("split(B414,"" "")"),"R.")</f>
        <v>R.</v>
      </c>
      <c r="Y414" s="3" t="str">
        <f>IFERROR(__xludf.DUMMYFUNCTION("""COMPUTED_VALUE"""),"White")</f>
        <v>White</v>
      </c>
      <c r="AA414" s="3">
        <v>6.0</v>
      </c>
      <c r="AB414" s="3">
        <f t="shared" si="7"/>
        <v>1</v>
      </c>
      <c r="AC414" s="3">
        <f t="shared" si="8"/>
        <v>0</v>
      </c>
      <c r="AD414" s="3">
        <f t="shared" si="9"/>
        <v>0.625</v>
      </c>
      <c r="AE414" s="3">
        <f t="shared" si="10"/>
        <v>-1</v>
      </c>
      <c r="AF414" s="3">
        <f t="shared" si="11"/>
        <v>-3</v>
      </c>
      <c r="AG414" s="3">
        <f t="shared" si="12"/>
        <v>-0.7142857143</v>
      </c>
    </row>
    <row r="415">
      <c r="A415" s="1" t="s">
        <v>9</v>
      </c>
      <c r="B415" s="1" t="s">
        <v>187</v>
      </c>
      <c r="C415" s="1" t="s">
        <v>19</v>
      </c>
      <c r="D415" s="1" t="s">
        <v>157</v>
      </c>
      <c r="E415" s="1" t="s">
        <v>156</v>
      </c>
      <c r="F415" s="1" t="s">
        <v>158</v>
      </c>
      <c r="G415" s="1">
        <v>83.0</v>
      </c>
      <c r="H415" s="1" t="s">
        <v>60</v>
      </c>
      <c r="I415" s="1">
        <v>-116.0</v>
      </c>
      <c r="J415" s="6">
        <v>-0.119866635637562</v>
      </c>
      <c r="K415" s="1" t="s">
        <v>61</v>
      </c>
      <c r="L415" s="1" t="s">
        <v>61</v>
      </c>
      <c r="M415" s="1" t="s">
        <v>62</v>
      </c>
      <c r="N415" s="1">
        <v>-115.0</v>
      </c>
      <c r="O415" s="6">
        <v>0.0485252664761413</v>
      </c>
      <c r="P415" s="1" t="s">
        <v>61</v>
      </c>
      <c r="Q415" s="1" t="s">
        <v>61</v>
      </c>
      <c r="R415" s="6">
        <f t="shared" si="1"/>
        <v>0.04852526648</v>
      </c>
      <c r="S415" s="1">
        <f t="shared" si="2"/>
        <v>-115</v>
      </c>
      <c r="T415" s="1">
        <f t="shared" si="3"/>
        <v>1.869565217</v>
      </c>
      <c r="U415" s="1">
        <f t="shared" si="4"/>
        <v>0</v>
      </c>
      <c r="V415" s="3">
        <f t="shared" si="5"/>
        <v>1</v>
      </c>
      <c r="W415" s="3">
        <f t="shared" si="6"/>
        <v>2</v>
      </c>
      <c r="X415" s="3" t="str">
        <f>IFERROR(__xludf.DUMMYFUNCTION("split(B415,"" "")"),"J.")</f>
        <v>J.</v>
      </c>
      <c r="Y415" s="3" t="str">
        <f>IFERROR(__xludf.DUMMYFUNCTION("""COMPUTED_VALUE"""),"Jacobs")</f>
        <v>Jacobs</v>
      </c>
      <c r="AA415" s="3">
        <v>104.0</v>
      </c>
      <c r="AB415" s="3">
        <f t="shared" si="7"/>
        <v>1</v>
      </c>
      <c r="AC415" s="3">
        <f t="shared" si="8"/>
        <v>0</v>
      </c>
      <c r="AD415" s="3">
        <f t="shared" si="9"/>
        <v>0.8695652174</v>
      </c>
      <c r="AE415" s="3">
        <f t="shared" si="10"/>
        <v>-1</v>
      </c>
      <c r="AF415" s="3">
        <f t="shared" si="11"/>
        <v>-2</v>
      </c>
      <c r="AG415" s="3">
        <f t="shared" si="12"/>
        <v>-0.2530120482</v>
      </c>
    </row>
    <row r="416">
      <c r="A416" s="1" t="s">
        <v>11</v>
      </c>
      <c r="B416" s="1" t="s">
        <v>314</v>
      </c>
      <c r="C416" s="1" t="s">
        <v>18</v>
      </c>
      <c r="D416" s="1" t="s">
        <v>113</v>
      </c>
      <c r="E416" s="1" t="s">
        <v>114</v>
      </c>
      <c r="F416" s="1" t="s">
        <v>90</v>
      </c>
      <c r="G416" s="1">
        <v>58.5</v>
      </c>
      <c r="H416" s="1" t="s">
        <v>60</v>
      </c>
      <c r="I416" s="1">
        <v>-122.0</v>
      </c>
      <c r="J416" s="1">
        <v>-0.120993257948882</v>
      </c>
      <c r="K416" s="1" t="s">
        <v>61</v>
      </c>
      <c r="L416" s="1" t="s">
        <v>61</v>
      </c>
      <c r="M416" s="1" t="s">
        <v>62</v>
      </c>
      <c r="N416" s="1">
        <v>-110.0</v>
      </c>
      <c r="O416" s="1">
        <v>0.0476411140852376</v>
      </c>
      <c r="P416" s="1" t="s">
        <v>61</v>
      </c>
      <c r="Q416" s="1" t="s">
        <v>61</v>
      </c>
      <c r="R416" s="1">
        <f t="shared" si="1"/>
        <v>0.04764111409</v>
      </c>
      <c r="S416" s="1">
        <f t="shared" si="2"/>
        <v>-110</v>
      </c>
      <c r="T416" s="1">
        <f t="shared" si="3"/>
        <v>1.909090909</v>
      </c>
      <c r="U416" s="1">
        <f t="shared" si="4"/>
        <v>0</v>
      </c>
      <c r="V416" s="3">
        <f t="shared" si="5"/>
        <v>1</v>
      </c>
      <c r="W416" s="3">
        <f t="shared" si="6"/>
        <v>2</v>
      </c>
      <c r="X416" s="3" t="str">
        <f>IFERROR(__xludf.DUMMYFUNCTION("split(B416,"" "")"),"C.")</f>
        <v>C.</v>
      </c>
      <c r="Y416" s="3" t="str">
        <f>IFERROR(__xludf.DUMMYFUNCTION("""COMPUTED_VALUE"""),"Godwin")</f>
        <v>Godwin</v>
      </c>
      <c r="AA416" s="3">
        <v>83.0</v>
      </c>
      <c r="AB416" s="3">
        <f t="shared" si="7"/>
        <v>1</v>
      </c>
      <c r="AC416" s="3">
        <f t="shared" si="8"/>
        <v>0</v>
      </c>
      <c r="AD416" s="3">
        <f t="shared" si="9"/>
        <v>0.9090909091</v>
      </c>
      <c r="AE416" s="3">
        <f t="shared" si="10"/>
        <v>-1</v>
      </c>
      <c r="AG416" s="3">
        <f t="shared" si="12"/>
        <v>-0.4188034188</v>
      </c>
    </row>
    <row r="417">
      <c r="A417" s="1" t="s">
        <v>14</v>
      </c>
      <c r="B417" s="1" t="s">
        <v>464</v>
      </c>
      <c r="C417" s="1" t="s">
        <v>21</v>
      </c>
      <c r="D417" s="1" t="s">
        <v>83</v>
      </c>
      <c r="E417" s="1" t="s">
        <v>82</v>
      </c>
      <c r="F417" s="1" t="s">
        <v>84</v>
      </c>
      <c r="G417" s="1">
        <v>1.5</v>
      </c>
      <c r="H417" s="1" t="s">
        <v>60</v>
      </c>
      <c r="I417" s="1">
        <v>182.0</v>
      </c>
      <c r="J417" s="1">
        <v>0.0471900709219857</v>
      </c>
      <c r="K417" s="1" t="s">
        <v>61</v>
      </c>
      <c r="L417" s="1" t="s">
        <v>61</v>
      </c>
      <c r="M417" s="1" t="s">
        <v>62</v>
      </c>
      <c r="N417" s="1">
        <v>-251.0</v>
      </c>
      <c r="O417" s="1">
        <v>-0.116899715099714</v>
      </c>
      <c r="P417" s="1" t="s">
        <v>61</v>
      </c>
      <c r="Q417" s="1" t="s">
        <v>61</v>
      </c>
      <c r="R417" s="1">
        <f t="shared" si="1"/>
        <v>0.04719007092</v>
      </c>
      <c r="S417" s="1">
        <f t="shared" si="2"/>
        <v>182</v>
      </c>
      <c r="T417" s="1">
        <f t="shared" si="3"/>
        <v>2.82</v>
      </c>
      <c r="U417" s="1">
        <f t="shared" si="4"/>
        <v>1</v>
      </c>
      <c r="V417" s="3">
        <f t="shared" si="5"/>
        <v>1</v>
      </c>
      <c r="W417" s="3">
        <f t="shared" si="6"/>
        <v>1</v>
      </c>
      <c r="X417" s="3" t="str">
        <f>IFERROR(__xludf.DUMMYFUNCTION("split(B417,"" "")"),"B.")</f>
        <v>B.</v>
      </c>
      <c r="Y417" s="3" t="str">
        <f>IFERROR(__xludf.DUMMYFUNCTION("""COMPUTED_VALUE"""),"Nix")</f>
        <v>Nix</v>
      </c>
      <c r="AA417" s="3">
        <v>0.0</v>
      </c>
      <c r="AB417" s="3">
        <f t="shared" si="7"/>
        <v>0</v>
      </c>
      <c r="AC417" s="3">
        <f t="shared" si="8"/>
        <v>0</v>
      </c>
      <c r="AD417" s="3">
        <f t="shared" si="9"/>
        <v>1.82</v>
      </c>
      <c r="AE417" s="3">
        <f t="shared" si="10"/>
        <v>-1</v>
      </c>
      <c r="AG417" s="3">
        <f t="shared" si="12"/>
        <v>-1</v>
      </c>
    </row>
    <row r="418">
      <c r="A418" s="1" t="s">
        <v>8</v>
      </c>
      <c r="B418" s="1" t="s">
        <v>123</v>
      </c>
      <c r="C418" s="1" t="s">
        <v>19</v>
      </c>
      <c r="D418" s="1" t="s">
        <v>110</v>
      </c>
      <c r="E418" s="1" t="s">
        <v>109</v>
      </c>
      <c r="F418" s="1" t="s">
        <v>59</v>
      </c>
      <c r="G418" s="1">
        <v>14.0</v>
      </c>
      <c r="H418" s="1" t="s">
        <v>60</v>
      </c>
      <c r="I418" s="1">
        <v>-117.0</v>
      </c>
      <c r="J418" s="1">
        <v>-0.111304226589861</v>
      </c>
      <c r="K418" s="1" t="s">
        <v>61</v>
      </c>
      <c r="L418" s="1" t="s">
        <v>61</v>
      </c>
      <c r="M418" s="1" t="s">
        <v>62</v>
      </c>
      <c r="N418" s="1">
        <v>-113.0</v>
      </c>
      <c r="O418" s="1">
        <v>0.0462648610427229</v>
      </c>
      <c r="P418" s="1" t="s">
        <v>61</v>
      </c>
      <c r="Q418" s="1" t="s">
        <v>61</v>
      </c>
      <c r="R418" s="1">
        <f t="shared" si="1"/>
        <v>0.04626486104</v>
      </c>
      <c r="S418" s="1">
        <f t="shared" si="2"/>
        <v>-113</v>
      </c>
      <c r="T418" s="1">
        <f t="shared" si="3"/>
        <v>1.884955752</v>
      </c>
      <c r="U418" s="1">
        <f t="shared" si="4"/>
        <v>0</v>
      </c>
      <c r="V418" s="3">
        <f t="shared" si="5"/>
        <v>1</v>
      </c>
      <c r="W418" s="3">
        <f t="shared" si="6"/>
        <v>2</v>
      </c>
      <c r="X418" s="3" t="str">
        <f>IFERROR(__xludf.DUMMYFUNCTION("split(B418,"" "")"),"N.")</f>
        <v>N.</v>
      </c>
      <c r="Y418" s="3" t="str">
        <f>IFERROR(__xludf.DUMMYFUNCTION("""COMPUTED_VALUE"""),"Harris")</f>
        <v>Harris</v>
      </c>
      <c r="AA418" s="3">
        <v>20.0</v>
      </c>
      <c r="AB418" s="3">
        <f t="shared" si="7"/>
        <v>1</v>
      </c>
      <c r="AC418" s="3">
        <f t="shared" si="8"/>
        <v>0</v>
      </c>
      <c r="AD418" s="3">
        <f t="shared" si="9"/>
        <v>0.8849557522</v>
      </c>
      <c r="AE418" s="3">
        <f t="shared" si="10"/>
        <v>-1</v>
      </c>
      <c r="AG418" s="3">
        <f t="shared" si="12"/>
        <v>-0.4285714286</v>
      </c>
    </row>
    <row r="419">
      <c r="A419" s="1" t="s">
        <v>15</v>
      </c>
      <c r="B419" s="1" t="s">
        <v>347</v>
      </c>
      <c r="C419" s="1" t="s">
        <v>21</v>
      </c>
      <c r="D419" s="1" t="s">
        <v>77</v>
      </c>
      <c r="E419" s="1" t="s">
        <v>76</v>
      </c>
      <c r="F419" s="1" t="s">
        <v>78</v>
      </c>
      <c r="G419" s="1">
        <v>19.5</v>
      </c>
      <c r="H419" s="1" t="s">
        <v>60</v>
      </c>
      <c r="I419" s="1">
        <v>-108.0</v>
      </c>
      <c r="J419" s="6">
        <v>-0.11898174451923</v>
      </c>
      <c r="K419" s="1" t="s">
        <v>61</v>
      </c>
      <c r="L419" s="1" t="s">
        <v>61</v>
      </c>
      <c r="M419" s="1" t="s">
        <v>62</v>
      </c>
      <c r="N419" s="1">
        <v>-124.0</v>
      </c>
      <c r="O419" s="6">
        <v>0.046172122975</v>
      </c>
      <c r="P419" s="1" t="s">
        <v>61</v>
      </c>
      <c r="Q419" s="1" t="s">
        <v>61</v>
      </c>
      <c r="R419" s="6">
        <f t="shared" si="1"/>
        <v>0.04617212298</v>
      </c>
      <c r="S419" s="1">
        <f t="shared" si="2"/>
        <v>-124</v>
      </c>
      <c r="T419" s="1">
        <f t="shared" si="3"/>
        <v>1.806451613</v>
      </c>
      <c r="U419" s="1">
        <f t="shared" si="4"/>
        <v>0</v>
      </c>
      <c r="V419" s="3">
        <f t="shared" si="5"/>
        <v>1</v>
      </c>
      <c r="W419" s="3">
        <f t="shared" si="6"/>
        <v>3</v>
      </c>
      <c r="X419" s="3" t="str">
        <f>IFERROR(__xludf.DUMMYFUNCTION("split(B419,"" "")"),"L.")</f>
        <v>L.</v>
      </c>
      <c r="Y419" s="3" t="str">
        <f>IFERROR(__xludf.DUMMYFUNCTION("""COMPUTED_VALUE"""),"Jackson")</f>
        <v>Jackson</v>
      </c>
      <c r="AA419" s="3">
        <v>26.0</v>
      </c>
      <c r="AB419" s="3">
        <f t="shared" si="7"/>
        <v>1</v>
      </c>
      <c r="AC419" s="3">
        <f t="shared" si="8"/>
        <v>0</v>
      </c>
      <c r="AD419" s="3">
        <f t="shared" si="9"/>
        <v>0.8064516129</v>
      </c>
      <c r="AE419" s="3">
        <f t="shared" si="10"/>
        <v>-1</v>
      </c>
      <c r="AG419" s="3">
        <f t="shared" si="12"/>
        <v>-0.3333333333</v>
      </c>
    </row>
    <row r="420">
      <c r="A420" s="1" t="s">
        <v>14</v>
      </c>
      <c r="B420" s="1" t="s">
        <v>214</v>
      </c>
      <c r="C420" s="1" t="s">
        <v>21</v>
      </c>
      <c r="D420" s="1" t="s">
        <v>110</v>
      </c>
      <c r="E420" s="1" t="s">
        <v>109</v>
      </c>
      <c r="F420" s="1" t="s">
        <v>59</v>
      </c>
      <c r="G420" s="1">
        <v>1.5</v>
      </c>
      <c r="H420" s="1" t="s">
        <v>60</v>
      </c>
      <c r="I420" s="1">
        <v>184.0</v>
      </c>
      <c r="J420" s="1">
        <v>0.0460873239436619</v>
      </c>
      <c r="K420" s="1" t="s">
        <v>61</v>
      </c>
      <c r="L420" s="1" t="s">
        <v>61</v>
      </c>
      <c r="M420" s="1" t="s">
        <v>62</v>
      </c>
      <c r="N420" s="1">
        <v>-264.0</v>
      </c>
      <c r="O420" s="1">
        <v>-0.123474725274725</v>
      </c>
      <c r="P420" s="1" t="s">
        <v>61</v>
      </c>
      <c r="Q420" s="1" t="s">
        <v>61</v>
      </c>
      <c r="R420" s="1">
        <f t="shared" si="1"/>
        <v>0.04608732394</v>
      </c>
      <c r="S420" s="1">
        <f t="shared" si="2"/>
        <v>184</v>
      </c>
      <c r="T420" s="1">
        <f t="shared" si="3"/>
        <v>2.84</v>
      </c>
      <c r="U420" s="1">
        <f t="shared" si="4"/>
        <v>1</v>
      </c>
      <c r="V420" s="3">
        <f t="shared" si="5"/>
        <v>1</v>
      </c>
      <c r="W420" s="3">
        <f t="shared" si="6"/>
        <v>1</v>
      </c>
      <c r="X420" s="3" t="str">
        <f>IFERROR(__xludf.DUMMYFUNCTION("split(B420,"" "")"),"R.")</f>
        <v>R.</v>
      </c>
      <c r="Y420" s="3" t="str">
        <f>IFERROR(__xludf.DUMMYFUNCTION("""COMPUTED_VALUE"""),"Wilson")</f>
        <v>Wilson</v>
      </c>
      <c r="AA420" s="3">
        <v>0.0</v>
      </c>
      <c r="AB420" s="3">
        <f t="shared" si="7"/>
        <v>0</v>
      </c>
      <c r="AC420" s="3">
        <f t="shared" si="8"/>
        <v>0</v>
      </c>
      <c r="AD420" s="3">
        <f t="shared" si="9"/>
        <v>1.84</v>
      </c>
      <c r="AE420" s="3">
        <f t="shared" si="10"/>
        <v>-1</v>
      </c>
      <c r="AG420" s="3">
        <f t="shared" si="12"/>
        <v>-1</v>
      </c>
    </row>
    <row r="421">
      <c r="A421" s="1" t="s">
        <v>11</v>
      </c>
      <c r="B421" s="1" t="s">
        <v>295</v>
      </c>
      <c r="C421" s="1" t="s">
        <v>18</v>
      </c>
      <c r="D421" s="1" t="s">
        <v>76</v>
      </c>
      <c r="E421" s="1" t="s">
        <v>77</v>
      </c>
      <c r="F421" s="1" t="s">
        <v>78</v>
      </c>
      <c r="G421" s="1">
        <v>46.5</v>
      </c>
      <c r="H421" s="1" t="s">
        <v>60</v>
      </c>
      <c r="I421" s="1">
        <v>-115.0</v>
      </c>
      <c r="J421" s="6">
        <v>-0.121676700266279</v>
      </c>
      <c r="K421" s="1" t="s">
        <v>61</v>
      </c>
      <c r="L421" s="1" t="s">
        <v>61</v>
      </c>
      <c r="M421" s="1" t="s">
        <v>62</v>
      </c>
      <c r="N421" s="1">
        <v>-118.0</v>
      </c>
      <c r="O421" s="6">
        <v>0.0455224738246973</v>
      </c>
      <c r="P421" s="1" t="s">
        <v>61</v>
      </c>
      <c r="Q421" s="1" t="s">
        <v>61</v>
      </c>
      <c r="R421" s="6">
        <f t="shared" si="1"/>
        <v>0.04552247382</v>
      </c>
      <c r="S421" s="1">
        <f t="shared" si="2"/>
        <v>-118</v>
      </c>
      <c r="T421" s="1">
        <f t="shared" si="3"/>
        <v>1.847457627</v>
      </c>
      <c r="U421" s="1">
        <f t="shared" si="4"/>
        <v>0</v>
      </c>
      <c r="V421" s="3">
        <f t="shared" si="5"/>
        <v>1</v>
      </c>
      <c r="W421" s="3">
        <f t="shared" si="6"/>
        <v>3</v>
      </c>
      <c r="X421" s="3" t="str">
        <f>IFERROR(__xludf.DUMMYFUNCTION("split(B421,"" "")"),"X.")</f>
        <v>X.</v>
      </c>
      <c r="Y421" s="3" t="str">
        <f>IFERROR(__xludf.DUMMYFUNCTION("""COMPUTED_VALUE"""),"Worthy")</f>
        <v>Worthy</v>
      </c>
      <c r="AA421" s="3">
        <v>47.0</v>
      </c>
      <c r="AB421" s="3">
        <f t="shared" si="7"/>
        <v>1</v>
      </c>
      <c r="AC421" s="3">
        <f t="shared" si="8"/>
        <v>0</v>
      </c>
      <c r="AD421" s="3">
        <f t="shared" si="9"/>
        <v>0.8474576271</v>
      </c>
      <c r="AE421" s="3">
        <f t="shared" si="10"/>
        <v>-1</v>
      </c>
      <c r="AG421" s="3">
        <f t="shared" si="12"/>
        <v>-0.01075268817</v>
      </c>
    </row>
    <row r="422">
      <c r="A422" s="1" t="s">
        <v>16</v>
      </c>
      <c r="B422" s="1" t="s">
        <v>462</v>
      </c>
      <c r="C422" s="1" t="s">
        <v>21</v>
      </c>
      <c r="D422" s="1" t="s">
        <v>89</v>
      </c>
      <c r="E422" s="1" t="s">
        <v>88</v>
      </c>
      <c r="F422" s="1" t="s">
        <v>90</v>
      </c>
      <c r="G422" s="1">
        <v>32.5</v>
      </c>
      <c r="H422" s="1" t="s">
        <v>60</v>
      </c>
      <c r="I422" s="1">
        <v>-118.0</v>
      </c>
      <c r="J422" s="1">
        <v>-0.114522018348623</v>
      </c>
      <c r="K422" s="1" t="s">
        <v>61</v>
      </c>
      <c r="L422" s="1" t="s">
        <v>61</v>
      </c>
      <c r="M422" s="1" t="s">
        <v>62</v>
      </c>
      <c r="N422" s="1">
        <v>-112.0</v>
      </c>
      <c r="O422" s="1">
        <v>0.044956603773585</v>
      </c>
      <c r="P422" s="1" t="s">
        <v>61</v>
      </c>
      <c r="Q422" s="1" t="s">
        <v>61</v>
      </c>
      <c r="R422" s="1">
        <f t="shared" si="1"/>
        <v>0.04495660377</v>
      </c>
      <c r="S422" s="1">
        <f t="shared" si="2"/>
        <v>-112</v>
      </c>
      <c r="T422" s="1">
        <f t="shared" si="3"/>
        <v>1.892857143</v>
      </c>
      <c r="U422" s="1">
        <f t="shared" si="4"/>
        <v>0</v>
      </c>
      <c r="V422" s="3">
        <f t="shared" si="5"/>
        <v>1</v>
      </c>
      <c r="W422" s="3">
        <f t="shared" si="6"/>
        <v>2</v>
      </c>
      <c r="X422" s="3" t="str">
        <f>IFERROR(__xludf.DUMMYFUNCTION("split(B422,"" "")"),"D.")</f>
        <v>D.</v>
      </c>
      <c r="Y422" s="3" t="str">
        <f>IFERROR(__xludf.DUMMYFUNCTION("""COMPUTED_VALUE"""),"Watson")</f>
        <v>Watson</v>
      </c>
      <c r="AA422" s="3">
        <v>45.0</v>
      </c>
      <c r="AB422" s="3">
        <f t="shared" si="7"/>
        <v>1</v>
      </c>
      <c r="AC422" s="3">
        <f t="shared" si="8"/>
        <v>0</v>
      </c>
      <c r="AD422" s="3">
        <f t="shared" si="9"/>
        <v>0.8928571429</v>
      </c>
      <c r="AE422" s="3">
        <f t="shared" si="10"/>
        <v>-1</v>
      </c>
      <c r="AG422" s="3">
        <f t="shared" si="12"/>
        <v>-0.3846153846</v>
      </c>
    </row>
    <row r="423">
      <c r="A423" s="1" t="s">
        <v>17</v>
      </c>
      <c r="B423" s="1" t="s">
        <v>474</v>
      </c>
      <c r="C423" s="1" t="s">
        <v>21</v>
      </c>
      <c r="D423" s="1" t="s">
        <v>134</v>
      </c>
      <c r="E423" s="1" t="s">
        <v>135</v>
      </c>
      <c r="F423" s="1" t="s">
        <v>84</v>
      </c>
      <c r="G423" s="1">
        <v>0.5</v>
      </c>
      <c r="H423" s="1" t="s">
        <v>60</v>
      </c>
      <c r="I423" s="1">
        <v>-123.0</v>
      </c>
      <c r="J423" s="1">
        <v>-0.122269506726457</v>
      </c>
      <c r="K423" s="1" t="s">
        <v>61</v>
      </c>
      <c r="L423" s="1" t="s">
        <v>61</v>
      </c>
      <c r="M423" s="1" t="s">
        <v>62</v>
      </c>
      <c r="N423" s="1">
        <v>-111.0</v>
      </c>
      <c r="O423" s="1">
        <v>0.0446336492890995</v>
      </c>
      <c r="P423" s="1" t="s">
        <v>61</v>
      </c>
      <c r="Q423" s="1" t="s">
        <v>61</v>
      </c>
      <c r="R423" s="1">
        <f t="shared" si="1"/>
        <v>0.04463364929</v>
      </c>
      <c r="S423" s="1">
        <f t="shared" si="2"/>
        <v>-111</v>
      </c>
      <c r="T423" s="1">
        <f t="shared" si="3"/>
        <v>1.900900901</v>
      </c>
      <c r="U423" s="1">
        <f t="shared" si="4"/>
        <v>0</v>
      </c>
      <c r="V423" s="3">
        <f t="shared" si="5"/>
        <v>1</v>
      </c>
      <c r="W423" s="3">
        <f t="shared" si="6"/>
        <v>2</v>
      </c>
      <c r="X423" s="3" t="str">
        <f>IFERROR(__xludf.DUMMYFUNCTION("split(B423,"" "")"),"G.")</f>
        <v>G.</v>
      </c>
      <c r="Y423" s="3" t="str">
        <f>IFERROR(__xludf.DUMMYFUNCTION("""COMPUTED_VALUE"""),"Minshew")</f>
        <v>Minshew</v>
      </c>
      <c r="AA423" s="3">
        <v>1.0</v>
      </c>
      <c r="AB423" s="3">
        <f t="shared" si="7"/>
        <v>1</v>
      </c>
      <c r="AC423" s="3">
        <f t="shared" si="8"/>
        <v>0</v>
      </c>
      <c r="AD423" s="3">
        <f t="shared" si="9"/>
        <v>0.9009009009</v>
      </c>
      <c r="AE423" s="3">
        <f t="shared" si="10"/>
        <v>-1</v>
      </c>
      <c r="AG423" s="3">
        <f t="shared" si="12"/>
        <v>-1</v>
      </c>
    </row>
    <row r="424">
      <c r="A424" s="1" t="s">
        <v>14</v>
      </c>
      <c r="B424" s="1" t="s">
        <v>434</v>
      </c>
      <c r="C424" s="1" t="s">
        <v>21</v>
      </c>
      <c r="D424" s="1" t="s">
        <v>104</v>
      </c>
      <c r="E424" s="1" t="s">
        <v>105</v>
      </c>
      <c r="F424" s="1" t="s">
        <v>59</v>
      </c>
      <c r="G424" s="1">
        <v>1.5</v>
      </c>
      <c r="H424" s="1" t="s">
        <v>60</v>
      </c>
      <c r="I424" s="1">
        <v>-136.0</v>
      </c>
      <c r="J424" s="1">
        <v>-0.114771186440677</v>
      </c>
      <c r="K424" s="1" t="s">
        <v>61</v>
      </c>
      <c r="L424" s="1" t="s">
        <v>61</v>
      </c>
      <c r="M424" s="1" t="s">
        <v>62</v>
      </c>
      <c r="N424" s="1">
        <v>102.0</v>
      </c>
      <c r="O424" s="1">
        <v>0.0434504950495049</v>
      </c>
      <c r="P424" s="1" t="s">
        <v>61</v>
      </c>
      <c r="Q424" s="1" t="s">
        <v>61</v>
      </c>
      <c r="R424" s="1">
        <f t="shared" si="1"/>
        <v>0.04345049505</v>
      </c>
      <c r="S424" s="1">
        <f t="shared" si="2"/>
        <v>102</v>
      </c>
      <c r="T424" s="1">
        <f t="shared" si="3"/>
        <v>2.02</v>
      </c>
      <c r="U424" s="1">
        <f t="shared" si="4"/>
        <v>0</v>
      </c>
      <c r="V424" s="3">
        <f t="shared" si="5"/>
        <v>1</v>
      </c>
      <c r="W424" s="3">
        <f t="shared" si="6"/>
        <v>2</v>
      </c>
      <c r="X424" s="3" t="str">
        <f>IFERROR(__xludf.DUMMYFUNCTION("split(B424,"" "")"),"J.")</f>
        <v>J.</v>
      </c>
      <c r="Y424" s="3" t="str">
        <f>IFERROR(__xludf.DUMMYFUNCTION("""COMPUTED_VALUE"""),"Allen")</f>
        <v>Allen</v>
      </c>
      <c r="AA424" s="3">
        <v>2.0</v>
      </c>
      <c r="AB424" s="3">
        <f t="shared" si="7"/>
        <v>1</v>
      </c>
      <c r="AC424" s="3">
        <f t="shared" si="8"/>
        <v>0</v>
      </c>
      <c r="AD424" s="3">
        <f t="shared" si="9"/>
        <v>1.02</v>
      </c>
      <c r="AE424" s="3">
        <f t="shared" si="10"/>
        <v>-1</v>
      </c>
      <c r="AG424" s="3">
        <f t="shared" si="12"/>
        <v>-0.3333333333</v>
      </c>
    </row>
    <row r="425">
      <c r="A425" s="1" t="s">
        <v>10</v>
      </c>
      <c r="B425" s="1" t="s">
        <v>204</v>
      </c>
      <c r="C425" s="1" t="s">
        <v>21</v>
      </c>
      <c r="D425" s="1" t="s">
        <v>105</v>
      </c>
      <c r="E425" s="1" t="s">
        <v>104</v>
      </c>
      <c r="F425" s="1" t="s">
        <v>59</v>
      </c>
      <c r="G425" s="1">
        <v>31.5</v>
      </c>
      <c r="H425" s="1" t="s">
        <v>60</v>
      </c>
      <c r="I425" s="1">
        <v>-118.0</v>
      </c>
      <c r="J425" s="1">
        <v>-0.115010650663705</v>
      </c>
      <c r="K425" s="1" t="s">
        <v>61</v>
      </c>
      <c r="L425" s="1" t="s">
        <v>61</v>
      </c>
      <c r="M425" s="1" t="s">
        <v>62</v>
      </c>
      <c r="N425" s="1">
        <v>-113.0</v>
      </c>
      <c r="O425" s="1">
        <v>0.0432452285657145</v>
      </c>
      <c r="P425" s="1" t="s">
        <v>61</v>
      </c>
      <c r="Q425" s="1" t="s">
        <v>61</v>
      </c>
      <c r="R425" s="1">
        <f t="shared" si="1"/>
        <v>0.04324522857</v>
      </c>
      <c r="S425" s="1">
        <f t="shared" si="2"/>
        <v>-113</v>
      </c>
      <c r="T425" s="1">
        <f t="shared" si="3"/>
        <v>1.884955752</v>
      </c>
      <c r="U425" s="1">
        <f t="shared" si="4"/>
        <v>0</v>
      </c>
      <c r="V425" s="3">
        <f t="shared" si="5"/>
        <v>1</v>
      </c>
      <c r="W425" s="3">
        <f t="shared" si="6"/>
        <v>2</v>
      </c>
      <c r="X425" s="3" t="str">
        <f>IFERROR(__xludf.DUMMYFUNCTION("split(B425,"" "")"),"K.")</f>
        <v>K.</v>
      </c>
      <c r="Y425" s="3" t="str">
        <f>IFERROR(__xludf.DUMMYFUNCTION("""COMPUTED_VALUE"""),"Murray")</f>
        <v>Murray</v>
      </c>
      <c r="AA425" s="3">
        <v>57.0</v>
      </c>
      <c r="AB425" s="3">
        <f t="shared" si="7"/>
        <v>1</v>
      </c>
      <c r="AC425" s="3">
        <f t="shared" si="8"/>
        <v>0</v>
      </c>
      <c r="AD425" s="3">
        <f t="shared" si="9"/>
        <v>0.8849557522</v>
      </c>
      <c r="AE425" s="3">
        <f t="shared" si="10"/>
        <v>-1</v>
      </c>
      <c r="AG425" s="3">
        <f t="shared" si="12"/>
        <v>-0.8095238095</v>
      </c>
    </row>
    <row r="426">
      <c r="A426" s="1" t="s">
        <v>9</v>
      </c>
      <c r="B426" s="1" t="s">
        <v>289</v>
      </c>
      <c r="C426" s="1" t="s">
        <v>19</v>
      </c>
      <c r="D426" s="1" t="s">
        <v>94</v>
      </c>
      <c r="E426" s="1" t="s">
        <v>93</v>
      </c>
      <c r="F426" s="1" t="s">
        <v>59</v>
      </c>
      <c r="G426" s="1">
        <v>80.5</v>
      </c>
      <c r="H426" s="1" t="s">
        <v>60</v>
      </c>
      <c r="I426" s="1">
        <v>-117.0</v>
      </c>
      <c r="J426" s="1">
        <v>-0.112796263815785</v>
      </c>
      <c r="K426" s="1" t="s">
        <v>61</v>
      </c>
      <c r="L426" s="1" t="s">
        <v>61</v>
      </c>
      <c r="M426" s="1" t="s">
        <v>62</v>
      </c>
      <c r="N426" s="1">
        <v>-113.0</v>
      </c>
      <c r="O426" s="1">
        <v>0.0431132199543132</v>
      </c>
      <c r="P426" s="1" t="s">
        <v>61</v>
      </c>
      <c r="Q426" s="1" t="s">
        <v>61</v>
      </c>
      <c r="R426" s="1">
        <f t="shared" si="1"/>
        <v>0.04311321995</v>
      </c>
      <c r="S426" s="1">
        <f t="shared" si="2"/>
        <v>-113</v>
      </c>
      <c r="T426" s="1">
        <f t="shared" si="3"/>
        <v>1.884955752</v>
      </c>
      <c r="U426" s="1">
        <f t="shared" si="4"/>
        <v>0</v>
      </c>
      <c r="V426" s="3">
        <f t="shared" si="5"/>
        <v>1</v>
      </c>
      <c r="W426" s="3">
        <f t="shared" si="6"/>
        <v>2</v>
      </c>
      <c r="X426" s="3" t="str">
        <f>IFERROR(__xludf.DUMMYFUNCTION("split(B426,"" "")"),"D.")</f>
        <v>D.</v>
      </c>
      <c r="Y426" s="3" t="str">
        <f>IFERROR(__xludf.DUMMYFUNCTION("""COMPUTED_VALUE"""),"Achane")</f>
        <v>Achane</v>
      </c>
      <c r="AA426" s="3">
        <v>100.0</v>
      </c>
      <c r="AB426" s="3">
        <f t="shared" si="7"/>
        <v>1</v>
      </c>
      <c r="AC426" s="3">
        <f t="shared" si="8"/>
        <v>0</v>
      </c>
      <c r="AD426" s="3">
        <f t="shared" si="9"/>
        <v>0.8849557522</v>
      </c>
      <c r="AE426" s="3">
        <f t="shared" si="10"/>
        <v>-1</v>
      </c>
      <c r="AG426" s="3">
        <f t="shared" si="12"/>
        <v>-0.2422360248</v>
      </c>
    </row>
    <row r="427">
      <c r="A427" s="1" t="s">
        <v>9</v>
      </c>
      <c r="B427" s="1" t="s">
        <v>483</v>
      </c>
      <c r="C427" s="1" t="s">
        <v>18</v>
      </c>
      <c r="D427" s="1" t="s">
        <v>147</v>
      </c>
      <c r="E427" s="1" t="s">
        <v>146</v>
      </c>
      <c r="F427" s="1" t="s">
        <v>59</v>
      </c>
      <c r="G427" s="1">
        <v>27.5</v>
      </c>
      <c r="H427" s="1" t="s">
        <v>60</v>
      </c>
      <c r="I427" s="1">
        <v>-115.0</v>
      </c>
      <c r="J427" s="1">
        <v>0.0430736502585643</v>
      </c>
      <c r="K427" s="1" t="s">
        <v>61</v>
      </c>
      <c r="L427" s="1" t="s">
        <v>61</v>
      </c>
      <c r="M427" s="1" t="s">
        <v>62</v>
      </c>
      <c r="N427" s="1">
        <v>-120.0</v>
      </c>
      <c r="O427" s="1">
        <v>-0.123404553485043</v>
      </c>
      <c r="P427" s="1" t="s">
        <v>61</v>
      </c>
      <c r="Q427" s="1" t="s">
        <v>61</v>
      </c>
      <c r="R427" s="1">
        <f t="shared" si="1"/>
        <v>0.04307365026</v>
      </c>
      <c r="S427" s="1">
        <f t="shared" si="2"/>
        <v>-115</v>
      </c>
      <c r="T427" s="1">
        <f t="shared" si="3"/>
        <v>1.869565217</v>
      </c>
      <c r="U427" s="1">
        <f t="shared" si="4"/>
        <v>1</v>
      </c>
      <c r="V427" s="3">
        <f t="shared" si="5"/>
        <v>1</v>
      </c>
      <c r="W427" s="3">
        <f t="shared" si="6"/>
        <v>2</v>
      </c>
      <c r="X427" s="3" t="str">
        <f>IFERROR(__xludf.DUMMYFUNCTION("split(B427,"" "")"),"D.")</f>
        <v>D.</v>
      </c>
      <c r="Y427" s="3" t="str">
        <f>IFERROR(__xludf.DUMMYFUNCTION("""COMPUTED_VALUE"""),"Slayton")</f>
        <v>Slayton</v>
      </c>
      <c r="AA427" s="3">
        <v>26.0</v>
      </c>
      <c r="AB427" s="3">
        <f t="shared" si="7"/>
        <v>0</v>
      </c>
      <c r="AC427" s="3">
        <f t="shared" si="8"/>
        <v>0</v>
      </c>
      <c r="AD427" s="3">
        <f t="shared" si="9"/>
        <v>0.8695652174</v>
      </c>
      <c r="AE427" s="3">
        <f t="shared" si="10"/>
        <v>-1</v>
      </c>
      <c r="AG427" s="3">
        <f t="shared" si="12"/>
        <v>-0.05454545455</v>
      </c>
    </row>
    <row r="428">
      <c r="A428" s="1" t="s">
        <v>17</v>
      </c>
      <c r="B428" s="1" t="s">
        <v>328</v>
      </c>
      <c r="C428" s="1" t="s">
        <v>21</v>
      </c>
      <c r="D428" s="1" t="s">
        <v>109</v>
      </c>
      <c r="E428" s="1" t="s">
        <v>110</v>
      </c>
      <c r="F428" s="1" t="s">
        <v>59</v>
      </c>
      <c r="G428" s="1">
        <v>0.5</v>
      </c>
      <c r="H428" s="1" t="s">
        <v>60</v>
      </c>
      <c r="I428" s="1">
        <v>-129.0</v>
      </c>
      <c r="J428" s="1">
        <v>-0.115318777292576</v>
      </c>
      <c r="K428" s="1" t="s">
        <v>61</v>
      </c>
      <c r="L428" s="1" t="s">
        <v>61</v>
      </c>
      <c r="M428" s="1" t="s">
        <v>62</v>
      </c>
      <c r="N428" s="1">
        <v>-104.0</v>
      </c>
      <c r="O428" s="1">
        <v>0.0421960784313726</v>
      </c>
      <c r="P428" s="1" t="s">
        <v>61</v>
      </c>
      <c r="Q428" s="1" t="s">
        <v>61</v>
      </c>
      <c r="R428" s="1">
        <f t="shared" si="1"/>
        <v>0.04219607843</v>
      </c>
      <c r="S428" s="1">
        <f t="shared" si="2"/>
        <v>-104</v>
      </c>
      <c r="T428" s="1">
        <f t="shared" si="3"/>
        <v>1.961538462</v>
      </c>
      <c r="U428" s="1">
        <f t="shared" si="4"/>
        <v>0</v>
      </c>
      <c r="V428" s="3">
        <f t="shared" si="5"/>
        <v>1</v>
      </c>
      <c r="W428" s="3">
        <f t="shared" si="6"/>
        <v>2</v>
      </c>
      <c r="X428" s="3" t="str">
        <f>IFERROR(__xludf.DUMMYFUNCTION("split(B428,"" "")"),"K.")</f>
        <v>K.</v>
      </c>
      <c r="Y428" s="3" t="str">
        <f>IFERROR(__xludf.DUMMYFUNCTION("""COMPUTED_VALUE"""),"Cousins")</f>
        <v>Cousins</v>
      </c>
      <c r="AA428" s="3">
        <v>2.0</v>
      </c>
      <c r="AB428" s="3">
        <f t="shared" si="7"/>
        <v>1</v>
      </c>
      <c r="AC428" s="3">
        <f t="shared" si="8"/>
        <v>0</v>
      </c>
      <c r="AD428" s="3">
        <f t="shared" si="9"/>
        <v>0.9615384615</v>
      </c>
      <c r="AE428" s="3">
        <f t="shared" si="10"/>
        <v>-1</v>
      </c>
      <c r="AG428" s="3">
        <f t="shared" si="12"/>
        <v>-3</v>
      </c>
    </row>
    <row r="429">
      <c r="A429" s="1" t="s">
        <v>9</v>
      </c>
      <c r="B429" s="1" t="s">
        <v>233</v>
      </c>
      <c r="C429" s="1" t="s">
        <v>18</v>
      </c>
      <c r="D429" s="1" t="s">
        <v>105</v>
      </c>
      <c r="E429" s="1" t="s">
        <v>104</v>
      </c>
      <c r="F429" s="1" t="s">
        <v>59</v>
      </c>
      <c r="G429" s="1">
        <v>29.5</v>
      </c>
      <c r="H429" s="1" t="s">
        <v>60</v>
      </c>
      <c r="I429" s="1">
        <v>-110.0</v>
      </c>
      <c r="J429" s="1">
        <v>0.0410470197321205</v>
      </c>
      <c r="K429" s="1" t="s">
        <v>61</v>
      </c>
      <c r="L429" s="1" t="s">
        <v>61</v>
      </c>
      <c r="M429" s="1" t="s">
        <v>62</v>
      </c>
      <c r="N429" s="1">
        <v>-120.0</v>
      </c>
      <c r="O429" s="1">
        <v>-0.110304768056792</v>
      </c>
      <c r="P429" s="1" t="s">
        <v>61</v>
      </c>
      <c r="Q429" s="1" t="s">
        <v>61</v>
      </c>
      <c r="R429" s="1">
        <f t="shared" si="1"/>
        <v>0.04104701973</v>
      </c>
      <c r="S429" s="1">
        <f t="shared" si="2"/>
        <v>-110</v>
      </c>
      <c r="T429" s="1">
        <f t="shared" si="3"/>
        <v>1.909090909</v>
      </c>
      <c r="U429" s="1">
        <f t="shared" si="4"/>
        <v>1</v>
      </c>
      <c r="V429" s="3">
        <f t="shared" si="5"/>
        <v>1</v>
      </c>
      <c r="W429" s="3">
        <f t="shared" si="6"/>
        <v>2</v>
      </c>
      <c r="X429" s="3" t="str">
        <f>IFERROR(__xludf.DUMMYFUNCTION("split(B429,"" "")"),"M.")</f>
        <v>M.</v>
      </c>
      <c r="Y429" s="3" t="str">
        <f>IFERROR(__xludf.DUMMYFUNCTION("""COMPUTED_VALUE"""),"Wilson")</f>
        <v>Wilson</v>
      </c>
      <c r="AA429" s="3">
        <v>5.0</v>
      </c>
      <c r="AB429" s="3">
        <f t="shared" si="7"/>
        <v>0</v>
      </c>
      <c r="AC429" s="3">
        <f t="shared" si="8"/>
        <v>0</v>
      </c>
      <c r="AD429" s="3">
        <f t="shared" si="9"/>
        <v>0.9090909091</v>
      </c>
      <c r="AE429" s="3">
        <f t="shared" si="10"/>
        <v>-1</v>
      </c>
      <c r="AG429" s="3">
        <f t="shared" si="12"/>
        <v>-0.8305084746</v>
      </c>
    </row>
    <row r="430">
      <c r="A430" s="1" t="s">
        <v>10</v>
      </c>
      <c r="B430" s="1" t="s">
        <v>464</v>
      </c>
      <c r="C430" s="1" t="s">
        <v>21</v>
      </c>
      <c r="D430" s="1" t="s">
        <v>83</v>
      </c>
      <c r="E430" s="1" t="s">
        <v>82</v>
      </c>
      <c r="F430" s="1" t="s">
        <v>84</v>
      </c>
      <c r="G430" s="1">
        <v>18.5</v>
      </c>
      <c r="H430" s="1" t="s">
        <v>60</v>
      </c>
      <c r="I430" s="1">
        <v>-115.0</v>
      </c>
      <c r="J430" s="1">
        <v>-0.11071440535527</v>
      </c>
      <c r="K430" s="1" t="s">
        <v>61</v>
      </c>
      <c r="L430" s="1" t="s">
        <v>61</v>
      </c>
      <c r="M430" s="1" t="s">
        <v>62</v>
      </c>
      <c r="N430" s="1">
        <v>-115.0</v>
      </c>
      <c r="O430" s="1">
        <v>0.0409815661585609</v>
      </c>
      <c r="P430" s="1" t="s">
        <v>61</v>
      </c>
      <c r="Q430" s="1" t="s">
        <v>61</v>
      </c>
      <c r="R430" s="1">
        <f t="shared" si="1"/>
        <v>0.04098156616</v>
      </c>
      <c r="S430" s="1">
        <f t="shared" si="2"/>
        <v>-115</v>
      </c>
      <c r="T430" s="1">
        <f t="shared" si="3"/>
        <v>1.869565217</v>
      </c>
      <c r="U430" s="1">
        <f t="shared" si="4"/>
        <v>0</v>
      </c>
      <c r="V430" s="3">
        <f t="shared" si="5"/>
        <v>1</v>
      </c>
      <c r="W430" s="3">
        <f t="shared" si="6"/>
        <v>2</v>
      </c>
      <c r="X430" s="3" t="str">
        <f>IFERROR(__xludf.DUMMYFUNCTION("split(B430,"" "")"),"B.")</f>
        <v>B.</v>
      </c>
      <c r="Y430" s="3" t="str">
        <f>IFERROR(__xludf.DUMMYFUNCTION("""COMPUTED_VALUE"""),"Nix")</f>
        <v>Nix</v>
      </c>
      <c r="AA430" s="3">
        <v>35.0</v>
      </c>
      <c r="AB430" s="3">
        <f t="shared" si="7"/>
        <v>1</v>
      </c>
      <c r="AC430" s="3">
        <f t="shared" si="8"/>
        <v>0</v>
      </c>
      <c r="AD430" s="3">
        <f t="shared" si="9"/>
        <v>0.8695652174</v>
      </c>
      <c r="AE430" s="3">
        <f t="shared" si="10"/>
        <v>-1</v>
      </c>
      <c r="AG430" s="3">
        <f t="shared" si="12"/>
        <v>-0.8918918919</v>
      </c>
    </row>
    <row r="431">
      <c r="A431" s="1" t="s">
        <v>11</v>
      </c>
      <c r="B431" s="1" t="s">
        <v>309</v>
      </c>
      <c r="C431" s="1" t="s">
        <v>19</v>
      </c>
      <c r="D431" s="1" t="s">
        <v>77</v>
      </c>
      <c r="E431" s="1" t="s">
        <v>76</v>
      </c>
      <c r="F431" s="1" t="s">
        <v>78</v>
      </c>
      <c r="G431" s="1">
        <v>7.5</v>
      </c>
      <c r="H431" s="1" t="s">
        <v>60</v>
      </c>
      <c r="I431" s="1">
        <v>-120.0</v>
      </c>
      <c r="J431" s="6">
        <v>0.0398512478856749</v>
      </c>
      <c r="K431" s="1" t="s">
        <v>61</v>
      </c>
      <c r="L431" s="1" t="s">
        <v>61</v>
      </c>
      <c r="M431" s="1" t="s">
        <v>62</v>
      </c>
      <c r="N431" s="1">
        <v>-107.0</v>
      </c>
      <c r="O431" s="6">
        <v>-0.102187361122163</v>
      </c>
      <c r="P431" s="1" t="s">
        <v>61</v>
      </c>
      <c r="Q431" s="1" t="s">
        <v>61</v>
      </c>
      <c r="R431" s="6">
        <f t="shared" si="1"/>
        <v>0.03985124789</v>
      </c>
      <c r="S431" s="1">
        <f t="shared" si="2"/>
        <v>-120</v>
      </c>
      <c r="T431" s="1">
        <f t="shared" si="3"/>
        <v>1.833333333</v>
      </c>
      <c r="U431" s="1">
        <f t="shared" si="4"/>
        <v>1</v>
      </c>
      <c r="V431" s="3">
        <f t="shared" si="5"/>
        <v>1</v>
      </c>
      <c r="W431" s="3">
        <f t="shared" si="6"/>
        <v>3</v>
      </c>
      <c r="X431" s="3" t="str">
        <f>IFERROR(__xludf.DUMMYFUNCTION("split(B431,"" "")"),"D.")</f>
        <v>D.</v>
      </c>
      <c r="Y431" s="3" t="str">
        <f>IFERROR(__xludf.DUMMYFUNCTION("""COMPUTED_VALUE"""),"Henry")</f>
        <v>Henry</v>
      </c>
      <c r="AA431" s="3">
        <v>0.0</v>
      </c>
      <c r="AB431" s="3">
        <f t="shared" si="7"/>
        <v>0</v>
      </c>
      <c r="AC431" s="3">
        <f t="shared" si="8"/>
        <v>0</v>
      </c>
      <c r="AD431" s="3">
        <f t="shared" si="9"/>
        <v>0.8333333333</v>
      </c>
      <c r="AE431" s="3">
        <f t="shared" si="10"/>
        <v>-1</v>
      </c>
      <c r="AG431" s="3">
        <f t="shared" si="12"/>
        <v>-1</v>
      </c>
    </row>
    <row r="432">
      <c r="A432" s="1" t="s">
        <v>17</v>
      </c>
      <c r="B432" s="1" t="s">
        <v>297</v>
      </c>
      <c r="C432" s="1" t="s">
        <v>21</v>
      </c>
      <c r="D432" s="1" t="s">
        <v>157</v>
      </c>
      <c r="E432" s="1" t="s">
        <v>156</v>
      </c>
      <c r="F432" s="1" t="s">
        <v>158</v>
      </c>
      <c r="G432" s="1">
        <v>0.5</v>
      </c>
      <c r="H432" s="1" t="s">
        <v>60</v>
      </c>
      <c r="I432" s="1">
        <v>-136.0</v>
      </c>
      <c r="J432" s="6">
        <v>-0.118528813559322</v>
      </c>
      <c r="K432" s="1" t="s">
        <v>61</v>
      </c>
      <c r="L432" s="1" t="s">
        <v>61</v>
      </c>
      <c r="M432" s="1" t="s">
        <v>62</v>
      </c>
      <c r="N432" s="1">
        <v>-101.0</v>
      </c>
      <c r="O432" s="6">
        <v>0.0397621890547262</v>
      </c>
      <c r="P432" s="1" t="s">
        <v>61</v>
      </c>
      <c r="Q432" s="1" t="s">
        <v>61</v>
      </c>
      <c r="R432" s="6">
        <f t="shared" si="1"/>
        <v>0.03976218905</v>
      </c>
      <c r="S432" s="1">
        <f t="shared" si="2"/>
        <v>-101</v>
      </c>
      <c r="T432" s="1">
        <f t="shared" si="3"/>
        <v>1.99009901</v>
      </c>
      <c r="U432" s="1">
        <f t="shared" si="4"/>
        <v>0</v>
      </c>
      <c r="V432" s="3">
        <f t="shared" si="5"/>
        <v>1</v>
      </c>
      <c r="W432" s="3">
        <f t="shared" si="6"/>
        <v>2</v>
      </c>
      <c r="X432" s="3" t="str">
        <f>IFERROR(__xludf.DUMMYFUNCTION("split(B432,"" "")"),"J.")</f>
        <v>J.</v>
      </c>
      <c r="Y432" s="3" t="str">
        <f>IFERROR(__xludf.DUMMYFUNCTION("""COMPUTED_VALUE"""),"Love")</f>
        <v>Love</v>
      </c>
      <c r="AA432" s="3">
        <v>1.0</v>
      </c>
      <c r="AB432" s="3">
        <f t="shared" si="7"/>
        <v>1</v>
      </c>
      <c r="AC432" s="3">
        <f t="shared" si="8"/>
        <v>0</v>
      </c>
      <c r="AD432" s="3">
        <f t="shared" si="9"/>
        <v>0.9900990099</v>
      </c>
      <c r="AE432" s="3">
        <f t="shared" si="10"/>
        <v>-1</v>
      </c>
      <c r="AG432" s="3">
        <f t="shared" si="12"/>
        <v>-1</v>
      </c>
    </row>
    <row r="433">
      <c r="A433" s="1" t="s">
        <v>10</v>
      </c>
      <c r="B433" s="1" t="s">
        <v>462</v>
      </c>
      <c r="C433" s="1" t="s">
        <v>21</v>
      </c>
      <c r="D433" s="1" t="s">
        <v>89</v>
      </c>
      <c r="E433" s="1" t="s">
        <v>88</v>
      </c>
      <c r="F433" s="1" t="s">
        <v>90</v>
      </c>
      <c r="G433" s="1">
        <v>20.5</v>
      </c>
      <c r="H433" s="1" t="s">
        <v>60</v>
      </c>
      <c r="I433" s="1">
        <v>-115.0</v>
      </c>
      <c r="J433" s="1">
        <v>-0.10908165556122</v>
      </c>
      <c r="K433" s="1" t="s">
        <v>61</v>
      </c>
      <c r="L433" s="1" t="s">
        <v>61</v>
      </c>
      <c r="M433" s="1" t="s">
        <v>62</v>
      </c>
      <c r="N433" s="1">
        <v>-115.0</v>
      </c>
      <c r="O433" s="1">
        <v>0.0393889038954037</v>
      </c>
      <c r="P433" s="1" t="s">
        <v>61</v>
      </c>
      <c r="Q433" s="1" t="s">
        <v>61</v>
      </c>
      <c r="R433" s="1">
        <f t="shared" si="1"/>
        <v>0.0393889039</v>
      </c>
      <c r="S433" s="1">
        <f t="shared" si="2"/>
        <v>-115</v>
      </c>
      <c r="T433" s="1">
        <f t="shared" si="3"/>
        <v>1.869565217</v>
      </c>
      <c r="U433" s="1">
        <f t="shared" si="4"/>
        <v>0</v>
      </c>
      <c r="V433" s="3">
        <f t="shared" si="5"/>
        <v>1</v>
      </c>
      <c r="W433" s="3">
        <f t="shared" si="6"/>
        <v>2</v>
      </c>
      <c r="X433" s="3" t="str">
        <f>IFERROR(__xludf.DUMMYFUNCTION("split(B433,"" "")"),"D.")</f>
        <v>D.</v>
      </c>
      <c r="Y433" s="3" t="str">
        <f>IFERROR(__xludf.DUMMYFUNCTION("""COMPUTED_VALUE"""),"Watson")</f>
        <v>Watson</v>
      </c>
      <c r="AA433" s="3">
        <v>39.0</v>
      </c>
      <c r="AB433" s="3">
        <f t="shared" si="7"/>
        <v>1</v>
      </c>
      <c r="AC433" s="3">
        <f t="shared" si="8"/>
        <v>0</v>
      </c>
      <c r="AD433" s="3">
        <f t="shared" si="9"/>
        <v>0.8695652174</v>
      </c>
      <c r="AE433" s="3">
        <f t="shared" si="10"/>
        <v>-1</v>
      </c>
      <c r="AG433" s="3">
        <f t="shared" si="12"/>
        <v>-0.9024390244</v>
      </c>
    </row>
    <row r="434">
      <c r="A434" s="1" t="s">
        <v>9</v>
      </c>
      <c r="B434" s="1" t="s">
        <v>417</v>
      </c>
      <c r="C434" s="1" t="s">
        <v>19</v>
      </c>
      <c r="D434" s="1" t="s">
        <v>113</v>
      </c>
      <c r="E434" s="1" t="s">
        <v>114</v>
      </c>
      <c r="F434" s="1" t="s">
        <v>90</v>
      </c>
      <c r="G434" s="1">
        <v>84.5</v>
      </c>
      <c r="H434" s="1" t="s">
        <v>60</v>
      </c>
      <c r="I434" s="1">
        <v>-115.0</v>
      </c>
      <c r="J434" s="1">
        <v>-0.108313393208534</v>
      </c>
      <c r="K434" s="1" t="s">
        <v>61</v>
      </c>
      <c r="L434" s="1" t="s">
        <v>61</v>
      </c>
      <c r="M434" s="1" t="s">
        <v>62</v>
      </c>
      <c r="N434" s="1">
        <v>-115.0</v>
      </c>
      <c r="O434" s="1">
        <v>0.0385654021898144</v>
      </c>
      <c r="P434" s="1" t="s">
        <v>61</v>
      </c>
      <c r="Q434" s="1" t="s">
        <v>61</v>
      </c>
      <c r="R434" s="1">
        <f t="shared" si="1"/>
        <v>0.03856540219</v>
      </c>
      <c r="S434" s="1">
        <f t="shared" si="2"/>
        <v>-115</v>
      </c>
      <c r="T434" s="1">
        <f t="shared" si="3"/>
        <v>1.869565217</v>
      </c>
      <c r="U434" s="1">
        <f t="shared" si="4"/>
        <v>0</v>
      </c>
      <c r="V434" s="3">
        <f t="shared" si="5"/>
        <v>1</v>
      </c>
      <c r="W434" s="3">
        <f t="shared" si="6"/>
        <v>2</v>
      </c>
      <c r="X434" s="3" t="str">
        <f>IFERROR(__xludf.DUMMYFUNCTION("split(B434,"" "")"),"R.")</f>
        <v>R.</v>
      </c>
      <c r="Y434" s="3" t="str">
        <f>IFERROR(__xludf.DUMMYFUNCTION("""COMPUTED_VALUE"""),"White")</f>
        <v>White</v>
      </c>
      <c r="AA434" s="3">
        <v>106.0</v>
      </c>
      <c r="AB434" s="3">
        <f t="shared" si="7"/>
        <v>1</v>
      </c>
      <c r="AC434" s="3">
        <f t="shared" si="8"/>
        <v>0</v>
      </c>
      <c r="AD434" s="3">
        <f t="shared" si="9"/>
        <v>0.8695652174</v>
      </c>
      <c r="AE434" s="3">
        <f t="shared" si="10"/>
        <v>-1</v>
      </c>
      <c r="AG434" s="3">
        <f t="shared" si="12"/>
        <v>-0.2544378698</v>
      </c>
    </row>
    <row r="435">
      <c r="A435" s="1" t="s">
        <v>10</v>
      </c>
      <c r="B435" s="1" t="s">
        <v>123</v>
      </c>
      <c r="C435" s="1" t="s">
        <v>19</v>
      </c>
      <c r="D435" s="1" t="s">
        <v>110</v>
      </c>
      <c r="E435" s="1" t="s">
        <v>109</v>
      </c>
      <c r="F435" s="1" t="s">
        <v>59</v>
      </c>
      <c r="G435" s="1">
        <v>53.5</v>
      </c>
      <c r="H435" s="1" t="s">
        <v>60</v>
      </c>
      <c r="I435" s="1">
        <v>-124.0</v>
      </c>
      <c r="J435" s="1">
        <v>-0.108717385657402</v>
      </c>
      <c r="K435" s="1" t="s">
        <v>61</v>
      </c>
      <c r="L435" s="1" t="s">
        <v>61</v>
      </c>
      <c r="M435" s="1" t="s">
        <v>62</v>
      </c>
      <c r="N435" s="1">
        <v>-107.0</v>
      </c>
      <c r="O435" s="1">
        <v>0.0382424360436498</v>
      </c>
      <c r="P435" s="1" t="s">
        <v>61</v>
      </c>
      <c r="Q435" s="1" t="s">
        <v>61</v>
      </c>
      <c r="R435" s="1">
        <f t="shared" si="1"/>
        <v>0.03824243604</v>
      </c>
      <c r="S435" s="1">
        <f t="shared" si="2"/>
        <v>-107</v>
      </c>
      <c r="T435" s="1">
        <f t="shared" si="3"/>
        <v>1.934579439</v>
      </c>
      <c r="U435" s="1">
        <f t="shared" si="4"/>
        <v>0</v>
      </c>
      <c r="V435" s="3">
        <f t="shared" si="5"/>
        <v>1</v>
      </c>
      <c r="W435" s="3">
        <f t="shared" si="6"/>
        <v>2</v>
      </c>
      <c r="X435" s="3" t="str">
        <f>IFERROR(__xludf.DUMMYFUNCTION("split(B435,"" "")"),"N.")</f>
        <v>N.</v>
      </c>
      <c r="Y435" s="3" t="str">
        <f>IFERROR(__xludf.DUMMYFUNCTION("""COMPUTED_VALUE"""),"Harris")</f>
        <v>Harris</v>
      </c>
      <c r="AA435" s="3">
        <v>70.0</v>
      </c>
      <c r="AB435" s="3">
        <f t="shared" si="7"/>
        <v>1</v>
      </c>
      <c r="AC435" s="3">
        <f t="shared" si="8"/>
        <v>0</v>
      </c>
      <c r="AD435" s="3">
        <f t="shared" si="9"/>
        <v>0.9345794393</v>
      </c>
      <c r="AE435" s="3">
        <f t="shared" si="10"/>
        <v>-1</v>
      </c>
      <c r="AG435" s="3">
        <f t="shared" si="12"/>
        <v>-0.308411215</v>
      </c>
    </row>
    <row r="436">
      <c r="A436" s="1" t="s">
        <v>11</v>
      </c>
      <c r="B436" s="1" t="s">
        <v>484</v>
      </c>
      <c r="C436" s="1" t="s">
        <v>18</v>
      </c>
      <c r="D436" s="1" t="s">
        <v>76</v>
      </c>
      <c r="E436" s="1" t="s">
        <v>77</v>
      </c>
      <c r="F436" s="1" t="s">
        <v>78</v>
      </c>
      <c r="G436" s="1">
        <v>8.5</v>
      </c>
      <c r="H436" s="1" t="s">
        <v>60</v>
      </c>
      <c r="I436" s="1">
        <v>-105.0</v>
      </c>
      <c r="J436" s="6">
        <v>0.0382390594505007</v>
      </c>
      <c r="K436" s="1" t="s">
        <v>61</v>
      </c>
      <c r="L436" s="1" t="s">
        <v>61</v>
      </c>
      <c r="M436" s="1" t="s">
        <v>62</v>
      </c>
      <c r="N436" s="1">
        <v>-130.0</v>
      </c>
      <c r="O436" s="6">
        <v>-0.115656997145906</v>
      </c>
      <c r="P436" s="1" t="s">
        <v>61</v>
      </c>
      <c r="Q436" s="1" t="s">
        <v>61</v>
      </c>
      <c r="R436" s="6">
        <f t="shared" si="1"/>
        <v>0.03823905945</v>
      </c>
      <c r="S436" s="1">
        <f t="shared" si="2"/>
        <v>-105</v>
      </c>
      <c r="T436" s="1">
        <f t="shared" si="3"/>
        <v>1.952380952</v>
      </c>
      <c r="U436" s="1">
        <f t="shared" si="4"/>
        <v>1</v>
      </c>
      <c r="V436" s="3">
        <f t="shared" si="5"/>
        <v>1</v>
      </c>
      <c r="W436" s="3">
        <f t="shared" si="6"/>
        <v>2</v>
      </c>
      <c r="X436" s="3" t="str">
        <f>IFERROR(__xludf.DUMMYFUNCTION("split(B436,"" "")"),"M.")</f>
        <v>M.</v>
      </c>
      <c r="Y436" s="3" t="str">
        <f>IFERROR(__xludf.DUMMYFUNCTION("""COMPUTED_VALUE"""),"Hardman")</f>
        <v>Hardman</v>
      </c>
      <c r="Z436" s="3" t="str">
        <f>IFERROR(__xludf.DUMMYFUNCTION("""COMPUTED_VALUE"""),"Jr.")</f>
        <v>Jr.</v>
      </c>
      <c r="AA436" s="3">
        <v>0.0</v>
      </c>
      <c r="AB436" s="3">
        <f t="shared" si="7"/>
        <v>0</v>
      </c>
      <c r="AC436" s="3">
        <f t="shared" si="8"/>
        <v>0</v>
      </c>
      <c r="AD436" s="3">
        <f t="shared" si="9"/>
        <v>0.9523809524</v>
      </c>
      <c r="AE436" s="3">
        <f t="shared" si="10"/>
        <v>-1</v>
      </c>
      <c r="AG436" s="3">
        <f t="shared" si="12"/>
        <v>-1</v>
      </c>
    </row>
    <row r="437">
      <c r="A437" s="1" t="s">
        <v>17</v>
      </c>
      <c r="B437" s="1" t="s">
        <v>75</v>
      </c>
      <c r="C437" s="1" t="s">
        <v>21</v>
      </c>
      <c r="D437" s="1" t="s">
        <v>76</v>
      </c>
      <c r="E437" s="1" t="s">
        <v>77</v>
      </c>
      <c r="F437" s="1" t="s">
        <v>78</v>
      </c>
      <c r="G437" s="1">
        <v>0.5</v>
      </c>
      <c r="H437" s="1" t="s">
        <v>60</v>
      </c>
      <c r="I437" s="1">
        <v>-120.0</v>
      </c>
      <c r="J437" s="6">
        <v>-0.11410909090909</v>
      </c>
      <c r="K437" s="1" t="s">
        <v>61</v>
      </c>
      <c r="L437" s="1" t="s">
        <v>61</v>
      </c>
      <c r="M437" s="1" t="s">
        <v>62</v>
      </c>
      <c r="N437" s="1">
        <v>-113.0</v>
      </c>
      <c r="O437" s="6">
        <v>0.0381305164319248</v>
      </c>
      <c r="P437" s="1" t="s">
        <v>61</v>
      </c>
      <c r="Q437" s="1" t="s">
        <v>61</v>
      </c>
      <c r="R437" s="6">
        <f t="shared" si="1"/>
        <v>0.03813051643</v>
      </c>
      <c r="S437" s="1">
        <f t="shared" si="2"/>
        <v>-113</v>
      </c>
      <c r="T437" s="1">
        <f t="shared" si="3"/>
        <v>1.884955752</v>
      </c>
      <c r="U437" s="1">
        <f t="shared" si="4"/>
        <v>0</v>
      </c>
      <c r="V437" s="3">
        <f t="shared" si="5"/>
        <v>1</v>
      </c>
      <c r="W437" s="3">
        <f t="shared" si="6"/>
        <v>2</v>
      </c>
      <c r="X437" s="3" t="str">
        <f>IFERROR(__xludf.DUMMYFUNCTION("split(B437,"" "")"),"P.")</f>
        <v>P.</v>
      </c>
      <c r="Y437" s="3" t="str">
        <f>IFERROR(__xludf.DUMMYFUNCTION("""COMPUTED_VALUE"""),"Mahomes")</f>
        <v>Mahomes</v>
      </c>
      <c r="AA437" s="3">
        <v>1.0</v>
      </c>
      <c r="AB437" s="3">
        <f t="shared" si="7"/>
        <v>1</v>
      </c>
      <c r="AC437" s="3">
        <f t="shared" si="8"/>
        <v>0</v>
      </c>
      <c r="AD437" s="3">
        <f t="shared" si="9"/>
        <v>0.8849557522</v>
      </c>
      <c r="AE437" s="3">
        <f t="shared" si="10"/>
        <v>-1</v>
      </c>
      <c r="AG437" s="3">
        <f t="shared" si="12"/>
        <v>-1</v>
      </c>
    </row>
    <row r="438">
      <c r="A438" s="1" t="s">
        <v>17</v>
      </c>
      <c r="B438" s="1" t="s">
        <v>200</v>
      </c>
      <c r="C438" s="1" t="s">
        <v>21</v>
      </c>
      <c r="D438" s="1" t="s">
        <v>71</v>
      </c>
      <c r="E438" s="1" t="s">
        <v>72</v>
      </c>
      <c r="F438" s="1" t="s">
        <v>59</v>
      </c>
      <c r="G438" s="1">
        <v>0.5</v>
      </c>
      <c r="H438" s="1" t="s">
        <v>60</v>
      </c>
      <c r="I438" s="1">
        <v>-126.0</v>
      </c>
      <c r="J438" s="1">
        <v>-0.112266371681415</v>
      </c>
      <c r="K438" s="1" t="s">
        <v>61</v>
      </c>
      <c r="L438" s="1" t="s">
        <v>61</v>
      </c>
      <c r="M438" s="1" t="s">
        <v>62</v>
      </c>
      <c r="N438" s="1">
        <v>-107.0</v>
      </c>
      <c r="O438" s="1">
        <v>0.0378434782608695</v>
      </c>
      <c r="P438" s="1" t="s">
        <v>61</v>
      </c>
      <c r="Q438" s="1" t="s">
        <v>61</v>
      </c>
      <c r="R438" s="1">
        <f t="shared" si="1"/>
        <v>0.03784347826</v>
      </c>
      <c r="S438" s="1">
        <f t="shared" si="2"/>
        <v>-107</v>
      </c>
      <c r="T438" s="1">
        <f t="shared" si="3"/>
        <v>1.934579439</v>
      </c>
      <c r="U438" s="1">
        <f t="shared" si="4"/>
        <v>0</v>
      </c>
      <c r="V438" s="3">
        <f t="shared" si="5"/>
        <v>1</v>
      </c>
      <c r="W438" s="3">
        <f t="shared" si="6"/>
        <v>2</v>
      </c>
      <c r="X438" s="3" t="str">
        <f>IFERROR(__xludf.DUMMYFUNCTION("split(B438,"" "")"),"A.")</f>
        <v>A.</v>
      </c>
      <c r="Y438" s="3" t="str">
        <f>IFERROR(__xludf.DUMMYFUNCTION("""COMPUTED_VALUE"""),"Richardson")</f>
        <v>Richardson</v>
      </c>
      <c r="AA438" s="3">
        <v>1.0</v>
      </c>
      <c r="AB438" s="3">
        <f t="shared" si="7"/>
        <v>1</v>
      </c>
      <c r="AC438" s="3">
        <f t="shared" si="8"/>
        <v>0</v>
      </c>
      <c r="AD438" s="3">
        <f t="shared" si="9"/>
        <v>0.9345794393</v>
      </c>
      <c r="AE438" s="3">
        <f t="shared" si="10"/>
        <v>-1</v>
      </c>
      <c r="AG438" s="3">
        <f t="shared" si="12"/>
        <v>-1</v>
      </c>
    </row>
    <row r="439">
      <c r="A439" s="1" t="s">
        <v>12</v>
      </c>
      <c r="B439" s="1" t="s">
        <v>363</v>
      </c>
      <c r="C439" s="1" t="s">
        <v>20</v>
      </c>
      <c r="D439" s="1" t="s">
        <v>93</v>
      </c>
      <c r="E439" s="1" t="s">
        <v>94</v>
      </c>
      <c r="F439" s="1" t="s">
        <v>59</v>
      </c>
      <c r="G439" s="1">
        <v>5.5</v>
      </c>
      <c r="H439" s="1" t="s">
        <v>60</v>
      </c>
      <c r="I439" s="1">
        <v>119.0</v>
      </c>
      <c r="J439" s="1">
        <v>0.0377246575342464</v>
      </c>
      <c r="K439" s="1" t="s">
        <v>61</v>
      </c>
      <c r="L439" s="1" t="s">
        <v>61</v>
      </c>
      <c r="M439" s="1" t="s">
        <v>62</v>
      </c>
      <c r="N439" s="1">
        <v>-157.0</v>
      </c>
      <c r="O439" s="1">
        <v>-0.105233852140077</v>
      </c>
      <c r="P439" s="1" t="s">
        <v>61</v>
      </c>
      <c r="Q439" s="1" t="s">
        <v>61</v>
      </c>
      <c r="R439" s="1">
        <f t="shared" si="1"/>
        <v>0.03772465753</v>
      </c>
      <c r="S439" s="1">
        <f t="shared" si="2"/>
        <v>119</v>
      </c>
      <c r="T439" s="1">
        <f t="shared" si="3"/>
        <v>2.19</v>
      </c>
      <c r="U439" s="1">
        <f t="shared" si="4"/>
        <v>1</v>
      </c>
      <c r="V439" s="3">
        <f t="shared" si="5"/>
        <v>1</v>
      </c>
      <c r="W439" s="3">
        <f t="shared" si="6"/>
        <v>1</v>
      </c>
      <c r="X439" s="3" t="str">
        <f>IFERROR(__xludf.DUMMYFUNCTION("split(B439,"" "")"),"E.")</f>
        <v>E.</v>
      </c>
      <c r="Y439" s="3" t="str">
        <f>IFERROR(__xludf.DUMMYFUNCTION("""COMPUTED_VALUE"""),"Engram")</f>
        <v>Engram</v>
      </c>
      <c r="AA439" s="3">
        <v>1.0</v>
      </c>
      <c r="AB439" s="3">
        <f t="shared" si="7"/>
        <v>0</v>
      </c>
      <c r="AC439" s="3">
        <f t="shared" si="8"/>
        <v>0</v>
      </c>
      <c r="AD439" s="3">
        <f t="shared" si="9"/>
        <v>1.19</v>
      </c>
      <c r="AE439" s="3">
        <f t="shared" si="10"/>
        <v>-1</v>
      </c>
      <c r="AG439" s="3">
        <f t="shared" si="12"/>
        <v>-0.8181818182</v>
      </c>
    </row>
    <row r="440">
      <c r="A440" s="1" t="s">
        <v>12</v>
      </c>
      <c r="B440" s="1" t="s">
        <v>368</v>
      </c>
      <c r="C440" s="1" t="s">
        <v>19</v>
      </c>
      <c r="D440" s="1" t="s">
        <v>196</v>
      </c>
      <c r="E440" s="1" t="s">
        <v>197</v>
      </c>
      <c r="F440" s="1" t="s">
        <v>198</v>
      </c>
      <c r="G440" s="1">
        <v>2.5</v>
      </c>
      <c r="H440" s="1" t="s">
        <v>60</v>
      </c>
      <c r="I440" s="1">
        <v>121.0</v>
      </c>
      <c r="J440" s="1">
        <v>-0.107896154726696</v>
      </c>
      <c r="K440" s="1" t="s">
        <v>61</v>
      </c>
      <c r="L440" s="1" t="s">
        <v>61</v>
      </c>
      <c r="M440" s="1" t="s">
        <v>62</v>
      </c>
      <c r="N440" s="1">
        <v>-162.0</v>
      </c>
      <c r="O440" s="1">
        <v>0.0371007548900764</v>
      </c>
      <c r="P440" s="1" t="s">
        <v>61</v>
      </c>
      <c r="Q440" s="1" t="s">
        <v>61</v>
      </c>
      <c r="R440" s="1">
        <f t="shared" si="1"/>
        <v>0.03710075489</v>
      </c>
      <c r="S440" s="1">
        <f t="shared" si="2"/>
        <v>-162</v>
      </c>
      <c r="T440" s="1">
        <f t="shared" si="3"/>
        <v>1.617283951</v>
      </c>
      <c r="U440" s="1">
        <f t="shared" si="4"/>
        <v>0</v>
      </c>
      <c r="V440" s="3">
        <f t="shared" si="5"/>
        <v>1</v>
      </c>
      <c r="W440" s="3">
        <f t="shared" si="6"/>
        <v>3</v>
      </c>
      <c r="X440" s="3" t="str">
        <f>IFERROR(__xludf.DUMMYFUNCTION("split(B440,"" "")"),"K.")</f>
        <v>K.</v>
      </c>
      <c r="Y440" s="3" t="str">
        <f>IFERROR(__xludf.DUMMYFUNCTION("""COMPUTED_VALUE"""),"Williams")</f>
        <v>Williams</v>
      </c>
      <c r="AA440" s="3">
        <v>3.0</v>
      </c>
      <c r="AB440" s="3">
        <f t="shared" si="7"/>
        <v>1</v>
      </c>
      <c r="AC440" s="3">
        <f t="shared" si="8"/>
        <v>0</v>
      </c>
      <c r="AD440" s="3">
        <f t="shared" si="9"/>
        <v>0.6172839506</v>
      </c>
      <c r="AE440" s="3">
        <f t="shared" si="10"/>
        <v>-1</v>
      </c>
      <c r="AG440" s="3">
        <f t="shared" si="12"/>
        <v>-0.2</v>
      </c>
    </row>
    <row r="441">
      <c r="A441" s="1" t="s">
        <v>15</v>
      </c>
      <c r="B441" s="1" t="s">
        <v>405</v>
      </c>
      <c r="C441" s="1" t="s">
        <v>21</v>
      </c>
      <c r="D441" s="1" t="s">
        <v>135</v>
      </c>
      <c r="E441" s="1" t="s">
        <v>134</v>
      </c>
      <c r="F441" s="1" t="s">
        <v>84</v>
      </c>
      <c r="G441" s="1">
        <v>21.5</v>
      </c>
      <c r="H441" s="1" t="s">
        <v>60</v>
      </c>
      <c r="I441" s="1">
        <v>-105.0</v>
      </c>
      <c r="J441" s="1">
        <v>0.0368048780487805</v>
      </c>
      <c r="K441" s="1" t="s">
        <v>61</v>
      </c>
      <c r="L441" s="1" t="s">
        <v>61</v>
      </c>
      <c r="M441" s="1" t="s">
        <v>62</v>
      </c>
      <c r="N441" s="1">
        <v>-128.0</v>
      </c>
      <c r="O441" s="1">
        <v>-0.110403508771929</v>
      </c>
      <c r="P441" s="1" t="s">
        <v>61</v>
      </c>
      <c r="Q441" s="1" t="s">
        <v>61</v>
      </c>
      <c r="R441" s="1">
        <f t="shared" si="1"/>
        <v>0.03680487805</v>
      </c>
      <c r="S441" s="1">
        <f t="shared" si="2"/>
        <v>-105</v>
      </c>
      <c r="T441" s="1">
        <f t="shared" si="3"/>
        <v>1.952380952</v>
      </c>
      <c r="U441" s="1">
        <f t="shared" si="4"/>
        <v>1</v>
      </c>
      <c r="V441" s="3">
        <f t="shared" si="5"/>
        <v>1</v>
      </c>
      <c r="W441" s="3">
        <f t="shared" si="6"/>
        <v>2</v>
      </c>
      <c r="X441" s="3" t="str">
        <f>IFERROR(__xludf.DUMMYFUNCTION("split(B441,"" "")"),"J.")</f>
        <v>J.</v>
      </c>
      <c r="Y441" s="3" t="str">
        <f>IFERROR(__xludf.DUMMYFUNCTION("""COMPUTED_VALUE"""),"Herbert")</f>
        <v>Herbert</v>
      </c>
      <c r="AA441" s="3">
        <v>17.0</v>
      </c>
      <c r="AB441" s="3">
        <f t="shared" si="7"/>
        <v>0</v>
      </c>
      <c r="AC441" s="3">
        <f t="shared" si="8"/>
        <v>0</v>
      </c>
      <c r="AD441" s="3">
        <f t="shared" si="9"/>
        <v>0.9523809524</v>
      </c>
      <c r="AE441" s="3">
        <f t="shared" si="10"/>
        <v>-1</v>
      </c>
      <c r="AG441" s="3">
        <f t="shared" si="12"/>
        <v>-0.2093023256</v>
      </c>
    </row>
    <row r="442">
      <c r="A442" s="1" t="s">
        <v>11</v>
      </c>
      <c r="B442" s="1" t="s">
        <v>485</v>
      </c>
      <c r="C442" s="1" t="s">
        <v>19</v>
      </c>
      <c r="D442" s="1" t="s">
        <v>135</v>
      </c>
      <c r="E442" s="1" t="s">
        <v>134</v>
      </c>
      <c r="F442" s="1" t="s">
        <v>84</v>
      </c>
      <c r="G442" s="1">
        <v>8.5</v>
      </c>
      <c r="H442" s="1" t="s">
        <v>60</v>
      </c>
      <c r="I442" s="1">
        <v>-119.0</v>
      </c>
      <c r="J442" s="1">
        <v>0.0362696870199105</v>
      </c>
      <c r="K442" s="1" t="s">
        <v>61</v>
      </c>
      <c r="L442" s="1" t="s">
        <v>61</v>
      </c>
      <c r="M442" s="1" t="s">
        <v>62</v>
      </c>
      <c r="N442" s="1">
        <v>-111.0</v>
      </c>
      <c r="O442" s="1">
        <v>-0.105692019988957</v>
      </c>
      <c r="P442" s="1" t="s">
        <v>61</v>
      </c>
      <c r="Q442" s="1" t="s">
        <v>61</v>
      </c>
      <c r="R442" s="1">
        <f t="shared" si="1"/>
        <v>0.03626968702</v>
      </c>
      <c r="S442" s="1">
        <f t="shared" si="2"/>
        <v>-119</v>
      </c>
      <c r="T442" s="1">
        <f t="shared" si="3"/>
        <v>1.840336134</v>
      </c>
      <c r="U442" s="1">
        <f t="shared" si="4"/>
        <v>1</v>
      </c>
      <c r="V442" s="3">
        <f t="shared" si="5"/>
        <v>1</v>
      </c>
      <c r="W442" s="3">
        <f t="shared" si="6"/>
        <v>3</v>
      </c>
      <c r="X442" s="3" t="str">
        <f>IFERROR(__xludf.DUMMYFUNCTION("split(B442,"" "")"),"J.")</f>
        <v>J.</v>
      </c>
      <c r="Y442" s="3" t="str">
        <f>IFERROR(__xludf.DUMMYFUNCTION("""COMPUTED_VALUE"""),"Dobbins")</f>
        <v>Dobbins</v>
      </c>
      <c r="AA442" s="3">
        <v>4.0</v>
      </c>
      <c r="AB442" s="3">
        <f t="shared" si="7"/>
        <v>0</v>
      </c>
      <c r="AC442" s="3">
        <f t="shared" si="8"/>
        <v>0</v>
      </c>
      <c r="AD442" s="3">
        <f t="shared" si="9"/>
        <v>0.8403361345</v>
      </c>
      <c r="AE442" s="3">
        <f t="shared" si="10"/>
        <v>-1</v>
      </c>
      <c r="AG442" s="3">
        <f t="shared" si="12"/>
        <v>-0.5294117647</v>
      </c>
    </row>
    <row r="443">
      <c r="A443" s="1" t="s">
        <v>11</v>
      </c>
      <c r="B443" s="1" t="s">
        <v>354</v>
      </c>
      <c r="C443" s="1" t="s">
        <v>18</v>
      </c>
      <c r="D443" s="1" t="s">
        <v>147</v>
      </c>
      <c r="E443" s="1" t="s">
        <v>146</v>
      </c>
      <c r="F443" s="1" t="s">
        <v>59</v>
      </c>
      <c r="G443" s="1">
        <v>28.5</v>
      </c>
      <c r="H443" s="1" t="s">
        <v>60</v>
      </c>
      <c r="I443" s="1">
        <v>-118.0</v>
      </c>
      <c r="J443" s="1">
        <v>-0.107512994639449</v>
      </c>
      <c r="K443" s="1" t="s">
        <v>61</v>
      </c>
      <c r="L443" s="1" t="s">
        <v>61</v>
      </c>
      <c r="M443" s="1" t="s">
        <v>62</v>
      </c>
      <c r="N443" s="1">
        <v>-113.0</v>
      </c>
      <c r="O443" s="1">
        <v>0.0357792445985072</v>
      </c>
      <c r="P443" s="1" t="s">
        <v>61</v>
      </c>
      <c r="Q443" s="1" t="s">
        <v>61</v>
      </c>
      <c r="R443" s="1">
        <f t="shared" si="1"/>
        <v>0.0357792446</v>
      </c>
      <c r="S443" s="1">
        <f t="shared" si="2"/>
        <v>-113</v>
      </c>
      <c r="T443" s="1">
        <f t="shared" si="3"/>
        <v>1.884955752</v>
      </c>
      <c r="U443" s="1">
        <f t="shared" si="4"/>
        <v>0</v>
      </c>
      <c r="V443" s="3">
        <f t="shared" si="5"/>
        <v>1</v>
      </c>
      <c r="W443" s="3">
        <f t="shared" si="6"/>
        <v>2</v>
      </c>
      <c r="X443" s="3" t="str">
        <f>IFERROR(__xludf.DUMMYFUNCTION("split(B443,"" "")"),"W.")</f>
        <v>W.</v>
      </c>
      <c r="Y443" s="3" t="str">
        <f>IFERROR(__xludf.DUMMYFUNCTION("""COMPUTED_VALUE"""),"Robinson")</f>
        <v>Robinson</v>
      </c>
      <c r="AA443" s="3">
        <v>44.0</v>
      </c>
      <c r="AB443" s="3">
        <f t="shared" si="7"/>
        <v>1</v>
      </c>
      <c r="AC443" s="3">
        <f t="shared" si="8"/>
        <v>0</v>
      </c>
      <c r="AD443" s="3">
        <f t="shared" si="9"/>
        <v>0.8849557522</v>
      </c>
      <c r="AE443" s="3">
        <f t="shared" si="10"/>
        <v>-1</v>
      </c>
      <c r="AG443" s="3">
        <f t="shared" si="12"/>
        <v>-0.5438596491</v>
      </c>
    </row>
    <row r="444">
      <c r="A444" s="1" t="s">
        <v>10</v>
      </c>
      <c r="B444" s="1" t="s">
        <v>187</v>
      </c>
      <c r="C444" s="1" t="s">
        <v>19</v>
      </c>
      <c r="D444" s="1" t="s">
        <v>157</v>
      </c>
      <c r="E444" s="1" t="s">
        <v>156</v>
      </c>
      <c r="F444" s="1" t="s">
        <v>158</v>
      </c>
      <c r="G444" s="1">
        <v>61.5</v>
      </c>
      <c r="H444" s="1" t="s">
        <v>60</v>
      </c>
      <c r="I444" s="1">
        <v>-115.0</v>
      </c>
      <c r="J444" s="6">
        <v>-0.0979173891868339</v>
      </c>
      <c r="K444" s="1" t="s">
        <v>61</v>
      </c>
      <c r="L444" s="1" t="s">
        <v>61</v>
      </c>
      <c r="M444" s="1" t="s">
        <v>62</v>
      </c>
      <c r="N444" s="1">
        <v>-112.0</v>
      </c>
      <c r="O444" s="6">
        <v>0.034749267474298</v>
      </c>
      <c r="P444" s="1" t="s">
        <v>61</v>
      </c>
      <c r="Q444" s="1" t="s">
        <v>61</v>
      </c>
      <c r="R444" s="6">
        <f t="shared" si="1"/>
        <v>0.03474926747</v>
      </c>
      <c r="S444" s="1">
        <f t="shared" si="2"/>
        <v>-112</v>
      </c>
      <c r="T444" s="1">
        <f t="shared" si="3"/>
        <v>1.892857143</v>
      </c>
      <c r="U444" s="1">
        <f t="shared" si="4"/>
        <v>0</v>
      </c>
      <c r="V444" s="3">
        <f t="shared" si="5"/>
        <v>1</v>
      </c>
      <c r="W444" s="3">
        <f t="shared" si="6"/>
        <v>2</v>
      </c>
      <c r="X444" s="3" t="str">
        <f>IFERROR(__xludf.DUMMYFUNCTION("split(B444,"" "")"),"J.")</f>
        <v>J.</v>
      </c>
      <c r="Y444" s="3" t="str">
        <f>IFERROR(__xludf.DUMMYFUNCTION("""COMPUTED_VALUE"""),"Jacobs")</f>
        <v>Jacobs</v>
      </c>
      <c r="AA444" s="3">
        <v>84.0</v>
      </c>
      <c r="AB444" s="3">
        <f t="shared" si="7"/>
        <v>1</v>
      </c>
      <c r="AC444" s="3">
        <f t="shared" si="8"/>
        <v>0</v>
      </c>
      <c r="AD444" s="3">
        <f t="shared" si="9"/>
        <v>0.8928571429</v>
      </c>
      <c r="AE444" s="3">
        <f t="shared" si="10"/>
        <v>-1</v>
      </c>
      <c r="AG444" s="3">
        <f t="shared" si="12"/>
        <v>-0.3658536585</v>
      </c>
    </row>
    <row r="445">
      <c r="A445" s="1" t="s">
        <v>11</v>
      </c>
      <c r="B445" s="1" t="s">
        <v>486</v>
      </c>
      <c r="C445" s="1" t="s">
        <v>18</v>
      </c>
      <c r="D445" s="1" t="s">
        <v>134</v>
      </c>
      <c r="E445" s="1" t="s">
        <v>135</v>
      </c>
      <c r="F445" s="1" t="s">
        <v>84</v>
      </c>
      <c r="G445" s="1">
        <v>21.5</v>
      </c>
      <c r="H445" s="1" t="s">
        <v>60</v>
      </c>
      <c r="I445" s="1">
        <v>-115.0</v>
      </c>
      <c r="J445" s="1">
        <v>-0.103683322758548</v>
      </c>
      <c r="K445" s="1" t="s">
        <v>61</v>
      </c>
      <c r="L445" s="1" t="s">
        <v>61</v>
      </c>
      <c r="M445" s="1" t="s">
        <v>62</v>
      </c>
      <c r="N445" s="1">
        <v>-115.0</v>
      </c>
      <c r="O445" s="1">
        <v>0.0339308211723311</v>
      </c>
      <c r="P445" s="1" t="s">
        <v>61</v>
      </c>
      <c r="Q445" s="1" t="s">
        <v>61</v>
      </c>
      <c r="R445" s="1">
        <f t="shared" si="1"/>
        <v>0.03393082117</v>
      </c>
      <c r="S445" s="1">
        <f t="shared" si="2"/>
        <v>-115</v>
      </c>
      <c r="T445" s="1">
        <f t="shared" si="3"/>
        <v>1.869565217</v>
      </c>
      <c r="U445" s="1">
        <f t="shared" si="4"/>
        <v>0</v>
      </c>
      <c r="V445" s="3">
        <f t="shared" si="5"/>
        <v>1</v>
      </c>
      <c r="W445" s="3">
        <f t="shared" si="6"/>
        <v>2</v>
      </c>
      <c r="X445" s="3" t="str">
        <f>IFERROR(__xludf.DUMMYFUNCTION("split(B445,"" "")"),"T.")</f>
        <v>T.</v>
      </c>
      <c r="Y445" s="3" t="str">
        <f>IFERROR(__xludf.DUMMYFUNCTION("""COMPUTED_VALUE"""),"Tucker")</f>
        <v>Tucker</v>
      </c>
      <c r="AA445" s="3">
        <v>22.0</v>
      </c>
      <c r="AB445" s="3">
        <f t="shared" si="7"/>
        <v>1</v>
      </c>
      <c r="AC445" s="3">
        <f t="shared" si="8"/>
        <v>0</v>
      </c>
      <c r="AD445" s="3">
        <f t="shared" si="9"/>
        <v>0.8695652174</v>
      </c>
      <c r="AE445" s="3">
        <f t="shared" si="10"/>
        <v>-1</v>
      </c>
      <c r="AG445" s="3">
        <f t="shared" si="12"/>
        <v>-0.02325581395</v>
      </c>
    </row>
    <row r="446">
      <c r="A446" s="1" t="s">
        <v>14</v>
      </c>
      <c r="B446" s="1" t="s">
        <v>260</v>
      </c>
      <c r="C446" s="1" t="s">
        <v>21</v>
      </c>
      <c r="D446" s="1" t="s">
        <v>147</v>
      </c>
      <c r="E446" s="1" t="s">
        <v>146</v>
      </c>
      <c r="F446" s="1" t="s">
        <v>59</v>
      </c>
      <c r="G446" s="1">
        <v>1.5</v>
      </c>
      <c r="H446" s="1" t="s">
        <v>60</v>
      </c>
      <c r="I446" s="1">
        <v>177.0</v>
      </c>
      <c r="J446" s="1">
        <v>0.0335891696750902</v>
      </c>
      <c r="K446" s="1" t="s">
        <v>61</v>
      </c>
      <c r="L446" s="1" t="s">
        <v>61</v>
      </c>
      <c r="M446" s="1" t="s">
        <v>62</v>
      </c>
      <c r="N446" s="1">
        <v>-241.0</v>
      </c>
      <c r="O446" s="1">
        <v>-0.10134486803519</v>
      </c>
      <c r="P446" s="1" t="s">
        <v>61</v>
      </c>
      <c r="Q446" s="1" t="s">
        <v>61</v>
      </c>
      <c r="R446" s="1">
        <f t="shared" si="1"/>
        <v>0.03358916968</v>
      </c>
      <c r="S446" s="1">
        <f t="shared" si="2"/>
        <v>177</v>
      </c>
      <c r="T446" s="1">
        <f t="shared" si="3"/>
        <v>2.77</v>
      </c>
      <c r="U446" s="1">
        <f t="shared" si="4"/>
        <v>1</v>
      </c>
      <c r="V446" s="3">
        <f t="shared" si="5"/>
        <v>1</v>
      </c>
      <c r="W446" s="3">
        <f t="shared" si="6"/>
        <v>1</v>
      </c>
      <c r="X446" s="3" t="str">
        <f>IFERROR(__xludf.DUMMYFUNCTION("split(B446,"" "")"),"D.")</f>
        <v>D.</v>
      </c>
      <c r="Y446" s="3" t="str">
        <f>IFERROR(__xludf.DUMMYFUNCTION("""COMPUTED_VALUE"""),"Jones")</f>
        <v>Jones</v>
      </c>
      <c r="AA446" s="3">
        <v>0.0</v>
      </c>
      <c r="AB446" s="3">
        <f t="shared" si="7"/>
        <v>0</v>
      </c>
      <c r="AC446" s="3">
        <f t="shared" si="8"/>
        <v>0</v>
      </c>
      <c r="AD446" s="3">
        <f t="shared" si="9"/>
        <v>1.77</v>
      </c>
      <c r="AE446" s="3">
        <f t="shared" si="10"/>
        <v>-1</v>
      </c>
      <c r="AG446" s="3">
        <f t="shared" si="12"/>
        <v>-1</v>
      </c>
    </row>
    <row r="447">
      <c r="A447" s="1" t="s">
        <v>11</v>
      </c>
      <c r="B447" s="1" t="s">
        <v>487</v>
      </c>
      <c r="C447" s="1" t="s">
        <v>18</v>
      </c>
      <c r="D447" s="1" t="s">
        <v>157</v>
      </c>
      <c r="E447" s="1" t="s">
        <v>156</v>
      </c>
      <c r="F447" s="1" t="s">
        <v>158</v>
      </c>
      <c r="G447" s="1">
        <v>41.5</v>
      </c>
      <c r="H447" s="1" t="s">
        <v>60</v>
      </c>
      <c r="I447" s="1">
        <v>-116.0</v>
      </c>
      <c r="J447" s="6">
        <v>-0.0942328683779629</v>
      </c>
      <c r="K447" s="1" t="s">
        <v>61</v>
      </c>
      <c r="L447" s="1" t="s">
        <v>61</v>
      </c>
      <c r="M447" s="1" t="s">
        <v>62</v>
      </c>
      <c r="N447" s="1">
        <v>-110.0</v>
      </c>
      <c r="O447" s="6">
        <v>0.0333973268906665</v>
      </c>
      <c r="P447" s="1" t="s">
        <v>61</v>
      </c>
      <c r="Q447" s="1" t="s">
        <v>61</v>
      </c>
      <c r="R447" s="6">
        <f t="shared" si="1"/>
        <v>0.03339732689</v>
      </c>
      <c r="S447" s="1">
        <f t="shared" si="2"/>
        <v>-110</v>
      </c>
      <c r="T447" s="1">
        <f t="shared" si="3"/>
        <v>1.909090909</v>
      </c>
      <c r="U447" s="1">
        <f t="shared" si="4"/>
        <v>0</v>
      </c>
      <c r="V447" s="3">
        <f t="shared" si="5"/>
        <v>1</v>
      </c>
      <c r="W447" s="3">
        <f t="shared" si="6"/>
        <v>2</v>
      </c>
      <c r="X447" s="3" t="str">
        <f>IFERROR(__xludf.DUMMYFUNCTION("split(B447,"" "")"),"J.")</f>
        <v>J.</v>
      </c>
      <c r="Y447" s="3" t="str">
        <f>IFERROR(__xludf.DUMMYFUNCTION("""COMPUTED_VALUE"""),"Reed")</f>
        <v>Reed</v>
      </c>
      <c r="AA447" s="3">
        <v>138.0</v>
      </c>
      <c r="AB447" s="3">
        <f t="shared" si="7"/>
        <v>1</v>
      </c>
      <c r="AC447" s="3">
        <f t="shared" si="8"/>
        <v>0</v>
      </c>
      <c r="AD447" s="3">
        <f t="shared" si="9"/>
        <v>0.9090909091</v>
      </c>
      <c r="AE447" s="3">
        <f t="shared" si="10"/>
        <v>-1</v>
      </c>
      <c r="AG447" s="3">
        <f t="shared" si="12"/>
        <v>-2.325301205</v>
      </c>
    </row>
    <row r="448">
      <c r="A448" s="1" t="s">
        <v>17</v>
      </c>
      <c r="B448" s="1" t="s">
        <v>145</v>
      </c>
      <c r="C448" s="1" t="s">
        <v>21</v>
      </c>
      <c r="D448" s="1" t="s">
        <v>146</v>
      </c>
      <c r="E448" s="1" t="s">
        <v>147</v>
      </c>
      <c r="F448" s="1" t="s">
        <v>59</v>
      </c>
      <c r="G448" s="1">
        <v>0.5</v>
      </c>
      <c r="H448" s="1" t="s">
        <v>60</v>
      </c>
      <c r="I448" s="1">
        <v>-136.0</v>
      </c>
      <c r="J448" s="1">
        <v>-0.109171186440678</v>
      </c>
      <c r="K448" s="1" t="s">
        <v>61</v>
      </c>
      <c r="L448" s="1" t="s">
        <v>61</v>
      </c>
      <c r="M448" s="1" t="s">
        <v>62</v>
      </c>
      <c r="N448" s="1">
        <v>100.0</v>
      </c>
      <c r="O448" s="1">
        <v>0.0329</v>
      </c>
      <c r="P448" s="1" t="s">
        <v>61</v>
      </c>
      <c r="Q448" s="1" t="s">
        <v>61</v>
      </c>
      <c r="R448" s="1">
        <f t="shared" si="1"/>
        <v>0.0329</v>
      </c>
      <c r="S448" s="1">
        <f t="shared" si="2"/>
        <v>100</v>
      </c>
      <c r="T448" s="1">
        <f t="shared" si="3"/>
        <v>2</v>
      </c>
      <c r="U448" s="1">
        <f t="shared" si="4"/>
        <v>0</v>
      </c>
      <c r="V448" s="3">
        <f t="shared" si="5"/>
        <v>1</v>
      </c>
      <c r="W448" s="3">
        <f t="shared" si="6"/>
        <v>2</v>
      </c>
      <c r="X448" s="3" t="str">
        <f>IFERROR(__xludf.DUMMYFUNCTION("split(B448,"" "")"),"S.")</f>
        <v>S.</v>
      </c>
      <c r="Y448" s="3" t="str">
        <f>IFERROR(__xludf.DUMMYFUNCTION("""COMPUTED_VALUE"""),"Darnold")</f>
        <v>Darnold</v>
      </c>
      <c r="AA448" s="3">
        <v>1.0</v>
      </c>
      <c r="AB448" s="3">
        <f t="shared" si="7"/>
        <v>1</v>
      </c>
      <c r="AC448" s="3">
        <f t="shared" si="8"/>
        <v>0</v>
      </c>
      <c r="AD448" s="3">
        <f t="shared" si="9"/>
        <v>1</v>
      </c>
      <c r="AE448" s="3">
        <f t="shared" si="10"/>
        <v>-1</v>
      </c>
      <c r="AG448" s="3">
        <f t="shared" si="12"/>
        <v>-1</v>
      </c>
    </row>
    <row r="449">
      <c r="A449" s="1" t="s">
        <v>11</v>
      </c>
      <c r="B449" s="1" t="s">
        <v>488</v>
      </c>
      <c r="C449" s="1" t="s">
        <v>20</v>
      </c>
      <c r="D449" s="1" t="s">
        <v>114</v>
      </c>
      <c r="E449" s="1" t="s">
        <v>113</v>
      </c>
      <c r="F449" s="1" t="s">
        <v>90</v>
      </c>
      <c r="G449" s="1">
        <v>26.5</v>
      </c>
      <c r="H449" s="1" t="s">
        <v>60</v>
      </c>
      <c r="I449" s="1">
        <v>-115.0</v>
      </c>
      <c r="J449" s="1">
        <v>-0.101785866420837</v>
      </c>
      <c r="K449" s="1" t="s">
        <v>61</v>
      </c>
      <c r="L449" s="1" t="s">
        <v>61</v>
      </c>
      <c r="M449" s="1" t="s">
        <v>62</v>
      </c>
      <c r="N449" s="1">
        <v>-115.0</v>
      </c>
      <c r="O449" s="1">
        <v>0.0320637463839628</v>
      </c>
      <c r="P449" s="1" t="s">
        <v>61</v>
      </c>
      <c r="Q449" s="1" t="s">
        <v>61</v>
      </c>
      <c r="R449" s="1">
        <f t="shared" si="1"/>
        <v>0.03206374638</v>
      </c>
      <c r="S449" s="1">
        <f t="shared" si="2"/>
        <v>-115</v>
      </c>
      <c r="T449" s="1">
        <f t="shared" si="3"/>
        <v>1.869565217</v>
      </c>
      <c r="U449" s="1">
        <f t="shared" si="4"/>
        <v>0</v>
      </c>
      <c r="V449" s="3">
        <f t="shared" si="5"/>
        <v>1</v>
      </c>
      <c r="W449" s="3">
        <f t="shared" si="6"/>
        <v>2</v>
      </c>
      <c r="X449" s="3" t="str">
        <f>IFERROR(__xludf.DUMMYFUNCTION("split(B449,"" "")"),"Z.")</f>
        <v>Z.</v>
      </c>
      <c r="Y449" s="3" t="str">
        <f>IFERROR(__xludf.DUMMYFUNCTION("""COMPUTED_VALUE"""),"Ertz")</f>
        <v>Ertz</v>
      </c>
      <c r="AA449" s="3">
        <v>28.0</v>
      </c>
      <c r="AB449" s="3">
        <f t="shared" si="7"/>
        <v>1</v>
      </c>
      <c r="AC449" s="3">
        <f t="shared" si="8"/>
        <v>0</v>
      </c>
      <c r="AD449" s="3">
        <f t="shared" si="9"/>
        <v>0.8695652174</v>
      </c>
      <c r="AE449" s="3">
        <f t="shared" si="10"/>
        <v>-1</v>
      </c>
      <c r="AG449" s="3">
        <f t="shared" si="12"/>
        <v>-0.05660377358</v>
      </c>
    </row>
    <row r="450">
      <c r="A450" s="1" t="s">
        <v>12</v>
      </c>
      <c r="B450" s="1" t="s">
        <v>489</v>
      </c>
      <c r="C450" s="1" t="s">
        <v>20</v>
      </c>
      <c r="D450" s="1" t="s">
        <v>110</v>
      </c>
      <c r="E450" s="1" t="s">
        <v>109</v>
      </c>
      <c r="F450" s="1" t="s">
        <v>59</v>
      </c>
      <c r="G450" s="1">
        <v>3.5</v>
      </c>
      <c r="H450" s="1" t="s">
        <v>60</v>
      </c>
      <c r="I450" s="1">
        <v>122.0</v>
      </c>
      <c r="J450" s="1">
        <v>-0.0975054054054054</v>
      </c>
      <c r="K450" s="1" t="s">
        <v>61</v>
      </c>
      <c r="L450" s="1" t="s">
        <v>61</v>
      </c>
      <c r="M450" s="1" t="s">
        <v>62</v>
      </c>
      <c r="N450" s="1">
        <v>-160.0</v>
      </c>
      <c r="O450" s="1">
        <v>0.031676923076923</v>
      </c>
      <c r="P450" s="1" t="s">
        <v>61</v>
      </c>
      <c r="Q450" s="1" t="s">
        <v>61</v>
      </c>
      <c r="R450" s="1">
        <f t="shared" si="1"/>
        <v>0.03167692308</v>
      </c>
      <c r="S450" s="1">
        <f t="shared" si="2"/>
        <v>-160</v>
      </c>
      <c r="T450" s="1">
        <f t="shared" si="3"/>
        <v>1.625</v>
      </c>
      <c r="U450" s="1">
        <f t="shared" si="4"/>
        <v>0</v>
      </c>
      <c r="V450" s="3">
        <f t="shared" si="5"/>
        <v>1</v>
      </c>
      <c r="W450" s="3">
        <f t="shared" si="6"/>
        <v>3</v>
      </c>
      <c r="X450" s="3" t="str">
        <f>IFERROR(__xludf.DUMMYFUNCTION("split(B450,"" "")"),"P.")</f>
        <v>P.</v>
      </c>
      <c r="Y450" s="3" t="str">
        <f>IFERROR(__xludf.DUMMYFUNCTION("""COMPUTED_VALUE"""),"Freiermuth")</f>
        <v>Freiermuth</v>
      </c>
      <c r="AA450" s="3">
        <v>4.0</v>
      </c>
      <c r="AB450" s="3">
        <f t="shared" si="7"/>
        <v>1</v>
      </c>
      <c r="AC450" s="3">
        <f t="shared" si="8"/>
        <v>0</v>
      </c>
      <c r="AD450" s="3">
        <f t="shared" si="9"/>
        <v>0.625</v>
      </c>
      <c r="AE450" s="3">
        <f t="shared" si="10"/>
        <v>-1</v>
      </c>
      <c r="AG450" s="3">
        <f t="shared" si="12"/>
        <v>-0.1428571429</v>
      </c>
    </row>
    <row r="451">
      <c r="A451" s="1" t="s">
        <v>9</v>
      </c>
      <c r="B451" s="1" t="s">
        <v>245</v>
      </c>
      <c r="C451" s="1" t="s">
        <v>18</v>
      </c>
      <c r="D451" s="1" t="s">
        <v>157</v>
      </c>
      <c r="E451" s="1" t="s">
        <v>156</v>
      </c>
      <c r="F451" s="1" t="s">
        <v>158</v>
      </c>
      <c r="G451" s="1">
        <v>30.0</v>
      </c>
      <c r="H451" s="1" t="s">
        <v>60</v>
      </c>
      <c r="I451" s="1">
        <v>-119.0</v>
      </c>
      <c r="J451" s="6">
        <v>0.0308949369330474</v>
      </c>
      <c r="K451" s="1" t="s">
        <v>61</v>
      </c>
      <c r="L451" s="1" t="s">
        <v>61</v>
      </c>
      <c r="M451" s="1" t="s">
        <v>62</v>
      </c>
      <c r="N451" s="1">
        <v>-114.0</v>
      </c>
      <c r="O451" s="6">
        <v>-0.106080037171516</v>
      </c>
      <c r="P451" s="1" t="s">
        <v>61</v>
      </c>
      <c r="Q451" s="1" t="s">
        <v>61</v>
      </c>
      <c r="R451" s="6">
        <f t="shared" si="1"/>
        <v>0.03089493693</v>
      </c>
      <c r="S451" s="1">
        <f t="shared" si="2"/>
        <v>-119</v>
      </c>
      <c r="T451" s="1">
        <f t="shared" si="3"/>
        <v>1.840336134</v>
      </c>
      <c r="U451" s="1">
        <f t="shared" si="4"/>
        <v>1</v>
      </c>
      <c r="V451" s="3">
        <f t="shared" si="5"/>
        <v>1</v>
      </c>
      <c r="W451" s="3">
        <f t="shared" si="6"/>
        <v>3</v>
      </c>
      <c r="X451" s="3" t="str">
        <f>IFERROR(__xludf.DUMMYFUNCTION("split(B451,"" "")"),"D.")</f>
        <v>D.</v>
      </c>
      <c r="Y451" s="3" t="str">
        <f>IFERROR(__xludf.DUMMYFUNCTION("""COMPUTED_VALUE"""),"Wicks")</f>
        <v>Wicks</v>
      </c>
      <c r="AA451" s="3">
        <v>0.0</v>
      </c>
      <c r="AB451" s="3">
        <f t="shared" si="7"/>
        <v>0</v>
      </c>
      <c r="AC451" s="3">
        <f t="shared" si="8"/>
        <v>0</v>
      </c>
      <c r="AD451" s="3">
        <f t="shared" si="9"/>
        <v>0.8403361345</v>
      </c>
      <c r="AE451" s="3">
        <f t="shared" si="10"/>
        <v>-1</v>
      </c>
      <c r="AG451" s="3">
        <f t="shared" si="12"/>
        <v>-1</v>
      </c>
    </row>
    <row r="452">
      <c r="A452" s="1" t="s">
        <v>12</v>
      </c>
      <c r="B452" s="1" t="s">
        <v>349</v>
      </c>
      <c r="C452" s="1" t="s">
        <v>20</v>
      </c>
      <c r="D452" s="1" t="s">
        <v>105</v>
      </c>
      <c r="E452" s="1" t="s">
        <v>104</v>
      </c>
      <c r="F452" s="1" t="s">
        <v>59</v>
      </c>
      <c r="G452" s="1">
        <v>5.5</v>
      </c>
      <c r="H452" s="1" t="s">
        <v>60</v>
      </c>
      <c r="I452" s="1">
        <v>-101.0</v>
      </c>
      <c r="J452" s="1">
        <v>0.0301626865671641</v>
      </c>
      <c r="K452" s="1" t="s">
        <v>61</v>
      </c>
      <c r="L452" s="1" t="s">
        <v>61</v>
      </c>
      <c r="M452" s="1" t="s">
        <v>62</v>
      </c>
      <c r="N452" s="1">
        <v>-132.0</v>
      </c>
      <c r="O452" s="1">
        <v>-0.101608620689655</v>
      </c>
      <c r="P452" s="1" t="s">
        <v>61</v>
      </c>
      <c r="Q452" s="1" t="s">
        <v>61</v>
      </c>
      <c r="R452" s="1">
        <f t="shared" si="1"/>
        <v>0.03016268657</v>
      </c>
      <c r="S452" s="1">
        <f t="shared" si="2"/>
        <v>-101</v>
      </c>
      <c r="T452" s="1">
        <f t="shared" si="3"/>
        <v>1.99009901</v>
      </c>
      <c r="U452" s="1">
        <f t="shared" si="4"/>
        <v>1</v>
      </c>
      <c r="V452" s="3">
        <f t="shared" si="5"/>
        <v>1</v>
      </c>
      <c r="W452" s="3">
        <f t="shared" si="6"/>
        <v>2</v>
      </c>
      <c r="X452" s="3" t="str">
        <f>IFERROR(__xludf.DUMMYFUNCTION("split(B452,"" "")"),"T.")</f>
        <v>T.</v>
      </c>
      <c r="Y452" s="3" t="str">
        <f>IFERROR(__xludf.DUMMYFUNCTION("""COMPUTED_VALUE"""),"McBride")</f>
        <v>McBride</v>
      </c>
      <c r="AA452" s="3">
        <v>5.0</v>
      </c>
      <c r="AB452" s="3">
        <f t="shared" si="7"/>
        <v>0</v>
      </c>
      <c r="AC452" s="3">
        <f t="shared" si="8"/>
        <v>0</v>
      </c>
      <c r="AD452" s="3">
        <f t="shared" si="9"/>
        <v>0.9900990099</v>
      </c>
      <c r="AE452" s="3">
        <f t="shared" si="10"/>
        <v>-1</v>
      </c>
      <c r="AG452" s="3">
        <f t="shared" si="12"/>
        <v>-0.09090909091</v>
      </c>
    </row>
    <row r="453">
      <c r="A453" s="1" t="s">
        <v>11</v>
      </c>
      <c r="B453" s="1" t="s">
        <v>435</v>
      </c>
      <c r="C453" s="1" t="s">
        <v>20</v>
      </c>
      <c r="D453" s="1" t="s">
        <v>89</v>
      </c>
      <c r="E453" s="1" t="s">
        <v>88</v>
      </c>
      <c r="F453" s="1" t="s">
        <v>90</v>
      </c>
      <c r="G453" s="1">
        <v>43.5</v>
      </c>
      <c r="H453" s="1" t="s">
        <v>60</v>
      </c>
      <c r="I453" s="1">
        <v>-110.0</v>
      </c>
      <c r="J453" s="1">
        <v>-0.0986687956742856</v>
      </c>
      <c r="K453" s="1" t="s">
        <v>61</v>
      </c>
      <c r="L453" s="1" t="s">
        <v>61</v>
      </c>
      <c r="M453" s="1" t="s">
        <v>62</v>
      </c>
      <c r="N453" s="1">
        <v>-120.0</v>
      </c>
      <c r="O453" s="1">
        <v>0.0293826767658181</v>
      </c>
      <c r="P453" s="1" t="s">
        <v>61</v>
      </c>
      <c r="Q453" s="1" t="s">
        <v>61</v>
      </c>
      <c r="R453" s="1">
        <f t="shared" si="1"/>
        <v>0.02938267677</v>
      </c>
      <c r="S453" s="1">
        <f t="shared" si="2"/>
        <v>-120</v>
      </c>
      <c r="T453" s="1">
        <f t="shared" si="3"/>
        <v>1.833333333</v>
      </c>
      <c r="U453" s="1">
        <f t="shared" si="4"/>
        <v>0</v>
      </c>
      <c r="V453" s="3">
        <f t="shared" si="5"/>
        <v>1</v>
      </c>
      <c r="W453" s="3">
        <f t="shared" si="6"/>
        <v>3</v>
      </c>
      <c r="X453" s="3" t="str">
        <f>IFERROR(__xludf.DUMMYFUNCTION("split(B453,"" "")"),"D.")</f>
        <v>D.</v>
      </c>
      <c r="Y453" s="3" t="str">
        <f>IFERROR(__xludf.DUMMYFUNCTION("""COMPUTED_VALUE"""),"Njoku")</f>
        <v>Njoku</v>
      </c>
      <c r="AA453" s="3">
        <v>44.0</v>
      </c>
      <c r="AB453" s="3">
        <f t="shared" si="7"/>
        <v>1</v>
      </c>
      <c r="AC453" s="3">
        <f t="shared" si="8"/>
        <v>0</v>
      </c>
      <c r="AD453" s="3">
        <f t="shared" si="9"/>
        <v>0.8333333333</v>
      </c>
      <c r="AE453" s="3">
        <f t="shared" si="10"/>
        <v>-1</v>
      </c>
      <c r="AG453" s="3">
        <f t="shared" si="12"/>
        <v>-0.01149425287</v>
      </c>
    </row>
    <row r="454">
      <c r="A454" s="1" t="s">
        <v>10</v>
      </c>
      <c r="B454" s="1" t="s">
        <v>328</v>
      </c>
      <c r="C454" s="1" t="s">
        <v>21</v>
      </c>
      <c r="D454" s="1" t="s">
        <v>109</v>
      </c>
      <c r="E454" s="1" t="s">
        <v>110</v>
      </c>
      <c r="F454" s="1" t="s">
        <v>59</v>
      </c>
      <c r="G454" s="1">
        <v>2.5</v>
      </c>
      <c r="H454" s="1" t="s">
        <v>60</v>
      </c>
      <c r="I454" s="1">
        <v>-123.0</v>
      </c>
      <c r="J454" s="1">
        <v>0.0292821166390377</v>
      </c>
      <c r="K454" s="1" t="s">
        <v>61</v>
      </c>
      <c r="L454" s="1" t="s">
        <v>61</v>
      </c>
      <c r="M454" s="1" t="s">
        <v>62</v>
      </c>
      <c r="N454" s="1">
        <v>-108.0</v>
      </c>
      <c r="O454" s="1">
        <v>-0.100074754669939</v>
      </c>
      <c r="P454" s="1" t="s">
        <v>61</v>
      </c>
      <c r="Q454" s="1" t="s">
        <v>61</v>
      </c>
      <c r="R454" s="1">
        <f t="shared" si="1"/>
        <v>0.02928211664</v>
      </c>
      <c r="S454" s="1">
        <f t="shared" si="2"/>
        <v>-123</v>
      </c>
      <c r="T454" s="1">
        <f t="shared" si="3"/>
        <v>1.81300813</v>
      </c>
      <c r="U454" s="1">
        <f t="shared" si="4"/>
        <v>1</v>
      </c>
      <c r="V454" s="3">
        <f t="shared" si="5"/>
        <v>1</v>
      </c>
      <c r="W454" s="3">
        <f t="shared" si="6"/>
        <v>3</v>
      </c>
      <c r="X454" s="3" t="str">
        <f>IFERROR(__xludf.DUMMYFUNCTION("split(B454,"" "")"),"K.")</f>
        <v>K.</v>
      </c>
      <c r="Y454" s="3" t="str">
        <f>IFERROR(__xludf.DUMMYFUNCTION("""COMPUTED_VALUE"""),"Cousins")</f>
        <v>Cousins</v>
      </c>
      <c r="AA454" s="3">
        <v>0.0</v>
      </c>
      <c r="AB454" s="3">
        <f t="shared" si="7"/>
        <v>0</v>
      </c>
      <c r="AC454" s="3">
        <f t="shared" si="8"/>
        <v>0</v>
      </c>
      <c r="AD454" s="3">
        <f t="shared" si="9"/>
        <v>0.8130081301</v>
      </c>
      <c r="AE454" s="3">
        <f t="shared" si="10"/>
        <v>-1</v>
      </c>
      <c r="AG454" s="3">
        <f t="shared" si="12"/>
        <v>-1</v>
      </c>
    </row>
    <row r="455">
      <c r="A455" s="1" t="s">
        <v>11</v>
      </c>
      <c r="B455" s="1" t="s">
        <v>482</v>
      </c>
      <c r="C455" s="1" t="s">
        <v>18</v>
      </c>
      <c r="D455" s="1" t="s">
        <v>157</v>
      </c>
      <c r="E455" s="1" t="s">
        <v>156</v>
      </c>
      <c r="F455" s="1" t="s">
        <v>158</v>
      </c>
      <c r="G455" s="1">
        <v>39.5</v>
      </c>
      <c r="H455" s="1" t="s">
        <v>60</v>
      </c>
      <c r="I455" s="1">
        <v>-112.0</v>
      </c>
      <c r="J455" s="6">
        <v>-0.0878525085329245</v>
      </c>
      <c r="K455" s="1" t="s">
        <v>61</v>
      </c>
      <c r="L455" s="1" t="s">
        <v>61</v>
      </c>
      <c r="M455" s="1" t="s">
        <v>62</v>
      </c>
      <c r="N455" s="1">
        <v>-113.0</v>
      </c>
      <c r="O455" s="6">
        <v>0.0290150699138264</v>
      </c>
      <c r="P455" s="1" t="s">
        <v>61</v>
      </c>
      <c r="Q455" s="1" t="s">
        <v>61</v>
      </c>
      <c r="R455" s="6">
        <f t="shared" si="1"/>
        <v>0.02901506991</v>
      </c>
      <c r="S455" s="1">
        <f t="shared" si="2"/>
        <v>-113</v>
      </c>
      <c r="T455" s="1">
        <f t="shared" si="3"/>
        <v>1.884955752</v>
      </c>
      <c r="U455" s="1">
        <f t="shared" si="4"/>
        <v>0</v>
      </c>
      <c r="V455" s="3">
        <f t="shared" si="5"/>
        <v>1</v>
      </c>
      <c r="W455" s="3">
        <f t="shared" si="6"/>
        <v>2</v>
      </c>
      <c r="X455" s="3" t="str">
        <f>IFERROR(__xludf.DUMMYFUNCTION("split(B455,"" "")"),"R.")</f>
        <v>R.</v>
      </c>
      <c r="Y455" s="3" t="str">
        <f>IFERROR(__xludf.DUMMYFUNCTION("""COMPUTED_VALUE"""),"Doubs")</f>
        <v>Doubs</v>
      </c>
      <c r="AA455" s="3">
        <v>50.0</v>
      </c>
      <c r="AB455" s="3">
        <f t="shared" si="7"/>
        <v>1</v>
      </c>
      <c r="AC455" s="3">
        <f t="shared" si="8"/>
        <v>0</v>
      </c>
      <c r="AD455" s="3">
        <f t="shared" si="9"/>
        <v>0.8849557522</v>
      </c>
      <c r="AE455" s="3">
        <f t="shared" si="10"/>
        <v>-1</v>
      </c>
      <c r="AG455" s="3">
        <f t="shared" si="12"/>
        <v>-0.2658227848</v>
      </c>
    </row>
    <row r="456">
      <c r="A456" s="1" t="s">
        <v>12</v>
      </c>
      <c r="B456" s="1" t="s">
        <v>452</v>
      </c>
      <c r="C456" s="1" t="s">
        <v>18</v>
      </c>
      <c r="D456" s="1" t="s">
        <v>105</v>
      </c>
      <c r="E456" s="1" t="s">
        <v>104</v>
      </c>
      <c r="F456" s="1" t="s">
        <v>59</v>
      </c>
      <c r="G456" s="1">
        <v>5.5</v>
      </c>
      <c r="H456" s="1" t="s">
        <v>60</v>
      </c>
      <c r="I456" s="1">
        <v>107.0</v>
      </c>
      <c r="J456" s="1">
        <v>0.0267082125603865</v>
      </c>
      <c r="K456" s="1" t="s">
        <v>61</v>
      </c>
      <c r="L456" s="1" t="s">
        <v>61</v>
      </c>
      <c r="M456" s="1" t="s">
        <v>62</v>
      </c>
      <c r="N456" s="1">
        <v>-141.0</v>
      </c>
      <c r="O456" s="1">
        <v>-0.0948622406639003</v>
      </c>
      <c r="P456" s="1" t="s">
        <v>61</v>
      </c>
      <c r="Q456" s="1" t="s">
        <v>61</v>
      </c>
      <c r="R456" s="1">
        <f t="shared" si="1"/>
        <v>0.02670821256</v>
      </c>
      <c r="S456" s="1">
        <f t="shared" si="2"/>
        <v>107</v>
      </c>
      <c r="T456" s="1">
        <f t="shared" si="3"/>
        <v>2.07</v>
      </c>
      <c r="U456" s="1">
        <f t="shared" si="4"/>
        <v>1</v>
      </c>
      <c r="V456" s="3">
        <f t="shared" si="5"/>
        <v>1</v>
      </c>
      <c r="W456" s="3">
        <f t="shared" si="6"/>
        <v>2</v>
      </c>
      <c r="X456" s="3" t="str">
        <f>IFERROR(__xludf.DUMMYFUNCTION("split(B456,"" "")"),"M.")</f>
        <v>M.</v>
      </c>
      <c r="Y456" s="3" t="str">
        <f>IFERROR(__xludf.DUMMYFUNCTION("""COMPUTED_VALUE"""),"Harrison")</f>
        <v>Harrison</v>
      </c>
      <c r="Z456" s="3" t="str">
        <f>IFERROR(__xludf.DUMMYFUNCTION("""COMPUTED_VALUE"""),"Jr.")</f>
        <v>Jr.</v>
      </c>
      <c r="AA456" s="3">
        <v>1.0</v>
      </c>
      <c r="AB456" s="3">
        <f t="shared" si="7"/>
        <v>0</v>
      </c>
      <c r="AC456" s="3">
        <f t="shared" si="8"/>
        <v>0</v>
      </c>
      <c r="AD456" s="3">
        <f t="shared" si="9"/>
        <v>1.07</v>
      </c>
      <c r="AE456" s="3">
        <f t="shared" si="10"/>
        <v>-1</v>
      </c>
      <c r="AG456" s="3">
        <f t="shared" si="12"/>
        <v>-0.8181818182</v>
      </c>
    </row>
    <row r="457">
      <c r="A457" s="1" t="s">
        <v>11</v>
      </c>
      <c r="B457" s="1" t="s">
        <v>239</v>
      </c>
      <c r="C457" s="1" t="s">
        <v>18</v>
      </c>
      <c r="D457" s="1" t="s">
        <v>77</v>
      </c>
      <c r="E457" s="1" t="s">
        <v>76</v>
      </c>
      <c r="F457" s="1" t="s">
        <v>78</v>
      </c>
      <c r="G457" s="1">
        <v>30.5</v>
      </c>
      <c r="H457" s="1" t="s">
        <v>60</v>
      </c>
      <c r="I457" s="1">
        <v>-115.0</v>
      </c>
      <c r="J457" s="6">
        <v>-0.0917307988804186</v>
      </c>
      <c r="K457" s="1" t="s">
        <v>61</v>
      </c>
      <c r="L457" s="1" t="s">
        <v>61</v>
      </c>
      <c r="M457" s="1" t="s">
        <v>62</v>
      </c>
      <c r="N457" s="1">
        <v>-113.0</v>
      </c>
      <c r="O457" s="6">
        <v>0.0263784876139798</v>
      </c>
      <c r="P457" s="1" t="s">
        <v>61</v>
      </c>
      <c r="Q457" s="1" t="s">
        <v>61</v>
      </c>
      <c r="R457" s="6">
        <f t="shared" si="1"/>
        <v>0.02637848761</v>
      </c>
      <c r="S457" s="1">
        <f t="shared" si="2"/>
        <v>-113</v>
      </c>
      <c r="T457" s="1">
        <f t="shared" si="3"/>
        <v>1.884955752</v>
      </c>
      <c r="U457" s="1">
        <f t="shared" si="4"/>
        <v>0</v>
      </c>
      <c r="V457" s="3">
        <f t="shared" si="5"/>
        <v>1</v>
      </c>
      <c r="W457" s="3">
        <f t="shared" si="6"/>
        <v>2</v>
      </c>
      <c r="X457" s="3" t="str">
        <f>IFERROR(__xludf.DUMMYFUNCTION("split(B457,"" "")"),"R.")</f>
        <v>R.</v>
      </c>
      <c r="Y457" s="3" t="str">
        <f>IFERROR(__xludf.DUMMYFUNCTION("""COMPUTED_VALUE"""),"Bateman")</f>
        <v>Bateman</v>
      </c>
      <c r="AA457" s="3">
        <v>53.0</v>
      </c>
      <c r="AB457" s="3">
        <f t="shared" si="7"/>
        <v>1</v>
      </c>
      <c r="AC457" s="3">
        <f t="shared" si="8"/>
        <v>0</v>
      </c>
      <c r="AD457" s="3">
        <f t="shared" si="9"/>
        <v>0.8849557522</v>
      </c>
      <c r="AE457" s="3">
        <f t="shared" si="10"/>
        <v>-1</v>
      </c>
      <c r="AG457" s="3">
        <f t="shared" si="12"/>
        <v>-0.737704918</v>
      </c>
    </row>
    <row r="458">
      <c r="A458" s="1" t="s">
        <v>10</v>
      </c>
      <c r="B458" s="1" t="s">
        <v>155</v>
      </c>
      <c r="C458" s="1" t="s">
        <v>19</v>
      </c>
      <c r="D458" s="1" t="s">
        <v>156</v>
      </c>
      <c r="E458" s="1" t="s">
        <v>157</v>
      </c>
      <c r="F458" s="1" t="s">
        <v>158</v>
      </c>
      <c r="G458" s="1">
        <v>64.5</v>
      </c>
      <c r="H458" s="1" t="s">
        <v>60</v>
      </c>
      <c r="I458" s="1">
        <v>-113.0</v>
      </c>
      <c r="J458" s="6">
        <v>-0.087262732579902</v>
      </c>
      <c r="K458" s="1" t="s">
        <v>61</v>
      </c>
      <c r="L458" s="1" t="s">
        <v>61</v>
      </c>
      <c r="M458" s="1" t="s">
        <v>62</v>
      </c>
      <c r="N458" s="1">
        <v>-113.0</v>
      </c>
      <c r="O458" s="6">
        <v>0.0262225764685394</v>
      </c>
      <c r="P458" s="1" t="s">
        <v>61</v>
      </c>
      <c r="Q458" s="1" t="s">
        <v>61</v>
      </c>
      <c r="R458" s="6">
        <f t="shared" si="1"/>
        <v>0.02622257647</v>
      </c>
      <c r="S458" s="1">
        <f t="shared" si="2"/>
        <v>-113</v>
      </c>
      <c r="T458" s="1">
        <f t="shared" si="3"/>
        <v>1.884955752</v>
      </c>
      <c r="U458" s="1">
        <f t="shared" si="4"/>
        <v>0</v>
      </c>
      <c r="V458" s="3">
        <f t="shared" si="5"/>
        <v>1</v>
      </c>
      <c r="W458" s="3">
        <f t="shared" si="6"/>
        <v>2</v>
      </c>
      <c r="X458" s="3" t="str">
        <f>IFERROR(__xludf.DUMMYFUNCTION("split(B458,"" "")"),"S.")</f>
        <v>S.</v>
      </c>
      <c r="Y458" s="3" t="str">
        <f>IFERROR(__xludf.DUMMYFUNCTION("""COMPUTED_VALUE"""),"Barkley")</f>
        <v>Barkley</v>
      </c>
      <c r="AA458" s="3">
        <v>109.0</v>
      </c>
      <c r="AB458" s="3">
        <f t="shared" si="7"/>
        <v>1</v>
      </c>
      <c r="AC458" s="3">
        <f t="shared" si="8"/>
        <v>0</v>
      </c>
      <c r="AD458" s="3">
        <f t="shared" si="9"/>
        <v>0.8849557522</v>
      </c>
      <c r="AE458" s="3">
        <f t="shared" si="10"/>
        <v>-1</v>
      </c>
      <c r="AG458" s="3">
        <f t="shared" si="12"/>
        <v>-0.6899224806</v>
      </c>
    </row>
    <row r="459">
      <c r="A459" s="1" t="s">
        <v>9</v>
      </c>
      <c r="B459" s="1" t="s">
        <v>103</v>
      </c>
      <c r="C459" s="1" t="s">
        <v>18</v>
      </c>
      <c r="D459" s="1" t="s">
        <v>104</v>
      </c>
      <c r="E459" s="1" t="s">
        <v>105</v>
      </c>
      <c r="F459" s="1" t="s">
        <v>59</v>
      </c>
      <c r="G459" s="1">
        <v>31.5</v>
      </c>
      <c r="H459" s="1" t="s">
        <v>60</v>
      </c>
      <c r="I459" s="1">
        <v>-120.0</v>
      </c>
      <c r="J459" s="1">
        <v>0.025510793641524</v>
      </c>
      <c r="K459" s="1" t="s">
        <v>61</v>
      </c>
      <c r="L459" s="1" t="s">
        <v>61</v>
      </c>
      <c r="M459" s="1" t="s">
        <v>62</v>
      </c>
      <c r="N459" s="1">
        <v>-110.0</v>
      </c>
      <c r="O459" s="1">
        <v>-0.0947543431488039</v>
      </c>
      <c r="P459" s="1" t="s">
        <v>61</v>
      </c>
      <c r="Q459" s="1" t="s">
        <v>61</v>
      </c>
      <c r="R459" s="1">
        <f t="shared" si="1"/>
        <v>0.02551079364</v>
      </c>
      <c r="S459" s="1">
        <f t="shared" si="2"/>
        <v>-120</v>
      </c>
      <c r="T459" s="1">
        <f t="shared" si="3"/>
        <v>1.833333333</v>
      </c>
      <c r="U459" s="1">
        <f t="shared" si="4"/>
        <v>1</v>
      </c>
      <c r="V459" s="3">
        <f t="shared" si="5"/>
        <v>1</v>
      </c>
      <c r="W459" s="3">
        <f t="shared" si="6"/>
        <v>3</v>
      </c>
      <c r="X459" s="3" t="str">
        <f>IFERROR(__xludf.DUMMYFUNCTION("split(B459,"" "")"),"C.")</f>
        <v>C.</v>
      </c>
      <c r="Y459" s="3" t="str">
        <f>IFERROR(__xludf.DUMMYFUNCTION("""COMPUTED_VALUE"""),"Samuel")</f>
        <v>Samuel</v>
      </c>
      <c r="AA459" s="3">
        <v>15.0</v>
      </c>
      <c r="AB459" s="3">
        <f t="shared" si="7"/>
        <v>0</v>
      </c>
      <c r="AC459" s="3">
        <f t="shared" si="8"/>
        <v>0</v>
      </c>
      <c r="AD459" s="3">
        <f t="shared" si="9"/>
        <v>0.8333333333</v>
      </c>
      <c r="AE459" s="3">
        <f t="shared" si="10"/>
        <v>-1</v>
      </c>
      <c r="AG459" s="3">
        <f t="shared" si="12"/>
        <v>-0.5238095238</v>
      </c>
    </row>
    <row r="460">
      <c r="A460" s="1" t="s">
        <v>11</v>
      </c>
      <c r="B460" s="1" t="s">
        <v>469</v>
      </c>
      <c r="C460" s="1" t="s">
        <v>18</v>
      </c>
      <c r="D460" s="1" t="s">
        <v>196</v>
      </c>
      <c r="E460" s="1" t="s">
        <v>197</v>
      </c>
      <c r="F460" s="1" t="s">
        <v>198</v>
      </c>
      <c r="G460" s="1">
        <v>68.5</v>
      </c>
      <c r="H460" s="1" t="s">
        <v>60</v>
      </c>
      <c r="I460" s="1">
        <v>-115.0</v>
      </c>
      <c r="J460" s="1">
        <v>-0.0943376768727982</v>
      </c>
      <c r="K460" s="1" t="s">
        <v>61</v>
      </c>
      <c r="L460" s="1" t="s">
        <v>61</v>
      </c>
      <c r="M460" s="1" t="s">
        <v>62</v>
      </c>
      <c r="N460" s="1">
        <v>-115.0</v>
      </c>
      <c r="O460" s="1">
        <v>0.0245628155241678</v>
      </c>
      <c r="P460" s="1" t="s">
        <v>61</v>
      </c>
      <c r="Q460" s="1" t="s">
        <v>61</v>
      </c>
      <c r="R460" s="1">
        <f t="shared" si="1"/>
        <v>0.02456281552</v>
      </c>
      <c r="S460" s="1">
        <f t="shared" si="2"/>
        <v>-115</v>
      </c>
      <c r="T460" s="1">
        <f t="shared" si="3"/>
        <v>1.869565217</v>
      </c>
      <c r="U460" s="1">
        <f t="shared" si="4"/>
        <v>0</v>
      </c>
      <c r="V460" s="3">
        <f t="shared" si="5"/>
        <v>1</v>
      </c>
      <c r="W460" s="3">
        <f t="shared" si="6"/>
        <v>2</v>
      </c>
      <c r="X460" s="3" t="str">
        <f>IFERROR(__xludf.DUMMYFUNCTION("split(B460,"" "")"),"C.")</f>
        <v>C.</v>
      </c>
      <c r="Y460" s="3" t="str">
        <f>IFERROR(__xludf.DUMMYFUNCTION("""COMPUTED_VALUE"""),"Kupp")</f>
        <v>Kupp</v>
      </c>
      <c r="AA460" s="3">
        <v>110.0</v>
      </c>
      <c r="AB460" s="3">
        <f t="shared" si="7"/>
        <v>1</v>
      </c>
      <c r="AC460" s="3">
        <f t="shared" si="8"/>
        <v>0</v>
      </c>
      <c r="AD460" s="3">
        <f t="shared" si="9"/>
        <v>0.8695652174</v>
      </c>
      <c r="AE460" s="3">
        <f t="shared" si="10"/>
        <v>-1</v>
      </c>
      <c r="AG460" s="3">
        <f t="shared" si="12"/>
        <v>-0.6058394161</v>
      </c>
    </row>
    <row r="461">
      <c r="A461" s="1" t="s">
        <v>9</v>
      </c>
      <c r="B461" s="1" t="s">
        <v>490</v>
      </c>
      <c r="C461" s="1" t="s">
        <v>19</v>
      </c>
      <c r="D461" s="1" t="s">
        <v>82</v>
      </c>
      <c r="E461" s="1" t="s">
        <v>83</v>
      </c>
      <c r="F461" s="1" t="s">
        <v>84</v>
      </c>
      <c r="G461" s="1">
        <v>81.5</v>
      </c>
      <c r="H461" s="1" t="s">
        <v>60</v>
      </c>
      <c r="I461" s="1">
        <v>-115.0</v>
      </c>
      <c r="J461" s="1">
        <v>-0.0955432285666382</v>
      </c>
      <c r="K461" s="1" t="s">
        <v>61</v>
      </c>
      <c r="L461" s="1" t="s">
        <v>61</v>
      </c>
      <c r="M461" s="1" t="s">
        <v>62</v>
      </c>
      <c r="N461" s="1">
        <v>-116.0</v>
      </c>
      <c r="O461" s="1">
        <v>0.0236780611320348</v>
      </c>
      <c r="P461" s="1" t="s">
        <v>61</v>
      </c>
      <c r="Q461" s="1" t="s">
        <v>61</v>
      </c>
      <c r="R461" s="1">
        <f t="shared" si="1"/>
        <v>0.02367806113</v>
      </c>
      <c r="S461" s="1">
        <f t="shared" si="2"/>
        <v>-116</v>
      </c>
      <c r="T461" s="1">
        <f t="shared" si="3"/>
        <v>1.862068966</v>
      </c>
      <c r="U461" s="1">
        <f t="shared" si="4"/>
        <v>0</v>
      </c>
      <c r="V461" s="3">
        <f t="shared" si="5"/>
        <v>1</v>
      </c>
      <c r="W461" s="3">
        <f t="shared" si="6"/>
        <v>2</v>
      </c>
      <c r="X461" s="3" t="str">
        <f>IFERROR(__xludf.DUMMYFUNCTION("split(B461,"" "")"),"K.")</f>
        <v>K.</v>
      </c>
      <c r="Y461" s="3" t="str">
        <f>IFERROR(__xludf.DUMMYFUNCTION("""COMPUTED_VALUE"""),"Walker")</f>
        <v>Walker</v>
      </c>
      <c r="Z461" s="3" t="str">
        <f>IFERROR(__xludf.DUMMYFUNCTION("""COMPUTED_VALUE"""),"III")</f>
        <v>III</v>
      </c>
      <c r="AA461" s="3">
        <v>109.0</v>
      </c>
      <c r="AB461" s="3">
        <f t="shared" si="7"/>
        <v>1</v>
      </c>
      <c r="AC461" s="3">
        <f t="shared" si="8"/>
        <v>0</v>
      </c>
      <c r="AD461" s="3">
        <f t="shared" si="9"/>
        <v>0.8620689655</v>
      </c>
      <c r="AE461" s="3">
        <f t="shared" si="10"/>
        <v>-1</v>
      </c>
      <c r="AG461" s="3">
        <f t="shared" si="12"/>
        <v>-0.3374233129</v>
      </c>
    </row>
    <row r="462">
      <c r="A462" s="1" t="s">
        <v>9</v>
      </c>
      <c r="B462" s="1" t="s">
        <v>469</v>
      </c>
      <c r="C462" s="1" t="s">
        <v>18</v>
      </c>
      <c r="D462" s="1" t="s">
        <v>196</v>
      </c>
      <c r="E462" s="1" t="s">
        <v>197</v>
      </c>
      <c r="F462" s="1" t="s">
        <v>198</v>
      </c>
      <c r="G462" s="1">
        <v>68.0</v>
      </c>
      <c r="H462" s="1" t="s">
        <v>60</v>
      </c>
      <c r="I462" s="1">
        <v>-116.0</v>
      </c>
      <c r="J462" s="1">
        <v>-0.0962191349068262</v>
      </c>
      <c r="K462" s="1" t="s">
        <v>61</v>
      </c>
      <c r="L462" s="1" t="s">
        <v>61</v>
      </c>
      <c r="M462" s="1" t="s">
        <v>62</v>
      </c>
      <c r="N462" s="1">
        <v>-116.0</v>
      </c>
      <c r="O462" s="1">
        <v>0.0233261964919183</v>
      </c>
      <c r="P462" s="1" t="s">
        <v>61</v>
      </c>
      <c r="Q462" s="1" t="s">
        <v>61</v>
      </c>
      <c r="R462" s="1">
        <f t="shared" si="1"/>
        <v>0.02332619649</v>
      </c>
      <c r="S462" s="1">
        <f t="shared" si="2"/>
        <v>-116</v>
      </c>
      <c r="T462" s="1">
        <f t="shared" si="3"/>
        <v>1.862068966</v>
      </c>
      <c r="U462" s="1">
        <f t="shared" si="4"/>
        <v>0</v>
      </c>
      <c r="V462" s="3">
        <f t="shared" si="5"/>
        <v>1</v>
      </c>
      <c r="W462" s="3">
        <f t="shared" si="6"/>
        <v>2</v>
      </c>
      <c r="X462" s="3" t="str">
        <f>IFERROR(__xludf.DUMMYFUNCTION("split(B462,"" "")"),"C.")</f>
        <v>C.</v>
      </c>
      <c r="Y462" s="3" t="str">
        <f>IFERROR(__xludf.DUMMYFUNCTION("""COMPUTED_VALUE"""),"Kupp")</f>
        <v>Kupp</v>
      </c>
      <c r="AA462" s="3">
        <v>120.0</v>
      </c>
      <c r="AB462" s="3">
        <f t="shared" si="7"/>
        <v>1</v>
      </c>
      <c r="AC462" s="3">
        <f t="shared" si="8"/>
        <v>0</v>
      </c>
      <c r="AD462" s="3">
        <f t="shared" si="9"/>
        <v>0.8620689655</v>
      </c>
      <c r="AE462" s="3">
        <f t="shared" si="10"/>
        <v>-1</v>
      </c>
      <c r="AG462" s="3">
        <f t="shared" si="12"/>
        <v>-0.7647058824</v>
      </c>
    </row>
    <row r="463">
      <c r="A463" s="1" t="s">
        <v>9</v>
      </c>
      <c r="B463" s="1" t="s">
        <v>155</v>
      </c>
      <c r="C463" s="1" t="s">
        <v>19</v>
      </c>
      <c r="D463" s="1" t="s">
        <v>156</v>
      </c>
      <c r="E463" s="1" t="s">
        <v>157</v>
      </c>
      <c r="F463" s="1" t="s">
        <v>158</v>
      </c>
      <c r="G463" s="1">
        <v>86.0</v>
      </c>
      <c r="H463" s="1" t="s">
        <v>60</v>
      </c>
      <c r="I463" s="1">
        <v>-113.0</v>
      </c>
      <c r="J463" s="6">
        <v>-0.0937119054414257</v>
      </c>
      <c r="K463" s="1" t="s">
        <v>61</v>
      </c>
      <c r="L463" s="1" t="s">
        <v>61</v>
      </c>
      <c r="M463" s="1" t="s">
        <v>62</v>
      </c>
      <c r="N463" s="1">
        <v>-118.0</v>
      </c>
      <c r="O463" s="6">
        <v>0.0224900593396879</v>
      </c>
      <c r="P463" s="1" t="s">
        <v>61</v>
      </c>
      <c r="Q463" s="1" t="s">
        <v>61</v>
      </c>
      <c r="R463" s="6">
        <f t="shared" si="1"/>
        <v>0.02249005934</v>
      </c>
      <c r="S463" s="1">
        <f t="shared" si="2"/>
        <v>-118</v>
      </c>
      <c r="T463" s="1">
        <f t="shared" si="3"/>
        <v>1.847457627</v>
      </c>
      <c r="U463" s="1">
        <f t="shared" si="4"/>
        <v>0</v>
      </c>
      <c r="V463" s="3">
        <f t="shared" si="5"/>
        <v>1</v>
      </c>
      <c r="W463" s="3">
        <f t="shared" si="6"/>
        <v>3</v>
      </c>
      <c r="X463" s="3" t="str">
        <f>IFERROR(__xludf.DUMMYFUNCTION("split(B463,"" "")"),"S.")</f>
        <v>S.</v>
      </c>
      <c r="Y463" s="3" t="str">
        <f>IFERROR(__xludf.DUMMYFUNCTION("""COMPUTED_VALUE"""),"Barkley")</f>
        <v>Barkley</v>
      </c>
      <c r="AA463" s="3">
        <v>132.0</v>
      </c>
      <c r="AB463" s="3">
        <f t="shared" si="7"/>
        <v>1</v>
      </c>
      <c r="AC463" s="3">
        <f t="shared" si="8"/>
        <v>0</v>
      </c>
      <c r="AD463" s="3">
        <f t="shared" si="9"/>
        <v>0.8474576271</v>
      </c>
      <c r="AE463" s="3">
        <f t="shared" si="10"/>
        <v>-1</v>
      </c>
      <c r="AG463" s="3">
        <f t="shared" si="12"/>
        <v>-0.5348837209</v>
      </c>
    </row>
    <row r="464">
      <c r="A464" s="1" t="s">
        <v>9</v>
      </c>
      <c r="B464" s="1" t="s">
        <v>467</v>
      </c>
      <c r="C464" s="1" t="s">
        <v>18</v>
      </c>
      <c r="D464" s="1" t="s">
        <v>93</v>
      </c>
      <c r="E464" s="1" t="s">
        <v>94</v>
      </c>
      <c r="F464" s="1" t="s">
        <v>59</v>
      </c>
      <c r="G464" s="1">
        <v>38.0</v>
      </c>
      <c r="H464" s="1" t="s">
        <v>60</v>
      </c>
      <c r="I464" s="1">
        <v>-115.0</v>
      </c>
      <c r="J464" s="1">
        <v>0.0207592575246442</v>
      </c>
      <c r="K464" s="1" t="s">
        <v>61</v>
      </c>
      <c r="L464" s="1" t="s">
        <v>61</v>
      </c>
      <c r="M464" s="1" t="s">
        <v>62</v>
      </c>
      <c r="N464" s="1">
        <v>-118.0</v>
      </c>
      <c r="O464" s="1">
        <v>-0.0964758882293681</v>
      </c>
      <c r="P464" s="1" t="s">
        <v>61</v>
      </c>
      <c r="Q464" s="1" t="s">
        <v>61</v>
      </c>
      <c r="R464" s="1">
        <f t="shared" si="1"/>
        <v>0.02075925752</v>
      </c>
      <c r="S464" s="1">
        <f t="shared" si="2"/>
        <v>-115</v>
      </c>
      <c r="T464" s="1">
        <f t="shared" si="3"/>
        <v>1.869565217</v>
      </c>
      <c r="U464" s="1">
        <f t="shared" si="4"/>
        <v>1</v>
      </c>
      <c r="V464" s="3">
        <f t="shared" si="5"/>
        <v>1</v>
      </c>
      <c r="W464" s="3">
        <f t="shared" si="6"/>
        <v>2</v>
      </c>
      <c r="X464" s="3" t="str">
        <f>IFERROR(__xludf.DUMMYFUNCTION("split(B464,"" "")"),"G.")</f>
        <v>G.</v>
      </c>
      <c r="Y464" s="3" t="str">
        <f>IFERROR(__xludf.DUMMYFUNCTION("""COMPUTED_VALUE"""),"Davis")</f>
        <v>Davis</v>
      </c>
      <c r="AA464" s="3">
        <v>0.0</v>
      </c>
      <c r="AB464" s="3">
        <f t="shared" si="7"/>
        <v>0</v>
      </c>
      <c r="AC464" s="3">
        <f t="shared" si="8"/>
        <v>0</v>
      </c>
      <c r="AD464" s="3">
        <f t="shared" si="9"/>
        <v>0.8695652174</v>
      </c>
      <c r="AE464" s="3">
        <f t="shared" si="10"/>
        <v>-1</v>
      </c>
      <c r="AG464" s="3">
        <f t="shared" si="12"/>
        <v>-1</v>
      </c>
    </row>
    <row r="465">
      <c r="A465" s="1" t="s">
        <v>12</v>
      </c>
      <c r="B465" s="1" t="s">
        <v>491</v>
      </c>
      <c r="C465" s="1" t="s">
        <v>18</v>
      </c>
      <c r="D465" s="1" t="s">
        <v>58</v>
      </c>
      <c r="E465" s="1" t="s">
        <v>57</v>
      </c>
      <c r="F465" s="1" t="s">
        <v>59</v>
      </c>
      <c r="G465" s="1">
        <v>5.5</v>
      </c>
      <c r="H465" s="1" t="s">
        <v>60</v>
      </c>
      <c r="I465" s="1">
        <v>-103.0</v>
      </c>
      <c r="J465" s="1">
        <v>0.0202615763546797</v>
      </c>
      <c r="K465" s="1" t="s">
        <v>61</v>
      </c>
      <c r="L465" s="1" t="s">
        <v>61</v>
      </c>
      <c r="M465" s="1" t="s">
        <v>62</v>
      </c>
      <c r="N465" s="1">
        <v>-130.0</v>
      </c>
      <c r="O465" s="1">
        <v>-0.0928608695652175</v>
      </c>
      <c r="P465" s="1" t="s">
        <v>61</v>
      </c>
      <c r="Q465" s="1" t="s">
        <v>61</v>
      </c>
      <c r="R465" s="1">
        <f t="shared" si="1"/>
        <v>0.02026157635</v>
      </c>
      <c r="S465" s="1">
        <f t="shared" si="2"/>
        <v>-103</v>
      </c>
      <c r="T465" s="1">
        <f t="shared" si="3"/>
        <v>1.970873786</v>
      </c>
      <c r="U465" s="1">
        <f t="shared" si="4"/>
        <v>1</v>
      </c>
      <c r="V465" s="3">
        <f t="shared" si="5"/>
        <v>1</v>
      </c>
      <c r="W465" s="3">
        <f t="shared" si="6"/>
        <v>2</v>
      </c>
      <c r="X465" s="3" t="str">
        <f>IFERROR(__xludf.DUMMYFUNCTION("split(B465,"" "")"),"C.")</f>
        <v>C.</v>
      </c>
      <c r="Y465" s="3" t="str">
        <f>IFERROR(__xludf.DUMMYFUNCTION("""COMPUTED_VALUE"""),"Olave")</f>
        <v>Olave</v>
      </c>
      <c r="AA465" s="3">
        <v>2.0</v>
      </c>
      <c r="AB465" s="3">
        <f t="shared" si="7"/>
        <v>0</v>
      </c>
      <c r="AC465" s="3">
        <f t="shared" si="8"/>
        <v>0</v>
      </c>
      <c r="AD465" s="3">
        <f t="shared" si="9"/>
        <v>0.9708737864</v>
      </c>
      <c r="AE465" s="3">
        <f t="shared" si="10"/>
        <v>-1</v>
      </c>
      <c r="AG465" s="3">
        <f t="shared" si="12"/>
        <v>-0.6363636364</v>
      </c>
    </row>
    <row r="466">
      <c r="A466" s="1" t="s">
        <v>10</v>
      </c>
      <c r="B466" s="1" t="s">
        <v>446</v>
      </c>
      <c r="C466" s="1" t="s">
        <v>19</v>
      </c>
      <c r="D466" s="1" t="s">
        <v>197</v>
      </c>
      <c r="E466" s="1" t="s">
        <v>196</v>
      </c>
      <c r="F466" s="1" t="s">
        <v>198</v>
      </c>
      <c r="G466" s="1">
        <v>53.5</v>
      </c>
      <c r="H466" s="1" t="s">
        <v>60</v>
      </c>
      <c r="I466" s="1">
        <v>-120.0</v>
      </c>
      <c r="J466" s="1">
        <v>-0.0894766936532164</v>
      </c>
      <c r="K466" s="1" t="s">
        <v>61</v>
      </c>
      <c r="L466" s="1" t="s">
        <v>61</v>
      </c>
      <c r="M466" s="1" t="s">
        <v>62</v>
      </c>
      <c r="N466" s="1">
        <v>-110.0</v>
      </c>
      <c r="O466" s="1">
        <v>0.0202595726038019</v>
      </c>
      <c r="P466" s="1" t="s">
        <v>61</v>
      </c>
      <c r="Q466" s="1" t="s">
        <v>61</v>
      </c>
      <c r="R466" s="1">
        <f t="shared" si="1"/>
        <v>0.0202595726</v>
      </c>
      <c r="S466" s="1">
        <f t="shared" si="2"/>
        <v>-110</v>
      </c>
      <c r="T466" s="1">
        <f t="shared" si="3"/>
        <v>1.909090909</v>
      </c>
      <c r="U466" s="1">
        <f t="shared" si="4"/>
        <v>0</v>
      </c>
      <c r="V466" s="3">
        <f t="shared" si="5"/>
        <v>1</v>
      </c>
      <c r="W466" s="3">
        <f t="shared" si="6"/>
        <v>2</v>
      </c>
      <c r="X466" s="3" t="str">
        <f>IFERROR(__xludf.DUMMYFUNCTION("split(B466,"" "")"),"D.")</f>
        <v>D.</v>
      </c>
      <c r="Y466" s="3" t="str">
        <f>IFERROR(__xludf.DUMMYFUNCTION("""COMPUTED_VALUE"""),"Montgomery")</f>
        <v>Montgomery</v>
      </c>
      <c r="AA466" s="3">
        <v>91.0</v>
      </c>
      <c r="AB466" s="3">
        <f t="shared" si="7"/>
        <v>1</v>
      </c>
      <c r="AC466" s="3">
        <f t="shared" si="8"/>
        <v>0</v>
      </c>
      <c r="AD466" s="3">
        <f t="shared" si="9"/>
        <v>0.9090909091</v>
      </c>
      <c r="AE466" s="3">
        <f t="shared" si="10"/>
        <v>-1</v>
      </c>
      <c r="AG466" s="3">
        <f t="shared" si="12"/>
        <v>-0.7009345794</v>
      </c>
    </row>
    <row r="467">
      <c r="A467" s="1" t="s">
        <v>9</v>
      </c>
      <c r="B467" s="1" t="s">
        <v>441</v>
      </c>
      <c r="C467" s="1" t="s">
        <v>18</v>
      </c>
      <c r="D467" s="1" t="s">
        <v>94</v>
      </c>
      <c r="E467" s="1" t="s">
        <v>93</v>
      </c>
      <c r="F467" s="1" t="s">
        <v>59</v>
      </c>
      <c r="G467" s="1">
        <v>98.5</v>
      </c>
      <c r="H467" s="1" t="s">
        <v>60</v>
      </c>
      <c r="I467" s="1">
        <v>-110.0</v>
      </c>
      <c r="J467" s="1">
        <v>-0.0870903361862238</v>
      </c>
      <c r="K467" s="1" t="s">
        <v>61</v>
      </c>
      <c r="L467" s="1" t="s">
        <v>61</v>
      </c>
      <c r="M467" s="1" t="s">
        <v>62</v>
      </c>
      <c r="N467" s="1">
        <v>-120.0</v>
      </c>
      <c r="O467" s="1">
        <v>0.0178813113987654</v>
      </c>
      <c r="P467" s="1" t="s">
        <v>61</v>
      </c>
      <c r="Q467" s="1" t="s">
        <v>61</v>
      </c>
      <c r="R467" s="1">
        <f t="shared" si="1"/>
        <v>0.0178813114</v>
      </c>
      <c r="S467" s="1">
        <f t="shared" si="2"/>
        <v>-120</v>
      </c>
      <c r="T467" s="1">
        <f t="shared" si="3"/>
        <v>1.833333333</v>
      </c>
      <c r="U467" s="1">
        <f t="shared" si="4"/>
        <v>0</v>
      </c>
      <c r="V467" s="3">
        <f t="shared" si="5"/>
        <v>1</v>
      </c>
      <c r="W467" s="3">
        <f t="shared" si="6"/>
        <v>3</v>
      </c>
      <c r="X467" s="3" t="str">
        <f>IFERROR(__xludf.DUMMYFUNCTION("split(B467,"" "")"),"T.")</f>
        <v>T.</v>
      </c>
      <c r="Y467" s="3" t="str">
        <f>IFERROR(__xludf.DUMMYFUNCTION("""COMPUTED_VALUE"""),"Hill")</f>
        <v>Hill</v>
      </c>
      <c r="AA467" s="3">
        <v>130.0</v>
      </c>
      <c r="AB467" s="3">
        <f t="shared" si="7"/>
        <v>1</v>
      </c>
      <c r="AC467" s="3">
        <f t="shared" si="8"/>
        <v>0</v>
      </c>
      <c r="AD467" s="3">
        <f t="shared" si="9"/>
        <v>0.8333333333</v>
      </c>
      <c r="AE467" s="3">
        <f t="shared" si="10"/>
        <v>-1</v>
      </c>
      <c r="AG467" s="3">
        <f t="shared" si="12"/>
        <v>-0.3197969543</v>
      </c>
    </row>
    <row r="468">
      <c r="A468" s="1" t="s">
        <v>17</v>
      </c>
      <c r="B468" s="1" t="s">
        <v>338</v>
      </c>
      <c r="C468" s="1" t="s">
        <v>21</v>
      </c>
      <c r="D468" s="1" t="s">
        <v>156</v>
      </c>
      <c r="E468" s="1" t="s">
        <v>157</v>
      </c>
      <c r="F468" s="1" t="s">
        <v>158</v>
      </c>
      <c r="G468" s="1">
        <v>0.5</v>
      </c>
      <c r="H468" s="1" t="s">
        <v>60</v>
      </c>
      <c r="I468" s="1">
        <v>-116.0</v>
      </c>
      <c r="J468" s="6">
        <v>-0.091337037037037</v>
      </c>
      <c r="K468" s="1" t="s">
        <v>61</v>
      </c>
      <c r="L468" s="1" t="s">
        <v>61</v>
      </c>
      <c r="M468" s="1" t="s">
        <v>62</v>
      </c>
      <c r="N468" s="1">
        <v>-116.0</v>
      </c>
      <c r="O468" s="6">
        <v>0.0172629629629629</v>
      </c>
      <c r="P468" s="1" t="s">
        <v>61</v>
      </c>
      <c r="Q468" s="1" t="s">
        <v>61</v>
      </c>
      <c r="R468" s="6">
        <f t="shared" si="1"/>
        <v>0.01726296296</v>
      </c>
      <c r="S468" s="1">
        <f t="shared" si="2"/>
        <v>-116</v>
      </c>
      <c r="T468" s="1">
        <f t="shared" si="3"/>
        <v>1.862068966</v>
      </c>
      <c r="U468" s="1">
        <f t="shared" si="4"/>
        <v>0</v>
      </c>
      <c r="V468" s="3">
        <f t="shared" si="5"/>
        <v>1</v>
      </c>
      <c r="W468" s="3">
        <f t="shared" si="6"/>
        <v>2</v>
      </c>
      <c r="X468" s="3" t="str">
        <f>IFERROR(__xludf.DUMMYFUNCTION("split(B468,"" "")"),"J.")</f>
        <v>J.</v>
      </c>
      <c r="Y468" s="3" t="str">
        <f>IFERROR(__xludf.DUMMYFUNCTION("""COMPUTED_VALUE"""),"Hurts")</f>
        <v>Hurts</v>
      </c>
      <c r="AA468" s="3">
        <v>2.0</v>
      </c>
      <c r="AB468" s="3">
        <f t="shared" si="7"/>
        <v>1</v>
      </c>
      <c r="AC468" s="3">
        <f t="shared" si="8"/>
        <v>0</v>
      </c>
      <c r="AD468" s="3">
        <f t="shared" si="9"/>
        <v>0.8620689655</v>
      </c>
      <c r="AE468" s="3">
        <f t="shared" si="10"/>
        <v>-1</v>
      </c>
      <c r="AG468" s="3">
        <f t="shared" si="12"/>
        <v>-3</v>
      </c>
    </row>
    <row r="469">
      <c r="A469" s="1" t="s">
        <v>9</v>
      </c>
      <c r="B469" s="1" t="s">
        <v>217</v>
      </c>
      <c r="C469" s="1" t="s">
        <v>18</v>
      </c>
      <c r="D469" s="1" t="s">
        <v>71</v>
      </c>
      <c r="E469" s="1" t="s">
        <v>72</v>
      </c>
      <c r="F469" s="1" t="s">
        <v>59</v>
      </c>
      <c r="G469" s="1">
        <v>33.5</v>
      </c>
      <c r="H469" s="1" t="s">
        <v>60</v>
      </c>
      <c r="I469" s="1">
        <v>-115.0</v>
      </c>
      <c r="J469" s="1">
        <v>0.0172047016887122</v>
      </c>
      <c r="K469" s="1" t="s">
        <v>61</v>
      </c>
      <c r="L469" s="1" t="s">
        <v>61</v>
      </c>
      <c r="M469" s="1" t="s">
        <v>62</v>
      </c>
      <c r="N469" s="1">
        <v>-115.0</v>
      </c>
      <c r="O469" s="1">
        <v>-0.0870004069420191</v>
      </c>
      <c r="P469" s="1" t="s">
        <v>61</v>
      </c>
      <c r="Q469" s="1" t="s">
        <v>61</v>
      </c>
      <c r="R469" s="1">
        <f t="shared" si="1"/>
        <v>0.01720470169</v>
      </c>
      <c r="S469" s="1">
        <f t="shared" si="2"/>
        <v>-115</v>
      </c>
      <c r="T469" s="1">
        <f t="shared" si="3"/>
        <v>1.869565217</v>
      </c>
      <c r="U469" s="1">
        <f t="shared" si="4"/>
        <v>1</v>
      </c>
      <c r="V469" s="3">
        <f t="shared" si="5"/>
        <v>1</v>
      </c>
      <c r="W469" s="3">
        <f t="shared" si="6"/>
        <v>2</v>
      </c>
      <c r="X469" s="3" t="str">
        <f>IFERROR(__xludf.DUMMYFUNCTION("split(B469,"" "")"),"A.")</f>
        <v>A.</v>
      </c>
      <c r="Y469" s="3" t="str">
        <f>IFERROR(__xludf.DUMMYFUNCTION("""COMPUTED_VALUE"""),"Pierce")</f>
        <v>Pierce</v>
      </c>
      <c r="AA469" s="3">
        <v>16.0</v>
      </c>
      <c r="AB469" s="3">
        <f t="shared" si="7"/>
        <v>0</v>
      </c>
      <c r="AC469" s="3">
        <f t="shared" si="8"/>
        <v>0</v>
      </c>
      <c r="AD469" s="3">
        <f t="shared" si="9"/>
        <v>0.8695652174</v>
      </c>
      <c r="AE469" s="3">
        <f t="shared" si="10"/>
        <v>-1</v>
      </c>
      <c r="AG469" s="3">
        <f t="shared" si="12"/>
        <v>-0.5223880597</v>
      </c>
    </row>
    <row r="470">
      <c r="A470" s="1" t="s">
        <v>11</v>
      </c>
      <c r="B470" s="1" t="s">
        <v>264</v>
      </c>
      <c r="C470" s="1" t="s">
        <v>19</v>
      </c>
      <c r="D470" s="1" t="s">
        <v>109</v>
      </c>
      <c r="E470" s="1" t="s">
        <v>110</v>
      </c>
      <c r="F470" s="1" t="s">
        <v>59</v>
      </c>
      <c r="G470" s="1">
        <v>26.5</v>
      </c>
      <c r="H470" s="1" t="s">
        <v>60</v>
      </c>
      <c r="I470" s="1">
        <v>-113.0</v>
      </c>
      <c r="J470" s="1">
        <v>-0.0888664869680798</v>
      </c>
      <c r="K470" s="1" t="s">
        <v>61</v>
      </c>
      <c r="L470" s="1" t="s">
        <v>61</v>
      </c>
      <c r="M470" s="1" t="s">
        <v>62</v>
      </c>
      <c r="N470" s="1">
        <v>-118.0</v>
      </c>
      <c r="O470" s="1">
        <v>0.0171191873144824</v>
      </c>
      <c r="P470" s="1" t="s">
        <v>61</v>
      </c>
      <c r="Q470" s="1" t="s">
        <v>61</v>
      </c>
      <c r="R470" s="1">
        <f t="shared" si="1"/>
        <v>0.01711918731</v>
      </c>
      <c r="S470" s="1">
        <f t="shared" si="2"/>
        <v>-118</v>
      </c>
      <c r="T470" s="1">
        <f t="shared" si="3"/>
        <v>1.847457627</v>
      </c>
      <c r="U470" s="1">
        <f t="shared" si="4"/>
        <v>0</v>
      </c>
      <c r="V470" s="3">
        <f t="shared" si="5"/>
        <v>1</v>
      </c>
      <c r="W470" s="3">
        <f t="shared" si="6"/>
        <v>3</v>
      </c>
      <c r="X470" s="3" t="str">
        <f>IFERROR(__xludf.DUMMYFUNCTION("split(B470,"" "")"),"B.")</f>
        <v>B.</v>
      </c>
      <c r="Y470" s="3" t="str">
        <f>IFERROR(__xludf.DUMMYFUNCTION("""COMPUTED_VALUE"""),"Robinson")</f>
        <v>Robinson</v>
      </c>
      <c r="AA470" s="3">
        <v>43.0</v>
      </c>
      <c r="AB470" s="3">
        <f t="shared" si="7"/>
        <v>1</v>
      </c>
      <c r="AC470" s="3">
        <f t="shared" si="8"/>
        <v>0</v>
      </c>
      <c r="AD470" s="3">
        <f t="shared" si="9"/>
        <v>0.8474576271</v>
      </c>
      <c r="AE470" s="3">
        <f t="shared" si="10"/>
        <v>-1</v>
      </c>
      <c r="AG470" s="3">
        <f t="shared" si="12"/>
        <v>-0.6226415094</v>
      </c>
    </row>
    <row r="471">
      <c r="A471" s="1" t="s">
        <v>11</v>
      </c>
      <c r="B471" s="1" t="s">
        <v>417</v>
      </c>
      <c r="C471" s="1" t="s">
        <v>19</v>
      </c>
      <c r="D471" s="1" t="s">
        <v>113</v>
      </c>
      <c r="E471" s="1" t="s">
        <v>114</v>
      </c>
      <c r="F471" s="1" t="s">
        <v>90</v>
      </c>
      <c r="G471" s="1">
        <v>20.5</v>
      </c>
      <c r="H471" s="1" t="s">
        <v>60</v>
      </c>
      <c r="I471" s="1">
        <v>-120.0</v>
      </c>
      <c r="J471" s="1">
        <v>-0.0908668073872092</v>
      </c>
      <c r="K471" s="1" t="s">
        <v>61</v>
      </c>
      <c r="L471" s="1" t="s">
        <v>61</v>
      </c>
      <c r="M471" s="1" t="s">
        <v>62</v>
      </c>
      <c r="N471" s="1">
        <v>-112.0</v>
      </c>
      <c r="O471" s="1">
        <v>0.0171123648123036</v>
      </c>
      <c r="P471" s="1" t="s">
        <v>61</v>
      </c>
      <c r="Q471" s="1" t="s">
        <v>61</v>
      </c>
      <c r="R471" s="1">
        <f t="shared" si="1"/>
        <v>0.01711236481</v>
      </c>
      <c r="S471" s="1">
        <f t="shared" si="2"/>
        <v>-112</v>
      </c>
      <c r="T471" s="1">
        <f t="shared" si="3"/>
        <v>1.892857143</v>
      </c>
      <c r="U471" s="1">
        <f t="shared" si="4"/>
        <v>0</v>
      </c>
      <c r="V471" s="3">
        <f t="shared" si="5"/>
        <v>1</v>
      </c>
      <c r="W471" s="3">
        <f t="shared" si="6"/>
        <v>2</v>
      </c>
      <c r="X471" s="3" t="str">
        <f>IFERROR(__xludf.DUMMYFUNCTION("split(B471,"" "")"),"R.")</f>
        <v>R.</v>
      </c>
      <c r="Y471" s="3" t="str">
        <f>IFERROR(__xludf.DUMMYFUNCTION("""COMPUTED_VALUE"""),"White")</f>
        <v>White</v>
      </c>
      <c r="AA471" s="3">
        <v>75.0</v>
      </c>
      <c r="AB471" s="3">
        <f t="shared" si="7"/>
        <v>1</v>
      </c>
      <c r="AC471" s="3">
        <f t="shared" si="8"/>
        <v>0</v>
      </c>
      <c r="AD471" s="3">
        <f t="shared" si="9"/>
        <v>0.8928571429</v>
      </c>
      <c r="AE471" s="3">
        <f t="shared" si="10"/>
        <v>-1</v>
      </c>
      <c r="AG471" s="3">
        <f t="shared" si="12"/>
        <v>-2.658536585</v>
      </c>
    </row>
    <row r="472">
      <c r="A472" s="1" t="s">
        <v>10</v>
      </c>
      <c r="B472" s="1" t="s">
        <v>347</v>
      </c>
      <c r="C472" s="1" t="s">
        <v>21</v>
      </c>
      <c r="D472" s="1" t="s">
        <v>77</v>
      </c>
      <c r="E472" s="1" t="s">
        <v>76</v>
      </c>
      <c r="F472" s="1" t="s">
        <v>78</v>
      </c>
      <c r="G472" s="1">
        <v>49.5</v>
      </c>
      <c r="H472" s="1" t="s">
        <v>60</v>
      </c>
      <c r="I472" s="1">
        <v>-118.0</v>
      </c>
      <c r="J472" s="6">
        <v>-0.0883219186951803</v>
      </c>
      <c r="K472" s="1" t="s">
        <v>61</v>
      </c>
      <c r="L472" s="1" t="s">
        <v>61</v>
      </c>
      <c r="M472" s="1" t="s">
        <v>62</v>
      </c>
      <c r="N472" s="1">
        <v>-113.0</v>
      </c>
      <c r="O472" s="6">
        <v>0.0165112484259648</v>
      </c>
      <c r="P472" s="1" t="s">
        <v>61</v>
      </c>
      <c r="Q472" s="1" t="s">
        <v>61</v>
      </c>
      <c r="R472" s="6">
        <f t="shared" si="1"/>
        <v>0.01651124843</v>
      </c>
      <c r="S472" s="1">
        <f t="shared" si="2"/>
        <v>-113</v>
      </c>
      <c r="T472" s="1">
        <f t="shared" si="3"/>
        <v>1.884955752</v>
      </c>
      <c r="U472" s="1">
        <f t="shared" si="4"/>
        <v>0</v>
      </c>
      <c r="V472" s="3">
        <f t="shared" si="5"/>
        <v>1</v>
      </c>
      <c r="W472" s="3">
        <f t="shared" si="6"/>
        <v>2</v>
      </c>
      <c r="X472" s="3" t="str">
        <f>IFERROR(__xludf.DUMMYFUNCTION("split(B472,"" "")"),"L.")</f>
        <v>L.</v>
      </c>
      <c r="Y472" s="3" t="str">
        <f>IFERROR(__xludf.DUMMYFUNCTION("""COMPUTED_VALUE"""),"Jackson")</f>
        <v>Jackson</v>
      </c>
      <c r="AA472" s="3">
        <v>122.0</v>
      </c>
      <c r="AB472" s="3">
        <f t="shared" si="7"/>
        <v>1</v>
      </c>
      <c r="AC472" s="3">
        <f t="shared" si="8"/>
        <v>0</v>
      </c>
      <c r="AD472" s="3">
        <f t="shared" si="9"/>
        <v>0.8849557522</v>
      </c>
      <c r="AE472" s="3">
        <f t="shared" si="10"/>
        <v>-1</v>
      </c>
      <c r="AG472" s="3">
        <f t="shared" si="12"/>
        <v>-1.464646465</v>
      </c>
    </row>
    <row r="473">
      <c r="A473" s="1" t="s">
        <v>15</v>
      </c>
      <c r="B473" s="1" t="s">
        <v>434</v>
      </c>
      <c r="C473" s="1" t="s">
        <v>21</v>
      </c>
      <c r="D473" s="1" t="s">
        <v>104</v>
      </c>
      <c r="E473" s="1" t="s">
        <v>105</v>
      </c>
      <c r="F473" s="1" t="s">
        <v>59</v>
      </c>
      <c r="G473" s="1">
        <v>22.5</v>
      </c>
      <c r="H473" s="1" t="s">
        <v>60</v>
      </c>
      <c r="I473" s="1">
        <v>100.0</v>
      </c>
      <c r="J473" s="1">
        <v>0.0165</v>
      </c>
      <c r="K473" s="1" t="s">
        <v>61</v>
      </c>
      <c r="L473" s="1" t="s">
        <v>61</v>
      </c>
      <c r="M473" s="1" t="s">
        <v>62</v>
      </c>
      <c r="N473" s="1">
        <v>-133.0</v>
      </c>
      <c r="O473" s="1">
        <v>-0.0873154506437767</v>
      </c>
      <c r="P473" s="1" t="s">
        <v>61</v>
      </c>
      <c r="Q473" s="1" t="s">
        <v>61</v>
      </c>
      <c r="R473" s="1">
        <f t="shared" si="1"/>
        <v>0.0165</v>
      </c>
      <c r="S473" s="1">
        <f t="shared" si="2"/>
        <v>100</v>
      </c>
      <c r="T473" s="1">
        <f t="shared" si="3"/>
        <v>2</v>
      </c>
      <c r="U473" s="1">
        <f t="shared" si="4"/>
        <v>1</v>
      </c>
      <c r="V473" s="3">
        <f t="shared" si="5"/>
        <v>1</v>
      </c>
      <c r="W473" s="3">
        <f t="shared" si="6"/>
        <v>2</v>
      </c>
      <c r="X473" s="3" t="str">
        <f>IFERROR(__xludf.DUMMYFUNCTION("split(B473,"" "")"),"J.")</f>
        <v>J.</v>
      </c>
      <c r="Y473" s="3" t="str">
        <f>IFERROR(__xludf.DUMMYFUNCTION("""COMPUTED_VALUE"""),"Allen")</f>
        <v>Allen</v>
      </c>
      <c r="AA473" s="3">
        <v>18.0</v>
      </c>
      <c r="AB473" s="3">
        <f t="shared" si="7"/>
        <v>0</v>
      </c>
      <c r="AC473" s="3">
        <f t="shared" si="8"/>
        <v>0</v>
      </c>
      <c r="AD473" s="3">
        <f t="shared" si="9"/>
        <v>1</v>
      </c>
      <c r="AE473" s="3">
        <f t="shared" si="10"/>
        <v>-1</v>
      </c>
      <c r="AG473" s="3">
        <f t="shared" si="12"/>
        <v>-0.2</v>
      </c>
    </row>
    <row r="474">
      <c r="A474" s="1" t="s">
        <v>10</v>
      </c>
      <c r="B474" s="1" t="s">
        <v>465</v>
      </c>
      <c r="C474" s="1" t="s">
        <v>19</v>
      </c>
      <c r="D474" s="1" t="s">
        <v>83</v>
      </c>
      <c r="E474" s="1" t="s">
        <v>82</v>
      </c>
      <c r="F474" s="1" t="s">
        <v>84</v>
      </c>
      <c r="G474" s="1">
        <v>22.5</v>
      </c>
      <c r="H474" s="1" t="s">
        <v>60</v>
      </c>
      <c r="I474" s="1">
        <v>-113.0</v>
      </c>
      <c r="J474" s="1">
        <v>-0.0861428723179603</v>
      </c>
      <c r="K474" s="1" t="s">
        <v>61</v>
      </c>
      <c r="L474" s="1" t="s">
        <v>61</v>
      </c>
      <c r="M474" s="1" t="s">
        <v>62</v>
      </c>
      <c r="N474" s="1">
        <v>-117.0</v>
      </c>
      <c r="O474" s="1">
        <v>0.0164747014302253</v>
      </c>
      <c r="P474" s="1" t="s">
        <v>61</v>
      </c>
      <c r="Q474" s="1" t="s">
        <v>61</v>
      </c>
      <c r="R474" s="1">
        <f t="shared" si="1"/>
        <v>0.01647470143</v>
      </c>
      <c r="S474" s="1">
        <f t="shared" si="2"/>
        <v>-117</v>
      </c>
      <c r="T474" s="1">
        <f t="shared" si="3"/>
        <v>1.854700855</v>
      </c>
      <c r="U474" s="1">
        <f t="shared" si="4"/>
        <v>0</v>
      </c>
      <c r="V474" s="3">
        <f t="shared" si="5"/>
        <v>1</v>
      </c>
      <c r="W474" s="3">
        <f t="shared" si="6"/>
        <v>2</v>
      </c>
      <c r="X474" s="3" t="str">
        <f>IFERROR(__xludf.DUMMYFUNCTION("split(B474,"" "")"),"J.")</f>
        <v>J.</v>
      </c>
      <c r="Y474" s="3" t="str">
        <f>IFERROR(__xludf.DUMMYFUNCTION("""COMPUTED_VALUE"""),"McLaughlin")</f>
        <v>McLaughlin</v>
      </c>
      <c r="AA474" s="3">
        <v>27.0</v>
      </c>
      <c r="AB474" s="3">
        <f t="shared" si="7"/>
        <v>1</v>
      </c>
      <c r="AC474" s="3">
        <f t="shared" si="8"/>
        <v>0</v>
      </c>
      <c r="AD474" s="3">
        <f t="shared" si="9"/>
        <v>0.8547008547</v>
      </c>
      <c r="AE474" s="3">
        <f t="shared" si="10"/>
        <v>-1</v>
      </c>
      <c r="AG474" s="3">
        <f t="shared" si="12"/>
        <v>-0.2</v>
      </c>
    </row>
    <row r="475">
      <c r="A475" s="1" t="s">
        <v>12</v>
      </c>
      <c r="B475" s="1" t="s">
        <v>284</v>
      </c>
      <c r="C475" s="1" t="s">
        <v>18</v>
      </c>
      <c r="D475" s="1" t="s">
        <v>196</v>
      </c>
      <c r="E475" s="1" t="s">
        <v>197</v>
      </c>
      <c r="F475" s="1" t="s">
        <v>198</v>
      </c>
      <c r="G475" s="1">
        <v>2.5</v>
      </c>
      <c r="H475" s="1" t="s">
        <v>60</v>
      </c>
      <c r="I475" s="1">
        <v>117.0</v>
      </c>
      <c r="J475" s="1">
        <v>-0.085926719702304</v>
      </c>
      <c r="K475" s="1" t="s">
        <v>61</v>
      </c>
      <c r="L475" s="1" t="s">
        <v>61</v>
      </c>
      <c r="M475" s="1" t="s">
        <v>62</v>
      </c>
      <c r="N475" s="1">
        <v>-156.0</v>
      </c>
      <c r="O475" s="1">
        <v>0.015721865496875</v>
      </c>
      <c r="P475" s="1" t="s">
        <v>61</v>
      </c>
      <c r="Q475" s="1" t="s">
        <v>61</v>
      </c>
      <c r="R475" s="1">
        <f t="shared" si="1"/>
        <v>0.0157218655</v>
      </c>
      <c r="S475" s="1">
        <f t="shared" si="2"/>
        <v>-156</v>
      </c>
      <c r="T475" s="1">
        <f t="shared" si="3"/>
        <v>1.641025641</v>
      </c>
      <c r="U475" s="1">
        <f t="shared" si="4"/>
        <v>0</v>
      </c>
      <c r="V475" s="3">
        <f t="shared" si="5"/>
        <v>1</v>
      </c>
      <c r="W475" s="3">
        <f t="shared" si="6"/>
        <v>3</v>
      </c>
      <c r="X475" s="3" t="str">
        <f>IFERROR(__xludf.DUMMYFUNCTION("split(B475,"" "")"),"D.")</f>
        <v>D.</v>
      </c>
      <c r="Y475" s="3" t="str">
        <f>IFERROR(__xludf.DUMMYFUNCTION("""COMPUTED_VALUE"""),"Robinson")</f>
        <v>Robinson</v>
      </c>
      <c r="AA475" s="3">
        <v>4.0</v>
      </c>
      <c r="AB475" s="3">
        <f t="shared" si="7"/>
        <v>1</v>
      </c>
      <c r="AC475" s="3">
        <f t="shared" si="8"/>
        <v>0</v>
      </c>
      <c r="AD475" s="3">
        <f t="shared" si="9"/>
        <v>0.641025641</v>
      </c>
      <c r="AE475" s="3">
        <f t="shared" si="10"/>
        <v>-1</v>
      </c>
      <c r="AG475" s="3">
        <f t="shared" si="12"/>
        <v>-0.6</v>
      </c>
    </row>
    <row r="476">
      <c r="A476" s="1" t="s">
        <v>9</v>
      </c>
      <c r="B476" s="1" t="s">
        <v>177</v>
      </c>
      <c r="C476" s="1" t="s">
        <v>19</v>
      </c>
      <c r="D476" s="1" t="s">
        <v>110</v>
      </c>
      <c r="E476" s="1" t="s">
        <v>109</v>
      </c>
      <c r="F476" s="1" t="s">
        <v>59</v>
      </c>
      <c r="G476" s="1">
        <v>44.5</v>
      </c>
      <c r="H476" s="1" t="s">
        <v>60</v>
      </c>
      <c r="I476" s="1">
        <v>-117.0</v>
      </c>
      <c r="J476" s="1">
        <v>0.0155926038851549</v>
      </c>
      <c r="K476" s="1" t="s">
        <v>61</v>
      </c>
      <c r="L476" s="1" t="s">
        <v>61</v>
      </c>
      <c r="M476" s="1" t="s">
        <v>62</v>
      </c>
      <c r="N476" s="1">
        <v>-112.0</v>
      </c>
      <c r="O476" s="1">
        <v>-0.0830742379634342</v>
      </c>
      <c r="P476" s="1" t="s">
        <v>61</v>
      </c>
      <c r="Q476" s="1" t="s">
        <v>61</v>
      </c>
      <c r="R476" s="1">
        <f t="shared" si="1"/>
        <v>0.01559260389</v>
      </c>
      <c r="S476" s="1">
        <f t="shared" si="2"/>
        <v>-117</v>
      </c>
      <c r="T476" s="1">
        <f t="shared" si="3"/>
        <v>1.854700855</v>
      </c>
      <c r="U476" s="1">
        <f t="shared" si="4"/>
        <v>1</v>
      </c>
      <c r="V476" s="3">
        <f t="shared" si="5"/>
        <v>1</v>
      </c>
      <c r="W476" s="3">
        <f t="shared" si="6"/>
        <v>2</v>
      </c>
      <c r="X476" s="3" t="str">
        <f>IFERROR(__xludf.DUMMYFUNCTION("split(B476,"" "")"),"J.")</f>
        <v>J.</v>
      </c>
      <c r="Y476" s="3" t="str">
        <f>IFERROR(__xludf.DUMMYFUNCTION("""COMPUTED_VALUE"""),"Warren")</f>
        <v>Warren</v>
      </c>
      <c r="AA476" s="3">
        <v>20.0</v>
      </c>
      <c r="AB476" s="3">
        <f t="shared" si="7"/>
        <v>0</v>
      </c>
      <c r="AC476" s="3">
        <f t="shared" si="8"/>
        <v>0</v>
      </c>
      <c r="AD476" s="3">
        <f t="shared" si="9"/>
        <v>0.8547008547</v>
      </c>
      <c r="AE476" s="3">
        <f t="shared" si="10"/>
        <v>-1</v>
      </c>
      <c r="AG476" s="3">
        <f t="shared" si="12"/>
        <v>-0.5505617978</v>
      </c>
    </row>
    <row r="477">
      <c r="A477" s="1" t="s">
        <v>10</v>
      </c>
      <c r="B477" s="1" t="s">
        <v>490</v>
      </c>
      <c r="C477" s="1" t="s">
        <v>19</v>
      </c>
      <c r="D477" s="1" t="s">
        <v>82</v>
      </c>
      <c r="E477" s="1" t="s">
        <v>83</v>
      </c>
      <c r="F477" s="1" t="s">
        <v>84</v>
      </c>
      <c r="G477" s="1">
        <v>67.5</v>
      </c>
      <c r="H477" s="1" t="s">
        <v>60</v>
      </c>
      <c r="I477" s="1">
        <v>-115.0</v>
      </c>
      <c r="J477" s="1">
        <v>-0.0842224965484543</v>
      </c>
      <c r="K477" s="1" t="s">
        <v>61</v>
      </c>
      <c r="L477" s="1" t="s">
        <v>61</v>
      </c>
      <c r="M477" s="1" t="s">
        <v>62</v>
      </c>
      <c r="N477" s="1">
        <v>-115.0</v>
      </c>
      <c r="O477" s="1">
        <v>0.0144743681351072</v>
      </c>
      <c r="P477" s="1" t="s">
        <v>61</v>
      </c>
      <c r="Q477" s="1" t="s">
        <v>61</v>
      </c>
      <c r="R477" s="1">
        <f t="shared" si="1"/>
        <v>0.01447436814</v>
      </c>
      <c r="S477" s="1">
        <f t="shared" si="2"/>
        <v>-115</v>
      </c>
      <c r="T477" s="1">
        <f t="shared" si="3"/>
        <v>1.869565217</v>
      </c>
      <c r="U477" s="1">
        <f t="shared" si="4"/>
        <v>0</v>
      </c>
      <c r="V477" s="3">
        <f t="shared" si="5"/>
        <v>1</v>
      </c>
      <c r="W477" s="3">
        <f t="shared" si="6"/>
        <v>2</v>
      </c>
      <c r="X477" s="3" t="str">
        <f>IFERROR(__xludf.DUMMYFUNCTION("split(B477,"" "")"),"K.")</f>
        <v>K.</v>
      </c>
      <c r="Y477" s="3" t="str">
        <f>IFERROR(__xludf.DUMMYFUNCTION("""COMPUTED_VALUE"""),"Walker")</f>
        <v>Walker</v>
      </c>
      <c r="Z477" s="3" t="str">
        <f>IFERROR(__xludf.DUMMYFUNCTION("""COMPUTED_VALUE"""),"III")</f>
        <v>III</v>
      </c>
      <c r="AA477" s="3">
        <v>103.0</v>
      </c>
      <c r="AB477" s="3">
        <f t="shared" si="7"/>
        <v>1</v>
      </c>
      <c r="AC477" s="3">
        <f t="shared" si="8"/>
        <v>0</v>
      </c>
      <c r="AD477" s="3">
        <f t="shared" si="9"/>
        <v>0.8695652174</v>
      </c>
      <c r="AE477" s="3">
        <f t="shared" si="10"/>
        <v>-1</v>
      </c>
      <c r="AG477" s="3">
        <f t="shared" si="12"/>
        <v>-0.5259259259</v>
      </c>
    </row>
    <row r="478">
      <c r="A478" s="1" t="s">
        <v>14</v>
      </c>
      <c r="B478" s="1" t="s">
        <v>320</v>
      </c>
      <c r="C478" s="1" t="s">
        <v>21</v>
      </c>
      <c r="D478" s="1" t="s">
        <v>114</v>
      </c>
      <c r="E478" s="1" t="s">
        <v>113</v>
      </c>
      <c r="F478" s="1" t="s">
        <v>90</v>
      </c>
      <c r="G478" s="1">
        <v>1.5</v>
      </c>
      <c r="H478" s="1" t="s">
        <v>60</v>
      </c>
      <c r="I478" s="1">
        <v>167.0</v>
      </c>
      <c r="J478" s="1">
        <v>0.0142681647940074</v>
      </c>
      <c r="K478" s="1" t="s">
        <v>61</v>
      </c>
      <c r="L478" s="1" t="s">
        <v>61</v>
      </c>
      <c r="M478" s="1" t="s">
        <v>62</v>
      </c>
      <c r="N478" s="1">
        <v>-232.0</v>
      </c>
      <c r="O478" s="1">
        <v>-0.0875951807228915</v>
      </c>
      <c r="P478" s="1" t="s">
        <v>61</v>
      </c>
      <c r="Q478" s="1" t="s">
        <v>61</v>
      </c>
      <c r="R478" s="1">
        <f t="shared" si="1"/>
        <v>0.01426816479</v>
      </c>
      <c r="S478" s="1">
        <f t="shared" si="2"/>
        <v>167</v>
      </c>
      <c r="T478" s="1">
        <f t="shared" si="3"/>
        <v>2.67</v>
      </c>
      <c r="U478" s="1">
        <f t="shared" si="4"/>
        <v>1</v>
      </c>
      <c r="V478" s="3">
        <f t="shared" si="5"/>
        <v>1</v>
      </c>
      <c r="W478" s="3">
        <f t="shared" si="6"/>
        <v>1</v>
      </c>
      <c r="X478" s="3" t="str">
        <f>IFERROR(__xludf.DUMMYFUNCTION("split(B478,"" "")"),"J.")</f>
        <v>J.</v>
      </c>
      <c r="Y478" s="3" t="str">
        <f>IFERROR(__xludf.DUMMYFUNCTION("""COMPUTED_VALUE"""),"Daniels")</f>
        <v>Daniels</v>
      </c>
      <c r="AA478" s="3">
        <v>0.0</v>
      </c>
      <c r="AB478" s="3">
        <f t="shared" si="7"/>
        <v>0</v>
      </c>
      <c r="AC478" s="3">
        <f t="shared" si="8"/>
        <v>0</v>
      </c>
      <c r="AD478" s="3">
        <f t="shared" si="9"/>
        <v>1.67</v>
      </c>
      <c r="AE478" s="3">
        <f t="shared" si="10"/>
        <v>-1</v>
      </c>
      <c r="AG478" s="3">
        <f t="shared" si="12"/>
        <v>-1</v>
      </c>
    </row>
    <row r="479">
      <c r="A479" s="1" t="s">
        <v>9</v>
      </c>
      <c r="B479" s="1" t="s">
        <v>202</v>
      </c>
      <c r="C479" s="1" t="s">
        <v>19</v>
      </c>
      <c r="D479" s="1" t="s">
        <v>109</v>
      </c>
      <c r="E479" s="1" t="s">
        <v>110</v>
      </c>
      <c r="F479" s="1" t="s">
        <v>59</v>
      </c>
      <c r="G479" s="1">
        <v>34.5</v>
      </c>
      <c r="H479" s="1" t="s">
        <v>60</v>
      </c>
      <c r="I479" s="1">
        <v>-115.0</v>
      </c>
      <c r="J479" s="1">
        <v>0.0142349428429175</v>
      </c>
      <c r="K479" s="1" t="s">
        <v>61</v>
      </c>
      <c r="L479" s="1" t="s">
        <v>61</v>
      </c>
      <c r="M479" s="1" t="s">
        <v>62</v>
      </c>
      <c r="N479" s="1">
        <v>-115.0</v>
      </c>
      <c r="O479" s="1">
        <v>-0.0839601842693553</v>
      </c>
      <c r="P479" s="1" t="s">
        <v>61</v>
      </c>
      <c r="Q479" s="1" t="s">
        <v>61</v>
      </c>
      <c r="R479" s="1">
        <f t="shared" si="1"/>
        <v>0.01423494284</v>
      </c>
      <c r="S479" s="1">
        <f t="shared" si="2"/>
        <v>-115</v>
      </c>
      <c r="T479" s="1">
        <f t="shared" si="3"/>
        <v>1.869565217</v>
      </c>
      <c r="U479" s="1">
        <f t="shared" si="4"/>
        <v>1</v>
      </c>
      <c r="V479" s="3">
        <f t="shared" si="5"/>
        <v>1</v>
      </c>
      <c r="W479" s="3">
        <f t="shared" si="6"/>
        <v>2</v>
      </c>
      <c r="X479" s="3" t="str">
        <f>IFERROR(__xludf.DUMMYFUNCTION("split(B479,"" "")"),"T.")</f>
        <v>T.</v>
      </c>
      <c r="Y479" s="3" t="str">
        <f>IFERROR(__xludf.DUMMYFUNCTION("""COMPUTED_VALUE"""),"Allgeier")</f>
        <v>Allgeier</v>
      </c>
      <c r="AA479" s="3">
        <v>21.0</v>
      </c>
      <c r="AB479" s="3">
        <f t="shared" si="7"/>
        <v>0</v>
      </c>
      <c r="AC479" s="3">
        <f t="shared" si="8"/>
        <v>0</v>
      </c>
      <c r="AD479" s="3">
        <f t="shared" si="9"/>
        <v>0.8695652174</v>
      </c>
      <c r="AE479" s="3">
        <f t="shared" si="10"/>
        <v>-1</v>
      </c>
      <c r="AG479" s="3">
        <f t="shared" si="12"/>
        <v>-0.3913043478</v>
      </c>
    </row>
    <row r="480">
      <c r="A480" s="1" t="s">
        <v>9</v>
      </c>
      <c r="B480" s="1" t="s">
        <v>458</v>
      </c>
      <c r="C480" s="1" t="s">
        <v>19</v>
      </c>
      <c r="D480" s="1" t="s">
        <v>104</v>
      </c>
      <c r="E480" s="1" t="s">
        <v>105</v>
      </c>
      <c r="F480" s="1" t="s">
        <v>59</v>
      </c>
      <c r="G480" s="1">
        <v>84.0</v>
      </c>
      <c r="H480" s="1" t="s">
        <v>60</v>
      </c>
      <c r="I480" s="1">
        <v>-117.0</v>
      </c>
      <c r="J480" s="1">
        <v>-0.0895799793528578</v>
      </c>
      <c r="K480" s="1" t="s">
        <v>61</v>
      </c>
      <c r="L480" s="1" t="s">
        <v>61</v>
      </c>
      <c r="M480" s="1" t="s">
        <v>62</v>
      </c>
      <c r="N480" s="1">
        <v>-116.0</v>
      </c>
      <c r="O480" s="1">
        <v>0.0141165384422099</v>
      </c>
      <c r="P480" s="1" t="s">
        <v>61</v>
      </c>
      <c r="Q480" s="1" t="s">
        <v>61</v>
      </c>
      <c r="R480" s="1">
        <f t="shared" si="1"/>
        <v>0.01411653844</v>
      </c>
      <c r="S480" s="1">
        <f t="shared" si="2"/>
        <v>-116</v>
      </c>
      <c r="T480" s="1">
        <f t="shared" si="3"/>
        <v>1.862068966</v>
      </c>
      <c r="U480" s="1">
        <f t="shared" si="4"/>
        <v>0</v>
      </c>
      <c r="V480" s="3">
        <f t="shared" si="5"/>
        <v>1</v>
      </c>
      <c r="W480" s="3">
        <f t="shared" si="6"/>
        <v>2</v>
      </c>
      <c r="X480" s="3" t="str">
        <f>IFERROR(__xludf.DUMMYFUNCTION("split(B480,"" "")"),"J.")</f>
        <v>J.</v>
      </c>
      <c r="Y480" s="3" t="str">
        <f>IFERROR(__xludf.DUMMYFUNCTION("""COMPUTED_VALUE"""),"Cook")</f>
        <v>Cook</v>
      </c>
      <c r="AA480" s="3">
        <v>103.0</v>
      </c>
      <c r="AB480" s="3">
        <f t="shared" si="7"/>
        <v>1</v>
      </c>
      <c r="AC480" s="3">
        <f t="shared" si="8"/>
        <v>0</v>
      </c>
      <c r="AD480" s="3">
        <f t="shared" si="9"/>
        <v>0.8620689655</v>
      </c>
      <c r="AE480" s="3">
        <f t="shared" si="10"/>
        <v>-1</v>
      </c>
      <c r="AG480" s="3">
        <f t="shared" si="12"/>
        <v>-0.2261904762</v>
      </c>
    </row>
    <row r="481">
      <c r="A481" s="1" t="s">
        <v>10</v>
      </c>
      <c r="B481" s="1" t="s">
        <v>282</v>
      </c>
      <c r="C481" s="1" t="s">
        <v>19</v>
      </c>
      <c r="D481" s="1" t="s">
        <v>58</v>
      </c>
      <c r="E481" s="1" t="s">
        <v>57</v>
      </c>
      <c r="F481" s="1" t="s">
        <v>59</v>
      </c>
      <c r="G481" s="1">
        <v>52.5</v>
      </c>
      <c r="H481" s="1" t="s">
        <v>60</v>
      </c>
      <c r="I481" s="1">
        <v>-112.0</v>
      </c>
      <c r="J481" s="1">
        <v>-0.0898761325419291</v>
      </c>
      <c r="K481" s="1" t="s">
        <v>61</v>
      </c>
      <c r="L481" s="1" t="s">
        <v>61</v>
      </c>
      <c r="M481" s="1" t="s">
        <v>62</v>
      </c>
      <c r="N481" s="1">
        <v>-121.0</v>
      </c>
      <c r="O481" s="1">
        <v>0.0140908986499966</v>
      </c>
      <c r="P481" s="1" t="s">
        <v>61</v>
      </c>
      <c r="Q481" s="1" t="s">
        <v>61</v>
      </c>
      <c r="R481" s="1">
        <f t="shared" si="1"/>
        <v>0.01409089865</v>
      </c>
      <c r="S481" s="1">
        <f t="shared" si="2"/>
        <v>-121</v>
      </c>
      <c r="T481" s="1">
        <f t="shared" si="3"/>
        <v>1.826446281</v>
      </c>
      <c r="U481" s="1">
        <f t="shared" si="4"/>
        <v>0</v>
      </c>
      <c r="V481" s="3">
        <f t="shared" si="5"/>
        <v>1</v>
      </c>
      <c r="W481" s="3">
        <f t="shared" si="6"/>
        <v>3</v>
      </c>
      <c r="X481" s="3" t="str">
        <f>IFERROR(__xludf.DUMMYFUNCTION("split(B481,"" "")"),"A.")</f>
        <v>A.</v>
      </c>
      <c r="Y481" s="3" t="str">
        <f>IFERROR(__xludf.DUMMYFUNCTION("""COMPUTED_VALUE"""),"Kamara")</f>
        <v>Kamara</v>
      </c>
      <c r="AA481" s="3">
        <v>83.0</v>
      </c>
      <c r="AB481" s="3">
        <f t="shared" si="7"/>
        <v>1</v>
      </c>
      <c r="AC481" s="3">
        <f t="shared" si="8"/>
        <v>0</v>
      </c>
      <c r="AD481" s="3">
        <f t="shared" si="9"/>
        <v>0.826446281</v>
      </c>
      <c r="AE481" s="3">
        <f t="shared" si="10"/>
        <v>-1</v>
      </c>
      <c r="AG481" s="3">
        <f t="shared" si="12"/>
        <v>-0.580952381</v>
      </c>
    </row>
    <row r="482">
      <c r="A482" s="1" t="s">
        <v>12</v>
      </c>
      <c r="B482" s="1" t="s">
        <v>492</v>
      </c>
      <c r="C482" s="1" t="s">
        <v>18</v>
      </c>
      <c r="D482" s="1" t="s">
        <v>156</v>
      </c>
      <c r="E482" s="1" t="s">
        <v>157</v>
      </c>
      <c r="F482" s="1" t="s">
        <v>158</v>
      </c>
      <c r="G482" s="1">
        <v>5.5</v>
      </c>
      <c r="H482" s="1" t="s">
        <v>60</v>
      </c>
      <c r="I482" s="1">
        <v>-120.0</v>
      </c>
      <c r="J482" s="6">
        <v>0.0140454545454545</v>
      </c>
      <c r="K482" s="1" t="s">
        <v>61</v>
      </c>
      <c r="L482" s="1" t="s">
        <v>61</v>
      </c>
      <c r="M482" s="1" t="s">
        <v>62</v>
      </c>
      <c r="N482" s="1">
        <v>-109.0</v>
      </c>
      <c r="O482" s="6">
        <v>-0.0810311004784687</v>
      </c>
      <c r="P482" s="1" t="s">
        <v>61</v>
      </c>
      <c r="Q482" s="1" t="s">
        <v>61</v>
      </c>
      <c r="R482" s="6">
        <f t="shared" si="1"/>
        <v>0.01404545455</v>
      </c>
      <c r="S482" s="1">
        <f t="shared" si="2"/>
        <v>-120</v>
      </c>
      <c r="T482" s="1">
        <f t="shared" si="3"/>
        <v>1.833333333</v>
      </c>
      <c r="U482" s="1">
        <f t="shared" si="4"/>
        <v>1</v>
      </c>
      <c r="V482" s="3">
        <f t="shared" si="5"/>
        <v>1</v>
      </c>
      <c r="W482" s="3">
        <f t="shared" si="6"/>
        <v>3</v>
      </c>
      <c r="X482" s="3" t="str">
        <f>IFERROR(__xludf.DUMMYFUNCTION("split(B482,"" "")"),"A.")</f>
        <v>A.</v>
      </c>
      <c r="Y482" s="3" t="str">
        <f>IFERROR(__xludf.DUMMYFUNCTION("""COMPUTED_VALUE"""),"Brown")</f>
        <v>Brown</v>
      </c>
      <c r="AA482" s="3">
        <v>5.0</v>
      </c>
      <c r="AB482" s="3">
        <f t="shared" si="7"/>
        <v>0</v>
      </c>
      <c r="AC482" s="3">
        <f t="shared" si="8"/>
        <v>0</v>
      </c>
      <c r="AD482" s="3">
        <f t="shared" si="9"/>
        <v>0.8333333333</v>
      </c>
      <c r="AE482" s="3">
        <f t="shared" si="10"/>
        <v>-1</v>
      </c>
      <c r="AG482" s="3">
        <f t="shared" si="12"/>
        <v>-0.09090909091</v>
      </c>
    </row>
    <row r="483">
      <c r="A483" s="1" t="s">
        <v>11</v>
      </c>
      <c r="B483" s="1" t="s">
        <v>480</v>
      </c>
      <c r="C483" s="1" t="s">
        <v>18</v>
      </c>
      <c r="D483" s="1" t="s">
        <v>82</v>
      </c>
      <c r="E483" s="1" t="s">
        <v>83</v>
      </c>
      <c r="F483" s="1" t="s">
        <v>84</v>
      </c>
      <c r="G483" s="1">
        <v>40.5</v>
      </c>
      <c r="H483" s="1" t="s">
        <v>60</v>
      </c>
      <c r="I483" s="1">
        <v>-117.0</v>
      </c>
      <c r="J483" s="1">
        <v>-0.0831963085368203</v>
      </c>
      <c r="K483" s="1" t="s">
        <v>61</v>
      </c>
      <c r="L483" s="1" t="s">
        <v>61</v>
      </c>
      <c r="M483" s="1" t="s">
        <v>62</v>
      </c>
      <c r="N483" s="1">
        <v>-113.0</v>
      </c>
      <c r="O483" s="1">
        <v>0.0135568363900752</v>
      </c>
      <c r="P483" s="1" t="s">
        <v>61</v>
      </c>
      <c r="Q483" s="1" t="s">
        <v>61</v>
      </c>
      <c r="R483" s="1">
        <f t="shared" si="1"/>
        <v>0.01355683639</v>
      </c>
      <c r="S483" s="1">
        <f t="shared" si="2"/>
        <v>-113</v>
      </c>
      <c r="T483" s="1">
        <f t="shared" si="3"/>
        <v>1.884955752</v>
      </c>
      <c r="U483" s="1">
        <f t="shared" si="4"/>
        <v>0</v>
      </c>
      <c r="V483" s="3">
        <f t="shared" si="5"/>
        <v>1</v>
      </c>
      <c r="W483" s="3">
        <f t="shared" si="6"/>
        <v>2</v>
      </c>
      <c r="X483" s="3" t="str">
        <f>IFERROR(__xludf.DUMMYFUNCTION("split(B483,"" "")"),"T.")</f>
        <v>T.</v>
      </c>
      <c r="Y483" s="3" t="str">
        <f>IFERROR(__xludf.DUMMYFUNCTION("""COMPUTED_VALUE"""),"Lockett")</f>
        <v>Lockett</v>
      </c>
      <c r="AA483" s="3">
        <v>77.0</v>
      </c>
      <c r="AB483" s="3">
        <f t="shared" si="7"/>
        <v>1</v>
      </c>
      <c r="AC483" s="3">
        <f t="shared" si="8"/>
        <v>0</v>
      </c>
      <c r="AD483" s="3">
        <f t="shared" si="9"/>
        <v>0.8849557522</v>
      </c>
      <c r="AE483" s="3">
        <f t="shared" si="10"/>
        <v>-1</v>
      </c>
      <c r="AG483" s="3">
        <f t="shared" si="12"/>
        <v>-0.9012345679</v>
      </c>
    </row>
    <row r="484">
      <c r="A484" s="1" t="s">
        <v>11</v>
      </c>
      <c r="B484" s="1" t="s">
        <v>463</v>
      </c>
      <c r="C484" s="1" t="s">
        <v>18</v>
      </c>
      <c r="D484" s="1" t="s">
        <v>88</v>
      </c>
      <c r="E484" s="1" t="s">
        <v>89</v>
      </c>
      <c r="F484" s="1" t="s">
        <v>90</v>
      </c>
      <c r="G484" s="1">
        <v>39.0</v>
      </c>
      <c r="H484" s="1" t="s">
        <v>60</v>
      </c>
      <c r="I484" s="1">
        <v>-113.0</v>
      </c>
      <c r="J484" s="1">
        <v>-0.0820282634576996</v>
      </c>
      <c r="K484" s="1" t="s">
        <v>61</v>
      </c>
      <c r="L484" s="1" t="s">
        <v>61</v>
      </c>
      <c r="M484" s="1" t="s">
        <v>62</v>
      </c>
      <c r="N484" s="1">
        <v>-117.0</v>
      </c>
      <c r="O484" s="1">
        <v>0.0133221582180922</v>
      </c>
      <c r="P484" s="1" t="s">
        <v>61</v>
      </c>
      <c r="Q484" s="1" t="s">
        <v>61</v>
      </c>
      <c r="R484" s="1">
        <f t="shared" si="1"/>
        <v>0.01332215822</v>
      </c>
      <c r="S484" s="1">
        <f t="shared" si="2"/>
        <v>-117</v>
      </c>
      <c r="T484" s="1">
        <f t="shared" si="3"/>
        <v>1.854700855</v>
      </c>
      <c r="U484" s="1">
        <f t="shared" si="4"/>
        <v>0</v>
      </c>
      <c r="V484" s="3">
        <f t="shared" si="5"/>
        <v>1</v>
      </c>
      <c r="W484" s="3">
        <f t="shared" si="6"/>
        <v>2</v>
      </c>
      <c r="X484" s="3" t="str">
        <f>IFERROR(__xludf.DUMMYFUNCTION("split(B484,"" "")"),"B.")</f>
        <v>B.</v>
      </c>
      <c r="Y484" s="3" t="str">
        <f>IFERROR(__xludf.DUMMYFUNCTION("""COMPUTED_VALUE"""),"Cooks")</f>
        <v>Cooks</v>
      </c>
      <c r="AA484" s="3">
        <v>40.0</v>
      </c>
      <c r="AB484" s="3">
        <f t="shared" si="7"/>
        <v>1</v>
      </c>
      <c r="AC484" s="3">
        <f t="shared" si="8"/>
        <v>0</v>
      </c>
      <c r="AD484" s="3">
        <f t="shared" si="9"/>
        <v>0.8547008547</v>
      </c>
      <c r="AE484" s="3">
        <f t="shared" si="10"/>
        <v>-1</v>
      </c>
      <c r="AG484" s="3">
        <f t="shared" si="12"/>
        <v>-0.02564102564</v>
      </c>
    </row>
    <row r="485">
      <c r="A485" s="1" t="s">
        <v>13</v>
      </c>
      <c r="B485" s="1" t="s">
        <v>75</v>
      </c>
      <c r="C485" s="1" t="s">
        <v>21</v>
      </c>
      <c r="D485" s="1" t="s">
        <v>76</v>
      </c>
      <c r="E485" s="1" t="s">
        <v>77</v>
      </c>
      <c r="F485" s="1" t="s">
        <v>78</v>
      </c>
      <c r="G485" s="1">
        <v>269.0</v>
      </c>
      <c r="H485" s="1" t="s">
        <v>60</v>
      </c>
      <c r="I485" s="1">
        <v>-116.0</v>
      </c>
      <c r="J485" s="6">
        <v>-0.0795992123537038</v>
      </c>
      <c r="K485" s="1" t="s">
        <v>61</v>
      </c>
      <c r="L485" s="1" t="s">
        <v>61</v>
      </c>
      <c r="M485" s="1" t="s">
        <v>62</v>
      </c>
      <c r="N485" s="1">
        <v>-113.0</v>
      </c>
      <c r="O485" s="6">
        <v>0.0123020797652582</v>
      </c>
      <c r="P485" s="1" t="s">
        <v>61</v>
      </c>
      <c r="Q485" s="1" t="s">
        <v>61</v>
      </c>
      <c r="R485" s="6">
        <f t="shared" si="1"/>
        <v>0.01230207977</v>
      </c>
      <c r="S485" s="1">
        <f t="shared" si="2"/>
        <v>-113</v>
      </c>
      <c r="T485" s="1">
        <f t="shared" si="3"/>
        <v>1.884955752</v>
      </c>
      <c r="U485" s="1">
        <f t="shared" si="4"/>
        <v>0</v>
      </c>
      <c r="V485" s="3">
        <f t="shared" si="5"/>
        <v>1</v>
      </c>
      <c r="W485" s="3">
        <f t="shared" si="6"/>
        <v>2</v>
      </c>
      <c r="X485" s="3" t="str">
        <f>IFERROR(__xludf.DUMMYFUNCTION("split(B485,"" "")"),"P.")</f>
        <v>P.</v>
      </c>
      <c r="Y485" s="3" t="str">
        <f>IFERROR(__xludf.DUMMYFUNCTION("""COMPUTED_VALUE"""),"Mahomes")</f>
        <v>Mahomes</v>
      </c>
      <c r="AA485" s="3">
        <v>291.0</v>
      </c>
      <c r="AB485" s="3">
        <f t="shared" si="7"/>
        <v>1</v>
      </c>
      <c r="AC485" s="3">
        <f t="shared" si="8"/>
        <v>0</v>
      </c>
      <c r="AD485" s="3">
        <f t="shared" si="9"/>
        <v>0.8849557522</v>
      </c>
      <c r="AE485" s="3">
        <f t="shared" si="10"/>
        <v>-1</v>
      </c>
      <c r="AG485" s="3">
        <f t="shared" si="12"/>
        <v>-0.08178438662</v>
      </c>
    </row>
    <row r="486">
      <c r="A486" s="1" t="s">
        <v>11</v>
      </c>
      <c r="B486" s="1" t="s">
        <v>152</v>
      </c>
      <c r="C486" s="1" t="s">
        <v>19</v>
      </c>
      <c r="D486" s="1" t="s">
        <v>88</v>
      </c>
      <c r="E486" s="1" t="s">
        <v>89</v>
      </c>
      <c r="F486" s="1" t="s">
        <v>90</v>
      </c>
      <c r="G486" s="1">
        <v>8.5</v>
      </c>
      <c r="H486" s="1" t="s">
        <v>60</v>
      </c>
      <c r="I486" s="1">
        <v>-120.0</v>
      </c>
      <c r="J486" s="1">
        <v>0.0115188888458227</v>
      </c>
      <c r="K486" s="1" t="s">
        <v>61</v>
      </c>
      <c r="L486" s="1" t="s">
        <v>61</v>
      </c>
      <c r="M486" s="1" t="s">
        <v>62</v>
      </c>
      <c r="N486" s="1">
        <v>-110.0</v>
      </c>
      <c r="O486" s="1">
        <v>-0.0807179576223289</v>
      </c>
      <c r="P486" s="1" t="s">
        <v>61</v>
      </c>
      <c r="Q486" s="1" t="s">
        <v>61</v>
      </c>
      <c r="R486" s="1">
        <f t="shared" si="1"/>
        <v>0.01151888885</v>
      </c>
      <c r="S486" s="1">
        <f t="shared" si="2"/>
        <v>-120</v>
      </c>
      <c r="T486" s="1">
        <f t="shared" si="3"/>
        <v>1.833333333</v>
      </c>
      <c r="U486" s="1">
        <f t="shared" si="4"/>
        <v>1</v>
      </c>
      <c r="V486" s="3">
        <f t="shared" si="5"/>
        <v>1</v>
      </c>
      <c r="W486" s="3">
        <f t="shared" si="6"/>
        <v>3</v>
      </c>
      <c r="X486" s="3" t="str">
        <f>IFERROR(__xludf.DUMMYFUNCTION("split(B486,"" "")"),"R.")</f>
        <v>R.</v>
      </c>
      <c r="Y486" s="3" t="str">
        <f>IFERROR(__xludf.DUMMYFUNCTION("""COMPUTED_VALUE"""),"Dowdle")</f>
        <v>Dowdle</v>
      </c>
      <c r="AA486" s="3">
        <v>6.0</v>
      </c>
      <c r="AB486" s="3">
        <f t="shared" si="7"/>
        <v>0</v>
      </c>
      <c r="AC486" s="3">
        <f t="shared" si="8"/>
        <v>0</v>
      </c>
      <c r="AD486" s="3">
        <f t="shared" si="9"/>
        <v>0.8333333333</v>
      </c>
      <c r="AE486" s="3">
        <f t="shared" si="10"/>
        <v>-1</v>
      </c>
      <c r="AG486" s="3">
        <f t="shared" si="12"/>
        <v>-0.2941176471</v>
      </c>
    </row>
    <row r="487">
      <c r="A487" s="1" t="s">
        <v>11</v>
      </c>
      <c r="B487" s="1" t="s">
        <v>133</v>
      </c>
      <c r="C487" s="1" t="s">
        <v>19</v>
      </c>
      <c r="D487" s="1" t="s">
        <v>134</v>
      </c>
      <c r="E487" s="1" t="s">
        <v>135</v>
      </c>
      <c r="F487" s="1" t="s">
        <v>84</v>
      </c>
      <c r="G487" s="1">
        <v>9.5</v>
      </c>
      <c r="H487" s="1" t="s">
        <v>60</v>
      </c>
      <c r="I487" s="1">
        <v>-113.0</v>
      </c>
      <c r="J487" s="1">
        <v>0.0110747254841589</v>
      </c>
      <c r="K487" s="1" t="s">
        <v>61</v>
      </c>
      <c r="L487" s="1" t="s">
        <v>61</v>
      </c>
      <c r="M487" s="1" t="s">
        <v>62</v>
      </c>
      <c r="N487" s="1">
        <v>-118.0</v>
      </c>
      <c r="O487" s="1">
        <v>-0.0828436215742593</v>
      </c>
      <c r="P487" s="1" t="s">
        <v>61</v>
      </c>
      <c r="Q487" s="1" t="s">
        <v>61</v>
      </c>
      <c r="R487" s="1">
        <f t="shared" si="1"/>
        <v>0.01107472548</v>
      </c>
      <c r="S487" s="1">
        <f t="shared" si="2"/>
        <v>-113</v>
      </c>
      <c r="T487" s="1">
        <f t="shared" si="3"/>
        <v>1.884955752</v>
      </c>
      <c r="U487" s="1">
        <f t="shared" si="4"/>
        <v>1</v>
      </c>
      <c r="V487" s="3">
        <f t="shared" si="5"/>
        <v>1</v>
      </c>
      <c r="W487" s="3">
        <f t="shared" si="6"/>
        <v>2</v>
      </c>
      <c r="X487" s="3" t="str">
        <f>IFERROR(__xludf.DUMMYFUNCTION("split(B487,"" "")"),"Z.")</f>
        <v>Z.</v>
      </c>
      <c r="Y487" s="3" t="str">
        <f>IFERROR(__xludf.DUMMYFUNCTION("""COMPUTED_VALUE"""),"White")</f>
        <v>White</v>
      </c>
      <c r="AA487" s="3">
        <v>2.0</v>
      </c>
      <c r="AB487" s="3">
        <f t="shared" si="7"/>
        <v>0</v>
      </c>
      <c r="AC487" s="3">
        <f t="shared" si="8"/>
        <v>0</v>
      </c>
      <c r="AD487" s="3">
        <f t="shared" si="9"/>
        <v>0.8849557522</v>
      </c>
      <c r="AE487" s="3">
        <f t="shared" si="10"/>
        <v>-1</v>
      </c>
      <c r="AG487" s="3">
        <f t="shared" si="12"/>
        <v>-0.7894736842</v>
      </c>
    </row>
    <row r="488">
      <c r="A488" s="1" t="s">
        <v>9</v>
      </c>
      <c r="B488" s="1" t="s">
        <v>152</v>
      </c>
      <c r="C488" s="1" t="s">
        <v>19</v>
      </c>
      <c r="D488" s="1" t="s">
        <v>88</v>
      </c>
      <c r="E488" s="1" t="s">
        <v>89</v>
      </c>
      <c r="F488" s="1" t="s">
        <v>90</v>
      </c>
      <c r="G488" s="1">
        <v>36.5</v>
      </c>
      <c r="H488" s="1" t="s">
        <v>60</v>
      </c>
      <c r="I488" s="1">
        <v>-115.0</v>
      </c>
      <c r="J488" s="1">
        <v>0.0104490053189921</v>
      </c>
      <c r="K488" s="1" t="s">
        <v>61</v>
      </c>
      <c r="L488" s="1" t="s">
        <v>61</v>
      </c>
      <c r="M488" s="1" t="s">
        <v>62</v>
      </c>
      <c r="N488" s="1">
        <v>-115.0</v>
      </c>
      <c r="O488" s="1">
        <v>-0.0802063561168411</v>
      </c>
      <c r="P488" s="1" t="s">
        <v>61</v>
      </c>
      <c r="Q488" s="1" t="s">
        <v>61</v>
      </c>
      <c r="R488" s="1">
        <f t="shared" si="1"/>
        <v>0.01044900532</v>
      </c>
      <c r="S488" s="1">
        <f t="shared" si="2"/>
        <v>-115</v>
      </c>
      <c r="T488" s="1">
        <f t="shared" si="3"/>
        <v>1.869565217</v>
      </c>
      <c r="U488" s="1">
        <f t="shared" si="4"/>
        <v>1</v>
      </c>
      <c r="V488" s="3">
        <f t="shared" si="5"/>
        <v>1</v>
      </c>
      <c r="W488" s="3">
        <f t="shared" si="6"/>
        <v>2</v>
      </c>
      <c r="X488" s="3" t="str">
        <f>IFERROR(__xludf.DUMMYFUNCTION("split(B488,"" "")"),"R.")</f>
        <v>R.</v>
      </c>
      <c r="Y488" s="3" t="str">
        <f>IFERROR(__xludf.DUMMYFUNCTION("""COMPUTED_VALUE"""),"Dowdle")</f>
        <v>Dowdle</v>
      </c>
      <c r="AA488" s="3">
        <v>32.0</v>
      </c>
      <c r="AB488" s="3">
        <f t="shared" si="7"/>
        <v>0</v>
      </c>
      <c r="AC488" s="3">
        <f t="shared" si="8"/>
        <v>0</v>
      </c>
      <c r="AD488" s="3">
        <f t="shared" si="9"/>
        <v>0.8695652174</v>
      </c>
      <c r="AE488" s="3">
        <f t="shared" si="10"/>
        <v>-1</v>
      </c>
      <c r="AG488" s="3">
        <f t="shared" si="12"/>
        <v>-0.1232876712</v>
      </c>
    </row>
    <row r="489">
      <c r="A489" s="1" t="s">
        <v>14</v>
      </c>
      <c r="B489" s="1" t="s">
        <v>474</v>
      </c>
      <c r="C489" s="1" t="s">
        <v>21</v>
      </c>
      <c r="D489" s="1" t="s">
        <v>134</v>
      </c>
      <c r="E489" s="1" t="s">
        <v>135</v>
      </c>
      <c r="F489" s="1" t="s">
        <v>84</v>
      </c>
      <c r="G489" s="1">
        <v>1.5</v>
      </c>
      <c r="H489" s="1" t="s">
        <v>60</v>
      </c>
      <c r="I489" s="1">
        <v>144.0</v>
      </c>
      <c r="J489" s="1">
        <v>0.0099639344262295</v>
      </c>
      <c r="K489" s="1" t="s">
        <v>61</v>
      </c>
      <c r="L489" s="1" t="s">
        <v>61</v>
      </c>
      <c r="M489" s="1" t="s">
        <v>62</v>
      </c>
      <c r="N489" s="1">
        <v>-196.0</v>
      </c>
      <c r="O489" s="1">
        <v>-0.0819621621621621</v>
      </c>
      <c r="P489" s="1" t="s">
        <v>61</v>
      </c>
      <c r="Q489" s="1" t="s">
        <v>61</v>
      </c>
      <c r="R489" s="1">
        <f t="shared" si="1"/>
        <v>0.009963934426</v>
      </c>
      <c r="S489" s="1">
        <f t="shared" si="2"/>
        <v>144</v>
      </c>
      <c r="T489" s="1">
        <f t="shared" si="3"/>
        <v>2.44</v>
      </c>
      <c r="U489" s="1">
        <f t="shared" si="4"/>
        <v>1</v>
      </c>
      <c r="V489" s="3">
        <f t="shared" si="5"/>
        <v>1</v>
      </c>
      <c r="W489" s="3">
        <f t="shared" si="6"/>
        <v>1</v>
      </c>
      <c r="X489" s="3" t="str">
        <f>IFERROR(__xludf.DUMMYFUNCTION("split(B489,"" "")"),"G.")</f>
        <v>G.</v>
      </c>
      <c r="Y489" s="3" t="str">
        <f>IFERROR(__xludf.DUMMYFUNCTION("""COMPUTED_VALUE"""),"Minshew")</f>
        <v>Minshew</v>
      </c>
      <c r="AA489" s="3">
        <v>1.0</v>
      </c>
      <c r="AB489" s="3">
        <f t="shared" si="7"/>
        <v>0</v>
      </c>
      <c r="AC489" s="3">
        <f t="shared" si="8"/>
        <v>0</v>
      </c>
      <c r="AD489" s="3">
        <f t="shared" si="9"/>
        <v>1.44</v>
      </c>
      <c r="AE489" s="3">
        <f t="shared" si="10"/>
        <v>-1</v>
      </c>
      <c r="AG489" s="3">
        <f t="shared" si="12"/>
        <v>-0.3333333333</v>
      </c>
    </row>
    <row r="490">
      <c r="A490" s="1" t="s">
        <v>13</v>
      </c>
      <c r="B490" s="1" t="s">
        <v>405</v>
      </c>
      <c r="C490" s="1" t="s">
        <v>21</v>
      </c>
      <c r="D490" s="1" t="s">
        <v>135</v>
      </c>
      <c r="E490" s="1" t="s">
        <v>134</v>
      </c>
      <c r="F490" s="1" t="s">
        <v>84</v>
      </c>
      <c r="G490" s="1">
        <v>225.5</v>
      </c>
      <c r="H490" s="1" t="s">
        <v>60</v>
      </c>
      <c r="I490" s="1">
        <v>-115.0</v>
      </c>
      <c r="J490" s="1">
        <v>0.00981627906976689</v>
      </c>
      <c r="K490" s="1" t="s">
        <v>61</v>
      </c>
      <c r="L490" s="1" t="s">
        <v>61</v>
      </c>
      <c r="M490" s="1" t="s">
        <v>62</v>
      </c>
      <c r="N490" s="1">
        <v>-115.0</v>
      </c>
      <c r="O490" s="1">
        <v>-0.0795837209302321</v>
      </c>
      <c r="P490" s="1" t="s">
        <v>61</v>
      </c>
      <c r="Q490" s="1" t="s">
        <v>61</v>
      </c>
      <c r="R490" s="1">
        <f t="shared" si="1"/>
        <v>0.00981627907</v>
      </c>
      <c r="S490" s="1">
        <f t="shared" si="2"/>
        <v>-115</v>
      </c>
      <c r="T490" s="1">
        <f t="shared" si="3"/>
        <v>1.869565217</v>
      </c>
      <c r="U490" s="1">
        <f t="shared" si="4"/>
        <v>1</v>
      </c>
      <c r="V490" s="3">
        <f t="shared" si="5"/>
        <v>1</v>
      </c>
      <c r="W490" s="3">
        <f t="shared" si="6"/>
        <v>2</v>
      </c>
      <c r="X490" s="3" t="str">
        <f>IFERROR(__xludf.DUMMYFUNCTION("split(B490,"" "")"),"J.")</f>
        <v>J.</v>
      </c>
      <c r="Y490" s="3" t="str">
        <f>IFERROR(__xludf.DUMMYFUNCTION("""COMPUTED_VALUE"""),"Herbert")</f>
        <v>Herbert</v>
      </c>
      <c r="AA490" s="3">
        <v>144.0</v>
      </c>
      <c r="AB490" s="3">
        <f t="shared" si="7"/>
        <v>0</v>
      </c>
      <c r="AC490" s="3">
        <f t="shared" si="8"/>
        <v>0</v>
      </c>
      <c r="AD490" s="3">
        <f t="shared" si="9"/>
        <v>0.8695652174</v>
      </c>
      <c r="AE490" s="3">
        <f t="shared" si="10"/>
        <v>-1</v>
      </c>
      <c r="AG490" s="3">
        <f t="shared" si="12"/>
        <v>-0.3614190687</v>
      </c>
    </row>
    <row r="491">
      <c r="A491" s="1" t="s">
        <v>11</v>
      </c>
      <c r="B491" s="1" t="s">
        <v>278</v>
      </c>
      <c r="C491" s="1" t="s">
        <v>18</v>
      </c>
      <c r="D491" s="1" t="s">
        <v>134</v>
      </c>
      <c r="E491" s="1" t="s">
        <v>135</v>
      </c>
      <c r="F491" s="1" t="s">
        <v>84</v>
      </c>
      <c r="G491" s="1">
        <v>40.5</v>
      </c>
      <c r="H491" s="1" t="s">
        <v>60</v>
      </c>
      <c r="I491" s="1">
        <v>-115.0</v>
      </c>
      <c r="J491" s="1">
        <v>-0.0834224149409304</v>
      </c>
      <c r="K491" s="1" t="s">
        <v>61</v>
      </c>
      <c r="L491" s="1" t="s">
        <v>61</v>
      </c>
      <c r="M491" s="1" t="s">
        <v>62</v>
      </c>
      <c r="N491" s="1">
        <v>-117.0</v>
      </c>
      <c r="O491" s="1">
        <v>0.00938825980929503</v>
      </c>
      <c r="P491" s="1" t="s">
        <v>61</v>
      </c>
      <c r="Q491" s="1" t="s">
        <v>61</v>
      </c>
      <c r="R491" s="1">
        <f t="shared" si="1"/>
        <v>0.009388259809</v>
      </c>
      <c r="S491" s="1">
        <f t="shared" si="2"/>
        <v>-117</v>
      </c>
      <c r="T491" s="1">
        <f t="shared" si="3"/>
        <v>1.854700855</v>
      </c>
      <c r="U491" s="1">
        <f t="shared" si="4"/>
        <v>0</v>
      </c>
      <c r="V491" s="3">
        <f t="shared" si="5"/>
        <v>1</v>
      </c>
      <c r="W491" s="3">
        <f t="shared" si="6"/>
        <v>2</v>
      </c>
      <c r="X491" s="3" t="str">
        <f>IFERROR(__xludf.DUMMYFUNCTION("split(B491,"" "")"),"J.")</f>
        <v>J.</v>
      </c>
      <c r="Y491" s="3" t="str">
        <f>IFERROR(__xludf.DUMMYFUNCTION("""COMPUTED_VALUE"""),"Meyers")</f>
        <v>Meyers</v>
      </c>
      <c r="AA491" s="3">
        <v>61.0</v>
      </c>
      <c r="AB491" s="3">
        <f t="shared" si="7"/>
        <v>1</v>
      </c>
      <c r="AC491" s="3">
        <f t="shared" si="8"/>
        <v>0</v>
      </c>
      <c r="AD491" s="3">
        <f t="shared" si="9"/>
        <v>0.8547008547</v>
      </c>
      <c r="AE491" s="3">
        <f t="shared" si="10"/>
        <v>-1</v>
      </c>
      <c r="AG491" s="3">
        <f t="shared" si="12"/>
        <v>-0.5061728395</v>
      </c>
    </row>
    <row r="492">
      <c r="A492" s="1" t="s">
        <v>12</v>
      </c>
      <c r="B492" s="1" t="s">
        <v>493</v>
      </c>
      <c r="C492" s="1" t="s">
        <v>18</v>
      </c>
      <c r="D492" s="1" t="s">
        <v>76</v>
      </c>
      <c r="E492" s="1" t="s">
        <v>77</v>
      </c>
      <c r="F492" s="1" t="s">
        <v>78</v>
      </c>
      <c r="G492" s="1">
        <v>5.5</v>
      </c>
      <c r="H492" s="1" t="s">
        <v>60</v>
      </c>
      <c r="I492" s="1">
        <v>-137.0</v>
      </c>
      <c r="J492" s="6">
        <v>-0.0776012658227848</v>
      </c>
      <c r="K492" s="1" t="s">
        <v>61</v>
      </c>
      <c r="L492" s="1" t="s">
        <v>61</v>
      </c>
      <c r="M492" s="1" t="s">
        <v>62</v>
      </c>
      <c r="N492" s="1">
        <v>104.0</v>
      </c>
      <c r="O492" s="6">
        <v>0.00935294117647062</v>
      </c>
      <c r="P492" s="1" t="s">
        <v>61</v>
      </c>
      <c r="Q492" s="1" t="s">
        <v>61</v>
      </c>
      <c r="R492" s="6">
        <f t="shared" si="1"/>
        <v>0.009352941176</v>
      </c>
      <c r="S492" s="1">
        <f t="shared" si="2"/>
        <v>104</v>
      </c>
      <c r="T492" s="1">
        <f t="shared" si="3"/>
        <v>2.04</v>
      </c>
      <c r="U492" s="1">
        <f t="shared" si="4"/>
        <v>0</v>
      </c>
      <c r="V492" s="3">
        <f t="shared" si="5"/>
        <v>1</v>
      </c>
      <c r="W492" s="3">
        <f t="shared" si="6"/>
        <v>2</v>
      </c>
      <c r="X492" s="3" t="str">
        <f>IFERROR(__xludf.DUMMYFUNCTION("split(B492,"" "")"),"R.")</f>
        <v>R.</v>
      </c>
      <c r="Y492" s="3" t="str">
        <f>IFERROR(__xludf.DUMMYFUNCTION("""COMPUTED_VALUE"""),"Rice")</f>
        <v>Rice</v>
      </c>
      <c r="AA492" s="3">
        <v>7.0</v>
      </c>
      <c r="AB492" s="3">
        <f t="shared" si="7"/>
        <v>1</v>
      </c>
      <c r="AC492" s="3">
        <f t="shared" si="8"/>
        <v>0</v>
      </c>
      <c r="AD492" s="3">
        <f t="shared" si="9"/>
        <v>1.04</v>
      </c>
      <c r="AE492" s="3">
        <f t="shared" si="10"/>
        <v>-1</v>
      </c>
      <c r="AG492" s="3">
        <f t="shared" si="12"/>
        <v>-0.2727272727</v>
      </c>
    </row>
    <row r="493">
      <c r="A493" s="1" t="s">
        <v>10</v>
      </c>
      <c r="B493" s="1" t="s">
        <v>424</v>
      </c>
      <c r="C493" s="1" t="s">
        <v>19</v>
      </c>
      <c r="D493" s="1" t="s">
        <v>76</v>
      </c>
      <c r="E493" s="1" t="s">
        <v>77</v>
      </c>
      <c r="F493" s="1" t="s">
        <v>78</v>
      </c>
      <c r="G493" s="1">
        <v>7.5</v>
      </c>
      <c r="H493" s="1" t="s">
        <v>60</v>
      </c>
      <c r="I493" s="1">
        <v>-115.0</v>
      </c>
      <c r="J493" s="6">
        <v>0.00894016318033685</v>
      </c>
      <c r="K493" s="1" t="s">
        <v>61</v>
      </c>
      <c r="L493" s="1" t="s">
        <v>61</v>
      </c>
      <c r="M493" s="1" t="s">
        <v>62</v>
      </c>
      <c r="N493" s="1">
        <v>-115.0</v>
      </c>
      <c r="O493" s="6">
        <v>-0.0786811876573874</v>
      </c>
      <c r="P493" s="1" t="s">
        <v>61</v>
      </c>
      <c r="Q493" s="1" t="s">
        <v>61</v>
      </c>
      <c r="R493" s="6">
        <f t="shared" si="1"/>
        <v>0.00894016318</v>
      </c>
      <c r="S493" s="1">
        <f t="shared" si="2"/>
        <v>-115</v>
      </c>
      <c r="T493" s="1">
        <f t="shared" si="3"/>
        <v>1.869565217</v>
      </c>
      <c r="U493" s="1">
        <f t="shared" si="4"/>
        <v>1</v>
      </c>
      <c r="V493" s="3">
        <f t="shared" si="5"/>
        <v>1</v>
      </c>
      <c r="W493" s="3">
        <f t="shared" si="6"/>
        <v>2</v>
      </c>
      <c r="X493" s="3" t="str">
        <f>IFERROR(__xludf.DUMMYFUNCTION("split(B493,"" "")"),"S.")</f>
        <v>S.</v>
      </c>
      <c r="Y493" s="3" t="str">
        <f>IFERROR(__xludf.DUMMYFUNCTION("""COMPUTED_VALUE"""),"Perine")</f>
        <v>Perine</v>
      </c>
      <c r="AA493" s="3">
        <v>0.0</v>
      </c>
      <c r="AB493" s="3">
        <f t="shared" si="7"/>
        <v>0</v>
      </c>
      <c r="AC493" s="3">
        <f t="shared" si="8"/>
        <v>0</v>
      </c>
      <c r="AD493" s="3">
        <f t="shared" si="9"/>
        <v>0.8695652174</v>
      </c>
      <c r="AE493" s="3">
        <f t="shared" si="10"/>
        <v>-1</v>
      </c>
      <c r="AG493" s="3">
        <f t="shared" si="12"/>
        <v>-1</v>
      </c>
    </row>
    <row r="494">
      <c r="A494" s="1" t="s">
        <v>11</v>
      </c>
      <c r="B494" s="1" t="s">
        <v>478</v>
      </c>
      <c r="C494" s="1" t="s">
        <v>18</v>
      </c>
      <c r="D494" s="1" t="s">
        <v>147</v>
      </c>
      <c r="E494" s="1" t="s">
        <v>146</v>
      </c>
      <c r="F494" s="1" t="s">
        <v>59</v>
      </c>
      <c r="G494" s="1">
        <v>63.5</v>
      </c>
      <c r="H494" s="1" t="s">
        <v>60</v>
      </c>
      <c r="I494" s="1">
        <v>-118.0</v>
      </c>
      <c r="J494" s="1">
        <v>-0.0804319071459355</v>
      </c>
      <c r="K494" s="1" t="s">
        <v>61</v>
      </c>
      <c r="L494" s="1" t="s">
        <v>61</v>
      </c>
      <c r="M494" s="1" t="s">
        <v>62</v>
      </c>
      <c r="N494" s="1">
        <v>-113.0</v>
      </c>
      <c r="O494" s="1">
        <v>0.00863777074689475</v>
      </c>
      <c r="P494" s="1" t="s">
        <v>61</v>
      </c>
      <c r="Q494" s="1" t="s">
        <v>61</v>
      </c>
      <c r="R494" s="1">
        <f t="shared" si="1"/>
        <v>0.008637770747</v>
      </c>
      <c r="S494" s="1">
        <f t="shared" si="2"/>
        <v>-113</v>
      </c>
      <c r="T494" s="1">
        <f t="shared" si="3"/>
        <v>1.884955752</v>
      </c>
      <c r="U494" s="1">
        <f t="shared" si="4"/>
        <v>0</v>
      </c>
      <c r="V494" s="3">
        <f t="shared" si="5"/>
        <v>1</v>
      </c>
      <c r="W494" s="3">
        <f t="shared" si="6"/>
        <v>2</v>
      </c>
      <c r="X494" s="3" t="str">
        <f>IFERROR(__xludf.DUMMYFUNCTION("split(B494,"" "")"),"M.")</f>
        <v>M.</v>
      </c>
      <c r="Y494" s="3" t="str">
        <f>IFERROR(__xludf.DUMMYFUNCTION("""COMPUTED_VALUE"""),"Nabers")</f>
        <v>Nabers</v>
      </c>
      <c r="AA494" s="3">
        <v>66.0</v>
      </c>
      <c r="AB494" s="3">
        <f t="shared" si="7"/>
        <v>1</v>
      </c>
      <c r="AC494" s="3">
        <f t="shared" si="8"/>
        <v>0</v>
      </c>
      <c r="AD494" s="3">
        <f t="shared" si="9"/>
        <v>0.8849557522</v>
      </c>
      <c r="AE494" s="3">
        <f t="shared" si="10"/>
        <v>-1</v>
      </c>
      <c r="AG494" s="3">
        <f t="shared" si="12"/>
        <v>-0.03937007874</v>
      </c>
    </row>
    <row r="495">
      <c r="A495" s="1" t="s">
        <v>9</v>
      </c>
      <c r="B495" s="1" t="s">
        <v>355</v>
      </c>
      <c r="C495" s="1" t="s">
        <v>18</v>
      </c>
      <c r="D495" s="1" t="s">
        <v>109</v>
      </c>
      <c r="E495" s="1" t="s">
        <v>110</v>
      </c>
      <c r="F495" s="1" t="s">
        <v>59</v>
      </c>
      <c r="G495" s="1">
        <v>35.5</v>
      </c>
      <c r="H495" s="1" t="s">
        <v>60</v>
      </c>
      <c r="I495" s="1">
        <v>-115.0</v>
      </c>
      <c r="J495" s="1">
        <v>0.00861211297412567</v>
      </c>
      <c r="K495" s="1" t="s">
        <v>61</v>
      </c>
      <c r="L495" s="1" t="s">
        <v>61</v>
      </c>
      <c r="M495" s="1" t="s">
        <v>62</v>
      </c>
      <c r="N495" s="1">
        <v>-117.0</v>
      </c>
      <c r="O495" s="1">
        <v>-0.0826656775052595</v>
      </c>
      <c r="P495" s="1" t="s">
        <v>61</v>
      </c>
      <c r="Q495" s="1" t="s">
        <v>61</v>
      </c>
      <c r="R495" s="1">
        <f t="shared" si="1"/>
        <v>0.008612112974</v>
      </c>
      <c r="S495" s="1">
        <f t="shared" si="2"/>
        <v>-115</v>
      </c>
      <c r="T495" s="1">
        <f t="shared" si="3"/>
        <v>1.869565217</v>
      </c>
      <c r="U495" s="1">
        <f t="shared" si="4"/>
        <v>1</v>
      </c>
      <c r="V495" s="3">
        <f t="shared" si="5"/>
        <v>1</v>
      </c>
      <c r="W495" s="3">
        <f t="shared" si="6"/>
        <v>2</v>
      </c>
      <c r="X495" s="3" t="str">
        <f>IFERROR(__xludf.DUMMYFUNCTION("split(B495,"" "")"),"D.")</f>
        <v>D.</v>
      </c>
      <c r="Y495" s="3" t="str">
        <f>IFERROR(__xludf.DUMMYFUNCTION("""COMPUTED_VALUE"""),"Mooney")</f>
        <v>Mooney</v>
      </c>
      <c r="AA495" s="3">
        <v>15.0</v>
      </c>
      <c r="AB495" s="3">
        <f t="shared" si="7"/>
        <v>0</v>
      </c>
      <c r="AC495" s="3">
        <f t="shared" si="8"/>
        <v>0</v>
      </c>
      <c r="AD495" s="3">
        <f t="shared" si="9"/>
        <v>0.8695652174</v>
      </c>
      <c r="AE495" s="3">
        <f t="shared" si="10"/>
        <v>-1</v>
      </c>
      <c r="AG495" s="3">
        <f t="shared" si="12"/>
        <v>-0.5774647887</v>
      </c>
    </row>
    <row r="496">
      <c r="A496" s="1" t="s">
        <v>9</v>
      </c>
      <c r="B496" s="1" t="s">
        <v>493</v>
      </c>
      <c r="C496" s="1" t="s">
        <v>18</v>
      </c>
      <c r="D496" s="1" t="s">
        <v>76</v>
      </c>
      <c r="E496" s="1" t="s">
        <v>77</v>
      </c>
      <c r="F496" s="1" t="s">
        <v>78</v>
      </c>
      <c r="G496" s="1">
        <v>62.5</v>
      </c>
      <c r="H496" s="1" t="s">
        <v>60</v>
      </c>
      <c r="I496" s="1">
        <v>-116.0</v>
      </c>
      <c r="J496" s="6">
        <v>-0.082204569508929</v>
      </c>
      <c r="K496" s="1" t="s">
        <v>61</v>
      </c>
      <c r="L496" s="1" t="s">
        <v>61</v>
      </c>
      <c r="M496" s="1" t="s">
        <v>62</v>
      </c>
      <c r="N496" s="1">
        <v>-116.0</v>
      </c>
      <c r="O496" s="6">
        <v>0.00815730063035757</v>
      </c>
      <c r="P496" s="1" t="s">
        <v>61</v>
      </c>
      <c r="Q496" s="1" t="s">
        <v>61</v>
      </c>
      <c r="R496" s="6">
        <f t="shared" si="1"/>
        <v>0.00815730063</v>
      </c>
      <c r="S496" s="1">
        <f t="shared" si="2"/>
        <v>-116</v>
      </c>
      <c r="T496" s="1">
        <f t="shared" si="3"/>
        <v>1.862068966</v>
      </c>
      <c r="U496" s="1">
        <f t="shared" si="4"/>
        <v>0</v>
      </c>
      <c r="V496" s="3">
        <f t="shared" si="5"/>
        <v>1</v>
      </c>
      <c r="W496" s="3">
        <f t="shared" si="6"/>
        <v>2</v>
      </c>
      <c r="X496" s="3" t="str">
        <f>IFERROR(__xludf.DUMMYFUNCTION("split(B496,"" "")"),"R.")</f>
        <v>R.</v>
      </c>
      <c r="Y496" s="3" t="str">
        <f>IFERROR(__xludf.DUMMYFUNCTION("""COMPUTED_VALUE"""),"Rice")</f>
        <v>Rice</v>
      </c>
      <c r="AA496" s="3">
        <v>103.0</v>
      </c>
      <c r="AB496" s="3">
        <f t="shared" si="7"/>
        <v>1</v>
      </c>
      <c r="AC496" s="3">
        <f t="shared" si="8"/>
        <v>0</v>
      </c>
      <c r="AD496" s="3">
        <f t="shared" si="9"/>
        <v>0.8620689655</v>
      </c>
      <c r="AE496" s="3">
        <f t="shared" si="10"/>
        <v>-1</v>
      </c>
      <c r="AG496" s="3">
        <f t="shared" si="12"/>
        <v>-0.648</v>
      </c>
    </row>
    <row r="497">
      <c r="A497" s="1" t="s">
        <v>17</v>
      </c>
      <c r="B497" s="1" t="s">
        <v>56</v>
      </c>
      <c r="C497" s="1" t="s">
        <v>21</v>
      </c>
      <c r="D497" s="1" t="s">
        <v>57</v>
      </c>
      <c r="E497" s="1" t="s">
        <v>58</v>
      </c>
      <c r="F497" s="1" t="s">
        <v>59</v>
      </c>
      <c r="G497" s="1">
        <v>0.5</v>
      </c>
      <c r="H497" s="1" t="s">
        <v>60</v>
      </c>
      <c r="I497" s="1">
        <v>-107.0</v>
      </c>
      <c r="J497" s="1">
        <v>-0.0805565217391303</v>
      </c>
      <c r="K497" s="1" t="s">
        <v>61</v>
      </c>
      <c r="L497" s="1" t="s">
        <v>61</v>
      </c>
      <c r="M497" s="1" t="s">
        <v>62</v>
      </c>
      <c r="N497" s="1">
        <v>-125.0</v>
      </c>
      <c r="O497" s="1">
        <v>0.00809999999999999</v>
      </c>
      <c r="P497" s="1" t="s">
        <v>61</v>
      </c>
      <c r="Q497" s="1" t="s">
        <v>61</v>
      </c>
      <c r="R497" s="1">
        <f t="shared" si="1"/>
        <v>0.0081</v>
      </c>
      <c r="S497" s="1">
        <f t="shared" si="2"/>
        <v>-125</v>
      </c>
      <c r="T497" s="1">
        <f t="shared" si="3"/>
        <v>1.8</v>
      </c>
      <c r="U497" s="1">
        <f t="shared" si="4"/>
        <v>0</v>
      </c>
      <c r="V497" s="3">
        <f t="shared" si="5"/>
        <v>1</v>
      </c>
      <c r="W497" s="3">
        <f t="shared" si="6"/>
        <v>3</v>
      </c>
      <c r="X497" s="3" t="str">
        <f>IFERROR(__xludf.DUMMYFUNCTION("split(B497,"" "")"),"B.")</f>
        <v>B.</v>
      </c>
      <c r="Y497" s="3" t="str">
        <f>IFERROR(__xludf.DUMMYFUNCTION("""COMPUTED_VALUE"""),"Young")</f>
        <v>Young</v>
      </c>
      <c r="AA497" s="3">
        <v>2.0</v>
      </c>
      <c r="AB497" s="3">
        <f t="shared" si="7"/>
        <v>1</v>
      </c>
      <c r="AC497" s="3">
        <f t="shared" si="8"/>
        <v>0</v>
      </c>
      <c r="AD497" s="3">
        <f t="shared" si="9"/>
        <v>0.8</v>
      </c>
      <c r="AE497" s="3">
        <f t="shared" si="10"/>
        <v>-1</v>
      </c>
      <c r="AG497" s="3">
        <f t="shared" si="12"/>
        <v>-3</v>
      </c>
    </row>
    <row r="498">
      <c r="A498" s="1" t="s">
        <v>9</v>
      </c>
      <c r="B498" s="1" t="s">
        <v>345</v>
      </c>
      <c r="C498" s="1" t="s">
        <v>19</v>
      </c>
      <c r="D498" s="1" t="s">
        <v>105</v>
      </c>
      <c r="E498" s="1" t="s">
        <v>104</v>
      </c>
      <c r="F498" s="1" t="s">
        <v>59</v>
      </c>
      <c r="G498" s="1">
        <v>68.0</v>
      </c>
      <c r="H498" s="1" t="s">
        <v>60</v>
      </c>
      <c r="I498" s="1">
        <v>-118.0</v>
      </c>
      <c r="J498" s="1">
        <v>-0.0807975408419792</v>
      </c>
      <c r="K498" s="1" t="s">
        <v>61</v>
      </c>
      <c r="L498" s="1" t="s">
        <v>61</v>
      </c>
      <c r="M498" s="1" t="s">
        <v>62</v>
      </c>
      <c r="N498" s="1">
        <v>-114.0</v>
      </c>
      <c r="O498" s="1">
        <v>0.00798252733667603</v>
      </c>
      <c r="P498" s="1" t="s">
        <v>61</v>
      </c>
      <c r="Q498" s="1" t="s">
        <v>61</v>
      </c>
      <c r="R498" s="1">
        <f t="shared" si="1"/>
        <v>0.007982527337</v>
      </c>
      <c r="S498" s="1">
        <f t="shared" si="2"/>
        <v>-114</v>
      </c>
      <c r="T498" s="1">
        <f t="shared" si="3"/>
        <v>1.877192982</v>
      </c>
      <c r="U498" s="1">
        <f t="shared" si="4"/>
        <v>0</v>
      </c>
      <c r="V498" s="3">
        <f t="shared" si="5"/>
        <v>1</v>
      </c>
      <c r="W498" s="3">
        <f t="shared" si="6"/>
        <v>2</v>
      </c>
      <c r="X498" s="3" t="str">
        <f>IFERROR(__xludf.DUMMYFUNCTION("split(B498,"" "")"),"J.")</f>
        <v>J.</v>
      </c>
      <c r="Y498" s="3" t="str">
        <f>IFERROR(__xludf.DUMMYFUNCTION("""COMPUTED_VALUE"""),"Conner")</f>
        <v>Conner</v>
      </c>
      <c r="AA498" s="3">
        <v>83.0</v>
      </c>
      <c r="AB498" s="3">
        <f t="shared" si="7"/>
        <v>1</v>
      </c>
      <c r="AC498" s="3">
        <f t="shared" si="8"/>
        <v>0</v>
      </c>
      <c r="AD498" s="3">
        <f t="shared" si="9"/>
        <v>0.8771929825</v>
      </c>
      <c r="AE498" s="3">
        <f t="shared" si="10"/>
        <v>-1</v>
      </c>
      <c r="AG498" s="3">
        <f t="shared" si="12"/>
        <v>-0.2205882353</v>
      </c>
    </row>
    <row r="499">
      <c r="A499" s="1" t="s">
        <v>10</v>
      </c>
      <c r="B499" s="1" t="s">
        <v>441</v>
      </c>
      <c r="C499" s="1" t="s">
        <v>20</v>
      </c>
      <c r="D499" s="1" t="s">
        <v>58</v>
      </c>
      <c r="E499" s="1" t="s">
        <v>57</v>
      </c>
      <c r="F499" s="1" t="s">
        <v>59</v>
      </c>
      <c r="G499" s="1">
        <v>15.5</v>
      </c>
      <c r="H499" s="1" t="s">
        <v>60</v>
      </c>
      <c r="I499" s="1">
        <v>-110.0</v>
      </c>
      <c r="J499" s="1">
        <v>-0.0763026365259636</v>
      </c>
      <c r="K499" s="1" t="s">
        <v>61</v>
      </c>
      <c r="L499" s="1" t="s">
        <v>61</v>
      </c>
      <c r="M499" s="1" t="s">
        <v>62</v>
      </c>
      <c r="N499" s="1">
        <v>-120.0</v>
      </c>
      <c r="O499" s="1">
        <v>0.00702302002064914</v>
      </c>
      <c r="P499" s="1" t="s">
        <v>61</v>
      </c>
      <c r="Q499" s="1" t="s">
        <v>61</v>
      </c>
      <c r="R499" s="1">
        <f t="shared" si="1"/>
        <v>0.007023020021</v>
      </c>
      <c r="S499" s="1">
        <f t="shared" si="2"/>
        <v>-120</v>
      </c>
      <c r="T499" s="1">
        <f t="shared" si="3"/>
        <v>1.833333333</v>
      </c>
      <c r="U499" s="1">
        <f t="shared" si="4"/>
        <v>0</v>
      </c>
      <c r="V499" s="3">
        <f t="shared" si="5"/>
        <v>1</v>
      </c>
      <c r="W499" s="3">
        <f t="shared" si="6"/>
        <v>3</v>
      </c>
      <c r="X499" s="3" t="str">
        <f>IFERROR(__xludf.DUMMYFUNCTION("split(B499,"" "")"),"T.")</f>
        <v>T.</v>
      </c>
      <c r="Y499" s="3" t="str">
        <f>IFERROR(__xludf.DUMMYFUNCTION("""COMPUTED_VALUE"""),"Hill")</f>
        <v>Hill</v>
      </c>
      <c r="AA499" s="3">
        <v>35.0</v>
      </c>
      <c r="AB499" s="3">
        <f t="shared" si="7"/>
        <v>1</v>
      </c>
      <c r="AC499" s="3">
        <f t="shared" si="8"/>
        <v>0</v>
      </c>
      <c r="AD499" s="3">
        <f t="shared" si="9"/>
        <v>0.8333333333</v>
      </c>
      <c r="AE499" s="3">
        <f t="shared" si="10"/>
        <v>-1</v>
      </c>
      <c r="AG499" s="3">
        <f t="shared" si="12"/>
        <v>-1.258064516</v>
      </c>
    </row>
    <row r="500">
      <c r="A500" s="1" t="s">
        <v>9</v>
      </c>
      <c r="B500" s="1" t="s">
        <v>383</v>
      </c>
      <c r="C500" s="1" t="s">
        <v>19</v>
      </c>
      <c r="D500" s="1" t="s">
        <v>66</v>
      </c>
      <c r="E500" s="1" t="s">
        <v>67</v>
      </c>
      <c r="F500" s="1" t="s">
        <v>59</v>
      </c>
      <c r="G500" s="1">
        <v>36.5</v>
      </c>
      <c r="H500" s="1" t="s">
        <v>60</v>
      </c>
      <c r="I500" s="1">
        <v>-110.0</v>
      </c>
      <c r="J500" s="1">
        <v>0.00673082392749557</v>
      </c>
      <c r="K500" s="1" t="s">
        <v>61</v>
      </c>
      <c r="L500" s="1" t="s">
        <v>61</v>
      </c>
      <c r="M500" s="1" t="s">
        <v>62</v>
      </c>
      <c r="N500" s="1">
        <v>-120.0</v>
      </c>
      <c r="O500" s="1">
        <v>-0.0760007619533132</v>
      </c>
      <c r="P500" s="1" t="s">
        <v>61</v>
      </c>
      <c r="Q500" s="1" t="s">
        <v>61</v>
      </c>
      <c r="R500" s="1">
        <f t="shared" si="1"/>
        <v>0.006730823927</v>
      </c>
      <c r="S500" s="1">
        <f t="shared" si="2"/>
        <v>-110</v>
      </c>
      <c r="T500" s="1">
        <f t="shared" si="3"/>
        <v>1.909090909</v>
      </c>
      <c r="U500" s="1">
        <f t="shared" si="4"/>
        <v>1</v>
      </c>
      <c r="V500" s="3">
        <f t="shared" si="5"/>
        <v>1</v>
      </c>
      <c r="W500" s="3">
        <f t="shared" si="6"/>
        <v>2</v>
      </c>
      <c r="X500" s="3" t="str">
        <f>IFERROR(__xludf.DUMMYFUNCTION("split(B500,"" "")"),"A.")</f>
        <v>A.</v>
      </c>
      <c r="Y500" s="3" t="str">
        <f>IFERROR(__xludf.DUMMYFUNCTION("""COMPUTED_VALUE"""),"Gibson")</f>
        <v>Gibson</v>
      </c>
      <c r="AA500" s="3">
        <v>18.0</v>
      </c>
      <c r="AB500" s="3">
        <f t="shared" si="7"/>
        <v>0</v>
      </c>
      <c r="AC500" s="3">
        <f t="shared" si="8"/>
        <v>0</v>
      </c>
      <c r="AD500" s="3">
        <f t="shared" si="9"/>
        <v>0.9090909091</v>
      </c>
      <c r="AE500" s="3">
        <f t="shared" si="10"/>
        <v>-1</v>
      </c>
      <c r="AG500" s="3">
        <f t="shared" si="12"/>
        <v>-0.5068493151</v>
      </c>
    </row>
    <row r="501">
      <c r="A501" s="1" t="s">
        <v>10</v>
      </c>
      <c r="B501" s="1" t="s">
        <v>297</v>
      </c>
      <c r="C501" s="1" t="s">
        <v>21</v>
      </c>
      <c r="D501" s="1" t="s">
        <v>157</v>
      </c>
      <c r="E501" s="1" t="s">
        <v>156</v>
      </c>
      <c r="F501" s="1" t="s">
        <v>158</v>
      </c>
      <c r="G501" s="1">
        <v>7.5</v>
      </c>
      <c r="H501" s="1" t="s">
        <v>60</v>
      </c>
      <c r="I501" s="1">
        <v>-119.0</v>
      </c>
      <c r="J501" s="6">
        <v>0.00549603703604817</v>
      </c>
      <c r="K501" s="1" t="s">
        <v>61</v>
      </c>
      <c r="L501" s="1" t="s">
        <v>61</v>
      </c>
      <c r="M501" s="1" t="s">
        <v>62</v>
      </c>
      <c r="N501" s="1">
        <v>-109.0</v>
      </c>
      <c r="O501" s="6">
        <v>-0.0703883684252393</v>
      </c>
      <c r="P501" s="1" t="s">
        <v>61</v>
      </c>
      <c r="Q501" s="1" t="s">
        <v>61</v>
      </c>
      <c r="R501" s="6">
        <f t="shared" si="1"/>
        <v>0.005496037036</v>
      </c>
      <c r="S501" s="1">
        <f t="shared" si="2"/>
        <v>-119</v>
      </c>
      <c r="T501" s="1">
        <f t="shared" si="3"/>
        <v>1.840336134</v>
      </c>
      <c r="U501" s="1">
        <f t="shared" si="4"/>
        <v>1</v>
      </c>
      <c r="V501" s="3">
        <f t="shared" si="5"/>
        <v>1</v>
      </c>
      <c r="W501" s="3">
        <f t="shared" si="6"/>
        <v>3</v>
      </c>
      <c r="X501" s="3" t="str">
        <f>IFERROR(__xludf.DUMMYFUNCTION("split(B501,"" "")"),"J.")</f>
        <v>J.</v>
      </c>
      <c r="Y501" s="3" t="str">
        <f>IFERROR(__xludf.DUMMYFUNCTION("""COMPUTED_VALUE"""),"Love")</f>
        <v>Love</v>
      </c>
      <c r="AA501" s="3">
        <v>0.0</v>
      </c>
      <c r="AB501" s="3">
        <f t="shared" si="7"/>
        <v>0</v>
      </c>
      <c r="AC501" s="3">
        <f t="shared" si="8"/>
        <v>0</v>
      </c>
      <c r="AD501" s="3">
        <f t="shared" si="9"/>
        <v>0.8403361345</v>
      </c>
      <c r="AE501" s="3">
        <f t="shared" si="10"/>
        <v>-1</v>
      </c>
      <c r="AG501" s="3">
        <f t="shared" si="12"/>
        <v>-1</v>
      </c>
    </row>
    <row r="502">
      <c r="A502" s="1" t="s">
        <v>8</v>
      </c>
      <c r="B502" s="1" t="s">
        <v>179</v>
      </c>
      <c r="C502" s="1" t="s">
        <v>19</v>
      </c>
      <c r="D502" s="1" t="s">
        <v>76</v>
      </c>
      <c r="E502" s="1" t="s">
        <v>77</v>
      </c>
      <c r="F502" s="1" t="s">
        <v>78</v>
      </c>
      <c r="G502" s="1">
        <v>14.5</v>
      </c>
      <c r="H502" s="1" t="s">
        <v>60</v>
      </c>
      <c r="I502" s="1">
        <v>-117.0</v>
      </c>
      <c r="J502" s="6">
        <v>-0.0777242772718894</v>
      </c>
      <c r="K502" s="1" t="s">
        <v>61</v>
      </c>
      <c r="L502" s="1" t="s">
        <v>61</v>
      </c>
      <c r="M502" s="1" t="s">
        <v>62</v>
      </c>
      <c r="N502" s="1">
        <v>-115.0</v>
      </c>
      <c r="O502" s="6">
        <v>0.0036626204334883</v>
      </c>
      <c r="P502" s="1" t="s">
        <v>61</v>
      </c>
      <c r="Q502" s="1" t="s">
        <v>61</v>
      </c>
      <c r="R502" s="6">
        <f t="shared" si="1"/>
        <v>0.003662620433</v>
      </c>
      <c r="S502" s="1">
        <f t="shared" si="2"/>
        <v>-115</v>
      </c>
      <c r="T502" s="1">
        <f t="shared" si="3"/>
        <v>1.869565217</v>
      </c>
      <c r="U502" s="1">
        <f t="shared" si="4"/>
        <v>0</v>
      </c>
      <c r="V502" s="3">
        <f t="shared" si="5"/>
        <v>1</v>
      </c>
      <c r="W502" s="3">
        <f t="shared" si="6"/>
        <v>2</v>
      </c>
      <c r="X502" s="3" t="str">
        <f>IFERROR(__xludf.DUMMYFUNCTION("split(B502,"" "")"),"I.")</f>
        <v>I.</v>
      </c>
      <c r="Y502" s="3" t="str">
        <f>IFERROR(__xludf.DUMMYFUNCTION("""COMPUTED_VALUE"""),"Pacheco")</f>
        <v>Pacheco</v>
      </c>
      <c r="AA502" s="3">
        <v>15.0</v>
      </c>
      <c r="AB502" s="3">
        <f t="shared" si="7"/>
        <v>1</v>
      </c>
      <c r="AC502" s="3">
        <f t="shared" si="8"/>
        <v>0</v>
      </c>
      <c r="AD502" s="3">
        <f t="shared" si="9"/>
        <v>0.8695652174</v>
      </c>
      <c r="AE502" s="3">
        <f t="shared" si="10"/>
        <v>-1</v>
      </c>
      <c r="AG502" s="3">
        <f t="shared" si="12"/>
        <v>-0.03448275862</v>
      </c>
    </row>
    <row r="503">
      <c r="A503" s="1" t="s">
        <v>11</v>
      </c>
      <c r="B503" s="1" t="s">
        <v>494</v>
      </c>
      <c r="C503" s="1" t="s">
        <v>20</v>
      </c>
      <c r="D503" s="1" t="s">
        <v>134</v>
      </c>
      <c r="E503" s="1" t="s">
        <v>135</v>
      </c>
      <c r="F503" s="1" t="s">
        <v>84</v>
      </c>
      <c r="G503" s="1">
        <v>34.5</v>
      </c>
      <c r="H503" s="1" t="s">
        <v>60</v>
      </c>
      <c r="I503" s="1">
        <v>-115.0</v>
      </c>
      <c r="J503" s="1">
        <v>-0.0730944946723723</v>
      </c>
      <c r="K503" s="1" t="s">
        <v>61</v>
      </c>
      <c r="L503" s="1" t="s">
        <v>61</v>
      </c>
      <c r="M503" s="1" t="s">
        <v>62</v>
      </c>
      <c r="N503" s="1">
        <v>-115.0</v>
      </c>
      <c r="O503" s="1">
        <v>0.00337250200822802</v>
      </c>
      <c r="P503" s="1" t="s">
        <v>61</v>
      </c>
      <c r="Q503" s="1" t="s">
        <v>61</v>
      </c>
      <c r="R503" s="1">
        <f t="shared" si="1"/>
        <v>0.003372502008</v>
      </c>
      <c r="S503" s="1">
        <f t="shared" si="2"/>
        <v>-115</v>
      </c>
      <c r="T503" s="1">
        <f t="shared" si="3"/>
        <v>1.869565217</v>
      </c>
      <c r="U503" s="1">
        <f t="shared" si="4"/>
        <v>0</v>
      </c>
      <c r="V503" s="3">
        <f t="shared" si="5"/>
        <v>1</v>
      </c>
      <c r="W503" s="3">
        <f t="shared" si="6"/>
        <v>2</v>
      </c>
      <c r="X503" s="3" t="str">
        <f>IFERROR(__xludf.DUMMYFUNCTION("split(B503,"" "")"),"B.")</f>
        <v>B.</v>
      </c>
      <c r="Y503" s="3" t="str">
        <f>IFERROR(__xludf.DUMMYFUNCTION("""COMPUTED_VALUE"""),"Bowers")</f>
        <v>Bowers</v>
      </c>
      <c r="AA503" s="3">
        <v>58.0</v>
      </c>
      <c r="AB503" s="3">
        <f t="shared" si="7"/>
        <v>1</v>
      </c>
      <c r="AC503" s="3">
        <f t="shared" si="8"/>
        <v>0</v>
      </c>
      <c r="AD503" s="3">
        <f t="shared" si="9"/>
        <v>0.8695652174</v>
      </c>
      <c r="AE503" s="3">
        <f t="shared" si="10"/>
        <v>-1</v>
      </c>
      <c r="AG503" s="3">
        <f t="shared" si="12"/>
        <v>-0.6811594203</v>
      </c>
    </row>
    <row r="504">
      <c r="A504" s="1" t="s">
        <v>9</v>
      </c>
      <c r="B504" s="1" t="s">
        <v>314</v>
      </c>
      <c r="C504" s="1" t="s">
        <v>18</v>
      </c>
      <c r="D504" s="1" t="s">
        <v>113</v>
      </c>
      <c r="E504" s="1" t="s">
        <v>114</v>
      </c>
      <c r="F504" s="1" t="s">
        <v>90</v>
      </c>
      <c r="G504" s="1">
        <v>60.0</v>
      </c>
      <c r="H504" s="1" t="s">
        <v>60</v>
      </c>
      <c r="I504" s="1">
        <v>-116.0</v>
      </c>
      <c r="J504" s="1">
        <v>-0.076158083228262</v>
      </c>
      <c r="K504" s="1" t="s">
        <v>61</v>
      </c>
      <c r="L504" s="1" t="s">
        <v>61</v>
      </c>
      <c r="M504" s="1" t="s">
        <v>62</v>
      </c>
      <c r="N504" s="1">
        <v>-116.0</v>
      </c>
      <c r="O504" s="1">
        <v>0.00290337654478389</v>
      </c>
      <c r="P504" s="1" t="s">
        <v>61</v>
      </c>
      <c r="Q504" s="1" t="s">
        <v>61</v>
      </c>
      <c r="R504" s="1">
        <f t="shared" si="1"/>
        <v>0.002903376545</v>
      </c>
      <c r="S504" s="1">
        <f t="shared" si="2"/>
        <v>-116</v>
      </c>
      <c r="T504" s="1">
        <f t="shared" si="3"/>
        <v>1.862068966</v>
      </c>
      <c r="U504" s="1">
        <f t="shared" si="4"/>
        <v>0</v>
      </c>
      <c r="V504" s="3">
        <f t="shared" si="5"/>
        <v>1</v>
      </c>
      <c r="W504" s="3">
        <f t="shared" si="6"/>
        <v>2</v>
      </c>
      <c r="X504" s="3" t="str">
        <f>IFERROR(__xludf.DUMMYFUNCTION("split(B504,"" "")"),"C.")</f>
        <v>C.</v>
      </c>
      <c r="Y504" s="3" t="str">
        <f>IFERROR(__xludf.DUMMYFUNCTION("""COMPUTED_VALUE"""),"Godwin")</f>
        <v>Godwin</v>
      </c>
      <c r="AA504" s="3">
        <v>83.0</v>
      </c>
      <c r="AB504" s="3">
        <f t="shared" si="7"/>
        <v>1</v>
      </c>
      <c r="AC504" s="3">
        <f t="shared" si="8"/>
        <v>0</v>
      </c>
      <c r="AD504" s="3">
        <f t="shared" si="9"/>
        <v>0.8620689655</v>
      </c>
      <c r="AE504" s="3">
        <f t="shared" si="10"/>
        <v>-1</v>
      </c>
      <c r="AG504" s="3">
        <f t="shared" si="12"/>
        <v>-0.3833333333</v>
      </c>
    </row>
    <row r="505">
      <c r="A505" s="1" t="s">
        <v>11</v>
      </c>
      <c r="B505" s="1" t="s">
        <v>289</v>
      </c>
      <c r="C505" s="1" t="s">
        <v>19</v>
      </c>
      <c r="D505" s="1" t="s">
        <v>94</v>
      </c>
      <c r="E505" s="1" t="s">
        <v>93</v>
      </c>
      <c r="F505" s="1" t="s">
        <v>59</v>
      </c>
      <c r="G505" s="1">
        <v>22.5</v>
      </c>
      <c r="H505" s="1" t="s">
        <v>60</v>
      </c>
      <c r="I505" s="1">
        <v>-113.0</v>
      </c>
      <c r="J505" s="1">
        <v>-0.0746585078906103</v>
      </c>
      <c r="K505" s="1" t="s">
        <v>61</v>
      </c>
      <c r="L505" s="1" t="s">
        <v>61</v>
      </c>
      <c r="M505" s="1" t="s">
        <v>62</v>
      </c>
      <c r="N505" s="1">
        <v>-118.0</v>
      </c>
      <c r="O505" s="1">
        <v>0.00283352006066983</v>
      </c>
      <c r="P505" s="1" t="s">
        <v>61</v>
      </c>
      <c r="Q505" s="1" t="s">
        <v>61</v>
      </c>
      <c r="R505" s="1">
        <f t="shared" si="1"/>
        <v>0.002833520061</v>
      </c>
      <c r="S505" s="1">
        <f t="shared" si="2"/>
        <v>-118</v>
      </c>
      <c r="T505" s="1">
        <f t="shared" si="3"/>
        <v>1.847457627</v>
      </c>
      <c r="U505" s="1">
        <f t="shared" si="4"/>
        <v>0</v>
      </c>
      <c r="V505" s="3">
        <f t="shared" si="5"/>
        <v>1</v>
      </c>
      <c r="W505" s="3">
        <f t="shared" si="6"/>
        <v>3</v>
      </c>
      <c r="X505" s="3" t="str">
        <f>IFERROR(__xludf.DUMMYFUNCTION("split(B505,"" "")"),"D.")</f>
        <v>D.</v>
      </c>
      <c r="Y505" s="3" t="str">
        <f>IFERROR(__xludf.DUMMYFUNCTION("""COMPUTED_VALUE"""),"Achane")</f>
        <v>Achane</v>
      </c>
      <c r="AA505" s="3">
        <v>76.0</v>
      </c>
      <c r="AB505" s="3">
        <f t="shared" si="7"/>
        <v>1</v>
      </c>
      <c r="AC505" s="3">
        <f t="shared" si="8"/>
        <v>0</v>
      </c>
      <c r="AD505" s="3">
        <f t="shared" si="9"/>
        <v>0.8474576271</v>
      </c>
      <c r="AE505" s="3">
        <f t="shared" si="10"/>
        <v>-1</v>
      </c>
      <c r="AG505" s="3">
        <f t="shared" si="12"/>
        <v>-2.377777778</v>
      </c>
    </row>
    <row r="506">
      <c r="A506" s="1" t="s">
        <v>12</v>
      </c>
      <c r="B506" s="1" t="s">
        <v>395</v>
      </c>
      <c r="C506" s="1" t="s">
        <v>18</v>
      </c>
      <c r="D506" s="1" t="s">
        <v>88</v>
      </c>
      <c r="E506" s="1" t="s">
        <v>89</v>
      </c>
      <c r="F506" s="1" t="s">
        <v>90</v>
      </c>
      <c r="G506" s="1">
        <v>6.5</v>
      </c>
      <c r="H506" s="1" t="s">
        <v>60</v>
      </c>
      <c r="I506" s="1">
        <v>-144.0</v>
      </c>
      <c r="J506" s="1">
        <v>0.00263606557377049</v>
      </c>
      <c r="K506" s="1" t="s">
        <v>61</v>
      </c>
      <c r="L506" s="1" t="s">
        <v>61</v>
      </c>
      <c r="M506" s="1" t="s">
        <v>62</v>
      </c>
      <c r="N506" s="1">
        <v>111.0</v>
      </c>
      <c r="O506" s="1">
        <v>-0.0667336492890994</v>
      </c>
      <c r="P506" s="1" t="s">
        <v>61</v>
      </c>
      <c r="Q506" s="1" t="s">
        <v>61</v>
      </c>
      <c r="R506" s="1">
        <f t="shared" si="1"/>
        <v>0.002636065574</v>
      </c>
      <c r="S506" s="1">
        <f t="shared" si="2"/>
        <v>-144</v>
      </c>
      <c r="T506" s="1">
        <f t="shared" si="3"/>
        <v>1.694444444</v>
      </c>
      <c r="U506" s="1">
        <f t="shared" si="4"/>
        <v>1</v>
      </c>
      <c r="V506" s="3">
        <f t="shared" si="5"/>
        <v>1</v>
      </c>
      <c r="W506" s="3">
        <f t="shared" si="6"/>
        <v>3</v>
      </c>
      <c r="X506" s="3" t="str">
        <f>IFERROR(__xludf.DUMMYFUNCTION("split(B506,"" "")"),"C.")</f>
        <v>C.</v>
      </c>
      <c r="Y506" s="3" t="str">
        <f>IFERROR(__xludf.DUMMYFUNCTION("""COMPUTED_VALUE"""),"Lamb")</f>
        <v>Lamb</v>
      </c>
      <c r="AA506" s="3">
        <v>5.0</v>
      </c>
      <c r="AB506" s="3">
        <f t="shared" si="7"/>
        <v>0</v>
      </c>
      <c r="AC506" s="3">
        <f t="shared" si="8"/>
        <v>0</v>
      </c>
      <c r="AD506" s="3">
        <f t="shared" si="9"/>
        <v>0.6944444444</v>
      </c>
      <c r="AE506" s="3">
        <f t="shared" si="10"/>
        <v>-1</v>
      </c>
      <c r="AG506" s="3">
        <f t="shared" si="12"/>
        <v>-0.2307692308</v>
      </c>
    </row>
    <row r="507">
      <c r="A507" s="1" t="s">
        <v>11</v>
      </c>
      <c r="B507" s="1" t="s">
        <v>307</v>
      </c>
      <c r="C507" s="1" t="s">
        <v>18</v>
      </c>
      <c r="D507" s="1" t="s">
        <v>113</v>
      </c>
      <c r="E507" s="1" t="s">
        <v>114</v>
      </c>
      <c r="F507" s="1" t="s">
        <v>90</v>
      </c>
      <c r="G507" s="1">
        <v>24.5</v>
      </c>
      <c r="H507" s="1" t="s">
        <v>60</v>
      </c>
      <c r="I507" s="1">
        <v>-118.0</v>
      </c>
      <c r="J507" s="1">
        <v>-0.0743732234516605</v>
      </c>
      <c r="K507" s="1" t="s">
        <v>61</v>
      </c>
      <c r="L507" s="1" t="s">
        <v>61</v>
      </c>
      <c r="M507" s="1" t="s">
        <v>62</v>
      </c>
      <c r="N507" s="1">
        <v>-113.0</v>
      </c>
      <c r="O507" s="1">
        <v>0.00263324819287358</v>
      </c>
      <c r="P507" s="1" t="s">
        <v>61</v>
      </c>
      <c r="Q507" s="1" t="s">
        <v>61</v>
      </c>
      <c r="R507" s="1">
        <f t="shared" si="1"/>
        <v>0.002633248193</v>
      </c>
      <c r="S507" s="1">
        <f t="shared" si="2"/>
        <v>-113</v>
      </c>
      <c r="T507" s="1">
        <f t="shared" si="3"/>
        <v>1.884955752</v>
      </c>
      <c r="U507" s="1">
        <f t="shared" si="4"/>
        <v>0</v>
      </c>
      <c r="V507" s="3">
        <f t="shared" si="5"/>
        <v>1</v>
      </c>
      <c r="W507" s="3">
        <f t="shared" si="6"/>
        <v>2</v>
      </c>
      <c r="X507" s="3" t="str">
        <f>IFERROR(__xludf.DUMMYFUNCTION("split(B507,"" "")"),"J.")</f>
        <v>J.</v>
      </c>
      <c r="Y507" s="3" t="str">
        <f>IFERROR(__xludf.DUMMYFUNCTION("""COMPUTED_VALUE"""),"McMillan")</f>
        <v>McMillan</v>
      </c>
      <c r="AA507" s="3">
        <v>32.0</v>
      </c>
      <c r="AB507" s="3">
        <f t="shared" si="7"/>
        <v>1</v>
      </c>
      <c r="AC507" s="3">
        <f t="shared" si="8"/>
        <v>0</v>
      </c>
      <c r="AD507" s="3">
        <f t="shared" si="9"/>
        <v>0.8849557522</v>
      </c>
      <c r="AE507" s="3">
        <f t="shared" si="10"/>
        <v>-1</v>
      </c>
      <c r="AG507" s="3">
        <f t="shared" si="12"/>
        <v>-0.306122449</v>
      </c>
    </row>
    <row r="508">
      <c r="A508" s="1" t="s">
        <v>11</v>
      </c>
      <c r="B508" s="1" t="s">
        <v>466</v>
      </c>
      <c r="C508" s="1" t="s">
        <v>18</v>
      </c>
      <c r="D508" s="1" t="s">
        <v>93</v>
      </c>
      <c r="E508" s="1" t="s">
        <v>94</v>
      </c>
      <c r="F508" s="1" t="s">
        <v>59</v>
      </c>
      <c r="G508" s="1">
        <v>41.5</v>
      </c>
      <c r="H508" s="1" t="s">
        <v>60</v>
      </c>
      <c r="I508" s="1">
        <v>-118.0</v>
      </c>
      <c r="J508" s="1">
        <v>-0.0737311000483487</v>
      </c>
      <c r="K508" s="1" t="s">
        <v>61</v>
      </c>
      <c r="L508" s="1" t="s">
        <v>61</v>
      </c>
      <c r="M508" s="1" t="s">
        <v>62</v>
      </c>
      <c r="N508" s="1">
        <v>-113.0</v>
      </c>
      <c r="O508" s="1">
        <v>0.00193617610510343</v>
      </c>
      <c r="P508" s="1" t="s">
        <v>61</v>
      </c>
      <c r="Q508" s="1" t="s">
        <v>61</v>
      </c>
      <c r="R508" s="1">
        <f t="shared" si="1"/>
        <v>0.001936176105</v>
      </c>
      <c r="S508" s="1">
        <f t="shared" si="2"/>
        <v>-113</v>
      </c>
      <c r="T508" s="1">
        <f t="shared" si="3"/>
        <v>1.884955752</v>
      </c>
      <c r="U508" s="1">
        <f t="shared" si="4"/>
        <v>0</v>
      </c>
      <c r="V508" s="3">
        <f t="shared" si="5"/>
        <v>1</v>
      </c>
      <c r="W508" s="3">
        <f t="shared" si="6"/>
        <v>2</v>
      </c>
      <c r="X508" s="3" t="str">
        <f>IFERROR(__xludf.DUMMYFUNCTION("split(B508,"" "")"),"B.")</f>
        <v>B.</v>
      </c>
      <c r="Y508" s="3" t="str">
        <f>IFERROR(__xludf.DUMMYFUNCTION("""COMPUTED_VALUE"""),"Thomas")</f>
        <v>Thomas</v>
      </c>
      <c r="Z508" s="3" t="str">
        <f>IFERROR(__xludf.DUMMYFUNCTION("""COMPUTED_VALUE"""),"Jr.")</f>
        <v>Jr.</v>
      </c>
      <c r="AA508" s="3">
        <v>47.0</v>
      </c>
      <c r="AB508" s="3">
        <f t="shared" si="7"/>
        <v>1</v>
      </c>
      <c r="AC508" s="3">
        <f t="shared" si="8"/>
        <v>0</v>
      </c>
      <c r="AD508" s="3">
        <f t="shared" si="9"/>
        <v>0.8849557522</v>
      </c>
      <c r="AE508" s="3">
        <f t="shared" si="10"/>
        <v>-1</v>
      </c>
      <c r="AG508" s="3">
        <f t="shared" si="12"/>
        <v>-0.1325301205</v>
      </c>
    </row>
    <row r="509">
      <c r="A509" s="1" t="s">
        <v>11</v>
      </c>
      <c r="B509" s="1" t="s">
        <v>408</v>
      </c>
      <c r="C509" s="1" t="s">
        <v>19</v>
      </c>
      <c r="D509" s="1" t="s">
        <v>114</v>
      </c>
      <c r="E509" s="1" t="s">
        <v>113</v>
      </c>
      <c r="F509" s="1" t="s">
        <v>90</v>
      </c>
      <c r="G509" s="1">
        <v>19.5</v>
      </c>
      <c r="H509" s="1" t="s">
        <v>60</v>
      </c>
      <c r="I509" s="1">
        <v>-113.0</v>
      </c>
      <c r="J509" s="1">
        <v>-0.0733632141747088</v>
      </c>
      <c r="K509" s="1" t="s">
        <v>61</v>
      </c>
      <c r="L509" s="1" t="s">
        <v>61</v>
      </c>
      <c r="M509" s="1" t="s">
        <v>62</v>
      </c>
      <c r="N509" s="1">
        <v>-118.0</v>
      </c>
      <c r="O509" s="1">
        <v>0.00156953325996023</v>
      </c>
      <c r="P509" s="1" t="s">
        <v>61</v>
      </c>
      <c r="Q509" s="1" t="s">
        <v>61</v>
      </c>
      <c r="R509" s="1">
        <f t="shared" si="1"/>
        <v>0.00156953326</v>
      </c>
      <c r="S509" s="1">
        <f t="shared" si="2"/>
        <v>-118</v>
      </c>
      <c r="T509" s="1">
        <f t="shared" si="3"/>
        <v>1.847457627</v>
      </c>
      <c r="U509" s="1">
        <f t="shared" si="4"/>
        <v>0</v>
      </c>
      <c r="V509" s="3">
        <f t="shared" si="5"/>
        <v>1</v>
      </c>
      <c r="W509" s="3">
        <f t="shared" si="6"/>
        <v>3</v>
      </c>
      <c r="X509" s="3" t="str">
        <f>IFERROR(__xludf.DUMMYFUNCTION("split(B509,"" "")"),"A.")</f>
        <v>A.</v>
      </c>
      <c r="Y509" s="3" t="str">
        <f>IFERROR(__xludf.DUMMYFUNCTION("""COMPUTED_VALUE"""),"Ekeler")</f>
        <v>Ekeler</v>
      </c>
      <c r="AA509" s="3">
        <v>52.0</v>
      </c>
      <c r="AB509" s="3">
        <f t="shared" si="7"/>
        <v>1</v>
      </c>
      <c r="AC509" s="3">
        <f t="shared" si="8"/>
        <v>0</v>
      </c>
      <c r="AD509" s="3">
        <f t="shared" si="9"/>
        <v>0.8474576271</v>
      </c>
      <c r="AE509" s="3">
        <f t="shared" si="10"/>
        <v>-1</v>
      </c>
      <c r="AG509" s="3">
        <f t="shared" si="12"/>
        <v>-1.666666667</v>
      </c>
    </row>
    <row r="510">
      <c r="A510" s="1" t="s">
        <v>12</v>
      </c>
      <c r="B510" s="1" t="s">
        <v>334</v>
      </c>
      <c r="C510" s="1" t="s">
        <v>18</v>
      </c>
      <c r="D510" s="1" t="s">
        <v>82</v>
      </c>
      <c r="E510" s="1" t="s">
        <v>83</v>
      </c>
      <c r="F510" s="1" t="s">
        <v>84</v>
      </c>
      <c r="G510" s="1">
        <v>4.5</v>
      </c>
      <c r="H510" s="1" t="s">
        <v>60</v>
      </c>
      <c r="I510" s="1">
        <v>125.0</v>
      </c>
      <c r="J510" s="1">
        <v>5.11111111111128E-4</v>
      </c>
      <c r="K510" s="1" t="s">
        <v>61</v>
      </c>
      <c r="L510" s="1" t="s">
        <v>61</v>
      </c>
      <c r="M510" s="1" t="s">
        <v>62</v>
      </c>
      <c r="N510" s="1">
        <v>-164.0</v>
      </c>
      <c r="O510" s="1">
        <v>-0.0661742424242425</v>
      </c>
      <c r="P510" s="1" t="s">
        <v>61</v>
      </c>
      <c r="Q510" s="1" t="s">
        <v>61</v>
      </c>
      <c r="R510" s="1">
        <f t="shared" si="1"/>
        <v>0.0005111111111</v>
      </c>
      <c r="S510" s="1">
        <f t="shared" si="2"/>
        <v>125</v>
      </c>
      <c r="T510" s="1">
        <f t="shared" si="3"/>
        <v>2.25</v>
      </c>
      <c r="U510" s="1">
        <f t="shared" si="4"/>
        <v>1</v>
      </c>
      <c r="V510" s="3">
        <f t="shared" si="5"/>
        <v>1</v>
      </c>
      <c r="W510" s="3">
        <f t="shared" si="6"/>
        <v>1</v>
      </c>
      <c r="X510" s="3" t="str">
        <f>IFERROR(__xludf.DUMMYFUNCTION("split(B510,"" "")"),"J.")</f>
        <v>J.</v>
      </c>
      <c r="Y510" s="3" t="str">
        <f>IFERROR(__xludf.DUMMYFUNCTION("""COMPUTED_VALUE"""),"Smith-Njigba")</f>
        <v>Smith-Njigba</v>
      </c>
      <c r="AA510" s="3">
        <v>2.0</v>
      </c>
      <c r="AB510" s="3">
        <f t="shared" si="7"/>
        <v>0</v>
      </c>
      <c r="AC510" s="3">
        <f t="shared" si="8"/>
        <v>0</v>
      </c>
      <c r="AD510" s="3">
        <f t="shared" si="9"/>
        <v>1.25</v>
      </c>
      <c r="AE510" s="3">
        <f t="shared" si="10"/>
        <v>-1</v>
      </c>
      <c r="AG510" s="3">
        <f t="shared" si="12"/>
        <v>-0.5555555556</v>
      </c>
    </row>
    <row r="511">
      <c r="A511" s="1" t="s">
        <v>9</v>
      </c>
      <c r="B511" s="1" t="s">
        <v>344</v>
      </c>
      <c r="C511" s="1" t="s">
        <v>18</v>
      </c>
      <c r="D511" s="1" t="s">
        <v>157</v>
      </c>
      <c r="E511" s="1" t="s">
        <v>156</v>
      </c>
      <c r="F511" s="1" t="s">
        <v>158</v>
      </c>
      <c r="G511" s="1">
        <v>39.5</v>
      </c>
      <c r="H511" s="1" t="s">
        <v>60</v>
      </c>
      <c r="I511" s="1">
        <v>-118.0</v>
      </c>
      <c r="J511" s="6">
        <v>3.72895270274065E-4</v>
      </c>
      <c r="K511" s="1" t="s">
        <v>61</v>
      </c>
      <c r="L511" s="1" t="s">
        <v>61</v>
      </c>
      <c r="M511" s="1" t="s">
        <v>62</v>
      </c>
      <c r="N511" s="1">
        <v>-115.0</v>
      </c>
      <c r="O511" s="6">
        <v>-0.0765007202058499</v>
      </c>
      <c r="P511" s="1" t="s">
        <v>61</v>
      </c>
      <c r="Q511" s="1" t="s">
        <v>61</v>
      </c>
      <c r="R511" s="6">
        <f t="shared" si="1"/>
        <v>0.0003728952703</v>
      </c>
      <c r="S511" s="1">
        <f t="shared" si="2"/>
        <v>-118</v>
      </c>
      <c r="T511" s="1">
        <f t="shared" si="3"/>
        <v>1.847457627</v>
      </c>
      <c r="U511" s="1">
        <f t="shared" si="4"/>
        <v>1</v>
      </c>
      <c r="V511" s="3">
        <f t="shared" si="5"/>
        <v>1</v>
      </c>
      <c r="W511" s="3">
        <f t="shared" si="6"/>
        <v>3</v>
      </c>
      <c r="X511" s="3" t="str">
        <f>IFERROR(__xludf.DUMMYFUNCTION("split(B511,"" "")"),"C.")</f>
        <v>C.</v>
      </c>
      <c r="Y511" s="3" t="str">
        <f>IFERROR(__xludf.DUMMYFUNCTION("""COMPUTED_VALUE"""),"Watson")</f>
        <v>Watson</v>
      </c>
      <c r="AA511" s="3">
        <v>25.0</v>
      </c>
      <c r="AB511" s="3">
        <f t="shared" si="7"/>
        <v>0</v>
      </c>
      <c r="AC511" s="3">
        <f t="shared" si="8"/>
        <v>0</v>
      </c>
      <c r="AD511" s="3">
        <f t="shared" si="9"/>
        <v>0.8474576271</v>
      </c>
      <c r="AE511" s="3">
        <f t="shared" si="10"/>
        <v>-1</v>
      </c>
      <c r="AG511" s="3">
        <f t="shared" si="12"/>
        <v>-0.3670886076</v>
      </c>
    </row>
    <row r="512">
      <c r="A512" s="1" t="s">
        <v>8</v>
      </c>
      <c r="B512" s="1" t="s">
        <v>309</v>
      </c>
      <c r="C512" s="1" t="s">
        <v>19</v>
      </c>
      <c r="D512" s="1" t="s">
        <v>77</v>
      </c>
      <c r="E512" s="1" t="s">
        <v>76</v>
      </c>
      <c r="F512" s="1" t="s">
        <v>78</v>
      </c>
      <c r="G512" s="1">
        <v>15.5</v>
      </c>
      <c r="H512" s="1" t="s">
        <v>60</v>
      </c>
      <c r="I512" s="1">
        <v>-127.0</v>
      </c>
      <c r="J512" s="6">
        <v>3.29695198237889E-4</v>
      </c>
      <c r="K512" s="1" t="s">
        <v>61</v>
      </c>
      <c r="L512" s="1" t="s">
        <v>61</v>
      </c>
      <c r="M512" s="1" t="s">
        <v>62</v>
      </c>
      <c r="N512" s="1">
        <v>-105.0</v>
      </c>
      <c r="O512" s="6">
        <v>-0.0719963553682926</v>
      </c>
      <c r="P512" s="1" t="s">
        <v>61</v>
      </c>
      <c r="Q512" s="1" t="s">
        <v>61</v>
      </c>
      <c r="R512" s="6">
        <f t="shared" si="1"/>
        <v>0.0003296951982</v>
      </c>
      <c r="S512" s="1">
        <f t="shared" si="2"/>
        <v>-127</v>
      </c>
      <c r="T512" s="1">
        <f t="shared" si="3"/>
        <v>1.787401575</v>
      </c>
      <c r="U512" s="1">
        <f t="shared" si="4"/>
        <v>1</v>
      </c>
      <c r="V512" s="3">
        <f t="shared" si="5"/>
        <v>1</v>
      </c>
      <c r="W512" s="3">
        <f t="shared" si="6"/>
        <v>3</v>
      </c>
      <c r="X512" s="3" t="str">
        <f>IFERROR(__xludf.DUMMYFUNCTION("split(B512,"" "")"),"D.")</f>
        <v>D.</v>
      </c>
      <c r="Y512" s="3" t="str">
        <f>IFERROR(__xludf.DUMMYFUNCTION("""COMPUTED_VALUE"""),"Henry")</f>
        <v>Henry</v>
      </c>
      <c r="AA512" s="3">
        <v>13.0</v>
      </c>
      <c r="AB512" s="3">
        <f t="shared" si="7"/>
        <v>0</v>
      </c>
      <c r="AC512" s="3">
        <f t="shared" si="8"/>
        <v>0</v>
      </c>
      <c r="AD512" s="3">
        <f t="shared" si="9"/>
        <v>0.7874015748</v>
      </c>
      <c r="AE512" s="3">
        <f t="shared" si="10"/>
        <v>-1</v>
      </c>
      <c r="AG512" s="3">
        <f t="shared" si="12"/>
        <v>-0.1612903226</v>
      </c>
    </row>
    <row r="513">
      <c r="A513" s="1" t="s">
        <v>9</v>
      </c>
      <c r="B513" s="1" t="s">
        <v>359</v>
      </c>
      <c r="C513" s="1" t="s">
        <v>19</v>
      </c>
      <c r="D513" s="1" t="s">
        <v>72</v>
      </c>
      <c r="E513" s="1" t="s">
        <v>71</v>
      </c>
      <c r="F513" s="1" t="s">
        <v>59</v>
      </c>
      <c r="G513" s="1">
        <v>72.5</v>
      </c>
      <c r="H513" s="1" t="s">
        <v>60</v>
      </c>
      <c r="I513" s="1">
        <v>-117.0</v>
      </c>
      <c r="J513" s="1">
        <v>-0.0743664879846989</v>
      </c>
      <c r="K513" s="1" t="s">
        <v>61</v>
      </c>
      <c r="L513" s="1" t="s">
        <v>61</v>
      </c>
      <c r="M513" s="1" t="s">
        <v>62</v>
      </c>
      <c r="N513" s="1">
        <v>-115.0</v>
      </c>
      <c r="O513" s="1">
        <v>2.79474774798171E-4</v>
      </c>
      <c r="P513" s="1" t="s">
        <v>61</v>
      </c>
      <c r="Q513" s="1" t="s">
        <v>61</v>
      </c>
      <c r="R513" s="1">
        <f t="shared" si="1"/>
        <v>0.0002794747748</v>
      </c>
      <c r="S513" s="1">
        <f t="shared" si="2"/>
        <v>-115</v>
      </c>
      <c r="T513" s="1">
        <f t="shared" si="3"/>
        <v>1.869565217</v>
      </c>
      <c r="U513" s="1">
        <f t="shared" si="4"/>
        <v>0</v>
      </c>
      <c r="V513" s="3">
        <f t="shared" si="5"/>
        <v>1</v>
      </c>
      <c r="W513" s="3">
        <f t="shared" si="6"/>
        <v>2</v>
      </c>
      <c r="X513" s="3" t="str">
        <f>IFERROR(__xludf.DUMMYFUNCTION("split(B513,"" "")"),"J.")</f>
        <v>J.</v>
      </c>
      <c r="Y513" s="3" t="str">
        <f>IFERROR(__xludf.DUMMYFUNCTION("""COMPUTED_VALUE"""),"Mixon")</f>
        <v>Mixon</v>
      </c>
      <c r="AA513" s="3">
        <v>178.0</v>
      </c>
      <c r="AB513" s="3">
        <f t="shared" si="7"/>
        <v>1</v>
      </c>
      <c r="AC513" s="3">
        <f t="shared" si="8"/>
        <v>0</v>
      </c>
      <c r="AD513" s="3">
        <f t="shared" si="9"/>
        <v>0.8695652174</v>
      </c>
      <c r="AE513" s="3">
        <f t="shared" si="10"/>
        <v>-1</v>
      </c>
      <c r="AG513" s="3">
        <f t="shared" si="12"/>
        <v>-1.455172414</v>
      </c>
    </row>
    <row r="514">
      <c r="A514" s="1" t="s">
        <v>9</v>
      </c>
      <c r="B514" s="1" t="s">
        <v>495</v>
      </c>
      <c r="C514" s="1" t="s">
        <v>18</v>
      </c>
      <c r="D514" s="1" t="s">
        <v>72</v>
      </c>
      <c r="E514" s="1" t="s">
        <v>71</v>
      </c>
      <c r="F514" s="1" t="s">
        <v>59</v>
      </c>
      <c r="G514" s="1">
        <v>68.0</v>
      </c>
      <c r="H514" s="1" t="s">
        <v>60</v>
      </c>
      <c r="I514" s="1">
        <v>-117.0</v>
      </c>
      <c r="J514" s="1">
        <v>-0.0793792990126538</v>
      </c>
      <c r="K514" s="1" t="s">
        <v>61</v>
      </c>
      <c r="L514" s="1" t="s">
        <v>61</v>
      </c>
      <c r="M514" s="1" t="s">
        <v>62</v>
      </c>
      <c r="N514" s="1">
        <v>-118.0</v>
      </c>
      <c r="O514" s="1">
        <v>1.82950941193471E-4</v>
      </c>
      <c r="P514" s="1" t="s">
        <v>61</v>
      </c>
      <c r="Q514" s="1" t="s">
        <v>61</v>
      </c>
      <c r="R514" s="1">
        <f t="shared" si="1"/>
        <v>0.0001829509412</v>
      </c>
      <c r="S514" s="1">
        <f t="shared" si="2"/>
        <v>-118</v>
      </c>
      <c r="T514" s="1">
        <f t="shared" si="3"/>
        <v>1.847457627</v>
      </c>
      <c r="U514" s="1">
        <f t="shared" si="4"/>
        <v>0</v>
      </c>
      <c r="V514" s="3">
        <f t="shared" si="5"/>
        <v>1</v>
      </c>
      <c r="W514" s="3">
        <f t="shared" si="6"/>
        <v>3</v>
      </c>
      <c r="X514" s="3" t="str">
        <f>IFERROR(__xludf.DUMMYFUNCTION("split(B514,"" "")"),"N.")</f>
        <v>N.</v>
      </c>
      <c r="Y514" s="3" t="str">
        <f>IFERROR(__xludf.DUMMYFUNCTION("""COMPUTED_VALUE"""),"Collins")</f>
        <v>Collins</v>
      </c>
      <c r="AA514" s="3">
        <v>117.0</v>
      </c>
      <c r="AB514" s="3">
        <f t="shared" si="7"/>
        <v>1</v>
      </c>
      <c r="AC514" s="3">
        <f t="shared" si="8"/>
        <v>0</v>
      </c>
      <c r="AD514" s="3">
        <f t="shared" si="9"/>
        <v>0.8474576271</v>
      </c>
      <c r="AE514" s="3">
        <f t="shared" si="10"/>
        <v>-1</v>
      </c>
      <c r="AG514" s="3">
        <f t="shared" si="12"/>
        <v>-0.7205882353</v>
      </c>
    </row>
    <row r="515">
      <c r="A515" s="1" t="s">
        <v>11</v>
      </c>
      <c r="B515" s="1" t="s">
        <v>496</v>
      </c>
      <c r="C515" s="1" t="s">
        <v>18</v>
      </c>
      <c r="D515" s="1" t="s">
        <v>164</v>
      </c>
      <c r="E515" s="1" t="s">
        <v>165</v>
      </c>
      <c r="F515" s="1" t="s">
        <v>166</v>
      </c>
      <c r="G515" s="1">
        <v>51.5</v>
      </c>
      <c r="H515" s="1" t="s">
        <v>60</v>
      </c>
      <c r="I515" s="1">
        <v>-125.0</v>
      </c>
      <c r="J515" s="1">
        <v>-0.117445154669666</v>
      </c>
      <c r="K515" s="1" t="s">
        <v>61</v>
      </c>
      <c r="L515" s="1" t="s">
        <v>61</v>
      </c>
      <c r="M515" s="1" t="s">
        <v>62</v>
      </c>
      <c r="N515" s="1">
        <v>-108.0</v>
      </c>
      <c r="O515" s="1">
        <v>0.0426734293564615</v>
      </c>
      <c r="P515" s="1" t="s">
        <v>61</v>
      </c>
      <c r="Q515" s="1" t="s">
        <v>61</v>
      </c>
      <c r="R515" s="1">
        <f t="shared" si="1"/>
        <v>0.04267342936</v>
      </c>
      <c r="S515" s="1">
        <f t="shared" si="2"/>
        <v>-108</v>
      </c>
      <c r="T515" s="1">
        <f t="shared" si="3"/>
        <v>1.925925926</v>
      </c>
      <c r="U515" s="1">
        <f t="shared" si="4"/>
        <v>0</v>
      </c>
      <c r="V515" s="3">
        <f t="shared" si="5"/>
        <v>1</v>
      </c>
      <c r="W515" s="3">
        <f t="shared" si="6"/>
        <v>2</v>
      </c>
      <c r="X515" s="3" t="str">
        <f>IFERROR(__xludf.DUMMYFUNCTION("split(B515,"" "")"),"D.")</f>
        <v>D.</v>
      </c>
      <c r="Y515" s="3" t="str">
        <f>IFERROR(__xludf.DUMMYFUNCTION("""COMPUTED_VALUE"""),"Samuel")</f>
        <v>Samuel</v>
      </c>
      <c r="AA515" s="3">
        <v>54.0</v>
      </c>
      <c r="AB515" s="3">
        <f t="shared" si="7"/>
        <v>1</v>
      </c>
      <c r="AC515" s="3">
        <f t="shared" si="8"/>
        <v>0</v>
      </c>
      <c r="AD515" s="3">
        <f t="shared" si="9"/>
        <v>0.9259259259</v>
      </c>
      <c r="AE515" s="3">
        <f t="shared" si="10"/>
        <v>-1</v>
      </c>
      <c r="AG515" s="3">
        <f t="shared" si="12"/>
        <v>-0.04854368932</v>
      </c>
    </row>
    <row r="516">
      <c r="A516" s="1" t="s">
        <v>9</v>
      </c>
      <c r="B516" s="1" t="s">
        <v>496</v>
      </c>
      <c r="C516" s="1" t="s">
        <v>18</v>
      </c>
      <c r="D516" s="1" t="s">
        <v>164</v>
      </c>
      <c r="E516" s="1" t="s">
        <v>165</v>
      </c>
      <c r="F516" s="1" t="s">
        <v>166</v>
      </c>
      <c r="G516" s="1">
        <v>71.5</v>
      </c>
      <c r="H516" s="1" t="s">
        <v>60</v>
      </c>
      <c r="I516" s="1">
        <v>-121.0</v>
      </c>
      <c r="J516" s="1">
        <v>-0.11706369873819</v>
      </c>
      <c r="K516" s="1" t="s">
        <v>61</v>
      </c>
      <c r="L516" s="1" t="s">
        <v>61</v>
      </c>
      <c r="M516" s="1" t="s">
        <v>62</v>
      </c>
      <c r="N516" s="1">
        <v>-113.0</v>
      </c>
      <c r="O516" s="1">
        <v>0.0390622323281145</v>
      </c>
      <c r="P516" s="1" t="s">
        <v>61</v>
      </c>
      <c r="Q516" s="1" t="s">
        <v>61</v>
      </c>
      <c r="R516" s="1">
        <f t="shared" si="1"/>
        <v>0.03906223233</v>
      </c>
      <c r="S516" s="1">
        <f t="shared" si="2"/>
        <v>-113</v>
      </c>
      <c r="T516" s="1">
        <f t="shared" si="3"/>
        <v>1.884955752</v>
      </c>
      <c r="U516" s="1">
        <f t="shared" si="4"/>
        <v>0</v>
      </c>
      <c r="V516" s="3">
        <f t="shared" si="5"/>
        <v>1</v>
      </c>
      <c r="W516" s="3">
        <f t="shared" si="6"/>
        <v>2</v>
      </c>
      <c r="X516" s="3" t="str">
        <f>IFERROR(__xludf.DUMMYFUNCTION("split(B516,"" "")"),"D.")</f>
        <v>D.</v>
      </c>
      <c r="Y516" s="3" t="str">
        <f>IFERROR(__xludf.DUMMYFUNCTION("""COMPUTED_VALUE"""),"Samuel")</f>
        <v>Samuel</v>
      </c>
      <c r="AA516" s="3">
        <v>77.0</v>
      </c>
      <c r="AB516" s="3">
        <f t="shared" si="7"/>
        <v>1</v>
      </c>
      <c r="AC516" s="3">
        <f t="shared" si="8"/>
        <v>0</v>
      </c>
      <c r="AD516" s="3">
        <f t="shared" si="9"/>
        <v>0.8849557522</v>
      </c>
      <c r="AE516" s="3">
        <f t="shared" si="10"/>
        <v>-1</v>
      </c>
      <c r="AG516" s="3">
        <f t="shared" si="12"/>
        <v>-0.07692307692</v>
      </c>
    </row>
    <row r="517">
      <c r="A517" s="1" t="s">
        <v>11</v>
      </c>
      <c r="B517" s="1" t="s">
        <v>336</v>
      </c>
      <c r="C517" s="1" t="s">
        <v>19</v>
      </c>
      <c r="D517" s="1" t="s">
        <v>165</v>
      </c>
      <c r="E517" s="1" t="s">
        <v>164</v>
      </c>
      <c r="F517" s="1" t="s">
        <v>166</v>
      </c>
      <c r="G517" s="1">
        <v>28.5</v>
      </c>
      <c r="H517" s="1" t="s">
        <v>60</v>
      </c>
      <c r="I517" s="1">
        <v>-121.0</v>
      </c>
      <c r="J517" s="1">
        <v>-0.106086665338778</v>
      </c>
      <c r="K517" s="1" t="s">
        <v>61</v>
      </c>
      <c r="L517" s="1" t="s">
        <v>61</v>
      </c>
      <c r="M517" s="1" t="s">
        <v>62</v>
      </c>
      <c r="N517" s="1">
        <v>-109.0</v>
      </c>
      <c r="O517" s="1">
        <v>0.0371015254232456</v>
      </c>
      <c r="P517" s="1" t="s">
        <v>61</v>
      </c>
      <c r="Q517" s="1" t="s">
        <v>61</v>
      </c>
      <c r="R517" s="1">
        <f t="shared" si="1"/>
        <v>0.03710152542</v>
      </c>
      <c r="S517" s="1">
        <f t="shared" si="2"/>
        <v>-109</v>
      </c>
      <c r="T517" s="1">
        <f t="shared" si="3"/>
        <v>1.917431193</v>
      </c>
      <c r="U517" s="1">
        <f t="shared" si="4"/>
        <v>0</v>
      </c>
      <c r="V517" s="3">
        <f t="shared" si="5"/>
        <v>1</v>
      </c>
      <c r="W517" s="3">
        <f t="shared" si="6"/>
        <v>2</v>
      </c>
      <c r="X517" s="3" t="str">
        <f>IFERROR(__xludf.DUMMYFUNCTION("split(B517,"" "")"),"B.")</f>
        <v>B.</v>
      </c>
      <c r="Y517" s="3" t="str">
        <f>IFERROR(__xludf.DUMMYFUNCTION("""COMPUTED_VALUE"""),"Hall")</f>
        <v>Hall</v>
      </c>
      <c r="AA517" s="3">
        <v>39.0</v>
      </c>
      <c r="AB517" s="3">
        <f t="shared" si="7"/>
        <v>1</v>
      </c>
      <c r="AC517" s="3">
        <f t="shared" si="8"/>
        <v>0</v>
      </c>
      <c r="AD517" s="3">
        <f t="shared" si="9"/>
        <v>0.9174311927</v>
      </c>
      <c r="AE517" s="3">
        <f t="shared" si="10"/>
        <v>-1</v>
      </c>
      <c r="AG517" s="3">
        <f t="shared" si="12"/>
        <v>-0.3684210526</v>
      </c>
    </row>
    <row r="518">
      <c r="A518" s="1" t="s">
        <v>9</v>
      </c>
      <c r="B518" s="1" t="s">
        <v>255</v>
      </c>
      <c r="C518" s="1" t="s">
        <v>18</v>
      </c>
      <c r="D518" s="1" t="s">
        <v>164</v>
      </c>
      <c r="E518" s="1" t="s">
        <v>165</v>
      </c>
      <c r="F518" s="1" t="s">
        <v>166</v>
      </c>
      <c r="G518" s="1">
        <v>52.5</v>
      </c>
      <c r="H518" s="1" t="s">
        <v>60</v>
      </c>
      <c r="I518" s="1">
        <v>-110.0</v>
      </c>
      <c r="J518" s="1">
        <v>0.0211626910775367</v>
      </c>
      <c r="K518" s="1" t="s">
        <v>61</v>
      </c>
      <c r="L518" s="1" t="s">
        <v>61</v>
      </c>
      <c r="M518" s="1" t="s">
        <v>62</v>
      </c>
      <c r="N518" s="1">
        <v>-120.0</v>
      </c>
      <c r="O518" s="1">
        <v>-0.090422718870633</v>
      </c>
      <c r="P518" s="1" t="s">
        <v>61</v>
      </c>
      <c r="Q518" s="1" t="s">
        <v>61</v>
      </c>
      <c r="R518" s="1">
        <f t="shared" si="1"/>
        <v>0.02116269108</v>
      </c>
      <c r="S518" s="1">
        <f t="shared" si="2"/>
        <v>-110</v>
      </c>
      <c r="T518" s="1">
        <f t="shared" si="3"/>
        <v>1.909090909</v>
      </c>
      <c r="U518" s="1">
        <f t="shared" si="4"/>
        <v>1</v>
      </c>
      <c r="V518" s="3">
        <f t="shared" si="5"/>
        <v>1</v>
      </c>
      <c r="W518" s="3">
        <f t="shared" si="6"/>
        <v>2</v>
      </c>
      <c r="X518" s="3" t="str">
        <f>IFERROR(__xludf.DUMMYFUNCTION("split(B518,"" "")"),"B.")</f>
        <v>B.</v>
      </c>
      <c r="Y518" s="3" t="str">
        <f>IFERROR(__xludf.DUMMYFUNCTION("""COMPUTED_VALUE"""),"Aiyuk")</f>
        <v>Aiyuk</v>
      </c>
      <c r="AA518" s="3">
        <v>28.0</v>
      </c>
      <c r="AB518" s="3">
        <f t="shared" si="7"/>
        <v>0</v>
      </c>
      <c r="AC518" s="3">
        <f t="shared" si="8"/>
        <v>0</v>
      </c>
      <c r="AD518" s="3">
        <f t="shared" si="9"/>
        <v>0.9090909091</v>
      </c>
      <c r="AE518" s="3">
        <f t="shared" si="10"/>
        <v>-1</v>
      </c>
      <c r="AG518" s="3">
        <f t="shared" si="12"/>
        <v>-0.4666666667</v>
      </c>
    </row>
    <row r="519">
      <c r="A519" s="1" t="s">
        <v>11</v>
      </c>
      <c r="B519" s="1" t="s">
        <v>285</v>
      </c>
      <c r="C519" s="1" t="s">
        <v>18</v>
      </c>
      <c r="D519" s="1" t="s">
        <v>164</v>
      </c>
      <c r="E519" s="1" t="s">
        <v>165</v>
      </c>
      <c r="F519" s="1" t="s">
        <v>166</v>
      </c>
      <c r="G519" s="1">
        <v>20.5</v>
      </c>
      <c r="H519" s="1" t="s">
        <v>60</v>
      </c>
      <c r="I519" s="1">
        <v>-117.0</v>
      </c>
      <c r="J519" s="1">
        <v>-0.0947152075537465</v>
      </c>
      <c r="K519" s="1" t="s">
        <v>61</v>
      </c>
      <c r="L519" s="1" t="s">
        <v>61</v>
      </c>
      <c r="M519" s="1" t="s">
        <v>62</v>
      </c>
      <c r="N519" s="1">
        <v>-116.0</v>
      </c>
      <c r="O519" s="1">
        <v>0.0185315928029123</v>
      </c>
      <c r="P519" s="1" t="s">
        <v>61</v>
      </c>
      <c r="Q519" s="1" t="s">
        <v>61</v>
      </c>
      <c r="R519" s="1">
        <f t="shared" si="1"/>
        <v>0.0185315928</v>
      </c>
      <c r="S519" s="1">
        <f t="shared" si="2"/>
        <v>-116</v>
      </c>
      <c r="T519" s="1">
        <f t="shared" si="3"/>
        <v>1.862068966</v>
      </c>
      <c r="U519" s="1">
        <f t="shared" si="4"/>
        <v>0</v>
      </c>
      <c r="V519" s="3">
        <f t="shared" si="5"/>
        <v>1</v>
      </c>
      <c r="W519" s="3">
        <f t="shared" si="6"/>
        <v>2</v>
      </c>
      <c r="X519" s="3" t="str">
        <f>IFERROR(__xludf.DUMMYFUNCTION("split(B519,"" "")"),"J.")</f>
        <v>J.</v>
      </c>
      <c r="Y519" s="3" t="str">
        <f>IFERROR(__xludf.DUMMYFUNCTION("""COMPUTED_VALUE"""),"Jennings")</f>
        <v>Jennings</v>
      </c>
      <c r="AA519" s="3">
        <v>64.0</v>
      </c>
      <c r="AB519" s="3">
        <f t="shared" si="7"/>
        <v>1</v>
      </c>
      <c r="AC519" s="3">
        <f t="shared" si="8"/>
        <v>0</v>
      </c>
      <c r="AD519" s="3">
        <f t="shared" si="9"/>
        <v>0.8620689655</v>
      </c>
      <c r="AE519" s="3">
        <f t="shared" si="10"/>
        <v>-1</v>
      </c>
      <c r="AG519" s="3">
        <f t="shared" si="12"/>
        <v>-2.12195122</v>
      </c>
    </row>
    <row r="520">
      <c r="A520" s="1" t="s">
        <v>8</v>
      </c>
      <c r="B520" s="1" t="s">
        <v>336</v>
      </c>
      <c r="C520" s="1" t="s">
        <v>19</v>
      </c>
      <c r="D520" s="1" t="s">
        <v>165</v>
      </c>
      <c r="E520" s="1" t="s">
        <v>164</v>
      </c>
      <c r="F520" s="1" t="s">
        <v>166</v>
      </c>
      <c r="G520" s="1">
        <v>15.5</v>
      </c>
      <c r="H520" s="1" t="s">
        <v>60</v>
      </c>
      <c r="I520" s="1">
        <v>-106.0</v>
      </c>
      <c r="J520" s="1">
        <v>-0.0813628815339805</v>
      </c>
      <c r="K520" s="1" t="s">
        <v>61</v>
      </c>
      <c r="L520" s="1" t="s">
        <v>61</v>
      </c>
      <c r="M520" s="1" t="s">
        <v>62</v>
      </c>
      <c r="N520" s="1">
        <v>-125.0</v>
      </c>
      <c r="O520" s="1">
        <v>0.0112441866444443</v>
      </c>
      <c r="P520" s="1" t="s">
        <v>61</v>
      </c>
      <c r="Q520" s="1" t="s">
        <v>61</v>
      </c>
      <c r="R520" s="1">
        <f t="shared" si="1"/>
        <v>0.01124418664</v>
      </c>
      <c r="S520" s="1">
        <f t="shared" si="2"/>
        <v>-125</v>
      </c>
      <c r="T520" s="1">
        <f t="shared" si="3"/>
        <v>1.8</v>
      </c>
      <c r="U520" s="1">
        <f t="shared" si="4"/>
        <v>0</v>
      </c>
      <c r="V520" s="3">
        <f t="shared" si="5"/>
        <v>1</v>
      </c>
      <c r="W520" s="3">
        <f t="shared" si="6"/>
        <v>3</v>
      </c>
      <c r="X520" s="3" t="str">
        <f>IFERROR(__xludf.DUMMYFUNCTION("split(B520,"" "")"),"B.")</f>
        <v>B.</v>
      </c>
      <c r="Y520" s="3" t="str">
        <f>IFERROR(__xludf.DUMMYFUNCTION("""COMPUTED_VALUE"""),"Hall")</f>
        <v>Hall</v>
      </c>
      <c r="AA520" s="3">
        <v>16.0</v>
      </c>
      <c r="AB520" s="3">
        <f t="shared" si="7"/>
        <v>1</v>
      </c>
      <c r="AC520" s="3">
        <f t="shared" si="8"/>
        <v>0</v>
      </c>
      <c r="AD520" s="3">
        <f t="shared" si="9"/>
        <v>0.8</v>
      </c>
      <c r="AE520" s="3">
        <f t="shared" si="10"/>
        <v>-1</v>
      </c>
      <c r="AG520" s="3">
        <f t="shared" si="12"/>
        <v>-0.03225806452</v>
      </c>
    </row>
    <row r="521">
      <c r="A521" s="1" t="s">
        <v>12</v>
      </c>
      <c r="B521" s="1" t="s">
        <v>336</v>
      </c>
      <c r="C521" s="1" t="s">
        <v>19</v>
      </c>
      <c r="D521" s="1" t="s">
        <v>165</v>
      </c>
      <c r="E521" s="1" t="s">
        <v>164</v>
      </c>
      <c r="F521" s="1" t="s">
        <v>166</v>
      </c>
      <c r="G521" s="1">
        <v>4.5</v>
      </c>
      <c r="H521" s="1" t="s">
        <v>60</v>
      </c>
      <c r="I521" s="1">
        <v>118.0</v>
      </c>
      <c r="J521" s="1">
        <v>-0.0758155963302753</v>
      </c>
      <c r="K521" s="1" t="s">
        <v>61</v>
      </c>
      <c r="L521" s="1" t="s">
        <v>61</v>
      </c>
      <c r="M521" s="1" t="s">
        <v>62</v>
      </c>
      <c r="N521" s="1">
        <v>-160.0</v>
      </c>
      <c r="O521" s="1">
        <v>0.00171538461538456</v>
      </c>
      <c r="P521" s="1" t="s">
        <v>61</v>
      </c>
      <c r="Q521" s="1" t="s">
        <v>61</v>
      </c>
      <c r="R521" s="1">
        <f t="shared" si="1"/>
        <v>0.001715384615</v>
      </c>
      <c r="S521" s="1">
        <f t="shared" si="2"/>
        <v>-160</v>
      </c>
      <c r="T521" s="1">
        <f t="shared" si="3"/>
        <v>1.625</v>
      </c>
      <c r="U521" s="1">
        <f t="shared" si="4"/>
        <v>0</v>
      </c>
      <c r="V521" s="3">
        <f t="shared" si="5"/>
        <v>1</v>
      </c>
      <c r="W521" s="3">
        <f t="shared" si="6"/>
        <v>3</v>
      </c>
      <c r="X521" s="3" t="str">
        <f>IFERROR(__xludf.DUMMYFUNCTION("split(B521,"" "")"),"B.")</f>
        <v>B.</v>
      </c>
      <c r="Y521" s="3" t="str">
        <f>IFERROR(__xludf.DUMMYFUNCTION("""COMPUTED_VALUE"""),"Hall")</f>
        <v>Hall</v>
      </c>
      <c r="AA521" s="3">
        <v>5.0</v>
      </c>
      <c r="AB521" s="3">
        <f t="shared" si="7"/>
        <v>1</v>
      </c>
      <c r="AC521" s="3">
        <f t="shared" si="8"/>
        <v>0</v>
      </c>
      <c r="AD521" s="3">
        <f t="shared" si="9"/>
        <v>0.625</v>
      </c>
      <c r="AE521" s="3">
        <f t="shared" si="10"/>
        <v>-1</v>
      </c>
      <c r="AG521" s="3">
        <f t="shared" si="12"/>
        <v>-0.1111111111</v>
      </c>
    </row>
    <row r="522">
      <c r="A522" s="1" t="s">
        <v>10</v>
      </c>
      <c r="B522" s="1" t="s">
        <v>497</v>
      </c>
      <c r="C522" s="1" t="s">
        <v>19</v>
      </c>
      <c r="D522" s="1" t="s">
        <v>164</v>
      </c>
      <c r="E522" s="1" t="s">
        <v>165</v>
      </c>
      <c r="F522" s="1" t="s">
        <v>166</v>
      </c>
      <c r="G522" s="1">
        <v>11.5</v>
      </c>
      <c r="H522" s="1" t="s">
        <v>60</v>
      </c>
      <c r="I522" s="1">
        <v>-145.0</v>
      </c>
      <c r="J522" s="1">
        <v>-0.078369558737758</v>
      </c>
      <c r="K522" s="1" t="s">
        <v>61</v>
      </c>
      <c r="L522" s="1" t="s">
        <v>61</v>
      </c>
      <c r="M522" s="1" t="s">
        <v>62</v>
      </c>
      <c r="N522" s="1">
        <v>106.0</v>
      </c>
      <c r="O522" s="1">
        <v>0.00110214510073164</v>
      </c>
      <c r="P522" s="1" t="s">
        <v>61</v>
      </c>
      <c r="Q522" s="1" t="s">
        <v>61</v>
      </c>
      <c r="R522" s="1">
        <f t="shared" si="1"/>
        <v>0.001102145101</v>
      </c>
      <c r="S522" s="1">
        <f t="shared" si="2"/>
        <v>106</v>
      </c>
      <c r="T522" s="1">
        <f t="shared" si="3"/>
        <v>2.06</v>
      </c>
      <c r="U522" s="1">
        <f t="shared" si="4"/>
        <v>0</v>
      </c>
      <c r="V522" s="3">
        <f t="shared" si="5"/>
        <v>1</v>
      </c>
      <c r="W522" s="3">
        <f t="shared" si="6"/>
        <v>2</v>
      </c>
      <c r="X522" s="3" t="str">
        <f>IFERROR(__xludf.DUMMYFUNCTION("split(B522,"" "")"),"J.")</f>
        <v>J.</v>
      </c>
      <c r="Y522" s="3" t="str">
        <f>IFERROR(__xludf.DUMMYFUNCTION("""COMPUTED_VALUE"""),"Mason")</f>
        <v>Mason</v>
      </c>
      <c r="AA522" s="3">
        <v>147.0</v>
      </c>
      <c r="AB522" s="3">
        <f t="shared" si="7"/>
        <v>1</v>
      </c>
      <c r="AC522" s="3">
        <f t="shared" si="8"/>
        <v>0</v>
      </c>
      <c r="AD522" s="3">
        <f t="shared" si="9"/>
        <v>1.06</v>
      </c>
      <c r="AE522" s="3">
        <f t="shared" si="10"/>
        <v>-1</v>
      </c>
      <c r="AG522" s="3">
        <f t="shared" si="12"/>
        <v>-11.7826087</v>
      </c>
    </row>
    <row r="523">
      <c r="W523" s="3">
        <f t="shared" si="6"/>
        <v>3</v>
      </c>
    </row>
    <row r="524">
      <c r="W524" s="3">
        <f t="shared" si="6"/>
        <v>3</v>
      </c>
    </row>
    <row r="525">
      <c r="W525" s="3">
        <f t="shared" si="6"/>
        <v>3</v>
      </c>
    </row>
    <row r="526">
      <c r="W526" s="3">
        <f t="shared" si="6"/>
        <v>3</v>
      </c>
    </row>
    <row r="527">
      <c r="W527" s="3">
        <f t="shared" si="6"/>
        <v>3</v>
      </c>
    </row>
    <row r="528">
      <c r="W528" s="3">
        <f t="shared" si="6"/>
        <v>3</v>
      </c>
    </row>
    <row r="529">
      <c r="W529" s="3">
        <f t="shared" si="6"/>
        <v>3</v>
      </c>
    </row>
    <row r="530">
      <c r="W530" s="3">
        <f t="shared" si="6"/>
        <v>3</v>
      </c>
    </row>
    <row r="531">
      <c r="W531" s="3">
        <f t="shared" si="6"/>
        <v>3</v>
      </c>
    </row>
    <row r="532">
      <c r="W532" s="3">
        <f t="shared" si="6"/>
        <v>3</v>
      </c>
    </row>
    <row r="533">
      <c r="W533" s="3">
        <f t="shared" si="6"/>
        <v>3</v>
      </c>
    </row>
    <row r="534">
      <c r="W534" s="3">
        <f t="shared" si="6"/>
        <v>3</v>
      </c>
    </row>
    <row r="535">
      <c r="W535" s="3">
        <f t="shared" si="6"/>
        <v>3</v>
      </c>
    </row>
    <row r="536">
      <c r="W536" s="3">
        <f t="shared" si="6"/>
        <v>3</v>
      </c>
    </row>
    <row r="537">
      <c r="W537" s="3">
        <f t="shared" si="6"/>
        <v>3</v>
      </c>
    </row>
    <row r="538">
      <c r="W538" s="3">
        <f t="shared" si="6"/>
        <v>3</v>
      </c>
    </row>
    <row r="539">
      <c r="W539" s="3">
        <f t="shared" si="6"/>
        <v>3</v>
      </c>
    </row>
    <row r="540">
      <c r="W540" s="3">
        <f t="shared" si="6"/>
        <v>3</v>
      </c>
    </row>
    <row r="541">
      <c r="W541" s="3">
        <f t="shared" si="6"/>
        <v>3</v>
      </c>
    </row>
    <row r="542">
      <c r="W542" s="3">
        <f t="shared" si="6"/>
        <v>3</v>
      </c>
    </row>
    <row r="543">
      <c r="W543" s="3">
        <f t="shared" si="6"/>
        <v>3</v>
      </c>
    </row>
    <row r="544">
      <c r="W544" s="3">
        <f t="shared" si="6"/>
        <v>3</v>
      </c>
    </row>
    <row r="545">
      <c r="W545" s="3">
        <f t="shared" si="6"/>
        <v>3</v>
      </c>
    </row>
    <row r="546">
      <c r="J546" s="4"/>
      <c r="O546" s="4"/>
      <c r="W546" s="3">
        <f t="shared" si="6"/>
        <v>3</v>
      </c>
    </row>
    <row r="547">
      <c r="J547" s="4"/>
      <c r="O547" s="4"/>
      <c r="W547" s="3">
        <f t="shared" si="6"/>
        <v>3</v>
      </c>
    </row>
    <row r="548">
      <c r="J548" s="4"/>
      <c r="O548" s="4"/>
      <c r="W548" s="3">
        <f t="shared" si="6"/>
        <v>3</v>
      </c>
    </row>
    <row r="549">
      <c r="J549" s="4"/>
      <c r="O549" s="4"/>
      <c r="W549" s="3">
        <f t="shared" si="6"/>
        <v>3</v>
      </c>
    </row>
    <row r="550">
      <c r="J550" s="4"/>
      <c r="O550" s="4"/>
      <c r="W550" s="3">
        <f t="shared" si="6"/>
        <v>3</v>
      </c>
    </row>
    <row r="551">
      <c r="J551" s="4"/>
      <c r="O551" s="4"/>
      <c r="W551" s="3">
        <f t="shared" si="6"/>
        <v>3</v>
      </c>
    </row>
    <row r="552">
      <c r="J552" s="4"/>
      <c r="O552" s="4"/>
      <c r="W552" s="3">
        <f t="shared" si="6"/>
        <v>3</v>
      </c>
    </row>
    <row r="553">
      <c r="J553" s="4"/>
      <c r="O553" s="4"/>
      <c r="W553" s="3">
        <f t="shared" si="6"/>
        <v>3</v>
      </c>
    </row>
    <row r="554">
      <c r="J554" s="4"/>
      <c r="O554" s="4"/>
      <c r="W554" s="3">
        <f t="shared" si="6"/>
        <v>3</v>
      </c>
    </row>
    <row r="555">
      <c r="J555" s="4"/>
      <c r="O555" s="4"/>
      <c r="W555" s="3">
        <f t="shared" si="6"/>
        <v>3</v>
      </c>
    </row>
    <row r="556">
      <c r="J556" s="4"/>
      <c r="O556" s="4"/>
      <c r="W556" s="3">
        <f t="shared" si="6"/>
        <v>3</v>
      </c>
    </row>
    <row r="557">
      <c r="J557" s="4"/>
      <c r="O557" s="4"/>
      <c r="W557" s="3">
        <f t="shared" si="6"/>
        <v>3</v>
      </c>
    </row>
    <row r="558">
      <c r="J558" s="4"/>
      <c r="O558" s="4"/>
      <c r="W558" s="3">
        <f t="shared" si="6"/>
        <v>3</v>
      </c>
    </row>
    <row r="559">
      <c r="J559" s="4"/>
      <c r="O559" s="4"/>
      <c r="W559" s="3">
        <f t="shared" si="6"/>
        <v>3</v>
      </c>
    </row>
    <row r="560">
      <c r="J560" s="4"/>
      <c r="O560" s="4"/>
      <c r="W560" s="3">
        <f t="shared" si="6"/>
        <v>3</v>
      </c>
    </row>
    <row r="561">
      <c r="J561" s="4"/>
      <c r="O561" s="4"/>
      <c r="W561" s="3">
        <f t="shared" si="6"/>
        <v>3</v>
      </c>
    </row>
    <row r="562">
      <c r="J562" s="4"/>
      <c r="O562" s="4"/>
      <c r="W562" s="3">
        <f t="shared" si="6"/>
        <v>3</v>
      </c>
    </row>
    <row r="563">
      <c r="J563" s="4"/>
      <c r="O563" s="4"/>
      <c r="W563" s="3">
        <f t="shared" si="6"/>
        <v>3</v>
      </c>
    </row>
    <row r="564">
      <c r="J564" s="4"/>
      <c r="O564" s="4"/>
      <c r="W564" s="3">
        <f t="shared" si="6"/>
        <v>3</v>
      </c>
    </row>
    <row r="565">
      <c r="J565" s="4"/>
      <c r="O565" s="4"/>
      <c r="W565" s="3">
        <f t="shared" si="6"/>
        <v>3</v>
      </c>
    </row>
    <row r="566">
      <c r="J566" s="4"/>
      <c r="O566" s="4"/>
      <c r="W566" s="3">
        <f t="shared" si="6"/>
        <v>3</v>
      </c>
    </row>
    <row r="567">
      <c r="J567" s="4"/>
      <c r="O567" s="4"/>
      <c r="W567" s="3">
        <f t="shared" si="6"/>
        <v>3</v>
      </c>
    </row>
    <row r="568">
      <c r="J568" s="4"/>
      <c r="O568" s="4"/>
      <c r="W568" s="3">
        <f t="shared" si="6"/>
        <v>3</v>
      </c>
    </row>
    <row r="569">
      <c r="J569" s="4"/>
      <c r="O569" s="4"/>
      <c r="W569" s="3">
        <f t="shared" si="6"/>
        <v>3</v>
      </c>
    </row>
    <row r="570">
      <c r="J570" s="4"/>
      <c r="O570" s="4"/>
      <c r="W570" s="3">
        <f t="shared" si="6"/>
        <v>3</v>
      </c>
    </row>
    <row r="571">
      <c r="J571" s="4"/>
      <c r="O571" s="4"/>
      <c r="W571" s="3">
        <f t="shared" si="6"/>
        <v>3</v>
      </c>
    </row>
    <row r="572">
      <c r="J572" s="4"/>
      <c r="O572" s="4"/>
      <c r="W572" s="3">
        <f t="shared" si="6"/>
        <v>3</v>
      </c>
    </row>
    <row r="573">
      <c r="J573" s="4"/>
      <c r="O573" s="4"/>
      <c r="W573" s="3">
        <f t="shared" si="6"/>
        <v>3</v>
      </c>
    </row>
    <row r="574">
      <c r="J574" s="4"/>
      <c r="O574" s="4"/>
      <c r="W574" s="3">
        <f t="shared" si="6"/>
        <v>3</v>
      </c>
    </row>
    <row r="575">
      <c r="J575" s="4"/>
      <c r="O575" s="4"/>
      <c r="W575" s="3">
        <f t="shared" si="6"/>
        <v>3</v>
      </c>
    </row>
    <row r="576">
      <c r="J576" s="4"/>
      <c r="O576" s="4"/>
      <c r="W576" s="3">
        <f t="shared" si="6"/>
        <v>3</v>
      </c>
    </row>
    <row r="577">
      <c r="J577" s="4"/>
      <c r="O577" s="4"/>
      <c r="W577" s="3">
        <f t="shared" si="6"/>
        <v>3</v>
      </c>
    </row>
    <row r="578">
      <c r="J578" s="4"/>
      <c r="O578" s="4"/>
      <c r="W578" s="3">
        <f t="shared" si="6"/>
        <v>3</v>
      </c>
    </row>
    <row r="579">
      <c r="J579" s="4"/>
      <c r="O579" s="4"/>
      <c r="W579" s="3">
        <f t="shared" si="6"/>
        <v>3</v>
      </c>
    </row>
    <row r="580">
      <c r="J580" s="4"/>
      <c r="O580" s="4"/>
      <c r="W580" s="3">
        <f t="shared" si="6"/>
        <v>3</v>
      </c>
    </row>
    <row r="581">
      <c r="J581" s="4"/>
      <c r="O581" s="4"/>
      <c r="W581" s="3">
        <f t="shared" si="6"/>
        <v>3</v>
      </c>
    </row>
    <row r="582">
      <c r="J582" s="4"/>
      <c r="O582" s="4"/>
      <c r="W582" s="3">
        <f t="shared" si="6"/>
        <v>3</v>
      </c>
    </row>
    <row r="583">
      <c r="J583" s="4"/>
      <c r="O583" s="4"/>
      <c r="W583" s="3">
        <f t="shared" si="6"/>
        <v>3</v>
      </c>
    </row>
    <row r="584">
      <c r="J584" s="4"/>
      <c r="O584" s="4"/>
      <c r="W584" s="3">
        <f t="shared" si="6"/>
        <v>3</v>
      </c>
    </row>
    <row r="585">
      <c r="J585" s="4"/>
      <c r="O585" s="4"/>
      <c r="W585" s="3">
        <f t="shared" si="6"/>
        <v>3</v>
      </c>
    </row>
    <row r="586">
      <c r="J586" s="4"/>
      <c r="O586" s="4"/>
      <c r="W586" s="3">
        <f t="shared" si="6"/>
        <v>3</v>
      </c>
    </row>
    <row r="587">
      <c r="J587" s="4"/>
      <c r="O587" s="4"/>
      <c r="W587" s="3">
        <f t="shared" si="6"/>
        <v>3</v>
      </c>
    </row>
    <row r="588">
      <c r="J588" s="4"/>
      <c r="O588" s="4"/>
      <c r="W588" s="3">
        <f t="shared" si="6"/>
        <v>3</v>
      </c>
    </row>
    <row r="589">
      <c r="J589" s="4"/>
      <c r="O589" s="4"/>
      <c r="W589" s="3">
        <f t="shared" si="6"/>
        <v>3</v>
      </c>
    </row>
    <row r="590">
      <c r="J590" s="4"/>
      <c r="O590" s="4"/>
      <c r="W590" s="3">
        <f t="shared" si="6"/>
        <v>3</v>
      </c>
    </row>
    <row r="591">
      <c r="J591" s="4"/>
      <c r="O591" s="4"/>
      <c r="W591" s="3">
        <f t="shared" si="6"/>
        <v>3</v>
      </c>
    </row>
    <row r="592">
      <c r="J592" s="4"/>
      <c r="O592" s="4"/>
      <c r="W592" s="3">
        <f t="shared" si="6"/>
        <v>3</v>
      </c>
    </row>
    <row r="593">
      <c r="J593" s="4"/>
      <c r="O593" s="4"/>
      <c r="W593" s="3">
        <f t="shared" si="6"/>
        <v>3</v>
      </c>
    </row>
    <row r="594">
      <c r="J594" s="4"/>
      <c r="O594" s="4"/>
      <c r="W594" s="3">
        <f t="shared" si="6"/>
        <v>3</v>
      </c>
    </row>
    <row r="595">
      <c r="J595" s="4"/>
      <c r="O595" s="4"/>
      <c r="W595" s="3">
        <f t="shared" si="6"/>
        <v>3</v>
      </c>
    </row>
    <row r="596">
      <c r="J596" s="4"/>
      <c r="O596" s="4"/>
      <c r="W596" s="3">
        <f t="shared" si="6"/>
        <v>3</v>
      </c>
    </row>
    <row r="597">
      <c r="J597" s="4"/>
      <c r="O597" s="4"/>
      <c r="W597" s="3">
        <f t="shared" si="6"/>
        <v>3</v>
      </c>
    </row>
    <row r="598">
      <c r="J598" s="4"/>
      <c r="O598" s="4"/>
      <c r="W598" s="3">
        <f t="shared" si="6"/>
        <v>3</v>
      </c>
    </row>
    <row r="599">
      <c r="J599" s="4"/>
      <c r="O599" s="4"/>
      <c r="W599" s="3">
        <f t="shared" si="6"/>
        <v>3</v>
      </c>
    </row>
    <row r="600">
      <c r="J600" s="4"/>
      <c r="O600" s="4"/>
      <c r="W600" s="3">
        <f t="shared" si="6"/>
        <v>3</v>
      </c>
    </row>
    <row r="601">
      <c r="J601" s="4"/>
      <c r="O601" s="4"/>
      <c r="W601" s="3">
        <f t="shared" si="6"/>
        <v>3</v>
      </c>
    </row>
    <row r="602">
      <c r="J602" s="4"/>
      <c r="O602" s="4"/>
      <c r="W602" s="3">
        <f t="shared" si="6"/>
        <v>3</v>
      </c>
    </row>
    <row r="603">
      <c r="J603" s="4"/>
      <c r="O603" s="4"/>
      <c r="W603" s="3">
        <f t="shared" si="6"/>
        <v>3</v>
      </c>
    </row>
    <row r="604">
      <c r="J604" s="4"/>
      <c r="O604" s="4"/>
      <c r="W604" s="3">
        <f t="shared" si="6"/>
        <v>3</v>
      </c>
    </row>
    <row r="605">
      <c r="J605" s="4"/>
      <c r="O605" s="4"/>
      <c r="W605" s="3">
        <f t="shared" si="6"/>
        <v>3</v>
      </c>
    </row>
    <row r="606">
      <c r="J606" s="4"/>
      <c r="O606" s="4"/>
      <c r="W606" s="3">
        <f t="shared" si="6"/>
        <v>3</v>
      </c>
    </row>
    <row r="607">
      <c r="J607" s="4"/>
      <c r="O607" s="4"/>
    </row>
    <row r="608">
      <c r="J608" s="4"/>
      <c r="O608" s="4"/>
    </row>
    <row r="609">
      <c r="J609" s="4"/>
      <c r="O609" s="4"/>
    </row>
    <row r="610">
      <c r="J610" s="4"/>
      <c r="O610" s="4"/>
    </row>
    <row r="611">
      <c r="J611" s="4"/>
      <c r="O611" s="4"/>
    </row>
    <row r="612">
      <c r="J612" s="4"/>
      <c r="O612" s="4"/>
    </row>
    <row r="613">
      <c r="J613" s="4"/>
      <c r="O613" s="4"/>
    </row>
    <row r="614">
      <c r="J614" s="4"/>
      <c r="O614" s="4"/>
    </row>
    <row r="615">
      <c r="J615" s="4"/>
      <c r="O615" s="4"/>
    </row>
    <row r="616">
      <c r="J616" s="4"/>
      <c r="O616" s="4"/>
    </row>
    <row r="617">
      <c r="J617" s="4"/>
      <c r="O617" s="4"/>
    </row>
    <row r="618">
      <c r="J618" s="4"/>
      <c r="O618" s="4"/>
    </row>
    <row r="619">
      <c r="J619" s="4"/>
      <c r="O619" s="4"/>
    </row>
    <row r="620">
      <c r="J620" s="4"/>
      <c r="O620" s="4"/>
    </row>
    <row r="621">
      <c r="J621" s="4"/>
      <c r="O621" s="4"/>
    </row>
    <row r="622">
      <c r="J622" s="4"/>
      <c r="O622" s="4"/>
    </row>
    <row r="623">
      <c r="J623" s="4"/>
      <c r="O623" s="4"/>
    </row>
    <row r="624">
      <c r="J624" s="4"/>
      <c r="O624" s="4"/>
    </row>
    <row r="625">
      <c r="J625" s="4"/>
      <c r="O625" s="4"/>
    </row>
    <row r="626">
      <c r="J626" s="4"/>
      <c r="O626" s="4"/>
    </row>
    <row r="627">
      <c r="J627" s="4"/>
      <c r="O627" s="4"/>
    </row>
    <row r="628">
      <c r="J628" s="4"/>
      <c r="O628" s="4"/>
    </row>
    <row r="629">
      <c r="J629" s="4"/>
      <c r="O629" s="4"/>
    </row>
    <row r="630">
      <c r="J630" s="4"/>
      <c r="O630" s="4"/>
    </row>
    <row r="631">
      <c r="J631" s="4"/>
      <c r="O631" s="4"/>
    </row>
    <row r="632">
      <c r="J632" s="4"/>
      <c r="O632" s="4"/>
    </row>
    <row r="633">
      <c r="J633" s="4"/>
      <c r="O633" s="4"/>
    </row>
    <row r="634">
      <c r="J634" s="4"/>
      <c r="O634" s="4"/>
    </row>
    <row r="635">
      <c r="J635" s="4"/>
      <c r="O635" s="4"/>
    </row>
    <row r="636">
      <c r="J636" s="4"/>
      <c r="O636" s="4"/>
    </row>
    <row r="637">
      <c r="J637" s="4"/>
      <c r="O637" s="4"/>
    </row>
    <row r="638">
      <c r="J638" s="4"/>
      <c r="O638" s="4"/>
    </row>
    <row r="639">
      <c r="J639" s="4"/>
      <c r="O639" s="4"/>
    </row>
    <row r="640">
      <c r="J640" s="4"/>
      <c r="O640" s="4"/>
    </row>
    <row r="641">
      <c r="J641" s="4"/>
      <c r="O641" s="4"/>
    </row>
    <row r="642">
      <c r="J642" s="4"/>
      <c r="O642" s="4"/>
    </row>
    <row r="643">
      <c r="J643" s="4"/>
      <c r="O643" s="4"/>
    </row>
    <row r="644">
      <c r="J644" s="4"/>
      <c r="O644" s="4"/>
    </row>
    <row r="645">
      <c r="J645" s="4"/>
      <c r="O645" s="4"/>
    </row>
    <row r="646">
      <c r="J646" s="4"/>
      <c r="O646" s="4"/>
    </row>
    <row r="647">
      <c r="J647" s="4"/>
      <c r="O647" s="4"/>
    </row>
    <row r="648">
      <c r="J648" s="4"/>
      <c r="O648" s="4"/>
    </row>
    <row r="649">
      <c r="J649" s="4"/>
      <c r="O649" s="4"/>
    </row>
    <row r="650">
      <c r="J650" s="4"/>
      <c r="O650" s="4"/>
    </row>
    <row r="651">
      <c r="J651" s="4"/>
      <c r="O651" s="4"/>
    </row>
    <row r="652">
      <c r="J652" s="4"/>
      <c r="O652" s="4"/>
    </row>
    <row r="653">
      <c r="J653" s="4"/>
      <c r="O653" s="4"/>
    </row>
    <row r="654">
      <c r="J654" s="4"/>
      <c r="O654" s="4"/>
    </row>
    <row r="655">
      <c r="J655" s="4"/>
      <c r="O655" s="4"/>
    </row>
    <row r="656">
      <c r="J656" s="4"/>
      <c r="O656" s="4"/>
    </row>
    <row r="657">
      <c r="J657" s="4"/>
      <c r="O657" s="4"/>
    </row>
    <row r="658">
      <c r="J658" s="4"/>
      <c r="O658" s="4"/>
    </row>
    <row r="659">
      <c r="J659" s="4"/>
      <c r="O659" s="4"/>
    </row>
    <row r="660">
      <c r="J660" s="4"/>
      <c r="O660" s="4"/>
    </row>
    <row r="661">
      <c r="J661" s="4"/>
      <c r="O661" s="4"/>
    </row>
    <row r="662">
      <c r="J662" s="4"/>
      <c r="O662" s="4"/>
    </row>
    <row r="663">
      <c r="J663" s="4"/>
      <c r="O663" s="4"/>
    </row>
    <row r="664">
      <c r="J664" s="4"/>
      <c r="O664" s="4"/>
    </row>
    <row r="665">
      <c r="J665" s="4"/>
      <c r="O665" s="4"/>
    </row>
    <row r="666">
      <c r="J666" s="4"/>
      <c r="O666" s="4"/>
    </row>
    <row r="667">
      <c r="J667" s="4"/>
      <c r="O667" s="4"/>
    </row>
    <row r="668">
      <c r="J668" s="4"/>
      <c r="O668" s="4"/>
    </row>
    <row r="669">
      <c r="J669" s="4"/>
      <c r="O669" s="4"/>
    </row>
    <row r="670">
      <c r="J670" s="4"/>
      <c r="O670" s="4"/>
    </row>
    <row r="671">
      <c r="J671" s="4"/>
      <c r="O671" s="4"/>
    </row>
    <row r="672">
      <c r="J672" s="4"/>
      <c r="O672" s="4"/>
    </row>
    <row r="673">
      <c r="J673" s="4"/>
      <c r="O673" s="4"/>
    </row>
    <row r="674">
      <c r="J674" s="4"/>
      <c r="O674" s="4"/>
    </row>
    <row r="675">
      <c r="J675" s="4"/>
      <c r="O675" s="4"/>
    </row>
    <row r="676">
      <c r="J676" s="4"/>
      <c r="O676" s="4"/>
    </row>
    <row r="677">
      <c r="J677" s="4"/>
      <c r="O677" s="4"/>
    </row>
    <row r="678">
      <c r="J678" s="4"/>
      <c r="O678" s="4"/>
    </row>
    <row r="679">
      <c r="J679" s="4"/>
      <c r="O679" s="4"/>
    </row>
    <row r="680">
      <c r="J680" s="4"/>
      <c r="O680" s="4"/>
    </row>
    <row r="681">
      <c r="J681" s="4"/>
      <c r="O681" s="4"/>
    </row>
    <row r="682">
      <c r="J682" s="4"/>
      <c r="O682" s="4"/>
    </row>
    <row r="683">
      <c r="J683" s="4"/>
      <c r="O683" s="4"/>
    </row>
    <row r="684">
      <c r="J684" s="4"/>
      <c r="O684" s="4"/>
    </row>
    <row r="685">
      <c r="J685" s="4"/>
      <c r="O685" s="4"/>
    </row>
    <row r="686">
      <c r="J686" s="4"/>
      <c r="O686" s="4"/>
    </row>
    <row r="687">
      <c r="J687" s="4"/>
      <c r="O687" s="4"/>
    </row>
    <row r="688">
      <c r="J688" s="4"/>
      <c r="O688" s="4"/>
    </row>
    <row r="689">
      <c r="J689" s="4"/>
      <c r="O689" s="4"/>
    </row>
    <row r="690">
      <c r="J690" s="4"/>
      <c r="O690" s="4"/>
    </row>
    <row r="691">
      <c r="J691" s="4"/>
      <c r="O691" s="4"/>
    </row>
    <row r="692">
      <c r="J692" s="4"/>
      <c r="O692" s="4"/>
    </row>
    <row r="693">
      <c r="J693" s="4"/>
      <c r="O693" s="4"/>
    </row>
    <row r="694">
      <c r="J694" s="4"/>
      <c r="O694" s="4"/>
    </row>
    <row r="695">
      <c r="J695" s="4"/>
      <c r="O695" s="4"/>
    </row>
    <row r="696">
      <c r="J696" s="4"/>
      <c r="O696" s="4"/>
    </row>
    <row r="697">
      <c r="J697" s="4"/>
      <c r="O697" s="4"/>
    </row>
    <row r="698">
      <c r="J698" s="4"/>
      <c r="O698" s="4"/>
    </row>
    <row r="699">
      <c r="J699" s="4"/>
      <c r="O699" s="4"/>
    </row>
    <row r="700">
      <c r="J700" s="4"/>
      <c r="O700" s="4"/>
    </row>
    <row r="701">
      <c r="J701" s="4"/>
      <c r="O701" s="4"/>
    </row>
    <row r="702">
      <c r="J702" s="4"/>
      <c r="O702" s="4"/>
    </row>
    <row r="703">
      <c r="J703" s="4"/>
      <c r="O703" s="4"/>
    </row>
    <row r="704">
      <c r="J704" s="4"/>
      <c r="O704" s="4"/>
    </row>
    <row r="705">
      <c r="J705" s="4"/>
      <c r="O705" s="4"/>
    </row>
    <row r="706">
      <c r="J706" s="4"/>
      <c r="O706" s="4"/>
    </row>
    <row r="707">
      <c r="J707" s="4"/>
      <c r="O707" s="4"/>
    </row>
    <row r="708">
      <c r="J708" s="4"/>
      <c r="O708" s="4"/>
    </row>
    <row r="709">
      <c r="J709" s="4"/>
      <c r="O709" s="4"/>
    </row>
    <row r="710">
      <c r="J710" s="4"/>
      <c r="O710" s="4"/>
    </row>
    <row r="711">
      <c r="J711" s="4"/>
      <c r="O711" s="4"/>
    </row>
    <row r="712">
      <c r="J712" s="4"/>
      <c r="O712" s="4"/>
    </row>
    <row r="713">
      <c r="J713" s="4"/>
      <c r="O713" s="4"/>
    </row>
    <row r="714">
      <c r="J714" s="4"/>
      <c r="O714" s="4"/>
    </row>
    <row r="715">
      <c r="J715" s="4"/>
      <c r="O715" s="4"/>
    </row>
    <row r="716">
      <c r="J716" s="4"/>
      <c r="O716" s="4"/>
    </row>
    <row r="717">
      <c r="J717" s="4"/>
      <c r="O717" s="4"/>
    </row>
    <row r="718">
      <c r="J718" s="4"/>
      <c r="O718" s="4"/>
    </row>
    <row r="719">
      <c r="J719" s="4"/>
      <c r="O719" s="4"/>
    </row>
    <row r="720">
      <c r="J720" s="4"/>
      <c r="O720" s="4"/>
    </row>
    <row r="721">
      <c r="J721" s="4"/>
      <c r="O721" s="4"/>
    </row>
    <row r="722">
      <c r="J722" s="4"/>
      <c r="O722" s="4"/>
    </row>
    <row r="723">
      <c r="J723" s="4"/>
      <c r="O723" s="4"/>
    </row>
    <row r="724">
      <c r="J724" s="4"/>
      <c r="O724" s="4"/>
    </row>
    <row r="725">
      <c r="J725" s="4"/>
      <c r="O725" s="4"/>
    </row>
    <row r="726">
      <c r="J726" s="4"/>
      <c r="O726" s="4"/>
    </row>
    <row r="727">
      <c r="J727" s="4"/>
      <c r="O727" s="4"/>
    </row>
    <row r="728">
      <c r="J728" s="4"/>
      <c r="O728" s="4"/>
    </row>
    <row r="729">
      <c r="J729" s="4"/>
      <c r="O729" s="4"/>
    </row>
    <row r="730">
      <c r="J730" s="4"/>
      <c r="O730" s="4"/>
    </row>
    <row r="731">
      <c r="J731" s="4"/>
      <c r="O731" s="4"/>
    </row>
    <row r="732">
      <c r="J732" s="4"/>
      <c r="O732" s="4"/>
    </row>
    <row r="733">
      <c r="J733" s="4"/>
      <c r="O733" s="4"/>
    </row>
    <row r="734">
      <c r="J734" s="4"/>
      <c r="O734" s="4"/>
    </row>
    <row r="735">
      <c r="J735" s="4"/>
      <c r="O735" s="4"/>
    </row>
    <row r="736">
      <c r="J736" s="4"/>
      <c r="O736" s="4"/>
    </row>
    <row r="737">
      <c r="J737" s="4"/>
      <c r="O737" s="4"/>
    </row>
    <row r="738">
      <c r="J738" s="4"/>
      <c r="O738" s="4"/>
    </row>
    <row r="739">
      <c r="J739" s="4"/>
      <c r="O739" s="4"/>
    </row>
    <row r="740">
      <c r="J740" s="4"/>
      <c r="O740" s="4"/>
    </row>
    <row r="741">
      <c r="J741" s="4"/>
      <c r="O741" s="4"/>
    </row>
    <row r="742">
      <c r="J742" s="4"/>
      <c r="O742" s="4"/>
    </row>
    <row r="743">
      <c r="J743" s="4"/>
      <c r="O743" s="4"/>
    </row>
    <row r="744">
      <c r="J744" s="4"/>
      <c r="O744" s="4"/>
    </row>
    <row r="745">
      <c r="J745" s="4"/>
      <c r="O745" s="4"/>
    </row>
    <row r="746">
      <c r="J746" s="4"/>
      <c r="O746" s="4"/>
    </row>
    <row r="747">
      <c r="J747" s="4"/>
      <c r="O747" s="4"/>
    </row>
    <row r="748">
      <c r="J748" s="4"/>
      <c r="O748" s="4"/>
    </row>
    <row r="749">
      <c r="J749" s="4"/>
      <c r="O749" s="4"/>
    </row>
    <row r="750">
      <c r="J750" s="4"/>
      <c r="O750" s="4"/>
    </row>
    <row r="751">
      <c r="J751" s="4"/>
      <c r="O751" s="4"/>
    </row>
    <row r="752">
      <c r="J752" s="4"/>
      <c r="O752" s="4"/>
    </row>
    <row r="753">
      <c r="J753" s="4"/>
      <c r="O753" s="4"/>
    </row>
    <row r="754">
      <c r="J754" s="4"/>
      <c r="O754" s="4"/>
    </row>
    <row r="755">
      <c r="J755" s="4"/>
      <c r="O755" s="4"/>
    </row>
    <row r="756">
      <c r="J756" s="4"/>
      <c r="O756" s="4"/>
    </row>
    <row r="757">
      <c r="J757" s="4"/>
      <c r="O757" s="4"/>
    </row>
    <row r="758">
      <c r="J758" s="4"/>
      <c r="O758" s="4"/>
    </row>
    <row r="759">
      <c r="J759" s="4"/>
      <c r="O759" s="4"/>
    </row>
    <row r="760">
      <c r="J760" s="4"/>
      <c r="O760" s="4"/>
    </row>
    <row r="761">
      <c r="J761" s="4"/>
      <c r="O761" s="4"/>
    </row>
    <row r="762">
      <c r="J762" s="4"/>
      <c r="O762" s="4"/>
    </row>
    <row r="763">
      <c r="J763" s="4"/>
      <c r="O763" s="4"/>
    </row>
    <row r="764">
      <c r="J764" s="4"/>
      <c r="O764" s="4"/>
    </row>
    <row r="765">
      <c r="J765" s="4"/>
      <c r="O765" s="4"/>
    </row>
    <row r="766">
      <c r="J766" s="4"/>
      <c r="O766" s="4"/>
    </row>
    <row r="767">
      <c r="J767" s="4"/>
      <c r="O767" s="4"/>
    </row>
    <row r="768">
      <c r="J768" s="4"/>
      <c r="O768" s="4"/>
    </row>
    <row r="769">
      <c r="J769" s="4"/>
      <c r="O769" s="4"/>
    </row>
    <row r="770">
      <c r="J770" s="4"/>
      <c r="O770" s="4"/>
    </row>
    <row r="771">
      <c r="J771" s="4"/>
      <c r="O771" s="4"/>
    </row>
    <row r="772">
      <c r="J772" s="4"/>
      <c r="O772" s="4"/>
    </row>
    <row r="773">
      <c r="J773" s="4"/>
      <c r="O773" s="4"/>
    </row>
    <row r="774">
      <c r="J774" s="4"/>
      <c r="O774" s="4"/>
    </row>
    <row r="775">
      <c r="J775" s="4"/>
      <c r="O775" s="4"/>
    </row>
    <row r="776">
      <c r="J776" s="4"/>
      <c r="O776" s="4"/>
    </row>
    <row r="777">
      <c r="J777" s="4"/>
      <c r="O777" s="4"/>
    </row>
    <row r="778">
      <c r="J778" s="4"/>
      <c r="O778" s="4"/>
    </row>
    <row r="779">
      <c r="J779" s="4"/>
      <c r="O779" s="4"/>
    </row>
    <row r="780">
      <c r="J780" s="4"/>
      <c r="O780" s="4"/>
    </row>
    <row r="781">
      <c r="J781" s="4"/>
      <c r="O781" s="4"/>
    </row>
    <row r="782">
      <c r="J782" s="4"/>
      <c r="O782" s="4"/>
    </row>
    <row r="783">
      <c r="J783" s="4"/>
      <c r="O783" s="4"/>
    </row>
    <row r="784">
      <c r="J784" s="4"/>
      <c r="O784" s="4"/>
    </row>
    <row r="785">
      <c r="J785" s="4"/>
      <c r="O785" s="4"/>
    </row>
    <row r="786">
      <c r="J786" s="4"/>
      <c r="O786" s="4"/>
    </row>
    <row r="787">
      <c r="J787" s="4"/>
      <c r="O787" s="4"/>
    </row>
    <row r="788">
      <c r="J788" s="4"/>
      <c r="O788" s="4"/>
    </row>
    <row r="789">
      <c r="J789" s="4"/>
      <c r="O789" s="4"/>
    </row>
    <row r="790">
      <c r="J790" s="4"/>
      <c r="O790" s="4"/>
    </row>
    <row r="791">
      <c r="J791" s="4"/>
      <c r="O791" s="4"/>
    </row>
    <row r="792">
      <c r="J792" s="4"/>
      <c r="O792" s="4"/>
    </row>
    <row r="793">
      <c r="J793" s="4"/>
      <c r="O793" s="4"/>
    </row>
    <row r="794">
      <c r="J794" s="4"/>
      <c r="O794" s="4"/>
    </row>
    <row r="795">
      <c r="J795" s="4"/>
      <c r="O795" s="4"/>
    </row>
    <row r="796">
      <c r="J796" s="4"/>
      <c r="O796" s="4"/>
    </row>
    <row r="797">
      <c r="J797" s="4"/>
      <c r="O797" s="4"/>
    </row>
    <row r="798">
      <c r="J798" s="4"/>
      <c r="O798" s="4"/>
    </row>
    <row r="799">
      <c r="J799" s="4"/>
      <c r="O799" s="4"/>
    </row>
    <row r="800">
      <c r="J800" s="4"/>
      <c r="O800" s="4"/>
    </row>
    <row r="801">
      <c r="J801" s="4"/>
      <c r="O801" s="4"/>
    </row>
    <row r="802">
      <c r="J802" s="4"/>
      <c r="O802" s="4"/>
    </row>
    <row r="803">
      <c r="J803" s="4"/>
      <c r="O803" s="4"/>
    </row>
    <row r="804">
      <c r="J804" s="4"/>
      <c r="O804" s="4"/>
    </row>
    <row r="805">
      <c r="J805" s="4"/>
      <c r="O805" s="4"/>
    </row>
    <row r="806">
      <c r="J806" s="4"/>
      <c r="O806" s="4"/>
    </row>
    <row r="807">
      <c r="J807" s="4"/>
      <c r="O807" s="4"/>
    </row>
    <row r="808">
      <c r="J808" s="4"/>
      <c r="O808" s="4"/>
    </row>
    <row r="809">
      <c r="J809" s="4"/>
      <c r="O809" s="4"/>
    </row>
    <row r="810">
      <c r="J810" s="4"/>
      <c r="O810" s="4"/>
    </row>
    <row r="811">
      <c r="J811" s="4"/>
      <c r="O811" s="4"/>
    </row>
    <row r="812">
      <c r="J812" s="4"/>
      <c r="O812" s="4"/>
    </row>
    <row r="813">
      <c r="J813" s="4"/>
      <c r="O813" s="4"/>
    </row>
    <row r="814">
      <c r="J814" s="4"/>
      <c r="O814" s="4"/>
    </row>
    <row r="815">
      <c r="J815" s="4"/>
      <c r="O815" s="4"/>
    </row>
    <row r="816">
      <c r="J816" s="4"/>
      <c r="O816" s="4"/>
    </row>
    <row r="817">
      <c r="J817" s="4"/>
      <c r="O817" s="4"/>
    </row>
    <row r="818">
      <c r="J818" s="4"/>
      <c r="O818" s="4"/>
    </row>
    <row r="819">
      <c r="J819" s="4"/>
      <c r="O819" s="4"/>
    </row>
    <row r="820">
      <c r="J820" s="4"/>
      <c r="O820" s="4"/>
    </row>
    <row r="821">
      <c r="J821" s="4"/>
      <c r="O821" s="4"/>
    </row>
    <row r="822">
      <c r="J822" s="4"/>
      <c r="O822" s="4"/>
    </row>
    <row r="823">
      <c r="J823" s="4"/>
      <c r="O823" s="4"/>
    </row>
    <row r="824">
      <c r="J824" s="4"/>
      <c r="O824" s="4"/>
    </row>
    <row r="825">
      <c r="J825" s="4"/>
      <c r="O825" s="4"/>
    </row>
    <row r="826">
      <c r="J826" s="4"/>
      <c r="O826" s="4"/>
    </row>
    <row r="827">
      <c r="J827" s="4"/>
      <c r="O827" s="4"/>
    </row>
    <row r="828">
      <c r="J828" s="4"/>
      <c r="O828" s="4"/>
    </row>
    <row r="829">
      <c r="J829" s="4"/>
      <c r="O829" s="4"/>
    </row>
    <row r="830">
      <c r="J830" s="4"/>
      <c r="O830" s="4"/>
    </row>
    <row r="831">
      <c r="J831" s="4"/>
      <c r="O831" s="4"/>
    </row>
    <row r="832">
      <c r="J832" s="4"/>
      <c r="O832" s="4"/>
    </row>
    <row r="833">
      <c r="J833" s="4"/>
      <c r="O833" s="4"/>
    </row>
    <row r="834">
      <c r="J834" s="4"/>
      <c r="O834" s="4"/>
    </row>
    <row r="835">
      <c r="J835" s="4"/>
      <c r="O835" s="4"/>
    </row>
    <row r="836">
      <c r="J836" s="4"/>
      <c r="O836" s="4"/>
    </row>
    <row r="837">
      <c r="J837" s="4"/>
      <c r="O837" s="4"/>
    </row>
    <row r="838">
      <c r="J838" s="4"/>
      <c r="O838" s="4"/>
    </row>
    <row r="839">
      <c r="J839" s="4"/>
      <c r="O839" s="4"/>
    </row>
    <row r="840">
      <c r="J840" s="4"/>
      <c r="O840" s="4"/>
    </row>
    <row r="841">
      <c r="J841" s="4"/>
      <c r="O841" s="4"/>
    </row>
    <row r="842">
      <c r="J842" s="4"/>
      <c r="O842" s="4"/>
    </row>
    <row r="843">
      <c r="J843" s="4"/>
      <c r="O843" s="4"/>
    </row>
    <row r="844">
      <c r="J844" s="4"/>
      <c r="O844" s="4"/>
    </row>
    <row r="845">
      <c r="J845" s="4"/>
      <c r="O845" s="4"/>
    </row>
    <row r="846">
      <c r="J846" s="4"/>
      <c r="O846" s="4"/>
    </row>
    <row r="847">
      <c r="J847" s="4"/>
      <c r="O847" s="4"/>
    </row>
    <row r="848">
      <c r="J848" s="4"/>
      <c r="O848" s="4"/>
    </row>
    <row r="849">
      <c r="J849" s="4"/>
      <c r="O849" s="4"/>
    </row>
    <row r="850">
      <c r="J850" s="4"/>
      <c r="O850" s="4"/>
    </row>
    <row r="851">
      <c r="J851" s="4"/>
      <c r="O851" s="4"/>
    </row>
    <row r="852">
      <c r="J852" s="4"/>
      <c r="O852" s="4"/>
    </row>
    <row r="853">
      <c r="J853" s="4"/>
      <c r="O853" s="4"/>
    </row>
    <row r="854">
      <c r="J854" s="4"/>
      <c r="O854" s="4"/>
    </row>
    <row r="855">
      <c r="J855" s="4"/>
      <c r="O855" s="4"/>
    </row>
    <row r="856">
      <c r="J856" s="4"/>
      <c r="O856" s="4"/>
    </row>
    <row r="857">
      <c r="J857" s="4"/>
      <c r="O857" s="4"/>
    </row>
    <row r="858">
      <c r="J858" s="4"/>
      <c r="O858" s="4"/>
    </row>
    <row r="859">
      <c r="J859" s="4"/>
      <c r="O859" s="4"/>
    </row>
    <row r="860">
      <c r="J860" s="4"/>
      <c r="O860" s="4"/>
    </row>
    <row r="861">
      <c r="J861" s="4"/>
      <c r="O861" s="4"/>
    </row>
    <row r="862">
      <c r="J862" s="4"/>
      <c r="O862" s="4"/>
    </row>
    <row r="863">
      <c r="J863" s="4"/>
      <c r="O863" s="4"/>
    </row>
    <row r="864">
      <c r="J864" s="4"/>
      <c r="O864" s="4"/>
    </row>
    <row r="865">
      <c r="J865" s="4"/>
      <c r="O865" s="4"/>
    </row>
    <row r="866">
      <c r="J866" s="4"/>
      <c r="O866" s="4"/>
    </row>
    <row r="867">
      <c r="J867" s="4"/>
      <c r="O867" s="4"/>
    </row>
    <row r="868">
      <c r="J868" s="4"/>
      <c r="O868" s="4"/>
    </row>
    <row r="869">
      <c r="J869" s="4"/>
      <c r="O869" s="4"/>
    </row>
    <row r="870">
      <c r="J870" s="4"/>
      <c r="O870" s="4"/>
    </row>
    <row r="871">
      <c r="J871" s="4"/>
      <c r="O871" s="4"/>
    </row>
    <row r="872">
      <c r="J872" s="4"/>
      <c r="O872" s="4"/>
    </row>
    <row r="873">
      <c r="J873" s="4"/>
      <c r="O873" s="4"/>
    </row>
    <row r="874">
      <c r="J874" s="4"/>
      <c r="O874" s="4"/>
    </row>
    <row r="875">
      <c r="J875" s="4"/>
      <c r="O875" s="4"/>
    </row>
    <row r="876">
      <c r="J876" s="4"/>
      <c r="O876" s="4"/>
    </row>
    <row r="877">
      <c r="J877" s="4"/>
      <c r="O877" s="4"/>
    </row>
    <row r="878">
      <c r="J878" s="4"/>
      <c r="O878" s="4"/>
    </row>
    <row r="879">
      <c r="J879" s="4"/>
      <c r="O879" s="4"/>
    </row>
    <row r="880">
      <c r="J880" s="4"/>
      <c r="O880" s="4"/>
    </row>
    <row r="881">
      <c r="J881" s="4"/>
      <c r="O881" s="4"/>
    </row>
    <row r="882">
      <c r="J882" s="4"/>
      <c r="O882" s="4"/>
    </row>
    <row r="883">
      <c r="J883" s="4"/>
      <c r="O883" s="4"/>
    </row>
    <row r="884">
      <c r="J884" s="4"/>
      <c r="O884" s="4"/>
    </row>
    <row r="885">
      <c r="J885" s="4"/>
      <c r="O885" s="4"/>
    </row>
    <row r="886">
      <c r="J886" s="4"/>
      <c r="O886" s="4"/>
    </row>
    <row r="887">
      <c r="J887" s="4"/>
      <c r="O887" s="4"/>
    </row>
    <row r="888">
      <c r="J888" s="4"/>
      <c r="O888" s="4"/>
    </row>
    <row r="889">
      <c r="J889" s="4"/>
      <c r="O889" s="4"/>
    </row>
    <row r="890">
      <c r="J890" s="4"/>
      <c r="O890" s="4"/>
    </row>
    <row r="891">
      <c r="J891" s="4"/>
      <c r="O891" s="4"/>
    </row>
    <row r="892">
      <c r="J892" s="4"/>
      <c r="O892" s="4"/>
    </row>
    <row r="893">
      <c r="J893" s="4"/>
      <c r="O893" s="4"/>
    </row>
    <row r="894">
      <c r="J894" s="4"/>
      <c r="O894" s="4"/>
    </row>
    <row r="895">
      <c r="J895" s="4"/>
      <c r="O895" s="4"/>
    </row>
    <row r="896">
      <c r="J896" s="4"/>
      <c r="O896" s="4"/>
    </row>
    <row r="897">
      <c r="J897" s="4"/>
      <c r="O897" s="4"/>
    </row>
    <row r="898">
      <c r="J898" s="4"/>
      <c r="O898" s="4"/>
    </row>
    <row r="899">
      <c r="J899" s="4"/>
      <c r="O899" s="4"/>
    </row>
    <row r="900">
      <c r="J900" s="4"/>
      <c r="O900" s="4"/>
    </row>
    <row r="901">
      <c r="J901" s="4"/>
      <c r="O901" s="4"/>
    </row>
    <row r="902">
      <c r="J902" s="4"/>
      <c r="O902" s="4"/>
    </row>
    <row r="903">
      <c r="J903" s="4"/>
      <c r="O903" s="4"/>
    </row>
    <row r="904">
      <c r="J904" s="4"/>
      <c r="O904" s="4"/>
    </row>
    <row r="905">
      <c r="J905" s="4"/>
      <c r="O905" s="4"/>
    </row>
    <row r="906">
      <c r="J906" s="4"/>
      <c r="O906" s="4"/>
    </row>
    <row r="907">
      <c r="J907" s="4"/>
      <c r="O907" s="4"/>
    </row>
    <row r="908">
      <c r="J908" s="4"/>
      <c r="O908" s="4"/>
    </row>
    <row r="909">
      <c r="J909" s="4"/>
      <c r="O909" s="4"/>
    </row>
    <row r="910">
      <c r="J910" s="4"/>
      <c r="O910" s="4"/>
    </row>
    <row r="911">
      <c r="J911" s="4"/>
      <c r="O911" s="4"/>
    </row>
    <row r="912">
      <c r="J912" s="4"/>
      <c r="O912" s="4"/>
    </row>
    <row r="913">
      <c r="J913" s="4"/>
      <c r="O913" s="4"/>
    </row>
    <row r="914">
      <c r="J914" s="4"/>
      <c r="O914" s="4"/>
    </row>
    <row r="915">
      <c r="J915" s="4"/>
      <c r="O915" s="4"/>
    </row>
    <row r="916">
      <c r="J916" s="4"/>
      <c r="O916" s="4"/>
    </row>
    <row r="917">
      <c r="J917" s="4"/>
      <c r="O917" s="4"/>
    </row>
    <row r="918">
      <c r="J918" s="4"/>
      <c r="O918" s="4"/>
    </row>
    <row r="919">
      <c r="J919" s="4"/>
      <c r="O919" s="4"/>
    </row>
    <row r="920">
      <c r="J920" s="4"/>
      <c r="O920" s="4"/>
    </row>
    <row r="921">
      <c r="J921" s="4"/>
      <c r="O921" s="4"/>
    </row>
    <row r="922">
      <c r="J922" s="4"/>
      <c r="O922" s="4"/>
    </row>
    <row r="923">
      <c r="J923" s="4"/>
      <c r="O923" s="4"/>
    </row>
    <row r="924">
      <c r="J924" s="4"/>
      <c r="O924" s="4"/>
    </row>
    <row r="925">
      <c r="J925" s="4"/>
      <c r="O925" s="4"/>
    </row>
    <row r="926">
      <c r="J926" s="4"/>
      <c r="O926" s="4"/>
    </row>
    <row r="927">
      <c r="J927" s="4"/>
      <c r="O927" s="4"/>
    </row>
    <row r="928">
      <c r="J928" s="4"/>
      <c r="O928" s="4"/>
    </row>
    <row r="929">
      <c r="J929" s="4"/>
      <c r="O929" s="4"/>
    </row>
    <row r="930">
      <c r="J930" s="4"/>
      <c r="O930" s="4"/>
    </row>
    <row r="931">
      <c r="J931" s="4"/>
      <c r="O931" s="4"/>
    </row>
    <row r="932">
      <c r="J932" s="4"/>
      <c r="O932" s="4"/>
    </row>
    <row r="933">
      <c r="J933" s="4"/>
      <c r="O933" s="4"/>
    </row>
    <row r="934">
      <c r="J934" s="4"/>
      <c r="O934" s="4"/>
    </row>
    <row r="935">
      <c r="J935" s="4"/>
      <c r="O935" s="4"/>
    </row>
    <row r="936">
      <c r="J936" s="4"/>
      <c r="O936" s="4"/>
    </row>
    <row r="937">
      <c r="J937" s="4"/>
      <c r="O937" s="4"/>
    </row>
    <row r="938">
      <c r="J938" s="4"/>
      <c r="O938" s="4"/>
    </row>
    <row r="939">
      <c r="J939" s="4"/>
      <c r="O939" s="4"/>
    </row>
    <row r="940">
      <c r="J940" s="4"/>
      <c r="O940" s="4"/>
    </row>
    <row r="941">
      <c r="J941" s="4"/>
      <c r="O941" s="4"/>
    </row>
    <row r="942">
      <c r="J942" s="4"/>
      <c r="O942" s="4"/>
    </row>
    <row r="943">
      <c r="J943" s="4"/>
      <c r="O943" s="4"/>
    </row>
    <row r="944">
      <c r="J944" s="4"/>
      <c r="O944" s="4"/>
    </row>
    <row r="945">
      <c r="J945" s="4"/>
      <c r="O945" s="4"/>
    </row>
    <row r="946">
      <c r="J946" s="4"/>
      <c r="O946" s="4"/>
    </row>
    <row r="947">
      <c r="J947" s="4"/>
      <c r="O947" s="4"/>
    </row>
    <row r="948">
      <c r="J948" s="4"/>
      <c r="O948" s="4"/>
    </row>
    <row r="949">
      <c r="J949" s="4"/>
      <c r="O949" s="4"/>
    </row>
    <row r="950">
      <c r="J950" s="4"/>
      <c r="O950" s="4"/>
    </row>
    <row r="951">
      <c r="J951" s="4"/>
      <c r="O951" s="4"/>
    </row>
    <row r="952">
      <c r="J952" s="4"/>
      <c r="O952" s="4"/>
    </row>
    <row r="953">
      <c r="J953" s="4"/>
      <c r="O953" s="4"/>
    </row>
    <row r="954">
      <c r="J954" s="4"/>
      <c r="O954" s="4"/>
    </row>
    <row r="955">
      <c r="J955" s="4"/>
      <c r="O955" s="4"/>
    </row>
    <row r="956">
      <c r="J956" s="4"/>
      <c r="O956" s="4"/>
    </row>
    <row r="957">
      <c r="J957" s="4"/>
      <c r="O957" s="4"/>
    </row>
    <row r="958">
      <c r="J958" s="4"/>
      <c r="O958" s="4"/>
    </row>
    <row r="959">
      <c r="J959" s="4"/>
      <c r="O959" s="4"/>
    </row>
    <row r="960">
      <c r="J960" s="4"/>
      <c r="O960" s="4"/>
    </row>
    <row r="961">
      <c r="J961" s="4"/>
      <c r="O961" s="4"/>
    </row>
    <row r="962">
      <c r="J962" s="4"/>
      <c r="O962" s="4"/>
    </row>
    <row r="963">
      <c r="J963" s="4"/>
      <c r="O963" s="4"/>
    </row>
    <row r="964">
      <c r="J964" s="4"/>
      <c r="O964" s="4"/>
    </row>
    <row r="965">
      <c r="J965" s="4"/>
      <c r="O965" s="4"/>
    </row>
    <row r="966">
      <c r="J966" s="4"/>
      <c r="O966" s="4"/>
    </row>
    <row r="967">
      <c r="J967" s="4"/>
      <c r="O967" s="4"/>
    </row>
    <row r="968">
      <c r="J968" s="4"/>
      <c r="O968" s="4"/>
    </row>
    <row r="969">
      <c r="J969" s="4"/>
      <c r="O969" s="4"/>
    </row>
    <row r="970">
      <c r="J970" s="4"/>
      <c r="O970" s="4"/>
    </row>
    <row r="971">
      <c r="J971" s="4"/>
      <c r="O971" s="4"/>
    </row>
    <row r="972">
      <c r="J972" s="4"/>
      <c r="O972" s="4"/>
    </row>
    <row r="973">
      <c r="J973" s="4"/>
      <c r="O973" s="4"/>
    </row>
    <row r="974">
      <c r="J974" s="4"/>
      <c r="O974" s="4"/>
    </row>
    <row r="975">
      <c r="J975" s="4"/>
      <c r="O975" s="4"/>
    </row>
    <row r="976">
      <c r="J976" s="4"/>
      <c r="O976" s="4"/>
    </row>
    <row r="977">
      <c r="J977" s="4"/>
      <c r="O977" s="4"/>
    </row>
    <row r="978">
      <c r="J978" s="4"/>
      <c r="O978" s="4"/>
    </row>
    <row r="979">
      <c r="J979" s="4"/>
      <c r="O979" s="4"/>
    </row>
    <row r="980">
      <c r="J980" s="4"/>
      <c r="O980" s="4"/>
    </row>
    <row r="981">
      <c r="J981" s="4"/>
      <c r="O981" s="4"/>
    </row>
    <row r="982">
      <c r="J982" s="4"/>
      <c r="O982" s="4"/>
    </row>
    <row r="983">
      <c r="J983" s="4"/>
      <c r="O983" s="4"/>
    </row>
    <row r="984">
      <c r="J984" s="4"/>
      <c r="O984" s="4"/>
    </row>
    <row r="985">
      <c r="J985" s="4"/>
      <c r="O985" s="4"/>
    </row>
    <row r="986">
      <c r="J986" s="4"/>
      <c r="O986" s="4"/>
    </row>
    <row r="987">
      <c r="J987" s="4"/>
      <c r="O987" s="4"/>
    </row>
    <row r="988">
      <c r="J988" s="4"/>
      <c r="O988" s="4"/>
    </row>
    <row r="989">
      <c r="J989" s="4"/>
      <c r="O989" s="4"/>
    </row>
    <row r="990">
      <c r="J990" s="4"/>
      <c r="O990" s="4"/>
    </row>
    <row r="991">
      <c r="J991" s="4"/>
      <c r="O991" s="4"/>
    </row>
    <row r="992">
      <c r="J992" s="4"/>
      <c r="O992" s="4"/>
    </row>
    <row r="993">
      <c r="J993" s="4"/>
      <c r="O993" s="4"/>
    </row>
    <row r="994">
      <c r="J994" s="4"/>
      <c r="O994" s="4"/>
    </row>
    <row r="995">
      <c r="J995" s="4"/>
      <c r="O995" s="4"/>
    </row>
    <row r="996">
      <c r="J996" s="4"/>
      <c r="O996" s="4"/>
    </row>
    <row r="997">
      <c r="J997" s="4"/>
      <c r="O997" s="4"/>
    </row>
  </sheetData>
  <conditionalFormatting sqref="AN19:AN30">
    <cfRule type="colorScale" priority="1">
      <colorScale>
        <cfvo type="min"/>
        <cfvo type="percentile" val="50"/>
        <cfvo type="max"/>
        <color rgb="FFDD7E6B"/>
        <color rgb="FFFFFFFF"/>
        <color rgb="FF57BB8A"/>
      </colorScale>
    </cfRule>
  </conditionalFormatting>
  <conditionalFormatting sqref="AK19:AK30">
    <cfRule type="colorScale" priority="2">
      <colorScale>
        <cfvo type="min"/>
        <cfvo type="max"/>
        <color rgb="FFD9EAD3"/>
        <color rgb="FF57BB8A"/>
      </colorScale>
    </cfRule>
  </conditionalFormatting>
  <conditionalFormatting sqref="J1:J997">
    <cfRule type="cellIs" dxfId="0" priority="3" operator="greaterThan">
      <formula>0</formula>
    </cfRule>
  </conditionalFormatting>
  <conditionalFormatting sqref="O1:O997">
    <cfRule type="cellIs" dxfId="0" priority="4" operator="greaterThan">
      <formula>0</formula>
    </cfRule>
  </conditionalFormatting>
  <conditionalFormatting sqref="AG2:AG997">
    <cfRule type="colorScale" priority="5">
      <colorScale>
        <cfvo type="min"/>
        <cfvo type="formula" val="-0.1428571429"/>
        <cfvo type="max"/>
        <color rgb="FFB6D7A8"/>
        <color rgb="FFEFEFEF"/>
        <color rgb="FF93C47D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6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SUM(AE2:AE99992)</f>
        <v>10.76875051</v>
      </c>
      <c r="AH1" s="2">
        <f>COUNTIF(AC:AC,1)/COUNT(AC:AC)</f>
        <v>0.5373961219</v>
      </c>
      <c r="AI1" s="3">
        <f>COUNTIF(AC:AC,1)</f>
        <v>194</v>
      </c>
      <c r="AJ1" s="1">
        <f>COUNT(AC:AC)-AI1</f>
        <v>167</v>
      </c>
      <c r="AK1" s="1"/>
      <c r="AL1" s="1"/>
      <c r="AM1" s="1"/>
      <c r="AN1" s="1"/>
      <c r="AO1" s="1"/>
      <c r="AP1" s="1"/>
      <c r="AQ1" s="1"/>
      <c r="AR1" s="1"/>
    </row>
    <row r="2">
      <c r="A2" s="1" t="s">
        <v>12</v>
      </c>
      <c r="B2" s="1" t="s">
        <v>345</v>
      </c>
      <c r="C2" s="1" t="s">
        <v>19</v>
      </c>
      <c r="D2" s="1" t="s">
        <v>105</v>
      </c>
      <c r="E2" s="1" t="s">
        <v>196</v>
      </c>
      <c r="F2" s="1" t="s">
        <v>450</v>
      </c>
      <c r="G2" s="1">
        <v>2.5</v>
      </c>
      <c r="H2" s="1" t="s">
        <v>60</v>
      </c>
      <c r="I2" s="1">
        <v>-119.0</v>
      </c>
      <c r="J2" s="1">
        <v>-0.241319753835616</v>
      </c>
      <c r="K2" s="1" t="s">
        <v>61</v>
      </c>
      <c r="L2" s="1" t="s">
        <v>61</v>
      </c>
      <c r="M2" s="1" t="s">
        <v>62</v>
      </c>
      <c r="N2" s="1">
        <v>-111.0</v>
      </c>
      <c r="O2" s="1">
        <v>0.171880606445023</v>
      </c>
      <c r="P2" s="1" t="s">
        <v>61</v>
      </c>
      <c r="Q2" s="1" t="s">
        <v>61</v>
      </c>
      <c r="R2" s="1">
        <f t="shared" ref="R2:R362" si="1">if(O2&gt;0, O2, J2)</f>
        <v>0.1718806064</v>
      </c>
      <c r="S2" s="1">
        <f t="shared" ref="S2:S362" si="2">if(O2&gt;0,N2,I2)</f>
        <v>-111</v>
      </c>
      <c r="T2" s="1">
        <f t="shared" ref="T2:T362" si="3">if(S2&gt;0, S2/100, -100/S2) + 1</f>
        <v>1.900900901</v>
      </c>
      <c r="U2" s="1">
        <f t="shared" ref="U2:U362" si="4">if(and(M2="under", O2&gt;0),0,1)</f>
        <v>0</v>
      </c>
      <c r="V2" s="3">
        <f t="shared" ref="V2:V362" si="5">IF(R2&lt;0.05, 1,if(R2&gt;0.1,3,2))</f>
        <v>3</v>
      </c>
      <c r="W2" s="3">
        <f t="shared" ref="W2:W606" si="6">IFS(T2&gt;2.1, 1, T2&lt;1.85,3, TRUE,2)</f>
        <v>2</v>
      </c>
      <c r="X2" s="3" t="str">
        <f>IFERROR(__xludf.DUMMYFUNCTION("split(B2,"" "")"),"J.")</f>
        <v>J.</v>
      </c>
      <c r="Y2" s="3" t="str">
        <f>IFERROR(__xludf.DUMMYFUNCTION("""COMPUTED_VALUE"""),"Conner")</f>
        <v>Conner</v>
      </c>
      <c r="AA2" s="3">
        <v>1.0</v>
      </c>
      <c r="AB2" s="3">
        <f t="shared" ref="AB2:AB362" si="7">if(AA2&lt;G2,0,1)</f>
        <v>0</v>
      </c>
      <c r="AC2" s="3">
        <f t="shared" ref="AC2:AC362" si="8">if(AB2=U2,1,0)</f>
        <v>1</v>
      </c>
      <c r="AD2" s="3">
        <f t="shared" ref="AD2:AD362" si="9">if(S2&lt;0, (100/(-S2))*V2, (S2/100)*V2)</f>
        <v>2.702702703</v>
      </c>
      <c r="AE2" s="3">
        <f t="shared" ref="AE2:AE362" si="10">if(AC2=1,AD2,-V2)</f>
        <v>2.702702703</v>
      </c>
      <c r="AF2" s="3">
        <f t="shared" ref="AF2:AF415" si="11">IF(AC2=0, -W2, (W2*T2)-W2)</f>
        <v>1.801801802</v>
      </c>
      <c r="AG2" s="3">
        <f t="shared" ref="AG2:AG362" si="12">if(AC2 = 1, ABS((AA2-G2)/G2), ABS((AA2-G2)/G2)*-1)</f>
        <v>0.6</v>
      </c>
    </row>
    <row r="3">
      <c r="A3" s="1" t="s">
        <v>12</v>
      </c>
      <c r="B3" s="1" t="s">
        <v>233</v>
      </c>
      <c r="C3" s="1" t="s">
        <v>18</v>
      </c>
      <c r="D3" s="1" t="s">
        <v>105</v>
      </c>
      <c r="E3" s="1" t="s">
        <v>196</v>
      </c>
      <c r="F3" s="1" t="s">
        <v>450</v>
      </c>
      <c r="G3" s="1">
        <v>2.5</v>
      </c>
      <c r="H3" s="1" t="s">
        <v>60</v>
      </c>
      <c r="I3" s="1">
        <v>-122.0</v>
      </c>
      <c r="J3" s="1">
        <v>-0.19004758009009</v>
      </c>
      <c r="K3" s="1" t="s">
        <v>61</v>
      </c>
      <c r="L3" s="1" t="s">
        <v>61</v>
      </c>
      <c r="M3" s="1" t="s">
        <v>62</v>
      </c>
      <c r="N3" s="1">
        <v>-107.0</v>
      </c>
      <c r="O3" s="1">
        <v>0.123589527413526</v>
      </c>
      <c r="P3" s="1" t="s">
        <v>61</v>
      </c>
      <c r="Q3" s="1" t="s">
        <v>61</v>
      </c>
      <c r="R3" s="1">
        <f t="shared" si="1"/>
        <v>0.1235895274</v>
      </c>
      <c r="S3" s="1">
        <f t="shared" si="2"/>
        <v>-107</v>
      </c>
      <c r="T3" s="1">
        <f t="shared" si="3"/>
        <v>1.934579439</v>
      </c>
      <c r="U3" s="1">
        <f t="shared" si="4"/>
        <v>0</v>
      </c>
      <c r="V3" s="3">
        <f t="shared" si="5"/>
        <v>3</v>
      </c>
      <c r="W3" s="3">
        <f t="shared" si="6"/>
        <v>2</v>
      </c>
      <c r="X3" s="3" t="str">
        <f>IFERROR(__xludf.DUMMYFUNCTION("split(B3,"" "")"),"M.")</f>
        <v>M.</v>
      </c>
      <c r="Y3" s="3" t="str">
        <f>IFERROR(__xludf.DUMMYFUNCTION("""COMPUTED_VALUE"""),"Wilson")</f>
        <v>Wilson</v>
      </c>
      <c r="AA3" s="3">
        <v>2.0</v>
      </c>
      <c r="AB3" s="3">
        <f t="shared" si="7"/>
        <v>0</v>
      </c>
      <c r="AC3" s="3">
        <f t="shared" si="8"/>
        <v>1</v>
      </c>
      <c r="AD3" s="3">
        <f t="shared" si="9"/>
        <v>2.803738318</v>
      </c>
      <c r="AE3" s="3">
        <f t="shared" si="10"/>
        <v>2.803738318</v>
      </c>
      <c r="AF3" s="3">
        <f t="shared" si="11"/>
        <v>1.869158879</v>
      </c>
      <c r="AG3" s="3">
        <f t="shared" si="12"/>
        <v>0.2</v>
      </c>
    </row>
    <row r="4">
      <c r="A4" s="1" t="s">
        <v>8</v>
      </c>
      <c r="B4" s="1" t="s">
        <v>204</v>
      </c>
      <c r="C4" s="1" t="s">
        <v>21</v>
      </c>
      <c r="D4" s="1" t="s">
        <v>105</v>
      </c>
      <c r="E4" s="1" t="s">
        <v>196</v>
      </c>
      <c r="F4" s="1" t="s">
        <v>450</v>
      </c>
      <c r="G4" s="1">
        <v>6.5</v>
      </c>
      <c r="H4" s="1" t="s">
        <v>60</v>
      </c>
      <c r="I4" s="1">
        <v>117.0</v>
      </c>
      <c r="J4" s="1">
        <v>-0.178830281470615</v>
      </c>
      <c r="K4" s="1" t="s">
        <v>61</v>
      </c>
      <c r="L4" s="1" t="s">
        <v>61</v>
      </c>
      <c r="M4" s="1" t="s">
        <v>62</v>
      </c>
      <c r="N4" s="1">
        <v>-153.0</v>
      </c>
      <c r="O4" s="1">
        <v>0.113269963011584</v>
      </c>
      <c r="P4" s="1" t="s">
        <v>61</v>
      </c>
      <c r="Q4" s="1" t="s">
        <v>61</v>
      </c>
      <c r="R4" s="1">
        <f t="shared" si="1"/>
        <v>0.113269963</v>
      </c>
      <c r="S4" s="1">
        <f t="shared" si="2"/>
        <v>-153</v>
      </c>
      <c r="T4" s="1">
        <f t="shared" si="3"/>
        <v>1.653594771</v>
      </c>
      <c r="U4" s="1">
        <f t="shared" si="4"/>
        <v>0</v>
      </c>
      <c r="V4" s="3">
        <f t="shared" si="5"/>
        <v>3</v>
      </c>
      <c r="W4" s="3">
        <f t="shared" si="6"/>
        <v>3</v>
      </c>
      <c r="X4" s="3" t="str">
        <f>IFERROR(__xludf.DUMMYFUNCTION("split(B4,"" "")"),"K.")</f>
        <v>K.</v>
      </c>
      <c r="Y4" s="3" t="str">
        <f>IFERROR(__xludf.DUMMYFUNCTION("""COMPUTED_VALUE"""),"Murray")</f>
        <v>Murray</v>
      </c>
      <c r="AA4" s="3">
        <v>5.0</v>
      </c>
      <c r="AB4" s="3">
        <f t="shared" si="7"/>
        <v>0</v>
      </c>
      <c r="AC4" s="3">
        <f t="shared" si="8"/>
        <v>1</v>
      </c>
      <c r="AD4" s="3">
        <f t="shared" si="9"/>
        <v>1.960784314</v>
      </c>
      <c r="AE4" s="3">
        <f t="shared" si="10"/>
        <v>1.960784314</v>
      </c>
      <c r="AF4" s="3">
        <f t="shared" si="11"/>
        <v>1.960784314</v>
      </c>
      <c r="AG4" s="3">
        <f t="shared" si="12"/>
        <v>0.2307692308</v>
      </c>
      <c r="AH4" s="1" t="s">
        <v>18</v>
      </c>
      <c r="AI4" s="3">
        <f t="shared" ref="AI4:AI7" si="13">COUNTIFS(C:C, "="&amp;AH4, AC:AC, "=1")</f>
        <v>61</v>
      </c>
      <c r="AJ4" s="3">
        <f t="shared" ref="AJ4:AJ7" si="14">countif(C:C, "="&amp;AH4)</f>
        <v>103</v>
      </c>
      <c r="AK4" s="3">
        <f t="shared" ref="AK4:AK7" si="15">AI4/AJ4</f>
        <v>0.5922330097</v>
      </c>
    </row>
    <row r="5">
      <c r="A5" s="1" t="s">
        <v>12</v>
      </c>
      <c r="B5" s="1" t="s">
        <v>451</v>
      </c>
      <c r="C5" s="1" t="s">
        <v>18</v>
      </c>
      <c r="D5" s="1" t="s">
        <v>105</v>
      </c>
      <c r="E5" s="1" t="s">
        <v>196</v>
      </c>
      <c r="F5" s="1" t="s">
        <v>450</v>
      </c>
      <c r="G5" s="1">
        <v>3.5</v>
      </c>
      <c r="H5" s="1" t="s">
        <v>60</v>
      </c>
      <c r="I5" s="1">
        <v>125.0</v>
      </c>
      <c r="J5" s="1">
        <v>-0.174544444444444</v>
      </c>
      <c r="K5" s="1" t="s">
        <v>61</v>
      </c>
      <c r="L5" s="1" t="s">
        <v>61</v>
      </c>
      <c r="M5" s="1" t="s">
        <v>62</v>
      </c>
      <c r="N5" s="1">
        <v>-165.0</v>
      </c>
      <c r="O5" s="1">
        <v>0.107458490566037</v>
      </c>
      <c r="P5" s="1" t="s">
        <v>61</v>
      </c>
      <c r="Q5" s="1" t="s">
        <v>61</v>
      </c>
      <c r="R5" s="1">
        <f t="shared" si="1"/>
        <v>0.1074584906</v>
      </c>
      <c r="S5" s="1">
        <f t="shared" si="2"/>
        <v>-165</v>
      </c>
      <c r="T5" s="1">
        <f t="shared" si="3"/>
        <v>1.606060606</v>
      </c>
      <c r="U5" s="1">
        <f t="shared" si="4"/>
        <v>0</v>
      </c>
      <c r="V5" s="3">
        <f t="shared" si="5"/>
        <v>3</v>
      </c>
      <c r="W5" s="3">
        <f t="shared" si="6"/>
        <v>3</v>
      </c>
      <c r="X5" s="3" t="str">
        <f>IFERROR(__xludf.DUMMYFUNCTION("split(B5,"" "")"),"G.")</f>
        <v>G.</v>
      </c>
      <c r="Y5" s="3" t="str">
        <f>IFERROR(__xludf.DUMMYFUNCTION("""COMPUTED_VALUE"""),"Dortch")</f>
        <v>Dortch</v>
      </c>
      <c r="AA5" s="3">
        <v>2.0</v>
      </c>
      <c r="AB5" s="3">
        <f t="shared" si="7"/>
        <v>0</v>
      </c>
      <c r="AC5" s="3">
        <f t="shared" si="8"/>
        <v>1</v>
      </c>
      <c r="AD5" s="3">
        <f t="shared" si="9"/>
        <v>1.818181818</v>
      </c>
      <c r="AE5" s="3">
        <f t="shared" si="10"/>
        <v>1.818181818</v>
      </c>
      <c r="AF5" s="3">
        <f t="shared" si="11"/>
        <v>1.818181818</v>
      </c>
      <c r="AG5" s="3">
        <f t="shared" si="12"/>
        <v>0.4285714286</v>
      </c>
      <c r="AH5" s="1" t="s">
        <v>19</v>
      </c>
      <c r="AI5" s="3">
        <f t="shared" si="13"/>
        <v>43</v>
      </c>
      <c r="AJ5" s="3">
        <f t="shared" si="14"/>
        <v>94</v>
      </c>
      <c r="AK5" s="3">
        <f t="shared" si="15"/>
        <v>0.4574468085</v>
      </c>
    </row>
    <row r="6">
      <c r="A6" s="1" t="s">
        <v>12</v>
      </c>
      <c r="B6" s="1" t="s">
        <v>349</v>
      </c>
      <c r="C6" s="1" t="s">
        <v>20</v>
      </c>
      <c r="D6" s="1" t="s">
        <v>105</v>
      </c>
      <c r="E6" s="1" t="s">
        <v>196</v>
      </c>
      <c r="F6" s="1" t="s">
        <v>450</v>
      </c>
      <c r="G6" s="1">
        <v>5.5</v>
      </c>
      <c r="H6" s="1" t="s">
        <v>60</v>
      </c>
      <c r="I6" s="1">
        <v>117.0</v>
      </c>
      <c r="J6" s="1">
        <v>0.104270506912442</v>
      </c>
      <c r="K6" s="1" t="s">
        <v>61</v>
      </c>
      <c r="L6" s="1" t="s">
        <v>61</v>
      </c>
      <c r="M6" s="1" t="s">
        <v>62</v>
      </c>
      <c r="N6" s="1">
        <v>-153.0</v>
      </c>
      <c r="O6" s="1">
        <v>-0.169843083003952</v>
      </c>
      <c r="P6" s="1" t="s">
        <v>61</v>
      </c>
      <c r="Q6" s="1" t="s">
        <v>61</v>
      </c>
      <c r="R6" s="1">
        <f t="shared" si="1"/>
        <v>0.1042705069</v>
      </c>
      <c r="S6" s="1">
        <f t="shared" si="2"/>
        <v>117</v>
      </c>
      <c r="T6" s="1">
        <f t="shared" si="3"/>
        <v>2.17</v>
      </c>
      <c r="U6" s="1">
        <f t="shared" si="4"/>
        <v>1</v>
      </c>
      <c r="V6" s="3">
        <f t="shared" si="5"/>
        <v>3</v>
      </c>
      <c r="W6" s="3">
        <f t="shared" si="6"/>
        <v>1</v>
      </c>
      <c r="X6" s="3" t="str">
        <f>IFERROR(__xludf.DUMMYFUNCTION("split(B6,"" "")"),"T.")</f>
        <v>T.</v>
      </c>
      <c r="Y6" s="3" t="str">
        <f>IFERROR(__xludf.DUMMYFUNCTION("""COMPUTED_VALUE"""),"McBride")</f>
        <v>McBride</v>
      </c>
      <c r="AA6" s="3">
        <v>6.0</v>
      </c>
      <c r="AB6" s="3">
        <f t="shared" si="7"/>
        <v>1</v>
      </c>
      <c r="AC6" s="3">
        <f t="shared" si="8"/>
        <v>1</v>
      </c>
      <c r="AD6" s="3">
        <f t="shared" si="9"/>
        <v>3.51</v>
      </c>
      <c r="AE6" s="3">
        <f t="shared" si="10"/>
        <v>3.51</v>
      </c>
      <c r="AF6" s="3">
        <f t="shared" si="11"/>
        <v>1.17</v>
      </c>
      <c r="AG6" s="3">
        <f t="shared" si="12"/>
        <v>0.09090909091</v>
      </c>
      <c r="AH6" s="1" t="s">
        <v>20</v>
      </c>
      <c r="AI6" s="3">
        <f t="shared" si="13"/>
        <v>26</v>
      </c>
      <c r="AJ6" s="3">
        <f t="shared" si="14"/>
        <v>41</v>
      </c>
      <c r="AK6" s="3">
        <f t="shared" si="15"/>
        <v>0.6341463415</v>
      </c>
    </row>
    <row r="7">
      <c r="A7" s="1" t="s">
        <v>11</v>
      </c>
      <c r="B7" s="1" t="s">
        <v>451</v>
      </c>
      <c r="C7" s="1" t="s">
        <v>18</v>
      </c>
      <c r="D7" s="1" t="s">
        <v>105</v>
      </c>
      <c r="E7" s="1" t="s">
        <v>196</v>
      </c>
      <c r="F7" s="1" t="s">
        <v>450</v>
      </c>
      <c r="G7" s="1">
        <v>30.5</v>
      </c>
      <c r="H7" s="1" t="s">
        <v>60</v>
      </c>
      <c r="I7" s="1">
        <v>-118.0</v>
      </c>
      <c r="J7" s="1">
        <v>-0.157954997717082</v>
      </c>
      <c r="K7" s="1" t="s">
        <v>61</v>
      </c>
      <c r="L7" s="1" t="s">
        <v>61</v>
      </c>
      <c r="M7" s="1" t="s">
        <v>62</v>
      </c>
      <c r="N7" s="1">
        <v>-112.0</v>
      </c>
      <c r="O7" s="1">
        <v>0.0884552652952966</v>
      </c>
      <c r="P7" s="1" t="s">
        <v>61</v>
      </c>
      <c r="Q7" s="1" t="s">
        <v>61</v>
      </c>
      <c r="R7" s="1">
        <f t="shared" si="1"/>
        <v>0.0884552653</v>
      </c>
      <c r="S7" s="1">
        <f t="shared" si="2"/>
        <v>-112</v>
      </c>
      <c r="T7" s="1">
        <f t="shared" si="3"/>
        <v>1.892857143</v>
      </c>
      <c r="U7" s="1">
        <f t="shared" si="4"/>
        <v>0</v>
      </c>
      <c r="V7" s="3">
        <f t="shared" si="5"/>
        <v>2</v>
      </c>
      <c r="W7" s="3">
        <f t="shared" si="6"/>
        <v>2</v>
      </c>
      <c r="X7" s="3" t="str">
        <f>IFERROR(__xludf.DUMMYFUNCTION("split(B7,"" "")"),"G.")</f>
        <v>G.</v>
      </c>
      <c r="Y7" s="3" t="str">
        <f>IFERROR(__xludf.DUMMYFUNCTION("""COMPUTED_VALUE"""),"Dortch")</f>
        <v>Dortch</v>
      </c>
      <c r="AA7" s="3">
        <v>11.0</v>
      </c>
      <c r="AB7" s="3">
        <f t="shared" si="7"/>
        <v>0</v>
      </c>
      <c r="AC7" s="3">
        <f t="shared" si="8"/>
        <v>1</v>
      </c>
      <c r="AD7" s="3">
        <f t="shared" si="9"/>
        <v>1.785714286</v>
      </c>
      <c r="AE7" s="3">
        <f t="shared" si="10"/>
        <v>1.785714286</v>
      </c>
      <c r="AF7" s="3">
        <f t="shared" si="11"/>
        <v>1.785714286</v>
      </c>
      <c r="AG7" s="3">
        <f t="shared" si="12"/>
        <v>0.6393442623</v>
      </c>
      <c r="AH7" s="1" t="s">
        <v>21</v>
      </c>
      <c r="AI7" s="3">
        <f t="shared" si="13"/>
        <v>64</v>
      </c>
      <c r="AJ7" s="3">
        <f t="shared" si="14"/>
        <v>123</v>
      </c>
      <c r="AK7" s="3">
        <f t="shared" si="15"/>
        <v>0.5203252033</v>
      </c>
    </row>
    <row r="8">
      <c r="A8" s="1" t="s">
        <v>9</v>
      </c>
      <c r="B8" s="1" t="s">
        <v>233</v>
      </c>
      <c r="C8" s="1" t="s">
        <v>18</v>
      </c>
      <c r="D8" s="1" t="s">
        <v>105</v>
      </c>
      <c r="E8" s="1" t="s">
        <v>196</v>
      </c>
      <c r="F8" s="1" t="s">
        <v>450</v>
      </c>
      <c r="G8" s="1">
        <v>30.5</v>
      </c>
      <c r="H8" s="1" t="s">
        <v>60</v>
      </c>
      <c r="I8" s="1">
        <v>-115.0</v>
      </c>
      <c r="J8" s="1">
        <v>0.0387016340007979</v>
      </c>
      <c r="K8" s="1" t="s">
        <v>61</v>
      </c>
      <c r="L8" s="1" t="s">
        <v>61</v>
      </c>
      <c r="M8" s="1" t="s">
        <v>62</v>
      </c>
      <c r="N8" s="1">
        <v>-117.0</v>
      </c>
      <c r="O8" s="1">
        <v>-0.112801295082491</v>
      </c>
      <c r="P8" s="1" t="s">
        <v>61</v>
      </c>
      <c r="Q8" s="1" t="s">
        <v>61</v>
      </c>
      <c r="R8" s="1">
        <f t="shared" si="1"/>
        <v>0.038701634</v>
      </c>
      <c r="S8" s="1">
        <f t="shared" si="2"/>
        <v>-115</v>
      </c>
      <c r="T8" s="1">
        <f t="shared" si="3"/>
        <v>1.869565217</v>
      </c>
      <c r="U8" s="1">
        <f t="shared" si="4"/>
        <v>1</v>
      </c>
      <c r="V8" s="3">
        <f t="shared" si="5"/>
        <v>1</v>
      </c>
      <c r="W8" s="3">
        <f t="shared" si="6"/>
        <v>2</v>
      </c>
      <c r="X8" s="3" t="str">
        <f>IFERROR(__xludf.DUMMYFUNCTION("split(B8,"" "")"),"M.")</f>
        <v>M.</v>
      </c>
      <c r="Y8" s="3" t="str">
        <f>IFERROR(__xludf.DUMMYFUNCTION("""COMPUTED_VALUE"""),"Wilson")</f>
        <v>Wilson</v>
      </c>
      <c r="AA8" s="3">
        <v>31.0</v>
      </c>
      <c r="AB8" s="3">
        <f t="shared" si="7"/>
        <v>1</v>
      </c>
      <c r="AC8" s="3">
        <f t="shared" si="8"/>
        <v>1</v>
      </c>
      <c r="AD8" s="3">
        <f t="shared" si="9"/>
        <v>0.8695652174</v>
      </c>
      <c r="AE8" s="3">
        <f t="shared" si="10"/>
        <v>0.8695652174</v>
      </c>
      <c r="AF8" s="3">
        <f t="shared" si="11"/>
        <v>1.739130435</v>
      </c>
      <c r="AG8" s="3">
        <f t="shared" si="12"/>
        <v>0.01639344262</v>
      </c>
    </row>
    <row r="9">
      <c r="A9" s="1" t="s">
        <v>11</v>
      </c>
      <c r="B9" s="1" t="s">
        <v>452</v>
      </c>
      <c r="C9" s="1" t="s">
        <v>18</v>
      </c>
      <c r="D9" s="1" t="s">
        <v>105</v>
      </c>
      <c r="E9" s="1" t="s">
        <v>196</v>
      </c>
      <c r="F9" s="1" t="s">
        <v>450</v>
      </c>
      <c r="G9" s="1">
        <v>58.5</v>
      </c>
      <c r="H9" s="1" t="s">
        <v>60</v>
      </c>
      <c r="I9" s="1">
        <v>-113.0</v>
      </c>
      <c r="J9" s="1">
        <v>0.0111361245022668</v>
      </c>
      <c r="K9" s="1" t="s">
        <v>61</v>
      </c>
      <c r="L9" s="1" t="s">
        <v>61</v>
      </c>
      <c r="M9" s="1" t="s">
        <v>62</v>
      </c>
      <c r="N9" s="1">
        <v>-116.0</v>
      </c>
      <c r="O9" s="1">
        <v>-0.0786832668190914</v>
      </c>
      <c r="P9" s="1" t="s">
        <v>61</v>
      </c>
      <c r="Q9" s="1" t="s">
        <v>61</v>
      </c>
      <c r="R9" s="1">
        <f t="shared" si="1"/>
        <v>0.0111361245</v>
      </c>
      <c r="S9" s="1">
        <f t="shared" si="2"/>
        <v>-113</v>
      </c>
      <c r="T9" s="1">
        <f t="shared" si="3"/>
        <v>1.884955752</v>
      </c>
      <c r="U9" s="1">
        <f t="shared" si="4"/>
        <v>1</v>
      </c>
      <c r="V9" s="3">
        <f t="shared" si="5"/>
        <v>1</v>
      </c>
      <c r="W9" s="3">
        <f t="shared" si="6"/>
        <v>2</v>
      </c>
      <c r="X9" s="3" t="str">
        <f>IFERROR(__xludf.DUMMYFUNCTION("split(B9,"" "")"),"M.")</f>
        <v>M.</v>
      </c>
      <c r="Y9" s="3" t="str">
        <f>IFERROR(__xludf.DUMMYFUNCTION("""COMPUTED_VALUE"""),"Harrison")</f>
        <v>Harrison</v>
      </c>
      <c r="Z9" s="3" t="str">
        <f>IFERROR(__xludf.DUMMYFUNCTION("""COMPUTED_VALUE"""),"Jr.")</f>
        <v>Jr.</v>
      </c>
      <c r="AA9" s="3">
        <v>130.0</v>
      </c>
      <c r="AB9" s="3">
        <f t="shared" si="7"/>
        <v>1</v>
      </c>
      <c r="AC9" s="3">
        <f t="shared" si="8"/>
        <v>1</v>
      </c>
      <c r="AD9" s="3">
        <f t="shared" si="9"/>
        <v>0.8849557522</v>
      </c>
      <c r="AE9" s="3">
        <f t="shared" si="10"/>
        <v>0.8849557522</v>
      </c>
      <c r="AF9" s="3">
        <f t="shared" si="11"/>
        <v>1.769911504</v>
      </c>
      <c r="AG9" s="3">
        <f t="shared" si="12"/>
        <v>1.222222222</v>
      </c>
    </row>
    <row r="10">
      <c r="A10" s="1" t="s">
        <v>17</v>
      </c>
      <c r="B10" s="1" t="s">
        <v>204</v>
      </c>
      <c r="C10" s="1" t="s">
        <v>21</v>
      </c>
      <c r="D10" s="1" t="s">
        <v>105</v>
      </c>
      <c r="E10" s="1" t="s">
        <v>196</v>
      </c>
      <c r="F10" s="1" t="s">
        <v>450</v>
      </c>
      <c r="G10" s="1">
        <v>0.5</v>
      </c>
      <c r="H10" s="1" t="s">
        <v>60</v>
      </c>
      <c r="I10" s="1">
        <v>-102.0</v>
      </c>
      <c r="J10" s="1">
        <v>-0.0648504950495048</v>
      </c>
      <c r="K10" s="1" t="s">
        <v>61</v>
      </c>
      <c r="L10" s="1" t="s">
        <v>61</v>
      </c>
      <c r="M10" s="1" t="s">
        <v>62</v>
      </c>
      <c r="N10" s="1">
        <v>-127.0</v>
      </c>
      <c r="O10" s="1">
        <v>4.28634361233526E-4</v>
      </c>
      <c r="P10" s="1" t="s">
        <v>61</v>
      </c>
      <c r="Q10" s="1" t="s">
        <v>61</v>
      </c>
      <c r="R10" s="1">
        <f t="shared" si="1"/>
        <v>0.0004286343612</v>
      </c>
      <c r="S10" s="1">
        <f t="shared" si="2"/>
        <v>-127</v>
      </c>
      <c r="T10" s="1">
        <f t="shared" si="3"/>
        <v>1.787401575</v>
      </c>
      <c r="U10" s="1">
        <f t="shared" si="4"/>
        <v>0</v>
      </c>
      <c r="V10" s="3">
        <f t="shared" si="5"/>
        <v>1</v>
      </c>
      <c r="W10" s="3">
        <f t="shared" si="6"/>
        <v>3</v>
      </c>
      <c r="X10" s="3" t="str">
        <f>IFERROR(__xludf.DUMMYFUNCTION("split(B10,"" "")"),"K.")</f>
        <v>K.</v>
      </c>
      <c r="Y10" s="3" t="str">
        <f>IFERROR(__xludf.DUMMYFUNCTION("""COMPUTED_VALUE"""),"Murray")</f>
        <v>Murray</v>
      </c>
      <c r="AA10" s="3">
        <v>0.0</v>
      </c>
      <c r="AB10" s="3">
        <f t="shared" si="7"/>
        <v>0</v>
      </c>
      <c r="AC10" s="3">
        <f t="shared" si="8"/>
        <v>1</v>
      </c>
      <c r="AD10" s="3">
        <f t="shared" si="9"/>
        <v>0.7874015748</v>
      </c>
      <c r="AE10" s="3">
        <f t="shared" si="10"/>
        <v>0.7874015748</v>
      </c>
      <c r="AF10" s="3">
        <f t="shared" si="11"/>
        <v>2.362204724</v>
      </c>
      <c r="AG10" s="3">
        <f t="shared" si="12"/>
        <v>1</v>
      </c>
    </row>
    <row r="11">
      <c r="A11" s="1" t="s">
        <v>17</v>
      </c>
      <c r="B11" s="1" t="s">
        <v>328</v>
      </c>
      <c r="C11" s="1" t="s">
        <v>21</v>
      </c>
      <c r="D11" s="1" t="s">
        <v>109</v>
      </c>
      <c r="E11" s="1" t="s">
        <v>156</v>
      </c>
      <c r="F11" s="1" t="s">
        <v>453</v>
      </c>
      <c r="G11" s="1">
        <v>0.5</v>
      </c>
      <c r="H11" s="1" t="s">
        <v>60</v>
      </c>
      <c r="I11" s="1">
        <v>-192.0</v>
      </c>
      <c r="J11" s="1">
        <v>-0.205134246575342</v>
      </c>
      <c r="K11" s="1" t="s">
        <v>61</v>
      </c>
      <c r="L11" s="1" t="s">
        <v>61</v>
      </c>
      <c r="M11" s="1" t="s">
        <v>62</v>
      </c>
      <c r="N11" s="1">
        <v>139.0</v>
      </c>
      <c r="O11" s="1">
        <v>0.129189958158995</v>
      </c>
      <c r="P11" s="1" t="s">
        <v>61</v>
      </c>
      <c r="Q11" s="1" t="s">
        <v>61</v>
      </c>
      <c r="R11" s="1">
        <f t="shared" si="1"/>
        <v>0.1291899582</v>
      </c>
      <c r="S11" s="1">
        <f t="shared" si="2"/>
        <v>139</v>
      </c>
      <c r="T11" s="1">
        <f t="shared" si="3"/>
        <v>2.39</v>
      </c>
      <c r="U11" s="1">
        <f t="shared" si="4"/>
        <v>0</v>
      </c>
      <c r="V11" s="3">
        <f t="shared" si="5"/>
        <v>3</v>
      </c>
      <c r="W11" s="3">
        <f t="shared" si="6"/>
        <v>1</v>
      </c>
      <c r="X11" s="3" t="str">
        <f>IFERROR(__xludf.DUMMYFUNCTION("split(B11,"" "")"),"K.")</f>
        <v>K.</v>
      </c>
      <c r="Y11" s="3" t="str">
        <f>IFERROR(__xludf.DUMMYFUNCTION("""COMPUTED_VALUE"""),"Cousins")</f>
        <v>Cousins</v>
      </c>
      <c r="AA11" s="3">
        <v>0.0</v>
      </c>
      <c r="AB11" s="3">
        <f t="shared" si="7"/>
        <v>0</v>
      </c>
      <c r="AC11" s="3">
        <f t="shared" si="8"/>
        <v>1</v>
      </c>
      <c r="AD11" s="3">
        <f t="shared" si="9"/>
        <v>4.17</v>
      </c>
      <c r="AE11" s="3">
        <f t="shared" si="10"/>
        <v>4.17</v>
      </c>
      <c r="AF11" s="3">
        <f t="shared" si="11"/>
        <v>1.39</v>
      </c>
      <c r="AG11" s="3">
        <f t="shared" si="12"/>
        <v>1</v>
      </c>
      <c r="AH11" s="1" t="s">
        <v>209</v>
      </c>
      <c r="AI11" s="3">
        <f>COUNTIFs(AC:AC, "=1", AB:AB, "=0")</f>
        <v>163</v>
      </c>
      <c r="AJ11" s="3">
        <f>countif(AB:AB, "=0")</f>
        <v>192</v>
      </c>
      <c r="AK11" s="3">
        <f t="shared" ref="AK11:AK12" si="16">AI11/AJ11</f>
        <v>0.8489583333</v>
      </c>
      <c r="AL11" s="3">
        <f>sumifs(AE:AE,U:U, "=0")</f>
        <v>10.96460382</v>
      </c>
    </row>
    <row r="12">
      <c r="A12" s="1" t="s">
        <v>12</v>
      </c>
      <c r="B12" s="1" t="s">
        <v>108</v>
      </c>
      <c r="C12" s="1" t="s">
        <v>20</v>
      </c>
      <c r="D12" s="1" t="s">
        <v>109</v>
      </c>
      <c r="E12" s="1" t="s">
        <v>156</v>
      </c>
      <c r="F12" s="1" t="s">
        <v>453</v>
      </c>
      <c r="G12" s="1">
        <v>3.5</v>
      </c>
      <c r="H12" s="1" t="s">
        <v>60</v>
      </c>
      <c r="I12" s="1">
        <v>-123.0</v>
      </c>
      <c r="J12" s="1">
        <v>-0.131469506726457</v>
      </c>
      <c r="K12" s="1" t="s">
        <v>61</v>
      </c>
      <c r="L12" s="1" t="s">
        <v>61</v>
      </c>
      <c r="M12" s="1" t="s">
        <v>62</v>
      </c>
      <c r="N12" s="1">
        <v>-108.0</v>
      </c>
      <c r="O12" s="1">
        <v>0.0606692307692309</v>
      </c>
      <c r="P12" s="1" t="s">
        <v>61</v>
      </c>
      <c r="Q12" s="1" t="s">
        <v>61</v>
      </c>
      <c r="R12" s="1">
        <f t="shared" si="1"/>
        <v>0.06066923077</v>
      </c>
      <c r="S12" s="1">
        <f t="shared" si="2"/>
        <v>-108</v>
      </c>
      <c r="T12" s="1">
        <f t="shared" si="3"/>
        <v>1.925925926</v>
      </c>
      <c r="U12" s="1">
        <f t="shared" si="4"/>
        <v>0</v>
      </c>
      <c r="V12" s="3">
        <f t="shared" si="5"/>
        <v>2</v>
      </c>
      <c r="W12" s="3">
        <f t="shared" si="6"/>
        <v>2</v>
      </c>
      <c r="X12" s="3" t="str">
        <f>IFERROR(__xludf.DUMMYFUNCTION("split(B12,"" "")"),"K.")</f>
        <v>K.</v>
      </c>
      <c r="Y12" s="3" t="str">
        <f>IFERROR(__xludf.DUMMYFUNCTION("""COMPUTED_VALUE"""),"Pitts")</f>
        <v>Pitts</v>
      </c>
      <c r="AA12" s="3">
        <v>3.0</v>
      </c>
      <c r="AB12" s="3">
        <f t="shared" si="7"/>
        <v>0</v>
      </c>
      <c r="AC12" s="3">
        <f t="shared" si="8"/>
        <v>1</v>
      </c>
      <c r="AD12" s="3">
        <f t="shared" si="9"/>
        <v>1.851851852</v>
      </c>
      <c r="AE12" s="3">
        <f t="shared" si="10"/>
        <v>1.851851852</v>
      </c>
      <c r="AF12" s="3">
        <f t="shared" si="11"/>
        <v>1.851851852</v>
      </c>
      <c r="AG12" s="3">
        <f t="shared" si="12"/>
        <v>0.1428571429</v>
      </c>
      <c r="AH12" s="1" t="s">
        <v>206</v>
      </c>
      <c r="AI12" s="3">
        <f>COUNTIFs(AC:AC, "=1", AB:AB, "=1")</f>
        <v>31</v>
      </c>
      <c r="AJ12" s="3">
        <f>countif(AB:AB, "=1")</f>
        <v>169</v>
      </c>
      <c r="AK12" s="3">
        <f t="shared" si="16"/>
        <v>0.1834319527</v>
      </c>
      <c r="AL12" s="3">
        <f>sumifs(AE:AE,U:U, "=1")</f>
        <v>-0.1958533019</v>
      </c>
    </row>
    <row r="13">
      <c r="A13" s="1" t="s">
        <v>12</v>
      </c>
      <c r="B13" s="1" t="s">
        <v>264</v>
      </c>
      <c r="C13" s="1" t="s">
        <v>19</v>
      </c>
      <c r="D13" s="1" t="s">
        <v>109</v>
      </c>
      <c r="E13" s="1" t="s">
        <v>156</v>
      </c>
      <c r="F13" s="1" t="s">
        <v>453</v>
      </c>
      <c r="G13" s="1">
        <v>4.5</v>
      </c>
      <c r="H13" s="1" t="s">
        <v>60</v>
      </c>
      <c r="I13" s="1">
        <v>103.0</v>
      </c>
      <c r="J13" s="1">
        <v>-0.129712315270935</v>
      </c>
      <c r="K13" s="1" t="s">
        <v>61</v>
      </c>
      <c r="L13" s="1" t="s">
        <v>61</v>
      </c>
      <c r="M13" s="1" t="s">
        <v>62</v>
      </c>
      <c r="N13" s="1">
        <v>-137.0</v>
      </c>
      <c r="O13" s="1">
        <v>0.0590565400843881</v>
      </c>
      <c r="P13" s="1" t="s">
        <v>61</v>
      </c>
      <c r="Q13" s="1" t="s">
        <v>61</v>
      </c>
      <c r="R13" s="1">
        <f t="shared" si="1"/>
        <v>0.05905654008</v>
      </c>
      <c r="S13" s="1">
        <f t="shared" si="2"/>
        <v>-137</v>
      </c>
      <c r="T13" s="1">
        <f t="shared" si="3"/>
        <v>1.729927007</v>
      </c>
      <c r="U13" s="1">
        <f t="shared" si="4"/>
        <v>0</v>
      </c>
      <c r="V13" s="3">
        <f t="shared" si="5"/>
        <v>2</v>
      </c>
      <c r="W13" s="3">
        <f t="shared" si="6"/>
        <v>3</v>
      </c>
      <c r="X13" s="3" t="str">
        <f>IFERROR(__xludf.DUMMYFUNCTION("split(B13,"" "")"),"B.")</f>
        <v>B.</v>
      </c>
      <c r="Y13" s="3" t="str">
        <f>IFERROR(__xludf.DUMMYFUNCTION("""COMPUTED_VALUE"""),"Robinson")</f>
        <v>Robinson</v>
      </c>
      <c r="AA13" s="3">
        <v>4.0</v>
      </c>
      <c r="AB13" s="3">
        <f t="shared" si="7"/>
        <v>0</v>
      </c>
      <c r="AC13" s="3">
        <f t="shared" si="8"/>
        <v>1</v>
      </c>
      <c r="AD13" s="3">
        <f t="shared" si="9"/>
        <v>1.459854015</v>
      </c>
      <c r="AE13" s="3">
        <f t="shared" si="10"/>
        <v>1.459854015</v>
      </c>
      <c r="AF13" s="3">
        <f t="shared" si="11"/>
        <v>2.189781022</v>
      </c>
      <c r="AG13" s="3">
        <f t="shared" si="12"/>
        <v>0.1111111111</v>
      </c>
    </row>
    <row r="14">
      <c r="A14" s="1" t="s">
        <v>11</v>
      </c>
      <c r="B14" s="1" t="s">
        <v>264</v>
      </c>
      <c r="C14" s="1" t="s">
        <v>19</v>
      </c>
      <c r="D14" s="1" t="s">
        <v>109</v>
      </c>
      <c r="E14" s="1" t="s">
        <v>156</v>
      </c>
      <c r="F14" s="1" t="s">
        <v>453</v>
      </c>
      <c r="G14" s="1">
        <v>29.5</v>
      </c>
      <c r="H14" s="1" t="s">
        <v>60</v>
      </c>
      <c r="I14" s="1">
        <v>-118.0</v>
      </c>
      <c r="J14" s="1">
        <v>-0.11995750183688</v>
      </c>
      <c r="K14" s="1" t="s">
        <v>61</v>
      </c>
      <c r="L14" s="1" t="s">
        <v>61</v>
      </c>
      <c r="M14" s="1" t="s">
        <v>62</v>
      </c>
      <c r="N14" s="1">
        <v>-115.0</v>
      </c>
      <c r="O14" s="1">
        <v>0.0438679335372373</v>
      </c>
      <c r="P14" s="1" t="s">
        <v>61</v>
      </c>
      <c r="Q14" s="1" t="s">
        <v>61</v>
      </c>
      <c r="R14" s="1">
        <f t="shared" si="1"/>
        <v>0.04386793354</v>
      </c>
      <c r="S14" s="1">
        <f t="shared" si="2"/>
        <v>-115</v>
      </c>
      <c r="T14" s="1">
        <f t="shared" si="3"/>
        <v>1.869565217</v>
      </c>
      <c r="U14" s="1">
        <f t="shared" si="4"/>
        <v>0</v>
      </c>
      <c r="V14" s="3">
        <f t="shared" si="5"/>
        <v>1</v>
      </c>
      <c r="W14" s="3">
        <f t="shared" si="6"/>
        <v>2</v>
      </c>
      <c r="X14" s="3" t="str">
        <f>IFERROR(__xludf.DUMMYFUNCTION("split(B14,"" "")"),"B.")</f>
        <v>B.</v>
      </c>
      <c r="Y14" s="3" t="str">
        <f>IFERROR(__xludf.DUMMYFUNCTION("""COMPUTED_VALUE"""),"Robinson")</f>
        <v>Robinson</v>
      </c>
      <c r="AA14" s="3">
        <v>25.0</v>
      </c>
      <c r="AB14" s="3">
        <f t="shared" si="7"/>
        <v>0</v>
      </c>
      <c r="AC14" s="3">
        <f t="shared" si="8"/>
        <v>1</v>
      </c>
      <c r="AD14" s="3">
        <f t="shared" si="9"/>
        <v>0.8695652174</v>
      </c>
      <c r="AE14" s="3">
        <f t="shared" si="10"/>
        <v>0.8695652174</v>
      </c>
      <c r="AF14" s="3">
        <f t="shared" si="11"/>
        <v>1.739130435</v>
      </c>
      <c r="AG14" s="3">
        <f t="shared" si="12"/>
        <v>0.1525423729</v>
      </c>
    </row>
    <row r="15">
      <c r="A15" s="1" t="s">
        <v>12</v>
      </c>
      <c r="B15" s="1" t="s">
        <v>355</v>
      </c>
      <c r="C15" s="1" t="s">
        <v>18</v>
      </c>
      <c r="D15" s="1" t="s">
        <v>109</v>
      </c>
      <c r="E15" s="1" t="s">
        <v>156</v>
      </c>
      <c r="F15" s="1" t="s">
        <v>453</v>
      </c>
      <c r="G15" s="1">
        <v>3.5</v>
      </c>
      <c r="H15" s="1" t="s">
        <v>60</v>
      </c>
      <c r="I15" s="1">
        <v>115.0</v>
      </c>
      <c r="J15" s="1">
        <v>-0.105016279069767</v>
      </c>
      <c r="K15" s="1" t="s">
        <v>61</v>
      </c>
      <c r="L15" s="1" t="s">
        <v>61</v>
      </c>
      <c r="M15" s="1" t="s">
        <v>62</v>
      </c>
      <c r="N15" s="1">
        <v>-155.0</v>
      </c>
      <c r="O15" s="1">
        <v>0.032056862745098</v>
      </c>
      <c r="P15" s="1" t="s">
        <v>61</v>
      </c>
      <c r="Q15" s="1" t="s">
        <v>61</v>
      </c>
      <c r="R15" s="1">
        <f t="shared" si="1"/>
        <v>0.03205686275</v>
      </c>
      <c r="S15" s="1">
        <f t="shared" si="2"/>
        <v>-155</v>
      </c>
      <c r="T15" s="1">
        <f t="shared" si="3"/>
        <v>1.64516129</v>
      </c>
      <c r="U15" s="1">
        <f t="shared" si="4"/>
        <v>0</v>
      </c>
      <c r="V15" s="3">
        <f t="shared" si="5"/>
        <v>1</v>
      </c>
      <c r="W15" s="3">
        <f t="shared" si="6"/>
        <v>3</v>
      </c>
      <c r="X15" s="3" t="str">
        <f>IFERROR(__xludf.DUMMYFUNCTION("split(B15,"" "")"),"D.")</f>
        <v>D.</v>
      </c>
      <c r="Y15" s="3" t="str">
        <f>IFERROR(__xludf.DUMMYFUNCTION("""COMPUTED_VALUE"""),"Mooney")</f>
        <v>Mooney</v>
      </c>
      <c r="AA15" s="3">
        <v>3.0</v>
      </c>
      <c r="AB15" s="3">
        <f t="shared" si="7"/>
        <v>0</v>
      </c>
      <c r="AC15" s="3">
        <f t="shared" si="8"/>
        <v>1</v>
      </c>
      <c r="AD15" s="3">
        <f t="shared" si="9"/>
        <v>0.6451612903</v>
      </c>
      <c r="AE15" s="3">
        <f t="shared" si="10"/>
        <v>0.6451612903</v>
      </c>
      <c r="AF15" s="3">
        <f t="shared" si="11"/>
        <v>1.935483871</v>
      </c>
      <c r="AG15" s="3">
        <f t="shared" si="12"/>
        <v>0.1428571429</v>
      </c>
      <c r="AH15" s="1" t="s">
        <v>216</v>
      </c>
      <c r="AI15" s="3">
        <f>COUNTIFS(AC:AC, "=1",V:V, "=1")/COUNTIF(V:V, "=1")</f>
        <v>0.5539215686</v>
      </c>
      <c r="AJ15" s="3">
        <f>SUMIF(V:V, "=1", AE:AE)</f>
        <v>8.401014807</v>
      </c>
      <c r="AK15" s="3">
        <f>AVERAGEIF(V:V, "=1",T:T)</f>
        <v>1.894167092</v>
      </c>
      <c r="AL15" s="7">
        <f t="shared" ref="AL15:AL16" si="17">if(AK15&gt;2, (AK15-1)/100, (-100/(AK15-1)))</f>
        <v>-111.8359207</v>
      </c>
    </row>
    <row r="16">
      <c r="A16" s="1" t="s">
        <v>12</v>
      </c>
      <c r="B16" s="1" t="s">
        <v>454</v>
      </c>
      <c r="C16" s="1" t="s">
        <v>20</v>
      </c>
      <c r="D16" s="1" t="s">
        <v>77</v>
      </c>
      <c r="E16" s="1" t="s">
        <v>134</v>
      </c>
      <c r="F16" s="1" t="s">
        <v>455</v>
      </c>
      <c r="G16" s="1">
        <v>3.5</v>
      </c>
      <c r="H16" s="1" t="s">
        <v>60</v>
      </c>
      <c r="I16" s="1">
        <v>-109.0</v>
      </c>
      <c r="J16" s="1">
        <v>-0.201983253588516</v>
      </c>
      <c r="K16" s="1" t="s">
        <v>61</v>
      </c>
      <c r="L16" s="1" t="s">
        <v>61</v>
      </c>
      <c r="M16" s="1" t="s">
        <v>62</v>
      </c>
      <c r="N16" s="1">
        <v>-120.0</v>
      </c>
      <c r="O16" s="1">
        <v>0.134990909090909</v>
      </c>
      <c r="P16" s="1" t="s">
        <v>61</v>
      </c>
      <c r="Q16" s="1" t="s">
        <v>61</v>
      </c>
      <c r="R16" s="1">
        <f t="shared" si="1"/>
        <v>0.1349909091</v>
      </c>
      <c r="S16" s="1">
        <f t="shared" si="2"/>
        <v>-120</v>
      </c>
      <c r="T16" s="1">
        <f t="shared" si="3"/>
        <v>1.833333333</v>
      </c>
      <c r="U16" s="1">
        <f t="shared" si="4"/>
        <v>0</v>
      </c>
      <c r="V16" s="3">
        <f t="shared" si="5"/>
        <v>3</v>
      </c>
      <c r="W16" s="3">
        <f t="shared" si="6"/>
        <v>3</v>
      </c>
      <c r="X16" s="3" t="str">
        <f>IFERROR(__xludf.DUMMYFUNCTION("split(B16,"" "")"),"I.")</f>
        <v>I.</v>
      </c>
      <c r="Y16" s="3" t="str">
        <f>IFERROR(__xludf.DUMMYFUNCTION("""COMPUTED_VALUE"""),"Likely")</f>
        <v>Likely</v>
      </c>
      <c r="AA16" s="3">
        <v>2.0</v>
      </c>
      <c r="AB16" s="3">
        <f t="shared" si="7"/>
        <v>0</v>
      </c>
      <c r="AC16" s="3">
        <f t="shared" si="8"/>
        <v>1</v>
      </c>
      <c r="AD16" s="3">
        <f t="shared" si="9"/>
        <v>2.5</v>
      </c>
      <c r="AE16" s="3">
        <f t="shared" si="10"/>
        <v>2.5</v>
      </c>
      <c r="AF16" s="3">
        <f t="shared" si="11"/>
        <v>2.5</v>
      </c>
      <c r="AG16" s="3">
        <f t="shared" si="12"/>
        <v>0.4285714286</v>
      </c>
      <c r="AH16" s="1" t="s">
        <v>219</v>
      </c>
      <c r="AI16" s="3">
        <f>COUNTIFS(AC:AC, "=1",V:V, "=2")/COUNTIF(V:V, "=2")</f>
        <v>0.5176470588</v>
      </c>
      <c r="AJ16" s="3">
        <f>SUMIF(V:V, "=2", AE:AE)</f>
        <v>-2.99860891</v>
      </c>
      <c r="AK16" s="3">
        <f>AVERAGEIF(V:V, "=2",T:T)</f>
        <v>1.92757431</v>
      </c>
      <c r="AL16" s="7">
        <f t="shared" si="17"/>
        <v>-107.8080742</v>
      </c>
    </row>
    <row r="17">
      <c r="A17" s="1" t="s">
        <v>12</v>
      </c>
      <c r="B17" s="1" t="s">
        <v>309</v>
      </c>
      <c r="C17" s="1" t="s">
        <v>19</v>
      </c>
      <c r="D17" s="1" t="s">
        <v>77</v>
      </c>
      <c r="E17" s="1" t="s">
        <v>134</v>
      </c>
      <c r="F17" s="1" t="s">
        <v>455</v>
      </c>
      <c r="G17" s="1">
        <v>1.5</v>
      </c>
      <c r="H17" s="1" t="s">
        <v>60</v>
      </c>
      <c r="I17" s="1">
        <v>113.0</v>
      </c>
      <c r="J17" s="1">
        <v>-0.135471184548356</v>
      </c>
      <c r="K17" s="1" t="s">
        <v>61</v>
      </c>
      <c r="L17" s="1" t="s">
        <v>61</v>
      </c>
      <c r="M17" s="1" t="s">
        <v>62</v>
      </c>
      <c r="N17" s="1">
        <v>-146.0</v>
      </c>
      <c r="O17" s="1">
        <v>0.0724902114211382</v>
      </c>
      <c r="P17" s="1" t="s">
        <v>61</v>
      </c>
      <c r="Q17" s="1" t="s">
        <v>61</v>
      </c>
      <c r="R17" s="1">
        <f t="shared" si="1"/>
        <v>0.07249021142</v>
      </c>
      <c r="S17" s="1">
        <f t="shared" si="2"/>
        <v>-146</v>
      </c>
      <c r="T17" s="1">
        <f t="shared" si="3"/>
        <v>1.684931507</v>
      </c>
      <c r="U17" s="1">
        <f t="shared" si="4"/>
        <v>0</v>
      </c>
      <c r="V17" s="3">
        <f t="shared" si="5"/>
        <v>2</v>
      </c>
      <c r="W17" s="3">
        <f t="shared" si="6"/>
        <v>3</v>
      </c>
      <c r="X17" s="3" t="str">
        <f>IFERROR(__xludf.DUMMYFUNCTION("split(B17,"" "")"),"D.")</f>
        <v>D.</v>
      </c>
      <c r="Y17" s="3" t="str">
        <f>IFERROR(__xludf.DUMMYFUNCTION("""COMPUTED_VALUE"""),"Henry")</f>
        <v>Henry</v>
      </c>
      <c r="AA17" s="3">
        <v>1.0</v>
      </c>
      <c r="AB17" s="3">
        <f t="shared" si="7"/>
        <v>0</v>
      </c>
      <c r="AC17" s="3">
        <f t="shared" si="8"/>
        <v>1</v>
      </c>
      <c r="AD17" s="3">
        <f t="shared" si="9"/>
        <v>1.369863014</v>
      </c>
      <c r="AE17" s="3">
        <f t="shared" si="10"/>
        <v>1.369863014</v>
      </c>
      <c r="AF17" s="3">
        <f t="shared" si="11"/>
        <v>2.054794521</v>
      </c>
      <c r="AG17" s="3">
        <f t="shared" si="12"/>
        <v>0.3333333333</v>
      </c>
      <c r="AH17" s="1" t="s">
        <v>222</v>
      </c>
      <c r="AI17" s="3">
        <f>COUNTIFS(AC:AC, "=1",V:V, "=3")/COUNTIF(V:V, "=3")</f>
        <v>0.5138888889</v>
      </c>
      <c r="AJ17" s="3">
        <f>SUMIF(V:V, "=3", AE:AE)</f>
        <v>5.366344616</v>
      </c>
      <c r="AK17" s="3">
        <f>AVERAGEIF(V:V, "=3",T:T)</f>
        <v>2.039722548</v>
      </c>
      <c r="AL17" s="7">
        <f>if(AK17&gt;2, (AK17-1)*100, (-100/(AK17-1)))</f>
        <v>103.9722548</v>
      </c>
    </row>
    <row r="18">
      <c r="A18" s="1" t="s">
        <v>11</v>
      </c>
      <c r="B18" s="1" t="s">
        <v>309</v>
      </c>
      <c r="C18" s="1" t="s">
        <v>19</v>
      </c>
      <c r="D18" s="1" t="s">
        <v>77</v>
      </c>
      <c r="E18" s="1" t="s">
        <v>134</v>
      </c>
      <c r="F18" s="1" t="s">
        <v>455</v>
      </c>
      <c r="G18" s="1">
        <v>6.5</v>
      </c>
      <c r="H18" s="1" t="s">
        <v>60</v>
      </c>
      <c r="I18" s="1">
        <v>-116.0</v>
      </c>
      <c r="J18" s="1">
        <v>0.0672996536237446</v>
      </c>
      <c r="K18" s="1" t="s">
        <v>61</v>
      </c>
      <c r="L18" s="1" t="s">
        <v>61</v>
      </c>
      <c r="M18" s="1" t="s">
        <v>62</v>
      </c>
      <c r="N18" s="1">
        <v>-113.0</v>
      </c>
      <c r="O18" s="1">
        <v>-0.134843884772223</v>
      </c>
      <c r="P18" s="1" t="s">
        <v>61</v>
      </c>
      <c r="Q18" s="1" t="s">
        <v>61</v>
      </c>
      <c r="R18" s="1">
        <f t="shared" si="1"/>
        <v>0.06729965362</v>
      </c>
      <c r="S18" s="1">
        <f t="shared" si="2"/>
        <v>-116</v>
      </c>
      <c r="T18" s="1">
        <f t="shared" si="3"/>
        <v>1.862068966</v>
      </c>
      <c r="U18" s="1">
        <f t="shared" si="4"/>
        <v>1</v>
      </c>
      <c r="V18" s="3">
        <f t="shared" si="5"/>
        <v>2</v>
      </c>
      <c r="W18" s="3">
        <f t="shared" si="6"/>
        <v>2</v>
      </c>
      <c r="X18" s="3" t="str">
        <f>IFERROR(__xludf.DUMMYFUNCTION("split(B18,"" "")"),"D.")</f>
        <v>D.</v>
      </c>
      <c r="Y18" s="3" t="str">
        <f>IFERROR(__xludf.DUMMYFUNCTION("""COMPUTED_VALUE"""),"Henry")</f>
        <v>Henry</v>
      </c>
      <c r="AA18" s="3">
        <v>12.0</v>
      </c>
      <c r="AB18" s="3">
        <f t="shared" si="7"/>
        <v>1</v>
      </c>
      <c r="AC18" s="3">
        <f t="shared" si="8"/>
        <v>1</v>
      </c>
      <c r="AD18" s="3">
        <f t="shared" si="9"/>
        <v>1.724137931</v>
      </c>
      <c r="AE18" s="3">
        <f t="shared" si="10"/>
        <v>1.724137931</v>
      </c>
      <c r="AF18" s="3">
        <f t="shared" si="11"/>
        <v>1.724137931</v>
      </c>
      <c r="AG18" s="3">
        <f t="shared" si="12"/>
        <v>0.8461538462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</row>
    <row r="19">
      <c r="A19" s="1" t="s">
        <v>11</v>
      </c>
      <c r="B19" s="1" t="s">
        <v>454</v>
      </c>
      <c r="C19" s="1" t="s">
        <v>20</v>
      </c>
      <c r="D19" s="1" t="s">
        <v>77</v>
      </c>
      <c r="E19" s="1" t="s">
        <v>134</v>
      </c>
      <c r="F19" s="1" t="s">
        <v>455</v>
      </c>
      <c r="G19" s="1">
        <v>35.5</v>
      </c>
      <c r="H19" s="1" t="s">
        <v>60</v>
      </c>
      <c r="I19" s="1">
        <v>-119.0</v>
      </c>
      <c r="J19" s="1">
        <v>-0.12366696127041</v>
      </c>
      <c r="K19" s="1" t="s">
        <v>61</v>
      </c>
      <c r="L19" s="1" t="s">
        <v>61</v>
      </c>
      <c r="M19" s="1" t="s">
        <v>62</v>
      </c>
      <c r="N19" s="1">
        <v>-110.0</v>
      </c>
      <c r="O19" s="1">
        <v>0.0564748705074857</v>
      </c>
      <c r="P19" s="1" t="s">
        <v>61</v>
      </c>
      <c r="Q19" s="1" t="s">
        <v>61</v>
      </c>
      <c r="R19" s="1">
        <f t="shared" si="1"/>
        <v>0.05647487051</v>
      </c>
      <c r="S19" s="1">
        <f t="shared" si="2"/>
        <v>-110</v>
      </c>
      <c r="T19" s="1">
        <f t="shared" si="3"/>
        <v>1.909090909</v>
      </c>
      <c r="U19" s="1">
        <f t="shared" si="4"/>
        <v>0</v>
      </c>
      <c r="V19" s="3">
        <f t="shared" si="5"/>
        <v>2</v>
      </c>
      <c r="W19" s="3">
        <f t="shared" si="6"/>
        <v>2</v>
      </c>
      <c r="X19" s="3" t="str">
        <f>IFERROR(__xludf.DUMMYFUNCTION("split(B19,"" "")"),"I.")</f>
        <v>I.</v>
      </c>
      <c r="Y19" s="3" t="str">
        <f>IFERROR(__xludf.DUMMYFUNCTION("""COMPUTED_VALUE"""),"Likely")</f>
        <v>Likely</v>
      </c>
      <c r="AA19" s="3">
        <v>26.0</v>
      </c>
      <c r="AB19" s="3">
        <f t="shared" si="7"/>
        <v>0</v>
      </c>
      <c r="AC19" s="3">
        <f t="shared" si="8"/>
        <v>1</v>
      </c>
      <c r="AD19" s="3">
        <f t="shared" si="9"/>
        <v>1.818181818</v>
      </c>
      <c r="AE19" s="3">
        <f t="shared" si="10"/>
        <v>1.818181818</v>
      </c>
      <c r="AF19" s="3">
        <f t="shared" si="11"/>
        <v>1.818181818</v>
      </c>
      <c r="AG19" s="3">
        <f t="shared" si="12"/>
        <v>0.2676056338</v>
      </c>
      <c r="AH19" s="1" t="s">
        <v>8</v>
      </c>
      <c r="AI19" s="3">
        <f t="shared" ref="AI19:AI21" si="18">COUNTIFs(A:A, "=" &amp; AH19, AC:AC, "=1")</f>
        <v>26</v>
      </c>
      <c r="AJ19" s="3">
        <f t="shared" ref="AJ19:AJ21" si="19">countif(A:A, "=" &amp; AH19)</f>
        <v>42</v>
      </c>
      <c r="AK19" s="3">
        <f t="shared" ref="AK19:AK21" si="20">AI19/AJ19</f>
        <v>0.619047619</v>
      </c>
      <c r="AL19" s="3">
        <f t="shared" ref="AL19:AL21" si="21">SUMIFS(AE:AE, A:A,"=" &amp; AH19,AC:AC, "=1")</f>
        <v>50.65341294</v>
      </c>
      <c r="AM19" s="3">
        <f t="shared" ref="AM19:AM21" si="22">SUMIFS(AE:AE, A:A,"=" &amp; AH19,AC:AC, "=0")</f>
        <v>-33</v>
      </c>
      <c r="AN19" s="3">
        <f t="shared" ref="AN19:AN21" si="23">AL19+AM19</f>
        <v>17.65341294</v>
      </c>
      <c r="AO19" s="4">
        <f t="shared" ref="AO19:AO21" si="24">IFERROR( countifs(A:A, "="&amp;AH19, U:U, "=1", AC:AC, "=1")/countifs(A:A, "="&amp;AH19, U:U, "=1"), 0)</f>
        <v>0.3333333333</v>
      </c>
      <c r="AP19" s="4">
        <f t="shared" ref="AP19:AP21" si="25">IFERROR( countifs(A:A, "="&amp;AH19, U:U, "=0", AC:AC, "=1")/countifs(A:A, "="&amp;AH19, U:U, "=0"), 0)</f>
        <v>0.641025641</v>
      </c>
      <c r="AQ19" s="5">
        <f t="shared" ref="AQ19:AQ21" si="26">iferror(IFS(AND(AP19 &gt; 0.5, AO19 &gt; 0.5), 1, AND(AP19 &lt;= 0.5, AO19 &lt;= 0.5), -1), 0)
</f>
        <v>0</v>
      </c>
      <c r="AR19" s="5">
        <f t="shared" ref="AR19:AR21" si="27">if(AN19&lt;0, -1, 1)</f>
        <v>1</v>
      </c>
    </row>
    <row r="20">
      <c r="A20" s="1" t="s">
        <v>8</v>
      </c>
      <c r="B20" s="1" t="s">
        <v>309</v>
      </c>
      <c r="C20" s="1" t="s">
        <v>19</v>
      </c>
      <c r="D20" s="1" t="s">
        <v>77</v>
      </c>
      <c r="E20" s="1" t="s">
        <v>134</v>
      </c>
      <c r="F20" s="1" t="s">
        <v>455</v>
      </c>
      <c r="G20" s="1">
        <v>17.5</v>
      </c>
      <c r="H20" s="1" t="s">
        <v>60</v>
      </c>
      <c r="I20" s="1">
        <v>-125.0</v>
      </c>
      <c r="J20" s="1">
        <v>0.0510394329999999</v>
      </c>
      <c r="K20" s="1" t="s">
        <v>61</v>
      </c>
      <c r="L20" s="1" t="s">
        <v>61</v>
      </c>
      <c r="M20" s="1" t="s">
        <v>62</v>
      </c>
      <c r="N20" s="1">
        <v>-106.0</v>
      </c>
      <c r="O20" s="1">
        <v>-0.121158727864077</v>
      </c>
      <c r="P20" s="1" t="s">
        <v>61</v>
      </c>
      <c r="Q20" s="1" t="s">
        <v>61</v>
      </c>
      <c r="R20" s="1">
        <f t="shared" si="1"/>
        <v>0.051039433</v>
      </c>
      <c r="S20" s="1">
        <f t="shared" si="2"/>
        <v>-125</v>
      </c>
      <c r="T20" s="1">
        <f t="shared" si="3"/>
        <v>1.8</v>
      </c>
      <c r="U20" s="1">
        <f t="shared" si="4"/>
        <v>1</v>
      </c>
      <c r="V20" s="3">
        <f t="shared" si="5"/>
        <v>2</v>
      </c>
      <c r="W20" s="3">
        <f t="shared" si="6"/>
        <v>3</v>
      </c>
      <c r="X20" s="3" t="str">
        <f>IFERROR(__xludf.DUMMYFUNCTION("split(B20,"" "")"),"D.")</f>
        <v>D.</v>
      </c>
      <c r="Y20" s="3" t="str">
        <f>IFERROR(__xludf.DUMMYFUNCTION("""COMPUTED_VALUE"""),"Henry")</f>
        <v>Henry</v>
      </c>
      <c r="AA20" s="3">
        <v>18.0</v>
      </c>
      <c r="AB20" s="3">
        <f t="shared" si="7"/>
        <v>1</v>
      </c>
      <c r="AC20" s="3">
        <f t="shared" si="8"/>
        <v>1</v>
      </c>
      <c r="AD20" s="3">
        <f t="shared" si="9"/>
        <v>1.6</v>
      </c>
      <c r="AE20" s="3">
        <f t="shared" si="10"/>
        <v>1.6</v>
      </c>
      <c r="AF20" s="3">
        <f t="shared" si="11"/>
        <v>2.4</v>
      </c>
      <c r="AG20" s="3">
        <f t="shared" si="12"/>
        <v>0.02857142857</v>
      </c>
      <c r="AH20" s="1" t="s">
        <v>9</v>
      </c>
      <c r="AI20" s="3">
        <f t="shared" si="18"/>
        <v>17</v>
      </c>
      <c r="AJ20" s="3">
        <f t="shared" si="19"/>
        <v>34</v>
      </c>
      <c r="AK20" s="3">
        <f t="shared" si="20"/>
        <v>0.5</v>
      </c>
      <c r="AL20" s="3">
        <f t="shared" si="21"/>
        <v>18.13175645</v>
      </c>
      <c r="AM20" s="3">
        <f t="shared" si="22"/>
        <v>-25</v>
      </c>
      <c r="AN20" s="3">
        <f t="shared" si="23"/>
        <v>-6.868243547</v>
      </c>
      <c r="AO20" s="4">
        <f t="shared" si="24"/>
        <v>0.6666666667</v>
      </c>
      <c r="AP20" s="4">
        <f t="shared" si="25"/>
        <v>0.4090909091</v>
      </c>
      <c r="AQ20" s="5">
        <f t="shared" si="26"/>
        <v>0</v>
      </c>
      <c r="AR20" s="5">
        <f t="shared" si="27"/>
        <v>-1</v>
      </c>
    </row>
    <row r="21">
      <c r="A21" s="1" t="s">
        <v>9</v>
      </c>
      <c r="B21" s="1" t="s">
        <v>239</v>
      </c>
      <c r="C21" s="1" t="s">
        <v>18</v>
      </c>
      <c r="D21" s="1" t="s">
        <v>77</v>
      </c>
      <c r="E21" s="1" t="s">
        <v>134</v>
      </c>
      <c r="F21" s="1" t="s">
        <v>455</v>
      </c>
      <c r="G21" s="1">
        <v>27.5</v>
      </c>
      <c r="H21" s="1" t="s">
        <v>60</v>
      </c>
      <c r="I21" s="1">
        <v>-115.0</v>
      </c>
      <c r="J21" s="1">
        <v>0.0390389575541484</v>
      </c>
      <c r="K21" s="1" t="s">
        <v>61</v>
      </c>
      <c r="L21" s="1" t="s">
        <v>61</v>
      </c>
      <c r="M21" s="1" t="s">
        <v>62</v>
      </c>
      <c r="N21" s="1">
        <v>-120.0</v>
      </c>
      <c r="O21" s="1">
        <v>-0.119329322949864</v>
      </c>
      <c r="P21" s="1" t="s">
        <v>61</v>
      </c>
      <c r="Q21" s="1" t="s">
        <v>61</v>
      </c>
      <c r="R21" s="1">
        <f t="shared" si="1"/>
        <v>0.03903895755</v>
      </c>
      <c r="S21" s="1">
        <f t="shared" si="2"/>
        <v>-115</v>
      </c>
      <c r="T21" s="1">
        <f t="shared" si="3"/>
        <v>1.869565217</v>
      </c>
      <c r="U21" s="1">
        <f t="shared" si="4"/>
        <v>1</v>
      </c>
      <c r="V21" s="3">
        <f t="shared" si="5"/>
        <v>1</v>
      </c>
      <c r="W21" s="3">
        <f t="shared" si="6"/>
        <v>2</v>
      </c>
      <c r="X21" s="3" t="str">
        <f>IFERROR(__xludf.DUMMYFUNCTION("split(B21,"" "")"),"R.")</f>
        <v>R.</v>
      </c>
      <c r="Y21" s="3" t="str">
        <f>IFERROR(__xludf.DUMMYFUNCTION("""COMPUTED_VALUE"""),"Bateman")</f>
        <v>Bateman</v>
      </c>
      <c r="AA21" s="3">
        <v>40.0</v>
      </c>
      <c r="AB21" s="3">
        <f t="shared" si="7"/>
        <v>1</v>
      </c>
      <c r="AC21" s="3">
        <f t="shared" si="8"/>
        <v>1</v>
      </c>
      <c r="AD21" s="3">
        <f t="shared" si="9"/>
        <v>0.8695652174</v>
      </c>
      <c r="AE21" s="3">
        <f t="shared" si="10"/>
        <v>0.8695652174</v>
      </c>
      <c r="AF21" s="3">
        <f t="shared" si="11"/>
        <v>1.739130435</v>
      </c>
      <c r="AG21" s="3">
        <f t="shared" si="12"/>
        <v>0.4545454545</v>
      </c>
      <c r="AH21" s="1" t="s">
        <v>10</v>
      </c>
      <c r="AI21" s="3">
        <f t="shared" si="18"/>
        <v>16</v>
      </c>
      <c r="AJ21" s="3">
        <f t="shared" si="19"/>
        <v>37</v>
      </c>
      <c r="AK21" s="3">
        <f t="shared" si="20"/>
        <v>0.4324324324</v>
      </c>
      <c r="AL21" s="3">
        <f t="shared" si="21"/>
        <v>18.22590086</v>
      </c>
      <c r="AM21" s="3">
        <f t="shared" si="22"/>
        <v>-26</v>
      </c>
      <c r="AN21" s="3">
        <f t="shared" si="23"/>
        <v>-7.774099143</v>
      </c>
      <c r="AO21" s="4">
        <f t="shared" si="24"/>
        <v>0.3333333333</v>
      </c>
      <c r="AP21" s="4">
        <f t="shared" si="25"/>
        <v>0.4411764706</v>
      </c>
      <c r="AQ21" s="5">
        <f t="shared" si="26"/>
        <v>-1</v>
      </c>
      <c r="AR21" s="5">
        <f t="shared" si="27"/>
        <v>-1</v>
      </c>
    </row>
    <row r="22">
      <c r="A22" s="1" t="s">
        <v>10</v>
      </c>
      <c r="B22" s="1" t="s">
        <v>347</v>
      </c>
      <c r="C22" s="1" t="s">
        <v>21</v>
      </c>
      <c r="D22" s="1" t="s">
        <v>77</v>
      </c>
      <c r="E22" s="1" t="s">
        <v>134</v>
      </c>
      <c r="F22" s="1" t="s">
        <v>455</v>
      </c>
      <c r="G22" s="1">
        <v>52.5</v>
      </c>
      <c r="H22" s="1" t="s">
        <v>60</v>
      </c>
      <c r="I22" s="1">
        <v>-113.0</v>
      </c>
      <c r="J22" s="1">
        <v>-0.0770204643623876</v>
      </c>
      <c r="K22" s="1" t="s">
        <v>61</v>
      </c>
      <c r="L22" s="1" t="s">
        <v>61</v>
      </c>
      <c r="M22" s="1" t="s">
        <v>62</v>
      </c>
      <c r="N22" s="1">
        <v>-115.0</v>
      </c>
      <c r="O22" s="1">
        <v>0.0116043998283366</v>
      </c>
      <c r="P22" s="1" t="s">
        <v>61</v>
      </c>
      <c r="Q22" s="1" t="s">
        <v>61</v>
      </c>
      <c r="R22" s="1">
        <f t="shared" si="1"/>
        <v>0.01160439983</v>
      </c>
      <c r="S22" s="1">
        <f t="shared" si="2"/>
        <v>-115</v>
      </c>
      <c r="T22" s="1">
        <f t="shared" si="3"/>
        <v>1.869565217</v>
      </c>
      <c r="U22" s="1">
        <f t="shared" si="4"/>
        <v>0</v>
      </c>
      <c r="V22" s="3">
        <f t="shared" si="5"/>
        <v>1</v>
      </c>
      <c r="W22" s="3">
        <f t="shared" si="6"/>
        <v>2</v>
      </c>
      <c r="X22" s="3" t="str">
        <f>IFERROR(__xludf.DUMMYFUNCTION("split(B22,"" "")"),"L.")</f>
        <v>L.</v>
      </c>
      <c r="Y22" s="3" t="str">
        <f>IFERROR(__xludf.DUMMYFUNCTION("""COMPUTED_VALUE"""),"Jackson")</f>
        <v>Jackson</v>
      </c>
      <c r="AA22" s="3">
        <v>45.0</v>
      </c>
      <c r="AB22" s="3">
        <f t="shared" si="7"/>
        <v>0</v>
      </c>
      <c r="AC22" s="3">
        <f t="shared" si="8"/>
        <v>1</v>
      </c>
      <c r="AD22" s="3">
        <f t="shared" si="9"/>
        <v>0.8695652174</v>
      </c>
      <c r="AE22" s="3">
        <f t="shared" si="10"/>
        <v>0.8695652174</v>
      </c>
      <c r="AF22" s="3">
        <f t="shared" si="11"/>
        <v>1.739130435</v>
      </c>
      <c r="AG22" s="3">
        <f t="shared" si="12"/>
        <v>0.1428571429</v>
      </c>
      <c r="AO22" s="4"/>
      <c r="AP22" s="4"/>
      <c r="AQ22" s="5"/>
      <c r="AR22" s="5"/>
    </row>
    <row r="23">
      <c r="A23" s="1" t="s">
        <v>8</v>
      </c>
      <c r="B23" s="1" t="s">
        <v>434</v>
      </c>
      <c r="C23" s="1" t="s">
        <v>21</v>
      </c>
      <c r="D23" s="1" t="s">
        <v>104</v>
      </c>
      <c r="E23" s="1" t="s">
        <v>94</v>
      </c>
      <c r="F23" s="1" t="s">
        <v>456</v>
      </c>
      <c r="G23" s="1">
        <v>7.5</v>
      </c>
      <c r="H23" s="1" t="s">
        <v>60</v>
      </c>
      <c r="I23" s="1">
        <v>-120.0</v>
      </c>
      <c r="J23" s="1">
        <v>-0.255982511335914</v>
      </c>
      <c r="K23" s="1" t="s">
        <v>61</v>
      </c>
      <c r="L23" s="1" t="s">
        <v>61</v>
      </c>
      <c r="M23" s="1" t="s">
        <v>62</v>
      </c>
      <c r="N23" s="1">
        <v>-110.0</v>
      </c>
      <c r="O23" s="1">
        <v>0.186722703539482</v>
      </c>
      <c r="P23" s="1" t="s">
        <v>61</v>
      </c>
      <c r="Q23" s="1" t="s">
        <v>61</v>
      </c>
      <c r="R23" s="1">
        <f t="shared" si="1"/>
        <v>0.1867227035</v>
      </c>
      <c r="S23" s="1">
        <f t="shared" si="2"/>
        <v>-110</v>
      </c>
      <c r="T23" s="1">
        <f t="shared" si="3"/>
        <v>1.909090909</v>
      </c>
      <c r="U23" s="1">
        <f t="shared" si="4"/>
        <v>0</v>
      </c>
      <c r="V23" s="3">
        <f t="shared" si="5"/>
        <v>3</v>
      </c>
      <c r="W23" s="3">
        <f t="shared" si="6"/>
        <v>2</v>
      </c>
      <c r="X23" s="3" t="str">
        <f>IFERROR(__xludf.DUMMYFUNCTION("split(B23,"" "")"),"J.")</f>
        <v>J.</v>
      </c>
      <c r="Y23" s="3" t="str">
        <f>IFERROR(__xludf.DUMMYFUNCTION("""COMPUTED_VALUE"""),"Allen")</f>
        <v>Allen</v>
      </c>
      <c r="AA23" s="3">
        <v>2.0</v>
      </c>
      <c r="AB23" s="3">
        <f t="shared" si="7"/>
        <v>0</v>
      </c>
      <c r="AC23" s="3">
        <f t="shared" si="8"/>
        <v>1</v>
      </c>
      <c r="AD23" s="3">
        <f t="shared" si="9"/>
        <v>2.727272727</v>
      </c>
      <c r="AE23" s="3">
        <f t="shared" si="10"/>
        <v>2.727272727</v>
      </c>
      <c r="AF23" s="3">
        <f t="shared" si="11"/>
        <v>1.818181818</v>
      </c>
      <c r="AG23" s="3">
        <f t="shared" si="12"/>
        <v>0.7333333333</v>
      </c>
      <c r="AH23" s="1" t="s">
        <v>11</v>
      </c>
      <c r="AI23" s="3">
        <f t="shared" ref="AI23:AI24" si="28">COUNTIFs(A:A, "=" &amp; AH23, AC:AC, "=1")</f>
        <v>43</v>
      </c>
      <c r="AJ23" s="3">
        <f t="shared" ref="AJ23:AJ24" si="29">countif(A:A, "=" &amp; AH23)</f>
        <v>72</v>
      </c>
      <c r="AK23" s="3">
        <f t="shared" ref="AK23:AK24" si="30">AI23/AJ23</f>
        <v>0.5972222222</v>
      </c>
      <c r="AL23" s="3">
        <f t="shared" ref="AL23:AL24" si="31">SUMIFS(AE:AE, A:A,"=" &amp; AH23,AC:AC, "=1")</f>
        <v>44.80933799</v>
      </c>
      <c r="AM23" s="3">
        <f t="shared" ref="AM23:AM24" si="32">SUMIFS(AE:AE, A:A,"=" &amp; AH23,AC:AC, "=0")</f>
        <v>-35</v>
      </c>
      <c r="AN23" s="3">
        <f t="shared" ref="AN23:AN24" si="33">AL23+AM23</f>
        <v>9.809337988</v>
      </c>
      <c r="AO23" s="4">
        <f t="shared" ref="AO23:AO24" si="34">IFERROR( countifs(A:A, "="&amp;AH23, U:U, "=1", AC:AC, "=1")/countifs(A:A, "="&amp;AH23, U:U, "=1"), 0)</f>
        <v>0.8</v>
      </c>
      <c r="AP23" s="4">
        <f t="shared" ref="AP23:AP24" si="35">IFERROR( countifs(A:A, "="&amp;AH23, U:U, "=0", AC:AC, "=1")/countifs(A:A, "="&amp;AH23, U:U, "=0"), 0)</f>
        <v>0.564516129</v>
      </c>
      <c r="AQ23" s="5">
        <f t="shared" ref="AQ23:AQ24" si="36">iferror(IFS(AND(AP23 &gt; 0.5, AO23 &gt; 0.5), 1, AND(AP23 &lt;= 0.5, AO23 &lt;= 0.5), -1), 0)
</f>
        <v>1</v>
      </c>
      <c r="AR23" s="5">
        <f t="shared" ref="AR23:AR24" si="37">if(AN23&lt;0, -1, 1)</f>
        <v>1</v>
      </c>
    </row>
    <row r="24">
      <c r="A24" s="1" t="s">
        <v>12</v>
      </c>
      <c r="B24" s="1" t="s">
        <v>457</v>
      </c>
      <c r="C24" s="1" t="s">
        <v>18</v>
      </c>
      <c r="D24" s="1" t="s">
        <v>104</v>
      </c>
      <c r="E24" s="1" t="s">
        <v>94</v>
      </c>
      <c r="F24" s="1" t="s">
        <v>456</v>
      </c>
      <c r="G24" s="1">
        <v>1.5</v>
      </c>
      <c r="H24" s="1" t="s">
        <v>60</v>
      </c>
      <c r="I24" s="1">
        <v>-103.0</v>
      </c>
      <c r="J24" s="1">
        <v>-0.218029626477832</v>
      </c>
      <c r="K24" s="1" t="s">
        <v>61</v>
      </c>
      <c r="L24" s="1" t="s">
        <v>61</v>
      </c>
      <c r="M24" s="1" t="s">
        <v>62</v>
      </c>
      <c r="N24" s="1">
        <v>-127.0</v>
      </c>
      <c r="O24" s="1">
        <v>0.151174590318281</v>
      </c>
      <c r="P24" s="1" t="s">
        <v>61</v>
      </c>
      <c r="Q24" s="1" t="s">
        <v>61</v>
      </c>
      <c r="R24" s="1">
        <f t="shared" si="1"/>
        <v>0.1511745903</v>
      </c>
      <c r="S24" s="1">
        <f t="shared" si="2"/>
        <v>-127</v>
      </c>
      <c r="T24" s="1">
        <f t="shared" si="3"/>
        <v>1.787401575</v>
      </c>
      <c r="U24" s="1">
        <f t="shared" si="4"/>
        <v>0</v>
      </c>
      <c r="V24" s="3">
        <f t="shared" si="5"/>
        <v>3</v>
      </c>
      <c r="W24" s="3">
        <f t="shared" si="6"/>
        <v>3</v>
      </c>
      <c r="X24" s="3" t="str">
        <f>IFERROR(__xludf.DUMMYFUNCTION("split(B24,"" "")"),"M.")</f>
        <v>M.</v>
      </c>
      <c r="Y24" s="3" t="str">
        <f>IFERROR(__xludf.DUMMYFUNCTION("""COMPUTED_VALUE"""),"Hollins")</f>
        <v>Hollins</v>
      </c>
      <c r="AA24" s="3">
        <v>0.0</v>
      </c>
      <c r="AB24" s="3">
        <f t="shared" si="7"/>
        <v>0</v>
      </c>
      <c r="AC24" s="3">
        <f t="shared" si="8"/>
        <v>1</v>
      </c>
      <c r="AD24" s="3">
        <f t="shared" si="9"/>
        <v>2.362204724</v>
      </c>
      <c r="AE24" s="3">
        <f t="shared" si="10"/>
        <v>2.362204724</v>
      </c>
      <c r="AF24" s="3">
        <f t="shared" si="11"/>
        <v>2.362204724</v>
      </c>
      <c r="AG24" s="3">
        <f t="shared" si="12"/>
        <v>1</v>
      </c>
      <c r="AH24" s="1" t="s">
        <v>12</v>
      </c>
      <c r="AI24" s="3">
        <f t="shared" si="28"/>
        <v>52</v>
      </c>
      <c r="AJ24" s="3">
        <f t="shared" si="29"/>
        <v>93</v>
      </c>
      <c r="AK24" s="3">
        <f t="shared" si="30"/>
        <v>0.5591397849</v>
      </c>
      <c r="AL24" s="3">
        <f t="shared" si="31"/>
        <v>99.79669936</v>
      </c>
      <c r="AM24" s="3">
        <f t="shared" si="32"/>
        <v>-92</v>
      </c>
      <c r="AN24" s="3">
        <f t="shared" si="33"/>
        <v>7.79669936</v>
      </c>
      <c r="AO24" s="4">
        <f t="shared" si="34"/>
        <v>0.3333333333</v>
      </c>
      <c r="AP24" s="4">
        <f t="shared" si="35"/>
        <v>0.5925925926</v>
      </c>
      <c r="AQ24" s="5">
        <f t="shared" si="36"/>
        <v>0</v>
      </c>
      <c r="AR24" s="5">
        <f t="shared" si="37"/>
        <v>1</v>
      </c>
    </row>
    <row r="25">
      <c r="A25" s="1" t="s">
        <v>12</v>
      </c>
      <c r="B25" s="1" t="s">
        <v>458</v>
      </c>
      <c r="C25" s="1" t="s">
        <v>19</v>
      </c>
      <c r="D25" s="1" t="s">
        <v>104</v>
      </c>
      <c r="E25" s="1" t="s">
        <v>94</v>
      </c>
      <c r="F25" s="1" t="s">
        <v>456</v>
      </c>
      <c r="G25" s="1">
        <v>2.5</v>
      </c>
      <c r="H25" s="1" t="s">
        <v>60</v>
      </c>
      <c r="I25" s="1">
        <v>-122.0</v>
      </c>
      <c r="J25" s="1">
        <v>-0.195502648423423</v>
      </c>
      <c r="K25" s="1" t="s">
        <v>61</v>
      </c>
      <c r="L25" s="1" t="s">
        <v>61</v>
      </c>
      <c r="M25" s="1" t="s">
        <v>62</v>
      </c>
      <c r="N25" s="1">
        <v>-107.0</v>
      </c>
      <c r="O25" s="1">
        <v>0.129037966698067</v>
      </c>
      <c r="P25" s="1" t="s">
        <v>61</v>
      </c>
      <c r="Q25" s="1" t="s">
        <v>61</v>
      </c>
      <c r="R25" s="1">
        <f t="shared" si="1"/>
        <v>0.1290379667</v>
      </c>
      <c r="S25" s="1">
        <f t="shared" si="2"/>
        <v>-107</v>
      </c>
      <c r="T25" s="1">
        <f t="shared" si="3"/>
        <v>1.934579439</v>
      </c>
      <c r="U25" s="1">
        <f t="shared" si="4"/>
        <v>0</v>
      </c>
      <c r="V25" s="3">
        <f t="shared" si="5"/>
        <v>3</v>
      </c>
      <c r="W25" s="3">
        <f t="shared" si="6"/>
        <v>2</v>
      </c>
      <c r="X25" s="3" t="str">
        <f>IFERROR(__xludf.DUMMYFUNCTION("split(B25,"" "")"),"J.")</f>
        <v>J.</v>
      </c>
      <c r="Y25" s="3" t="str">
        <f>IFERROR(__xludf.DUMMYFUNCTION("""COMPUTED_VALUE"""),"Cook")</f>
        <v>Cook</v>
      </c>
      <c r="AA25" s="3">
        <v>1.0</v>
      </c>
      <c r="AB25" s="3">
        <f t="shared" si="7"/>
        <v>0</v>
      </c>
      <c r="AC25" s="3">
        <f t="shared" si="8"/>
        <v>1</v>
      </c>
      <c r="AD25" s="3">
        <f t="shared" si="9"/>
        <v>2.803738318</v>
      </c>
      <c r="AE25" s="3">
        <f t="shared" si="10"/>
        <v>2.803738318</v>
      </c>
      <c r="AF25" s="3">
        <f t="shared" si="11"/>
        <v>1.869158879</v>
      </c>
      <c r="AG25" s="3">
        <f t="shared" si="12"/>
        <v>0.6</v>
      </c>
      <c r="AO25" s="4"/>
      <c r="AP25" s="4"/>
      <c r="AQ25" s="5"/>
      <c r="AR25" s="5"/>
    </row>
    <row r="26">
      <c r="A26" s="1" t="s">
        <v>12</v>
      </c>
      <c r="B26" s="1" t="s">
        <v>426</v>
      </c>
      <c r="C26" s="1" t="s">
        <v>18</v>
      </c>
      <c r="D26" s="1" t="s">
        <v>104</v>
      </c>
      <c r="E26" s="1" t="s">
        <v>94</v>
      </c>
      <c r="F26" s="1" t="s">
        <v>456</v>
      </c>
      <c r="G26" s="1">
        <v>3.5</v>
      </c>
      <c r="H26" s="1" t="s">
        <v>60</v>
      </c>
      <c r="I26" s="1">
        <v>-126.0</v>
      </c>
      <c r="J26" s="1">
        <v>-0.167222123893805</v>
      </c>
      <c r="K26" s="1" t="s">
        <v>61</v>
      </c>
      <c r="L26" s="1" t="s">
        <v>61</v>
      </c>
      <c r="M26" s="1" t="s">
        <v>62</v>
      </c>
      <c r="N26" s="1">
        <v>-104.0</v>
      </c>
      <c r="O26" s="1">
        <v>0.0998960784313726</v>
      </c>
      <c r="P26" s="1" t="s">
        <v>61</v>
      </c>
      <c r="Q26" s="1" t="s">
        <v>61</v>
      </c>
      <c r="R26" s="1">
        <f t="shared" si="1"/>
        <v>0.09989607843</v>
      </c>
      <c r="S26" s="1">
        <f t="shared" si="2"/>
        <v>-104</v>
      </c>
      <c r="T26" s="1">
        <f t="shared" si="3"/>
        <v>1.961538462</v>
      </c>
      <c r="U26" s="1">
        <f t="shared" si="4"/>
        <v>0</v>
      </c>
      <c r="V26" s="3">
        <f t="shared" si="5"/>
        <v>2</v>
      </c>
      <c r="W26" s="3">
        <f t="shared" si="6"/>
        <v>2</v>
      </c>
      <c r="X26" s="3" t="str">
        <f>IFERROR(__xludf.DUMMYFUNCTION("split(B26,"" "")"),"K.")</f>
        <v>K.</v>
      </c>
      <c r="Y26" s="3" t="str">
        <f>IFERROR(__xludf.DUMMYFUNCTION("""COMPUTED_VALUE"""),"Coleman")</f>
        <v>Coleman</v>
      </c>
      <c r="AA26" s="3">
        <v>0.0</v>
      </c>
      <c r="AB26" s="3">
        <f t="shared" si="7"/>
        <v>0</v>
      </c>
      <c r="AC26" s="3">
        <f t="shared" si="8"/>
        <v>1</v>
      </c>
      <c r="AD26" s="3">
        <f t="shared" si="9"/>
        <v>1.923076923</v>
      </c>
      <c r="AE26" s="3">
        <f t="shared" si="10"/>
        <v>1.923076923</v>
      </c>
      <c r="AF26" s="3">
        <f t="shared" si="11"/>
        <v>1.923076923</v>
      </c>
      <c r="AG26" s="3">
        <f t="shared" si="12"/>
        <v>1</v>
      </c>
      <c r="AH26" s="1" t="s">
        <v>13</v>
      </c>
      <c r="AI26" s="3">
        <f t="shared" ref="AI26:AI30" si="38">COUNTIFs(A:A, "=" &amp; AH26, AC:AC, "=1")</f>
        <v>6</v>
      </c>
      <c r="AJ26" s="3">
        <f t="shared" ref="AJ26:AJ30" si="39">countif(A:A, "=" &amp; AH26)</f>
        <v>9</v>
      </c>
      <c r="AK26" s="3">
        <f t="shared" ref="AK26:AK30" si="40">AI26/AJ26</f>
        <v>0.6666666667</v>
      </c>
      <c r="AL26" s="3">
        <f t="shared" ref="AL26:AL30" si="41">SUMIFS(AE:AE, A:A,"=" &amp; AH26,AC:AC, "=1")</f>
        <v>5.173429372</v>
      </c>
      <c r="AM26" s="3">
        <f t="shared" ref="AM26:AM30" si="42">SUMIFS(AE:AE, A:A,"=" &amp; AH26,AC:AC, "=0")</f>
        <v>-3</v>
      </c>
      <c r="AN26" s="3">
        <f t="shared" ref="AN26:AN30" si="43">AL26+AM26</f>
        <v>2.173429372</v>
      </c>
      <c r="AO26" s="4">
        <f t="shared" ref="AO26:AO30" si="44">IFERROR( countifs(A:A, "="&amp;AH26, U:U, "=1", AC:AC, "=1")/countifs(A:A, "="&amp;AH26, U:U, "=1"), 0)</f>
        <v>0.6666666667</v>
      </c>
      <c r="AP26" s="4">
        <f t="shared" ref="AP26:AP30" si="45">IFERROR( countifs(A:A, "="&amp;AH26, U:U, "=0", AC:AC, "=1")/countifs(A:A, "="&amp;AH26, U:U, "=0"), 0)</f>
        <v>0.6666666667</v>
      </c>
      <c r="AQ26" s="5">
        <f t="shared" ref="AQ26:AQ30" si="46">iferror(IFS(AND(AP26 &gt; 0.5, AO26 &gt; 0.5), 1, AND(AP26 &lt;= 0.5, AO26 &lt;= 0.5), -1), 0)
</f>
        <v>1</v>
      </c>
      <c r="AR26" s="5">
        <f t="shared" ref="AR26:AR30" si="47">if(AN26&lt;0, -1, 1)</f>
        <v>1</v>
      </c>
    </row>
    <row r="27">
      <c r="A27" s="1" t="s">
        <v>12</v>
      </c>
      <c r="B27" s="1" t="s">
        <v>103</v>
      </c>
      <c r="C27" s="1" t="s">
        <v>18</v>
      </c>
      <c r="D27" s="1" t="s">
        <v>104</v>
      </c>
      <c r="E27" s="1" t="s">
        <v>94</v>
      </c>
      <c r="F27" s="1" t="s">
        <v>456</v>
      </c>
      <c r="G27" s="1">
        <v>1.5</v>
      </c>
      <c r="H27" s="1" t="s">
        <v>60</v>
      </c>
      <c r="I27" s="1">
        <v>-184.0</v>
      </c>
      <c r="J27" s="1">
        <v>-0.161919768133802</v>
      </c>
      <c r="K27" s="1" t="s">
        <v>61</v>
      </c>
      <c r="L27" s="1" t="s">
        <v>61</v>
      </c>
      <c r="M27" s="1" t="s">
        <v>62</v>
      </c>
      <c r="N27" s="1">
        <v>137.0</v>
      </c>
      <c r="O27" s="1">
        <v>0.0920979500000001</v>
      </c>
      <c r="P27" s="1" t="s">
        <v>61</v>
      </c>
      <c r="Q27" s="1" t="s">
        <v>61</v>
      </c>
      <c r="R27" s="1">
        <f t="shared" si="1"/>
        <v>0.09209795</v>
      </c>
      <c r="S27" s="1">
        <f t="shared" si="2"/>
        <v>137</v>
      </c>
      <c r="T27" s="1">
        <f t="shared" si="3"/>
        <v>2.37</v>
      </c>
      <c r="U27" s="1">
        <f t="shared" si="4"/>
        <v>0</v>
      </c>
      <c r="V27" s="3">
        <f t="shared" si="5"/>
        <v>2</v>
      </c>
      <c r="W27" s="3">
        <f t="shared" si="6"/>
        <v>1</v>
      </c>
      <c r="X27" s="3" t="str">
        <f>IFERROR(__xludf.DUMMYFUNCTION("split(B27,"" "")"),"C.")</f>
        <v>C.</v>
      </c>
      <c r="Y27" s="3" t="str">
        <f>IFERROR(__xludf.DUMMYFUNCTION("""COMPUTED_VALUE"""),"Samuel")</f>
        <v>Samuel</v>
      </c>
      <c r="AA27" s="3">
        <v>1.0</v>
      </c>
      <c r="AB27" s="3">
        <f t="shared" si="7"/>
        <v>0</v>
      </c>
      <c r="AC27" s="3">
        <f t="shared" si="8"/>
        <v>1</v>
      </c>
      <c r="AD27" s="3">
        <f t="shared" si="9"/>
        <v>2.74</v>
      </c>
      <c r="AE27" s="3">
        <f t="shared" si="10"/>
        <v>2.74</v>
      </c>
      <c r="AF27" s="3">
        <f t="shared" si="11"/>
        <v>1.37</v>
      </c>
      <c r="AG27" s="3">
        <f t="shared" si="12"/>
        <v>0.3333333333</v>
      </c>
      <c r="AH27" s="1" t="s">
        <v>14</v>
      </c>
      <c r="AI27" s="3">
        <f t="shared" si="38"/>
        <v>12</v>
      </c>
      <c r="AJ27" s="3">
        <f t="shared" si="39"/>
        <v>22</v>
      </c>
      <c r="AK27" s="3">
        <f t="shared" si="40"/>
        <v>0.5454545455</v>
      </c>
      <c r="AL27" s="3">
        <f t="shared" si="41"/>
        <v>20.36967213</v>
      </c>
      <c r="AM27" s="3">
        <f t="shared" si="42"/>
        <v>-19</v>
      </c>
      <c r="AN27" s="3">
        <f t="shared" si="43"/>
        <v>1.369672131</v>
      </c>
      <c r="AO27" s="4">
        <f t="shared" si="44"/>
        <v>0.4285714286</v>
      </c>
      <c r="AP27" s="4">
        <f t="shared" si="45"/>
        <v>0.6</v>
      </c>
      <c r="AQ27" s="5">
        <f t="shared" si="46"/>
        <v>0</v>
      </c>
      <c r="AR27" s="5">
        <f t="shared" si="47"/>
        <v>1</v>
      </c>
    </row>
    <row r="28">
      <c r="A28" s="1" t="s">
        <v>8</v>
      </c>
      <c r="B28" s="1" t="s">
        <v>458</v>
      </c>
      <c r="C28" s="1" t="s">
        <v>19</v>
      </c>
      <c r="D28" s="1" t="s">
        <v>104</v>
      </c>
      <c r="E28" s="1" t="s">
        <v>94</v>
      </c>
      <c r="F28" s="1" t="s">
        <v>456</v>
      </c>
      <c r="G28" s="1">
        <v>14.5</v>
      </c>
      <c r="H28" s="1" t="s">
        <v>60</v>
      </c>
      <c r="I28" s="1">
        <v>-118.0</v>
      </c>
      <c r="J28" s="1">
        <v>-0.154035121027522</v>
      </c>
      <c r="K28" s="1" t="s">
        <v>61</v>
      </c>
      <c r="L28" s="1" t="s">
        <v>61</v>
      </c>
      <c r="M28" s="1" t="s">
        <v>62</v>
      </c>
      <c r="N28" s="1">
        <v>-113.0</v>
      </c>
      <c r="O28" s="1">
        <v>0.0822265714268545</v>
      </c>
      <c r="P28" s="1" t="s">
        <v>61</v>
      </c>
      <c r="Q28" s="1" t="s">
        <v>61</v>
      </c>
      <c r="R28" s="1">
        <f t="shared" si="1"/>
        <v>0.08222657143</v>
      </c>
      <c r="S28" s="1">
        <f t="shared" si="2"/>
        <v>-113</v>
      </c>
      <c r="T28" s="1">
        <f t="shared" si="3"/>
        <v>1.884955752</v>
      </c>
      <c r="U28" s="1">
        <f t="shared" si="4"/>
        <v>0</v>
      </c>
      <c r="V28" s="3">
        <f t="shared" si="5"/>
        <v>2</v>
      </c>
      <c r="W28" s="3">
        <f t="shared" si="6"/>
        <v>2</v>
      </c>
      <c r="X28" s="3" t="str">
        <f>IFERROR(__xludf.DUMMYFUNCTION("split(B28,"" "")"),"J.")</f>
        <v>J.</v>
      </c>
      <c r="Y28" s="3" t="str">
        <f>IFERROR(__xludf.DUMMYFUNCTION("""COMPUTED_VALUE"""),"Cook")</f>
        <v>Cook</v>
      </c>
      <c r="AA28" s="3">
        <v>11.0</v>
      </c>
      <c r="AB28" s="3">
        <f t="shared" si="7"/>
        <v>0</v>
      </c>
      <c r="AC28" s="3">
        <f t="shared" si="8"/>
        <v>1</v>
      </c>
      <c r="AD28" s="3">
        <f t="shared" si="9"/>
        <v>1.769911504</v>
      </c>
      <c r="AE28" s="3">
        <f t="shared" si="10"/>
        <v>1.769911504</v>
      </c>
      <c r="AF28" s="3">
        <f t="shared" si="11"/>
        <v>1.769911504</v>
      </c>
      <c r="AG28" s="3">
        <f t="shared" si="12"/>
        <v>0.2413793103</v>
      </c>
      <c r="AH28" s="1" t="s">
        <v>15</v>
      </c>
      <c r="AI28" s="3">
        <f t="shared" si="38"/>
        <v>6</v>
      </c>
      <c r="AJ28" s="3">
        <f t="shared" si="39"/>
        <v>17</v>
      </c>
      <c r="AK28" s="3">
        <f t="shared" si="40"/>
        <v>0.3529411765</v>
      </c>
      <c r="AL28" s="3">
        <f t="shared" si="41"/>
        <v>9.423847059</v>
      </c>
      <c r="AM28" s="3">
        <f t="shared" si="42"/>
        <v>-14</v>
      </c>
      <c r="AN28" s="3">
        <f t="shared" si="43"/>
        <v>-4.576152941</v>
      </c>
      <c r="AO28" s="4">
        <f t="shared" si="44"/>
        <v>0.2</v>
      </c>
      <c r="AP28" s="4">
        <f t="shared" si="45"/>
        <v>0.4166666667</v>
      </c>
      <c r="AQ28" s="5">
        <f t="shared" si="46"/>
        <v>-1</v>
      </c>
      <c r="AR28" s="5">
        <f t="shared" si="47"/>
        <v>-1</v>
      </c>
    </row>
    <row r="29">
      <c r="A29" s="1" t="s">
        <v>12</v>
      </c>
      <c r="B29" s="1" t="s">
        <v>459</v>
      </c>
      <c r="C29" s="1" t="s">
        <v>20</v>
      </c>
      <c r="D29" s="1" t="s">
        <v>104</v>
      </c>
      <c r="E29" s="1" t="s">
        <v>94</v>
      </c>
      <c r="F29" s="1" t="s">
        <v>456</v>
      </c>
      <c r="G29" s="1">
        <v>1.5</v>
      </c>
      <c r="H29" s="1" t="s">
        <v>60</v>
      </c>
      <c r="I29" s="1">
        <v>-115.0</v>
      </c>
      <c r="J29" s="1">
        <v>-0.149829161744186</v>
      </c>
      <c r="K29" s="1" t="s">
        <v>61</v>
      </c>
      <c r="L29" s="1" t="s">
        <v>61</v>
      </c>
      <c r="M29" s="1" t="s">
        <v>62</v>
      </c>
      <c r="N29" s="1">
        <v>-115.0</v>
      </c>
      <c r="O29" s="1">
        <v>0.0800685360058138</v>
      </c>
      <c r="P29" s="1" t="s">
        <v>61</v>
      </c>
      <c r="Q29" s="1" t="s">
        <v>61</v>
      </c>
      <c r="R29" s="1">
        <f t="shared" si="1"/>
        <v>0.08006853601</v>
      </c>
      <c r="S29" s="1">
        <f t="shared" si="2"/>
        <v>-115</v>
      </c>
      <c r="T29" s="1">
        <f t="shared" si="3"/>
        <v>1.869565217</v>
      </c>
      <c r="U29" s="1">
        <f t="shared" si="4"/>
        <v>0</v>
      </c>
      <c r="V29" s="3">
        <f t="shared" si="5"/>
        <v>2</v>
      </c>
      <c r="W29" s="3">
        <f t="shared" si="6"/>
        <v>2</v>
      </c>
      <c r="X29" s="3" t="str">
        <f>IFERROR(__xludf.DUMMYFUNCTION("split(B29,"" "")"),"D.")</f>
        <v>D.</v>
      </c>
      <c r="Y29" s="3" t="str">
        <f>IFERROR(__xludf.DUMMYFUNCTION("""COMPUTED_VALUE"""),"Knox")</f>
        <v>Knox</v>
      </c>
      <c r="AA29" s="3">
        <v>0.0</v>
      </c>
      <c r="AB29" s="3">
        <f t="shared" si="7"/>
        <v>0</v>
      </c>
      <c r="AC29" s="3">
        <f t="shared" si="8"/>
        <v>1</v>
      </c>
      <c r="AD29" s="3">
        <f t="shared" si="9"/>
        <v>1.739130435</v>
      </c>
      <c r="AE29" s="3">
        <f t="shared" si="10"/>
        <v>1.739130435</v>
      </c>
      <c r="AF29" s="3">
        <f t="shared" si="11"/>
        <v>1.739130435</v>
      </c>
      <c r="AG29" s="3">
        <f t="shared" si="12"/>
        <v>1</v>
      </c>
      <c r="AH29" s="1" t="s">
        <v>16</v>
      </c>
      <c r="AI29" s="3">
        <f t="shared" si="38"/>
        <v>4</v>
      </c>
      <c r="AJ29" s="3">
        <f t="shared" si="39"/>
        <v>10</v>
      </c>
      <c r="AK29" s="3">
        <f t="shared" si="40"/>
        <v>0.4</v>
      </c>
      <c r="AL29" s="3">
        <f t="shared" si="41"/>
        <v>3.52001304</v>
      </c>
      <c r="AM29" s="3">
        <f t="shared" si="42"/>
        <v>-7</v>
      </c>
      <c r="AN29" s="3">
        <f t="shared" si="43"/>
        <v>-3.47998696</v>
      </c>
      <c r="AO29" s="4">
        <f t="shared" si="44"/>
        <v>0.5</v>
      </c>
      <c r="AP29" s="4">
        <f t="shared" si="45"/>
        <v>0.375</v>
      </c>
      <c r="AQ29" s="5">
        <f t="shared" si="46"/>
        <v>-1</v>
      </c>
      <c r="AR29" s="5">
        <f t="shared" si="47"/>
        <v>-1</v>
      </c>
    </row>
    <row r="30">
      <c r="A30" s="1" t="s">
        <v>17</v>
      </c>
      <c r="B30" s="1" t="s">
        <v>434</v>
      </c>
      <c r="C30" s="1" t="s">
        <v>21</v>
      </c>
      <c r="D30" s="1" t="s">
        <v>104</v>
      </c>
      <c r="E30" s="1" t="s">
        <v>94</v>
      </c>
      <c r="F30" s="1" t="s">
        <v>456</v>
      </c>
      <c r="G30" s="1">
        <v>0.5</v>
      </c>
      <c r="H30" s="1" t="s">
        <v>60</v>
      </c>
      <c r="I30" s="1">
        <v>-139.0</v>
      </c>
      <c r="J30" s="1">
        <v>-0.128848117154811</v>
      </c>
      <c r="K30" s="1" t="s">
        <v>61</v>
      </c>
      <c r="L30" s="1" t="s">
        <v>61</v>
      </c>
      <c r="M30" s="1" t="s">
        <v>62</v>
      </c>
      <c r="N30" s="1">
        <v>107.0</v>
      </c>
      <c r="O30" s="1">
        <v>0.0641599033816425</v>
      </c>
      <c r="P30" s="1" t="s">
        <v>61</v>
      </c>
      <c r="Q30" s="1" t="s">
        <v>61</v>
      </c>
      <c r="R30" s="1">
        <f t="shared" si="1"/>
        <v>0.06415990338</v>
      </c>
      <c r="S30" s="1">
        <f t="shared" si="2"/>
        <v>107</v>
      </c>
      <c r="T30" s="1">
        <f t="shared" si="3"/>
        <v>2.07</v>
      </c>
      <c r="U30" s="1">
        <f t="shared" si="4"/>
        <v>0</v>
      </c>
      <c r="V30" s="3">
        <f t="shared" si="5"/>
        <v>2</v>
      </c>
      <c r="W30" s="3">
        <f t="shared" si="6"/>
        <v>2</v>
      </c>
      <c r="X30" s="3" t="str">
        <f>IFERROR(__xludf.DUMMYFUNCTION("split(B30,"" "")"),"J.")</f>
        <v>J.</v>
      </c>
      <c r="Y30" s="3" t="str">
        <f>IFERROR(__xludf.DUMMYFUNCTION("""COMPUTED_VALUE"""),"Allen")</f>
        <v>Allen</v>
      </c>
      <c r="AA30" s="3">
        <v>0.0</v>
      </c>
      <c r="AB30" s="3">
        <f t="shared" si="7"/>
        <v>0</v>
      </c>
      <c r="AC30" s="3">
        <f t="shared" si="8"/>
        <v>1</v>
      </c>
      <c r="AD30" s="3">
        <f t="shared" si="9"/>
        <v>2.14</v>
      </c>
      <c r="AE30" s="3">
        <f t="shared" si="10"/>
        <v>2.14</v>
      </c>
      <c r="AF30" s="3">
        <f t="shared" si="11"/>
        <v>2.14</v>
      </c>
      <c r="AG30" s="3">
        <f t="shared" si="12"/>
        <v>1</v>
      </c>
      <c r="AH30" s="1" t="s">
        <v>17</v>
      </c>
      <c r="AI30" s="3">
        <f t="shared" si="38"/>
        <v>12</v>
      </c>
      <c r="AJ30" s="3">
        <f t="shared" si="39"/>
        <v>25</v>
      </c>
      <c r="AK30" s="3">
        <f t="shared" si="40"/>
        <v>0.48</v>
      </c>
      <c r="AL30" s="3">
        <f t="shared" si="41"/>
        <v>18.66468132</v>
      </c>
      <c r="AM30" s="3">
        <f t="shared" si="42"/>
        <v>-24</v>
      </c>
      <c r="AN30" s="3">
        <f t="shared" si="43"/>
        <v>-5.335318685</v>
      </c>
      <c r="AO30" s="4">
        <f t="shared" si="44"/>
        <v>0</v>
      </c>
      <c r="AP30" s="4">
        <f t="shared" si="45"/>
        <v>0.48</v>
      </c>
      <c r="AQ30" s="5">
        <f t="shared" si="46"/>
        <v>-1</v>
      </c>
      <c r="AR30" s="5">
        <f t="shared" si="47"/>
        <v>-1</v>
      </c>
    </row>
    <row r="31">
      <c r="A31" s="1" t="s">
        <v>11</v>
      </c>
      <c r="B31" s="1" t="s">
        <v>426</v>
      </c>
      <c r="C31" s="1" t="s">
        <v>18</v>
      </c>
      <c r="D31" s="1" t="s">
        <v>104</v>
      </c>
      <c r="E31" s="1" t="s">
        <v>94</v>
      </c>
      <c r="F31" s="1" t="s">
        <v>456</v>
      </c>
      <c r="G31" s="1">
        <v>43.5</v>
      </c>
      <c r="H31" s="1" t="s">
        <v>60</v>
      </c>
      <c r="I31" s="1">
        <v>-118.0</v>
      </c>
      <c r="J31" s="1">
        <v>-0.0918220502878899</v>
      </c>
      <c r="K31" s="1" t="s">
        <v>61</v>
      </c>
      <c r="L31" s="1" t="s">
        <v>61</v>
      </c>
      <c r="M31" s="1" t="s">
        <v>62</v>
      </c>
      <c r="N31" s="1">
        <v>-112.0</v>
      </c>
      <c r="O31" s="1">
        <v>0.0222554158733208</v>
      </c>
      <c r="P31" s="1" t="s">
        <v>61</v>
      </c>
      <c r="Q31" s="1" t="s">
        <v>61</v>
      </c>
      <c r="R31" s="1">
        <f t="shared" si="1"/>
        <v>0.02225541587</v>
      </c>
      <c r="S31" s="1">
        <f t="shared" si="2"/>
        <v>-112</v>
      </c>
      <c r="T31" s="1">
        <f t="shared" si="3"/>
        <v>1.892857143</v>
      </c>
      <c r="U31" s="1">
        <f t="shared" si="4"/>
        <v>0</v>
      </c>
      <c r="V31" s="3">
        <f t="shared" si="5"/>
        <v>1</v>
      </c>
      <c r="W31" s="3">
        <f t="shared" si="6"/>
        <v>2</v>
      </c>
      <c r="X31" s="3" t="str">
        <f>IFERROR(__xludf.DUMMYFUNCTION("split(B31,"" "")"),"K.")</f>
        <v>K.</v>
      </c>
      <c r="Y31" s="3" t="str">
        <f>IFERROR(__xludf.DUMMYFUNCTION("""COMPUTED_VALUE"""),"Coleman")</f>
        <v>Coleman</v>
      </c>
      <c r="AA31" s="3">
        <v>0.0</v>
      </c>
      <c r="AB31" s="3">
        <f t="shared" si="7"/>
        <v>0</v>
      </c>
      <c r="AC31" s="3">
        <f t="shared" si="8"/>
        <v>1</v>
      </c>
      <c r="AD31" s="3">
        <f t="shared" si="9"/>
        <v>0.8928571429</v>
      </c>
      <c r="AE31" s="3">
        <f t="shared" si="10"/>
        <v>0.8928571429</v>
      </c>
      <c r="AF31" s="3">
        <f t="shared" si="11"/>
        <v>1.785714286</v>
      </c>
      <c r="AG31" s="3">
        <f t="shared" si="12"/>
        <v>1</v>
      </c>
      <c r="AJ31" s="1" t="s">
        <v>512</v>
      </c>
      <c r="AK31" s="1" t="s">
        <v>513</v>
      </c>
    </row>
    <row r="32">
      <c r="A32" s="1" t="s">
        <v>11</v>
      </c>
      <c r="B32" s="1" t="s">
        <v>457</v>
      </c>
      <c r="C32" s="1" t="s">
        <v>18</v>
      </c>
      <c r="D32" s="1" t="s">
        <v>104</v>
      </c>
      <c r="E32" s="1" t="s">
        <v>94</v>
      </c>
      <c r="F32" s="1" t="s">
        <v>456</v>
      </c>
      <c r="G32" s="1">
        <v>15.5</v>
      </c>
      <c r="H32" s="1" t="s">
        <v>60</v>
      </c>
      <c r="I32" s="1">
        <v>-116.0</v>
      </c>
      <c r="J32" s="1">
        <v>-0.0893083423785376</v>
      </c>
      <c r="K32" s="1" t="s">
        <v>61</v>
      </c>
      <c r="L32" s="1" t="s">
        <v>61</v>
      </c>
      <c r="M32" s="1" t="s">
        <v>62</v>
      </c>
      <c r="N32" s="1">
        <v>-113.0</v>
      </c>
      <c r="O32" s="1">
        <v>0.0218236441678566</v>
      </c>
      <c r="P32" s="1" t="s">
        <v>61</v>
      </c>
      <c r="Q32" s="1" t="s">
        <v>61</v>
      </c>
      <c r="R32" s="1">
        <f t="shared" si="1"/>
        <v>0.02182364417</v>
      </c>
      <c r="S32" s="1">
        <f t="shared" si="2"/>
        <v>-113</v>
      </c>
      <c r="T32" s="1">
        <f t="shared" si="3"/>
        <v>1.884955752</v>
      </c>
      <c r="U32" s="1">
        <f t="shared" si="4"/>
        <v>0</v>
      </c>
      <c r="V32" s="3">
        <f t="shared" si="5"/>
        <v>1</v>
      </c>
      <c r="W32" s="3">
        <f t="shared" si="6"/>
        <v>2</v>
      </c>
      <c r="X32" s="3" t="str">
        <f>IFERROR(__xludf.DUMMYFUNCTION("split(B32,"" "")"),"M.")</f>
        <v>M.</v>
      </c>
      <c r="Y32" s="3" t="str">
        <f>IFERROR(__xludf.DUMMYFUNCTION("""COMPUTED_VALUE"""),"Hollins")</f>
        <v>Hollins</v>
      </c>
      <c r="AA32" s="3">
        <v>0.0</v>
      </c>
      <c r="AB32" s="3">
        <f t="shared" si="7"/>
        <v>0</v>
      </c>
      <c r="AC32" s="3">
        <f t="shared" si="8"/>
        <v>1</v>
      </c>
      <c r="AD32" s="3">
        <f t="shared" si="9"/>
        <v>0.8849557522</v>
      </c>
      <c r="AE32" s="3">
        <f t="shared" si="10"/>
        <v>0.8849557522</v>
      </c>
      <c r="AF32" s="3">
        <f t="shared" si="11"/>
        <v>1.769911504</v>
      </c>
      <c r="AG32" s="3">
        <f t="shared" si="12"/>
        <v>1</v>
      </c>
      <c r="AH32" s="1" t="s">
        <v>514</v>
      </c>
      <c r="AI32" s="3">
        <f>COUNTIFS(AG2:AG999, "&gt;1.7", AC2:AC999,"=1", U2:U999, "=1") + countifs(U2:U999, "=0", AA2:AA999, "=0")</f>
        <v>39</v>
      </c>
      <c r="AJ32" s="3">
        <f>COUNTIFS(AG2:AG999, "&gt;1.7", AC2:AC999,"=1", U2:U999, "=1")</f>
        <v>5</v>
      </c>
      <c r="AK32" s="3">
        <f>AI32-AJ32</f>
        <v>34</v>
      </c>
    </row>
    <row r="33">
      <c r="A33" s="1" t="s">
        <v>10</v>
      </c>
      <c r="B33" s="1" t="s">
        <v>434</v>
      </c>
      <c r="C33" s="1" t="s">
        <v>21</v>
      </c>
      <c r="D33" s="1" t="s">
        <v>104</v>
      </c>
      <c r="E33" s="1" t="s">
        <v>94</v>
      </c>
      <c r="F33" s="1" t="s">
        <v>456</v>
      </c>
      <c r="G33" s="1">
        <v>35.5</v>
      </c>
      <c r="H33" s="1" t="s">
        <v>60</v>
      </c>
      <c r="I33" s="1">
        <v>-110.0</v>
      </c>
      <c r="J33" s="1">
        <v>-0.0699608098871508</v>
      </c>
      <c r="K33" s="1" t="s">
        <v>61</v>
      </c>
      <c r="L33" s="1" t="s">
        <v>61</v>
      </c>
      <c r="M33" s="1" t="s">
        <v>62</v>
      </c>
      <c r="N33" s="1">
        <v>-117.0</v>
      </c>
      <c r="O33" s="1">
        <v>0.00703944181674176</v>
      </c>
      <c r="P33" s="1" t="s">
        <v>61</v>
      </c>
      <c r="Q33" s="1" t="s">
        <v>61</v>
      </c>
      <c r="R33" s="1">
        <f t="shared" si="1"/>
        <v>0.007039441817</v>
      </c>
      <c r="S33" s="1">
        <f t="shared" si="2"/>
        <v>-117</v>
      </c>
      <c r="T33" s="1">
        <f t="shared" si="3"/>
        <v>1.854700855</v>
      </c>
      <c r="U33" s="1">
        <f t="shared" si="4"/>
        <v>0</v>
      </c>
      <c r="V33" s="3">
        <f t="shared" si="5"/>
        <v>1</v>
      </c>
      <c r="W33" s="3">
        <f t="shared" si="6"/>
        <v>2</v>
      </c>
      <c r="X33" s="3" t="str">
        <f>IFERROR(__xludf.DUMMYFUNCTION("split(B33,"" "")"),"J.")</f>
        <v>J.</v>
      </c>
      <c r="Y33" s="3" t="str">
        <f>IFERROR(__xludf.DUMMYFUNCTION("""COMPUTED_VALUE"""),"Allen")</f>
        <v>Allen</v>
      </c>
      <c r="AA33" s="3">
        <v>2.0</v>
      </c>
      <c r="AB33" s="3">
        <f t="shared" si="7"/>
        <v>0</v>
      </c>
      <c r="AC33" s="3">
        <f t="shared" si="8"/>
        <v>1</v>
      </c>
      <c r="AD33" s="3">
        <f t="shared" si="9"/>
        <v>0.8547008547</v>
      </c>
      <c r="AE33" s="3">
        <f t="shared" si="10"/>
        <v>0.8547008547</v>
      </c>
      <c r="AF33" s="3">
        <f t="shared" si="11"/>
        <v>1.709401709</v>
      </c>
      <c r="AG33" s="3">
        <f t="shared" si="12"/>
        <v>0.9436619718</v>
      </c>
    </row>
    <row r="34">
      <c r="A34" s="1" t="s">
        <v>12</v>
      </c>
      <c r="B34" s="1" t="s">
        <v>235</v>
      </c>
      <c r="C34" s="1" t="s">
        <v>20</v>
      </c>
      <c r="D34" s="1" t="s">
        <v>104</v>
      </c>
      <c r="E34" s="1" t="s">
        <v>94</v>
      </c>
      <c r="F34" s="1" t="s">
        <v>456</v>
      </c>
      <c r="G34" s="1">
        <v>4.5</v>
      </c>
      <c r="H34" s="1" t="s">
        <v>60</v>
      </c>
      <c r="I34" s="1">
        <v>-118.0</v>
      </c>
      <c r="J34" s="1">
        <v>-0.0734385321100917</v>
      </c>
      <c r="K34" s="1" t="s">
        <v>61</v>
      </c>
      <c r="L34" s="1" t="s">
        <v>61</v>
      </c>
      <c r="M34" s="1" t="s">
        <v>62</v>
      </c>
      <c r="N34" s="1">
        <v>-111.0</v>
      </c>
      <c r="O34" s="1">
        <v>0.00608104265402842</v>
      </c>
      <c r="P34" s="1" t="s">
        <v>61</v>
      </c>
      <c r="Q34" s="1" t="s">
        <v>61</v>
      </c>
      <c r="R34" s="1">
        <f t="shared" si="1"/>
        <v>0.006081042654</v>
      </c>
      <c r="S34" s="1">
        <f t="shared" si="2"/>
        <v>-111</v>
      </c>
      <c r="T34" s="1">
        <f t="shared" si="3"/>
        <v>1.900900901</v>
      </c>
      <c r="U34" s="1">
        <f t="shared" si="4"/>
        <v>0</v>
      </c>
      <c r="V34" s="3">
        <f t="shared" si="5"/>
        <v>1</v>
      </c>
      <c r="W34" s="3">
        <f t="shared" si="6"/>
        <v>2</v>
      </c>
      <c r="X34" s="3" t="str">
        <f>IFERROR(__xludf.DUMMYFUNCTION("split(B34,"" "")"),"D.")</f>
        <v>D.</v>
      </c>
      <c r="Y34" s="3" t="str">
        <f>IFERROR(__xludf.DUMMYFUNCTION("""COMPUTED_VALUE"""),"Kincaid")</f>
        <v>Kincaid</v>
      </c>
      <c r="AA34" s="3">
        <v>4.0</v>
      </c>
      <c r="AB34" s="3">
        <f t="shared" si="7"/>
        <v>0</v>
      </c>
      <c r="AC34" s="3">
        <f t="shared" si="8"/>
        <v>1</v>
      </c>
      <c r="AD34" s="3">
        <f t="shared" si="9"/>
        <v>0.9009009009</v>
      </c>
      <c r="AE34" s="3">
        <f t="shared" si="10"/>
        <v>0.9009009009</v>
      </c>
      <c r="AF34" s="3">
        <f t="shared" si="11"/>
        <v>1.801801802</v>
      </c>
      <c r="AG34" s="3">
        <f t="shared" si="12"/>
        <v>0.1111111111</v>
      </c>
    </row>
    <row r="35">
      <c r="A35" s="1" t="s">
        <v>14</v>
      </c>
      <c r="B35" s="1" t="s">
        <v>434</v>
      </c>
      <c r="C35" s="1" t="s">
        <v>21</v>
      </c>
      <c r="D35" s="1" t="s">
        <v>104</v>
      </c>
      <c r="E35" s="1" t="s">
        <v>94</v>
      </c>
      <c r="F35" s="1" t="s">
        <v>456</v>
      </c>
      <c r="G35" s="1">
        <v>1.5</v>
      </c>
      <c r="H35" s="1" t="s">
        <v>60</v>
      </c>
      <c r="I35" s="1">
        <v>-108.0</v>
      </c>
      <c r="J35" s="1">
        <v>-0.0735307692307691</v>
      </c>
      <c r="K35" s="1" t="s">
        <v>61</v>
      </c>
      <c r="L35" s="1" t="s">
        <v>61</v>
      </c>
      <c r="M35" s="1" t="s">
        <v>62</v>
      </c>
      <c r="N35" s="1">
        <v>-122.0</v>
      </c>
      <c r="O35" s="1">
        <v>0.00475045045045052</v>
      </c>
      <c r="P35" s="1" t="s">
        <v>61</v>
      </c>
      <c r="Q35" s="1" t="s">
        <v>61</v>
      </c>
      <c r="R35" s="1">
        <f t="shared" si="1"/>
        <v>0.00475045045</v>
      </c>
      <c r="S35" s="1">
        <f t="shared" si="2"/>
        <v>-122</v>
      </c>
      <c r="T35" s="1">
        <f t="shared" si="3"/>
        <v>1.819672131</v>
      </c>
      <c r="U35" s="1">
        <f t="shared" si="4"/>
        <v>0</v>
      </c>
      <c r="V35" s="3">
        <f t="shared" si="5"/>
        <v>1</v>
      </c>
      <c r="W35" s="3">
        <f t="shared" si="6"/>
        <v>3</v>
      </c>
      <c r="X35" s="3" t="str">
        <f>IFERROR(__xludf.DUMMYFUNCTION("split(B35,"" "")"),"J.")</f>
        <v>J.</v>
      </c>
      <c r="Y35" s="3" t="str">
        <f>IFERROR(__xludf.DUMMYFUNCTION("""COMPUTED_VALUE"""),"Allen")</f>
        <v>Allen</v>
      </c>
      <c r="AA35" s="3">
        <v>1.0</v>
      </c>
      <c r="AB35" s="3">
        <f t="shared" si="7"/>
        <v>0</v>
      </c>
      <c r="AC35" s="3">
        <f t="shared" si="8"/>
        <v>1</v>
      </c>
      <c r="AD35" s="3">
        <f t="shared" si="9"/>
        <v>0.8196721311</v>
      </c>
      <c r="AE35" s="3">
        <f t="shared" si="10"/>
        <v>0.8196721311</v>
      </c>
      <c r="AF35" s="3">
        <f t="shared" si="11"/>
        <v>2.459016393</v>
      </c>
      <c r="AG35" s="3">
        <f t="shared" si="12"/>
        <v>0.3333333333</v>
      </c>
    </row>
    <row r="36">
      <c r="A36" s="1" t="s">
        <v>11</v>
      </c>
      <c r="B36" s="1" t="s">
        <v>235</v>
      </c>
      <c r="C36" s="1" t="s">
        <v>20</v>
      </c>
      <c r="D36" s="1" t="s">
        <v>104</v>
      </c>
      <c r="E36" s="1" t="s">
        <v>94</v>
      </c>
      <c r="F36" s="1" t="s">
        <v>456</v>
      </c>
      <c r="G36" s="1">
        <v>44.5</v>
      </c>
      <c r="H36" s="1" t="s">
        <v>60</v>
      </c>
      <c r="I36" s="1">
        <v>-109.0</v>
      </c>
      <c r="J36" s="1">
        <v>-0.0667468921833972</v>
      </c>
      <c r="K36" s="1" t="s">
        <v>61</v>
      </c>
      <c r="L36" s="1" t="s">
        <v>61</v>
      </c>
      <c r="M36" s="1" t="s">
        <v>62</v>
      </c>
      <c r="N36" s="1">
        <v>-118.0</v>
      </c>
      <c r="O36" s="1">
        <v>0.00389324381579836</v>
      </c>
      <c r="P36" s="1" t="s">
        <v>61</v>
      </c>
      <c r="Q36" s="1" t="s">
        <v>61</v>
      </c>
      <c r="R36" s="1">
        <f t="shared" si="1"/>
        <v>0.003893243816</v>
      </c>
      <c r="S36" s="1">
        <f t="shared" si="2"/>
        <v>-118</v>
      </c>
      <c r="T36" s="1">
        <f t="shared" si="3"/>
        <v>1.847457627</v>
      </c>
      <c r="U36" s="1">
        <f t="shared" si="4"/>
        <v>0</v>
      </c>
      <c r="V36" s="3">
        <f t="shared" si="5"/>
        <v>1</v>
      </c>
      <c r="W36" s="3">
        <f t="shared" si="6"/>
        <v>3</v>
      </c>
      <c r="X36" s="3" t="str">
        <f>IFERROR(__xludf.DUMMYFUNCTION("split(B36,"" "")"),"D.")</f>
        <v>D.</v>
      </c>
      <c r="Y36" s="3" t="str">
        <f>IFERROR(__xludf.DUMMYFUNCTION("""COMPUTED_VALUE"""),"Kincaid")</f>
        <v>Kincaid</v>
      </c>
      <c r="AA36" s="3">
        <v>33.0</v>
      </c>
      <c r="AB36" s="3">
        <f t="shared" si="7"/>
        <v>0</v>
      </c>
      <c r="AC36" s="3">
        <f t="shared" si="8"/>
        <v>1</v>
      </c>
      <c r="AD36" s="3">
        <f t="shared" si="9"/>
        <v>0.8474576271</v>
      </c>
      <c r="AE36" s="3">
        <f t="shared" si="10"/>
        <v>0.8474576271</v>
      </c>
      <c r="AF36" s="3">
        <f t="shared" si="11"/>
        <v>2.542372881</v>
      </c>
      <c r="AG36" s="3">
        <f t="shared" si="12"/>
        <v>0.2584269663</v>
      </c>
    </row>
    <row r="37">
      <c r="A37" s="1" t="s">
        <v>14</v>
      </c>
      <c r="B37" s="1" t="s">
        <v>56</v>
      </c>
      <c r="C37" s="1" t="s">
        <v>21</v>
      </c>
      <c r="D37" s="1" t="s">
        <v>57</v>
      </c>
      <c r="E37" s="1" t="s">
        <v>135</v>
      </c>
      <c r="F37" s="1" t="s">
        <v>455</v>
      </c>
      <c r="G37" s="1">
        <v>0.5</v>
      </c>
      <c r="H37" s="1" t="s">
        <v>60</v>
      </c>
      <c r="I37" s="1">
        <v>-213.0</v>
      </c>
      <c r="J37" s="1">
        <v>-0.180141223833865</v>
      </c>
      <c r="K37" s="1" t="s">
        <v>61</v>
      </c>
      <c r="L37" s="1" t="s">
        <v>61</v>
      </c>
      <c r="M37" s="1" t="s">
        <v>62</v>
      </c>
      <c r="N37" s="1">
        <v>157.0</v>
      </c>
      <c r="O37" s="1">
        <v>0.110531529416342</v>
      </c>
      <c r="P37" s="1" t="s">
        <v>61</v>
      </c>
      <c r="Q37" s="1" t="s">
        <v>61</v>
      </c>
      <c r="R37" s="1">
        <f t="shared" si="1"/>
        <v>0.1105315294</v>
      </c>
      <c r="S37" s="1">
        <f t="shared" si="2"/>
        <v>157</v>
      </c>
      <c r="T37" s="1">
        <f t="shared" si="3"/>
        <v>2.57</v>
      </c>
      <c r="U37" s="1">
        <f t="shared" si="4"/>
        <v>0</v>
      </c>
      <c r="V37" s="3">
        <f t="shared" si="5"/>
        <v>3</v>
      </c>
      <c r="W37" s="3">
        <f t="shared" si="6"/>
        <v>1</v>
      </c>
      <c r="X37" s="3" t="str">
        <f>IFERROR(__xludf.DUMMYFUNCTION("split(B37,"" "")"),"B.")</f>
        <v>B.</v>
      </c>
      <c r="Y37" s="3" t="str">
        <f>IFERROR(__xludf.DUMMYFUNCTION("""COMPUTED_VALUE"""),"Young")</f>
        <v>Young</v>
      </c>
      <c r="AA37" s="3">
        <v>0.0</v>
      </c>
      <c r="AB37" s="3">
        <f t="shared" si="7"/>
        <v>0</v>
      </c>
      <c r="AC37" s="3">
        <f t="shared" si="8"/>
        <v>1</v>
      </c>
      <c r="AD37" s="3">
        <f t="shared" si="9"/>
        <v>4.71</v>
      </c>
      <c r="AE37" s="3">
        <f t="shared" si="10"/>
        <v>4.71</v>
      </c>
      <c r="AF37" s="3">
        <f t="shared" si="11"/>
        <v>1.57</v>
      </c>
      <c r="AG37" s="3">
        <f t="shared" si="12"/>
        <v>1</v>
      </c>
    </row>
    <row r="38">
      <c r="A38" s="1" t="s">
        <v>11</v>
      </c>
      <c r="B38" s="1" t="s">
        <v>116</v>
      </c>
      <c r="C38" s="1" t="s">
        <v>18</v>
      </c>
      <c r="D38" s="1" t="s">
        <v>57</v>
      </c>
      <c r="E38" s="1" t="s">
        <v>135</v>
      </c>
      <c r="F38" s="1" t="s">
        <v>455</v>
      </c>
      <c r="G38" s="1">
        <v>39.5</v>
      </c>
      <c r="H38" s="1" t="s">
        <v>60</v>
      </c>
      <c r="I38" s="1">
        <v>-111.0</v>
      </c>
      <c r="J38" s="1">
        <v>-0.134779031409431</v>
      </c>
      <c r="K38" s="1" t="s">
        <v>61</v>
      </c>
      <c r="L38" s="1" t="s">
        <v>61</v>
      </c>
      <c r="M38" s="1" t="s">
        <v>62</v>
      </c>
      <c r="N38" s="1">
        <v>-118.0</v>
      </c>
      <c r="O38" s="1">
        <v>0.0674857147870469</v>
      </c>
      <c r="P38" s="1" t="s">
        <v>61</v>
      </c>
      <c r="Q38" s="1" t="s">
        <v>61</v>
      </c>
      <c r="R38" s="1">
        <f t="shared" si="1"/>
        <v>0.06748571479</v>
      </c>
      <c r="S38" s="1">
        <f t="shared" si="2"/>
        <v>-118</v>
      </c>
      <c r="T38" s="1">
        <f t="shared" si="3"/>
        <v>1.847457627</v>
      </c>
      <c r="U38" s="1">
        <f t="shared" si="4"/>
        <v>0</v>
      </c>
      <c r="V38" s="3">
        <f t="shared" si="5"/>
        <v>2</v>
      </c>
      <c r="W38" s="3">
        <f t="shared" si="6"/>
        <v>3</v>
      </c>
      <c r="X38" s="3" t="str">
        <f>IFERROR(__xludf.DUMMYFUNCTION("split(B38,"" "")"),"A.")</f>
        <v>A.</v>
      </c>
      <c r="Y38" s="3" t="str">
        <f>IFERROR(__xludf.DUMMYFUNCTION("""COMPUTED_VALUE"""),"Thielen")</f>
        <v>Thielen</v>
      </c>
      <c r="AA38" s="3">
        <v>20.0</v>
      </c>
      <c r="AB38" s="3">
        <f t="shared" si="7"/>
        <v>0</v>
      </c>
      <c r="AC38" s="3">
        <f t="shared" si="8"/>
        <v>1</v>
      </c>
      <c r="AD38" s="3">
        <f t="shared" si="9"/>
        <v>1.694915254</v>
      </c>
      <c r="AE38" s="3">
        <f t="shared" si="10"/>
        <v>1.694915254</v>
      </c>
      <c r="AF38" s="3">
        <f t="shared" si="11"/>
        <v>2.542372881</v>
      </c>
      <c r="AG38" s="3">
        <f t="shared" si="12"/>
        <v>0.4936708861</v>
      </c>
    </row>
    <row r="39">
      <c r="A39" s="1" t="s">
        <v>8</v>
      </c>
      <c r="B39" s="1" t="s">
        <v>56</v>
      </c>
      <c r="C39" s="1" t="s">
        <v>21</v>
      </c>
      <c r="D39" s="1" t="s">
        <v>57</v>
      </c>
      <c r="E39" s="1" t="s">
        <v>135</v>
      </c>
      <c r="F39" s="1" t="s">
        <v>455</v>
      </c>
      <c r="G39" s="1">
        <v>3.5</v>
      </c>
      <c r="H39" s="1" t="s">
        <v>60</v>
      </c>
      <c r="I39" s="1">
        <v>130.0</v>
      </c>
      <c r="J39" s="1">
        <v>-0.111876325999024</v>
      </c>
      <c r="K39" s="1" t="s">
        <v>61</v>
      </c>
      <c r="L39" s="1" t="s">
        <v>61</v>
      </c>
      <c r="M39" s="1" t="s">
        <v>62</v>
      </c>
      <c r="N39" s="1">
        <v>-173.0</v>
      </c>
      <c r="O39" s="1">
        <v>0.0433933223866209</v>
      </c>
      <c r="P39" s="1" t="s">
        <v>61</v>
      </c>
      <c r="Q39" s="1" t="s">
        <v>61</v>
      </c>
      <c r="R39" s="1">
        <f t="shared" si="1"/>
        <v>0.04339332239</v>
      </c>
      <c r="S39" s="1">
        <f t="shared" si="2"/>
        <v>-173</v>
      </c>
      <c r="T39" s="1">
        <f t="shared" si="3"/>
        <v>1.578034682</v>
      </c>
      <c r="U39" s="1">
        <f t="shared" si="4"/>
        <v>0</v>
      </c>
      <c r="V39" s="3">
        <f t="shared" si="5"/>
        <v>1</v>
      </c>
      <c r="W39" s="3">
        <f t="shared" si="6"/>
        <v>3</v>
      </c>
      <c r="X39" s="3" t="str">
        <f>IFERROR(__xludf.DUMMYFUNCTION("split(B39,"" "")"),"B.")</f>
        <v>B.</v>
      </c>
      <c r="Y39" s="3" t="str">
        <f>IFERROR(__xludf.DUMMYFUNCTION("""COMPUTED_VALUE"""),"Young")</f>
        <v>Young</v>
      </c>
      <c r="AA39" s="3">
        <v>1.0</v>
      </c>
      <c r="AB39" s="3">
        <f t="shared" si="7"/>
        <v>0</v>
      </c>
      <c r="AC39" s="3">
        <f t="shared" si="8"/>
        <v>1</v>
      </c>
      <c r="AD39" s="3">
        <f t="shared" si="9"/>
        <v>0.5780346821</v>
      </c>
      <c r="AE39" s="3">
        <f t="shared" si="10"/>
        <v>0.5780346821</v>
      </c>
      <c r="AF39" s="3">
        <f t="shared" si="11"/>
        <v>1.734104046</v>
      </c>
      <c r="AG39" s="3">
        <f t="shared" si="12"/>
        <v>0.7142857143</v>
      </c>
    </row>
    <row r="40">
      <c r="A40" s="1" t="s">
        <v>11</v>
      </c>
      <c r="B40" s="1" t="s">
        <v>266</v>
      </c>
      <c r="C40" s="1" t="s">
        <v>19</v>
      </c>
      <c r="D40" s="1" t="s">
        <v>57</v>
      </c>
      <c r="E40" s="1" t="s">
        <v>135</v>
      </c>
      <c r="F40" s="1" t="s">
        <v>455</v>
      </c>
      <c r="G40" s="1">
        <v>9.5</v>
      </c>
      <c r="H40" s="1" t="s">
        <v>60</v>
      </c>
      <c r="I40" s="1">
        <v>-111.0</v>
      </c>
      <c r="J40" s="1">
        <v>0.0223334391330496</v>
      </c>
      <c r="K40" s="1" t="s">
        <v>61</v>
      </c>
      <c r="L40" s="1" t="s">
        <v>61</v>
      </c>
      <c r="M40" s="1" t="s">
        <v>62</v>
      </c>
      <c r="N40" s="1">
        <v>-116.0</v>
      </c>
      <c r="O40" s="1">
        <v>-0.0853968544546539</v>
      </c>
      <c r="P40" s="1" t="s">
        <v>61</v>
      </c>
      <c r="Q40" s="1" t="s">
        <v>61</v>
      </c>
      <c r="R40" s="1">
        <f t="shared" si="1"/>
        <v>0.02233343913</v>
      </c>
      <c r="S40" s="1">
        <f t="shared" si="2"/>
        <v>-111</v>
      </c>
      <c r="T40" s="1">
        <f t="shared" si="3"/>
        <v>1.900900901</v>
      </c>
      <c r="U40" s="1">
        <f t="shared" si="4"/>
        <v>1</v>
      </c>
      <c r="V40" s="3">
        <f t="shared" si="5"/>
        <v>1</v>
      </c>
      <c r="W40" s="3">
        <f t="shared" si="6"/>
        <v>2</v>
      </c>
      <c r="X40" s="3" t="str">
        <f>IFERROR(__xludf.DUMMYFUNCTION("split(B40,"" "")"),"C.")</f>
        <v>C.</v>
      </c>
      <c r="Y40" s="3" t="str">
        <f>IFERROR(__xludf.DUMMYFUNCTION("""COMPUTED_VALUE"""),"Hubbard")</f>
        <v>Hubbard</v>
      </c>
      <c r="AA40" s="3">
        <v>12.0</v>
      </c>
      <c r="AB40" s="3">
        <f t="shared" si="7"/>
        <v>1</v>
      </c>
      <c r="AC40" s="3">
        <f t="shared" si="8"/>
        <v>1</v>
      </c>
      <c r="AD40" s="3">
        <f t="shared" si="9"/>
        <v>0.9009009009</v>
      </c>
      <c r="AE40" s="3">
        <f t="shared" si="10"/>
        <v>0.9009009009</v>
      </c>
      <c r="AF40" s="3">
        <f t="shared" si="11"/>
        <v>1.801801802</v>
      </c>
      <c r="AG40" s="3">
        <f t="shared" si="12"/>
        <v>0.2631578947</v>
      </c>
    </row>
    <row r="41">
      <c r="A41" s="1" t="s">
        <v>11</v>
      </c>
      <c r="B41" s="1" t="s">
        <v>353</v>
      </c>
      <c r="C41" s="1" t="s">
        <v>18</v>
      </c>
      <c r="D41" s="1" t="s">
        <v>57</v>
      </c>
      <c r="E41" s="1" t="s">
        <v>135</v>
      </c>
      <c r="F41" s="1" t="s">
        <v>455</v>
      </c>
      <c r="G41" s="1">
        <v>48.5</v>
      </c>
      <c r="H41" s="1" t="s">
        <v>60</v>
      </c>
      <c r="I41" s="1">
        <v>-113.0</v>
      </c>
      <c r="J41" s="1">
        <v>-0.078570761426582</v>
      </c>
      <c r="K41" s="1" t="s">
        <v>61</v>
      </c>
      <c r="L41" s="1" t="s">
        <v>61</v>
      </c>
      <c r="M41" s="1" t="s">
        <v>62</v>
      </c>
      <c r="N41" s="1">
        <v>-116.0</v>
      </c>
      <c r="O41" s="1">
        <v>0.0110101830625368</v>
      </c>
      <c r="P41" s="1" t="s">
        <v>61</v>
      </c>
      <c r="Q41" s="1" t="s">
        <v>61</v>
      </c>
      <c r="R41" s="1">
        <f t="shared" si="1"/>
        <v>0.01101018306</v>
      </c>
      <c r="S41" s="1">
        <f t="shared" si="2"/>
        <v>-116</v>
      </c>
      <c r="T41" s="1">
        <f t="shared" si="3"/>
        <v>1.862068966</v>
      </c>
      <c r="U41" s="1">
        <f t="shared" si="4"/>
        <v>0</v>
      </c>
      <c r="V41" s="3">
        <f t="shared" si="5"/>
        <v>1</v>
      </c>
      <c r="W41" s="3">
        <f t="shared" si="6"/>
        <v>2</v>
      </c>
      <c r="X41" s="3" t="str">
        <f>IFERROR(__xludf.DUMMYFUNCTION("split(B41,"" "")"),"D.")</f>
        <v>D.</v>
      </c>
      <c r="Y41" s="3" t="str">
        <f>IFERROR(__xludf.DUMMYFUNCTION("""COMPUTED_VALUE"""),"Johnson")</f>
        <v>Johnson</v>
      </c>
      <c r="AA41" s="3">
        <v>15.0</v>
      </c>
      <c r="AB41" s="3">
        <f t="shared" si="7"/>
        <v>0</v>
      </c>
      <c r="AC41" s="3">
        <f t="shared" si="8"/>
        <v>1</v>
      </c>
      <c r="AD41" s="3">
        <f t="shared" si="9"/>
        <v>0.8620689655</v>
      </c>
      <c r="AE41" s="3">
        <f t="shared" si="10"/>
        <v>0.8620689655</v>
      </c>
      <c r="AF41" s="3">
        <f t="shared" si="11"/>
        <v>1.724137931</v>
      </c>
      <c r="AG41" s="3">
        <f t="shared" si="12"/>
        <v>0.6907216495</v>
      </c>
    </row>
    <row r="42">
      <c r="A42" s="1" t="s">
        <v>10</v>
      </c>
      <c r="B42" s="1" t="s">
        <v>56</v>
      </c>
      <c r="C42" s="1" t="s">
        <v>21</v>
      </c>
      <c r="D42" s="1" t="s">
        <v>57</v>
      </c>
      <c r="E42" s="1" t="s">
        <v>135</v>
      </c>
      <c r="F42" s="1" t="s">
        <v>455</v>
      </c>
      <c r="G42" s="1">
        <v>12.5</v>
      </c>
      <c r="H42" s="1" t="s">
        <v>60</v>
      </c>
      <c r="I42" s="1">
        <v>-111.0</v>
      </c>
      <c r="J42" s="1">
        <v>-0.0728556444092909</v>
      </c>
      <c r="K42" s="1" t="s">
        <v>61</v>
      </c>
      <c r="L42" s="1" t="s">
        <v>61</v>
      </c>
      <c r="M42" s="1" t="s">
        <v>62</v>
      </c>
      <c r="N42" s="1">
        <v>-119.0</v>
      </c>
      <c r="O42" s="1">
        <v>0.00340872947364789</v>
      </c>
      <c r="P42" s="1" t="s">
        <v>61</v>
      </c>
      <c r="Q42" s="1" t="s">
        <v>61</v>
      </c>
      <c r="R42" s="1">
        <f t="shared" si="1"/>
        <v>0.003408729474</v>
      </c>
      <c r="S42" s="1">
        <f t="shared" si="2"/>
        <v>-119</v>
      </c>
      <c r="T42" s="1">
        <f t="shared" si="3"/>
        <v>1.840336134</v>
      </c>
      <c r="U42" s="1">
        <f t="shared" si="4"/>
        <v>0</v>
      </c>
      <c r="V42" s="3">
        <f t="shared" si="5"/>
        <v>1</v>
      </c>
      <c r="W42" s="3">
        <f t="shared" si="6"/>
        <v>3</v>
      </c>
      <c r="X42" s="3" t="str">
        <f>IFERROR(__xludf.DUMMYFUNCTION("split(B42,"" "")"),"B.")</f>
        <v>B.</v>
      </c>
      <c r="Y42" s="3" t="str">
        <f>IFERROR(__xludf.DUMMYFUNCTION("""COMPUTED_VALUE"""),"Young")</f>
        <v>Young</v>
      </c>
      <c r="AA42" s="3">
        <v>6.0</v>
      </c>
      <c r="AB42" s="3">
        <f t="shared" si="7"/>
        <v>0</v>
      </c>
      <c r="AC42" s="3">
        <f t="shared" si="8"/>
        <v>1</v>
      </c>
      <c r="AD42" s="3">
        <f t="shared" si="9"/>
        <v>0.8403361345</v>
      </c>
      <c r="AE42" s="3">
        <f t="shared" si="10"/>
        <v>0.8403361345</v>
      </c>
      <c r="AF42" s="3">
        <f t="shared" si="11"/>
        <v>2.521008403</v>
      </c>
      <c r="AG42" s="3">
        <f t="shared" si="12"/>
        <v>0.52</v>
      </c>
    </row>
    <row r="43">
      <c r="A43" s="1" t="s">
        <v>11</v>
      </c>
      <c r="B43" s="1" t="s">
        <v>351</v>
      </c>
      <c r="C43" s="1" t="s">
        <v>18</v>
      </c>
      <c r="D43" s="1" t="s">
        <v>99</v>
      </c>
      <c r="E43" s="1" t="s">
        <v>72</v>
      </c>
      <c r="F43" s="1" t="s">
        <v>460</v>
      </c>
      <c r="G43" s="1">
        <v>60.5</v>
      </c>
      <c r="H43" s="1" t="s">
        <v>60</v>
      </c>
      <c r="I43" s="1">
        <v>-115.0</v>
      </c>
      <c r="J43" s="1">
        <v>-0.0709509585435771</v>
      </c>
      <c r="K43" s="1" t="s">
        <v>61</v>
      </c>
      <c r="L43" s="1" t="s">
        <v>61</v>
      </c>
      <c r="M43" s="1" t="s">
        <v>62</v>
      </c>
      <c r="N43" s="1">
        <v>-114.0</v>
      </c>
      <c r="O43" s="1">
        <v>0.00332215457873619</v>
      </c>
      <c r="P43" s="1" t="s">
        <v>61</v>
      </c>
      <c r="Q43" s="1" t="s">
        <v>61</v>
      </c>
      <c r="R43" s="1">
        <f t="shared" si="1"/>
        <v>0.003322154579</v>
      </c>
      <c r="S43" s="1">
        <f t="shared" si="2"/>
        <v>-114</v>
      </c>
      <c r="T43" s="1">
        <f t="shared" si="3"/>
        <v>1.877192982</v>
      </c>
      <c r="U43" s="1">
        <f t="shared" si="4"/>
        <v>0</v>
      </c>
      <c r="V43" s="3">
        <f t="shared" si="5"/>
        <v>1</v>
      </c>
      <c r="W43" s="3">
        <f t="shared" si="6"/>
        <v>2</v>
      </c>
      <c r="X43" s="3" t="str">
        <f>IFERROR(__xludf.DUMMYFUNCTION("split(B43,"" "")"),"D.")</f>
        <v>D.</v>
      </c>
      <c r="Y43" s="3" t="str">
        <f>IFERROR(__xludf.DUMMYFUNCTION("""COMPUTED_VALUE"""),"Moore")</f>
        <v>Moore</v>
      </c>
      <c r="AA43" s="3">
        <v>53.0</v>
      </c>
      <c r="AB43" s="3">
        <f t="shared" si="7"/>
        <v>0</v>
      </c>
      <c r="AC43" s="3">
        <f t="shared" si="8"/>
        <v>1</v>
      </c>
      <c r="AD43" s="3">
        <f t="shared" si="9"/>
        <v>0.8771929825</v>
      </c>
      <c r="AE43" s="3">
        <f t="shared" si="10"/>
        <v>0.8771929825</v>
      </c>
      <c r="AF43" s="3">
        <f t="shared" si="11"/>
        <v>1.754385965</v>
      </c>
      <c r="AG43" s="3">
        <f t="shared" si="12"/>
        <v>0.1239669421</v>
      </c>
    </row>
    <row r="44">
      <c r="A44" s="1" t="s">
        <v>10</v>
      </c>
      <c r="B44" s="1" t="s">
        <v>168</v>
      </c>
      <c r="C44" s="1" t="s">
        <v>19</v>
      </c>
      <c r="D44" s="1" t="s">
        <v>67</v>
      </c>
      <c r="E44" s="1" t="s">
        <v>76</v>
      </c>
      <c r="F44" s="1" t="s">
        <v>461</v>
      </c>
      <c r="G44" s="1">
        <v>49.5</v>
      </c>
      <c r="H44" s="1" t="s">
        <v>60</v>
      </c>
      <c r="I44" s="1">
        <v>-114.0</v>
      </c>
      <c r="J44" s="1">
        <v>-0.126513559433854</v>
      </c>
      <c r="K44" s="1" t="s">
        <v>61</v>
      </c>
      <c r="L44" s="1" t="s">
        <v>61</v>
      </c>
      <c r="M44" s="1" t="s">
        <v>62</v>
      </c>
      <c r="N44" s="1">
        <v>-115.0</v>
      </c>
      <c r="O44" s="1">
        <v>0.058992236178337</v>
      </c>
      <c r="P44" s="1" t="s">
        <v>61</v>
      </c>
      <c r="Q44" s="1" t="s">
        <v>61</v>
      </c>
      <c r="R44" s="1">
        <f t="shared" si="1"/>
        <v>0.05899223618</v>
      </c>
      <c r="S44" s="1">
        <f t="shared" si="2"/>
        <v>-115</v>
      </c>
      <c r="T44" s="1">
        <f t="shared" si="3"/>
        <v>1.869565217</v>
      </c>
      <c r="U44" s="1">
        <f t="shared" si="4"/>
        <v>0</v>
      </c>
      <c r="V44" s="3">
        <f t="shared" si="5"/>
        <v>2</v>
      </c>
      <c r="W44" s="3">
        <f t="shared" si="6"/>
        <v>2</v>
      </c>
      <c r="X44" s="3" t="str">
        <f>IFERROR(__xludf.DUMMYFUNCTION("split(B44,"" "")"),"Z.")</f>
        <v>Z.</v>
      </c>
      <c r="Y44" s="3" t="str">
        <f>IFERROR(__xludf.DUMMYFUNCTION("""COMPUTED_VALUE"""),"Moss")</f>
        <v>Moss</v>
      </c>
      <c r="AA44" s="3">
        <v>34.0</v>
      </c>
      <c r="AB44" s="3">
        <f t="shared" si="7"/>
        <v>0</v>
      </c>
      <c r="AC44" s="3">
        <f t="shared" si="8"/>
        <v>1</v>
      </c>
      <c r="AD44" s="3">
        <f t="shared" si="9"/>
        <v>1.739130435</v>
      </c>
      <c r="AE44" s="3">
        <f t="shared" si="10"/>
        <v>1.739130435</v>
      </c>
      <c r="AF44" s="3">
        <f t="shared" si="11"/>
        <v>1.739130435</v>
      </c>
      <c r="AG44" s="3">
        <f t="shared" si="12"/>
        <v>0.3131313131</v>
      </c>
    </row>
    <row r="45">
      <c r="A45" s="1" t="s">
        <v>17</v>
      </c>
      <c r="B45" s="1" t="s">
        <v>318</v>
      </c>
      <c r="C45" s="1" t="s">
        <v>21</v>
      </c>
      <c r="D45" s="1" t="s">
        <v>67</v>
      </c>
      <c r="E45" s="1" t="s">
        <v>76</v>
      </c>
      <c r="F45" s="1" t="s">
        <v>461</v>
      </c>
      <c r="G45" s="1">
        <v>0.5</v>
      </c>
      <c r="H45" s="1" t="s">
        <v>60</v>
      </c>
      <c r="I45" s="1">
        <v>-122.0</v>
      </c>
      <c r="J45" s="1">
        <v>-0.0978045045045044</v>
      </c>
      <c r="K45" s="1" t="s">
        <v>61</v>
      </c>
      <c r="L45" s="1" t="s">
        <v>61</v>
      </c>
      <c r="M45" s="1" t="s">
        <v>62</v>
      </c>
      <c r="N45" s="1">
        <v>-107.0</v>
      </c>
      <c r="O45" s="1">
        <v>0.0313400966183575</v>
      </c>
      <c r="P45" s="1" t="s">
        <v>61</v>
      </c>
      <c r="Q45" s="1" t="s">
        <v>61</v>
      </c>
      <c r="R45" s="1">
        <f t="shared" si="1"/>
        <v>0.03134009662</v>
      </c>
      <c r="S45" s="1">
        <f t="shared" si="2"/>
        <v>-107</v>
      </c>
      <c r="T45" s="1">
        <f t="shared" si="3"/>
        <v>1.934579439</v>
      </c>
      <c r="U45" s="1">
        <f t="shared" si="4"/>
        <v>0</v>
      </c>
      <c r="V45" s="3">
        <f t="shared" si="5"/>
        <v>1</v>
      </c>
      <c r="W45" s="3">
        <f t="shared" si="6"/>
        <v>2</v>
      </c>
      <c r="X45" s="3" t="str">
        <f>IFERROR(__xludf.DUMMYFUNCTION("split(B45,"" "")"),"J.")</f>
        <v>J.</v>
      </c>
      <c r="Y45" s="3" t="str">
        <f>IFERROR(__xludf.DUMMYFUNCTION("""COMPUTED_VALUE"""),"Burrow")</f>
        <v>Burrow</v>
      </c>
      <c r="AA45" s="3">
        <v>0.0</v>
      </c>
      <c r="AB45" s="3">
        <f t="shared" si="7"/>
        <v>0</v>
      </c>
      <c r="AC45" s="3">
        <f t="shared" si="8"/>
        <v>1</v>
      </c>
      <c r="AD45" s="3">
        <f t="shared" si="9"/>
        <v>0.9345794393</v>
      </c>
      <c r="AE45" s="3">
        <f t="shared" si="10"/>
        <v>0.9345794393</v>
      </c>
      <c r="AF45" s="3">
        <f t="shared" si="11"/>
        <v>1.869158879</v>
      </c>
      <c r="AG45" s="3">
        <f t="shared" si="12"/>
        <v>1</v>
      </c>
    </row>
    <row r="46">
      <c r="A46" s="1" t="s">
        <v>13</v>
      </c>
      <c r="B46" s="1" t="s">
        <v>318</v>
      </c>
      <c r="C46" s="1" t="s">
        <v>21</v>
      </c>
      <c r="D46" s="1" t="s">
        <v>67</v>
      </c>
      <c r="E46" s="1" t="s">
        <v>76</v>
      </c>
      <c r="F46" s="1" t="s">
        <v>461</v>
      </c>
      <c r="G46" s="1">
        <v>229.5</v>
      </c>
      <c r="H46" s="1" t="s">
        <v>60</v>
      </c>
      <c r="I46" s="1">
        <v>-119.0</v>
      </c>
      <c r="J46" s="1">
        <v>0.00392100456621002</v>
      </c>
      <c r="K46" s="1" t="s">
        <v>61</v>
      </c>
      <c r="L46" s="1" t="s">
        <v>61</v>
      </c>
      <c r="M46" s="1" t="s">
        <v>62</v>
      </c>
      <c r="N46" s="1">
        <v>-109.0</v>
      </c>
      <c r="O46" s="1">
        <v>-0.0688311004784686</v>
      </c>
      <c r="P46" s="1" t="s">
        <v>61</v>
      </c>
      <c r="Q46" s="1" t="s">
        <v>61</v>
      </c>
      <c r="R46" s="1">
        <f t="shared" si="1"/>
        <v>0.003921004566</v>
      </c>
      <c r="S46" s="1">
        <f t="shared" si="2"/>
        <v>-119</v>
      </c>
      <c r="T46" s="1">
        <f t="shared" si="3"/>
        <v>1.840336134</v>
      </c>
      <c r="U46" s="1">
        <f t="shared" si="4"/>
        <v>1</v>
      </c>
      <c r="V46" s="3">
        <f t="shared" si="5"/>
        <v>1</v>
      </c>
      <c r="W46" s="3">
        <f t="shared" si="6"/>
        <v>3</v>
      </c>
      <c r="X46" s="3" t="str">
        <f>IFERROR(__xludf.DUMMYFUNCTION("split(B46,"" "")"),"J.")</f>
        <v>J.</v>
      </c>
      <c r="Y46" s="3" t="str">
        <f>IFERROR(__xludf.DUMMYFUNCTION("""COMPUTED_VALUE"""),"Burrow")</f>
        <v>Burrow</v>
      </c>
      <c r="AA46" s="3">
        <v>258.0</v>
      </c>
      <c r="AB46" s="3">
        <f t="shared" si="7"/>
        <v>1</v>
      </c>
      <c r="AC46" s="3">
        <f t="shared" si="8"/>
        <v>1</v>
      </c>
      <c r="AD46" s="3">
        <f t="shared" si="9"/>
        <v>0.8403361345</v>
      </c>
      <c r="AE46" s="3">
        <f t="shared" si="10"/>
        <v>0.8403361345</v>
      </c>
      <c r="AF46" s="3">
        <f t="shared" si="11"/>
        <v>2.521008403</v>
      </c>
      <c r="AG46" s="3">
        <f t="shared" si="12"/>
        <v>0.1241830065</v>
      </c>
    </row>
    <row r="47">
      <c r="A47" s="1" t="s">
        <v>10</v>
      </c>
      <c r="B47" s="1" t="s">
        <v>318</v>
      </c>
      <c r="C47" s="1" t="s">
        <v>21</v>
      </c>
      <c r="D47" s="1" t="s">
        <v>67</v>
      </c>
      <c r="E47" s="1" t="s">
        <v>76</v>
      </c>
      <c r="F47" s="1" t="s">
        <v>461</v>
      </c>
      <c r="G47" s="1">
        <v>14.5</v>
      </c>
      <c r="H47" s="1" t="s">
        <v>60</v>
      </c>
      <c r="I47" s="1">
        <v>105.0</v>
      </c>
      <c r="J47" s="1">
        <v>-0.0692414853657127</v>
      </c>
      <c r="K47" s="1" t="s">
        <v>61</v>
      </c>
      <c r="L47" s="1" t="s">
        <v>61</v>
      </c>
      <c r="M47" s="1" t="s">
        <v>62</v>
      </c>
      <c r="N47" s="1">
        <v>-137.0</v>
      </c>
      <c r="O47" s="1">
        <v>0.00336938382543883</v>
      </c>
      <c r="P47" s="1" t="s">
        <v>61</v>
      </c>
      <c r="Q47" s="1" t="s">
        <v>61</v>
      </c>
      <c r="R47" s="1">
        <f t="shared" si="1"/>
        <v>0.003369383825</v>
      </c>
      <c r="S47" s="1">
        <f t="shared" si="2"/>
        <v>-137</v>
      </c>
      <c r="T47" s="1">
        <f t="shared" si="3"/>
        <v>1.729927007</v>
      </c>
      <c r="U47" s="1">
        <f t="shared" si="4"/>
        <v>0</v>
      </c>
      <c r="V47" s="3">
        <f t="shared" si="5"/>
        <v>1</v>
      </c>
      <c r="W47" s="3">
        <f t="shared" si="6"/>
        <v>3</v>
      </c>
      <c r="X47" s="3" t="str">
        <f>IFERROR(__xludf.DUMMYFUNCTION("split(B47,"" "")"),"J.")</f>
        <v>J.</v>
      </c>
      <c r="Y47" s="3" t="str">
        <f>IFERROR(__xludf.DUMMYFUNCTION("""COMPUTED_VALUE"""),"Burrow")</f>
        <v>Burrow</v>
      </c>
      <c r="AA47" s="3">
        <v>9.0</v>
      </c>
      <c r="AB47" s="3">
        <f t="shared" si="7"/>
        <v>0</v>
      </c>
      <c r="AC47" s="3">
        <f t="shared" si="8"/>
        <v>1</v>
      </c>
      <c r="AD47" s="3">
        <f t="shared" si="9"/>
        <v>0.7299270073</v>
      </c>
      <c r="AE47" s="3">
        <f t="shared" si="10"/>
        <v>0.7299270073</v>
      </c>
      <c r="AF47" s="3">
        <f t="shared" si="11"/>
        <v>2.189781022</v>
      </c>
      <c r="AG47" s="3">
        <f t="shared" si="12"/>
        <v>0.3793103448</v>
      </c>
    </row>
    <row r="48">
      <c r="A48" s="1" t="s">
        <v>8</v>
      </c>
      <c r="B48" s="1" t="s">
        <v>462</v>
      </c>
      <c r="C48" s="1" t="s">
        <v>21</v>
      </c>
      <c r="D48" s="1" t="s">
        <v>89</v>
      </c>
      <c r="E48" s="1" t="s">
        <v>93</v>
      </c>
      <c r="F48" s="1" t="s">
        <v>455</v>
      </c>
      <c r="G48" s="1">
        <v>5.5</v>
      </c>
      <c r="H48" s="1" t="s">
        <v>60</v>
      </c>
      <c r="I48" s="1">
        <v>107.0</v>
      </c>
      <c r="J48" s="1">
        <v>-0.169278693069081</v>
      </c>
      <c r="K48" s="1" t="s">
        <v>61</v>
      </c>
      <c r="L48" s="1" t="s">
        <v>61</v>
      </c>
      <c r="M48" s="1" t="s">
        <v>62</v>
      </c>
      <c r="N48" s="1">
        <v>-143.0</v>
      </c>
      <c r="O48" s="1">
        <v>0.097707726377366</v>
      </c>
      <c r="P48" s="1" t="s">
        <v>61</v>
      </c>
      <c r="Q48" s="1" t="s">
        <v>61</v>
      </c>
      <c r="R48" s="1">
        <f t="shared" si="1"/>
        <v>0.09770772638</v>
      </c>
      <c r="S48" s="1">
        <f t="shared" si="2"/>
        <v>-143</v>
      </c>
      <c r="T48" s="1">
        <f t="shared" si="3"/>
        <v>1.699300699</v>
      </c>
      <c r="U48" s="1">
        <f t="shared" si="4"/>
        <v>0</v>
      </c>
      <c r="V48" s="3">
        <f t="shared" si="5"/>
        <v>2</v>
      </c>
      <c r="W48" s="3">
        <f t="shared" si="6"/>
        <v>3</v>
      </c>
      <c r="X48" s="3" t="str">
        <f>IFERROR(__xludf.DUMMYFUNCTION("split(B48,"" "")"),"D.")</f>
        <v>D.</v>
      </c>
      <c r="Y48" s="3" t="str">
        <f>IFERROR(__xludf.DUMMYFUNCTION("""COMPUTED_VALUE"""),"Watson")</f>
        <v>Watson</v>
      </c>
      <c r="AA48" s="3">
        <v>5.0</v>
      </c>
      <c r="AB48" s="3">
        <f t="shared" si="7"/>
        <v>0</v>
      </c>
      <c r="AC48" s="3">
        <f t="shared" si="8"/>
        <v>1</v>
      </c>
      <c r="AD48" s="3">
        <f t="shared" si="9"/>
        <v>1.398601399</v>
      </c>
      <c r="AE48" s="3">
        <f t="shared" si="10"/>
        <v>1.398601399</v>
      </c>
      <c r="AF48" s="3">
        <f t="shared" si="11"/>
        <v>2.097902098</v>
      </c>
      <c r="AG48" s="3">
        <f t="shared" si="12"/>
        <v>0.09090909091</v>
      </c>
    </row>
    <row r="49">
      <c r="A49" s="1" t="s">
        <v>17</v>
      </c>
      <c r="B49" s="1" t="s">
        <v>462</v>
      </c>
      <c r="C49" s="1" t="s">
        <v>21</v>
      </c>
      <c r="D49" s="1" t="s">
        <v>89</v>
      </c>
      <c r="E49" s="1" t="s">
        <v>93</v>
      </c>
      <c r="F49" s="1" t="s">
        <v>455</v>
      </c>
      <c r="G49" s="1">
        <v>0.5</v>
      </c>
      <c r="H49" s="1" t="s">
        <v>60</v>
      </c>
      <c r="I49" s="1">
        <v>-142.0</v>
      </c>
      <c r="J49" s="1">
        <v>-0.153876859504132</v>
      </c>
      <c r="K49" s="1" t="s">
        <v>61</v>
      </c>
      <c r="L49" s="1" t="s">
        <v>61</v>
      </c>
      <c r="M49" s="1" t="s">
        <v>62</v>
      </c>
      <c r="N49" s="1">
        <v>108.0</v>
      </c>
      <c r="O49" s="1">
        <v>0.0863307692307693</v>
      </c>
      <c r="P49" s="1" t="s">
        <v>61</v>
      </c>
      <c r="Q49" s="1" t="s">
        <v>61</v>
      </c>
      <c r="R49" s="1">
        <f t="shared" si="1"/>
        <v>0.08633076923</v>
      </c>
      <c r="S49" s="1">
        <f t="shared" si="2"/>
        <v>108</v>
      </c>
      <c r="T49" s="1">
        <f t="shared" si="3"/>
        <v>2.08</v>
      </c>
      <c r="U49" s="1">
        <f t="shared" si="4"/>
        <v>0</v>
      </c>
      <c r="V49" s="3">
        <f t="shared" si="5"/>
        <v>2</v>
      </c>
      <c r="W49" s="3">
        <f t="shared" si="6"/>
        <v>2</v>
      </c>
      <c r="X49" s="3" t="str">
        <f>IFERROR(__xludf.DUMMYFUNCTION("split(B49,"" "")"),"D.")</f>
        <v>D.</v>
      </c>
      <c r="Y49" s="3" t="str">
        <f>IFERROR(__xludf.DUMMYFUNCTION("""COMPUTED_VALUE"""),"Watson")</f>
        <v>Watson</v>
      </c>
      <c r="AA49" s="3">
        <v>0.0</v>
      </c>
      <c r="AB49" s="3">
        <f t="shared" si="7"/>
        <v>0</v>
      </c>
      <c r="AC49" s="3">
        <f t="shared" si="8"/>
        <v>1</v>
      </c>
      <c r="AD49" s="3">
        <f t="shared" si="9"/>
        <v>2.16</v>
      </c>
      <c r="AE49" s="3">
        <f t="shared" si="10"/>
        <v>2.16</v>
      </c>
      <c r="AF49" s="3">
        <f t="shared" si="11"/>
        <v>2.16</v>
      </c>
      <c r="AG49" s="3">
        <f t="shared" si="12"/>
        <v>1</v>
      </c>
    </row>
    <row r="50">
      <c r="A50" s="1" t="s">
        <v>9</v>
      </c>
      <c r="B50" s="1" t="s">
        <v>414</v>
      </c>
      <c r="C50" s="1" t="s">
        <v>18</v>
      </c>
      <c r="D50" s="1" t="s">
        <v>89</v>
      </c>
      <c r="E50" s="1" t="s">
        <v>93</v>
      </c>
      <c r="F50" s="1" t="s">
        <v>455</v>
      </c>
      <c r="G50" s="1">
        <v>21.5</v>
      </c>
      <c r="H50" s="1" t="s">
        <v>60</v>
      </c>
      <c r="I50" s="1">
        <v>-114.0</v>
      </c>
      <c r="J50" s="1">
        <v>0.0698002230323703</v>
      </c>
      <c r="K50" s="1" t="s">
        <v>61</v>
      </c>
      <c r="L50" s="1" t="s">
        <v>61</v>
      </c>
      <c r="M50" s="1" t="s">
        <v>62</v>
      </c>
      <c r="N50" s="1">
        <v>-118.0</v>
      </c>
      <c r="O50" s="1">
        <v>-0.143764900551074</v>
      </c>
      <c r="P50" s="1" t="s">
        <v>61</v>
      </c>
      <c r="Q50" s="1" t="s">
        <v>61</v>
      </c>
      <c r="R50" s="1">
        <f t="shared" si="1"/>
        <v>0.06980022303</v>
      </c>
      <c r="S50" s="1">
        <f t="shared" si="2"/>
        <v>-114</v>
      </c>
      <c r="T50" s="1">
        <f t="shared" si="3"/>
        <v>1.877192982</v>
      </c>
      <c r="U50" s="1">
        <f t="shared" si="4"/>
        <v>1</v>
      </c>
      <c r="V50" s="3">
        <f t="shared" si="5"/>
        <v>2</v>
      </c>
      <c r="W50" s="3">
        <f t="shared" si="6"/>
        <v>2</v>
      </c>
      <c r="X50" s="3" t="str">
        <f>IFERROR(__xludf.DUMMYFUNCTION("split(B50,"" "")"),"E.")</f>
        <v>E.</v>
      </c>
      <c r="Y50" s="3" t="str">
        <f>IFERROR(__xludf.DUMMYFUNCTION("""COMPUTED_VALUE"""),"Moore")</f>
        <v>Moore</v>
      </c>
      <c r="AA50" s="3">
        <v>44.0</v>
      </c>
      <c r="AB50" s="3">
        <f t="shared" si="7"/>
        <v>1</v>
      </c>
      <c r="AC50" s="3">
        <f t="shared" si="8"/>
        <v>1</v>
      </c>
      <c r="AD50" s="3">
        <f t="shared" si="9"/>
        <v>1.754385965</v>
      </c>
      <c r="AE50" s="3">
        <f t="shared" si="10"/>
        <v>1.754385965</v>
      </c>
      <c r="AF50" s="3">
        <f t="shared" si="11"/>
        <v>1.754385965</v>
      </c>
      <c r="AG50" s="3">
        <f t="shared" si="12"/>
        <v>1.046511628</v>
      </c>
    </row>
    <row r="51">
      <c r="A51" s="1" t="s">
        <v>10</v>
      </c>
      <c r="B51" s="1" t="s">
        <v>462</v>
      </c>
      <c r="C51" s="1" t="s">
        <v>21</v>
      </c>
      <c r="D51" s="1" t="s">
        <v>89</v>
      </c>
      <c r="E51" s="1" t="s">
        <v>93</v>
      </c>
      <c r="F51" s="1" t="s">
        <v>455</v>
      </c>
      <c r="G51" s="1">
        <v>24.5</v>
      </c>
      <c r="H51" s="1" t="s">
        <v>60</v>
      </c>
      <c r="I51" s="1">
        <v>-117.0</v>
      </c>
      <c r="J51" s="1">
        <v>-0.133047464891908</v>
      </c>
      <c r="K51" s="1" t="s">
        <v>61</v>
      </c>
      <c r="L51" s="1" t="s">
        <v>61</v>
      </c>
      <c r="M51" s="1" t="s">
        <v>62</v>
      </c>
      <c r="N51" s="1">
        <v>-112.0</v>
      </c>
      <c r="O51" s="1">
        <v>0.0655863389968366</v>
      </c>
      <c r="P51" s="1" t="s">
        <v>61</v>
      </c>
      <c r="Q51" s="1" t="s">
        <v>61</v>
      </c>
      <c r="R51" s="1">
        <f t="shared" si="1"/>
        <v>0.065586339</v>
      </c>
      <c r="S51" s="1">
        <f t="shared" si="2"/>
        <v>-112</v>
      </c>
      <c r="T51" s="1">
        <f t="shared" si="3"/>
        <v>1.892857143</v>
      </c>
      <c r="U51" s="1">
        <f t="shared" si="4"/>
        <v>0</v>
      </c>
      <c r="V51" s="3">
        <f t="shared" si="5"/>
        <v>2</v>
      </c>
      <c r="W51" s="3">
        <f t="shared" si="6"/>
        <v>2</v>
      </c>
      <c r="X51" s="3" t="str">
        <f>IFERROR(__xludf.DUMMYFUNCTION("split(B51,"" "")"),"D.")</f>
        <v>D.</v>
      </c>
      <c r="Y51" s="3" t="str">
        <f>IFERROR(__xludf.DUMMYFUNCTION("""COMPUTED_VALUE"""),"Watson")</f>
        <v>Watson</v>
      </c>
      <c r="AA51" s="3">
        <v>20.0</v>
      </c>
      <c r="AB51" s="3">
        <f t="shared" si="7"/>
        <v>0</v>
      </c>
      <c r="AC51" s="3">
        <f t="shared" si="8"/>
        <v>1</v>
      </c>
      <c r="AD51" s="3">
        <f t="shared" si="9"/>
        <v>1.785714286</v>
      </c>
      <c r="AE51" s="3">
        <f t="shared" si="10"/>
        <v>1.785714286</v>
      </c>
      <c r="AF51" s="3">
        <f t="shared" si="11"/>
        <v>1.785714286</v>
      </c>
      <c r="AG51" s="3">
        <f t="shared" si="12"/>
        <v>0.1836734694</v>
      </c>
    </row>
    <row r="52">
      <c r="A52" s="1" t="s">
        <v>11</v>
      </c>
      <c r="B52" s="1" t="s">
        <v>324</v>
      </c>
      <c r="C52" s="1" t="s">
        <v>19</v>
      </c>
      <c r="D52" s="1" t="s">
        <v>89</v>
      </c>
      <c r="E52" s="1" t="s">
        <v>93</v>
      </c>
      <c r="F52" s="1" t="s">
        <v>455</v>
      </c>
      <c r="G52" s="1">
        <v>17.5</v>
      </c>
      <c r="H52" s="1" t="s">
        <v>60</v>
      </c>
      <c r="I52" s="1">
        <v>-119.0</v>
      </c>
      <c r="J52" s="1">
        <v>-0.0973604996596108</v>
      </c>
      <c r="K52" s="1" t="s">
        <v>61</v>
      </c>
      <c r="L52" s="1" t="s">
        <v>61</v>
      </c>
      <c r="M52" s="1" t="s">
        <v>62</v>
      </c>
      <c r="N52" s="1">
        <v>-112.0</v>
      </c>
      <c r="O52" s="1">
        <v>0.0257395063986292</v>
      </c>
      <c r="P52" s="1" t="s">
        <v>61</v>
      </c>
      <c r="Q52" s="1" t="s">
        <v>61</v>
      </c>
      <c r="R52" s="1">
        <f t="shared" si="1"/>
        <v>0.0257395064</v>
      </c>
      <c r="S52" s="1">
        <f t="shared" si="2"/>
        <v>-112</v>
      </c>
      <c r="T52" s="1">
        <f t="shared" si="3"/>
        <v>1.892857143</v>
      </c>
      <c r="U52" s="1">
        <f t="shared" si="4"/>
        <v>0</v>
      </c>
      <c r="V52" s="3">
        <f t="shared" si="5"/>
        <v>1</v>
      </c>
      <c r="W52" s="3">
        <f t="shared" si="6"/>
        <v>2</v>
      </c>
      <c r="X52" s="3" t="str">
        <f>IFERROR(__xludf.DUMMYFUNCTION("split(B52,"" "")"),"J.")</f>
        <v>J.</v>
      </c>
      <c r="Y52" s="3" t="str">
        <f>IFERROR(__xludf.DUMMYFUNCTION("""COMPUTED_VALUE"""),"Ford")</f>
        <v>Ford</v>
      </c>
      <c r="AA52" s="3">
        <v>0.0</v>
      </c>
      <c r="AB52" s="3">
        <f t="shared" si="7"/>
        <v>0</v>
      </c>
      <c r="AC52" s="3">
        <f t="shared" si="8"/>
        <v>1</v>
      </c>
      <c r="AD52" s="3">
        <f t="shared" si="9"/>
        <v>0.8928571429</v>
      </c>
      <c r="AE52" s="3">
        <f t="shared" si="10"/>
        <v>0.8928571429</v>
      </c>
      <c r="AF52" s="3">
        <f t="shared" si="11"/>
        <v>1.785714286</v>
      </c>
      <c r="AG52" s="3">
        <f t="shared" si="12"/>
        <v>1</v>
      </c>
    </row>
    <row r="53">
      <c r="A53" s="1" t="s">
        <v>12</v>
      </c>
      <c r="B53" s="1" t="s">
        <v>442</v>
      </c>
      <c r="C53" s="1" t="s">
        <v>18</v>
      </c>
      <c r="D53" s="1" t="s">
        <v>89</v>
      </c>
      <c r="E53" s="1" t="s">
        <v>93</v>
      </c>
      <c r="F53" s="1" t="s">
        <v>455</v>
      </c>
      <c r="G53" s="1">
        <v>4.5</v>
      </c>
      <c r="H53" s="1" t="s">
        <v>60</v>
      </c>
      <c r="I53" s="1">
        <v>106.0</v>
      </c>
      <c r="J53" s="1">
        <v>-0.0848398058252427</v>
      </c>
      <c r="K53" s="1" t="s">
        <v>61</v>
      </c>
      <c r="L53" s="1" t="s">
        <v>61</v>
      </c>
      <c r="M53" s="1" t="s">
        <v>62</v>
      </c>
      <c r="N53" s="1">
        <v>-138.0</v>
      </c>
      <c r="O53" s="1">
        <v>0.0195840336134454</v>
      </c>
      <c r="P53" s="1" t="s">
        <v>61</v>
      </c>
      <c r="Q53" s="1" t="s">
        <v>61</v>
      </c>
      <c r="R53" s="1">
        <f t="shared" si="1"/>
        <v>0.01958403361</v>
      </c>
      <c r="S53" s="1">
        <f t="shared" si="2"/>
        <v>-138</v>
      </c>
      <c r="T53" s="1">
        <f t="shared" si="3"/>
        <v>1.724637681</v>
      </c>
      <c r="U53" s="1">
        <f t="shared" si="4"/>
        <v>0</v>
      </c>
      <c r="V53" s="3">
        <f t="shared" si="5"/>
        <v>1</v>
      </c>
      <c r="W53" s="3">
        <f t="shared" si="6"/>
        <v>3</v>
      </c>
      <c r="X53" s="3" t="str">
        <f>IFERROR(__xludf.DUMMYFUNCTION("split(B53,"" "")"),"A.")</f>
        <v>A.</v>
      </c>
      <c r="Y53" s="3" t="str">
        <f>IFERROR(__xludf.DUMMYFUNCTION("""COMPUTED_VALUE"""),"Cooper")</f>
        <v>Cooper</v>
      </c>
      <c r="AA53" s="3">
        <v>3.0</v>
      </c>
      <c r="AB53" s="3">
        <f t="shared" si="7"/>
        <v>0</v>
      </c>
      <c r="AC53" s="3">
        <f t="shared" si="8"/>
        <v>1</v>
      </c>
      <c r="AD53" s="3">
        <f t="shared" si="9"/>
        <v>0.7246376812</v>
      </c>
      <c r="AE53" s="3">
        <f t="shared" si="10"/>
        <v>0.7246376812</v>
      </c>
      <c r="AF53" s="3">
        <f t="shared" si="11"/>
        <v>2.173913043</v>
      </c>
      <c r="AG53" s="3">
        <f t="shared" si="12"/>
        <v>0.3333333333</v>
      </c>
    </row>
    <row r="54">
      <c r="A54" s="1" t="s">
        <v>11</v>
      </c>
      <c r="B54" s="1" t="s">
        <v>442</v>
      </c>
      <c r="C54" s="1" t="s">
        <v>18</v>
      </c>
      <c r="D54" s="1" t="s">
        <v>89</v>
      </c>
      <c r="E54" s="1" t="s">
        <v>93</v>
      </c>
      <c r="F54" s="1" t="s">
        <v>455</v>
      </c>
      <c r="G54" s="1">
        <v>59.5</v>
      </c>
      <c r="H54" s="1" t="s">
        <v>60</v>
      </c>
      <c r="I54" s="1">
        <v>-119.0</v>
      </c>
      <c r="J54" s="1">
        <v>-0.0729965212741154</v>
      </c>
      <c r="K54" s="1" t="s">
        <v>61</v>
      </c>
      <c r="L54" s="1" t="s">
        <v>61</v>
      </c>
      <c r="M54" s="1" t="s">
        <v>62</v>
      </c>
      <c r="N54" s="1">
        <v>-110.0</v>
      </c>
      <c r="O54" s="1">
        <v>0.00578013151918854</v>
      </c>
      <c r="P54" s="1" t="s">
        <v>61</v>
      </c>
      <c r="Q54" s="1" t="s">
        <v>61</v>
      </c>
      <c r="R54" s="1">
        <f t="shared" si="1"/>
        <v>0.005780131519</v>
      </c>
      <c r="S54" s="1">
        <f t="shared" si="2"/>
        <v>-110</v>
      </c>
      <c r="T54" s="1">
        <f t="shared" si="3"/>
        <v>1.909090909</v>
      </c>
      <c r="U54" s="1">
        <f t="shared" si="4"/>
        <v>0</v>
      </c>
      <c r="V54" s="3">
        <f t="shared" si="5"/>
        <v>1</v>
      </c>
      <c r="W54" s="3">
        <f t="shared" si="6"/>
        <v>2</v>
      </c>
      <c r="X54" s="3" t="str">
        <f>IFERROR(__xludf.DUMMYFUNCTION("split(B54,"" "")"),"A.")</f>
        <v>A.</v>
      </c>
      <c r="Y54" s="3" t="str">
        <f>IFERROR(__xludf.DUMMYFUNCTION("""COMPUTED_VALUE"""),"Cooper")</f>
        <v>Cooper</v>
      </c>
      <c r="AA54" s="3">
        <v>11.0</v>
      </c>
      <c r="AB54" s="3">
        <f t="shared" si="7"/>
        <v>0</v>
      </c>
      <c r="AC54" s="3">
        <f t="shared" si="8"/>
        <v>1</v>
      </c>
      <c r="AD54" s="3">
        <f t="shared" si="9"/>
        <v>0.9090909091</v>
      </c>
      <c r="AE54" s="3">
        <f t="shared" si="10"/>
        <v>0.9090909091</v>
      </c>
      <c r="AF54" s="3">
        <f t="shared" si="11"/>
        <v>1.818181818</v>
      </c>
      <c r="AG54" s="3">
        <f t="shared" si="12"/>
        <v>0.8151260504</v>
      </c>
    </row>
    <row r="55">
      <c r="A55" s="1" t="s">
        <v>8</v>
      </c>
      <c r="B55" s="1" t="s">
        <v>324</v>
      </c>
      <c r="C55" s="1" t="s">
        <v>19</v>
      </c>
      <c r="D55" s="1" t="s">
        <v>89</v>
      </c>
      <c r="E55" s="1" t="s">
        <v>93</v>
      </c>
      <c r="F55" s="1" t="s">
        <v>455</v>
      </c>
      <c r="G55" s="1">
        <v>13.5</v>
      </c>
      <c r="H55" s="1" t="s">
        <v>60</v>
      </c>
      <c r="I55" s="1">
        <v>-115.0</v>
      </c>
      <c r="J55" s="1">
        <v>-0.0702798265953489</v>
      </c>
      <c r="K55" s="1" t="s">
        <v>61</v>
      </c>
      <c r="L55" s="1" t="s">
        <v>61</v>
      </c>
      <c r="M55" s="1" t="s">
        <v>62</v>
      </c>
      <c r="N55" s="1">
        <v>-115.0</v>
      </c>
      <c r="O55" s="1">
        <v>5.11800584651056E-4</v>
      </c>
      <c r="P55" s="1" t="s">
        <v>61</v>
      </c>
      <c r="Q55" s="1" t="s">
        <v>61</v>
      </c>
      <c r="R55" s="1">
        <f t="shared" si="1"/>
        <v>0.0005118005847</v>
      </c>
      <c r="S55" s="1">
        <f t="shared" si="2"/>
        <v>-115</v>
      </c>
      <c r="T55" s="1">
        <f t="shared" si="3"/>
        <v>1.869565217</v>
      </c>
      <c r="U55" s="1">
        <f t="shared" si="4"/>
        <v>0</v>
      </c>
      <c r="V55" s="3">
        <f t="shared" si="5"/>
        <v>1</v>
      </c>
      <c r="W55" s="3">
        <f t="shared" si="6"/>
        <v>2</v>
      </c>
      <c r="X55" s="3" t="str">
        <f>IFERROR(__xludf.DUMMYFUNCTION("split(B55,"" "")"),"J.")</f>
        <v>J.</v>
      </c>
      <c r="Y55" s="3" t="str">
        <f>IFERROR(__xludf.DUMMYFUNCTION("""COMPUTED_VALUE"""),"Ford")</f>
        <v>Ford</v>
      </c>
      <c r="AA55" s="3">
        <v>7.0</v>
      </c>
      <c r="AB55" s="3">
        <f t="shared" si="7"/>
        <v>0</v>
      </c>
      <c r="AC55" s="3">
        <f t="shared" si="8"/>
        <v>1</v>
      </c>
      <c r="AD55" s="3">
        <f t="shared" si="9"/>
        <v>0.8695652174</v>
      </c>
      <c r="AE55" s="3">
        <f t="shared" si="10"/>
        <v>0.8695652174</v>
      </c>
      <c r="AF55" s="3">
        <f t="shared" si="11"/>
        <v>1.739130435</v>
      </c>
      <c r="AG55" s="3">
        <f t="shared" si="12"/>
        <v>0.4814814815</v>
      </c>
    </row>
    <row r="56">
      <c r="A56" s="1" t="s">
        <v>12</v>
      </c>
      <c r="B56" s="1" t="s">
        <v>463</v>
      </c>
      <c r="C56" s="1" t="s">
        <v>18</v>
      </c>
      <c r="D56" s="1" t="s">
        <v>88</v>
      </c>
      <c r="E56" s="1" t="s">
        <v>58</v>
      </c>
      <c r="F56" s="1" t="s">
        <v>455</v>
      </c>
      <c r="G56" s="1">
        <v>3.5</v>
      </c>
      <c r="H56" s="1" t="s">
        <v>60</v>
      </c>
      <c r="I56" s="1">
        <v>-144.0</v>
      </c>
      <c r="J56" s="1">
        <v>-0.201304918032786</v>
      </c>
      <c r="K56" s="1" t="s">
        <v>61</v>
      </c>
      <c r="L56" s="1" t="s">
        <v>61</v>
      </c>
      <c r="M56" s="1" t="s">
        <v>62</v>
      </c>
      <c r="N56" s="1">
        <v>110.0</v>
      </c>
      <c r="O56" s="1">
        <v>0.134957142857142</v>
      </c>
      <c r="P56" s="1" t="s">
        <v>61</v>
      </c>
      <c r="Q56" s="1" t="s">
        <v>61</v>
      </c>
      <c r="R56" s="1">
        <f t="shared" si="1"/>
        <v>0.1349571429</v>
      </c>
      <c r="S56" s="1">
        <f t="shared" si="2"/>
        <v>110</v>
      </c>
      <c r="T56" s="1">
        <f t="shared" si="3"/>
        <v>2.1</v>
      </c>
      <c r="U56" s="1">
        <f t="shared" si="4"/>
        <v>0</v>
      </c>
      <c r="V56" s="3">
        <f t="shared" si="5"/>
        <v>3</v>
      </c>
      <c r="W56" s="3">
        <f t="shared" si="6"/>
        <v>2</v>
      </c>
      <c r="X56" s="3" t="str">
        <f>IFERROR(__xludf.DUMMYFUNCTION("split(B56,"" "")"),"B.")</f>
        <v>B.</v>
      </c>
      <c r="Y56" s="3" t="str">
        <f>IFERROR(__xludf.DUMMYFUNCTION("""COMPUTED_VALUE"""),"Cooks")</f>
        <v>Cooks</v>
      </c>
      <c r="AA56" s="3">
        <v>2.0</v>
      </c>
      <c r="AB56" s="3">
        <f t="shared" si="7"/>
        <v>0</v>
      </c>
      <c r="AC56" s="3">
        <f t="shared" si="8"/>
        <v>1</v>
      </c>
      <c r="AD56" s="3">
        <f t="shared" si="9"/>
        <v>3.3</v>
      </c>
      <c r="AE56" s="3">
        <f t="shared" si="10"/>
        <v>3.3</v>
      </c>
      <c r="AF56" s="3">
        <f t="shared" si="11"/>
        <v>2.2</v>
      </c>
      <c r="AG56" s="3">
        <f t="shared" si="12"/>
        <v>0.4285714286</v>
      </c>
    </row>
    <row r="57">
      <c r="A57" s="1" t="s">
        <v>8</v>
      </c>
      <c r="B57" s="1" t="s">
        <v>152</v>
      </c>
      <c r="C57" s="1" t="s">
        <v>19</v>
      </c>
      <c r="D57" s="1" t="s">
        <v>88</v>
      </c>
      <c r="E57" s="1" t="s">
        <v>58</v>
      </c>
      <c r="F57" s="1" t="s">
        <v>455</v>
      </c>
      <c r="G57" s="1">
        <v>8.5</v>
      </c>
      <c r="H57" s="1" t="s">
        <v>60</v>
      </c>
      <c r="I57" s="1">
        <v>-118.0</v>
      </c>
      <c r="J57" s="1">
        <v>-0.19563727296863</v>
      </c>
      <c r="K57" s="1" t="s">
        <v>61</v>
      </c>
      <c r="L57" s="1" t="s">
        <v>61</v>
      </c>
      <c r="M57" s="1" t="s">
        <v>62</v>
      </c>
      <c r="N57" s="1">
        <v>-114.0</v>
      </c>
      <c r="O57" s="1">
        <v>0.12163498634656</v>
      </c>
      <c r="P57" s="1" t="s">
        <v>61</v>
      </c>
      <c r="Q57" s="1" t="s">
        <v>61</v>
      </c>
      <c r="R57" s="1">
        <f t="shared" si="1"/>
        <v>0.1216349863</v>
      </c>
      <c r="S57" s="1">
        <f t="shared" si="2"/>
        <v>-114</v>
      </c>
      <c r="T57" s="1">
        <f t="shared" si="3"/>
        <v>1.877192982</v>
      </c>
      <c r="U57" s="1">
        <f t="shared" si="4"/>
        <v>0</v>
      </c>
      <c r="V57" s="3">
        <f t="shared" si="5"/>
        <v>3</v>
      </c>
      <c r="W57" s="3">
        <f t="shared" si="6"/>
        <v>2</v>
      </c>
      <c r="X57" s="3" t="str">
        <f>IFERROR(__xludf.DUMMYFUNCTION("split(B57,"" "")"),"R.")</f>
        <v>R.</v>
      </c>
      <c r="Y57" s="3" t="str">
        <f>IFERROR(__xludf.DUMMYFUNCTION("""COMPUTED_VALUE"""),"Dowdle")</f>
        <v>Dowdle</v>
      </c>
      <c r="AA57" s="3">
        <v>7.0</v>
      </c>
      <c r="AB57" s="3">
        <f t="shared" si="7"/>
        <v>0</v>
      </c>
      <c r="AC57" s="3">
        <f t="shared" si="8"/>
        <v>1</v>
      </c>
      <c r="AD57" s="3">
        <f t="shared" si="9"/>
        <v>2.631578947</v>
      </c>
      <c r="AE57" s="3">
        <f t="shared" si="10"/>
        <v>2.631578947</v>
      </c>
      <c r="AF57" s="3">
        <f t="shared" si="11"/>
        <v>1.754385965</v>
      </c>
      <c r="AG57" s="3">
        <f t="shared" si="12"/>
        <v>0.1764705882</v>
      </c>
    </row>
    <row r="58">
      <c r="A58" s="1" t="s">
        <v>8</v>
      </c>
      <c r="B58" s="1" t="s">
        <v>251</v>
      </c>
      <c r="C58" s="1" t="s">
        <v>21</v>
      </c>
      <c r="D58" s="1" t="s">
        <v>88</v>
      </c>
      <c r="E58" s="1" t="s">
        <v>58</v>
      </c>
      <c r="F58" s="1" t="s">
        <v>455</v>
      </c>
      <c r="G58" s="1">
        <v>3.5</v>
      </c>
      <c r="H58" s="1" t="s">
        <v>60</v>
      </c>
      <c r="I58" s="1">
        <v>-103.0</v>
      </c>
      <c r="J58" s="1">
        <v>-0.177532421046583</v>
      </c>
      <c r="K58" s="1" t="s">
        <v>61</v>
      </c>
      <c r="L58" s="1" t="s">
        <v>61</v>
      </c>
      <c r="M58" s="1" t="s">
        <v>62</v>
      </c>
      <c r="N58" s="1">
        <v>-128.0</v>
      </c>
      <c r="O58" s="1">
        <v>0.108745790722563</v>
      </c>
      <c r="P58" s="1" t="s">
        <v>61</v>
      </c>
      <c r="Q58" s="1" t="s">
        <v>61</v>
      </c>
      <c r="R58" s="1">
        <f t="shared" si="1"/>
        <v>0.1087457907</v>
      </c>
      <c r="S58" s="1">
        <f t="shared" si="2"/>
        <v>-128</v>
      </c>
      <c r="T58" s="1">
        <f t="shared" si="3"/>
        <v>1.78125</v>
      </c>
      <c r="U58" s="1">
        <f t="shared" si="4"/>
        <v>0</v>
      </c>
      <c r="V58" s="3">
        <f t="shared" si="5"/>
        <v>3</v>
      </c>
      <c r="W58" s="3">
        <f t="shared" si="6"/>
        <v>3</v>
      </c>
      <c r="X58" s="3" t="str">
        <f>IFERROR(__xludf.DUMMYFUNCTION("split(B58,"" "")"),"D.")</f>
        <v>D.</v>
      </c>
      <c r="Y58" s="3" t="str">
        <f>IFERROR(__xludf.DUMMYFUNCTION("""COMPUTED_VALUE"""),"Prescott")</f>
        <v>Prescott</v>
      </c>
      <c r="AA58" s="3">
        <v>2.0</v>
      </c>
      <c r="AB58" s="3">
        <f t="shared" si="7"/>
        <v>0</v>
      </c>
      <c r="AC58" s="3">
        <f t="shared" si="8"/>
        <v>1</v>
      </c>
      <c r="AD58" s="3">
        <f t="shared" si="9"/>
        <v>2.34375</v>
      </c>
      <c r="AE58" s="3">
        <f t="shared" si="10"/>
        <v>2.34375</v>
      </c>
      <c r="AF58" s="3">
        <f t="shared" si="11"/>
        <v>2.34375</v>
      </c>
      <c r="AG58" s="3">
        <f t="shared" si="12"/>
        <v>0.4285714286</v>
      </c>
    </row>
    <row r="59">
      <c r="A59" s="1" t="s">
        <v>9</v>
      </c>
      <c r="B59" s="1" t="s">
        <v>87</v>
      </c>
      <c r="C59" s="1" t="s">
        <v>18</v>
      </c>
      <c r="D59" s="1" t="s">
        <v>88</v>
      </c>
      <c r="E59" s="1" t="s">
        <v>58</v>
      </c>
      <c r="F59" s="1" t="s">
        <v>455</v>
      </c>
      <c r="G59" s="1">
        <v>22.5</v>
      </c>
      <c r="H59" s="1" t="s">
        <v>60</v>
      </c>
      <c r="I59" s="1">
        <v>-115.0</v>
      </c>
      <c r="J59" s="1">
        <v>0.0965824266046241</v>
      </c>
      <c r="K59" s="1" t="s">
        <v>61</v>
      </c>
      <c r="L59" s="1" t="s">
        <v>61</v>
      </c>
      <c r="M59" s="1" t="s">
        <v>62</v>
      </c>
      <c r="N59" s="1">
        <v>-117.0</v>
      </c>
      <c r="O59" s="1">
        <v>-0.170583499596282</v>
      </c>
      <c r="P59" s="1" t="s">
        <v>61</v>
      </c>
      <c r="Q59" s="1" t="s">
        <v>61</v>
      </c>
      <c r="R59" s="1">
        <f t="shared" si="1"/>
        <v>0.0965824266</v>
      </c>
      <c r="S59" s="1">
        <f t="shared" si="2"/>
        <v>-115</v>
      </c>
      <c r="T59" s="1">
        <f t="shared" si="3"/>
        <v>1.869565217</v>
      </c>
      <c r="U59" s="1">
        <f t="shared" si="4"/>
        <v>1</v>
      </c>
      <c r="V59" s="3">
        <f t="shared" si="5"/>
        <v>2</v>
      </c>
      <c r="W59" s="3">
        <f t="shared" si="6"/>
        <v>2</v>
      </c>
      <c r="X59" s="3" t="str">
        <f>IFERROR(__xludf.DUMMYFUNCTION("split(B59,"" "")"),"J.")</f>
        <v>J.</v>
      </c>
      <c r="Y59" s="3" t="str">
        <f>IFERROR(__xludf.DUMMYFUNCTION("""COMPUTED_VALUE"""),"Tolbert")</f>
        <v>Tolbert</v>
      </c>
      <c r="AA59" s="3">
        <v>82.0</v>
      </c>
      <c r="AB59" s="3">
        <f t="shared" si="7"/>
        <v>1</v>
      </c>
      <c r="AC59" s="3">
        <f t="shared" si="8"/>
        <v>1</v>
      </c>
      <c r="AD59" s="3">
        <f t="shared" si="9"/>
        <v>1.739130435</v>
      </c>
      <c r="AE59" s="3">
        <f t="shared" si="10"/>
        <v>1.739130435</v>
      </c>
      <c r="AF59" s="3">
        <f t="shared" si="11"/>
        <v>1.739130435</v>
      </c>
      <c r="AG59" s="3">
        <f t="shared" si="12"/>
        <v>2.644444444</v>
      </c>
    </row>
    <row r="60">
      <c r="A60" s="1" t="s">
        <v>8</v>
      </c>
      <c r="B60" s="1" t="s">
        <v>375</v>
      </c>
      <c r="C60" s="1" t="s">
        <v>19</v>
      </c>
      <c r="D60" s="1" t="s">
        <v>88</v>
      </c>
      <c r="E60" s="1" t="s">
        <v>58</v>
      </c>
      <c r="F60" s="1" t="s">
        <v>455</v>
      </c>
      <c r="G60" s="1">
        <v>11.5</v>
      </c>
      <c r="H60" s="1" t="s">
        <v>60</v>
      </c>
      <c r="I60" s="1">
        <v>-104.0</v>
      </c>
      <c r="J60" s="1">
        <v>-0.121201755359117</v>
      </c>
      <c r="K60" s="1" t="s">
        <v>61</v>
      </c>
      <c r="L60" s="1" t="s">
        <v>61</v>
      </c>
      <c r="M60" s="1" t="s">
        <v>62</v>
      </c>
      <c r="N60" s="1">
        <v>-126.0</v>
      </c>
      <c r="O60" s="1">
        <v>0.0538891468916264</v>
      </c>
      <c r="P60" s="1" t="s">
        <v>61</v>
      </c>
      <c r="Q60" s="1" t="s">
        <v>61</v>
      </c>
      <c r="R60" s="1">
        <f t="shared" si="1"/>
        <v>0.05388914689</v>
      </c>
      <c r="S60" s="1">
        <f t="shared" si="2"/>
        <v>-126</v>
      </c>
      <c r="T60" s="1">
        <f t="shared" si="3"/>
        <v>1.793650794</v>
      </c>
      <c r="U60" s="1">
        <f t="shared" si="4"/>
        <v>0</v>
      </c>
      <c r="V60" s="3">
        <f t="shared" si="5"/>
        <v>2</v>
      </c>
      <c r="W60" s="3">
        <f t="shared" si="6"/>
        <v>3</v>
      </c>
      <c r="X60" s="3" t="str">
        <f>IFERROR(__xludf.DUMMYFUNCTION("split(B60,"" "")"),"E.")</f>
        <v>E.</v>
      </c>
      <c r="Y60" s="3" t="str">
        <f>IFERROR(__xludf.DUMMYFUNCTION("""COMPUTED_VALUE"""),"Elliott")</f>
        <v>Elliott</v>
      </c>
      <c r="AA60" s="3">
        <v>6.0</v>
      </c>
      <c r="AB60" s="3">
        <f t="shared" si="7"/>
        <v>0</v>
      </c>
      <c r="AC60" s="3">
        <f t="shared" si="8"/>
        <v>1</v>
      </c>
      <c r="AD60" s="3">
        <f t="shared" si="9"/>
        <v>1.587301587</v>
      </c>
      <c r="AE60" s="3">
        <f t="shared" si="10"/>
        <v>1.587301587</v>
      </c>
      <c r="AF60" s="3">
        <f t="shared" si="11"/>
        <v>2.380952381</v>
      </c>
      <c r="AG60" s="3">
        <f t="shared" si="12"/>
        <v>0.4782608696</v>
      </c>
    </row>
    <row r="61">
      <c r="A61" s="1" t="s">
        <v>12</v>
      </c>
      <c r="B61" s="1" t="s">
        <v>375</v>
      </c>
      <c r="C61" s="1" t="s">
        <v>19</v>
      </c>
      <c r="D61" s="1" t="s">
        <v>88</v>
      </c>
      <c r="E61" s="1" t="s">
        <v>58</v>
      </c>
      <c r="F61" s="1" t="s">
        <v>455</v>
      </c>
      <c r="G61" s="1">
        <v>2.5</v>
      </c>
      <c r="H61" s="1" t="s">
        <v>60</v>
      </c>
      <c r="I61" s="1">
        <v>148.0</v>
      </c>
      <c r="J61" s="1">
        <v>-0.104979370277419</v>
      </c>
      <c r="K61" s="1" t="s">
        <v>61</v>
      </c>
      <c r="L61" s="1" t="s">
        <v>61</v>
      </c>
      <c r="M61" s="1" t="s">
        <v>62</v>
      </c>
      <c r="N61" s="1">
        <v>-196.0</v>
      </c>
      <c r="O61" s="1">
        <v>0.0395972706</v>
      </c>
      <c r="P61" s="1" t="s">
        <v>61</v>
      </c>
      <c r="Q61" s="1" t="s">
        <v>61</v>
      </c>
      <c r="R61" s="1">
        <f t="shared" si="1"/>
        <v>0.0395972706</v>
      </c>
      <c r="S61" s="1">
        <f t="shared" si="2"/>
        <v>-196</v>
      </c>
      <c r="T61" s="1">
        <f t="shared" si="3"/>
        <v>1.510204082</v>
      </c>
      <c r="U61" s="1">
        <f t="shared" si="4"/>
        <v>0</v>
      </c>
      <c r="V61" s="3">
        <f t="shared" si="5"/>
        <v>1</v>
      </c>
      <c r="W61" s="3">
        <f t="shared" si="6"/>
        <v>3</v>
      </c>
      <c r="X61" s="3" t="str">
        <f>IFERROR(__xludf.DUMMYFUNCTION("split(B61,"" "")"),"E.")</f>
        <v>E.</v>
      </c>
      <c r="Y61" s="3" t="str">
        <f>IFERROR(__xludf.DUMMYFUNCTION("""COMPUTED_VALUE"""),"Elliott")</f>
        <v>Elliott</v>
      </c>
      <c r="AA61" s="3">
        <v>2.0</v>
      </c>
      <c r="AB61" s="3">
        <f t="shared" si="7"/>
        <v>0</v>
      </c>
      <c r="AC61" s="3">
        <f t="shared" si="8"/>
        <v>1</v>
      </c>
      <c r="AD61" s="3">
        <f t="shared" si="9"/>
        <v>0.5102040816</v>
      </c>
      <c r="AE61" s="3">
        <f t="shared" si="10"/>
        <v>0.5102040816</v>
      </c>
      <c r="AF61" s="3">
        <f t="shared" si="11"/>
        <v>1.530612245</v>
      </c>
      <c r="AG61" s="3">
        <f t="shared" si="12"/>
        <v>0.2</v>
      </c>
    </row>
    <row r="62">
      <c r="A62" s="1" t="s">
        <v>14</v>
      </c>
      <c r="B62" s="1" t="s">
        <v>251</v>
      </c>
      <c r="C62" s="1" t="s">
        <v>21</v>
      </c>
      <c r="D62" s="1" t="s">
        <v>88</v>
      </c>
      <c r="E62" s="1" t="s">
        <v>58</v>
      </c>
      <c r="F62" s="1" t="s">
        <v>455</v>
      </c>
      <c r="G62" s="1">
        <v>1.5</v>
      </c>
      <c r="H62" s="1" t="s">
        <v>60</v>
      </c>
      <c r="I62" s="1">
        <v>-142.0</v>
      </c>
      <c r="J62" s="1">
        <v>-0.105176859504132</v>
      </c>
      <c r="K62" s="1" t="s">
        <v>61</v>
      </c>
      <c r="L62" s="1" t="s">
        <v>61</v>
      </c>
      <c r="M62" s="1" t="s">
        <v>62</v>
      </c>
      <c r="N62" s="1">
        <v>108.0</v>
      </c>
      <c r="O62" s="1">
        <v>0.0376307692307692</v>
      </c>
      <c r="P62" s="1" t="s">
        <v>61</v>
      </c>
      <c r="Q62" s="1" t="s">
        <v>61</v>
      </c>
      <c r="R62" s="1">
        <f t="shared" si="1"/>
        <v>0.03763076923</v>
      </c>
      <c r="S62" s="1">
        <f t="shared" si="2"/>
        <v>108</v>
      </c>
      <c r="T62" s="1">
        <f t="shared" si="3"/>
        <v>2.08</v>
      </c>
      <c r="U62" s="1">
        <f t="shared" si="4"/>
        <v>0</v>
      </c>
      <c r="V62" s="3">
        <f t="shared" si="5"/>
        <v>1</v>
      </c>
      <c r="W62" s="3">
        <f t="shared" si="6"/>
        <v>2</v>
      </c>
      <c r="X62" s="3" t="str">
        <f>IFERROR(__xludf.DUMMYFUNCTION("split(B62,"" "")"),"D.")</f>
        <v>D.</v>
      </c>
      <c r="Y62" s="3" t="str">
        <f>IFERROR(__xludf.DUMMYFUNCTION("""COMPUTED_VALUE"""),"Prescott")</f>
        <v>Prescott</v>
      </c>
      <c r="AA62" s="3">
        <v>1.0</v>
      </c>
      <c r="AB62" s="3">
        <f t="shared" si="7"/>
        <v>0</v>
      </c>
      <c r="AC62" s="3">
        <f t="shared" si="8"/>
        <v>1</v>
      </c>
      <c r="AD62" s="3">
        <f t="shared" si="9"/>
        <v>1.08</v>
      </c>
      <c r="AE62" s="3">
        <f t="shared" si="10"/>
        <v>1.08</v>
      </c>
      <c r="AF62" s="3">
        <f t="shared" si="11"/>
        <v>2.16</v>
      </c>
      <c r="AG62" s="3">
        <f t="shared" si="12"/>
        <v>0.3333333333</v>
      </c>
    </row>
    <row r="63">
      <c r="A63" s="1" t="s">
        <v>9</v>
      </c>
      <c r="B63" s="1" t="s">
        <v>395</v>
      </c>
      <c r="C63" s="1" t="s">
        <v>18</v>
      </c>
      <c r="D63" s="1" t="s">
        <v>88</v>
      </c>
      <c r="E63" s="1" t="s">
        <v>58</v>
      </c>
      <c r="F63" s="1" t="s">
        <v>455</v>
      </c>
      <c r="G63" s="1">
        <v>94.5</v>
      </c>
      <c r="H63" s="1" t="s">
        <v>60</v>
      </c>
      <c r="I63" s="1">
        <v>-117.0</v>
      </c>
      <c r="J63" s="1">
        <v>-0.0975673630618678</v>
      </c>
      <c r="K63" s="1" t="s">
        <v>61</v>
      </c>
      <c r="L63" s="1" t="s">
        <v>61</v>
      </c>
      <c r="M63" s="1" t="s">
        <v>62</v>
      </c>
      <c r="N63" s="1">
        <v>-115.0</v>
      </c>
      <c r="O63" s="1">
        <v>0.0235120533139726</v>
      </c>
      <c r="P63" s="1" t="s">
        <v>61</v>
      </c>
      <c r="Q63" s="1" t="s">
        <v>61</v>
      </c>
      <c r="R63" s="1">
        <f t="shared" si="1"/>
        <v>0.02351205331</v>
      </c>
      <c r="S63" s="1">
        <f t="shared" si="2"/>
        <v>-115</v>
      </c>
      <c r="T63" s="1">
        <f t="shared" si="3"/>
        <v>1.869565217</v>
      </c>
      <c r="U63" s="1">
        <f t="shared" si="4"/>
        <v>0</v>
      </c>
      <c r="V63" s="3">
        <f t="shared" si="5"/>
        <v>1</v>
      </c>
      <c r="W63" s="3">
        <f t="shared" si="6"/>
        <v>2</v>
      </c>
      <c r="X63" s="3" t="str">
        <f>IFERROR(__xludf.DUMMYFUNCTION("split(B63,"" "")"),"C.")</f>
        <v>C.</v>
      </c>
      <c r="Y63" s="3" t="str">
        <f>IFERROR(__xludf.DUMMYFUNCTION("""COMPUTED_VALUE"""),"Lamb")</f>
        <v>Lamb</v>
      </c>
      <c r="AA63" s="3">
        <v>90.0</v>
      </c>
      <c r="AB63" s="3">
        <f t="shared" si="7"/>
        <v>0</v>
      </c>
      <c r="AC63" s="3">
        <f t="shared" si="8"/>
        <v>1</v>
      </c>
      <c r="AD63" s="3">
        <f t="shared" si="9"/>
        <v>0.8695652174</v>
      </c>
      <c r="AE63" s="3">
        <f t="shared" si="10"/>
        <v>0.8695652174</v>
      </c>
      <c r="AF63" s="3">
        <f t="shared" si="11"/>
        <v>1.739130435</v>
      </c>
      <c r="AG63" s="3">
        <f t="shared" si="12"/>
        <v>0.04761904762</v>
      </c>
    </row>
    <row r="64">
      <c r="A64" s="1" t="s">
        <v>10</v>
      </c>
      <c r="B64" s="1" t="s">
        <v>375</v>
      </c>
      <c r="C64" s="1" t="s">
        <v>19</v>
      </c>
      <c r="D64" s="1" t="s">
        <v>88</v>
      </c>
      <c r="E64" s="1" t="s">
        <v>58</v>
      </c>
      <c r="F64" s="1" t="s">
        <v>455</v>
      </c>
      <c r="G64" s="1">
        <v>39.5</v>
      </c>
      <c r="H64" s="1" t="s">
        <v>60</v>
      </c>
      <c r="I64" s="1">
        <v>-119.0</v>
      </c>
      <c r="J64" s="1">
        <v>-0.0912464614031276</v>
      </c>
      <c r="K64" s="1" t="s">
        <v>61</v>
      </c>
      <c r="L64" s="1" t="s">
        <v>61</v>
      </c>
      <c r="M64" s="1" t="s">
        <v>62</v>
      </c>
      <c r="N64" s="1">
        <v>-111.0</v>
      </c>
      <c r="O64" s="1">
        <v>0.0218412807859209</v>
      </c>
      <c r="P64" s="1" t="s">
        <v>61</v>
      </c>
      <c r="Q64" s="1" t="s">
        <v>61</v>
      </c>
      <c r="R64" s="1">
        <f t="shared" si="1"/>
        <v>0.02184128079</v>
      </c>
      <c r="S64" s="1">
        <f t="shared" si="2"/>
        <v>-111</v>
      </c>
      <c r="T64" s="1">
        <f t="shared" si="3"/>
        <v>1.900900901</v>
      </c>
      <c r="U64" s="1">
        <f t="shared" si="4"/>
        <v>0</v>
      </c>
      <c r="V64" s="3">
        <f t="shared" si="5"/>
        <v>1</v>
      </c>
      <c r="W64" s="3">
        <f t="shared" si="6"/>
        <v>2</v>
      </c>
      <c r="X64" s="3" t="str">
        <f>IFERROR(__xludf.DUMMYFUNCTION("split(B64,"" "")"),"E.")</f>
        <v>E.</v>
      </c>
      <c r="Y64" s="3" t="str">
        <f>IFERROR(__xludf.DUMMYFUNCTION("""COMPUTED_VALUE"""),"Elliott")</f>
        <v>Elliott</v>
      </c>
      <c r="AA64" s="3">
        <v>16.0</v>
      </c>
      <c r="AB64" s="3">
        <f t="shared" si="7"/>
        <v>0</v>
      </c>
      <c r="AC64" s="3">
        <f t="shared" si="8"/>
        <v>1</v>
      </c>
      <c r="AD64" s="3">
        <f t="shared" si="9"/>
        <v>0.9009009009</v>
      </c>
      <c r="AE64" s="3">
        <f t="shared" si="10"/>
        <v>0.9009009009</v>
      </c>
      <c r="AF64" s="3">
        <f t="shared" si="11"/>
        <v>1.801801802</v>
      </c>
      <c r="AG64" s="3">
        <f t="shared" si="12"/>
        <v>0.5949367089</v>
      </c>
    </row>
    <row r="65">
      <c r="A65" s="1" t="s">
        <v>11</v>
      </c>
      <c r="B65" s="1" t="s">
        <v>463</v>
      </c>
      <c r="C65" s="1" t="s">
        <v>18</v>
      </c>
      <c r="D65" s="1" t="s">
        <v>88</v>
      </c>
      <c r="E65" s="1" t="s">
        <v>58</v>
      </c>
      <c r="F65" s="1" t="s">
        <v>455</v>
      </c>
      <c r="G65" s="1">
        <v>46.5</v>
      </c>
      <c r="H65" s="1" t="s">
        <v>60</v>
      </c>
      <c r="I65" s="1">
        <v>-113.0</v>
      </c>
      <c r="J65" s="1">
        <v>-0.0885659159501409</v>
      </c>
      <c r="K65" s="1" t="s">
        <v>61</v>
      </c>
      <c r="L65" s="1" t="s">
        <v>61</v>
      </c>
      <c r="M65" s="1" t="s">
        <v>62</v>
      </c>
      <c r="N65" s="1">
        <v>-116.0</v>
      </c>
      <c r="O65" s="1">
        <v>0.0210187511727222</v>
      </c>
      <c r="P65" s="1" t="s">
        <v>61</v>
      </c>
      <c r="Q65" s="1" t="s">
        <v>61</v>
      </c>
      <c r="R65" s="1">
        <f t="shared" si="1"/>
        <v>0.02101875117</v>
      </c>
      <c r="S65" s="1">
        <f t="shared" si="2"/>
        <v>-116</v>
      </c>
      <c r="T65" s="1">
        <f t="shared" si="3"/>
        <v>1.862068966</v>
      </c>
      <c r="U65" s="1">
        <f t="shared" si="4"/>
        <v>0</v>
      </c>
      <c r="V65" s="3">
        <f t="shared" si="5"/>
        <v>1</v>
      </c>
      <c r="W65" s="3">
        <f t="shared" si="6"/>
        <v>2</v>
      </c>
      <c r="X65" s="3" t="str">
        <f>IFERROR(__xludf.DUMMYFUNCTION("split(B65,"" "")"),"B.")</f>
        <v>B.</v>
      </c>
      <c r="Y65" s="3" t="str">
        <f>IFERROR(__xludf.DUMMYFUNCTION("""COMPUTED_VALUE"""),"Cooks")</f>
        <v>Cooks</v>
      </c>
      <c r="AA65" s="3">
        <v>19.0</v>
      </c>
      <c r="AB65" s="3">
        <f t="shared" si="7"/>
        <v>0</v>
      </c>
      <c r="AC65" s="3">
        <f t="shared" si="8"/>
        <v>1</v>
      </c>
      <c r="AD65" s="3">
        <f t="shared" si="9"/>
        <v>0.8620689655</v>
      </c>
      <c r="AE65" s="3">
        <f t="shared" si="10"/>
        <v>0.8620689655</v>
      </c>
      <c r="AF65" s="3">
        <f t="shared" si="11"/>
        <v>1.724137931</v>
      </c>
      <c r="AG65" s="3">
        <f t="shared" si="12"/>
        <v>0.5913978495</v>
      </c>
    </row>
    <row r="66">
      <c r="A66" s="1" t="s">
        <v>11</v>
      </c>
      <c r="B66" s="1" t="s">
        <v>152</v>
      </c>
      <c r="C66" s="1" t="s">
        <v>19</v>
      </c>
      <c r="D66" s="1" t="s">
        <v>88</v>
      </c>
      <c r="E66" s="1" t="s">
        <v>58</v>
      </c>
      <c r="F66" s="1" t="s">
        <v>455</v>
      </c>
      <c r="G66" s="1">
        <v>9.5</v>
      </c>
      <c r="H66" s="1" t="s">
        <v>60</v>
      </c>
      <c r="I66" s="1">
        <v>-108.0</v>
      </c>
      <c r="J66" s="1">
        <v>0.0194569835815648</v>
      </c>
      <c r="K66" s="1" t="s">
        <v>61</v>
      </c>
      <c r="L66" s="1" t="s">
        <v>61</v>
      </c>
      <c r="M66" s="1" t="s">
        <v>62</v>
      </c>
      <c r="N66" s="1">
        <v>-119.0</v>
      </c>
      <c r="O66" s="1">
        <v>-0.0820260848224151</v>
      </c>
      <c r="P66" s="1" t="s">
        <v>61</v>
      </c>
      <c r="Q66" s="1" t="s">
        <v>61</v>
      </c>
      <c r="R66" s="1">
        <f t="shared" si="1"/>
        <v>0.01945698358</v>
      </c>
      <c r="S66" s="1">
        <f t="shared" si="2"/>
        <v>-108</v>
      </c>
      <c r="T66" s="1">
        <f t="shared" si="3"/>
        <v>1.925925926</v>
      </c>
      <c r="U66" s="1">
        <f t="shared" si="4"/>
        <v>1</v>
      </c>
      <c r="V66" s="3">
        <f t="shared" si="5"/>
        <v>1</v>
      </c>
      <c r="W66" s="3">
        <f t="shared" si="6"/>
        <v>2</v>
      </c>
      <c r="X66" s="3" t="str">
        <f>IFERROR(__xludf.DUMMYFUNCTION("split(B66,"" "")"),"R.")</f>
        <v>R.</v>
      </c>
      <c r="Y66" s="3" t="str">
        <f>IFERROR(__xludf.DUMMYFUNCTION("""COMPUTED_VALUE"""),"Dowdle")</f>
        <v>Dowdle</v>
      </c>
      <c r="AA66" s="3">
        <v>29.0</v>
      </c>
      <c r="AB66" s="3">
        <f t="shared" si="7"/>
        <v>1</v>
      </c>
      <c r="AC66" s="3">
        <f t="shared" si="8"/>
        <v>1</v>
      </c>
      <c r="AD66" s="3">
        <f t="shared" si="9"/>
        <v>0.9259259259</v>
      </c>
      <c r="AE66" s="3">
        <f t="shared" si="10"/>
        <v>0.9259259259</v>
      </c>
      <c r="AF66" s="3">
        <f t="shared" si="11"/>
        <v>1.851851852</v>
      </c>
      <c r="AG66" s="3">
        <f t="shared" si="12"/>
        <v>2.052631579</v>
      </c>
    </row>
    <row r="67">
      <c r="A67" s="1" t="s">
        <v>11</v>
      </c>
      <c r="B67" s="1" t="s">
        <v>375</v>
      </c>
      <c r="C67" s="1" t="s">
        <v>19</v>
      </c>
      <c r="D67" s="1" t="s">
        <v>88</v>
      </c>
      <c r="E67" s="1" t="s">
        <v>58</v>
      </c>
      <c r="F67" s="1" t="s">
        <v>455</v>
      </c>
      <c r="G67" s="1">
        <v>10.5</v>
      </c>
      <c r="H67" s="1" t="s">
        <v>60</v>
      </c>
      <c r="I67" s="1">
        <v>-116.0</v>
      </c>
      <c r="J67" s="1">
        <v>0.0010182455682457</v>
      </c>
      <c r="K67" s="1" t="s">
        <v>61</v>
      </c>
      <c r="L67" s="1" t="s">
        <v>61</v>
      </c>
      <c r="M67" s="1" t="s">
        <v>62</v>
      </c>
      <c r="N67" s="1">
        <v>-113.0</v>
      </c>
      <c r="O67" s="1">
        <v>-0.0685360064708799</v>
      </c>
      <c r="P67" s="1" t="s">
        <v>61</v>
      </c>
      <c r="Q67" s="1" t="s">
        <v>61</v>
      </c>
      <c r="R67" s="1">
        <f t="shared" si="1"/>
        <v>0.001018245568</v>
      </c>
      <c r="S67" s="1">
        <f t="shared" si="2"/>
        <v>-116</v>
      </c>
      <c r="T67" s="1">
        <f t="shared" si="3"/>
        <v>1.862068966</v>
      </c>
      <c r="U67" s="1">
        <f t="shared" si="4"/>
        <v>1</v>
      </c>
      <c r="V67" s="3">
        <f t="shared" si="5"/>
        <v>1</v>
      </c>
      <c r="W67" s="3">
        <f t="shared" si="6"/>
        <v>2</v>
      </c>
      <c r="X67" s="3" t="str">
        <f>IFERROR(__xludf.DUMMYFUNCTION("split(B67,"" "")"),"E.")</f>
        <v>E.</v>
      </c>
      <c r="Y67" s="3" t="str">
        <f>IFERROR(__xludf.DUMMYFUNCTION("""COMPUTED_VALUE"""),"Elliott")</f>
        <v>Elliott</v>
      </c>
      <c r="AA67" s="3">
        <v>16.0</v>
      </c>
      <c r="AB67" s="3">
        <f t="shared" si="7"/>
        <v>1</v>
      </c>
      <c r="AC67" s="3">
        <f t="shared" si="8"/>
        <v>1</v>
      </c>
      <c r="AD67" s="3">
        <f t="shared" si="9"/>
        <v>0.8620689655</v>
      </c>
      <c r="AE67" s="3">
        <f t="shared" si="10"/>
        <v>0.8620689655</v>
      </c>
      <c r="AF67" s="3">
        <f t="shared" si="11"/>
        <v>1.724137931</v>
      </c>
      <c r="AG67" s="3">
        <f t="shared" si="12"/>
        <v>0.5238095238</v>
      </c>
    </row>
    <row r="68">
      <c r="A68" s="1" t="s">
        <v>8</v>
      </c>
      <c r="B68" s="1" t="s">
        <v>464</v>
      </c>
      <c r="C68" s="1" t="s">
        <v>21</v>
      </c>
      <c r="D68" s="1" t="s">
        <v>83</v>
      </c>
      <c r="E68" s="1" t="s">
        <v>110</v>
      </c>
      <c r="F68" s="1" t="s">
        <v>461</v>
      </c>
      <c r="G68" s="1">
        <v>4.5</v>
      </c>
      <c r="H68" s="1" t="s">
        <v>60</v>
      </c>
      <c r="I68" s="1">
        <v>-160.0</v>
      </c>
      <c r="J68" s="1">
        <v>-0.234513137084698</v>
      </c>
      <c r="K68" s="1" t="s">
        <v>61</v>
      </c>
      <c r="L68" s="1" t="s">
        <v>61</v>
      </c>
      <c r="M68" s="1" t="s">
        <v>62</v>
      </c>
      <c r="N68" s="1">
        <v>120.0</v>
      </c>
      <c r="O68" s="1">
        <v>0.164588252918279</v>
      </c>
      <c r="P68" s="1" t="s">
        <v>61</v>
      </c>
      <c r="Q68" s="1" t="s">
        <v>61</v>
      </c>
      <c r="R68" s="1">
        <f t="shared" si="1"/>
        <v>0.1645882529</v>
      </c>
      <c r="S68" s="1">
        <f t="shared" si="2"/>
        <v>120</v>
      </c>
      <c r="T68" s="1">
        <f t="shared" si="3"/>
        <v>2.2</v>
      </c>
      <c r="U68" s="1">
        <f t="shared" si="4"/>
        <v>0</v>
      </c>
      <c r="V68" s="3">
        <f t="shared" si="5"/>
        <v>3</v>
      </c>
      <c r="W68" s="3">
        <f t="shared" si="6"/>
        <v>1</v>
      </c>
      <c r="X68" s="3" t="str">
        <f>IFERROR(__xludf.DUMMYFUNCTION("split(B68,"" "")"),"B.")</f>
        <v>B.</v>
      </c>
      <c r="Y68" s="3" t="str">
        <f>IFERROR(__xludf.DUMMYFUNCTION("""COMPUTED_VALUE"""),"Nix")</f>
        <v>Nix</v>
      </c>
      <c r="AA68" s="3">
        <v>4.0</v>
      </c>
      <c r="AB68" s="3">
        <f t="shared" si="7"/>
        <v>0</v>
      </c>
      <c r="AC68" s="3">
        <f t="shared" si="8"/>
        <v>1</v>
      </c>
      <c r="AD68" s="3">
        <f t="shared" si="9"/>
        <v>3.6</v>
      </c>
      <c r="AE68" s="3">
        <f t="shared" si="10"/>
        <v>3.6</v>
      </c>
      <c r="AF68" s="3">
        <f t="shared" si="11"/>
        <v>1.2</v>
      </c>
      <c r="AG68" s="3">
        <f t="shared" si="12"/>
        <v>0.1111111111</v>
      </c>
    </row>
    <row r="69">
      <c r="A69" s="1" t="s">
        <v>13</v>
      </c>
      <c r="B69" s="1" t="s">
        <v>464</v>
      </c>
      <c r="C69" s="1" t="s">
        <v>21</v>
      </c>
      <c r="D69" s="1" t="s">
        <v>83</v>
      </c>
      <c r="E69" s="1" t="s">
        <v>110</v>
      </c>
      <c r="F69" s="1" t="s">
        <v>461</v>
      </c>
      <c r="G69" s="1">
        <v>175.5</v>
      </c>
      <c r="H69" s="1" t="s">
        <v>60</v>
      </c>
      <c r="I69" s="1">
        <v>-117.0</v>
      </c>
      <c r="J69" s="1">
        <v>0.0373833128110598</v>
      </c>
      <c r="K69" s="1" t="s">
        <v>61</v>
      </c>
      <c r="L69" s="1" t="s">
        <v>61</v>
      </c>
      <c r="M69" s="1" t="s">
        <v>62</v>
      </c>
      <c r="N69" s="1">
        <v>-115.0</v>
      </c>
      <c r="O69" s="1">
        <v>-0.111333700986046</v>
      </c>
      <c r="P69" s="1" t="s">
        <v>61</v>
      </c>
      <c r="Q69" s="1" t="s">
        <v>61</v>
      </c>
      <c r="R69" s="1">
        <f t="shared" si="1"/>
        <v>0.03738331281</v>
      </c>
      <c r="S69" s="1">
        <f t="shared" si="2"/>
        <v>-117</v>
      </c>
      <c r="T69" s="1">
        <f t="shared" si="3"/>
        <v>1.854700855</v>
      </c>
      <c r="U69" s="1">
        <f t="shared" si="4"/>
        <v>1</v>
      </c>
      <c r="V69" s="3">
        <f t="shared" si="5"/>
        <v>1</v>
      </c>
      <c r="W69" s="3">
        <f t="shared" si="6"/>
        <v>2</v>
      </c>
      <c r="X69" s="3" t="str">
        <f>IFERROR(__xludf.DUMMYFUNCTION("split(B69,"" "")"),"B.")</f>
        <v>B.</v>
      </c>
      <c r="Y69" s="3" t="str">
        <f>IFERROR(__xludf.DUMMYFUNCTION("""COMPUTED_VALUE"""),"Nix")</f>
        <v>Nix</v>
      </c>
      <c r="AA69" s="3">
        <v>246.0</v>
      </c>
      <c r="AB69" s="3">
        <f t="shared" si="7"/>
        <v>1</v>
      </c>
      <c r="AC69" s="3">
        <f t="shared" si="8"/>
        <v>1</v>
      </c>
      <c r="AD69" s="3">
        <f t="shared" si="9"/>
        <v>0.8547008547</v>
      </c>
      <c r="AE69" s="3">
        <f t="shared" si="10"/>
        <v>0.8547008547</v>
      </c>
      <c r="AF69" s="3">
        <f t="shared" si="11"/>
        <v>1.709401709</v>
      </c>
      <c r="AG69" s="3">
        <f t="shared" si="12"/>
        <v>0.4017094017</v>
      </c>
    </row>
    <row r="70">
      <c r="A70" s="1" t="s">
        <v>14</v>
      </c>
      <c r="B70" s="1" t="s">
        <v>464</v>
      </c>
      <c r="C70" s="1" t="s">
        <v>21</v>
      </c>
      <c r="D70" s="1" t="s">
        <v>83</v>
      </c>
      <c r="E70" s="1" t="s">
        <v>110</v>
      </c>
      <c r="F70" s="1" t="s">
        <v>461</v>
      </c>
      <c r="G70" s="1">
        <v>0.5</v>
      </c>
      <c r="H70" s="1" t="s">
        <v>60</v>
      </c>
      <c r="I70" s="1">
        <v>-157.0</v>
      </c>
      <c r="J70" s="1">
        <v>-0.0953919375486381</v>
      </c>
      <c r="K70" s="1" t="s">
        <v>61</v>
      </c>
      <c r="L70" s="1" t="s">
        <v>61</v>
      </c>
      <c r="M70" s="1" t="s">
        <v>62</v>
      </c>
      <c r="N70" s="1">
        <v>117.0</v>
      </c>
      <c r="O70" s="1">
        <v>0.0236669490783409</v>
      </c>
      <c r="P70" s="1" t="s">
        <v>61</v>
      </c>
      <c r="Q70" s="1" t="s">
        <v>61</v>
      </c>
      <c r="R70" s="1">
        <f t="shared" si="1"/>
        <v>0.02366694908</v>
      </c>
      <c r="S70" s="1">
        <f t="shared" si="2"/>
        <v>117</v>
      </c>
      <c r="T70" s="1">
        <f t="shared" si="3"/>
        <v>2.17</v>
      </c>
      <c r="U70" s="1">
        <f t="shared" si="4"/>
        <v>0</v>
      </c>
      <c r="V70" s="3">
        <f t="shared" si="5"/>
        <v>1</v>
      </c>
      <c r="W70" s="3">
        <f t="shared" si="6"/>
        <v>1</v>
      </c>
      <c r="X70" s="3" t="str">
        <f>IFERROR(__xludf.DUMMYFUNCTION("split(B70,"" "")"),"B.")</f>
        <v>B.</v>
      </c>
      <c r="Y70" s="3" t="str">
        <f>IFERROR(__xludf.DUMMYFUNCTION("""COMPUTED_VALUE"""),"Nix")</f>
        <v>Nix</v>
      </c>
      <c r="AA70" s="3">
        <v>0.0</v>
      </c>
      <c r="AB70" s="3">
        <f t="shared" si="7"/>
        <v>0</v>
      </c>
      <c r="AC70" s="3">
        <f t="shared" si="8"/>
        <v>1</v>
      </c>
      <c r="AD70" s="3">
        <f t="shared" si="9"/>
        <v>1.17</v>
      </c>
      <c r="AE70" s="3">
        <f t="shared" si="10"/>
        <v>1.17</v>
      </c>
      <c r="AF70" s="3">
        <f t="shared" si="11"/>
        <v>1.17</v>
      </c>
      <c r="AG70" s="3">
        <f t="shared" si="12"/>
        <v>1</v>
      </c>
    </row>
    <row r="71">
      <c r="A71" s="1" t="s">
        <v>10</v>
      </c>
      <c r="B71" s="1" t="s">
        <v>465</v>
      </c>
      <c r="C71" s="1" t="s">
        <v>19</v>
      </c>
      <c r="D71" s="1" t="s">
        <v>83</v>
      </c>
      <c r="E71" s="1" t="s">
        <v>110</v>
      </c>
      <c r="F71" s="1" t="s">
        <v>461</v>
      </c>
      <c r="G71" s="1">
        <v>23.5</v>
      </c>
      <c r="H71" s="1" t="s">
        <v>60</v>
      </c>
      <c r="I71" s="1">
        <v>-118.0</v>
      </c>
      <c r="J71" s="1">
        <v>-0.0940214370255259</v>
      </c>
      <c r="K71" s="1" t="s">
        <v>61</v>
      </c>
      <c r="L71" s="1" t="s">
        <v>61</v>
      </c>
      <c r="M71" s="1" t="s">
        <v>62</v>
      </c>
      <c r="N71" s="1">
        <v>-114.0</v>
      </c>
      <c r="O71" s="1">
        <v>0.0200327267737556</v>
      </c>
      <c r="P71" s="1" t="s">
        <v>61</v>
      </c>
      <c r="Q71" s="1" t="s">
        <v>61</v>
      </c>
      <c r="R71" s="1">
        <f t="shared" si="1"/>
        <v>0.02003272677</v>
      </c>
      <c r="S71" s="1">
        <f t="shared" si="2"/>
        <v>-114</v>
      </c>
      <c r="T71" s="1">
        <f t="shared" si="3"/>
        <v>1.877192982</v>
      </c>
      <c r="U71" s="1">
        <f t="shared" si="4"/>
        <v>0</v>
      </c>
      <c r="V71" s="3">
        <f t="shared" si="5"/>
        <v>1</v>
      </c>
      <c r="W71" s="3">
        <f t="shared" si="6"/>
        <v>2</v>
      </c>
      <c r="X71" s="3" t="str">
        <f>IFERROR(__xludf.DUMMYFUNCTION("split(B71,"" "")"),"J.")</f>
        <v>J.</v>
      </c>
      <c r="Y71" s="3" t="str">
        <f>IFERROR(__xludf.DUMMYFUNCTION("""COMPUTED_VALUE"""),"McLaughlin")</f>
        <v>McLaughlin</v>
      </c>
      <c r="AA71" s="3">
        <v>6.0</v>
      </c>
      <c r="AB71" s="3">
        <f t="shared" si="7"/>
        <v>0</v>
      </c>
      <c r="AC71" s="3">
        <f t="shared" si="8"/>
        <v>1</v>
      </c>
      <c r="AD71" s="3">
        <f t="shared" si="9"/>
        <v>0.8771929825</v>
      </c>
      <c r="AE71" s="3">
        <f t="shared" si="10"/>
        <v>0.8771929825</v>
      </c>
      <c r="AF71" s="3">
        <f t="shared" si="11"/>
        <v>1.754385965</v>
      </c>
      <c r="AG71" s="3">
        <f t="shared" si="12"/>
        <v>0.7446808511</v>
      </c>
    </row>
    <row r="72">
      <c r="A72" s="1" t="s">
        <v>11</v>
      </c>
      <c r="B72" s="1" t="s">
        <v>465</v>
      </c>
      <c r="C72" s="1" t="s">
        <v>19</v>
      </c>
      <c r="D72" s="1" t="s">
        <v>83</v>
      </c>
      <c r="E72" s="1" t="s">
        <v>110</v>
      </c>
      <c r="F72" s="1" t="s">
        <v>461</v>
      </c>
      <c r="G72" s="1">
        <v>17.5</v>
      </c>
      <c r="H72" s="1" t="s">
        <v>60</v>
      </c>
      <c r="I72" s="1">
        <v>-120.0</v>
      </c>
      <c r="J72" s="1">
        <v>-0.0927983800840636</v>
      </c>
      <c r="K72" s="1" t="s">
        <v>61</v>
      </c>
      <c r="L72" s="1" t="s">
        <v>61</v>
      </c>
      <c r="M72" s="1" t="s">
        <v>62</v>
      </c>
      <c r="N72" s="1">
        <v>-113.0</v>
      </c>
      <c r="O72" s="1">
        <v>0.0168848699009306</v>
      </c>
      <c r="P72" s="1" t="s">
        <v>61</v>
      </c>
      <c r="Q72" s="1" t="s">
        <v>61</v>
      </c>
      <c r="R72" s="1">
        <f t="shared" si="1"/>
        <v>0.0168848699</v>
      </c>
      <c r="S72" s="1">
        <f t="shared" si="2"/>
        <v>-113</v>
      </c>
      <c r="T72" s="1">
        <f t="shared" si="3"/>
        <v>1.884955752</v>
      </c>
      <c r="U72" s="1">
        <f t="shared" si="4"/>
        <v>0</v>
      </c>
      <c r="V72" s="3">
        <f t="shared" si="5"/>
        <v>1</v>
      </c>
      <c r="W72" s="3">
        <f t="shared" si="6"/>
        <v>2</v>
      </c>
      <c r="X72" s="3" t="str">
        <f>IFERROR(__xludf.DUMMYFUNCTION("split(B72,"" "")"),"J.")</f>
        <v>J.</v>
      </c>
      <c r="Y72" s="3" t="str">
        <f>IFERROR(__xludf.DUMMYFUNCTION("""COMPUTED_VALUE"""),"McLaughlin")</f>
        <v>McLaughlin</v>
      </c>
      <c r="AA72" s="3">
        <v>0.0</v>
      </c>
      <c r="AB72" s="3">
        <f t="shared" si="7"/>
        <v>0</v>
      </c>
      <c r="AC72" s="3">
        <f t="shared" si="8"/>
        <v>1</v>
      </c>
      <c r="AD72" s="3">
        <f t="shared" si="9"/>
        <v>0.8849557522</v>
      </c>
      <c r="AE72" s="3">
        <f t="shared" si="10"/>
        <v>0.8849557522</v>
      </c>
      <c r="AF72" s="3">
        <f t="shared" si="11"/>
        <v>1.769911504</v>
      </c>
      <c r="AG72" s="3">
        <f t="shared" si="12"/>
        <v>1</v>
      </c>
    </row>
    <row r="73">
      <c r="A73" s="1" t="s">
        <v>8</v>
      </c>
      <c r="B73" s="1" t="s">
        <v>446</v>
      </c>
      <c r="C73" s="1" t="s">
        <v>19</v>
      </c>
      <c r="D73" s="1" t="s">
        <v>197</v>
      </c>
      <c r="E73" s="1" t="s">
        <v>113</v>
      </c>
      <c r="F73" s="1" t="s">
        <v>455</v>
      </c>
      <c r="G73" s="1">
        <v>13.5</v>
      </c>
      <c r="H73" s="1" t="s">
        <v>60</v>
      </c>
      <c r="I73" s="1">
        <v>-125.0</v>
      </c>
      <c r="J73" s="1">
        <v>-0.149342548604889</v>
      </c>
      <c r="K73" s="1" t="s">
        <v>61</v>
      </c>
      <c r="L73" s="1" t="s">
        <v>61</v>
      </c>
      <c r="M73" s="1" t="s">
        <v>62</v>
      </c>
      <c r="N73" s="1">
        <v>-105.0</v>
      </c>
      <c r="O73" s="1">
        <v>0.0816051322336829</v>
      </c>
      <c r="P73" s="1" t="s">
        <v>61</v>
      </c>
      <c r="Q73" s="1" t="s">
        <v>61</v>
      </c>
      <c r="R73" s="1">
        <f t="shared" si="1"/>
        <v>0.08160513223</v>
      </c>
      <c r="S73" s="1">
        <f t="shared" si="2"/>
        <v>-105</v>
      </c>
      <c r="T73" s="1">
        <f t="shared" si="3"/>
        <v>1.952380952</v>
      </c>
      <c r="U73" s="1">
        <f t="shared" si="4"/>
        <v>0</v>
      </c>
      <c r="V73" s="3">
        <f t="shared" si="5"/>
        <v>2</v>
      </c>
      <c r="W73" s="3">
        <f t="shared" si="6"/>
        <v>2</v>
      </c>
      <c r="X73" s="3" t="str">
        <f>IFERROR(__xludf.DUMMYFUNCTION("split(B73,"" "")"),"D.")</f>
        <v>D.</v>
      </c>
      <c r="Y73" s="3" t="str">
        <f>IFERROR(__xludf.DUMMYFUNCTION("""COMPUTED_VALUE"""),"Montgomery")</f>
        <v>Montgomery</v>
      </c>
      <c r="AA73" s="3">
        <v>11.0</v>
      </c>
      <c r="AB73" s="3">
        <f t="shared" si="7"/>
        <v>0</v>
      </c>
      <c r="AC73" s="3">
        <f t="shared" si="8"/>
        <v>1</v>
      </c>
      <c r="AD73" s="3">
        <f t="shared" si="9"/>
        <v>1.904761905</v>
      </c>
      <c r="AE73" s="3">
        <f t="shared" si="10"/>
        <v>1.904761905</v>
      </c>
      <c r="AF73" s="3">
        <f t="shared" si="11"/>
        <v>1.904761905</v>
      </c>
      <c r="AG73" s="3">
        <f t="shared" si="12"/>
        <v>0.1851851852</v>
      </c>
    </row>
    <row r="74">
      <c r="A74" s="1" t="s">
        <v>14</v>
      </c>
      <c r="B74" s="1" t="s">
        <v>241</v>
      </c>
      <c r="C74" s="1" t="s">
        <v>21</v>
      </c>
      <c r="D74" s="1" t="s">
        <v>197</v>
      </c>
      <c r="E74" s="1" t="s">
        <v>113</v>
      </c>
      <c r="F74" s="1" t="s">
        <v>455</v>
      </c>
      <c r="G74" s="1">
        <v>1.5</v>
      </c>
      <c r="H74" s="1" t="s">
        <v>60</v>
      </c>
      <c r="I74" s="1">
        <v>-160.0</v>
      </c>
      <c r="J74" s="1">
        <v>-0.143884615384615</v>
      </c>
      <c r="K74" s="1" t="s">
        <v>61</v>
      </c>
      <c r="L74" s="1" t="s">
        <v>61</v>
      </c>
      <c r="M74" s="1" t="s">
        <v>62</v>
      </c>
      <c r="N74" s="1">
        <v>121.0</v>
      </c>
      <c r="O74" s="1">
        <v>0.0760113122171945</v>
      </c>
      <c r="P74" s="1" t="s">
        <v>61</v>
      </c>
      <c r="Q74" s="1" t="s">
        <v>61</v>
      </c>
      <c r="R74" s="1">
        <f t="shared" si="1"/>
        <v>0.07601131222</v>
      </c>
      <c r="S74" s="1">
        <f t="shared" si="2"/>
        <v>121</v>
      </c>
      <c r="T74" s="1">
        <f t="shared" si="3"/>
        <v>2.21</v>
      </c>
      <c r="U74" s="1">
        <f t="shared" si="4"/>
        <v>0</v>
      </c>
      <c r="V74" s="3">
        <f t="shared" si="5"/>
        <v>2</v>
      </c>
      <c r="W74" s="3">
        <f t="shared" si="6"/>
        <v>1</v>
      </c>
      <c r="X74" s="3" t="str">
        <f>IFERROR(__xludf.DUMMYFUNCTION("split(B74,"" "")"),"J.")</f>
        <v>J.</v>
      </c>
      <c r="Y74" s="3" t="str">
        <f>IFERROR(__xludf.DUMMYFUNCTION("""COMPUTED_VALUE"""),"Goff")</f>
        <v>Goff</v>
      </c>
      <c r="AA74" s="3">
        <v>0.0</v>
      </c>
      <c r="AB74" s="3">
        <f t="shared" si="7"/>
        <v>0</v>
      </c>
      <c r="AC74" s="3">
        <f t="shared" si="8"/>
        <v>1</v>
      </c>
      <c r="AD74" s="3">
        <f t="shared" si="9"/>
        <v>2.42</v>
      </c>
      <c r="AE74" s="3">
        <f t="shared" si="10"/>
        <v>2.42</v>
      </c>
      <c r="AF74" s="3">
        <f t="shared" si="11"/>
        <v>1.21</v>
      </c>
      <c r="AG74" s="3">
        <f t="shared" si="12"/>
        <v>1</v>
      </c>
    </row>
    <row r="75">
      <c r="A75" s="1" t="s">
        <v>12</v>
      </c>
      <c r="B75" s="1" t="s">
        <v>385</v>
      </c>
      <c r="C75" s="1" t="s">
        <v>18</v>
      </c>
      <c r="D75" s="1" t="s">
        <v>197</v>
      </c>
      <c r="E75" s="1" t="s">
        <v>113</v>
      </c>
      <c r="F75" s="1" t="s">
        <v>455</v>
      </c>
      <c r="G75" s="1">
        <v>6.5</v>
      </c>
      <c r="H75" s="1" t="s">
        <v>60</v>
      </c>
      <c r="I75" s="1">
        <v>-142.0</v>
      </c>
      <c r="J75" s="1">
        <v>0.0689818181818181</v>
      </c>
      <c r="K75" s="1" t="s">
        <v>61</v>
      </c>
      <c r="L75" s="1" t="s">
        <v>61</v>
      </c>
      <c r="M75" s="1" t="s">
        <v>62</v>
      </c>
      <c r="N75" s="1">
        <v>109.0</v>
      </c>
      <c r="O75" s="1">
        <v>-0.134221052631579</v>
      </c>
      <c r="P75" s="1" t="s">
        <v>61</v>
      </c>
      <c r="Q75" s="1" t="s">
        <v>61</v>
      </c>
      <c r="R75" s="1">
        <f t="shared" si="1"/>
        <v>0.06898181818</v>
      </c>
      <c r="S75" s="1">
        <f t="shared" si="2"/>
        <v>-142</v>
      </c>
      <c r="T75" s="1">
        <f t="shared" si="3"/>
        <v>1.704225352</v>
      </c>
      <c r="U75" s="1">
        <f t="shared" si="4"/>
        <v>1</v>
      </c>
      <c r="V75" s="3">
        <f t="shared" si="5"/>
        <v>2</v>
      </c>
      <c r="W75" s="3">
        <f t="shared" si="6"/>
        <v>3</v>
      </c>
      <c r="X75" s="3" t="str">
        <f>IFERROR(__xludf.DUMMYFUNCTION("split(B75,"" "")"),"A.")</f>
        <v>A.</v>
      </c>
      <c r="Y75" s="3" t="str">
        <f>IFERROR(__xludf.DUMMYFUNCTION("""COMPUTED_VALUE"""),"St.")</f>
        <v>St.</v>
      </c>
      <c r="Z75" s="3" t="str">
        <f>IFERROR(__xludf.DUMMYFUNCTION("""COMPUTED_VALUE"""),"Brown")</f>
        <v>Brown</v>
      </c>
      <c r="AA75" s="3">
        <v>11.0</v>
      </c>
      <c r="AB75" s="3">
        <f t="shared" si="7"/>
        <v>1</v>
      </c>
      <c r="AC75" s="3">
        <f t="shared" si="8"/>
        <v>1</v>
      </c>
      <c r="AD75" s="3">
        <f t="shared" si="9"/>
        <v>1.408450704</v>
      </c>
      <c r="AE75" s="3">
        <f t="shared" si="10"/>
        <v>1.408450704</v>
      </c>
      <c r="AF75" s="3">
        <f t="shared" si="11"/>
        <v>2.112676056</v>
      </c>
      <c r="AG75" s="3">
        <f t="shared" si="12"/>
        <v>0.6923076923</v>
      </c>
    </row>
    <row r="76">
      <c r="A76" s="1" t="s">
        <v>15</v>
      </c>
      <c r="B76" s="1" t="s">
        <v>241</v>
      </c>
      <c r="C76" s="1" t="s">
        <v>21</v>
      </c>
      <c r="D76" s="1" t="s">
        <v>197</v>
      </c>
      <c r="E76" s="1" t="s">
        <v>113</v>
      </c>
      <c r="F76" s="1" t="s">
        <v>455</v>
      </c>
      <c r="G76" s="1">
        <v>23.5</v>
      </c>
      <c r="H76" s="1" t="s">
        <v>60</v>
      </c>
      <c r="I76" s="1">
        <v>101.0</v>
      </c>
      <c r="J76" s="1">
        <v>0.0315870646766168</v>
      </c>
      <c r="K76" s="1" t="s">
        <v>61</v>
      </c>
      <c r="L76" s="1" t="s">
        <v>61</v>
      </c>
      <c r="M76" s="1" t="s">
        <v>62</v>
      </c>
      <c r="N76" s="1">
        <v>-131.0</v>
      </c>
      <c r="O76" s="1">
        <v>-0.0961861471861471</v>
      </c>
      <c r="P76" s="1" t="s">
        <v>61</v>
      </c>
      <c r="Q76" s="1" t="s">
        <v>61</v>
      </c>
      <c r="R76" s="1">
        <f t="shared" si="1"/>
        <v>0.03158706468</v>
      </c>
      <c r="S76" s="1">
        <f t="shared" si="2"/>
        <v>101</v>
      </c>
      <c r="T76" s="1">
        <f t="shared" si="3"/>
        <v>2.01</v>
      </c>
      <c r="U76" s="1">
        <f t="shared" si="4"/>
        <v>1</v>
      </c>
      <c r="V76" s="3">
        <f t="shared" si="5"/>
        <v>1</v>
      </c>
      <c r="W76" s="3">
        <f t="shared" si="6"/>
        <v>2</v>
      </c>
      <c r="X76" s="3" t="str">
        <f>IFERROR(__xludf.DUMMYFUNCTION("split(B76,"" "")"),"J.")</f>
        <v>J.</v>
      </c>
      <c r="Y76" s="3" t="str">
        <f>IFERROR(__xludf.DUMMYFUNCTION("""COMPUTED_VALUE"""),"Goff")</f>
        <v>Goff</v>
      </c>
      <c r="AA76" s="3">
        <v>34.0</v>
      </c>
      <c r="AB76" s="3">
        <f t="shared" si="7"/>
        <v>1</v>
      </c>
      <c r="AC76" s="3">
        <f t="shared" si="8"/>
        <v>1</v>
      </c>
      <c r="AD76" s="3">
        <f t="shared" si="9"/>
        <v>1.01</v>
      </c>
      <c r="AE76" s="3">
        <f t="shared" si="10"/>
        <v>1.01</v>
      </c>
      <c r="AF76" s="3">
        <f t="shared" si="11"/>
        <v>2.02</v>
      </c>
      <c r="AG76" s="3">
        <f t="shared" si="12"/>
        <v>0.4468085106</v>
      </c>
    </row>
    <row r="77">
      <c r="A77" s="1" t="s">
        <v>11</v>
      </c>
      <c r="B77" s="1" t="s">
        <v>393</v>
      </c>
      <c r="C77" s="1" t="s">
        <v>19</v>
      </c>
      <c r="D77" s="1" t="s">
        <v>197</v>
      </c>
      <c r="E77" s="1" t="s">
        <v>113</v>
      </c>
      <c r="F77" s="1" t="s">
        <v>455</v>
      </c>
      <c r="G77" s="1">
        <v>27.5</v>
      </c>
      <c r="H77" s="1" t="s">
        <v>60</v>
      </c>
      <c r="I77" s="1">
        <v>-110.0</v>
      </c>
      <c r="J77" s="1">
        <v>-0.0892583131133428</v>
      </c>
      <c r="K77" s="1" t="s">
        <v>61</v>
      </c>
      <c r="L77" s="1" t="s">
        <v>61</v>
      </c>
      <c r="M77" s="1" t="s">
        <v>62</v>
      </c>
      <c r="N77" s="1">
        <v>-119.0</v>
      </c>
      <c r="O77" s="1">
        <v>0.0221331161964584</v>
      </c>
      <c r="P77" s="1" t="s">
        <v>61</v>
      </c>
      <c r="Q77" s="1" t="s">
        <v>61</v>
      </c>
      <c r="R77" s="1">
        <f t="shared" si="1"/>
        <v>0.0221331162</v>
      </c>
      <c r="S77" s="1">
        <f t="shared" si="2"/>
        <v>-119</v>
      </c>
      <c r="T77" s="1">
        <f t="shared" si="3"/>
        <v>1.840336134</v>
      </c>
      <c r="U77" s="1">
        <f t="shared" si="4"/>
        <v>0</v>
      </c>
      <c r="V77" s="3">
        <f t="shared" si="5"/>
        <v>1</v>
      </c>
      <c r="W77" s="3">
        <f t="shared" si="6"/>
        <v>3</v>
      </c>
      <c r="X77" s="3" t="str">
        <f>IFERROR(__xludf.DUMMYFUNCTION("split(B77,"" "")"),"J.")</f>
        <v>J.</v>
      </c>
      <c r="Y77" s="3" t="str">
        <f>IFERROR(__xludf.DUMMYFUNCTION("""COMPUTED_VALUE"""),"Gibbs")</f>
        <v>Gibbs</v>
      </c>
      <c r="AA77" s="3">
        <v>22.0</v>
      </c>
      <c r="AB77" s="3">
        <f t="shared" si="7"/>
        <v>0</v>
      </c>
      <c r="AC77" s="3">
        <f t="shared" si="8"/>
        <v>1</v>
      </c>
      <c r="AD77" s="3">
        <f t="shared" si="9"/>
        <v>0.8403361345</v>
      </c>
      <c r="AE77" s="3">
        <f t="shared" si="10"/>
        <v>0.8403361345</v>
      </c>
      <c r="AF77" s="3">
        <f t="shared" si="11"/>
        <v>2.521008403</v>
      </c>
      <c r="AG77" s="3">
        <f t="shared" si="12"/>
        <v>0.2</v>
      </c>
    </row>
    <row r="78">
      <c r="A78" s="1" t="s">
        <v>16</v>
      </c>
      <c r="B78" s="1" t="s">
        <v>241</v>
      </c>
      <c r="C78" s="1" t="s">
        <v>21</v>
      </c>
      <c r="D78" s="1" t="s">
        <v>197</v>
      </c>
      <c r="E78" s="1" t="s">
        <v>113</v>
      </c>
      <c r="F78" s="1" t="s">
        <v>455</v>
      </c>
      <c r="G78" s="1">
        <v>35.5</v>
      </c>
      <c r="H78" s="1" t="s">
        <v>60</v>
      </c>
      <c r="I78" s="1">
        <v>101.0</v>
      </c>
      <c r="J78" s="1">
        <v>0.00428733354726351</v>
      </c>
      <c r="K78" s="1" t="s">
        <v>61</v>
      </c>
      <c r="L78" s="1" t="s">
        <v>61</v>
      </c>
      <c r="M78" s="1" t="s">
        <v>62</v>
      </c>
      <c r="N78" s="1">
        <v>-131.0</v>
      </c>
      <c r="O78" s="1">
        <v>-0.0688993681515151</v>
      </c>
      <c r="P78" s="1" t="s">
        <v>61</v>
      </c>
      <c r="Q78" s="1" t="s">
        <v>61</v>
      </c>
      <c r="R78" s="1">
        <f t="shared" si="1"/>
        <v>0.004287333547</v>
      </c>
      <c r="S78" s="1">
        <f t="shared" si="2"/>
        <v>101</v>
      </c>
      <c r="T78" s="1">
        <f t="shared" si="3"/>
        <v>2.01</v>
      </c>
      <c r="U78" s="1">
        <f t="shared" si="4"/>
        <v>1</v>
      </c>
      <c r="V78" s="3">
        <f t="shared" si="5"/>
        <v>1</v>
      </c>
      <c r="W78" s="3">
        <f t="shared" si="6"/>
        <v>2</v>
      </c>
      <c r="X78" s="3" t="str">
        <f>IFERROR(__xludf.DUMMYFUNCTION("split(B78,"" "")"),"J.")</f>
        <v>J.</v>
      </c>
      <c r="Y78" s="3" t="str">
        <f>IFERROR(__xludf.DUMMYFUNCTION("""COMPUTED_VALUE"""),"Goff")</f>
        <v>Goff</v>
      </c>
      <c r="AA78" s="3">
        <v>55.0</v>
      </c>
      <c r="AB78" s="3">
        <f t="shared" si="7"/>
        <v>1</v>
      </c>
      <c r="AC78" s="3">
        <f t="shared" si="8"/>
        <v>1</v>
      </c>
      <c r="AD78" s="3">
        <f t="shared" si="9"/>
        <v>1.01</v>
      </c>
      <c r="AE78" s="3">
        <f t="shared" si="10"/>
        <v>1.01</v>
      </c>
      <c r="AF78" s="3">
        <f t="shared" si="11"/>
        <v>2.02</v>
      </c>
      <c r="AG78" s="3">
        <f t="shared" si="12"/>
        <v>0.5492957746</v>
      </c>
    </row>
    <row r="79">
      <c r="A79" s="1" t="s">
        <v>12</v>
      </c>
      <c r="B79" s="1" t="s">
        <v>129</v>
      </c>
      <c r="C79" s="1" t="s">
        <v>18</v>
      </c>
      <c r="D79" s="1" t="s">
        <v>72</v>
      </c>
      <c r="E79" s="1" t="s">
        <v>99</v>
      </c>
      <c r="F79" s="1" t="s">
        <v>460</v>
      </c>
      <c r="G79" s="1">
        <v>3.5</v>
      </c>
      <c r="H79" s="1" t="s">
        <v>60</v>
      </c>
      <c r="I79" s="1">
        <v>-161.0</v>
      </c>
      <c r="J79" s="1">
        <v>-0.225996551724138</v>
      </c>
      <c r="K79" s="1" t="s">
        <v>61</v>
      </c>
      <c r="L79" s="1" t="s">
        <v>61</v>
      </c>
      <c r="M79" s="1" t="s">
        <v>62</v>
      </c>
      <c r="N79" s="1">
        <v>123.0</v>
      </c>
      <c r="O79" s="1">
        <v>0.160714349775784</v>
      </c>
      <c r="P79" s="1" t="s">
        <v>61</v>
      </c>
      <c r="Q79" s="1" t="s">
        <v>61</v>
      </c>
      <c r="R79" s="1">
        <f t="shared" si="1"/>
        <v>0.1607143498</v>
      </c>
      <c r="S79" s="1">
        <f t="shared" si="2"/>
        <v>123</v>
      </c>
      <c r="T79" s="1">
        <f t="shared" si="3"/>
        <v>2.23</v>
      </c>
      <c r="U79" s="1">
        <f t="shared" si="4"/>
        <v>0</v>
      </c>
      <c r="V79" s="3">
        <f t="shared" si="5"/>
        <v>3</v>
      </c>
      <c r="W79" s="3">
        <f t="shared" si="6"/>
        <v>1</v>
      </c>
      <c r="X79" s="3" t="str">
        <f>IFERROR(__xludf.DUMMYFUNCTION("split(B79,"" "")"),"T.")</f>
        <v>T.</v>
      </c>
      <c r="Y79" s="3" t="str">
        <f>IFERROR(__xludf.DUMMYFUNCTION("""COMPUTED_VALUE"""),"Dell")</f>
        <v>Dell</v>
      </c>
      <c r="AA79" s="3">
        <v>1.0</v>
      </c>
      <c r="AB79" s="3">
        <f t="shared" si="7"/>
        <v>0</v>
      </c>
      <c r="AC79" s="3">
        <f t="shared" si="8"/>
        <v>1</v>
      </c>
      <c r="AD79" s="3">
        <f t="shared" si="9"/>
        <v>3.69</v>
      </c>
      <c r="AE79" s="3">
        <f t="shared" si="10"/>
        <v>3.69</v>
      </c>
      <c r="AF79" s="3">
        <f t="shared" si="11"/>
        <v>1.23</v>
      </c>
      <c r="AG79" s="3">
        <f t="shared" si="12"/>
        <v>0.7142857143</v>
      </c>
    </row>
    <row r="80">
      <c r="A80" s="1" t="s">
        <v>8</v>
      </c>
      <c r="B80" s="1" t="s">
        <v>369</v>
      </c>
      <c r="C80" s="1" t="s">
        <v>21</v>
      </c>
      <c r="D80" s="1" t="s">
        <v>72</v>
      </c>
      <c r="E80" s="1" t="s">
        <v>99</v>
      </c>
      <c r="F80" s="1" t="s">
        <v>460</v>
      </c>
      <c r="G80" s="1">
        <v>2.5</v>
      </c>
      <c r="H80" s="1" t="s">
        <v>60</v>
      </c>
      <c r="I80" s="1">
        <v>-126.0</v>
      </c>
      <c r="J80" s="1">
        <v>-0.189346315845681</v>
      </c>
      <c r="K80" s="1" t="s">
        <v>61</v>
      </c>
      <c r="L80" s="1" t="s">
        <v>61</v>
      </c>
      <c r="M80" s="1" t="s">
        <v>62</v>
      </c>
      <c r="N80" s="1">
        <v>-105.0</v>
      </c>
      <c r="O80" s="1">
        <v>0.119648637805756</v>
      </c>
      <c r="P80" s="1" t="s">
        <v>61</v>
      </c>
      <c r="Q80" s="1" t="s">
        <v>61</v>
      </c>
      <c r="R80" s="1">
        <f t="shared" si="1"/>
        <v>0.1196486378</v>
      </c>
      <c r="S80" s="1">
        <f t="shared" si="2"/>
        <v>-105</v>
      </c>
      <c r="T80" s="1">
        <f t="shared" si="3"/>
        <v>1.952380952</v>
      </c>
      <c r="U80" s="1">
        <f t="shared" si="4"/>
        <v>0</v>
      </c>
      <c r="V80" s="3">
        <f t="shared" si="5"/>
        <v>3</v>
      </c>
      <c r="W80" s="3">
        <f t="shared" si="6"/>
        <v>2</v>
      </c>
      <c r="X80" s="3" t="str">
        <f>IFERROR(__xludf.DUMMYFUNCTION("split(B80,"" "")"),"C.")</f>
        <v>C.</v>
      </c>
      <c r="Y80" s="3" t="str">
        <f>IFERROR(__xludf.DUMMYFUNCTION("""COMPUTED_VALUE"""),"Stroud")</f>
        <v>Stroud</v>
      </c>
      <c r="AA80" s="3">
        <v>1.0</v>
      </c>
      <c r="AB80" s="3">
        <f t="shared" si="7"/>
        <v>0</v>
      </c>
      <c r="AC80" s="3">
        <f t="shared" si="8"/>
        <v>1</v>
      </c>
      <c r="AD80" s="3">
        <f t="shared" si="9"/>
        <v>2.857142857</v>
      </c>
      <c r="AE80" s="3">
        <f t="shared" si="10"/>
        <v>2.857142857</v>
      </c>
      <c r="AF80" s="3">
        <f t="shared" si="11"/>
        <v>1.904761905</v>
      </c>
      <c r="AG80" s="3">
        <f t="shared" si="12"/>
        <v>0.6</v>
      </c>
    </row>
    <row r="81">
      <c r="A81" s="1" t="s">
        <v>14</v>
      </c>
      <c r="B81" s="1" t="s">
        <v>369</v>
      </c>
      <c r="C81" s="1" t="s">
        <v>21</v>
      </c>
      <c r="D81" s="1" t="s">
        <v>72</v>
      </c>
      <c r="E81" s="1" t="s">
        <v>99</v>
      </c>
      <c r="F81" s="1" t="s">
        <v>460</v>
      </c>
      <c r="G81" s="1">
        <v>1.5</v>
      </c>
      <c r="H81" s="1" t="s">
        <v>60</v>
      </c>
      <c r="I81" s="1">
        <v>-150.0</v>
      </c>
      <c r="J81" s="1">
        <v>-0.15024</v>
      </c>
      <c r="K81" s="1" t="s">
        <v>61</v>
      </c>
      <c r="L81" s="1" t="s">
        <v>61</v>
      </c>
      <c r="M81" s="1" t="s">
        <v>62</v>
      </c>
      <c r="N81" s="1">
        <v>115.0</v>
      </c>
      <c r="O81" s="1">
        <v>0.0851302325581395</v>
      </c>
      <c r="P81" s="1" t="s">
        <v>61</v>
      </c>
      <c r="Q81" s="1" t="s">
        <v>61</v>
      </c>
      <c r="R81" s="1">
        <f t="shared" si="1"/>
        <v>0.08513023256</v>
      </c>
      <c r="S81" s="1">
        <f t="shared" si="2"/>
        <v>115</v>
      </c>
      <c r="T81" s="1">
        <f t="shared" si="3"/>
        <v>2.15</v>
      </c>
      <c r="U81" s="1">
        <f t="shared" si="4"/>
        <v>0</v>
      </c>
      <c r="V81" s="3">
        <f t="shared" si="5"/>
        <v>2</v>
      </c>
      <c r="W81" s="3">
        <f t="shared" si="6"/>
        <v>1</v>
      </c>
      <c r="X81" s="3" t="str">
        <f>IFERROR(__xludf.DUMMYFUNCTION("split(B81,"" "")"),"C.")</f>
        <v>C.</v>
      </c>
      <c r="Y81" s="3" t="str">
        <f>IFERROR(__xludf.DUMMYFUNCTION("""COMPUTED_VALUE"""),"Stroud")</f>
        <v>Stroud</v>
      </c>
      <c r="AA81" s="3">
        <v>1.0</v>
      </c>
      <c r="AB81" s="3">
        <f t="shared" si="7"/>
        <v>0</v>
      </c>
      <c r="AC81" s="3">
        <f t="shared" si="8"/>
        <v>1</v>
      </c>
      <c r="AD81" s="3">
        <f t="shared" si="9"/>
        <v>2.3</v>
      </c>
      <c r="AE81" s="3">
        <f t="shared" si="10"/>
        <v>2.3</v>
      </c>
      <c r="AF81" s="3">
        <f t="shared" si="11"/>
        <v>1.15</v>
      </c>
      <c r="AG81" s="3">
        <f t="shared" si="12"/>
        <v>0.3333333333</v>
      </c>
    </row>
    <row r="82">
      <c r="A82" s="1" t="s">
        <v>12</v>
      </c>
      <c r="B82" s="1" t="s">
        <v>310</v>
      </c>
      <c r="C82" s="1" t="s">
        <v>18</v>
      </c>
      <c r="D82" s="1" t="s">
        <v>72</v>
      </c>
      <c r="E82" s="1" t="s">
        <v>99</v>
      </c>
      <c r="F82" s="1" t="s">
        <v>460</v>
      </c>
      <c r="G82" s="1">
        <v>4.5</v>
      </c>
      <c r="H82" s="1" t="s">
        <v>60</v>
      </c>
      <c r="I82" s="1">
        <v>-149.0</v>
      </c>
      <c r="J82" s="1">
        <v>-0.148533734939759</v>
      </c>
      <c r="K82" s="1" t="s">
        <v>61</v>
      </c>
      <c r="L82" s="1" t="s">
        <v>61</v>
      </c>
      <c r="M82" s="1" t="s">
        <v>62</v>
      </c>
      <c r="N82" s="1">
        <v>114.0</v>
      </c>
      <c r="O82" s="1">
        <v>0.0828570093457943</v>
      </c>
      <c r="P82" s="1" t="s">
        <v>61</v>
      </c>
      <c r="Q82" s="1" t="s">
        <v>61</v>
      </c>
      <c r="R82" s="1">
        <f t="shared" si="1"/>
        <v>0.08285700935</v>
      </c>
      <c r="S82" s="1">
        <f t="shared" si="2"/>
        <v>114</v>
      </c>
      <c r="T82" s="1">
        <f t="shared" si="3"/>
        <v>2.14</v>
      </c>
      <c r="U82" s="1">
        <f t="shared" si="4"/>
        <v>0</v>
      </c>
      <c r="V82" s="3">
        <f t="shared" si="5"/>
        <v>2</v>
      </c>
      <c r="W82" s="3">
        <f t="shared" si="6"/>
        <v>1</v>
      </c>
      <c r="X82" s="3" t="str">
        <f>IFERROR(__xludf.DUMMYFUNCTION("split(B82,"" "")"),"S.")</f>
        <v>S.</v>
      </c>
      <c r="Y82" s="3" t="str">
        <f>IFERROR(__xludf.DUMMYFUNCTION("""COMPUTED_VALUE"""),"Diggs")</f>
        <v>Diggs</v>
      </c>
      <c r="AA82" s="3">
        <v>4.0</v>
      </c>
      <c r="AB82" s="3">
        <f t="shared" si="7"/>
        <v>0</v>
      </c>
      <c r="AC82" s="3">
        <f t="shared" si="8"/>
        <v>1</v>
      </c>
      <c r="AD82" s="3">
        <f t="shared" si="9"/>
        <v>2.28</v>
      </c>
      <c r="AE82" s="3">
        <f t="shared" si="10"/>
        <v>2.28</v>
      </c>
      <c r="AF82" s="3">
        <f t="shared" si="11"/>
        <v>1.14</v>
      </c>
      <c r="AG82" s="3">
        <f t="shared" si="12"/>
        <v>0.1111111111</v>
      </c>
    </row>
    <row r="83">
      <c r="A83" s="1" t="s">
        <v>9</v>
      </c>
      <c r="B83" s="1" t="s">
        <v>359</v>
      </c>
      <c r="C83" s="1" t="s">
        <v>19</v>
      </c>
      <c r="D83" s="1" t="s">
        <v>72</v>
      </c>
      <c r="E83" s="1" t="s">
        <v>99</v>
      </c>
      <c r="F83" s="1" t="s">
        <v>460</v>
      </c>
      <c r="G83" s="1">
        <v>89.5</v>
      </c>
      <c r="H83" s="1" t="s">
        <v>60</v>
      </c>
      <c r="I83" s="1">
        <v>-115.0</v>
      </c>
      <c r="J83" s="1">
        <v>-0.105181214820936</v>
      </c>
      <c r="K83" s="1" t="s">
        <v>61</v>
      </c>
      <c r="L83" s="1" t="s">
        <v>61</v>
      </c>
      <c r="M83" s="1" t="s">
        <v>62</v>
      </c>
      <c r="N83" s="1">
        <v>-117.0</v>
      </c>
      <c r="O83" s="1">
        <v>0.0312209425333716</v>
      </c>
      <c r="P83" s="1" t="s">
        <v>61</v>
      </c>
      <c r="Q83" s="1" t="s">
        <v>61</v>
      </c>
      <c r="R83" s="1">
        <f t="shared" si="1"/>
        <v>0.03122094253</v>
      </c>
      <c r="S83" s="1">
        <f t="shared" si="2"/>
        <v>-117</v>
      </c>
      <c r="T83" s="1">
        <f t="shared" si="3"/>
        <v>1.854700855</v>
      </c>
      <c r="U83" s="1">
        <f t="shared" si="4"/>
        <v>0</v>
      </c>
      <c r="V83" s="3">
        <f t="shared" si="5"/>
        <v>1</v>
      </c>
      <c r="W83" s="3">
        <f t="shared" si="6"/>
        <v>2</v>
      </c>
      <c r="X83" s="3" t="str">
        <f>IFERROR(__xludf.DUMMYFUNCTION("split(B83,"" "")"),"J.")</f>
        <v>J.</v>
      </c>
      <c r="Y83" s="3" t="str">
        <f>IFERROR(__xludf.DUMMYFUNCTION("""COMPUTED_VALUE"""),"Mixon")</f>
        <v>Mixon</v>
      </c>
      <c r="AA83" s="3">
        <v>50.0</v>
      </c>
      <c r="AB83" s="3">
        <f t="shared" si="7"/>
        <v>0</v>
      </c>
      <c r="AC83" s="3">
        <f t="shared" si="8"/>
        <v>1</v>
      </c>
      <c r="AD83" s="3">
        <f t="shared" si="9"/>
        <v>0.8547008547</v>
      </c>
      <c r="AE83" s="3">
        <f t="shared" si="10"/>
        <v>0.8547008547</v>
      </c>
      <c r="AF83" s="3">
        <f t="shared" si="11"/>
        <v>1.709401709</v>
      </c>
      <c r="AG83" s="3">
        <f t="shared" si="12"/>
        <v>0.4413407821</v>
      </c>
    </row>
    <row r="84">
      <c r="A84" s="1" t="s">
        <v>12</v>
      </c>
      <c r="B84" s="1" t="s">
        <v>410</v>
      </c>
      <c r="C84" s="1" t="s">
        <v>20</v>
      </c>
      <c r="D84" s="1" t="s">
        <v>72</v>
      </c>
      <c r="E84" s="1" t="s">
        <v>99</v>
      </c>
      <c r="F84" s="1" t="s">
        <v>460</v>
      </c>
      <c r="G84" s="1">
        <v>3.5</v>
      </c>
      <c r="H84" s="1" t="s">
        <v>60</v>
      </c>
      <c r="I84" s="1">
        <v>125.0</v>
      </c>
      <c r="J84" s="1">
        <v>-0.0968444444444444</v>
      </c>
      <c r="K84" s="1" t="s">
        <v>61</v>
      </c>
      <c r="L84" s="1" t="s">
        <v>61</v>
      </c>
      <c r="M84" s="1" t="s">
        <v>62</v>
      </c>
      <c r="N84" s="1">
        <v>-165.0</v>
      </c>
      <c r="O84" s="1">
        <v>0.0297584905660377</v>
      </c>
      <c r="P84" s="1" t="s">
        <v>61</v>
      </c>
      <c r="Q84" s="1" t="s">
        <v>61</v>
      </c>
      <c r="R84" s="1">
        <f t="shared" si="1"/>
        <v>0.02975849057</v>
      </c>
      <c r="S84" s="1">
        <f t="shared" si="2"/>
        <v>-165</v>
      </c>
      <c r="T84" s="1">
        <f t="shared" si="3"/>
        <v>1.606060606</v>
      </c>
      <c r="U84" s="1">
        <f t="shared" si="4"/>
        <v>0</v>
      </c>
      <c r="V84" s="3">
        <f t="shared" si="5"/>
        <v>1</v>
      </c>
      <c r="W84" s="3">
        <f t="shared" si="6"/>
        <v>3</v>
      </c>
      <c r="X84" s="3" t="str">
        <f>IFERROR(__xludf.DUMMYFUNCTION("split(B84,"" "")"),"D.")</f>
        <v>D.</v>
      </c>
      <c r="Y84" s="3" t="str">
        <f>IFERROR(__xludf.DUMMYFUNCTION("""COMPUTED_VALUE"""),"Schultz")</f>
        <v>Schultz</v>
      </c>
      <c r="AA84" s="3">
        <v>2.0</v>
      </c>
      <c r="AB84" s="3">
        <f t="shared" si="7"/>
        <v>0</v>
      </c>
      <c r="AC84" s="3">
        <f t="shared" si="8"/>
        <v>1</v>
      </c>
      <c r="AD84" s="3">
        <f t="shared" si="9"/>
        <v>0.6060606061</v>
      </c>
      <c r="AE84" s="3">
        <f t="shared" si="10"/>
        <v>0.6060606061</v>
      </c>
      <c r="AF84" s="3">
        <f t="shared" si="11"/>
        <v>1.818181818</v>
      </c>
      <c r="AG84" s="3">
        <f t="shared" si="12"/>
        <v>0.4285714286</v>
      </c>
    </row>
    <row r="85">
      <c r="A85" s="1" t="s">
        <v>10</v>
      </c>
      <c r="B85" s="1" t="s">
        <v>359</v>
      </c>
      <c r="C85" s="1" t="s">
        <v>19</v>
      </c>
      <c r="D85" s="1" t="s">
        <v>72</v>
      </c>
      <c r="E85" s="1" t="s">
        <v>99</v>
      </c>
      <c r="F85" s="1" t="s">
        <v>460</v>
      </c>
      <c r="G85" s="1">
        <v>67.5</v>
      </c>
      <c r="H85" s="1" t="s">
        <v>60</v>
      </c>
      <c r="I85" s="1">
        <v>-120.0</v>
      </c>
      <c r="J85" s="1">
        <v>-0.095226817755673</v>
      </c>
      <c r="K85" s="1" t="s">
        <v>61</v>
      </c>
      <c r="L85" s="1" t="s">
        <v>61</v>
      </c>
      <c r="M85" s="1" t="s">
        <v>62</v>
      </c>
      <c r="N85" s="1">
        <v>-110.0</v>
      </c>
      <c r="O85" s="1">
        <v>0.0260027028932993</v>
      </c>
      <c r="P85" s="1" t="s">
        <v>61</v>
      </c>
      <c r="Q85" s="1" t="s">
        <v>61</v>
      </c>
      <c r="R85" s="1">
        <f t="shared" si="1"/>
        <v>0.02600270289</v>
      </c>
      <c r="S85" s="1">
        <f t="shared" si="2"/>
        <v>-110</v>
      </c>
      <c r="T85" s="1">
        <f t="shared" si="3"/>
        <v>1.909090909</v>
      </c>
      <c r="U85" s="1">
        <f t="shared" si="4"/>
        <v>0</v>
      </c>
      <c r="V85" s="3">
        <f t="shared" si="5"/>
        <v>1</v>
      </c>
      <c r="W85" s="3">
        <f t="shared" si="6"/>
        <v>2</v>
      </c>
      <c r="X85" s="3" t="str">
        <f>IFERROR(__xludf.DUMMYFUNCTION("split(B85,"" "")"),"J.")</f>
        <v>J.</v>
      </c>
      <c r="Y85" s="3" t="str">
        <f>IFERROR(__xludf.DUMMYFUNCTION("""COMPUTED_VALUE"""),"Mixon")</f>
        <v>Mixon</v>
      </c>
      <c r="AA85" s="3">
        <v>25.0</v>
      </c>
      <c r="AB85" s="3">
        <f t="shared" si="7"/>
        <v>0</v>
      </c>
      <c r="AC85" s="3">
        <f t="shared" si="8"/>
        <v>1</v>
      </c>
      <c r="AD85" s="3">
        <f t="shared" si="9"/>
        <v>0.9090909091</v>
      </c>
      <c r="AE85" s="3">
        <f t="shared" si="10"/>
        <v>0.9090909091</v>
      </c>
      <c r="AF85" s="3">
        <f t="shared" si="11"/>
        <v>1.818181818</v>
      </c>
      <c r="AG85" s="3">
        <f t="shared" si="12"/>
        <v>0.6296296296</v>
      </c>
    </row>
    <row r="86">
      <c r="A86" s="1" t="s">
        <v>11</v>
      </c>
      <c r="B86" s="1" t="s">
        <v>410</v>
      </c>
      <c r="C86" s="1" t="s">
        <v>20</v>
      </c>
      <c r="D86" s="1" t="s">
        <v>72</v>
      </c>
      <c r="E86" s="1" t="s">
        <v>99</v>
      </c>
      <c r="F86" s="1" t="s">
        <v>460</v>
      </c>
      <c r="G86" s="1">
        <v>29.5</v>
      </c>
      <c r="H86" s="1" t="s">
        <v>60</v>
      </c>
      <c r="I86" s="1">
        <v>-115.0</v>
      </c>
      <c r="J86" s="1">
        <v>-0.0830747736346979</v>
      </c>
      <c r="K86" s="1" t="s">
        <v>61</v>
      </c>
      <c r="L86" s="1" t="s">
        <v>61</v>
      </c>
      <c r="M86" s="1" t="s">
        <v>62</v>
      </c>
      <c r="N86" s="1">
        <v>-115.0</v>
      </c>
      <c r="O86" s="1">
        <v>0.0133648493649024</v>
      </c>
      <c r="P86" s="1" t="s">
        <v>61</v>
      </c>
      <c r="Q86" s="1" t="s">
        <v>61</v>
      </c>
      <c r="R86" s="1">
        <f t="shared" si="1"/>
        <v>0.01336484936</v>
      </c>
      <c r="S86" s="1">
        <f t="shared" si="2"/>
        <v>-115</v>
      </c>
      <c r="T86" s="1">
        <f t="shared" si="3"/>
        <v>1.869565217</v>
      </c>
      <c r="U86" s="1">
        <f t="shared" si="4"/>
        <v>0</v>
      </c>
      <c r="V86" s="3">
        <f t="shared" si="5"/>
        <v>1</v>
      </c>
      <c r="W86" s="3">
        <f t="shared" si="6"/>
        <v>2</v>
      </c>
      <c r="X86" s="3" t="str">
        <f>IFERROR(__xludf.DUMMYFUNCTION("split(B86,"" "")"),"D.")</f>
        <v>D.</v>
      </c>
      <c r="Y86" s="3" t="str">
        <f>IFERROR(__xludf.DUMMYFUNCTION("""COMPUTED_VALUE"""),"Schultz")</f>
        <v>Schultz</v>
      </c>
      <c r="AA86" s="3">
        <v>21.0</v>
      </c>
      <c r="AB86" s="3">
        <f t="shared" si="7"/>
        <v>0</v>
      </c>
      <c r="AC86" s="3">
        <f t="shared" si="8"/>
        <v>1</v>
      </c>
      <c r="AD86" s="3">
        <f t="shared" si="9"/>
        <v>0.8695652174</v>
      </c>
      <c r="AE86" s="3">
        <f t="shared" si="10"/>
        <v>0.8695652174</v>
      </c>
      <c r="AF86" s="3">
        <f t="shared" si="11"/>
        <v>1.739130435</v>
      </c>
      <c r="AG86" s="3">
        <f t="shared" si="12"/>
        <v>0.2881355932</v>
      </c>
    </row>
    <row r="87">
      <c r="A87" s="1" t="s">
        <v>13</v>
      </c>
      <c r="B87" s="1" t="s">
        <v>369</v>
      </c>
      <c r="C87" s="1" t="s">
        <v>21</v>
      </c>
      <c r="D87" s="1" t="s">
        <v>72</v>
      </c>
      <c r="E87" s="1" t="s">
        <v>99</v>
      </c>
      <c r="F87" s="1" t="s">
        <v>460</v>
      </c>
      <c r="G87" s="1">
        <v>270.5</v>
      </c>
      <c r="H87" s="1" t="s">
        <v>60</v>
      </c>
      <c r="I87" s="1">
        <v>-115.0</v>
      </c>
      <c r="J87" s="1">
        <v>-0.0808607919697675</v>
      </c>
      <c r="K87" s="1" t="s">
        <v>61</v>
      </c>
      <c r="L87" s="1" t="s">
        <v>61</v>
      </c>
      <c r="M87" s="1" t="s">
        <v>62</v>
      </c>
      <c r="N87" s="1">
        <v>-114.0</v>
      </c>
      <c r="O87" s="1">
        <v>0.013219139672897</v>
      </c>
      <c r="P87" s="1" t="s">
        <v>61</v>
      </c>
      <c r="Q87" s="1" t="s">
        <v>61</v>
      </c>
      <c r="R87" s="1">
        <f t="shared" si="1"/>
        <v>0.01321913967</v>
      </c>
      <c r="S87" s="1">
        <f t="shared" si="2"/>
        <v>-114</v>
      </c>
      <c r="T87" s="1">
        <f t="shared" si="3"/>
        <v>1.877192982</v>
      </c>
      <c r="U87" s="1">
        <f t="shared" si="4"/>
        <v>0</v>
      </c>
      <c r="V87" s="3">
        <f t="shared" si="5"/>
        <v>1</v>
      </c>
      <c r="W87" s="3">
        <f t="shared" si="6"/>
        <v>2</v>
      </c>
      <c r="X87" s="3" t="str">
        <f>IFERROR(__xludf.DUMMYFUNCTION("split(B87,"" "")"),"C.")</f>
        <v>C.</v>
      </c>
      <c r="Y87" s="3" t="str">
        <f>IFERROR(__xludf.DUMMYFUNCTION("""COMPUTED_VALUE"""),"Stroud")</f>
        <v>Stroud</v>
      </c>
      <c r="AA87" s="3">
        <v>260.0</v>
      </c>
      <c r="AB87" s="3">
        <f t="shared" si="7"/>
        <v>0</v>
      </c>
      <c r="AC87" s="3">
        <f t="shared" si="8"/>
        <v>1</v>
      </c>
      <c r="AD87" s="3">
        <f t="shared" si="9"/>
        <v>0.8771929825</v>
      </c>
      <c r="AE87" s="3">
        <f t="shared" si="10"/>
        <v>0.8771929825</v>
      </c>
      <c r="AF87" s="3">
        <f t="shared" si="11"/>
        <v>1.754385965</v>
      </c>
      <c r="AG87" s="3">
        <f t="shared" si="12"/>
        <v>0.03881700555</v>
      </c>
    </row>
    <row r="88">
      <c r="A88" s="1" t="s">
        <v>11</v>
      </c>
      <c r="B88" s="1" t="s">
        <v>310</v>
      </c>
      <c r="C88" s="1" t="s">
        <v>18</v>
      </c>
      <c r="D88" s="1" t="s">
        <v>72</v>
      </c>
      <c r="E88" s="1" t="s">
        <v>99</v>
      </c>
      <c r="F88" s="1" t="s">
        <v>460</v>
      </c>
      <c r="G88" s="1">
        <v>57.5</v>
      </c>
      <c r="H88" s="1" t="s">
        <v>60</v>
      </c>
      <c r="I88" s="1">
        <v>-113.0</v>
      </c>
      <c r="J88" s="1">
        <v>-0.0824666076437083</v>
      </c>
      <c r="K88" s="1" t="s">
        <v>61</v>
      </c>
      <c r="L88" s="1" t="s">
        <v>61</v>
      </c>
      <c r="M88" s="1" t="s">
        <v>62</v>
      </c>
      <c r="N88" s="1">
        <v>-117.0</v>
      </c>
      <c r="O88" s="1">
        <v>0.0127855644607827</v>
      </c>
      <c r="P88" s="1" t="s">
        <v>61</v>
      </c>
      <c r="Q88" s="1" t="s">
        <v>61</v>
      </c>
      <c r="R88" s="1">
        <f t="shared" si="1"/>
        <v>0.01278556446</v>
      </c>
      <c r="S88" s="1">
        <f t="shared" si="2"/>
        <v>-117</v>
      </c>
      <c r="T88" s="1">
        <f t="shared" si="3"/>
        <v>1.854700855</v>
      </c>
      <c r="U88" s="1">
        <f t="shared" si="4"/>
        <v>0</v>
      </c>
      <c r="V88" s="3">
        <f t="shared" si="5"/>
        <v>1</v>
      </c>
      <c r="W88" s="3">
        <f t="shared" si="6"/>
        <v>2</v>
      </c>
      <c r="X88" s="3" t="str">
        <f>IFERROR(__xludf.DUMMYFUNCTION("split(B88,"" "")"),"S.")</f>
        <v>S.</v>
      </c>
      <c r="Y88" s="3" t="str">
        <f>IFERROR(__xludf.DUMMYFUNCTION("""COMPUTED_VALUE"""),"Diggs")</f>
        <v>Diggs</v>
      </c>
      <c r="AA88" s="3">
        <v>37.0</v>
      </c>
      <c r="AB88" s="3">
        <f t="shared" si="7"/>
        <v>0</v>
      </c>
      <c r="AC88" s="3">
        <f t="shared" si="8"/>
        <v>1</v>
      </c>
      <c r="AD88" s="3">
        <f t="shared" si="9"/>
        <v>0.8547008547</v>
      </c>
      <c r="AE88" s="3">
        <f t="shared" si="10"/>
        <v>0.8547008547</v>
      </c>
      <c r="AF88" s="3">
        <f t="shared" si="11"/>
        <v>1.709401709</v>
      </c>
      <c r="AG88" s="3">
        <f t="shared" si="12"/>
        <v>0.3565217391</v>
      </c>
    </row>
    <row r="89">
      <c r="A89" s="1" t="s">
        <v>17</v>
      </c>
      <c r="B89" s="1" t="s">
        <v>369</v>
      </c>
      <c r="C89" s="1" t="s">
        <v>21</v>
      </c>
      <c r="D89" s="1" t="s">
        <v>72</v>
      </c>
      <c r="E89" s="1" t="s">
        <v>99</v>
      </c>
      <c r="F89" s="1" t="s">
        <v>460</v>
      </c>
      <c r="G89" s="1">
        <v>0.5</v>
      </c>
      <c r="H89" s="1" t="s">
        <v>60</v>
      </c>
      <c r="I89" s="1">
        <v>-101.0</v>
      </c>
      <c r="J89" s="1">
        <v>-0.0749875621890547</v>
      </c>
      <c r="K89" s="1" t="s">
        <v>61</v>
      </c>
      <c r="L89" s="1" t="s">
        <v>61</v>
      </c>
      <c r="M89" s="1" t="s">
        <v>62</v>
      </c>
      <c r="N89" s="1">
        <v>-128.0</v>
      </c>
      <c r="O89" s="1">
        <v>0.0110964912280702</v>
      </c>
      <c r="P89" s="1" t="s">
        <v>61</v>
      </c>
      <c r="Q89" s="1" t="s">
        <v>61</v>
      </c>
      <c r="R89" s="1">
        <f t="shared" si="1"/>
        <v>0.01109649123</v>
      </c>
      <c r="S89" s="1">
        <f t="shared" si="2"/>
        <v>-128</v>
      </c>
      <c r="T89" s="1">
        <f t="shared" si="3"/>
        <v>1.78125</v>
      </c>
      <c r="U89" s="1">
        <f t="shared" si="4"/>
        <v>0</v>
      </c>
      <c r="V89" s="3">
        <f t="shared" si="5"/>
        <v>1</v>
      </c>
      <c r="W89" s="3">
        <f t="shared" si="6"/>
        <v>3</v>
      </c>
      <c r="X89" s="3" t="str">
        <f>IFERROR(__xludf.DUMMYFUNCTION("split(B89,"" "")"),"C.")</f>
        <v>C.</v>
      </c>
      <c r="Y89" s="3" t="str">
        <f>IFERROR(__xludf.DUMMYFUNCTION("""COMPUTED_VALUE"""),"Stroud")</f>
        <v>Stroud</v>
      </c>
      <c r="AA89" s="3">
        <v>0.0</v>
      </c>
      <c r="AB89" s="3">
        <f t="shared" si="7"/>
        <v>0</v>
      </c>
      <c r="AC89" s="3">
        <f t="shared" si="8"/>
        <v>1</v>
      </c>
      <c r="AD89" s="3">
        <f t="shared" si="9"/>
        <v>0.78125</v>
      </c>
      <c r="AE89" s="3">
        <f t="shared" si="10"/>
        <v>0.78125</v>
      </c>
      <c r="AF89" s="3">
        <f t="shared" si="11"/>
        <v>2.34375</v>
      </c>
      <c r="AG89" s="3">
        <f t="shared" si="12"/>
        <v>1</v>
      </c>
    </row>
    <row r="90">
      <c r="A90" s="1" t="s">
        <v>11</v>
      </c>
      <c r="B90" s="1" t="s">
        <v>129</v>
      </c>
      <c r="C90" s="1" t="s">
        <v>18</v>
      </c>
      <c r="D90" s="1" t="s">
        <v>72</v>
      </c>
      <c r="E90" s="1" t="s">
        <v>99</v>
      </c>
      <c r="F90" s="1" t="s">
        <v>460</v>
      </c>
      <c r="G90" s="1">
        <v>51.5</v>
      </c>
      <c r="H90" s="1" t="s">
        <v>60</v>
      </c>
      <c r="I90" s="1">
        <v>-121.0</v>
      </c>
      <c r="J90" s="1">
        <v>-0.0718656017245429</v>
      </c>
      <c r="K90" s="1" t="s">
        <v>61</v>
      </c>
      <c r="L90" s="1" t="s">
        <v>61</v>
      </c>
      <c r="M90" s="1" t="s">
        <v>62</v>
      </c>
      <c r="N90" s="1">
        <v>-108.0</v>
      </c>
      <c r="O90" s="1">
        <v>0.00511652533442308</v>
      </c>
      <c r="P90" s="1" t="s">
        <v>61</v>
      </c>
      <c r="Q90" s="1" t="s">
        <v>61</v>
      </c>
      <c r="R90" s="1">
        <f t="shared" si="1"/>
        <v>0.005116525334</v>
      </c>
      <c r="S90" s="1">
        <f t="shared" si="2"/>
        <v>-108</v>
      </c>
      <c r="T90" s="1">
        <f t="shared" si="3"/>
        <v>1.925925926</v>
      </c>
      <c r="U90" s="1">
        <f t="shared" si="4"/>
        <v>0</v>
      </c>
      <c r="V90" s="3">
        <f t="shared" si="5"/>
        <v>1</v>
      </c>
      <c r="W90" s="3">
        <f t="shared" si="6"/>
        <v>2</v>
      </c>
      <c r="X90" s="3" t="str">
        <f>IFERROR(__xludf.DUMMYFUNCTION("split(B90,"" "")"),"T.")</f>
        <v>T.</v>
      </c>
      <c r="Y90" s="3" t="str">
        <f>IFERROR(__xludf.DUMMYFUNCTION("""COMPUTED_VALUE"""),"Dell")</f>
        <v>Dell</v>
      </c>
      <c r="AA90" s="3">
        <v>-3.0</v>
      </c>
      <c r="AB90" s="3">
        <f t="shared" si="7"/>
        <v>0</v>
      </c>
      <c r="AC90" s="3">
        <f t="shared" si="8"/>
        <v>1</v>
      </c>
      <c r="AD90" s="3">
        <f t="shared" si="9"/>
        <v>0.9259259259</v>
      </c>
      <c r="AE90" s="3">
        <f t="shared" si="10"/>
        <v>0.9259259259</v>
      </c>
      <c r="AF90" s="3">
        <f t="shared" si="11"/>
        <v>1.851851852</v>
      </c>
      <c r="AG90" s="3">
        <f t="shared" si="12"/>
        <v>1.058252427</v>
      </c>
    </row>
    <row r="91">
      <c r="A91" s="1" t="s">
        <v>10</v>
      </c>
      <c r="B91" s="1" t="s">
        <v>200</v>
      </c>
      <c r="C91" s="1" t="s">
        <v>21</v>
      </c>
      <c r="D91" s="1" t="s">
        <v>71</v>
      </c>
      <c r="E91" s="1" t="s">
        <v>157</v>
      </c>
      <c r="F91" s="1" t="s">
        <v>455</v>
      </c>
      <c r="G91" s="1">
        <v>39.5</v>
      </c>
      <c r="H91" s="1" t="s">
        <v>60</v>
      </c>
      <c r="I91" s="1">
        <v>-116.0</v>
      </c>
      <c r="J91" s="1">
        <v>-0.140245662441709</v>
      </c>
      <c r="K91" s="1" t="s">
        <v>61</v>
      </c>
      <c r="L91" s="1" t="s">
        <v>61</v>
      </c>
      <c r="M91" s="1" t="s">
        <v>62</v>
      </c>
      <c r="N91" s="1">
        <v>-116.0</v>
      </c>
      <c r="O91" s="1">
        <v>0.0662036542883824</v>
      </c>
      <c r="P91" s="1" t="s">
        <v>61</v>
      </c>
      <c r="Q91" s="1" t="s">
        <v>61</v>
      </c>
      <c r="R91" s="1">
        <f t="shared" si="1"/>
        <v>0.06620365429</v>
      </c>
      <c r="S91" s="1">
        <f t="shared" si="2"/>
        <v>-116</v>
      </c>
      <c r="T91" s="1">
        <f t="shared" si="3"/>
        <v>1.862068966</v>
      </c>
      <c r="U91" s="1">
        <f t="shared" si="4"/>
        <v>0</v>
      </c>
      <c r="V91" s="3">
        <f t="shared" si="5"/>
        <v>2</v>
      </c>
      <c r="W91" s="3">
        <f t="shared" si="6"/>
        <v>2</v>
      </c>
      <c r="X91" s="3" t="str">
        <f>IFERROR(__xludf.DUMMYFUNCTION("split(B91,"" "")"),"A.")</f>
        <v>A.</v>
      </c>
      <c r="Y91" s="3" t="str">
        <f>IFERROR(__xludf.DUMMYFUNCTION("""COMPUTED_VALUE"""),"Richardson")</f>
        <v>Richardson</v>
      </c>
      <c r="AA91" s="3">
        <v>37.0</v>
      </c>
      <c r="AB91" s="3">
        <f t="shared" si="7"/>
        <v>0</v>
      </c>
      <c r="AC91" s="3">
        <f t="shared" si="8"/>
        <v>1</v>
      </c>
      <c r="AD91" s="3">
        <f t="shared" si="9"/>
        <v>1.724137931</v>
      </c>
      <c r="AE91" s="3">
        <f t="shared" si="10"/>
        <v>1.724137931</v>
      </c>
      <c r="AF91" s="3">
        <f t="shared" si="11"/>
        <v>1.724137931</v>
      </c>
      <c r="AG91" s="3">
        <f t="shared" si="12"/>
        <v>0.06329113924</v>
      </c>
    </row>
    <row r="92">
      <c r="A92" s="1" t="s">
        <v>11</v>
      </c>
      <c r="B92" s="1" t="s">
        <v>391</v>
      </c>
      <c r="C92" s="1" t="s">
        <v>18</v>
      </c>
      <c r="D92" s="1" t="s">
        <v>71</v>
      </c>
      <c r="E92" s="1" t="s">
        <v>157</v>
      </c>
      <c r="F92" s="1" t="s">
        <v>455</v>
      </c>
      <c r="G92" s="1">
        <v>59.5</v>
      </c>
      <c r="H92" s="1" t="s">
        <v>60</v>
      </c>
      <c r="I92" s="1">
        <v>-116.0</v>
      </c>
      <c r="J92" s="1">
        <v>-0.0797992779528822</v>
      </c>
      <c r="K92" s="1" t="s">
        <v>61</v>
      </c>
      <c r="L92" s="1" t="s">
        <v>61</v>
      </c>
      <c r="M92" s="1" t="s">
        <v>62</v>
      </c>
      <c r="N92" s="1">
        <v>-113.0</v>
      </c>
      <c r="O92" s="1">
        <v>0.0122245493330972</v>
      </c>
      <c r="P92" s="1" t="s">
        <v>61</v>
      </c>
      <c r="Q92" s="1" t="s">
        <v>61</v>
      </c>
      <c r="R92" s="1">
        <f t="shared" si="1"/>
        <v>0.01222454933</v>
      </c>
      <c r="S92" s="1">
        <f t="shared" si="2"/>
        <v>-113</v>
      </c>
      <c r="T92" s="1">
        <f t="shared" si="3"/>
        <v>1.884955752</v>
      </c>
      <c r="U92" s="1">
        <f t="shared" si="4"/>
        <v>0</v>
      </c>
      <c r="V92" s="3">
        <f t="shared" si="5"/>
        <v>1</v>
      </c>
      <c r="W92" s="3">
        <f t="shared" si="6"/>
        <v>2</v>
      </c>
      <c r="X92" s="3" t="str">
        <f>IFERROR(__xludf.DUMMYFUNCTION("split(B92,"" "")"),"M.")</f>
        <v>M.</v>
      </c>
      <c r="Y92" s="3" t="str">
        <f>IFERROR(__xludf.DUMMYFUNCTION("""COMPUTED_VALUE"""),"Pittman")</f>
        <v>Pittman</v>
      </c>
      <c r="Z92" s="3" t="str">
        <f>IFERROR(__xludf.DUMMYFUNCTION("""COMPUTED_VALUE"""),"Jr.")</f>
        <v>Jr.</v>
      </c>
      <c r="AA92" s="3">
        <v>21.0</v>
      </c>
      <c r="AB92" s="3">
        <f t="shared" si="7"/>
        <v>0</v>
      </c>
      <c r="AC92" s="3">
        <f t="shared" si="8"/>
        <v>1</v>
      </c>
      <c r="AD92" s="3">
        <f t="shared" si="9"/>
        <v>0.8849557522</v>
      </c>
      <c r="AE92" s="3">
        <f t="shared" si="10"/>
        <v>0.8849557522</v>
      </c>
      <c r="AF92" s="3">
        <f t="shared" si="11"/>
        <v>1.769911504</v>
      </c>
      <c r="AG92" s="3">
        <f t="shared" si="12"/>
        <v>0.6470588235</v>
      </c>
    </row>
    <row r="93">
      <c r="A93" s="1" t="s">
        <v>8</v>
      </c>
      <c r="B93" s="1" t="s">
        <v>119</v>
      </c>
      <c r="C93" s="1" t="s">
        <v>21</v>
      </c>
      <c r="D93" s="1" t="s">
        <v>93</v>
      </c>
      <c r="E93" s="1" t="s">
        <v>89</v>
      </c>
      <c r="F93" s="1" t="s">
        <v>455</v>
      </c>
      <c r="G93" s="1">
        <v>3.5</v>
      </c>
      <c r="H93" s="1" t="s">
        <v>60</v>
      </c>
      <c r="I93" s="1">
        <v>-128.0</v>
      </c>
      <c r="J93" s="1">
        <v>-0.224953840666618</v>
      </c>
      <c r="K93" s="1" t="s">
        <v>61</v>
      </c>
      <c r="L93" s="1" t="s">
        <v>61</v>
      </c>
      <c r="M93" s="1" t="s">
        <v>62</v>
      </c>
      <c r="N93" s="1">
        <v>-105.0</v>
      </c>
      <c r="O93" s="1">
        <v>0.151346875393113</v>
      </c>
      <c r="P93" s="1" t="s">
        <v>61</v>
      </c>
      <c r="Q93" s="1" t="s">
        <v>61</v>
      </c>
      <c r="R93" s="1">
        <f t="shared" si="1"/>
        <v>0.1513468754</v>
      </c>
      <c r="S93" s="1">
        <f t="shared" si="2"/>
        <v>-105</v>
      </c>
      <c r="T93" s="1">
        <f t="shared" si="3"/>
        <v>1.952380952</v>
      </c>
      <c r="U93" s="1">
        <f t="shared" si="4"/>
        <v>0</v>
      </c>
      <c r="V93" s="3">
        <f t="shared" si="5"/>
        <v>3</v>
      </c>
      <c r="W93" s="3">
        <f t="shared" si="6"/>
        <v>2</v>
      </c>
      <c r="X93" s="3" t="str">
        <f>IFERROR(__xludf.DUMMYFUNCTION("split(B93,"" "")"),"T.")</f>
        <v>T.</v>
      </c>
      <c r="Y93" s="3" t="str">
        <f>IFERROR(__xludf.DUMMYFUNCTION("""COMPUTED_VALUE"""),"Lawrence")</f>
        <v>Lawrence</v>
      </c>
      <c r="AA93" s="3">
        <v>2.0</v>
      </c>
      <c r="AB93" s="3">
        <f t="shared" si="7"/>
        <v>0</v>
      </c>
      <c r="AC93" s="3">
        <f t="shared" si="8"/>
        <v>1</v>
      </c>
      <c r="AD93" s="3">
        <f t="shared" si="9"/>
        <v>2.857142857</v>
      </c>
      <c r="AE93" s="3">
        <f t="shared" si="10"/>
        <v>2.857142857</v>
      </c>
      <c r="AF93" s="3">
        <f t="shared" si="11"/>
        <v>1.904761905</v>
      </c>
      <c r="AG93" s="3">
        <f t="shared" si="12"/>
        <v>0.4285714286</v>
      </c>
    </row>
    <row r="94">
      <c r="A94" s="1" t="s">
        <v>12</v>
      </c>
      <c r="B94" s="1" t="s">
        <v>363</v>
      </c>
      <c r="C94" s="1" t="s">
        <v>20</v>
      </c>
      <c r="D94" s="1" t="s">
        <v>93</v>
      </c>
      <c r="E94" s="1" t="s">
        <v>89</v>
      </c>
      <c r="F94" s="1" t="s">
        <v>455</v>
      </c>
      <c r="G94" s="1">
        <v>4.5</v>
      </c>
      <c r="H94" s="1" t="s">
        <v>60</v>
      </c>
      <c r="I94" s="1">
        <v>-136.0</v>
      </c>
      <c r="J94" s="1">
        <v>-0.126028813559322</v>
      </c>
      <c r="K94" s="1" t="s">
        <v>61</v>
      </c>
      <c r="L94" s="1" t="s">
        <v>61</v>
      </c>
      <c r="M94" s="1" t="s">
        <v>62</v>
      </c>
      <c r="N94" s="1">
        <v>104.0</v>
      </c>
      <c r="O94" s="1">
        <v>0.0595549019607843</v>
      </c>
      <c r="P94" s="1" t="s">
        <v>61</v>
      </c>
      <c r="Q94" s="1" t="s">
        <v>61</v>
      </c>
      <c r="R94" s="1">
        <f t="shared" si="1"/>
        <v>0.05955490196</v>
      </c>
      <c r="S94" s="1">
        <f t="shared" si="2"/>
        <v>104</v>
      </c>
      <c r="T94" s="1">
        <f t="shared" si="3"/>
        <v>2.04</v>
      </c>
      <c r="U94" s="1">
        <f t="shared" si="4"/>
        <v>0</v>
      </c>
      <c r="V94" s="3">
        <f t="shared" si="5"/>
        <v>2</v>
      </c>
      <c r="W94" s="3">
        <f t="shared" si="6"/>
        <v>2</v>
      </c>
      <c r="X94" s="3" t="str">
        <f>IFERROR(__xludf.DUMMYFUNCTION("split(B94,"" "")"),"E.")</f>
        <v>E.</v>
      </c>
      <c r="Y94" s="3" t="str">
        <f>IFERROR(__xludf.DUMMYFUNCTION("""COMPUTED_VALUE"""),"Engram")</f>
        <v>Engram</v>
      </c>
      <c r="AA94" s="3">
        <v>0.0</v>
      </c>
      <c r="AB94" s="3">
        <f t="shared" si="7"/>
        <v>0</v>
      </c>
      <c r="AC94" s="3">
        <f t="shared" si="8"/>
        <v>1</v>
      </c>
      <c r="AD94" s="3">
        <f t="shared" si="9"/>
        <v>2.08</v>
      </c>
      <c r="AE94" s="3">
        <f t="shared" si="10"/>
        <v>2.08</v>
      </c>
      <c r="AF94" s="3">
        <f t="shared" si="11"/>
        <v>2.08</v>
      </c>
      <c r="AG94" s="3">
        <f t="shared" si="12"/>
        <v>1</v>
      </c>
    </row>
    <row r="95">
      <c r="A95" s="1" t="s">
        <v>12</v>
      </c>
      <c r="B95" s="1" t="s">
        <v>466</v>
      </c>
      <c r="C95" s="1" t="s">
        <v>18</v>
      </c>
      <c r="D95" s="1" t="s">
        <v>93</v>
      </c>
      <c r="E95" s="1" t="s">
        <v>89</v>
      </c>
      <c r="F95" s="1" t="s">
        <v>455</v>
      </c>
      <c r="G95" s="1">
        <v>3.5</v>
      </c>
      <c r="H95" s="1" t="s">
        <v>60</v>
      </c>
      <c r="I95" s="1">
        <v>108.0</v>
      </c>
      <c r="J95" s="1">
        <v>-0.117421153846153</v>
      </c>
      <c r="K95" s="1" t="s">
        <v>61</v>
      </c>
      <c r="L95" s="1" t="s">
        <v>61</v>
      </c>
      <c r="M95" s="1" t="s">
        <v>62</v>
      </c>
      <c r="N95" s="1">
        <v>-138.0</v>
      </c>
      <c r="O95" s="1">
        <v>0.056826050420168</v>
      </c>
      <c r="P95" s="1" t="s">
        <v>61</v>
      </c>
      <c r="Q95" s="1" t="s">
        <v>61</v>
      </c>
      <c r="R95" s="1">
        <f t="shared" si="1"/>
        <v>0.05682605042</v>
      </c>
      <c r="S95" s="1">
        <f t="shared" si="2"/>
        <v>-138</v>
      </c>
      <c r="T95" s="1">
        <f t="shared" si="3"/>
        <v>1.724637681</v>
      </c>
      <c r="U95" s="1">
        <f t="shared" si="4"/>
        <v>0</v>
      </c>
      <c r="V95" s="3">
        <f t="shared" si="5"/>
        <v>2</v>
      </c>
      <c r="W95" s="3">
        <f t="shared" si="6"/>
        <v>3</v>
      </c>
      <c r="X95" s="3" t="str">
        <f>IFERROR(__xludf.DUMMYFUNCTION("split(B95,"" "")"),"B.")</f>
        <v>B.</v>
      </c>
      <c r="Y95" s="3" t="str">
        <f>IFERROR(__xludf.DUMMYFUNCTION("""COMPUTED_VALUE"""),"Thomas")</f>
        <v>Thomas</v>
      </c>
      <c r="Z95" s="3" t="str">
        <f>IFERROR(__xludf.DUMMYFUNCTION("""COMPUTED_VALUE"""),"Jr.")</f>
        <v>Jr.</v>
      </c>
      <c r="AA95" s="3">
        <v>2.0</v>
      </c>
      <c r="AB95" s="3">
        <f t="shared" si="7"/>
        <v>0</v>
      </c>
      <c r="AC95" s="3">
        <f t="shared" si="8"/>
        <v>1</v>
      </c>
      <c r="AD95" s="3">
        <f t="shared" si="9"/>
        <v>1.449275362</v>
      </c>
      <c r="AE95" s="3">
        <f t="shared" si="10"/>
        <v>1.449275362</v>
      </c>
      <c r="AF95" s="3">
        <f t="shared" si="11"/>
        <v>2.173913043</v>
      </c>
      <c r="AG95" s="3">
        <f t="shared" si="12"/>
        <v>0.4285714286</v>
      </c>
    </row>
    <row r="96">
      <c r="A96" s="1" t="s">
        <v>17</v>
      </c>
      <c r="B96" s="1" t="s">
        <v>119</v>
      </c>
      <c r="C96" s="1" t="s">
        <v>21</v>
      </c>
      <c r="D96" s="1" t="s">
        <v>93</v>
      </c>
      <c r="E96" s="1" t="s">
        <v>89</v>
      </c>
      <c r="F96" s="1" t="s">
        <v>455</v>
      </c>
      <c r="G96" s="1">
        <v>0.5</v>
      </c>
      <c r="H96" s="1" t="s">
        <v>60</v>
      </c>
      <c r="I96" s="1">
        <v>-131.0</v>
      </c>
      <c r="J96" s="1">
        <v>-0.110499567099567</v>
      </c>
      <c r="K96" s="1" t="s">
        <v>61</v>
      </c>
      <c r="L96" s="1" t="s">
        <v>61</v>
      </c>
      <c r="M96" s="1" t="s">
        <v>62</v>
      </c>
      <c r="N96" s="1">
        <v>101.0</v>
      </c>
      <c r="O96" s="1">
        <v>0.0458875621890546</v>
      </c>
      <c r="P96" s="1" t="s">
        <v>61</v>
      </c>
      <c r="Q96" s="1" t="s">
        <v>61</v>
      </c>
      <c r="R96" s="1">
        <f t="shared" si="1"/>
        <v>0.04588756219</v>
      </c>
      <c r="S96" s="1">
        <f t="shared" si="2"/>
        <v>101</v>
      </c>
      <c r="T96" s="1">
        <f t="shared" si="3"/>
        <v>2.01</v>
      </c>
      <c r="U96" s="1">
        <f t="shared" si="4"/>
        <v>0</v>
      </c>
      <c r="V96" s="3">
        <f t="shared" si="5"/>
        <v>1</v>
      </c>
      <c r="W96" s="3">
        <f t="shared" si="6"/>
        <v>2</v>
      </c>
      <c r="X96" s="3" t="str">
        <f>IFERROR(__xludf.DUMMYFUNCTION("split(B96,"" "")"),"T.")</f>
        <v>T.</v>
      </c>
      <c r="Y96" s="3" t="str">
        <f>IFERROR(__xludf.DUMMYFUNCTION("""COMPUTED_VALUE"""),"Lawrence")</f>
        <v>Lawrence</v>
      </c>
      <c r="AA96" s="3">
        <v>0.0</v>
      </c>
      <c r="AB96" s="3">
        <f t="shared" si="7"/>
        <v>0</v>
      </c>
      <c r="AC96" s="3">
        <f t="shared" si="8"/>
        <v>1</v>
      </c>
      <c r="AD96" s="3">
        <f t="shared" si="9"/>
        <v>1.01</v>
      </c>
      <c r="AE96" s="3">
        <f t="shared" si="10"/>
        <v>1.01</v>
      </c>
      <c r="AF96" s="3">
        <f t="shared" si="11"/>
        <v>2.02</v>
      </c>
      <c r="AG96" s="3">
        <f t="shared" si="12"/>
        <v>1</v>
      </c>
    </row>
    <row r="97">
      <c r="A97" s="1" t="s">
        <v>11</v>
      </c>
      <c r="B97" s="1" t="s">
        <v>121</v>
      </c>
      <c r="C97" s="1" t="s">
        <v>18</v>
      </c>
      <c r="D97" s="1" t="s">
        <v>93</v>
      </c>
      <c r="E97" s="1" t="s">
        <v>89</v>
      </c>
      <c r="F97" s="1" t="s">
        <v>455</v>
      </c>
      <c r="G97" s="1">
        <v>48.5</v>
      </c>
      <c r="H97" s="1" t="s">
        <v>60</v>
      </c>
      <c r="I97" s="1">
        <v>-114.0</v>
      </c>
      <c r="J97" s="1">
        <v>-0.103659153749813</v>
      </c>
      <c r="K97" s="1" t="s">
        <v>61</v>
      </c>
      <c r="L97" s="1" t="s">
        <v>61</v>
      </c>
      <c r="M97" s="1" t="s">
        <v>62</v>
      </c>
      <c r="N97" s="1">
        <v>-114.0</v>
      </c>
      <c r="O97" s="1">
        <v>0.038244732483187</v>
      </c>
      <c r="P97" s="1" t="s">
        <v>61</v>
      </c>
      <c r="Q97" s="1" t="s">
        <v>61</v>
      </c>
      <c r="R97" s="1">
        <f t="shared" si="1"/>
        <v>0.03824473248</v>
      </c>
      <c r="S97" s="1">
        <f t="shared" si="2"/>
        <v>-114</v>
      </c>
      <c r="T97" s="1">
        <f t="shared" si="3"/>
        <v>1.877192982</v>
      </c>
      <c r="U97" s="1">
        <f t="shared" si="4"/>
        <v>0</v>
      </c>
      <c r="V97" s="3">
        <f t="shared" si="5"/>
        <v>1</v>
      </c>
      <c r="W97" s="3">
        <f t="shared" si="6"/>
        <v>2</v>
      </c>
      <c r="X97" s="3" t="str">
        <f>IFERROR(__xludf.DUMMYFUNCTION("split(B97,"" "")"),"C.")</f>
        <v>C.</v>
      </c>
      <c r="Y97" s="3" t="str">
        <f>IFERROR(__xludf.DUMMYFUNCTION("""COMPUTED_VALUE"""),"Kirk")</f>
        <v>Kirk</v>
      </c>
      <c r="AA97" s="3">
        <v>-1.0</v>
      </c>
      <c r="AB97" s="3">
        <f t="shared" si="7"/>
        <v>0</v>
      </c>
      <c r="AC97" s="3">
        <f t="shared" si="8"/>
        <v>1</v>
      </c>
      <c r="AD97" s="3">
        <f t="shared" si="9"/>
        <v>0.8771929825</v>
      </c>
      <c r="AE97" s="3">
        <f t="shared" si="10"/>
        <v>0.8771929825</v>
      </c>
      <c r="AF97" s="3">
        <f t="shared" si="11"/>
        <v>1.754385965</v>
      </c>
      <c r="AG97" s="3">
        <f t="shared" si="12"/>
        <v>1.020618557</v>
      </c>
    </row>
    <row r="98">
      <c r="A98" s="1" t="s">
        <v>12</v>
      </c>
      <c r="B98" s="1" t="s">
        <v>121</v>
      </c>
      <c r="C98" s="1" t="s">
        <v>18</v>
      </c>
      <c r="D98" s="1" t="s">
        <v>93</v>
      </c>
      <c r="E98" s="1" t="s">
        <v>89</v>
      </c>
      <c r="F98" s="1" t="s">
        <v>455</v>
      </c>
      <c r="G98" s="1">
        <v>4.5</v>
      </c>
      <c r="H98" s="1" t="s">
        <v>60</v>
      </c>
      <c r="I98" s="1">
        <v>110.0</v>
      </c>
      <c r="J98" s="1">
        <v>-0.097895238095238</v>
      </c>
      <c r="K98" s="1" t="s">
        <v>61</v>
      </c>
      <c r="L98" s="1" t="s">
        <v>61</v>
      </c>
      <c r="M98" s="1" t="s">
        <v>62</v>
      </c>
      <c r="N98" s="1">
        <v>-144.0</v>
      </c>
      <c r="O98" s="1">
        <v>0.0315540983606557</v>
      </c>
      <c r="P98" s="1" t="s">
        <v>61</v>
      </c>
      <c r="Q98" s="1" t="s">
        <v>61</v>
      </c>
      <c r="R98" s="1">
        <f t="shared" si="1"/>
        <v>0.03155409836</v>
      </c>
      <c r="S98" s="1">
        <f t="shared" si="2"/>
        <v>-144</v>
      </c>
      <c r="T98" s="1">
        <f t="shared" si="3"/>
        <v>1.694444444</v>
      </c>
      <c r="U98" s="1">
        <f t="shared" si="4"/>
        <v>0</v>
      </c>
      <c r="V98" s="3">
        <f t="shared" si="5"/>
        <v>1</v>
      </c>
      <c r="W98" s="3">
        <f t="shared" si="6"/>
        <v>3</v>
      </c>
      <c r="X98" s="3" t="str">
        <f>IFERROR(__xludf.DUMMYFUNCTION("split(B98,"" "")"),"C.")</f>
        <v>C.</v>
      </c>
      <c r="Y98" s="3" t="str">
        <f>IFERROR(__xludf.DUMMYFUNCTION("""COMPUTED_VALUE"""),"Kirk")</f>
        <v>Kirk</v>
      </c>
      <c r="AA98" s="3">
        <v>1.0</v>
      </c>
      <c r="AB98" s="3">
        <f t="shared" si="7"/>
        <v>0</v>
      </c>
      <c r="AC98" s="3">
        <f t="shared" si="8"/>
        <v>1</v>
      </c>
      <c r="AD98" s="3">
        <f t="shared" si="9"/>
        <v>0.6944444444</v>
      </c>
      <c r="AE98" s="3">
        <f t="shared" si="10"/>
        <v>0.6944444444</v>
      </c>
      <c r="AF98" s="3">
        <f t="shared" si="11"/>
        <v>2.083333333</v>
      </c>
      <c r="AG98" s="3">
        <f t="shared" si="12"/>
        <v>0.7777777778</v>
      </c>
    </row>
    <row r="99">
      <c r="A99" s="1" t="s">
        <v>11</v>
      </c>
      <c r="B99" s="1" t="s">
        <v>363</v>
      </c>
      <c r="C99" s="1" t="s">
        <v>20</v>
      </c>
      <c r="D99" s="1" t="s">
        <v>93</v>
      </c>
      <c r="E99" s="1" t="s">
        <v>89</v>
      </c>
      <c r="F99" s="1" t="s">
        <v>455</v>
      </c>
      <c r="G99" s="1">
        <v>42.5</v>
      </c>
      <c r="H99" s="1" t="s">
        <v>60</v>
      </c>
      <c r="I99" s="1">
        <v>-109.0</v>
      </c>
      <c r="J99" s="1">
        <v>-0.0907689088588037</v>
      </c>
      <c r="K99" s="1" t="s">
        <v>61</v>
      </c>
      <c r="L99" s="1" t="s">
        <v>61</v>
      </c>
      <c r="M99" s="1" t="s">
        <v>62</v>
      </c>
      <c r="N99" s="1">
        <v>-120.0</v>
      </c>
      <c r="O99" s="1">
        <v>0.0238288900416363</v>
      </c>
      <c r="P99" s="1" t="s">
        <v>61</v>
      </c>
      <c r="Q99" s="1" t="s">
        <v>61</v>
      </c>
      <c r="R99" s="1">
        <f t="shared" si="1"/>
        <v>0.02382889004</v>
      </c>
      <c r="S99" s="1">
        <f t="shared" si="2"/>
        <v>-120</v>
      </c>
      <c r="T99" s="1">
        <f t="shared" si="3"/>
        <v>1.833333333</v>
      </c>
      <c r="U99" s="1">
        <f t="shared" si="4"/>
        <v>0</v>
      </c>
      <c r="V99" s="3">
        <f t="shared" si="5"/>
        <v>1</v>
      </c>
      <c r="W99" s="3">
        <f t="shared" si="6"/>
        <v>3</v>
      </c>
      <c r="X99" s="3" t="str">
        <f>IFERROR(__xludf.DUMMYFUNCTION("split(B99,"" "")"),"E.")</f>
        <v>E.</v>
      </c>
      <c r="Y99" s="3" t="str">
        <f>IFERROR(__xludf.DUMMYFUNCTION("""COMPUTED_VALUE"""),"Engram")</f>
        <v>Engram</v>
      </c>
      <c r="AA99" s="3">
        <v>0.0</v>
      </c>
      <c r="AB99" s="3">
        <f t="shared" si="7"/>
        <v>0</v>
      </c>
      <c r="AC99" s="3">
        <f t="shared" si="8"/>
        <v>1</v>
      </c>
      <c r="AD99" s="3">
        <f t="shared" si="9"/>
        <v>0.8333333333</v>
      </c>
      <c r="AE99" s="3">
        <f t="shared" si="10"/>
        <v>0.8333333333</v>
      </c>
      <c r="AF99" s="3">
        <f t="shared" si="11"/>
        <v>2.5</v>
      </c>
      <c r="AG99" s="3">
        <f t="shared" si="12"/>
        <v>1</v>
      </c>
    </row>
    <row r="100">
      <c r="A100" s="1" t="s">
        <v>9</v>
      </c>
      <c r="B100" s="1" t="s">
        <v>467</v>
      </c>
      <c r="C100" s="1" t="s">
        <v>18</v>
      </c>
      <c r="D100" s="1" t="s">
        <v>93</v>
      </c>
      <c r="E100" s="1" t="s">
        <v>89</v>
      </c>
      <c r="F100" s="1" t="s">
        <v>455</v>
      </c>
      <c r="G100" s="1">
        <v>36.5</v>
      </c>
      <c r="H100" s="1" t="s">
        <v>60</v>
      </c>
      <c r="I100" s="1">
        <v>-115.0</v>
      </c>
      <c r="J100" s="1">
        <v>0.0129892175408501</v>
      </c>
      <c r="K100" s="1" t="s">
        <v>61</v>
      </c>
      <c r="L100" s="1" t="s">
        <v>61</v>
      </c>
      <c r="M100" s="1" t="s">
        <v>62</v>
      </c>
      <c r="N100" s="1">
        <v>-118.0</v>
      </c>
      <c r="O100" s="1">
        <v>-0.0891692866518976</v>
      </c>
      <c r="P100" s="1" t="s">
        <v>61</v>
      </c>
      <c r="Q100" s="1" t="s">
        <v>61</v>
      </c>
      <c r="R100" s="1">
        <f t="shared" si="1"/>
        <v>0.01298921754</v>
      </c>
      <c r="S100" s="1">
        <f t="shared" si="2"/>
        <v>-115</v>
      </c>
      <c r="T100" s="1">
        <f t="shared" si="3"/>
        <v>1.869565217</v>
      </c>
      <c r="U100" s="1">
        <f t="shared" si="4"/>
        <v>1</v>
      </c>
      <c r="V100" s="3">
        <f t="shared" si="5"/>
        <v>1</v>
      </c>
      <c r="W100" s="3">
        <f t="shared" si="6"/>
        <v>2</v>
      </c>
      <c r="X100" s="3" t="str">
        <f>IFERROR(__xludf.DUMMYFUNCTION("split(B100,"" "")"),"G.")</f>
        <v>G.</v>
      </c>
      <c r="Y100" s="3" t="str">
        <f>IFERROR(__xludf.DUMMYFUNCTION("""COMPUTED_VALUE"""),"Davis")</f>
        <v>Davis</v>
      </c>
      <c r="AA100" s="3">
        <v>43.0</v>
      </c>
      <c r="AB100" s="3">
        <f t="shared" si="7"/>
        <v>1</v>
      </c>
      <c r="AC100" s="3">
        <f t="shared" si="8"/>
        <v>1</v>
      </c>
      <c r="AD100" s="3">
        <f t="shared" si="9"/>
        <v>0.8695652174</v>
      </c>
      <c r="AE100" s="3">
        <f t="shared" si="10"/>
        <v>0.8695652174</v>
      </c>
      <c r="AF100" s="3">
        <f t="shared" si="11"/>
        <v>1.739130435</v>
      </c>
      <c r="AG100" s="3">
        <f t="shared" si="12"/>
        <v>0.1780821918</v>
      </c>
    </row>
    <row r="101">
      <c r="A101" s="1" t="s">
        <v>15</v>
      </c>
      <c r="B101" s="1" t="s">
        <v>119</v>
      </c>
      <c r="C101" s="1" t="s">
        <v>21</v>
      </c>
      <c r="D101" s="1" t="s">
        <v>93</v>
      </c>
      <c r="E101" s="1" t="s">
        <v>89</v>
      </c>
      <c r="F101" s="1" t="s">
        <v>455</v>
      </c>
      <c r="G101" s="1">
        <v>20.5</v>
      </c>
      <c r="H101" s="1" t="s">
        <v>60</v>
      </c>
      <c r="I101" s="1">
        <v>-129.0</v>
      </c>
      <c r="J101" s="1">
        <v>-0.0781027786462883</v>
      </c>
      <c r="K101" s="1" t="s">
        <v>61</v>
      </c>
      <c r="L101" s="1" t="s">
        <v>61</v>
      </c>
      <c r="M101" s="1" t="s">
        <v>62</v>
      </c>
      <c r="N101" s="1">
        <v>-101.0</v>
      </c>
      <c r="O101" s="1">
        <v>0.0123090978761194</v>
      </c>
      <c r="P101" s="1" t="s">
        <v>61</v>
      </c>
      <c r="Q101" s="1" t="s">
        <v>61</v>
      </c>
      <c r="R101" s="1">
        <f t="shared" si="1"/>
        <v>0.01230909788</v>
      </c>
      <c r="S101" s="1">
        <f t="shared" si="2"/>
        <v>-101</v>
      </c>
      <c r="T101" s="1">
        <f t="shared" si="3"/>
        <v>1.99009901</v>
      </c>
      <c r="U101" s="1">
        <f t="shared" si="4"/>
        <v>0</v>
      </c>
      <c r="V101" s="3">
        <f t="shared" si="5"/>
        <v>1</v>
      </c>
      <c r="W101" s="3">
        <f t="shared" si="6"/>
        <v>2</v>
      </c>
      <c r="X101" s="3" t="str">
        <f>IFERROR(__xludf.DUMMYFUNCTION("split(B101,"" "")"),"T.")</f>
        <v>T.</v>
      </c>
      <c r="Y101" s="3" t="str">
        <f>IFERROR(__xludf.DUMMYFUNCTION("""COMPUTED_VALUE"""),"Lawrence")</f>
        <v>Lawrence</v>
      </c>
      <c r="AA101" s="3">
        <v>14.0</v>
      </c>
      <c r="AB101" s="3">
        <f t="shared" si="7"/>
        <v>0</v>
      </c>
      <c r="AC101" s="3">
        <f t="shared" si="8"/>
        <v>1</v>
      </c>
      <c r="AD101" s="3">
        <f t="shared" si="9"/>
        <v>0.9900990099</v>
      </c>
      <c r="AE101" s="3">
        <f t="shared" si="10"/>
        <v>0.9900990099</v>
      </c>
      <c r="AF101" s="3">
        <f t="shared" si="11"/>
        <v>1.98019802</v>
      </c>
      <c r="AG101" s="3">
        <f t="shared" si="12"/>
        <v>0.3170731707</v>
      </c>
    </row>
    <row r="102">
      <c r="A102" s="1" t="s">
        <v>11</v>
      </c>
      <c r="B102" s="1" t="s">
        <v>92</v>
      </c>
      <c r="C102" s="1" t="s">
        <v>19</v>
      </c>
      <c r="D102" s="1" t="s">
        <v>93</v>
      </c>
      <c r="E102" s="1" t="s">
        <v>89</v>
      </c>
      <c r="F102" s="1" t="s">
        <v>455</v>
      </c>
      <c r="G102" s="1">
        <v>18.5</v>
      </c>
      <c r="H102" s="1" t="s">
        <v>60</v>
      </c>
      <c r="I102" s="1">
        <v>-115.0</v>
      </c>
      <c r="J102" s="1">
        <v>-0.0780175686952931</v>
      </c>
      <c r="K102" s="1" t="s">
        <v>61</v>
      </c>
      <c r="L102" s="1" t="s">
        <v>61</v>
      </c>
      <c r="M102" s="1" t="s">
        <v>62</v>
      </c>
      <c r="N102" s="1">
        <v>-114.0</v>
      </c>
      <c r="O102" s="1">
        <v>0.0104430190991416</v>
      </c>
      <c r="P102" s="1" t="s">
        <v>61</v>
      </c>
      <c r="Q102" s="1" t="s">
        <v>61</v>
      </c>
      <c r="R102" s="1">
        <f t="shared" si="1"/>
        <v>0.0104430191</v>
      </c>
      <c r="S102" s="1">
        <f t="shared" si="2"/>
        <v>-114</v>
      </c>
      <c r="T102" s="1">
        <f t="shared" si="3"/>
        <v>1.877192982</v>
      </c>
      <c r="U102" s="1">
        <f t="shared" si="4"/>
        <v>0</v>
      </c>
      <c r="V102" s="3">
        <f t="shared" si="5"/>
        <v>1</v>
      </c>
      <c r="W102" s="3">
        <f t="shared" si="6"/>
        <v>2</v>
      </c>
      <c r="X102" s="3" t="str">
        <f>IFERROR(__xludf.DUMMYFUNCTION("split(B102,"" "")"),"T.")</f>
        <v>T.</v>
      </c>
      <c r="Y102" s="3" t="str">
        <f>IFERROR(__xludf.DUMMYFUNCTION("""COMPUTED_VALUE"""),"Etienne")</f>
        <v>Etienne</v>
      </c>
      <c r="Z102" s="3" t="str">
        <f>IFERROR(__xludf.DUMMYFUNCTION("""COMPUTED_VALUE"""),"Jr.")</f>
        <v>Jr.</v>
      </c>
      <c r="AA102" s="3">
        <v>6.0</v>
      </c>
      <c r="AB102" s="3">
        <f t="shared" si="7"/>
        <v>0</v>
      </c>
      <c r="AC102" s="3">
        <f t="shared" si="8"/>
        <v>1</v>
      </c>
      <c r="AD102" s="3">
        <f t="shared" si="9"/>
        <v>0.8771929825</v>
      </c>
      <c r="AE102" s="3">
        <f t="shared" si="10"/>
        <v>0.8771929825</v>
      </c>
      <c r="AF102" s="3">
        <f t="shared" si="11"/>
        <v>1.754385965</v>
      </c>
      <c r="AG102" s="3">
        <f t="shared" si="12"/>
        <v>0.6756756757</v>
      </c>
    </row>
    <row r="103">
      <c r="A103" s="1" t="s">
        <v>8</v>
      </c>
      <c r="B103" s="1" t="s">
        <v>92</v>
      </c>
      <c r="C103" s="1" t="s">
        <v>19</v>
      </c>
      <c r="D103" s="1" t="s">
        <v>93</v>
      </c>
      <c r="E103" s="1" t="s">
        <v>89</v>
      </c>
      <c r="F103" s="1" t="s">
        <v>455</v>
      </c>
      <c r="G103" s="1">
        <v>13.5</v>
      </c>
      <c r="H103" s="1" t="s">
        <v>60</v>
      </c>
      <c r="I103" s="1">
        <v>-120.0</v>
      </c>
      <c r="J103" s="1">
        <v>-0.0723049032227272</v>
      </c>
      <c r="K103" s="1" t="s">
        <v>61</v>
      </c>
      <c r="L103" s="1" t="s">
        <v>61</v>
      </c>
      <c r="M103" s="1" t="s">
        <v>62</v>
      </c>
      <c r="N103" s="1">
        <v>-109.0</v>
      </c>
      <c r="O103" s="1">
        <v>0.00531194159239234</v>
      </c>
      <c r="P103" s="1" t="s">
        <v>61</v>
      </c>
      <c r="Q103" s="1" t="s">
        <v>61</v>
      </c>
      <c r="R103" s="1">
        <f t="shared" si="1"/>
        <v>0.005311941592</v>
      </c>
      <c r="S103" s="1">
        <f t="shared" si="2"/>
        <v>-109</v>
      </c>
      <c r="T103" s="1">
        <f t="shared" si="3"/>
        <v>1.917431193</v>
      </c>
      <c r="U103" s="1">
        <f t="shared" si="4"/>
        <v>0</v>
      </c>
      <c r="V103" s="3">
        <f t="shared" si="5"/>
        <v>1</v>
      </c>
      <c r="W103" s="3">
        <f t="shared" si="6"/>
        <v>2</v>
      </c>
      <c r="X103" s="3" t="str">
        <f>IFERROR(__xludf.DUMMYFUNCTION("split(B103,"" "")"),"T.")</f>
        <v>T.</v>
      </c>
      <c r="Y103" s="3" t="str">
        <f>IFERROR(__xludf.DUMMYFUNCTION("""COMPUTED_VALUE"""),"Etienne")</f>
        <v>Etienne</v>
      </c>
      <c r="Z103" s="3" t="str">
        <f>IFERROR(__xludf.DUMMYFUNCTION("""COMPUTED_VALUE"""),"Jr.")</f>
        <v>Jr.</v>
      </c>
      <c r="AA103" s="3">
        <v>13.0</v>
      </c>
      <c r="AB103" s="3">
        <f t="shared" si="7"/>
        <v>0</v>
      </c>
      <c r="AC103" s="3">
        <f t="shared" si="8"/>
        <v>1</v>
      </c>
      <c r="AD103" s="3">
        <f t="shared" si="9"/>
        <v>0.9174311927</v>
      </c>
      <c r="AE103" s="3">
        <f t="shared" si="10"/>
        <v>0.9174311927</v>
      </c>
      <c r="AF103" s="3">
        <f t="shared" si="11"/>
        <v>1.834862385</v>
      </c>
      <c r="AG103" s="3">
        <f t="shared" si="12"/>
        <v>0.03703703704</v>
      </c>
    </row>
    <row r="104">
      <c r="A104" s="1" t="s">
        <v>8</v>
      </c>
      <c r="B104" s="1" t="s">
        <v>75</v>
      </c>
      <c r="C104" s="1" t="s">
        <v>21</v>
      </c>
      <c r="D104" s="1" t="s">
        <v>76</v>
      </c>
      <c r="E104" s="1" t="s">
        <v>67</v>
      </c>
      <c r="F104" s="1" t="s">
        <v>461</v>
      </c>
      <c r="G104" s="1">
        <v>4.5</v>
      </c>
      <c r="H104" s="1" t="s">
        <v>60</v>
      </c>
      <c r="I104" s="1">
        <v>-123.0</v>
      </c>
      <c r="J104" s="1">
        <v>-0.199706364299496</v>
      </c>
      <c r="K104" s="1" t="s">
        <v>61</v>
      </c>
      <c r="L104" s="1" t="s">
        <v>61</v>
      </c>
      <c r="M104" s="1" t="s">
        <v>62</v>
      </c>
      <c r="N104" s="1">
        <v>-108.0</v>
      </c>
      <c r="O104" s="1">
        <v>0.128911907586012</v>
      </c>
      <c r="P104" s="1" t="s">
        <v>61</v>
      </c>
      <c r="Q104" s="1" t="s">
        <v>61</v>
      </c>
      <c r="R104" s="1">
        <f t="shared" si="1"/>
        <v>0.1289119076</v>
      </c>
      <c r="S104" s="1">
        <f t="shared" si="2"/>
        <v>-108</v>
      </c>
      <c r="T104" s="1">
        <f t="shared" si="3"/>
        <v>1.925925926</v>
      </c>
      <c r="U104" s="1">
        <f t="shared" si="4"/>
        <v>0</v>
      </c>
      <c r="V104" s="3">
        <f t="shared" si="5"/>
        <v>3</v>
      </c>
      <c r="W104" s="3">
        <f t="shared" si="6"/>
        <v>2</v>
      </c>
      <c r="X104" s="3" t="str">
        <f>IFERROR(__xludf.DUMMYFUNCTION("split(B104,"" "")"),"P.")</f>
        <v>P.</v>
      </c>
      <c r="Y104" s="3" t="str">
        <f>IFERROR(__xludf.DUMMYFUNCTION("""COMPUTED_VALUE"""),"Mahomes")</f>
        <v>Mahomes</v>
      </c>
      <c r="AA104" s="3">
        <v>4.0</v>
      </c>
      <c r="AB104" s="3">
        <f t="shared" si="7"/>
        <v>0</v>
      </c>
      <c r="AC104" s="3">
        <f t="shared" si="8"/>
        <v>1</v>
      </c>
      <c r="AD104" s="3">
        <f t="shared" si="9"/>
        <v>2.777777778</v>
      </c>
      <c r="AE104" s="3">
        <f t="shared" si="10"/>
        <v>2.777777778</v>
      </c>
      <c r="AF104" s="3">
        <f t="shared" si="11"/>
        <v>1.851851852</v>
      </c>
      <c r="AG104" s="3">
        <f t="shared" si="12"/>
        <v>0.1111111111</v>
      </c>
    </row>
    <row r="105">
      <c r="A105" s="1" t="s">
        <v>12</v>
      </c>
      <c r="B105" s="1" t="s">
        <v>468</v>
      </c>
      <c r="C105" s="1" t="s">
        <v>20</v>
      </c>
      <c r="D105" s="1" t="s">
        <v>76</v>
      </c>
      <c r="E105" s="1" t="s">
        <v>67</v>
      </c>
      <c r="F105" s="1" t="s">
        <v>461</v>
      </c>
      <c r="G105" s="1">
        <v>1.5</v>
      </c>
      <c r="H105" s="1" t="s">
        <v>60</v>
      </c>
      <c r="I105" s="1">
        <v>-111.0</v>
      </c>
      <c r="J105" s="1">
        <v>-0.187859659658767</v>
      </c>
      <c r="K105" s="1" t="s">
        <v>61</v>
      </c>
      <c r="L105" s="1" t="s">
        <v>61</v>
      </c>
      <c r="M105" s="1" t="s">
        <v>62</v>
      </c>
      <c r="N105" s="1">
        <v>-118.0</v>
      </c>
      <c r="O105" s="1">
        <v>0.12050795441211</v>
      </c>
      <c r="P105" s="1" t="s">
        <v>61</v>
      </c>
      <c r="Q105" s="1" t="s">
        <v>61</v>
      </c>
      <c r="R105" s="1">
        <f t="shared" si="1"/>
        <v>0.1205079544</v>
      </c>
      <c r="S105" s="1">
        <f t="shared" si="2"/>
        <v>-118</v>
      </c>
      <c r="T105" s="1">
        <f t="shared" si="3"/>
        <v>1.847457627</v>
      </c>
      <c r="U105" s="1">
        <f t="shared" si="4"/>
        <v>0</v>
      </c>
      <c r="V105" s="3">
        <f t="shared" si="5"/>
        <v>3</v>
      </c>
      <c r="W105" s="3">
        <f t="shared" si="6"/>
        <v>3</v>
      </c>
      <c r="X105" s="3" t="str">
        <f>IFERROR(__xludf.DUMMYFUNCTION("split(B105,"" "")"),"N.")</f>
        <v>N.</v>
      </c>
      <c r="Y105" s="3" t="str">
        <f>IFERROR(__xludf.DUMMYFUNCTION("""COMPUTED_VALUE"""),"Gray")</f>
        <v>Gray</v>
      </c>
      <c r="AA105" s="3">
        <v>0.0</v>
      </c>
      <c r="AB105" s="3">
        <f t="shared" si="7"/>
        <v>0</v>
      </c>
      <c r="AC105" s="3">
        <f t="shared" si="8"/>
        <v>1</v>
      </c>
      <c r="AD105" s="3">
        <f t="shared" si="9"/>
        <v>2.542372881</v>
      </c>
      <c r="AE105" s="3">
        <f t="shared" si="10"/>
        <v>2.542372881</v>
      </c>
      <c r="AF105" s="3">
        <f t="shared" si="11"/>
        <v>2.542372881</v>
      </c>
      <c r="AG105" s="3">
        <f t="shared" si="12"/>
        <v>1</v>
      </c>
    </row>
    <row r="106">
      <c r="A106" s="1" t="s">
        <v>9</v>
      </c>
      <c r="B106" s="1" t="s">
        <v>237</v>
      </c>
      <c r="C106" s="1" t="s">
        <v>18</v>
      </c>
      <c r="D106" s="1" t="s">
        <v>76</v>
      </c>
      <c r="E106" s="1" t="s">
        <v>67</v>
      </c>
      <c r="F106" s="1" t="s">
        <v>461</v>
      </c>
      <c r="G106" s="1">
        <v>15.5</v>
      </c>
      <c r="H106" s="1" t="s">
        <v>60</v>
      </c>
      <c r="I106" s="1">
        <v>-120.0</v>
      </c>
      <c r="J106" s="1">
        <v>0.111396424306386</v>
      </c>
      <c r="K106" s="1" t="s">
        <v>61</v>
      </c>
      <c r="L106" s="1" t="s">
        <v>61</v>
      </c>
      <c r="M106" s="1" t="s">
        <v>62</v>
      </c>
      <c r="N106" s="1">
        <v>-110.0</v>
      </c>
      <c r="O106" s="1">
        <v>-0.180668260391169</v>
      </c>
      <c r="P106" s="1" t="s">
        <v>61</v>
      </c>
      <c r="Q106" s="1" t="s">
        <v>61</v>
      </c>
      <c r="R106" s="1">
        <f t="shared" si="1"/>
        <v>0.1113964243</v>
      </c>
      <c r="S106" s="1">
        <f t="shared" si="2"/>
        <v>-120</v>
      </c>
      <c r="T106" s="1">
        <f t="shared" si="3"/>
        <v>1.833333333</v>
      </c>
      <c r="U106" s="1">
        <f t="shared" si="4"/>
        <v>1</v>
      </c>
      <c r="V106" s="3">
        <f t="shared" si="5"/>
        <v>3</v>
      </c>
      <c r="W106" s="3">
        <f t="shared" si="6"/>
        <v>3</v>
      </c>
      <c r="X106" s="3" t="str">
        <f>IFERROR(__xludf.DUMMYFUNCTION("split(B106,"" "")"),"J.")</f>
        <v>J.</v>
      </c>
      <c r="Y106" s="3" t="str">
        <f>IFERROR(__xludf.DUMMYFUNCTION("""COMPUTED_VALUE"""),"Watson")</f>
        <v>Watson</v>
      </c>
      <c r="AA106" s="3">
        <v>22.0</v>
      </c>
      <c r="AB106" s="3">
        <f t="shared" si="7"/>
        <v>1</v>
      </c>
      <c r="AC106" s="3">
        <f t="shared" si="8"/>
        <v>1</v>
      </c>
      <c r="AD106" s="3">
        <f t="shared" si="9"/>
        <v>2.5</v>
      </c>
      <c r="AE106" s="3">
        <f t="shared" si="10"/>
        <v>2.5</v>
      </c>
      <c r="AF106" s="3">
        <f t="shared" si="11"/>
        <v>2.5</v>
      </c>
      <c r="AG106" s="3">
        <f t="shared" si="12"/>
        <v>0.4193548387</v>
      </c>
    </row>
    <row r="107">
      <c r="A107" s="1" t="s">
        <v>11</v>
      </c>
      <c r="B107" s="1" t="s">
        <v>295</v>
      </c>
      <c r="C107" s="1" t="s">
        <v>18</v>
      </c>
      <c r="D107" s="1" t="s">
        <v>76</v>
      </c>
      <c r="E107" s="1" t="s">
        <v>67</v>
      </c>
      <c r="F107" s="1" t="s">
        <v>461</v>
      </c>
      <c r="G107" s="1">
        <v>42.5</v>
      </c>
      <c r="H107" s="1" t="s">
        <v>60</v>
      </c>
      <c r="I107" s="1">
        <v>-116.0</v>
      </c>
      <c r="J107" s="1">
        <v>-0.108721101025462</v>
      </c>
      <c r="K107" s="1" t="s">
        <v>61</v>
      </c>
      <c r="L107" s="1" t="s">
        <v>61</v>
      </c>
      <c r="M107" s="1" t="s">
        <v>62</v>
      </c>
      <c r="N107" s="1">
        <v>-113.0</v>
      </c>
      <c r="O107" s="1">
        <v>0.0411926975346713</v>
      </c>
      <c r="P107" s="1" t="s">
        <v>61</v>
      </c>
      <c r="Q107" s="1" t="s">
        <v>61</v>
      </c>
      <c r="R107" s="1">
        <f t="shared" si="1"/>
        <v>0.04119269753</v>
      </c>
      <c r="S107" s="1">
        <f t="shared" si="2"/>
        <v>-113</v>
      </c>
      <c r="T107" s="1">
        <f t="shared" si="3"/>
        <v>1.884955752</v>
      </c>
      <c r="U107" s="1">
        <f t="shared" si="4"/>
        <v>0</v>
      </c>
      <c r="V107" s="3">
        <f t="shared" si="5"/>
        <v>1</v>
      </c>
      <c r="W107" s="3">
        <f t="shared" si="6"/>
        <v>2</v>
      </c>
      <c r="X107" s="3" t="str">
        <f>IFERROR(__xludf.DUMMYFUNCTION("split(B107,"" "")"),"X.")</f>
        <v>X.</v>
      </c>
      <c r="Y107" s="3" t="str">
        <f>IFERROR(__xludf.DUMMYFUNCTION("""COMPUTED_VALUE"""),"Worthy")</f>
        <v>Worthy</v>
      </c>
      <c r="AA107" s="3">
        <v>17.0</v>
      </c>
      <c r="AB107" s="3">
        <f t="shared" si="7"/>
        <v>0</v>
      </c>
      <c r="AC107" s="3">
        <f t="shared" si="8"/>
        <v>1</v>
      </c>
      <c r="AD107" s="3">
        <f t="shared" si="9"/>
        <v>0.8849557522</v>
      </c>
      <c r="AE107" s="3">
        <f t="shared" si="10"/>
        <v>0.8849557522</v>
      </c>
      <c r="AF107" s="3">
        <f t="shared" si="11"/>
        <v>1.769911504</v>
      </c>
      <c r="AG107" s="3">
        <f t="shared" si="12"/>
        <v>0.6</v>
      </c>
    </row>
    <row r="108">
      <c r="A108" s="1" t="s">
        <v>13</v>
      </c>
      <c r="B108" s="1" t="s">
        <v>75</v>
      </c>
      <c r="C108" s="1" t="s">
        <v>21</v>
      </c>
      <c r="D108" s="1" t="s">
        <v>76</v>
      </c>
      <c r="E108" s="1" t="s">
        <v>67</v>
      </c>
      <c r="F108" s="1" t="s">
        <v>461</v>
      </c>
      <c r="G108" s="1">
        <v>272.5</v>
      </c>
      <c r="H108" s="1" t="s">
        <v>60</v>
      </c>
      <c r="I108" s="1">
        <v>-115.0</v>
      </c>
      <c r="J108" s="1">
        <v>-0.0872467878813952</v>
      </c>
      <c r="K108" s="1" t="s">
        <v>61</v>
      </c>
      <c r="L108" s="1" t="s">
        <v>61</v>
      </c>
      <c r="M108" s="1" t="s">
        <v>62</v>
      </c>
      <c r="N108" s="1">
        <v>-115.0</v>
      </c>
      <c r="O108" s="1">
        <v>0.0174580764186045</v>
      </c>
      <c r="P108" s="1" t="s">
        <v>61</v>
      </c>
      <c r="Q108" s="1" t="s">
        <v>61</v>
      </c>
      <c r="R108" s="1">
        <f t="shared" si="1"/>
        <v>0.01745807642</v>
      </c>
      <c r="S108" s="1">
        <f t="shared" si="2"/>
        <v>-115</v>
      </c>
      <c r="T108" s="1">
        <f t="shared" si="3"/>
        <v>1.869565217</v>
      </c>
      <c r="U108" s="1">
        <f t="shared" si="4"/>
        <v>0</v>
      </c>
      <c r="V108" s="3">
        <f t="shared" si="5"/>
        <v>1</v>
      </c>
      <c r="W108" s="3">
        <f t="shared" si="6"/>
        <v>2</v>
      </c>
      <c r="X108" s="3" t="str">
        <f>IFERROR(__xludf.DUMMYFUNCTION("split(B108,"" "")"),"P.")</f>
        <v>P.</v>
      </c>
      <c r="Y108" s="3" t="str">
        <f>IFERROR(__xludf.DUMMYFUNCTION("""COMPUTED_VALUE"""),"Mahomes")</f>
        <v>Mahomes</v>
      </c>
      <c r="AA108" s="3">
        <v>151.0</v>
      </c>
      <c r="AB108" s="3">
        <f t="shared" si="7"/>
        <v>0</v>
      </c>
      <c r="AC108" s="3">
        <f t="shared" si="8"/>
        <v>1</v>
      </c>
      <c r="AD108" s="3">
        <f t="shared" si="9"/>
        <v>0.8695652174</v>
      </c>
      <c r="AE108" s="3">
        <f t="shared" si="10"/>
        <v>0.8695652174</v>
      </c>
      <c r="AF108" s="3">
        <f t="shared" si="11"/>
        <v>1.739130435</v>
      </c>
      <c r="AG108" s="3">
        <f t="shared" si="12"/>
        <v>0.4458715596</v>
      </c>
    </row>
    <row r="109">
      <c r="A109" s="1" t="s">
        <v>11</v>
      </c>
      <c r="B109" s="1" t="s">
        <v>326</v>
      </c>
      <c r="C109" s="1" t="s">
        <v>20</v>
      </c>
      <c r="D109" s="1" t="s">
        <v>76</v>
      </c>
      <c r="E109" s="1" t="s">
        <v>67</v>
      </c>
      <c r="F109" s="1" t="s">
        <v>461</v>
      </c>
      <c r="G109" s="1">
        <v>54.5</v>
      </c>
      <c r="H109" s="1" t="s">
        <v>60</v>
      </c>
      <c r="I109" s="1">
        <v>-113.0</v>
      </c>
      <c r="J109" s="1">
        <v>-0.0714031188689201</v>
      </c>
      <c r="K109" s="1" t="s">
        <v>61</v>
      </c>
      <c r="L109" s="1" t="s">
        <v>61</v>
      </c>
      <c r="M109" s="1" t="s">
        <v>62</v>
      </c>
      <c r="N109" s="1">
        <v>-116.0</v>
      </c>
      <c r="O109" s="1">
        <v>0.00387631996925919</v>
      </c>
      <c r="P109" s="1" t="s">
        <v>61</v>
      </c>
      <c r="Q109" s="1" t="s">
        <v>61</v>
      </c>
      <c r="R109" s="1">
        <f t="shared" si="1"/>
        <v>0.003876319969</v>
      </c>
      <c r="S109" s="1">
        <f t="shared" si="2"/>
        <v>-116</v>
      </c>
      <c r="T109" s="1">
        <f t="shared" si="3"/>
        <v>1.862068966</v>
      </c>
      <c r="U109" s="1">
        <f t="shared" si="4"/>
        <v>0</v>
      </c>
      <c r="V109" s="3">
        <f t="shared" si="5"/>
        <v>1</v>
      </c>
      <c r="W109" s="3">
        <f t="shared" si="6"/>
        <v>2</v>
      </c>
      <c r="X109" s="3" t="str">
        <f>IFERROR(__xludf.DUMMYFUNCTION("split(B109,"" "")"),"T.")</f>
        <v>T.</v>
      </c>
      <c r="Y109" s="3" t="str">
        <f>IFERROR(__xludf.DUMMYFUNCTION("""COMPUTED_VALUE"""),"Kelce")</f>
        <v>Kelce</v>
      </c>
      <c r="AA109" s="3">
        <v>5.0</v>
      </c>
      <c r="AB109" s="3">
        <f t="shared" si="7"/>
        <v>0</v>
      </c>
      <c r="AC109" s="3">
        <f t="shared" si="8"/>
        <v>1</v>
      </c>
      <c r="AD109" s="3">
        <f t="shared" si="9"/>
        <v>0.8620689655</v>
      </c>
      <c r="AE109" s="3">
        <f t="shared" si="10"/>
        <v>0.8620689655</v>
      </c>
      <c r="AF109" s="3">
        <f t="shared" si="11"/>
        <v>1.724137931</v>
      </c>
      <c r="AG109" s="3">
        <f t="shared" si="12"/>
        <v>0.9082568807</v>
      </c>
    </row>
    <row r="110">
      <c r="A110" s="1" t="s">
        <v>12</v>
      </c>
      <c r="B110" s="1" t="s">
        <v>295</v>
      </c>
      <c r="C110" s="1" t="s">
        <v>18</v>
      </c>
      <c r="D110" s="1" t="s">
        <v>76</v>
      </c>
      <c r="E110" s="1" t="s">
        <v>67</v>
      </c>
      <c r="F110" s="1" t="s">
        <v>461</v>
      </c>
      <c r="G110" s="1">
        <v>3.5</v>
      </c>
      <c r="H110" s="1" t="s">
        <v>60</v>
      </c>
      <c r="I110" s="1">
        <v>130.0</v>
      </c>
      <c r="J110" s="1">
        <v>-0.0692391304347826</v>
      </c>
      <c r="K110" s="1" t="s">
        <v>61</v>
      </c>
      <c r="L110" s="1" t="s">
        <v>61</v>
      </c>
      <c r="M110" s="1" t="s">
        <v>62</v>
      </c>
      <c r="N110" s="1">
        <v>-172.0</v>
      </c>
      <c r="O110" s="1">
        <v>0.00211029411764707</v>
      </c>
      <c r="P110" s="1" t="s">
        <v>61</v>
      </c>
      <c r="Q110" s="1" t="s">
        <v>61</v>
      </c>
      <c r="R110" s="1">
        <f t="shared" si="1"/>
        <v>0.002110294118</v>
      </c>
      <c r="S110" s="1">
        <f t="shared" si="2"/>
        <v>-172</v>
      </c>
      <c r="T110" s="1">
        <f t="shared" si="3"/>
        <v>1.581395349</v>
      </c>
      <c r="U110" s="1">
        <f t="shared" si="4"/>
        <v>0</v>
      </c>
      <c r="V110" s="3">
        <f t="shared" si="5"/>
        <v>1</v>
      </c>
      <c r="W110" s="3">
        <f t="shared" si="6"/>
        <v>3</v>
      </c>
      <c r="X110" s="3" t="str">
        <f>IFERROR(__xludf.DUMMYFUNCTION("split(B110,"" "")"),"X.")</f>
        <v>X.</v>
      </c>
      <c r="Y110" s="3" t="str">
        <f>IFERROR(__xludf.DUMMYFUNCTION("""COMPUTED_VALUE"""),"Worthy")</f>
        <v>Worthy</v>
      </c>
      <c r="AA110" s="3">
        <v>2.0</v>
      </c>
      <c r="AB110" s="3">
        <f t="shared" si="7"/>
        <v>0</v>
      </c>
      <c r="AC110" s="3">
        <f t="shared" si="8"/>
        <v>1</v>
      </c>
      <c r="AD110" s="3">
        <f t="shared" si="9"/>
        <v>0.5813953488</v>
      </c>
      <c r="AE110" s="3">
        <f t="shared" si="10"/>
        <v>0.5813953488</v>
      </c>
      <c r="AF110" s="3">
        <f t="shared" si="11"/>
        <v>1.744186047</v>
      </c>
      <c r="AG110" s="3">
        <f t="shared" si="12"/>
        <v>0.4285714286</v>
      </c>
    </row>
    <row r="111">
      <c r="A111" s="1" t="s">
        <v>17</v>
      </c>
      <c r="B111" s="1" t="s">
        <v>247</v>
      </c>
      <c r="C111" s="1" t="s">
        <v>21</v>
      </c>
      <c r="D111" s="1" t="s">
        <v>196</v>
      </c>
      <c r="E111" s="1" t="s">
        <v>105</v>
      </c>
      <c r="F111" s="1" t="s">
        <v>450</v>
      </c>
      <c r="G111" s="1">
        <v>0.5</v>
      </c>
      <c r="H111" s="1" t="s">
        <v>60</v>
      </c>
      <c r="I111" s="1">
        <v>-139.0</v>
      </c>
      <c r="J111" s="1">
        <v>-0.138289958158995</v>
      </c>
      <c r="K111" s="1" t="s">
        <v>61</v>
      </c>
      <c r="L111" s="1" t="s">
        <v>61</v>
      </c>
      <c r="M111" s="1" t="s">
        <v>62</v>
      </c>
      <c r="N111" s="1">
        <v>106.0</v>
      </c>
      <c r="O111" s="1">
        <v>0.0712631067961164</v>
      </c>
      <c r="P111" s="1" t="s">
        <v>61</v>
      </c>
      <c r="Q111" s="1" t="s">
        <v>61</v>
      </c>
      <c r="R111" s="1">
        <f t="shared" si="1"/>
        <v>0.0712631068</v>
      </c>
      <c r="S111" s="1">
        <f t="shared" si="2"/>
        <v>106</v>
      </c>
      <c r="T111" s="1">
        <f t="shared" si="3"/>
        <v>2.06</v>
      </c>
      <c r="U111" s="1">
        <f t="shared" si="4"/>
        <v>0</v>
      </c>
      <c r="V111" s="3">
        <f t="shared" si="5"/>
        <v>2</v>
      </c>
      <c r="W111" s="3">
        <f t="shared" si="6"/>
        <v>2</v>
      </c>
      <c r="X111" s="3" t="str">
        <f>IFERROR(__xludf.DUMMYFUNCTION("split(B111,"" "")"),"M.")</f>
        <v>M.</v>
      </c>
      <c r="Y111" s="3" t="str">
        <f>IFERROR(__xludf.DUMMYFUNCTION("""COMPUTED_VALUE"""),"Stafford")</f>
        <v>Stafford</v>
      </c>
      <c r="AA111" s="3">
        <v>0.0</v>
      </c>
      <c r="AB111" s="3">
        <f t="shared" si="7"/>
        <v>0</v>
      </c>
      <c r="AC111" s="3">
        <f t="shared" si="8"/>
        <v>1</v>
      </c>
      <c r="AD111" s="3">
        <f t="shared" si="9"/>
        <v>2.12</v>
      </c>
      <c r="AE111" s="3">
        <f t="shared" si="10"/>
        <v>2.12</v>
      </c>
      <c r="AF111" s="3">
        <f t="shared" si="11"/>
        <v>2.12</v>
      </c>
      <c r="AG111" s="3">
        <f t="shared" si="12"/>
        <v>1</v>
      </c>
    </row>
    <row r="112">
      <c r="A112" s="1" t="s">
        <v>9</v>
      </c>
      <c r="B112" s="1" t="s">
        <v>469</v>
      </c>
      <c r="C112" s="1" t="s">
        <v>18</v>
      </c>
      <c r="D112" s="1" t="s">
        <v>196</v>
      </c>
      <c r="E112" s="1" t="s">
        <v>105</v>
      </c>
      <c r="F112" s="1" t="s">
        <v>450</v>
      </c>
      <c r="G112" s="1">
        <v>90.5</v>
      </c>
      <c r="H112" s="1" t="s">
        <v>60</v>
      </c>
      <c r="I112" s="1">
        <v>-120.0</v>
      </c>
      <c r="J112" s="1">
        <v>-0.126871018038492</v>
      </c>
      <c r="K112" s="1" t="s">
        <v>61</v>
      </c>
      <c r="L112" s="1" t="s">
        <v>61</v>
      </c>
      <c r="M112" s="1" t="s">
        <v>62</v>
      </c>
      <c r="N112" s="1">
        <v>-115.0</v>
      </c>
      <c r="O112" s="1">
        <v>0.0465696596545979</v>
      </c>
      <c r="P112" s="1" t="s">
        <v>61</v>
      </c>
      <c r="Q112" s="1" t="s">
        <v>61</v>
      </c>
      <c r="R112" s="1">
        <f t="shared" si="1"/>
        <v>0.04656965965</v>
      </c>
      <c r="S112" s="1">
        <f t="shared" si="2"/>
        <v>-115</v>
      </c>
      <c r="T112" s="1">
        <f t="shared" si="3"/>
        <v>1.869565217</v>
      </c>
      <c r="U112" s="1">
        <f t="shared" si="4"/>
        <v>0</v>
      </c>
      <c r="V112" s="3">
        <f t="shared" si="5"/>
        <v>1</v>
      </c>
      <c r="W112" s="3">
        <f t="shared" si="6"/>
        <v>2</v>
      </c>
      <c r="X112" s="3" t="str">
        <f>IFERROR(__xludf.DUMMYFUNCTION("split(B112,"" "")"),"C.")</f>
        <v>C.</v>
      </c>
      <c r="Y112" s="3" t="str">
        <f>IFERROR(__xludf.DUMMYFUNCTION("""COMPUTED_VALUE"""),"Kupp")</f>
        <v>Kupp</v>
      </c>
      <c r="AA112" s="3">
        <v>37.0</v>
      </c>
      <c r="AB112" s="3">
        <f t="shared" si="7"/>
        <v>0</v>
      </c>
      <c r="AC112" s="3">
        <f t="shared" si="8"/>
        <v>1</v>
      </c>
      <c r="AD112" s="3">
        <f t="shared" si="9"/>
        <v>0.8695652174</v>
      </c>
      <c r="AE112" s="3">
        <f t="shared" si="10"/>
        <v>0.8695652174</v>
      </c>
      <c r="AF112" s="3">
        <f t="shared" si="11"/>
        <v>1.739130435</v>
      </c>
      <c r="AG112" s="3">
        <f t="shared" si="12"/>
        <v>0.591160221</v>
      </c>
    </row>
    <row r="113">
      <c r="A113" s="1" t="s">
        <v>14</v>
      </c>
      <c r="B113" s="1" t="s">
        <v>247</v>
      </c>
      <c r="C113" s="1" t="s">
        <v>21</v>
      </c>
      <c r="D113" s="1" t="s">
        <v>196</v>
      </c>
      <c r="E113" s="1" t="s">
        <v>105</v>
      </c>
      <c r="F113" s="1" t="s">
        <v>450</v>
      </c>
      <c r="G113" s="1">
        <v>1.5</v>
      </c>
      <c r="H113" s="1" t="s">
        <v>60</v>
      </c>
      <c r="I113" s="1">
        <v>-138.0</v>
      </c>
      <c r="J113" s="1">
        <v>-0.102289915966386</v>
      </c>
      <c r="K113" s="1" t="s">
        <v>61</v>
      </c>
      <c r="L113" s="1" t="s">
        <v>61</v>
      </c>
      <c r="M113" s="1" t="s">
        <v>62</v>
      </c>
      <c r="N113" s="1">
        <v>106.0</v>
      </c>
      <c r="O113" s="1">
        <v>0.037014563106796</v>
      </c>
      <c r="P113" s="1" t="s">
        <v>61</v>
      </c>
      <c r="Q113" s="1" t="s">
        <v>61</v>
      </c>
      <c r="R113" s="1">
        <f t="shared" si="1"/>
        <v>0.03701456311</v>
      </c>
      <c r="S113" s="1">
        <f t="shared" si="2"/>
        <v>106</v>
      </c>
      <c r="T113" s="1">
        <f t="shared" si="3"/>
        <v>2.06</v>
      </c>
      <c r="U113" s="1">
        <f t="shared" si="4"/>
        <v>0</v>
      </c>
      <c r="V113" s="3">
        <f t="shared" si="5"/>
        <v>1</v>
      </c>
      <c r="W113" s="3">
        <f t="shared" si="6"/>
        <v>2</v>
      </c>
      <c r="X113" s="3" t="str">
        <f>IFERROR(__xludf.DUMMYFUNCTION("split(B113,"" "")"),"M.")</f>
        <v>M.</v>
      </c>
      <c r="Y113" s="3" t="str">
        <f>IFERROR(__xludf.DUMMYFUNCTION("""COMPUTED_VALUE"""),"Stafford")</f>
        <v>Stafford</v>
      </c>
      <c r="AA113" s="3">
        <v>0.0</v>
      </c>
      <c r="AB113" s="3">
        <f t="shared" si="7"/>
        <v>0</v>
      </c>
      <c r="AC113" s="3">
        <f t="shared" si="8"/>
        <v>1</v>
      </c>
      <c r="AD113" s="3">
        <f t="shared" si="9"/>
        <v>1.06</v>
      </c>
      <c r="AE113" s="3">
        <f t="shared" si="10"/>
        <v>1.06</v>
      </c>
      <c r="AF113" s="3">
        <f t="shared" si="11"/>
        <v>2.12</v>
      </c>
      <c r="AG113" s="3">
        <f t="shared" si="12"/>
        <v>1</v>
      </c>
    </row>
    <row r="114">
      <c r="A114" s="1" t="s">
        <v>12</v>
      </c>
      <c r="B114" s="1" t="s">
        <v>470</v>
      </c>
      <c r="C114" s="1" t="s">
        <v>20</v>
      </c>
      <c r="D114" s="1" t="s">
        <v>196</v>
      </c>
      <c r="E114" s="1" t="s">
        <v>105</v>
      </c>
      <c r="F114" s="1" t="s">
        <v>450</v>
      </c>
      <c r="G114" s="1">
        <v>3.5</v>
      </c>
      <c r="H114" s="1" t="s">
        <v>60</v>
      </c>
      <c r="I114" s="1">
        <v>125.0</v>
      </c>
      <c r="J114" s="1">
        <v>-0.0938999999999999</v>
      </c>
      <c r="K114" s="1" t="s">
        <v>61</v>
      </c>
      <c r="L114" s="1" t="s">
        <v>61</v>
      </c>
      <c r="M114" s="1" t="s">
        <v>62</v>
      </c>
      <c r="N114" s="1">
        <v>-165.0</v>
      </c>
      <c r="O114" s="1">
        <v>0.0268207547169809</v>
      </c>
      <c r="P114" s="1" t="s">
        <v>61</v>
      </c>
      <c r="Q114" s="1" t="s">
        <v>61</v>
      </c>
      <c r="R114" s="1">
        <f t="shared" si="1"/>
        <v>0.02682075472</v>
      </c>
      <c r="S114" s="1">
        <f t="shared" si="2"/>
        <v>-165</v>
      </c>
      <c r="T114" s="1">
        <f t="shared" si="3"/>
        <v>1.606060606</v>
      </c>
      <c r="U114" s="1">
        <f t="shared" si="4"/>
        <v>0</v>
      </c>
      <c r="V114" s="3">
        <f t="shared" si="5"/>
        <v>1</v>
      </c>
      <c r="W114" s="3">
        <f t="shared" si="6"/>
        <v>3</v>
      </c>
      <c r="X114" s="3" t="str">
        <f>IFERROR(__xludf.DUMMYFUNCTION("split(B114,"" "")"),"C.")</f>
        <v>C.</v>
      </c>
      <c r="Y114" s="3" t="str">
        <f>IFERROR(__xludf.DUMMYFUNCTION("""COMPUTED_VALUE"""),"Parkinson")</f>
        <v>Parkinson</v>
      </c>
      <c r="AA114" s="3">
        <v>1.0</v>
      </c>
      <c r="AB114" s="3">
        <f t="shared" si="7"/>
        <v>0</v>
      </c>
      <c r="AC114" s="3">
        <f t="shared" si="8"/>
        <v>1</v>
      </c>
      <c r="AD114" s="3">
        <f t="shared" si="9"/>
        <v>0.6060606061</v>
      </c>
      <c r="AE114" s="3">
        <f t="shared" si="10"/>
        <v>0.6060606061</v>
      </c>
      <c r="AF114" s="3">
        <f t="shared" si="11"/>
        <v>1.818181818</v>
      </c>
      <c r="AG114" s="3">
        <f t="shared" si="12"/>
        <v>0.7142857143</v>
      </c>
    </row>
    <row r="115">
      <c r="A115" s="1" t="s">
        <v>11</v>
      </c>
      <c r="B115" s="1" t="s">
        <v>470</v>
      </c>
      <c r="C115" s="1" t="s">
        <v>20</v>
      </c>
      <c r="D115" s="1" t="s">
        <v>196</v>
      </c>
      <c r="E115" s="1" t="s">
        <v>105</v>
      </c>
      <c r="F115" s="1" t="s">
        <v>450</v>
      </c>
      <c r="G115" s="1">
        <v>29.5</v>
      </c>
      <c r="H115" s="1" t="s">
        <v>60</v>
      </c>
      <c r="I115" s="1">
        <v>-116.0</v>
      </c>
      <c r="J115" s="1">
        <v>-0.091199843246065</v>
      </c>
      <c r="K115" s="1" t="s">
        <v>61</v>
      </c>
      <c r="L115" s="1" t="s">
        <v>61</v>
      </c>
      <c r="M115" s="1" t="s">
        <v>62</v>
      </c>
      <c r="N115" s="1">
        <v>-114.0</v>
      </c>
      <c r="O115" s="1">
        <v>0.0214607166947993</v>
      </c>
      <c r="P115" s="1" t="s">
        <v>61</v>
      </c>
      <c r="Q115" s="1" t="s">
        <v>61</v>
      </c>
      <c r="R115" s="1">
        <f t="shared" si="1"/>
        <v>0.02146071669</v>
      </c>
      <c r="S115" s="1">
        <f t="shared" si="2"/>
        <v>-114</v>
      </c>
      <c r="T115" s="1">
        <f t="shared" si="3"/>
        <v>1.877192982</v>
      </c>
      <c r="U115" s="1">
        <f t="shared" si="4"/>
        <v>0</v>
      </c>
      <c r="V115" s="3">
        <f t="shared" si="5"/>
        <v>1</v>
      </c>
      <c r="W115" s="3">
        <f t="shared" si="6"/>
        <v>2</v>
      </c>
      <c r="X115" s="3" t="str">
        <f>IFERROR(__xludf.DUMMYFUNCTION("split(B115,"" "")"),"C.")</f>
        <v>C.</v>
      </c>
      <c r="Y115" s="3" t="str">
        <f>IFERROR(__xludf.DUMMYFUNCTION("""COMPUTED_VALUE"""),"Parkinson")</f>
        <v>Parkinson</v>
      </c>
      <c r="AA115" s="3">
        <v>12.0</v>
      </c>
      <c r="AB115" s="3">
        <f t="shared" si="7"/>
        <v>0</v>
      </c>
      <c r="AC115" s="3">
        <f t="shared" si="8"/>
        <v>1</v>
      </c>
      <c r="AD115" s="3">
        <f t="shared" si="9"/>
        <v>0.8771929825</v>
      </c>
      <c r="AE115" s="3">
        <f t="shared" si="10"/>
        <v>0.8771929825</v>
      </c>
      <c r="AF115" s="3">
        <f t="shared" si="11"/>
        <v>1.754385965</v>
      </c>
      <c r="AG115" s="3">
        <f t="shared" si="12"/>
        <v>0.593220339</v>
      </c>
    </row>
    <row r="116">
      <c r="A116" s="1" t="s">
        <v>9</v>
      </c>
      <c r="B116" s="1" t="s">
        <v>368</v>
      </c>
      <c r="C116" s="1" t="s">
        <v>19</v>
      </c>
      <c r="D116" s="1" t="s">
        <v>196</v>
      </c>
      <c r="E116" s="1" t="s">
        <v>105</v>
      </c>
      <c r="F116" s="1" t="s">
        <v>450</v>
      </c>
      <c r="G116" s="1">
        <v>95.5</v>
      </c>
      <c r="H116" s="1" t="s">
        <v>60</v>
      </c>
      <c r="I116" s="1">
        <v>-116.0</v>
      </c>
      <c r="J116" s="1">
        <v>-0.0926839218112068</v>
      </c>
      <c r="K116" s="1" t="s">
        <v>61</v>
      </c>
      <c r="L116" s="1" t="s">
        <v>61</v>
      </c>
      <c r="M116" s="1" t="s">
        <v>62</v>
      </c>
      <c r="N116" s="1">
        <v>-116.0</v>
      </c>
      <c r="O116" s="1">
        <v>0.018616864005</v>
      </c>
      <c r="P116" s="1" t="s">
        <v>61</v>
      </c>
      <c r="Q116" s="1" t="s">
        <v>61</v>
      </c>
      <c r="R116" s="1">
        <f t="shared" si="1"/>
        <v>0.01861686401</v>
      </c>
      <c r="S116" s="1">
        <f t="shared" si="2"/>
        <v>-116</v>
      </c>
      <c r="T116" s="1">
        <f t="shared" si="3"/>
        <v>1.862068966</v>
      </c>
      <c r="U116" s="1">
        <f t="shared" si="4"/>
        <v>0</v>
      </c>
      <c r="V116" s="3">
        <f t="shared" si="5"/>
        <v>1</v>
      </c>
      <c r="W116" s="3">
        <f t="shared" si="6"/>
        <v>2</v>
      </c>
      <c r="X116" s="3" t="str">
        <f>IFERROR(__xludf.DUMMYFUNCTION("split(B116,"" "")"),"K.")</f>
        <v>K.</v>
      </c>
      <c r="Y116" s="3" t="str">
        <f>IFERROR(__xludf.DUMMYFUNCTION("""COMPUTED_VALUE"""),"Williams")</f>
        <v>Williams</v>
      </c>
      <c r="AA116" s="3">
        <v>52.0</v>
      </c>
      <c r="AB116" s="3">
        <f t="shared" si="7"/>
        <v>0</v>
      </c>
      <c r="AC116" s="3">
        <f t="shared" si="8"/>
        <v>1</v>
      </c>
      <c r="AD116" s="3">
        <f t="shared" si="9"/>
        <v>0.8620689655</v>
      </c>
      <c r="AE116" s="3">
        <f t="shared" si="10"/>
        <v>0.8620689655</v>
      </c>
      <c r="AF116" s="3">
        <f t="shared" si="11"/>
        <v>1.724137931</v>
      </c>
      <c r="AG116" s="3">
        <f t="shared" si="12"/>
        <v>0.4554973822</v>
      </c>
    </row>
    <row r="117">
      <c r="A117" s="1" t="s">
        <v>10</v>
      </c>
      <c r="B117" s="1" t="s">
        <v>368</v>
      </c>
      <c r="C117" s="1" t="s">
        <v>19</v>
      </c>
      <c r="D117" s="1" t="s">
        <v>196</v>
      </c>
      <c r="E117" s="1" t="s">
        <v>105</v>
      </c>
      <c r="F117" s="1" t="s">
        <v>450</v>
      </c>
      <c r="G117" s="1">
        <v>73.5</v>
      </c>
      <c r="H117" s="1" t="s">
        <v>60</v>
      </c>
      <c r="I117" s="1">
        <v>-118.0</v>
      </c>
      <c r="J117" s="1">
        <v>-0.0742745557944494</v>
      </c>
      <c r="K117" s="1" t="s">
        <v>61</v>
      </c>
      <c r="L117" s="1" t="s">
        <v>61</v>
      </c>
      <c r="M117" s="1" t="s">
        <v>62</v>
      </c>
      <c r="N117" s="1">
        <v>-112.0</v>
      </c>
      <c r="O117" s="1">
        <v>0.00470065061340319</v>
      </c>
      <c r="P117" s="1" t="s">
        <v>61</v>
      </c>
      <c r="Q117" s="1" t="s">
        <v>61</v>
      </c>
      <c r="R117" s="1">
        <f t="shared" si="1"/>
        <v>0.004700650613</v>
      </c>
      <c r="S117" s="1">
        <f t="shared" si="2"/>
        <v>-112</v>
      </c>
      <c r="T117" s="1">
        <f t="shared" si="3"/>
        <v>1.892857143</v>
      </c>
      <c r="U117" s="1">
        <f t="shared" si="4"/>
        <v>0</v>
      </c>
      <c r="V117" s="3">
        <f t="shared" si="5"/>
        <v>1</v>
      </c>
      <c r="W117" s="3">
        <f t="shared" si="6"/>
        <v>2</v>
      </c>
      <c r="X117" s="3" t="str">
        <f>IFERROR(__xludf.DUMMYFUNCTION("split(B117,"" "")"),"K.")</f>
        <v>K.</v>
      </c>
      <c r="Y117" s="3" t="str">
        <f>IFERROR(__xludf.DUMMYFUNCTION("""COMPUTED_VALUE"""),"Williams")</f>
        <v>Williams</v>
      </c>
      <c r="AA117" s="3">
        <v>25.0</v>
      </c>
      <c r="AB117" s="3">
        <f t="shared" si="7"/>
        <v>0</v>
      </c>
      <c r="AC117" s="3">
        <f t="shared" si="8"/>
        <v>1</v>
      </c>
      <c r="AD117" s="3">
        <f t="shared" si="9"/>
        <v>0.8928571429</v>
      </c>
      <c r="AE117" s="3">
        <f t="shared" si="10"/>
        <v>0.8928571429</v>
      </c>
      <c r="AF117" s="3">
        <f t="shared" si="11"/>
        <v>1.785714286</v>
      </c>
      <c r="AG117" s="3">
        <f t="shared" si="12"/>
        <v>0.6598639456</v>
      </c>
    </row>
    <row r="118">
      <c r="A118" s="1" t="s">
        <v>11</v>
      </c>
      <c r="B118" s="1" t="s">
        <v>469</v>
      </c>
      <c r="C118" s="1" t="s">
        <v>18</v>
      </c>
      <c r="D118" s="1" t="s">
        <v>196</v>
      </c>
      <c r="E118" s="1" t="s">
        <v>105</v>
      </c>
      <c r="F118" s="1" t="s">
        <v>450</v>
      </c>
      <c r="G118" s="1">
        <v>85.5</v>
      </c>
      <c r="H118" s="1" t="s">
        <v>60</v>
      </c>
      <c r="I118" s="1">
        <v>-118.0</v>
      </c>
      <c r="J118" s="1">
        <v>-0.0679628140659632</v>
      </c>
      <c r="K118" s="1" t="s">
        <v>61</v>
      </c>
      <c r="L118" s="1" t="s">
        <v>61</v>
      </c>
      <c r="M118" s="1" t="s">
        <v>62</v>
      </c>
      <c r="N118" s="1">
        <v>-111.0</v>
      </c>
      <c r="O118" s="1">
        <v>5.77417726009166E-4</v>
      </c>
      <c r="P118" s="1" t="s">
        <v>61</v>
      </c>
      <c r="Q118" s="1" t="s">
        <v>61</v>
      </c>
      <c r="R118" s="1">
        <f t="shared" si="1"/>
        <v>0.000577417726</v>
      </c>
      <c r="S118" s="1">
        <f t="shared" si="2"/>
        <v>-111</v>
      </c>
      <c r="T118" s="1">
        <f t="shared" si="3"/>
        <v>1.900900901</v>
      </c>
      <c r="U118" s="1">
        <f t="shared" si="4"/>
        <v>0</v>
      </c>
      <c r="V118" s="3">
        <f t="shared" si="5"/>
        <v>1</v>
      </c>
      <c r="W118" s="3">
        <f t="shared" si="6"/>
        <v>2</v>
      </c>
      <c r="X118" s="3" t="str">
        <f>IFERROR(__xludf.DUMMYFUNCTION("split(B118,"" "")"),"C.")</f>
        <v>C.</v>
      </c>
      <c r="Y118" s="3" t="str">
        <f>IFERROR(__xludf.DUMMYFUNCTION("""COMPUTED_VALUE"""),"Kupp")</f>
        <v>Kupp</v>
      </c>
      <c r="AA118" s="3">
        <v>37.0</v>
      </c>
      <c r="AB118" s="3">
        <f t="shared" si="7"/>
        <v>0</v>
      </c>
      <c r="AC118" s="3">
        <f t="shared" si="8"/>
        <v>1</v>
      </c>
      <c r="AD118" s="3">
        <f t="shared" si="9"/>
        <v>0.9009009009</v>
      </c>
      <c r="AE118" s="3">
        <f t="shared" si="10"/>
        <v>0.9009009009</v>
      </c>
      <c r="AF118" s="3">
        <f t="shared" si="11"/>
        <v>1.801801802</v>
      </c>
      <c r="AG118" s="3">
        <f t="shared" si="12"/>
        <v>0.567251462</v>
      </c>
    </row>
    <row r="119">
      <c r="A119" s="1" t="s">
        <v>12</v>
      </c>
      <c r="B119" s="1" t="s">
        <v>381</v>
      </c>
      <c r="C119" s="1" t="s">
        <v>18</v>
      </c>
      <c r="D119" s="1" t="s">
        <v>135</v>
      </c>
      <c r="E119" s="1" t="s">
        <v>57</v>
      </c>
      <c r="F119" s="1" t="s">
        <v>455</v>
      </c>
      <c r="G119" s="1">
        <v>3.5</v>
      </c>
      <c r="H119" s="1" t="s">
        <v>60</v>
      </c>
      <c r="I119" s="1">
        <v>-161.0</v>
      </c>
      <c r="J119" s="1">
        <v>-0.228396551724137</v>
      </c>
      <c r="K119" s="1" t="s">
        <v>61</v>
      </c>
      <c r="L119" s="1" t="s">
        <v>61</v>
      </c>
      <c r="M119" s="1" t="s">
        <v>62</v>
      </c>
      <c r="N119" s="1">
        <v>131.0</v>
      </c>
      <c r="O119" s="1">
        <v>0.178642857142857</v>
      </c>
      <c r="P119" s="1" t="s">
        <v>61</v>
      </c>
      <c r="Q119" s="1" t="s">
        <v>61</v>
      </c>
      <c r="R119" s="1">
        <f t="shared" si="1"/>
        <v>0.1786428571</v>
      </c>
      <c r="S119" s="1">
        <f t="shared" si="2"/>
        <v>131</v>
      </c>
      <c r="T119" s="1">
        <f t="shared" si="3"/>
        <v>2.31</v>
      </c>
      <c r="U119" s="1">
        <f t="shared" si="4"/>
        <v>0</v>
      </c>
      <c r="V119" s="3">
        <f t="shared" si="5"/>
        <v>3</v>
      </c>
      <c r="W119" s="3">
        <f t="shared" si="6"/>
        <v>1</v>
      </c>
      <c r="X119" s="3" t="str">
        <f>IFERROR(__xludf.DUMMYFUNCTION("split(B119,"" "")"),"J.")</f>
        <v>J.</v>
      </c>
      <c r="Y119" s="3" t="str">
        <f>IFERROR(__xludf.DUMMYFUNCTION("""COMPUTED_VALUE"""),"Palmer")</f>
        <v>Palmer</v>
      </c>
      <c r="AA119" s="3">
        <v>2.0</v>
      </c>
      <c r="AB119" s="3">
        <f t="shared" si="7"/>
        <v>0</v>
      </c>
      <c r="AC119" s="3">
        <f t="shared" si="8"/>
        <v>1</v>
      </c>
      <c r="AD119" s="3">
        <f t="shared" si="9"/>
        <v>3.93</v>
      </c>
      <c r="AE119" s="3">
        <f t="shared" si="10"/>
        <v>3.93</v>
      </c>
      <c r="AF119" s="3">
        <f t="shared" si="11"/>
        <v>1.31</v>
      </c>
      <c r="AG119" s="3">
        <f t="shared" si="12"/>
        <v>0.4285714286</v>
      </c>
    </row>
    <row r="120">
      <c r="A120" s="1" t="s">
        <v>12</v>
      </c>
      <c r="B120" s="1" t="s">
        <v>439</v>
      </c>
      <c r="C120" s="1" t="s">
        <v>19</v>
      </c>
      <c r="D120" s="1" t="s">
        <v>135</v>
      </c>
      <c r="E120" s="1" t="s">
        <v>57</v>
      </c>
      <c r="F120" s="1" t="s">
        <v>455</v>
      </c>
      <c r="G120" s="1">
        <v>0.5</v>
      </c>
      <c r="H120" s="1" t="s">
        <v>60</v>
      </c>
      <c r="I120" s="1">
        <v>-239.0</v>
      </c>
      <c r="J120" s="1">
        <v>-0.180740304694395</v>
      </c>
      <c r="K120" s="1" t="s">
        <v>61</v>
      </c>
      <c r="L120" s="1" t="s">
        <v>61</v>
      </c>
      <c r="M120" s="1" t="s">
        <v>62</v>
      </c>
      <c r="N120" s="1">
        <v>176.0</v>
      </c>
      <c r="O120" s="1">
        <v>0.113412548157246</v>
      </c>
      <c r="P120" s="1" t="s">
        <v>61</v>
      </c>
      <c r="Q120" s="1" t="s">
        <v>61</v>
      </c>
      <c r="R120" s="1">
        <f t="shared" si="1"/>
        <v>0.1134125482</v>
      </c>
      <c r="S120" s="1">
        <f t="shared" si="2"/>
        <v>176</v>
      </c>
      <c r="T120" s="1">
        <f t="shared" si="3"/>
        <v>2.76</v>
      </c>
      <c r="U120" s="1">
        <f t="shared" si="4"/>
        <v>0</v>
      </c>
      <c r="V120" s="3">
        <f t="shared" si="5"/>
        <v>3</v>
      </c>
      <c r="W120" s="3">
        <f t="shared" si="6"/>
        <v>1</v>
      </c>
      <c r="X120" s="3" t="str">
        <f>IFERROR(__xludf.DUMMYFUNCTION("split(B120,"" "")"),"G.")</f>
        <v>G.</v>
      </c>
      <c r="Y120" s="3" t="str">
        <f>IFERROR(__xludf.DUMMYFUNCTION("""COMPUTED_VALUE"""),"Edwards")</f>
        <v>Edwards</v>
      </c>
      <c r="AA120" s="3">
        <v>0.0</v>
      </c>
      <c r="AB120" s="3">
        <f t="shared" si="7"/>
        <v>0</v>
      </c>
      <c r="AC120" s="3">
        <f t="shared" si="8"/>
        <v>1</v>
      </c>
      <c r="AD120" s="3">
        <f t="shared" si="9"/>
        <v>5.28</v>
      </c>
      <c r="AE120" s="3">
        <f t="shared" si="10"/>
        <v>5.28</v>
      </c>
      <c r="AF120" s="3">
        <f t="shared" si="11"/>
        <v>1.76</v>
      </c>
      <c r="AG120" s="3">
        <f t="shared" si="12"/>
        <v>1</v>
      </c>
    </row>
    <row r="121">
      <c r="A121" s="1" t="s">
        <v>11</v>
      </c>
      <c r="B121" s="1" t="s">
        <v>471</v>
      </c>
      <c r="C121" s="1" t="s">
        <v>20</v>
      </c>
      <c r="D121" s="1" t="s">
        <v>135</v>
      </c>
      <c r="E121" s="1" t="s">
        <v>57</v>
      </c>
      <c r="F121" s="1" t="s">
        <v>455</v>
      </c>
      <c r="G121" s="1">
        <v>7.5</v>
      </c>
      <c r="H121" s="1" t="s">
        <v>60</v>
      </c>
      <c r="I121" s="1">
        <v>-108.0</v>
      </c>
      <c r="J121" s="1">
        <v>0.102012977195653</v>
      </c>
      <c r="K121" s="1" t="s">
        <v>61</v>
      </c>
      <c r="L121" s="1" t="s">
        <v>61</v>
      </c>
      <c r="M121" s="1" t="s">
        <v>62</v>
      </c>
      <c r="N121" s="1">
        <v>-119.0</v>
      </c>
      <c r="O121" s="1">
        <v>-0.164602393221315</v>
      </c>
      <c r="P121" s="1" t="s">
        <v>61</v>
      </c>
      <c r="Q121" s="1" t="s">
        <v>61</v>
      </c>
      <c r="R121" s="1">
        <f t="shared" si="1"/>
        <v>0.1020129772</v>
      </c>
      <c r="S121" s="1">
        <f t="shared" si="2"/>
        <v>-108</v>
      </c>
      <c r="T121" s="1">
        <f t="shared" si="3"/>
        <v>1.925925926</v>
      </c>
      <c r="U121" s="1">
        <f t="shared" si="4"/>
        <v>1</v>
      </c>
      <c r="V121" s="3">
        <f t="shared" si="5"/>
        <v>3</v>
      </c>
      <c r="W121" s="3">
        <f t="shared" si="6"/>
        <v>2</v>
      </c>
      <c r="X121" s="3" t="str">
        <f>IFERROR(__xludf.DUMMYFUNCTION("split(B121,"" "")"),"W.")</f>
        <v>W.</v>
      </c>
      <c r="Y121" s="3" t="str">
        <f>IFERROR(__xludf.DUMMYFUNCTION("""COMPUTED_VALUE"""),"Dissly")</f>
        <v>Dissly</v>
      </c>
      <c r="AA121" s="3">
        <v>29.0</v>
      </c>
      <c r="AB121" s="3">
        <f t="shared" si="7"/>
        <v>1</v>
      </c>
      <c r="AC121" s="3">
        <f t="shared" si="8"/>
        <v>1</v>
      </c>
      <c r="AD121" s="3">
        <f t="shared" si="9"/>
        <v>2.777777778</v>
      </c>
      <c r="AE121" s="3">
        <f t="shared" si="10"/>
        <v>2.777777778</v>
      </c>
      <c r="AF121" s="3">
        <f t="shared" si="11"/>
        <v>1.851851852</v>
      </c>
      <c r="AG121" s="3">
        <f t="shared" si="12"/>
        <v>2.866666667</v>
      </c>
    </row>
    <row r="122">
      <c r="A122" s="1" t="s">
        <v>11</v>
      </c>
      <c r="B122" s="1" t="s">
        <v>381</v>
      </c>
      <c r="C122" s="1" t="s">
        <v>18</v>
      </c>
      <c r="D122" s="1" t="s">
        <v>135</v>
      </c>
      <c r="E122" s="1" t="s">
        <v>57</v>
      </c>
      <c r="F122" s="1" t="s">
        <v>455</v>
      </c>
      <c r="G122" s="1">
        <v>45.5</v>
      </c>
      <c r="H122" s="1" t="s">
        <v>60</v>
      </c>
      <c r="I122" s="1">
        <v>-110.0</v>
      </c>
      <c r="J122" s="1">
        <v>-0.083850878967143</v>
      </c>
      <c r="K122" s="1" t="s">
        <v>61</v>
      </c>
      <c r="L122" s="1" t="s">
        <v>61</v>
      </c>
      <c r="M122" s="1" t="s">
        <v>62</v>
      </c>
      <c r="N122" s="1">
        <v>-119.0</v>
      </c>
      <c r="O122" s="1">
        <v>0.0166813343101235</v>
      </c>
      <c r="P122" s="1" t="s">
        <v>61</v>
      </c>
      <c r="Q122" s="1" t="s">
        <v>61</v>
      </c>
      <c r="R122" s="1">
        <f t="shared" si="1"/>
        <v>0.01668133431</v>
      </c>
      <c r="S122" s="1">
        <f t="shared" si="2"/>
        <v>-119</v>
      </c>
      <c r="T122" s="1">
        <f t="shared" si="3"/>
        <v>1.840336134</v>
      </c>
      <c r="U122" s="1">
        <f t="shared" si="4"/>
        <v>0</v>
      </c>
      <c r="V122" s="3">
        <f t="shared" si="5"/>
        <v>1</v>
      </c>
      <c r="W122" s="3">
        <f t="shared" si="6"/>
        <v>3</v>
      </c>
      <c r="X122" s="3" t="str">
        <f>IFERROR(__xludf.DUMMYFUNCTION("split(B122,"" "")"),"J.")</f>
        <v>J.</v>
      </c>
      <c r="Y122" s="3" t="str">
        <f>IFERROR(__xludf.DUMMYFUNCTION("""COMPUTED_VALUE"""),"Palmer")</f>
        <v>Palmer</v>
      </c>
      <c r="AA122" s="3">
        <v>19.0</v>
      </c>
      <c r="AB122" s="3">
        <f t="shared" si="7"/>
        <v>0</v>
      </c>
      <c r="AC122" s="3">
        <f t="shared" si="8"/>
        <v>1</v>
      </c>
      <c r="AD122" s="3">
        <f t="shared" si="9"/>
        <v>0.8403361345</v>
      </c>
      <c r="AE122" s="3">
        <f t="shared" si="10"/>
        <v>0.8403361345</v>
      </c>
      <c r="AF122" s="3">
        <f t="shared" si="11"/>
        <v>2.521008403</v>
      </c>
      <c r="AG122" s="3">
        <f t="shared" si="12"/>
        <v>0.5824175824</v>
      </c>
    </row>
    <row r="123">
      <c r="A123" s="1" t="s">
        <v>11</v>
      </c>
      <c r="B123" s="1" t="s">
        <v>432</v>
      </c>
      <c r="C123" s="1" t="s">
        <v>18</v>
      </c>
      <c r="D123" s="1" t="s">
        <v>135</v>
      </c>
      <c r="E123" s="1" t="s">
        <v>57</v>
      </c>
      <c r="F123" s="1" t="s">
        <v>455</v>
      </c>
      <c r="G123" s="1">
        <v>45.5</v>
      </c>
      <c r="H123" s="1" t="s">
        <v>60</v>
      </c>
      <c r="I123" s="1">
        <v>-112.0</v>
      </c>
      <c r="J123" s="1">
        <v>-0.0786989926292452</v>
      </c>
      <c r="K123" s="1" t="s">
        <v>61</v>
      </c>
      <c r="L123" s="1" t="s">
        <v>61</v>
      </c>
      <c r="M123" s="1" t="s">
        <v>62</v>
      </c>
      <c r="N123" s="1">
        <v>-117.0</v>
      </c>
      <c r="O123" s="1">
        <v>0.011239619823401</v>
      </c>
      <c r="P123" s="1" t="s">
        <v>61</v>
      </c>
      <c r="Q123" s="1" t="s">
        <v>61</v>
      </c>
      <c r="R123" s="1">
        <f t="shared" si="1"/>
        <v>0.01123961982</v>
      </c>
      <c r="S123" s="1">
        <f t="shared" si="2"/>
        <v>-117</v>
      </c>
      <c r="T123" s="1">
        <f t="shared" si="3"/>
        <v>1.854700855</v>
      </c>
      <c r="U123" s="1">
        <f t="shared" si="4"/>
        <v>0</v>
      </c>
      <c r="V123" s="3">
        <f t="shared" si="5"/>
        <v>1</v>
      </c>
      <c r="W123" s="3">
        <f t="shared" si="6"/>
        <v>2</v>
      </c>
      <c r="X123" s="3" t="str">
        <f>IFERROR(__xludf.DUMMYFUNCTION("split(B123,"" "")"),"L.")</f>
        <v>L.</v>
      </c>
      <c r="Y123" s="3" t="str">
        <f>IFERROR(__xludf.DUMMYFUNCTION("""COMPUTED_VALUE"""),"McConkey")</f>
        <v>McConkey</v>
      </c>
      <c r="AA123" s="3">
        <v>26.0</v>
      </c>
      <c r="AB123" s="3">
        <f t="shared" si="7"/>
        <v>0</v>
      </c>
      <c r="AC123" s="3">
        <f t="shared" si="8"/>
        <v>1</v>
      </c>
      <c r="AD123" s="3">
        <f t="shared" si="9"/>
        <v>0.8547008547</v>
      </c>
      <c r="AE123" s="3">
        <f t="shared" si="10"/>
        <v>0.8547008547</v>
      </c>
      <c r="AF123" s="3">
        <f t="shared" si="11"/>
        <v>1.709401709</v>
      </c>
      <c r="AG123" s="3">
        <f t="shared" si="12"/>
        <v>0.4285714286</v>
      </c>
    </row>
    <row r="124">
      <c r="A124" s="1" t="s">
        <v>11</v>
      </c>
      <c r="B124" s="1" t="s">
        <v>133</v>
      </c>
      <c r="C124" s="1" t="s">
        <v>19</v>
      </c>
      <c r="D124" s="1" t="s">
        <v>134</v>
      </c>
      <c r="E124" s="1" t="s">
        <v>77</v>
      </c>
      <c r="F124" s="1" t="s">
        <v>455</v>
      </c>
      <c r="G124" s="1">
        <v>5.5</v>
      </c>
      <c r="H124" s="1" t="s">
        <v>60</v>
      </c>
      <c r="I124" s="1">
        <v>-114.0</v>
      </c>
      <c r="J124" s="1">
        <v>0.0919312809882603</v>
      </c>
      <c r="K124" s="1" t="s">
        <v>61</v>
      </c>
      <c r="L124" s="1" t="s">
        <v>61</v>
      </c>
      <c r="M124" s="1" t="s">
        <v>62</v>
      </c>
      <c r="N124" s="1">
        <v>-114.0</v>
      </c>
      <c r="O124" s="1">
        <v>-0.157329660326616</v>
      </c>
      <c r="P124" s="1" t="s">
        <v>61</v>
      </c>
      <c r="Q124" s="1" t="s">
        <v>61</v>
      </c>
      <c r="R124" s="1">
        <f t="shared" si="1"/>
        <v>0.09193128099</v>
      </c>
      <c r="S124" s="1">
        <f t="shared" si="2"/>
        <v>-114</v>
      </c>
      <c r="T124" s="1">
        <f t="shared" si="3"/>
        <v>1.877192982</v>
      </c>
      <c r="U124" s="1">
        <f t="shared" si="4"/>
        <v>1</v>
      </c>
      <c r="V124" s="3">
        <f t="shared" si="5"/>
        <v>2</v>
      </c>
      <c r="W124" s="3">
        <f t="shared" si="6"/>
        <v>2</v>
      </c>
      <c r="X124" s="3" t="str">
        <f>IFERROR(__xludf.DUMMYFUNCTION("split(B124,"" "")"),"Z.")</f>
        <v>Z.</v>
      </c>
      <c r="Y124" s="3" t="str">
        <f>IFERROR(__xludf.DUMMYFUNCTION("""COMPUTED_VALUE"""),"White")</f>
        <v>White</v>
      </c>
      <c r="AA124" s="3">
        <v>14.0</v>
      </c>
      <c r="AB124" s="3">
        <f t="shared" si="7"/>
        <v>1</v>
      </c>
      <c r="AC124" s="3">
        <f t="shared" si="8"/>
        <v>1</v>
      </c>
      <c r="AD124" s="3">
        <f t="shared" si="9"/>
        <v>1.754385965</v>
      </c>
      <c r="AE124" s="3">
        <f t="shared" si="10"/>
        <v>1.754385965</v>
      </c>
      <c r="AF124" s="3">
        <f t="shared" si="11"/>
        <v>1.754385965</v>
      </c>
      <c r="AG124" s="3">
        <f t="shared" si="12"/>
        <v>1.545454545</v>
      </c>
    </row>
    <row r="125">
      <c r="A125" s="1" t="s">
        <v>8</v>
      </c>
      <c r="B125" s="1" t="s">
        <v>133</v>
      </c>
      <c r="C125" s="1" t="s">
        <v>19</v>
      </c>
      <c r="D125" s="1" t="s">
        <v>134</v>
      </c>
      <c r="E125" s="1" t="s">
        <v>77</v>
      </c>
      <c r="F125" s="1" t="s">
        <v>455</v>
      </c>
      <c r="G125" s="1">
        <v>10.5</v>
      </c>
      <c r="H125" s="1" t="s">
        <v>60</v>
      </c>
      <c r="I125" s="1">
        <v>-142.0</v>
      </c>
      <c r="J125" s="1">
        <v>-0.143794088076033</v>
      </c>
      <c r="K125" s="1" t="s">
        <v>61</v>
      </c>
      <c r="L125" s="1" t="s">
        <v>61</v>
      </c>
      <c r="M125" s="1" t="s">
        <v>62</v>
      </c>
      <c r="N125" s="1">
        <v>109.0</v>
      </c>
      <c r="O125" s="1">
        <v>0.0785352598775118</v>
      </c>
      <c r="P125" s="1" t="s">
        <v>61</v>
      </c>
      <c r="Q125" s="1" t="s">
        <v>61</v>
      </c>
      <c r="R125" s="1">
        <f t="shared" si="1"/>
        <v>0.07853525988</v>
      </c>
      <c r="S125" s="1">
        <f t="shared" si="2"/>
        <v>109</v>
      </c>
      <c r="T125" s="1">
        <f t="shared" si="3"/>
        <v>2.09</v>
      </c>
      <c r="U125" s="1">
        <f t="shared" si="4"/>
        <v>0</v>
      </c>
      <c r="V125" s="3">
        <f t="shared" si="5"/>
        <v>2</v>
      </c>
      <c r="W125" s="3">
        <f t="shared" si="6"/>
        <v>2</v>
      </c>
      <c r="X125" s="3" t="str">
        <f>IFERROR(__xludf.DUMMYFUNCTION("split(B125,"" "")"),"Z.")</f>
        <v>Z.</v>
      </c>
      <c r="Y125" s="3" t="str">
        <f>IFERROR(__xludf.DUMMYFUNCTION("""COMPUTED_VALUE"""),"White")</f>
        <v>White</v>
      </c>
      <c r="AA125" s="3">
        <v>9.0</v>
      </c>
      <c r="AB125" s="3">
        <f t="shared" si="7"/>
        <v>0</v>
      </c>
      <c r="AC125" s="3">
        <f t="shared" si="8"/>
        <v>1</v>
      </c>
      <c r="AD125" s="3">
        <f t="shared" si="9"/>
        <v>2.18</v>
      </c>
      <c r="AE125" s="3">
        <f t="shared" si="10"/>
        <v>2.18</v>
      </c>
      <c r="AF125" s="3">
        <f t="shared" si="11"/>
        <v>2.18</v>
      </c>
      <c r="AG125" s="3">
        <f t="shared" si="12"/>
        <v>0.1428571429</v>
      </c>
    </row>
    <row r="126">
      <c r="A126" s="1" t="s">
        <v>12</v>
      </c>
      <c r="B126" s="1" t="s">
        <v>472</v>
      </c>
      <c r="C126" s="1" t="s">
        <v>20</v>
      </c>
      <c r="D126" s="1" t="s">
        <v>134</v>
      </c>
      <c r="E126" s="1" t="s">
        <v>77</v>
      </c>
      <c r="F126" s="1" t="s">
        <v>455</v>
      </c>
      <c r="G126" s="1">
        <v>1.5</v>
      </c>
      <c r="H126" s="1" t="s">
        <v>60</v>
      </c>
      <c r="I126" s="1">
        <v>115.0</v>
      </c>
      <c r="J126" s="1">
        <v>-0.128755419074651</v>
      </c>
      <c r="K126" s="1" t="s">
        <v>61</v>
      </c>
      <c r="L126" s="1" t="s">
        <v>61</v>
      </c>
      <c r="M126" s="1" t="s">
        <v>62</v>
      </c>
      <c r="N126" s="1">
        <v>-151.0</v>
      </c>
      <c r="O126" s="1">
        <v>0.0620379241385259</v>
      </c>
      <c r="P126" s="1" t="s">
        <v>61</v>
      </c>
      <c r="Q126" s="1" t="s">
        <v>61</v>
      </c>
      <c r="R126" s="1">
        <f t="shared" si="1"/>
        <v>0.06203792414</v>
      </c>
      <c r="S126" s="1">
        <f t="shared" si="2"/>
        <v>-151</v>
      </c>
      <c r="T126" s="1">
        <f t="shared" si="3"/>
        <v>1.662251656</v>
      </c>
      <c r="U126" s="1">
        <f t="shared" si="4"/>
        <v>0</v>
      </c>
      <c r="V126" s="3">
        <f t="shared" si="5"/>
        <v>2</v>
      </c>
      <c r="W126" s="3">
        <f t="shared" si="6"/>
        <v>3</v>
      </c>
      <c r="X126" s="3" t="str">
        <f>IFERROR(__xludf.DUMMYFUNCTION("split(B126,"" "")"),"M.")</f>
        <v>M.</v>
      </c>
      <c r="Y126" s="3" t="str">
        <f>IFERROR(__xludf.DUMMYFUNCTION("""COMPUTED_VALUE"""),"Mayer")</f>
        <v>Mayer</v>
      </c>
      <c r="AA126" s="3">
        <v>1.0</v>
      </c>
      <c r="AB126" s="3">
        <f t="shared" si="7"/>
        <v>0</v>
      </c>
      <c r="AC126" s="3">
        <f t="shared" si="8"/>
        <v>1</v>
      </c>
      <c r="AD126" s="3">
        <f t="shared" si="9"/>
        <v>1.324503311</v>
      </c>
      <c r="AE126" s="3">
        <f t="shared" si="10"/>
        <v>1.324503311</v>
      </c>
      <c r="AF126" s="3">
        <f t="shared" si="11"/>
        <v>1.986754967</v>
      </c>
      <c r="AG126" s="3">
        <f t="shared" si="12"/>
        <v>0.3333333333</v>
      </c>
    </row>
    <row r="127">
      <c r="A127" s="1" t="s">
        <v>10</v>
      </c>
      <c r="B127" s="1" t="s">
        <v>473</v>
      </c>
      <c r="C127" s="1" t="s">
        <v>19</v>
      </c>
      <c r="D127" s="1" t="s">
        <v>134</v>
      </c>
      <c r="E127" s="1" t="s">
        <v>77</v>
      </c>
      <c r="F127" s="1" t="s">
        <v>455</v>
      </c>
      <c r="G127" s="1">
        <v>23.5</v>
      </c>
      <c r="H127" s="1" t="s">
        <v>60</v>
      </c>
      <c r="I127" s="1">
        <v>-116.0</v>
      </c>
      <c r="J127" s="1">
        <v>-0.107692641962124</v>
      </c>
      <c r="K127" s="1" t="s">
        <v>61</v>
      </c>
      <c r="L127" s="1" t="s">
        <v>61</v>
      </c>
      <c r="M127" s="1" t="s">
        <v>62</v>
      </c>
      <c r="N127" s="1">
        <v>-113.0</v>
      </c>
      <c r="O127" s="1">
        <v>0.0401910612681473</v>
      </c>
      <c r="P127" s="1" t="s">
        <v>61</v>
      </c>
      <c r="Q127" s="1" t="s">
        <v>61</v>
      </c>
      <c r="R127" s="1">
        <f t="shared" si="1"/>
        <v>0.04019106127</v>
      </c>
      <c r="S127" s="1">
        <f t="shared" si="2"/>
        <v>-113</v>
      </c>
      <c r="T127" s="1">
        <f t="shared" si="3"/>
        <v>1.884955752</v>
      </c>
      <c r="U127" s="1">
        <f t="shared" si="4"/>
        <v>0</v>
      </c>
      <c r="V127" s="3">
        <f t="shared" si="5"/>
        <v>1</v>
      </c>
      <c r="W127" s="3">
        <f t="shared" si="6"/>
        <v>2</v>
      </c>
      <c r="X127" s="3" t="str">
        <f>IFERROR(__xludf.DUMMYFUNCTION("split(B127,"" "")"),"A.")</f>
        <v>A.</v>
      </c>
      <c r="Y127" s="3" t="str">
        <f>IFERROR(__xludf.DUMMYFUNCTION("""COMPUTED_VALUE"""),"Mattison")</f>
        <v>Mattison</v>
      </c>
      <c r="AA127" s="3">
        <v>1.0</v>
      </c>
      <c r="AB127" s="3">
        <f t="shared" si="7"/>
        <v>0</v>
      </c>
      <c r="AC127" s="3">
        <f t="shared" si="8"/>
        <v>1</v>
      </c>
      <c r="AD127" s="3">
        <f t="shared" si="9"/>
        <v>0.8849557522</v>
      </c>
      <c r="AE127" s="3">
        <f t="shared" si="10"/>
        <v>0.8849557522</v>
      </c>
      <c r="AF127" s="3">
        <f t="shared" si="11"/>
        <v>1.769911504</v>
      </c>
      <c r="AG127" s="3">
        <f t="shared" si="12"/>
        <v>0.9574468085</v>
      </c>
    </row>
    <row r="128">
      <c r="A128" s="1" t="s">
        <v>8</v>
      </c>
      <c r="B128" s="1" t="s">
        <v>474</v>
      </c>
      <c r="C128" s="1" t="s">
        <v>21</v>
      </c>
      <c r="D128" s="1" t="s">
        <v>134</v>
      </c>
      <c r="E128" s="1" t="s">
        <v>77</v>
      </c>
      <c r="F128" s="1" t="s">
        <v>455</v>
      </c>
      <c r="G128" s="1">
        <v>2.5</v>
      </c>
      <c r="H128" s="1" t="s">
        <v>60</v>
      </c>
      <c r="I128" s="1">
        <v>110.0</v>
      </c>
      <c r="J128" s="1">
        <v>-0.104232257869428</v>
      </c>
      <c r="K128" s="1" t="s">
        <v>61</v>
      </c>
      <c r="L128" s="1" t="s">
        <v>61</v>
      </c>
      <c r="M128" s="1" t="s">
        <v>62</v>
      </c>
      <c r="N128" s="1">
        <v>-143.0</v>
      </c>
      <c r="O128" s="1">
        <v>0.0395695736557781</v>
      </c>
      <c r="P128" s="1" t="s">
        <v>61</v>
      </c>
      <c r="Q128" s="1" t="s">
        <v>61</v>
      </c>
      <c r="R128" s="1">
        <f t="shared" si="1"/>
        <v>0.03956957366</v>
      </c>
      <c r="S128" s="1">
        <f t="shared" si="2"/>
        <v>-143</v>
      </c>
      <c r="T128" s="1">
        <f t="shared" si="3"/>
        <v>1.699300699</v>
      </c>
      <c r="U128" s="1">
        <f t="shared" si="4"/>
        <v>0</v>
      </c>
      <c r="V128" s="3">
        <f t="shared" si="5"/>
        <v>1</v>
      </c>
      <c r="W128" s="3">
        <f t="shared" si="6"/>
        <v>3</v>
      </c>
      <c r="X128" s="3" t="str">
        <f>IFERROR(__xludf.DUMMYFUNCTION("split(B128,"" "")"),"G.")</f>
        <v>G.</v>
      </c>
      <c r="Y128" s="3" t="str">
        <f>IFERROR(__xludf.DUMMYFUNCTION("""COMPUTED_VALUE"""),"Minshew")</f>
        <v>Minshew</v>
      </c>
      <c r="AA128" s="3">
        <v>1.0</v>
      </c>
      <c r="AB128" s="3">
        <f t="shared" si="7"/>
        <v>0</v>
      </c>
      <c r="AC128" s="3">
        <f t="shared" si="8"/>
        <v>1</v>
      </c>
      <c r="AD128" s="3">
        <f t="shared" si="9"/>
        <v>0.6993006993</v>
      </c>
      <c r="AE128" s="3">
        <f t="shared" si="10"/>
        <v>0.6993006993</v>
      </c>
      <c r="AF128" s="3">
        <f t="shared" si="11"/>
        <v>2.097902098</v>
      </c>
      <c r="AG128" s="3">
        <f t="shared" si="12"/>
        <v>0.6</v>
      </c>
    </row>
    <row r="129">
      <c r="A129" s="1" t="s">
        <v>12</v>
      </c>
      <c r="B129" s="1" t="s">
        <v>322</v>
      </c>
      <c r="C129" s="1" t="s">
        <v>18</v>
      </c>
      <c r="D129" s="1" t="s">
        <v>134</v>
      </c>
      <c r="E129" s="1" t="s">
        <v>77</v>
      </c>
      <c r="F129" s="1" t="s">
        <v>455</v>
      </c>
      <c r="G129" s="1">
        <v>5.5</v>
      </c>
      <c r="H129" s="1" t="s">
        <v>60</v>
      </c>
      <c r="I129" s="1">
        <v>105.0</v>
      </c>
      <c r="J129" s="1">
        <v>0.0275951219512194</v>
      </c>
      <c r="K129" s="1" t="s">
        <v>61</v>
      </c>
      <c r="L129" s="1" t="s">
        <v>61</v>
      </c>
      <c r="M129" s="1" t="s">
        <v>62</v>
      </c>
      <c r="N129" s="1">
        <v>-138.0</v>
      </c>
      <c r="O129" s="1">
        <v>-0.0952319327731091</v>
      </c>
      <c r="P129" s="1" t="s">
        <v>61</v>
      </c>
      <c r="Q129" s="1" t="s">
        <v>61</v>
      </c>
      <c r="R129" s="1">
        <f t="shared" si="1"/>
        <v>0.02759512195</v>
      </c>
      <c r="S129" s="1">
        <f t="shared" si="2"/>
        <v>105</v>
      </c>
      <c r="T129" s="1">
        <f t="shared" si="3"/>
        <v>2.05</v>
      </c>
      <c r="U129" s="1">
        <f t="shared" si="4"/>
        <v>1</v>
      </c>
      <c r="V129" s="3">
        <f t="shared" si="5"/>
        <v>1</v>
      </c>
      <c r="W129" s="3">
        <f t="shared" si="6"/>
        <v>2</v>
      </c>
      <c r="X129" s="3" t="str">
        <f>IFERROR(__xludf.DUMMYFUNCTION("split(B129,"" "")"),"D.")</f>
        <v>D.</v>
      </c>
      <c r="Y129" s="3" t="str">
        <f>IFERROR(__xludf.DUMMYFUNCTION("""COMPUTED_VALUE"""),"Adams")</f>
        <v>Adams</v>
      </c>
      <c r="AA129" s="3">
        <v>9.0</v>
      </c>
      <c r="AB129" s="3">
        <f t="shared" si="7"/>
        <v>1</v>
      </c>
      <c r="AC129" s="3">
        <f t="shared" si="8"/>
        <v>1</v>
      </c>
      <c r="AD129" s="3">
        <f t="shared" si="9"/>
        <v>1.05</v>
      </c>
      <c r="AE129" s="3">
        <f t="shared" si="10"/>
        <v>1.05</v>
      </c>
      <c r="AF129" s="3">
        <f t="shared" si="11"/>
        <v>2.1</v>
      </c>
      <c r="AG129" s="3">
        <f t="shared" si="12"/>
        <v>0.6363636364</v>
      </c>
    </row>
    <row r="130">
      <c r="A130" s="1" t="s">
        <v>11</v>
      </c>
      <c r="B130" s="1" t="s">
        <v>472</v>
      </c>
      <c r="C130" s="1" t="s">
        <v>20</v>
      </c>
      <c r="D130" s="1" t="s">
        <v>134</v>
      </c>
      <c r="E130" s="1" t="s">
        <v>77</v>
      </c>
      <c r="F130" s="1" t="s">
        <v>455</v>
      </c>
      <c r="G130" s="1">
        <v>10.5</v>
      </c>
      <c r="H130" s="1" t="s">
        <v>60</v>
      </c>
      <c r="I130" s="1">
        <v>-114.0</v>
      </c>
      <c r="J130" s="1">
        <v>0.0126890829007779</v>
      </c>
      <c r="K130" s="1" t="s">
        <v>61</v>
      </c>
      <c r="L130" s="1" t="s">
        <v>61</v>
      </c>
      <c r="M130" s="1" t="s">
        <v>62</v>
      </c>
      <c r="N130" s="1">
        <v>-116.0</v>
      </c>
      <c r="O130" s="1">
        <v>-0.0824213793485607</v>
      </c>
      <c r="P130" s="1" t="s">
        <v>61</v>
      </c>
      <c r="Q130" s="1" t="s">
        <v>61</v>
      </c>
      <c r="R130" s="1">
        <f t="shared" si="1"/>
        <v>0.0126890829</v>
      </c>
      <c r="S130" s="1">
        <f t="shared" si="2"/>
        <v>-114</v>
      </c>
      <c r="T130" s="1">
        <f t="shared" si="3"/>
        <v>1.877192982</v>
      </c>
      <c r="U130" s="1">
        <f t="shared" si="4"/>
        <v>1</v>
      </c>
      <c r="V130" s="3">
        <f t="shared" si="5"/>
        <v>1</v>
      </c>
      <c r="W130" s="3">
        <f t="shared" si="6"/>
        <v>2</v>
      </c>
      <c r="X130" s="3" t="str">
        <f>IFERROR(__xludf.DUMMYFUNCTION("split(B130,"" "")"),"M.")</f>
        <v>M.</v>
      </c>
      <c r="Y130" s="3" t="str">
        <f>IFERROR(__xludf.DUMMYFUNCTION("""COMPUTED_VALUE"""),"Mayer")</f>
        <v>Mayer</v>
      </c>
      <c r="AA130" s="3">
        <v>11.0</v>
      </c>
      <c r="AB130" s="3">
        <f t="shared" si="7"/>
        <v>1</v>
      </c>
      <c r="AC130" s="3">
        <f t="shared" si="8"/>
        <v>1</v>
      </c>
      <c r="AD130" s="3">
        <f t="shared" si="9"/>
        <v>0.8771929825</v>
      </c>
      <c r="AE130" s="3">
        <f t="shared" si="10"/>
        <v>0.8771929825</v>
      </c>
      <c r="AF130" s="3">
        <f t="shared" si="11"/>
        <v>1.754385965</v>
      </c>
      <c r="AG130" s="3">
        <f t="shared" si="12"/>
        <v>0.04761904762</v>
      </c>
    </row>
    <row r="131">
      <c r="A131" s="1" t="s">
        <v>11</v>
      </c>
      <c r="B131" s="1" t="s">
        <v>278</v>
      </c>
      <c r="C131" s="1" t="s">
        <v>18</v>
      </c>
      <c r="D131" s="1" t="s">
        <v>134</v>
      </c>
      <c r="E131" s="1" t="s">
        <v>77</v>
      </c>
      <c r="F131" s="1" t="s">
        <v>455</v>
      </c>
      <c r="G131" s="1">
        <v>36.5</v>
      </c>
      <c r="H131" s="1" t="s">
        <v>60</v>
      </c>
      <c r="I131" s="1">
        <v>-117.0</v>
      </c>
      <c r="J131" s="1">
        <v>-0.0820610049229034</v>
      </c>
      <c r="K131" s="1" t="s">
        <v>61</v>
      </c>
      <c r="L131" s="1" t="s">
        <v>61</v>
      </c>
      <c r="M131" s="1" t="s">
        <v>62</v>
      </c>
      <c r="N131" s="1">
        <v>-113.0</v>
      </c>
      <c r="O131" s="1">
        <v>0.0123717873279536</v>
      </c>
      <c r="P131" s="1" t="s">
        <v>61</v>
      </c>
      <c r="Q131" s="1" t="s">
        <v>61</v>
      </c>
      <c r="R131" s="1">
        <f t="shared" si="1"/>
        <v>0.01237178733</v>
      </c>
      <c r="S131" s="1">
        <f t="shared" si="2"/>
        <v>-113</v>
      </c>
      <c r="T131" s="1">
        <f t="shared" si="3"/>
        <v>1.884955752</v>
      </c>
      <c r="U131" s="1">
        <f t="shared" si="4"/>
        <v>0</v>
      </c>
      <c r="V131" s="3">
        <f t="shared" si="5"/>
        <v>1</v>
      </c>
      <c r="W131" s="3">
        <f t="shared" si="6"/>
        <v>2</v>
      </c>
      <c r="X131" s="3" t="str">
        <f>IFERROR(__xludf.DUMMYFUNCTION("split(B131,"" "")"),"J.")</f>
        <v>J.</v>
      </c>
      <c r="Y131" s="3" t="str">
        <f>IFERROR(__xludf.DUMMYFUNCTION("""COMPUTED_VALUE"""),"Meyers")</f>
        <v>Meyers</v>
      </c>
      <c r="AA131" s="3">
        <v>29.0</v>
      </c>
      <c r="AB131" s="3">
        <f t="shared" si="7"/>
        <v>0</v>
      </c>
      <c r="AC131" s="3">
        <f t="shared" si="8"/>
        <v>1</v>
      </c>
      <c r="AD131" s="3">
        <f t="shared" si="9"/>
        <v>0.8849557522</v>
      </c>
      <c r="AE131" s="3">
        <f t="shared" si="10"/>
        <v>0.8849557522</v>
      </c>
      <c r="AF131" s="3">
        <f t="shared" si="11"/>
        <v>1.769911504</v>
      </c>
      <c r="AG131" s="3">
        <f t="shared" si="12"/>
        <v>0.2054794521</v>
      </c>
    </row>
    <row r="132">
      <c r="A132" s="1" t="s">
        <v>12</v>
      </c>
      <c r="B132" s="1" t="s">
        <v>475</v>
      </c>
      <c r="C132" s="1" t="s">
        <v>18</v>
      </c>
      <c r="D132" s="1" t="s">
        <v>94</v>
      </c>
      <c r="E132" s="1" t="s">
        <v>104</v>
      </c>
      <c r="F132" s="1" t="s">
        <v>456</v>
      </c>
      <c r="G132" s="1">
        <v>4.5</v>
      </c>
      <c r="H132" s="1" t="s">
        <v>60</v>
      </c>
      <c r="I132" s="1">
        <v>-155.0</v>
      </c>
      <c r="J132" s="1">
        <v>-0.141821568627451</v>
      </c>
      <c r="K132" s="1" t="s">
        <v>61</v>
      </c>
      <c r="L132" s="1" t="s">
        <v>61</v>
      </c>
      <c r="M132" s="1" t="s">
        <v>62</v>
      </c>
      <c r="N132" s="1">
        <v>118.0</v>
      </c>
      <c r="O132" s="1">
        <v>0.0752761467889907</v>
      </c>
      <c r="P132" s="1" t="s">
        <v>61</v>
      </c>
      <c r="Q132" s="1" t="s">
        <v>61</v>
      </c>
      <c r="R132" s="1">
        <f t="shared" si="1"/>
        <v>0.07527614679</v>
      </c>
      <c r="S132" s="1">
        <f t="shared" si="2"/>
        <v>118</v>
      </c>
      <c r="T132" s="1">
        <f t="shared" si="3"/>
        <v>2.18</v>
      </c>
      <c r="U132" s="1">
        <f t="shared" si="4"/>
        <v>0</v>
      </c>
      <c r="V132" s="3">
        <f t="shared" si="5"/>
        <v>2</v>
      </c>
      <c r="W132" s="3">
        <f t="shared" si="6"/>
        <v>1</v>
      </c>
      <c r="X132" s="3" t="str">
        <f>IFERROR(__xludf.DUMMYFUNCTION("split(B132,"" "")"),"J.")</f>
        <v>J.</v>
      </c>
      <c r="Y132" s="3" t="str">
        <f>IFERROR(__xludf.DUMMYFUNCTION("""COMPUTED_VALUE"""),"Waddle")</f>
        <v>Waddle</v>
      </c>
      <c r="AA132" s="3">
        <v>4.0</v>
      </c>
      <c r="AB132" s="3">
        <f t="shared" si="7"/>
        <v>0</v>
      </c>
      <c r="AC132" s="3">
        <f t="shared" si="8"/>
        <v>1</v>
      </c>
      <c r="AD132" s="3">
        <f t="shared" si="9"/>
        <v>2.36</v>
      </c>
      <c r="AE132" s="3">
        <f t="shared" si="10"/>
        <v>2.36</v>
      </c>
      <c r="AF132" s="3">
        <f t="shared" si="11"/>
        <v>1.18</v>
      </c>
      <c r="AG132" s="3">
        <f t="shared" si="12"/>
        <v>0.1111111111</v>
      </c>
    </row>
    <row r="133">
      <c r="A133" s="1" t="s">
        <v>14</v>
      </c>
      <c r="B133" s="1" t="s">
        <v>316</v>
      </c>
      <c r="C133" s="1" t="s">
        <v>21</v>
      </c>
      <c r="D133" s="1" t="s">
        <v>94</v>
      </c>
      <c r="E133" s="1" t="s">
        <v>104</v>
      </c>
      <c r="F133" s="1" t="s">
        <v>456</v>
      </c>
      <c r="G133" s="1">
        <v>1.5</v>
      </c>
      <c r="H133" s="1" t="s">
        <v>60</v>
      </c>
      <c r="I133" s="1">
        <v>-136.0</v>
      </c>
      <c r="J133" s="1">
        <v>-0.111228813559322</v>
      </c>
      <c r="K133" s="1" t="s">
        <v>61</v>
      </c>
      <c r="L133" s="1" t="s">
        <v>61</v>
      </c>
      <c r="M133" s="1" t="s">
        <v>62</v>
      </c>
      <c r="N133" s="1">
        <v>106.0</v>
      </c>
      <c r="O133" s="1">
        <v>0.049514563106796</v>
      </c>
      <c r="P133" s="1" t="s">
        <v>61</v>
      </c>
      <c r="Q133" s="1" t="s">
        <v>61</v>
      </c>
      <c r="R133" s="1">
        <f t="shared" si="1"/>
        <v>0.04951456311</v>
      </c>
      <c r="S133" s="1">
        <f t="shared" si="2"/>
        <v>106</v>
      </c>
      <c r="T133" s="1">
        <f t="shared" si="3"/>
        <v>2.06</v>
      </c>
      <c r="U133" s="1">
        <f t="shared" si="4"/>
        <v>0</v>
      </c>
      <c r="V133" s="3">
        <f t="shared" si="5"/>
        <v>1</v>
      </c>
      <c r="W133" s="3">
        <f t="shared" si="6"/>
        <v>2</v>
      </c>
      <c r="X133" s="3" t="str">
        <f>IFERROR(__xludf.DUMMYFUNCTION("split(B133,"" "")"),"T.")</f>
        <v>T.</v>
      </c>
      <c r="Y133" s="3" t="str">
        <f>IFERROR(__xludf.DUMMYFUNCTION("""COMPUTED_VALUE"""),"Tagovailoa")</f>
        <v>Tagovailoa</v>
      </c>
      <c r="AA133" s="3">
        <v>1.0</v>
      </c>
      <c r="AB133" s="3">
        <f t="shared" si="7"/>
        <v>0</v>
      </c>
      <c r="AC133" s="3">
        <f t="shared" si="8"/>
        <v>1</v>
      </c>
      <c r="AD133" s="3">
        <f t="shared" si="9"/>
        <v>1.06</v>
      </c>
      <c r="AE133" s="3">
        <f t="shared" si="10"/>
        <v>1.06</v>
      </c>
      <c r="AF133" s="3">
        <f t="shared" si="11"/>
        <v>2.12</v>
      </c>
      <c r="AG133" s="3">
        <f t="shared" si="12"/>
        <v>0.3333333333</v>
      </c>
    </row>
    <row r="134">
      <c r="A134" s="1" t="s">
        <v>9</v>
      </c>
      <c r="B134" s="1" t="s">
        <v>441</v>
      </c>
      <c r="C134" s="1" t="s">
        <v>18</v>
      </c>
      <c r="D134" s="1" t="s">
        <v>94</v>
      </c>
      <c r="E134" s="1" t="s">
        <v>104</v>
      </c>
      <c r="F134" s="1" t="s">
        <v>456</v>
      </c>
      <c r="G134" s="1">
        <v>98.5</v>
      </c>
      <c r="H134" s="1" t="s">
        <v>60</v>
      </c>
      <c r="I134" s="1">
        <v>-117.0</v>
      </c>
      <c r="J134" s="1">
        <v>-0.106216665080131</v>
      </c>
      <c r="K134" s="1" t="s">
        <v>61</v>
      </c>
      <c r="L134" s="1" t="s">
        <v>61</v>
      </c>
      <c r="M134" s="1" t="s">
        <v>62</v>
      </c>
      <c r="N134" s="1">
        <v>-115.0</v>
      </c>
      <c r="O134" s="1">
        <v>0.0321694526499384</v>
      </c>
      <c r="P134" s="1" t="s">
        <v>61</v>
      </c>
      <c r="Q134" s="1" t="s">
        <v>61</v>
      </c>
      <c r="R134" s="1">
        <f t="shared" si="1"/>
        <v>0.03216945265</v>
      </c>
      <c r="S134" s="1">
        <f t="shared" si="2"/>
        <v>-115</v>
      </c>
      <c r="T134" s="1">
        <f t="shared" si="3"/>
        <v>1.869565217</v>
      </c>
      <c r="U134" s="1">
        <f t="shared" si="4"/>
        <v>0</v>
      </c>
      <c r="V134" s="3">
        <f t="shared" si="5"/>
        <v>1</v>
      </c>
      <c r="W134" s="3">
        <f t="shared" si="6"/>
        <v>2</v>
      </c>
      <c r="X134" s="3" t="str">
        <f>IFERROR(__xludf.DUMMYFUNCTION("split(B134,"" "")"),"T.")</f>
        <v>T.</v>
      </c>
      <c r="Y134" s="3" t="str">
        <f>IFERROR(__xludf.DUMMYFUNCTION("""COMPUTED_VALUE"""),"Hill")</f>
        <v>Hill</v>
      </c>
      <c r="AA134" s="3">
        <v>36.0</v>
      </c>
      <c r="AB134" s="3">
        <f t="shared" si="7"/>
        <v>0</v>
      </c>
      <c r="AC134" s="3">
        <f t="shared" si="8"/>
        <v>1</v>
      </c>
      <c r="AD134" s="3">
        <f t="shared" si="9"/>
        <v>0.8695652174</v>
      </c>
      <c r="AE134" s="3">
        <f t="shared" si="10"/>
        <v>0.8695652174</v>
      </c>
      <c r="AF134" s="3">
        <f t="shared" si="11"/>
        <v>1.739130435</v>
      </c>
      <c r="AG134" s="3">
        <f t="shared" si="12"/>
        <v>0.6345177665</v>
      </c>
    </row>
    <row r="135">
      <c r="A135" s="1" t="s">
        <v>10</v>
      </c>
      <c r="B135" s="1" t="s">
        <v>316</v>
      </c>
      <c r="C135" s="1" t="s">
        <v>21</v>
      </c>
      <c r="D135" s="1" t="s">
        <v>94</v>
      </c>
      <c r="E135" s="1" t="s">
        <v>104</v>
      </c>
      <c r="F135" s="1" t="s">
        <v>456</v>
      </c>
      <c r="G135" s="1">
        <v>4.5</v>
      </c>
      <c r="H135" s="1" t="s">
        <v>60</v>
      </c>
      <c r="I135" s="1">
        <v>-115.0</v>
      </c>
      <c r="J135" s="1">
        <v>0.00360020666288141</v>
      </c>
      <c r="K135" s="1" t="s">
        <v>61</v>
      </c>
      <c r="L135" s="1" t="s">
        <v>61</v>
      </c>
      <c r="M135" s="1" t="s">
        <v>62</v>
      </c>
      <c r="N135" s="1">
        <v>-112.0</v>
      </c>
      <c r="O135" s="1">
        <v>-0.0667292913416126</v>
      </c>
      <c r="P135" s="1" t="s">
        <v>61</v>
      </c>
      <c r="Q135" s="1" t="s">
        <v>61</v>
      </c>
      <c r="R135" s="1">
        <f t="shared" si="1"/>
        <v>0.003600206663</v>
      </c>
      <c r="S135" s="1">
        <f t="shared" si="2"/>
        <v>-115</v>
      </c>
      <c r="T135" s="1">
        <f t="shared" si="3"/>
        <v>1.869565217</v>
      </c>
      <c r="U135" s="1">
        <f t="shared" si="4"/>
        <v>1</v>
      </c>
      <c r="V135" s="3">
        <f t="shared" si="5"/>
        <v>1</v>
      </c>
      <c r="W135" s="3">
        <f t="shared" si="6"/>
        <v>2</v>
      </c>
      <c r="X135" s="3" t="str">
        <f>IFERROR(__xludf.DUMMYFUNCTION("split(B135,"" "")"),"T.")</f>
        <v>T.</v>
      </c>
      <c r="Y135" s="3" t="str">
        <f>IFERROR(__xludf.DUMMYFUNCTION("""COMPUTED_VALUE"""),"Tagovailoa")</f>
        <v>Tagovailoa</v>
      </c>
      <c r="AA135" s="3">
        <v>17.0</v>
      </c>
      <c r="AB135" s="3">
        <f t="shared" si="7"/>
        <v>1</v>
      </c>
      <c r="AC135" s="3">
        <f t="shared" si="8"/>
        <v>1</v>
      </c>
      <c r="AD135" s="3">
        <f t="shared" si="9"/>
        <v>0.8695652174</v>
      </c>
      <c r="AE135" s="3">
        <f t="shared" si="10"/>
        <v>0.8695652174</v>
      </c>
      <c r="AF135" s="3">
        <f t="shared" si="11"/>
        <v>1.739130435</v>
      </c>
      <c r="AG135" s="3">
        <f t="shared" si="12"/>
        <v>2.777777778</v>
      </c>
    </row>
    <row r="136">
      <c r="A136" s="1" t="s">
        <v>8</v>
      </c>
      <c r="B136" s="1" t="s">
        <v>316</v>
      </c>
      <c r="C136" s="1" t="s">
        <v>21</v>
      </c>
      <c r="D136" s="1" t="s">
        <v>94</v>
      </c>
      <c r="E136" s="1" t="s">
        <v>104</v>
      </c>
      <c r="F136" s="1" t="s">
        <v>456</v>
      </c>
      <c r="G136" s="1">
        <v>2.5</v>
      </c>
      <c r="H136" s="1" t="s">
        <v>60</v>
      </c>
      <c r="I136" s="1">
        <v>132.0</v>
      </c>
      <c r="J136" s="1">
        <v>-0.0663808477236935</v>
      </c>
      <c r="K136" s="1" t="s">
        <v>61</v>
      </c>
      <c r="L136" s="1" t="s">
        <v>61</v>
      </c>
      <c r="M136" s="1" t="s">
        <v>62</v>
      </c>
      <c r="N136" s="1">
        <v>-173.0</v>
      </c>
      <c r="O136" s="1">
        <v>0.00165200644461549</v>
      </c>
      <c r="P136" s="1" t="s">
        <v>61</v>
      </c>
      <c r="Q136" s="1" t="s">
        <v>61</v>
      </c>
      <c r="R136" s="1">
        <f t="shared" si="1"/>
        <v>0.001652006445</v>
      </c>
      <c r="S136" s="1">
        <f t="shared" si="2"/>
        <v>-173</v>
      </c>
      <c r="T136" s="1">
        <f t="shared" si="3"/>
        <v>1.578034682</v>
      </c>
      <c r="U136" s="1">
        <f t="shared" si="4"/>
        <v>0</v>
      </c>
      <c r="V136" s="3">
        <f t="shared" si="5"/>
        <v>1</v>
      </c>
      <c r="W136" s="3">
        <f t="shared" si="6"/>
        <v>3</v>
      </c>
      <c r="X136" s="3" t="str">
        <f>IFERROR(__xludf.DUMMYFUNCTION("split(B136,"" "")"),"T.")</f>
        <v>T.</v>
      </c>
      <c r="Y136" s="3" t="str">
        <f>IFERROR(__xludf.DUMMYFUNCTION("""COMPUTED_VALUE"""),"Tagovailoa")</f>
        <v>Tagovailoa</v>
      </c>
      <c r="AA136" s="3">
        <v>2.0</v>
      </c>
      <c r="AB136" s="3">
        <f t="shared" si="7"/>
        <v>0</v>
      </c>
      <c r="AC136" s="3">
        <f t="shared" si="8"/>
        <v>1</v>
      </c>
      <c r="AD136" s="3">
        <f t="shared" si="9"/>
        <v>0.5780346821</v>
      </c>
      <c r="AE136" s="3">
        <f t="shared" si="10"/>
        <v>0.5780346821</v>
      </c>
      <c r="AF136" s="3">
        <f t="shared" si="11"/>
        <v>1.734104046</v>
      </c>
      <c r="AG136" s="3">
        <f t="shared" si="12"/>
        <v>0.2</v>
      </c>
    </row>
    <row r="137">
      <c r="A137" s="1" t="s">
        <v>8</v>
      </c>
      <c r="B137" s="1" t="s">
        <v>304</v>
      </c>
      <c r="C137" s="1" t="s">
        <v>19</v>
      </c>
      <c r="D137" s="1" t="s">
        <v>146</v>
      </c>
      <c r="E137" s="1" t="s">
        <v>164</v>
      </c>
      <c r="F137" s="1" t="s">
        <v>455</v>
      </c>
      <c r="G137" s="1">
        <v>12.5</v>
      </c>
      <c r="H137" s="1" t="s">
        <v>60</v>
      </c>
      <c r="I137" s="1">
        <v>-108.0</v>
      </c>
      <c r="J137" s="1">
        <v>-0.124633996721634</v>
      </c>
      <c r="K137" s="1" t="s">
        <v>61</v>
      </c>
      <c r="L137" s="1" t="s">
        <v>61</v>
      </c>
      <c r="M137" s="1" t="s">
        <v>62</v>
      </c>
      <c r="N137" s="1">
        <v>-123.0</v>
      </c>
      <c r="O137" s="1">
        <v>0.0538194696020762</v>
      </c>
      <c r="P137" s="1" t="s">
        <v>61</v>
      </c>
      <c r="Q137" s="1" t="s">
        <v>61</v>
      </c>
      <c r="R137" s="1">
        <f t="shared" si="1"/>
        <v>0.0538194696</v>
      </c>
      <c r="S137" s="1">
        <f t="shared" si="2"/>
        <v>-123</v>
      </c>
      <c r="T137" s="1">
        <f t="shared" si="3"/>
        <v>1.81300813</v>
      </c>
      <c r="U137" s="1">
        <f t="shared" si="4"/>
        <v>0</v>
      </c>
      <c r="V137" s="3">
        <f t="shared" si="5"/>
        <v>2</v>
      </c>
      <c r="W137" s="3">
        <f t="shared" si="6"/>
        <v>3</v>
      </c>
      <c r="X137" s="3" t="str">
        <f>IFERROR(__xludf.DUMMYFUNCTION("split(B137,"" "")"),"A.")</f>
        <v>A.</v>
      </c>
      <c r="Y137" s="3" t="str">
        <f>IFERROR(__xludf.DUMMYFUNCTION("""COMPUTED_VALUE"""),"Jones")</f>
        <v>Jones</v>
      </c>
      <c r="AA137" s="3">
        <v>9.0</v>
      </c>
      <c r="AB137" s="3">
        <f t="shared" si="7"/>
        <v>0</v>
      </c>
      <c r="AC137" s="3">
        <f t="shared" si="8"/>
        <v>1</v>
      </c>
      <c r="AD137" s="3">
        <f t="shared" si="9"/>
        <v>1.62601626</v>
      </c>
      <c r="AE137" s="3">
        <f t="shared" si="10"/>
        <v>1.62601626</v>
      </c>
      <c r="AF137" s="3">
        <f t="shared" si="11"/>
        <v>2.43902439</v>
      </c>
      <c r="AG137" s="3">
        <f t="shared" si="12"/>
        <v>0.28</v>
      </c>
    </row>
    <row r="138">
      <c r="A138" s="1" t="s">
        <v>9</v>
      </c>
      <c r="B138" s="1" t="s">
        <v>304</v>
      </c>
      <c r="C138" s="1" t="s">
        <v>19</v>
      </c>
      <c r="D138" s="1" t="s">
        <v>146</v>
      </c>
      <c r="E138" s="1" t="s">
        <v>164</v>
      </c>
      <c r="F138" s="1" t="s">
        <v>455</v>
      </c>
      <c r="G138" s="1">
        <v>73.5</v>
      </c>
      <c r="H138" s="1" t="s">
        <v>60</v>
      </c>
      <c r="I138" s="1">
        <v>-118.0</v>
      </c>
      <c r="J138" s="1">
        <v>-0.107609890408132</v>
      </c>
      <c r="K138" s="1" t="s">
        <v>61</v>
      </c>
      <c r="L138" s="1" t="s">
        <v>61</v>
      </c>
      <c r="M138" s="1" t="s">
        <v>62</v>
      </c>
      <c r="N138" s="1">
        <v>-115.0</v>
      </c>
      <c r="O138" s="1">
        <v>0.03144599779218</v>
      </c>
      <c r="P138" s="1" t="s">
        <v>61</v>
      </c>
      <c r="Q138" s="1" t="s">
        <v>61</v>
      </c>
      <c r="R138" s="1">
        <f t="shared" si="1"/>
        <v>0.03144599779</v>
      </c>
      <c r="S138" s="1">
        <f t="shared" si="2"/>
        <v>-115</v>
      </c>
      <c r="T138" s="1">
        <f t="shared" si="3"/>
        <v>1.869565217</v>
      </c>
      <c r="U138" s="1">
        <f t="shared" si="4"/>
        <v>0</v>
      </c>
      <c r="V138" s="3">
        <f t="shared" si="5"/>
        <v>1</v>
      </c>
      <c r="W138" s="3">
        <f t="shared" si="6"/>
        <v>2</v>
      </c>
      <c r="X138" s="3" t="str">
        <f>IFERROR(__xludf.DUMMYFUNCTION("split(B138,"" "")"),"A.")</f>
        <v>A.</v>
      </c>
      <c r="Y138" s="3" t="str">
        <f>IFERROR(__xludf.DUMMYFUNCTION("""COMPUTED_VALUE"""),"Jones")</f>
        <v>Jones</v>
      </c>
      <c r="AA138" s="3">
        <v>68.0</v>
      </c>
      <c r="AB138" s="3">
        <f t="shared" si="7"/>
        <v>0</v>
      </c>
      <c r="AC138" s="3">
        <f t="shared" si="8"/>
        <v>1</v>
      </c>
      <c r="AD138" s="3">
        <f t="shared" si="9"/>
        <v>0.8695652174</v>
      </c>
      <c r="AE138" s="3">
        <f t="shared" si="10"/>
        <v>0.8695652174</v>
      </c>
      <c r="AF138" s="3">
        <f t="shared" si="11"/>
        <v>1.739130435</v>
      </c>
      <c r="AG138" s="3">
        <f t="shared" si="12"/>
        <v>0.07482993197</v>
      </c>
    </row>
    <row r="139">
      <c r="A139" s="1" t="s">
        <v>14</v>
      </c>
      <c r="B139" s="1" t="s">
        <v>145</v>
      </c>
      <c r="C139" s="1" t="s">
        <v>21</v>
      </c>
      <c r="D139" s="1" t="s">
        <v>146</v>
      </c>
      <c r="E139" s="1" t="s">
        <v>164</v>
      </c>
      <c r="F139" s="1" t="s">
        <v>455</v>
      </c>
      <c r="G139" s="1">
        <v>1.5</v>
      </c>
      <c r="H139" s="1" t="s">
        <v>60</v>
      </c>
      <c r="I139" s="1">
        <v>146.0</v>
      </c>
      <c r="J139" s="1">
        <v>0.00179593495934965</v>
      </c>
      <c r="K139" s="1" t="s">
        <v>61</v>
      </c>
      <c r="L139" s="1" t="s">
        <v>61</v>
      </c>
      <c r="M139" s="1" t="s">
        <v>62</v>
      </c>
      <c r="N139" s="1">
        <v>-195.0</v>
      </c>
      <c r="O139" s="1">
        <v>-0.0693169491525425</v>
      </c>
      <c r="P139" s="1" t="s">
        <v>61</v>
      </c>
      <c r="Q139" s="1" t="s">
        <v>61</v>
      </c>
      <c r="R139" s="1">
        <f t="shared" si="1"/>
        <v>0.001795934959</v>
      </c>
      <c r="S139" s="1">
        <f t="shared" si="2"/>
        <v>146</v>
      </c>
      <c r="T139" s="1">
        <f t="shared" si="3"/>
        <v>2.46</v>
      </c>
      <c r="U139" s="1">
        <f t="shared" si="4"/>
        <v>1</v>
      </c>
      <c r="V139" s="3">
        <f t="shared" si="5"/>
        <v>1</v>
      </c>
      <c r="W139" s="3">
        <f t="shared" si="6"/>
        <v>1</v>
      </c>
      <c r="X139" s="3" t="str">
        <f>IFERROR(__xludf.DUMMYFUNCTION("split(B139,"" "")"),"S.")</f>
        <v>S.</v>
      </c>
      <c r="Y139" s="3" t="str">
        <f>IFERROR(__xludf.DUMMYFUNCTION("""COMPUTED_VALUE"""),"Darnold")</f>
        <v>Darnold</v>
      </c>
      <c r="AA139" s="3">
        <v>2.0</v>
      </c>
      <c r="AB139" s="3">
        <f t="shared" si="7"/>
        <v>1</v>
      </c>
      <c r="AC139" s="3">
        <f t="shared" si="8"/>
        <v>1</v>
      </c>
      <c r="AD139" s="3">
        <f t="shared" si="9"/>
        <v>1.46</v>
      </c>
      <c r="AE139" s="3">
        <f t="shared" si="10"/>
        <v>1.46</v>
      </c>
      <c r="AF139" s="3">
        <f t="shared" si="11"/>
        <v>1.46</v>
      </c>
      <c r="AG139" s="3">
        <f t="shared" si="12"/>
        <v>0.3333333333</v>
      </c>
    </row>
    <row r="140">
      <c r="A140" s="1" t="s">
        <v>12</v>
      </c>
      <c r="B140" s="1" t="s">
        <v>476</v>
      </c>
      <c r="C140" s="1" t="s">
        <v>19</v>
      </c>
      <c r="D140" s="1" t="s">
        <v>66</v>
      </c>
      <c r="E140" s="1" t="s">
        <v>82</v>
      </c>
      <c r="F140" s="1" t="s">
        <v>455</v>
      </c>
      <c r="G140" s="1">
        <v>2.5</v>
      </c>
      <c r="H140" s="1" t="s">
        <v>60</v>
      </c>
      <c r="I140" s="1">
        <v>-138.0</v>
      </c>
      <c r="J140" s="1">
        <v>-0.291670153193277</v>
      </c>
      <c r="K140" s="1" t="s">
        <v>61</v>
      </c>
      <c r="L140" s="1" t="s">
        <v>61</v>
      </c>
      <c r="M140" s="1" t="s">
        <v>62</v>
      </c>
      <c r="N140" s="1">
        <v>106.0</v>
      </c>
      <c r="O140" s="1">
        <v>0.226407264368932</v>
      </c>
      <c r="P140" s="1" t="s">
        <v>61</v>
      </c>
      <c r="Q140" s="1" t="s">
        <v>61</v>
      </c>
      <c r="R140" s="1">
        <f t="shared" si="1"/>
        <v>0.2264072644</v>
      </c>
      <c r="S140" s="1">
        <f t="shared" si="2"/>
        <v>106</v>
      </c>
      <c r="T140" s="1">
        <f t="shared" si="3"/>
        <v>2.06</v>
      </c>
      <c r="U140" s="1">
        <f t="shared" si="4"/>
        <v>0</v>
      </c>
      <c r="V140" s="3">
        <f t="shared" si="5"/>
        <v>3</v>
      </c>
      <c r="W140" s="3">
        <f t="shared" si="6"/>
        <v>2</v>
      </c>
      <c r="X140" s="3" t="str">
        <f>IFERROR(__xludf.DUMMYFUNCTION("split(B140,"" "")"),"R.")</f>
        <v>R.</v>
      </c>
      <c r="Y140" s="3" t="str">
        <f>IFERROR(__xludf.DUMMYFUNCTION("""COMPUTED_VALUE"""),"Stevenson")</f>
        <v>Stevenson</v>
      </c>
      <c r="AA140" s="3">
        <v>2.0</v>
      </c>
      <c r="AB140" s="3">
        <f t="shared" si="7"/>
        <v>0</v>
      </c>
      <c r="AC140" s="3">
        <f t="shared" si="8"/>
        <v>1</v>
      </c>
      <c r="AD140" s="3">
        <f t="shared" si="9"/>
        <v>3.18</v>
      </c>
      <c r="AE140" s="3">
        <f t="shared" si="10"/>
        <v>3.18</v>
      </c>
      <c r="AF140" s="3">
        <f t="shared" si="11"/>
        <v>2.12</v>
      </c>
      <c r="AG140" s="3">
        <f t="shared" si="12"/>
        <v>0.2</v>
      </c>
    </row>
    <row r="141">
      <c r="A141" s="1" t="s">
        <v>8</v>
      </c>
      <c r="B141" s="1" t="s">
        <v>65</v>
      </c>
      <c r="C141" s="1" t="s">
        <v>21</v>
      </c>
      <c r="D141" s="1" t="s">
        <v>66</v>
      </c>
      <c r="E141" s="1" t="s">
        <v>82</v>
      </c>
      <c r="F141" s="1" t="s">
        <v>455</v>
      </c>
      <c r="G141" s="1">
        <v>3.5</v>
      </c>
      <c r="H141" s="1" t="s">
        <v>60</v>
      </c>
      <c r="I141" s="1">
        <v>-148.0</v>
      </c>
      <c r="J141" s="1">
        <v>-0.240927044742989</v>
      </c>
      <c r="K141" s="1" t="s">
        <v>61</v>
      </c>
      <c r="L141" s="1" t="s">
        <v>61</v>
      </c>
      <c r="M141" s="1" t="s">
        <v>62</v>
      </c>
      <c r="N141" s="1">
        <v>112.0</v>
      </c>
      <c r="O141" s="1">
        <v>0.172446731586138</v>
      </c>
      <c r="P141" s="1" t="s">
        <v>61</v>
      </c>
      <c r="Q141" s="1" t="s">
        <v>61</v>
      </c>
      <c r="R141" s="1">
        <f t="shared" si="1"/>
        <v>0.1724467316</v>
      </c>
      <c r="S141" s="1">
        <f t="shared" si="2"/>
        <v>112</v>
      </c>
      <c r="T141" s="1">
        <f t="shared" si="3"/>
        <v>2.12</v>
      </c>
      <c r="U141" s="1">
        <f t="shared" si="4"/>
        <v>0</v>
      </c>
      <c r="V141" s="3">
        <f t="shared" si="5"/>
        <v>3</v>
      </c>
      <c r="W141" s="3">
        <f t="shared" si="6"/>
        <v>1</v>
      </c>
      <c r="X141" s="3" t="str">
        <f>IFERROR(__xludf.DUMMYFUNCTION("split(B141,"" "")"),"J.")</f>
        <v>J.</v>
      </c>
      <c r="Y141" s="3" t="str">
        <f>IFERROR(__xludf.DUMMYFUNCTION("""COMPUTED_VALUE"""),"Brissett")</f>
        <v>Brissett</v>
      </c>
      <c r="AA141" s="3">
        <v>2.0</v>
      </c>
      <c r="AB141" s="3">
        <f t="shared" si="7"/>
        <v>0</v>
      </c>
      <c r="AC141" s="3">
        <f t="shared" si="8"/>
        <v>1</v>
      </c>
      <c r="AD141" s="3">
        <f t="shared" si="9"/>
        <v>3.36</v>
      </c>
      <c r="AE141" s="3">
        <f t="shared" si="10"/>
        <v>3.36</v>
      </c>
      <c r="AF141" s="3">
        <f t="shared" si="11"/>
        <v>1.12</v>
      </c>
      <c r="AG141" s="3">
        <f t="shared" si="12"/>
        <v>0.4285714286</v>
      </c>
    </row>
    <row r="142">
      <c r="A142" s="1" t="s">
        <v>12</v>
      </c>
      <c r="B142" s="1" t="s">
        <v>212</v>
      </c>
      <c r="C142" s="1" t="s">
        <v>18</v>
      </c>
      <c r="D142" s="1" t="s">
        <v>66</v>
      </c>
      <c r="E142" s="1" t="s">
        <v>82</v>
      </c>
      <c r="F142" s="1" t="s">
        <v>455</v>
      </c>
      <c r="G142" s="1">
        <v>2.5</v>
      </c>
      <c r="H142" s="1" t="s">
        <v>60</v>
      </c>
      <c r="I142" s="1">
        <v>108.0</v>
      </c>
      <c r="J142" s="1">
        <v>-0.161215854884615</v>
      </c>
      <c r="K142" s="1" t="s">
        <v>61</v>
      </c>
      <c r="L142" s="1" t="s">
        <v>61</v>
      </c>
      <c r="M142" s="1" t="s">
        <v>62</v>
      </c>
      <c r="N142" s="1">
        <v>-141.0</v>
      </c>
      <c r="O142" s="1">
        <v>0.0953776161078839</v>
      </c>
      <c r="P142" s="1" t="s">
        <v>61</v>
      </c>
      <c r="Q142" s="1" t="s">
        <v>61</v>
      </c>
      <c r="R142" s="1">
        <f t="shared" si="1"/>
        <v>0.09537761611</v>
      </c>
      <c r="S142" s="1">
        <f t="shared" si="2"/>
        <v>-141</v>
      </c>
      <c r="T142" s="1">
        <f t="shared" si="3"/>
        <v>1.709219858</v>
      </c>
      <c r="U142" s="1">
        <f t="shared" si="4"/>
        <v>0</v>
      </c>
      <c r="V142" s="3">
        <f t="shared" si="5"/>
        <v>2</v>
      </c>
      <c r="W142" s="3">
        <f t="shared" si="6"/>
        <v>3</v>
      </c>
      <c r="X142" s="3" t="str">
        <f>IFERROR(__xludf.DUMMYFUNCTION("split(B142,"" "")"),"K.")</f>
        <v>K.</v>
      </c>
      <c r="Y142" s="3" t="str">
        <f>IFERROR(__xludf.DUMMYFUNCTION("""COMPUTED_VALUE"""),"Osborn")</f>
        <v>Osborn</v>
      </c>
      <c r="AA142" s="3">
        <v>1.0</v>
      </c>
      <c r="AB142" s="3">
        <f t="shared" si="7"/>
        <v>0</v>
      </c>
      <c r="AC142" s="3">
        <f t="shared" si="8"/>
        <v>1</v>
      </c>
      <c r="AD142" s="3">
        <f t="shared" si="9"/>
        <v>1.418439716</v>
      </c>
      <c r="AE142" s="3">
        <f t="shared" si="10"/>
        <v>1.418439716</v>
      </c>
      <c r="AF142" s="3">
        <f t="shared" si="11"/>
        <v>2.127659574</v>
      </c>
      <c r="AG142" s="3">
        <f t="shared" si="12"/>
        <v>0.6</v>
      </c>
    </row>
    <row r="143">
      <c r="A143" s="1" t="s">
        <v>12</v>
      </c>
      <c r="B143" s="1" t="s">
        <v>131</v>
      </c>
      <c r="C143" s="1" t="s">
        <v>18</v>
      </c>
      <c r="D143" s="1" t="s">
        <v>66</v>
      </c>
      <c r="E143" s="1" t="s">
        <v>82</v>
      </c>
      <c r="F143" s="1" t="s">
        <v>455</v>
      </c>
      <c r="G143" s="1">
        <v>3.5</v>
      </c>
      <c r="H143" s="1" t="s">
        <v>60</v>
      </c>
      <c r="I143" s="1">
        <v>-102.0</v>
      </c>
      <c r="J143" s="1">
        <v>-0.147300990099009</v>
      </c>
      <c r="K143" s="1" t="s">
        <v>61</v>
      </c>
      <c r="L143" s="1" t="s">
        <v>61</v>
      </c>
      <c r="M143" s="1" t="s">
        <v>62</v>
      </c>
      <c r="N143" s="1">
        <v>-129.0</v>
      </c>
      <c r="O143" s="1">
        <v>0.0790248908296943</v>
      </c>
      <c r="P143" s="1" t="s">
        <v>61</v>
      </c>
      <c r="Q143" s="1" t="s">
        <v>61</v>
      </c>
      <c r="R143" s="1">
        <f t="shared" si="1"/>
        <v>0.07902489083</v>
      </c>
      <c r="S143" s="1">
        <f t="shared" si="2"/>
        <v>-129</v>
      </c>
      <c r="T143" s="1">
        <f t="shared" si="3"/>
        <v>1.775193798</v>
      </c>
      <c r="U143" s="1">
        <f t="shared" si="4"/>
        <v>0</v>
      </c>
      <c r="V143" s="3">
        <f t="shared" si="5"/>
        <v>2</v>
      </c>
      <c r="W143" s="3">
        <f t="shared" si="6"/>
        <v>3</v>
      </c>
      <c r="X143" s="3" t="str">
        <f>IFERROR(__xludf.DUMMYFUNCTION("split(B143,"" "")"),"D.")</f>
        <v>D.</v>
      </c>
      <c r="Y143" s="3" t="str">
        <f>IFERROR(__xludf.DUMMYFUNCTION("""COMPUTED_VALUE"""),"Douglas")</f>
        <v>Douglas</v>
      </c>
      <c r="AA143" s="3">
        <v>0.0</v>
      </c>
      <c r="AB143" s="3">
        <f t="shared" si="7"/>
        <v>0</v>
      </c>
      <c r="AC143" s="3">
        <f t="shared" si="8"/>
        <v>1</v>
      </c>
      <c r="AD143" s="3">
        <f t="shared" si="9"/>
        <v>1.550387597</v>
      </c>
      <c r="AE143" s="3">
        <f t="shared" si="10"/>
        <v>1.550387597</v>
      </c>
      <c r="AF143" s="3">
        <f t="shared" si="11"/>
        <v>2.325581395</v>
      </c>
      <c r="AG143" s="3">
        <f t="shared" si="12"/>
        <v>1</v>
      </c>
    </row>
    <row r="144">
      <c r="A144" s="1" t="s">
        <v>15</v>
      </c>
      <c r="B144" s="1" t="s">
        <v>65</v>
      </c>
      <c r="C144" s="1" t="s">
        <v>21</v>
      </c>
      <c r="D144" s="1" t="s">
        <v>66</v>
      </c>
      <c r="E144" s="1" t="s">
        <v>82</v>
      </c>
      <c r="F144" s="1" t="s">
        <v>455</v>
      </c>
      <c r="G144" s="1">
        <v>18.5</v>
      </c>
      <c r="H144" s="1" t="s">
        <v>60</v>
      </c>
      <c r="I144" s="1">
        <v>-116.0</v>
      </c>
      <c r="J144" s="1">
        <v>-0.139036525972222</v>
      </c>
      <c r="K144" s="1" t="s">
        <v>61</v>
      </c>
      <c r="L144" s="1" t="s">
        <v>61</v>
      </c>
      <c r="M144" s="1" t="s">
        <v>62</v>
      </c>
      <c r="N144" s="1">
        <v>-114.0</v>
      </c>
      <c r="O144" s="1">
        <v>0.0692891315672897</v>
      </c>
      <c r="P144" s="1" t="s">
        <v>61</v>
      </c>
      <c r="Q144" s="1" t="s">
        <v>61</v>
      </c>
      <c r="R144" s="1">
        <f t="shared" si="1"/>
        <v>0.06928913157</v>
      </c>
      <c r="S144" s="1">
        <f t="shared" si="2"/>
        <v>-114</v>
      </c>
      <c r="T144" s="1">
        <f t="shared" si="3"/>
        <v>1.877192982</v>
      </c>
      <c r="U144" s="1">
        <f t="shared" si="4"/>
        <v>0</v>
      </c>
      <c r="V144" s="3">
        <f t="shared" si="5"/>
        <v>2</v>
      </c>
      <c r="W144" s="3">
        <f t="shared" si="6"/>
        <v>2</v>
      </c>
      <c r="X144" s="3" t="str">
        <f>IFERROR(__xludf.DUMMYFUNCTION("split(B144,"" "")"),"J.")</f>
        <v>J.</v>
      </c>
      <c r="Y144" s="3" t="str">
        <f>IFERROR(__xludf.DUMMYFUNCTION("""COMPUTED_VALUE"""),"Brissett")</f>
        <v>Brissett</v>
      </c>
      <c r="AA144" s="3">
        <v>15.0</v>
      </c>
      <c r="AB144" s="3">
        <f t="shared" si="7"/>
        <v>0</v>
      </c>
      <c r="AC144" s="3">
        <f t="shared" si="8"/>
        <v>1</v>
      </c>
      <c r="AD144" s="3">
        <f t="shared" si="9"/>
        <v>1.754385965</v>
      </c>
      <c r="AE144" s="3">
        <f t="shared" si="10"/>
        <v>1.754385965</v>
      </c>
      <c r="AF144" s="3">
        <f t="shared" si="11"/>
        <v>1.754385965</v>
      </c>
      <c r="AG144" s="3">
        <f t="shared" si="12"/>
        <v>0.1891891892</v>
      </c>
    </row>
    <row r="145">
      <c r="A145" s="1" t="s">
        <v>17</v>
      </c>
      <c r="B145" s="1" t="s">
        <v>65</v>
      </c>
      <c r="C145" s="1" t="s">
        <v>21</v>
      </c>
      <c r="D145" s="1" t="s">
        <v>66</v>
      </c>
      <c r="E145" s="1" t="s">
        <v>82</v>
      </c>
      <c r="F145" s="1" t="s">
        <v>455</v>
      </c>
      <c r="G145" s="1">
        <v>0.5</v>
      </c>
      <c r="H145" s="1" t="s">
        <v>60</v>
      </c>
      <c r="I145" s="1">
        <v>-126.0</v>
      </c>
      <c r="J145" s="1">
        <v>-0.127422123893805</v>
      </c>
      <c r="K145" s="1" t="s">
        <v>61</v>
      </c>
      <c r="L145" s="1" t="s">
        <v>61</v>
      </c>
      <c r="M145" s="1" t="s">
        <v>62</v>
      </c>
      <c r="N145" s="1">
        <v>-105.0</v>
      </c>
      <c r="O145" s="1">
        <v>0.0577048780487804</v>
      </c>
      <c r="P145" s="1" t="s">
        <v>61</v>
      </c>
      <c r="Q145" s="1" t="s">
        <v>61</v>
      </c>
      <c r="R145" s="1">
        <f t="shared" si="1"/>
        <v>0.05770487805</v>
      </c>
      <c r="S145" s="1">
        <f t="shared" si="2"/>
        <v>-105</v>
      </c>
      <c r="T145" s="1">
        <f t="shared" si="3"/>
        <v>1.952380952</v>
      </c>
      <c r="U145" s="1">
        <f t="shared" si="4"/>
        <v>0</v>
      </c>
      <c r="V145" s="3">
        <f t="shared" si="5"/>
        <v>2</v>
      </c>
      <c r="W145" s="3">
        <f t="shared" si="6"/>
        <v>2</v>
      </c>
      <c r="X145" s="3" t="str">
        <f>IFERROR(__xludf.DUMMYFUNCTION("split(B145,"" "")"),"J.")</f>
        <v>J.</v>
      </c>
      <c r="Y145" s="3" t="str">
        <f>IFERROR(__xludf.DUMMYFUNCTION("""COMPUTED_VALUE"""),"Brissett")</f>
        <v>Brissett</v>
      </c>
      <c r="AA145" s="3">
        <v>0.0</v>
      </c>
      <c r="AB145" s="3">
        <f t="shared" si="7"/>
        <v>0</v>
      </c>
      <c r="AC145" s="3">
        <f t="shared" si="8"/>
        <v>1</v>
      </c>
      <c r="AD145" s="3">
        <f t="shared" si="9"/>
        <v>1.904761905</v>
      </c>
      <c r="AE145" s="3">
        <f t="shared" si="10"/>
        <v>1.904761905</v>
      </c>
      <c r="AF145" s="3">
        <f t="shared" si="11"/>
        <v>1.904761905</v>
      </c>
      <c r="AG145" s="3">
        <f t="shared" si="12"/>
        <v>1</v>
      </c>
    </row>
    <row r="146">
      <c r="A146" s="1" t="s">
        <v>12</v>
      </c>
      <c r="B146" s="1" t="s">
        <v>371</v>
      </c>
      <c r="C146" s="1" t="s">
        <v>18</v>
      </c>
      <c r="D146" s="1" t="s">
        <v>66</v>
      </c>
      <c r="E146" s="1" t="s">
        <v>82</v>
      </c>
      <c r="F146" s="1" t="s">
        <v>455</v>
      </c>
      <c r="G146" s="1">
        <v>2.5</v>
      </c>
      <c r="H146" s="1" t="s">
        <v>60</v>
      </c>
      <c r="I146" s="1">
        <v>141.0</v>
      </c>
      <c r="J146" s="1">
        <v>-0.114690107253526</v>
      </c>
      <c r="K146" s="1" t="s">
        <v>61</v>
      </c>
      <c r="L146" s="1" t="s">
        <v>61</v>
      </c>
      <c r="M146" s="1" t="s">
        <v>62</v>
      </c>
      <c r="N146" s="1">
        <v>-187.0</v>
      </c>
      <c r="O146" s="1">
        <v>0.0481903542045295</v>
      </c>
      <c r="P146" s="1" t="s">
        <v>61</v>
      </c>
      <c r="Q146" s="1" t="s">
        <v>61</v>
      </c>
      <c r="R146" s="1">
        <f t="shared" si="1"/>
        <v>0.0481903542</v>
      </c>
      <c r="S146" s="1">
        <f t="shared" si="2"/>
        <v>-187</v>
      </c>
      <c r="T146" s="1">
        <f t="shared" si="3"/>
        <v>1.534759358</v>
      </c>
      <c r="U146" s="1">
        <f t="shared" si="4"/>
        <v>0</v>
      </c>
      <c r="V146" s="3">
        <f t="shared" si="5"/>
        <v>1</v>
      </c>
      <c r="W146" s="3">
        <f t="shared" si="6"/>
        <v>3</v>
      </c>
      <c r="X146" s="3" t="str">
        <f>IFERROR(__xludf.DUMMYFUNCTION("split(B146,"" "")"),"T.")</f>
        <v>T.</v>
      </c>
      <c r="Y146" s="3" t="str">
        <f>IFERROR(__xludf.DUMMYFUNCTION("""COMPUTED_VALUE"""),"Thornton")</f>
        <v>Thornton</v>
      </c>
      <c r="AA146" s="3">
        <v>0.0</v>
      </c>
      <c r="AB146" s="3">
        <f t="shared" si="7"/>
        <v>0</v>
      </c>
      <c r="AC146" s="3">
        <f t="shared" si="8"/>
        <v>1</v>
      </c>
      <c r="AD146" s="3">
        <f t="shared" si="9"/>
        <v>0.5347593583</v>
      </c>
      <c r="AE146" s="3">
        <f t="shared" si="10"/>
        <v>0.5347593583</v>
      </c>
      <c r="AF146" s="3">
        <f t="shared" si="11"/>
        <v>1.604278075</v>
      </c>
      <c r="AG146" s="3">
        <f t="shared" si="12"/>
        <v>1</v>
      </c>
    </row>
    <row r="147">
      <c r="A147" s="1" t="s">
        <v>10</v>
      </c>
      <c r="B147" s="1" t="s">
        <v>65</v>
      </c>
      <c r="C147" s="1" t="s">
        <v>21</v>
      </c>
      <c r="D147" s="1" t="s">
        <v>66</v>
      </c>
      <c r="E147" s="1" t="s">
        <v>82</v>
      </c>
      <c r="F147" s="1" t="s">
        <v>455</v>
      </c>
      <c r="G147" s="1">
        <v>14.5</v>
      </c>
      <c r="H147" s="1" t="s">
        <v>60</v>
      </c>
      <c r="I147" s="1">
        <v>-115.0</v>
      </c>
      <c r="J147" s="1">
        <v>-0.102215721336414</v>
      </c>
      <c r="K147" s="1" t="s">
        <v>61</v>
      </c>
      <c r="L147" s="1" t="s">
        <v>61</v>
      </c>
      <c r="M147" s="1" t="s">
        <v>62</v>
      </c>
      <c r="N147" s="1">
        <v>-115.0</v>
      </c>
      <c r="O147" s="1">
        <v>0.0324680795368763</v>
      </c>
      <c r="P147" s="1" t="s">
        <v>61</v>
      </c>
      <c r="Q147" s="1" t="s">
        <v>61</v>
      </c>
      <c r="R147" s="1">
        <f t="shared" si="1"/>
        <v>0.03246807954</v>
      </c>
      <c r="S147" s="1">
        <f t="shared" si="2"/>
        <v>-115</v>
      </c>
      <c r="T147" s="1">
        <f t="shared" si="3"/>
        <v>1.869565217</v>
      </c>
      <c r="U147" s="1">
        <f t="shared" si="4"/>
        <v>0</v>
      </c>
      <c r="V147" s="3">
        <f t="shared" si="5"/>
        <v>1</v>
      </c>
      <c r="W147" s="3">
        <f t="shared" si="6"/>
        <v>2</v>
      </c>
      <c r="X147" s="3" t="str">
        <f>IFERROR(__xludf.DUMMYFUNCTION("split(B147,"" "")"),"J.")</f>
        <v>J.</v>
      </c>
      <c r="Y147" s="3" t="str">
        <f>IFERROR(__xludf.DUMMYFUNCTION("""COMPUTED_VALUE"""),"Brissett")</f>
        <v>Brissett</v>
      </c>
      <c r="AA147" s="3">
        <v>6.0</v>
      </c>
      <c r="AB147" s="3">
        <f t="shared" si="7"/>
        <v>0</v>
      </c>
      <c r="AC147" s="3">
        <f t="shared" si="8"/>
        <v>1</v>
      </c>
      <c r="AD147" s="3">
        <f t="shared" si="9"/>
        <v>0.8695652174</v>
      </c>
      <c r="AE147" s="3">
        <f t="shared" si="10"/>
        <v>0.8695652174</v>
      </c>
      <c r="AF147" s="3">
        <f t="shared" si="11"/>
        <v>1.739130435</v>
      </c>
      <c r="AG147" s="3">
        <f t="shared" si="12"/>
        <v>0.5862068966</v>
      </c>
    </row>
    <row r="148">
      <c r="A148" s="1" t="s">
        <v>11</v>
      </c>
      <c r="B148" s="1" t="s">
        <v>131</v>
      </c>
      <c r="C148" s="1" t="s">
        <v>18</v>
      </c>
      <c r="D148" s="1" t="s">
        <v>66</v>
      </c>
      <c r="E148" s="1" t="s">
        <v>82</v>
      </c>
      <c r="F148" s="1" t="s">
        <v>455</v>
      </c>
      <c r="G148" s="1">
        <v>33.5</v>
      </c>
      <c r="H148" s="1" t="s">
        <v>60</v>
      </c>
      <c r="I148" s="1">
        <v>-116.0</v>
      </c>
      <c r="J148" s="1">
        <v>-0.0936247336615277</v>
      </c>
      <c r="K148" s="1" t="s">
        <v>61</v>
      </c>
      <c r="L148" s="1" t="s">
        <v>61</v>
      </c>
      <c r="M148" s="1" t="s">
        <v>62</v>
      </c>
      <c r="N148" s="1">
        <v>-112.0</v>
      </c>
      <c r="O148" s="1">
        <v>0.0282823395530037</v>
      </c>
      <c r="P148" s="1" t="s">
        <v>61</v>
      </c>
      <c r="Q148" s="1" t="s">
        <v>61</v>
      </c>
      <c r="R148" s="1">
        <f t="shared" si="1"/>
        <v>0.02828233955</v>
      </c>
      <c r="S148" s="1">
        <f t="shared" si="2"/>
        <v>-112</v>
      </c>
      <c r="T148" s="1">
        <f t="shared" si="3"/>
        <v>1.892857143</v>
      </c>
      <c r="U148" s="1">
        <f t="shared" si="4"/>
        <v>0</v>
      </c>
      <c r="V148" s="3">
        <f t="shared" si="5"/>
        <v>1</v>
      </c>
      <c r="W148" s="3">
        <f t="shared" si="6"/>
        <v>2</v>
      </c>
      <c r="X148" s="3" t="str">
        <f>IFERROR(__xludf.DUMMYFUNCTION("split(B148,"" "")"),"D.")</f>
        <v>D.</v>
      </c>
      <c r="Y148" s="3" t="str">
        <f>IFERROR(__xludf.DUMMYFUNCTION("""COMPUTED_VALUE"""),"Douglas")</f>
        <v>Douglas</v>
      </c>
      <c r="AA148" s="3">
        <v>0.0</v>
      </c>
      <c r="AB148" s="3">
        <f t="shared" si="7"/>
        <v>0</v>
      </c>
      <c r="AC148" s="3">
        <f t="shared" si="8"/>
        <v>1</v>
      </c>
      <c r="AD148" s="3">
        <f t="shared" si="9"/>
        <v>0.8928571429</v>
      </c>
      <c r="AE148" s="3">
        <f t="shared" si="10"/>
        <v>0.8928571429</v>
      </c>
      <c r="AF148" s="3">
        <f t="shared" si="11"/>
        <v>1.785714286</v>
      </c>
      <c r="AG148" s="3">
        <f t="shared" si="12"/>
        <v>1</v>
      </c>
    </row>
    <row r="149">
      <c r="A149" s="1" t="s">
        <v>11</v>
      </c>
      <c r="B149" s="1" t="s">
        <v>371</v>
      </c>
      <c r="C149" s="1" t="s">
        <v>18</v>
      </c>
      <c r="D149" s="1" t="s">
        <v>66</v>
      </c>
      <c r="E149" s="1" t="s">
        <v>82</v>
      </c>
      <c r="F149" s="1" t="s">
        <v>455</v>
      </c>
      <c r="G149" s="1">
        <v>20.5</v>
      </c>
      <c r="H149" s="1" t="s">
        <v>60</v>
      </c>
      <c r="I149" s="1">
        <v>-117.0</v>
      </c>
      <c r="J149" s="1">
        <v>-0.0883402271135715</v>
      </c>
      <c r="K149" s="1" t="s">
        <v>61</v>
      </c>
      <c r="L149" s="1" t="s">
        <v>61</v>
      </c>
      <c r="M149" s="1" t="s">
        <v>62</v>
      </c>
      <c r="N149" s="1">
        <v>-112.0</v>
      </c>
      <c r="O149" s="1">
        <v>0.0209366075362378</v>
      </c>
      <c r="P149" s="1" t="s">
        <v>61</v>
      </c>
      <c r="Q149" s="1" t="s">
        <v>61</v>
      </c>
      <c r="R149" s="1">
        <f t="shared" si="1"/>
        <v>0.02093660754</v>
      </c>
      <c r="S149" s="1">
        <f t="shared" si="2"/>
        <v>-112</v>
      </c>
      <c r="T149" s="1">
        <f t="shared" si="3"/>
        <v>1.892857143</v>
      </c>
      <c r="U149" s="1">
        <f t="shared" si="4"/>
        <v>0</v>
      </c>
      <c r="V149" s="3">
        <f t="shared" si="5"/>
        <v>1</v>
      </c>
      <c r="W149" s="3">
        <f t="shared" si="6"/>
        <v>2</v>
      </c>
      <c r="X149" s="3" t="str">
        <f>IFERROR(__xludf.DUMMYFUNCTION("split(B149,"" "")"),"T.")</f>
        <v>T.</v>
      </c>
      <c r="Y149" s="3" t="str">
        <f>IFERROR(__xludf.DUMMYFUNCTION("""COMPUTED_VALUE"""),"Thornton")</f>
        <v>Thornton</v>
      </c>
      <c r="AA149" s="3">
        <v>0.0</v>
      </c>
      <c r="AB149" s="3">
        <f t="shared" si="7"/>
        <v>0</v>
      </c>
      <c r="AC149" s="3">
        <f t="shared" si="8"/>
        <v>1</v>
      </c>
      <c r="AD149" s="3">
        <f t="shared" si="9"/>
        <v>0.8928571429</v>
      </c>
      <c r="AE149" s="3">
        <f t="shared" si="10"/>
        <v>0.8928571429</v>
      </c>
      <c r="AF149" s="3">
        <f t="shared" si="11"/>
        <v>1.785714286</v>
      </c>
      <c r="AG149" s="3">
        <f t="shared" si="12"/>
        <v>1</v>
      </c>
    </row>
    <row r="150">
      <c r="A150" s="1" t="s">
        <v>16</v>
      </c>
      <c r="B150" s="1" t="s">
        <v>65</v>
      </c>
      <c r="C150" s="1" t="s">
        <v>21</v>
      </c>
      <c r="D150" s="1" t="s">
        <v>66</v>
      </c>
      <c r="E150" s="1" t="s">
        <v>82</v>
      </c>
      <c r="F150" s="1" t="s">
        <v>455</v>
      </c>
      <c r="G150" s="1">
        <v>29.5</v>
      </c>
      <c r="H150" s="1" t="s">
        <v>60</v>
      </c>
      <c r="I150" s="1">
        <v>-120.0</v>
      </c>
      <c r="J150" s="1">
        <v>-0.0823886910909089</v>
      </c>
      <c r="K150" s="1" t="s">
        <v>61</v>
      </c>
      <c r="L150" s="1" t="s">
        <v>61</v>
      </c>
      <c r="M150" s="1" t="s">
        <v>62</v>
      </c>
      <c r="N150" s="1">
        <v>-110.0</v>
      </c>
      <c r="O150" s="1">
        <v>0.0131450630666666</v>
      </c>
      <c r="P150" s="1" t="s">
        <v>61</v>
      </c>
      <c r="Q150" s="1" t="s">
        <v>61</v>
      </c>
      <c r="R150" s="1">
        <f t="shared" si="1"/>
        <v>0.01314506307</v>
      </c>
      <c r="S150" s="1">
        <f t="shared" si="2"/>
        <v>-110</v>
      </c>
      <c r="T150" s="1">
        <f t="shared" si="3"/>
        <v>1.909090909</v>
      </c>
      <c r="U150" s="1">
        <f t="shared" si="4"/>
        <v>0</v>
      </c>
      <c r="V150" s="3">
        <f t="shared" si="5"/>
        <v>1</v>
      </c>
      <c r="W150" s="3">
        <f t="shared" si="6"/>
        <v>2</v>
      </c>
      <c r="X150" s="3" t="str">
        <f>IFERROR(__xludf.DUMMYFUNCTION("split(B150,"" "")"),"J.")</f>
        <v>J.</v>
      </c>
      <c r="Y150" s="3" t="str">
        <f>IFERROR(__xludf.DUMMYFUNCTION("""COMPUTED_VALUE"""),"Brissett")</f>
        <v>Brissett</v>
      </c>
      <c r="AA150" s="3">
        <v>27.0</v>
      </c>
      <c r="AB150" s="3">
        <f t="shared" si="7"/>
        <v>0</v>
      </c>
      <c r="AC150" s="3">
        <f t="shared" si="8"/>
        <v>1</v>
      </c>
      <c r="AD150" s="3">
        <f t="shared" si="9"/>
        <v>0.9090909091</v>
      </c>
      <c r="AE150" s="3">
        <f t="shared" si="10"/>
        <v>0.9090909091</v>
      </c>
      <c r="AF150" s="3">
        <f t="shared" si="11"/>
        <v>1.818181818</v>
      </c>
      <c r="AG150" s="3">
        <f t="shared" si="12"/>
        <v>0.08474576271</v>
      </c>
    </row>
    <row r="151">
      <c r="A151" s="1" t="s">
        <v>12</v>
      </c>
      <c r="B151" s="1" t="s">
        <v>193</v>
      </c>
      <c r="C151" s="1" t="s">
        <v>20</v>
      </c>
      <c r="D151" s="1" t="s">
        <v>58</v>
      </c>
      <c r="E151" s="1" t="s">
        <v>88</v>
      </c>
      <c r="F151" s="1" t="s">
        <v>455</v>
      </c>
      <c r="G151" s="1">
        <v>2.5</v>
      </c>
      <c r="H151" s="1" t="s">
        <v>60</v>
      </c>
      <c r="I151" s="1">
        <v>-118.0</v>
      </c>
      <c r="J151" s="1">
        <v>-0.194382655366972</v>
      </c>
      <c r="K151" s="1" t="s">
        <v>61</v>
      </c>
      <c r="L151" s="1" t="s">
        <v>61</v>
      </c>
      <c r="M151" s="1" t="s">
        <v>62</v>
      </c>
      <c r="N151" s="1">
        <v>-111.0</v>
      </c>
      <c r="O151" s="1">
        <v>0.127031644292417</v>
      </c>
      <c r="P151" s="1" t="s">
        <v>61</v>
      </c>
      <c r="Q151" s="1" t="s">
        <v>61</v>
      </c>
      <c r="R151" s="1">
        <f t="shared" si="1"/>
        <v>0.1270316443</v>
      </c>
      <c r="S151" s="1">
        <f t="shared" si="2"/>
        <v>-111</v>
      </c>
      <c r="T151" s="1">
        <f t="shared" si="3"/>
        <v>1.900900901</v>
      </c>
      <c r="U151" s="1">
        <f t="shared" si="4"/>
        <v>0</v>
      </c>
      <c r="V151" s="3">
        <f t="shared" si="5"/>
        <v>3</v>
      </c>
      <c r="W151" s="3">
        <f t="shared" si="6"/>
        <v>2</v>
      </c>
      <c r="X151" s="3" t="str">
        <f>IFERROR(__xludf.DUMMYFUNCTION("split(B151,"" "")"),"J.")</f>
        <v>J.</v>
      </c>
      <c r="Y151" s="3" t="str">
        <f>IFERROR(__xludf.DUMMYFUNCTION("""COMPUTED_VALUE"""),"Johnson")</f>
        <v>Johnson</v>
      </c>
      <c r="AA151" s="3">
        <v>0.0</v>
      </c>
      <c r="AB151" s="3">
        <f t="shared" si="7"/>
        <v>0</v>
      </c>
      <c r="AC151" s="3">
        <f t="shared" si="8"/>
        <v>1</v>
      </c>
      <c r="AD151" s="3">
        <f t="shared" si="9"/>
        <v>2.702702703</v>
      </c>
      <c r="AE151" s="3">
        <f t="shared" si="10"/>
        <v>2.702702703</v>
      </c>
      <c r="AF151" s="3">
        <f t="shared" si="11"/>
        <v>1.801801802</v>
      </c>
      <c r="AG151" s="3">
        <f t="shared" si="12"/>
        <v>1</v>
      </c>
    </row>
    <row r="152">
      <c r="A152" s="1" t="s">
        <v>12</v>
      </c>
      <c r="B152" s="1" t="s">
        <v>282</v>
      </c>
      <c r="C152" s="1" t="s">
        <v>19</v>
      </c>
      <c r="D152" s="1" t="s">
        <v>58</v>
      </c>
      <c r="E152" s="1" t="s">
        <v>88</v>
      </c>
      <c r="F152" s="1" t="s">
        <v>455</v>
      </c>
      <c r="G152" s="1">
        <v>4.5</v>
      </c>
      <c r="H152" s="1" t="s">
        <v>60</v>
      </c>
      <c r="I152" s="1">
        <v>-109.0</v>
      </c>
      <c r="J152" s="1">
        <v>-0.188278947368421</v>
      </c>
      <c r="K152" s="1" t="s">
        <v>61</v>
      </c>
      <c r="L152" s="1" t="s">
        <v>61</v>
      </c>
      <c r="M152" s="1" t="s">
        <v>62</v>
      </c>
      <c r="N152" s="1">
        <v>-121.0</v>
      </c>
      <c r="O152" s="1">
        <v>0.119243438914027</v>
      </c>
      <c r="P152" s="1" t="s">
        <v>61</v>
      </c>
      <c r="Q152" s="1" t="s">
        <v>61</v>
      </c>
      <c r="R152" s="1">
        <f t="shared" si="1"/>
        <v>0.1192434389</v>
      </c>
      <c r="S152" s="1">
        <f t="shared" si="2"/>
        <v>-121</v>
      </c>
      <c r="T152" s="1">
        <f t="shared" si="3"/>
        <v>1.826446281</v>
      </c>
      <c r="U152" s="1">
        <f t="shared" si="4"/>
        <v>0</v>
      </c>
      <c r="V152" s="3">
        <f t="shared" si="5"/>
        <v>3</v>
      </c>
      <c r="W152" s="3">
        <f t="shared" si="6"/>
        <v>3</v>
      </c>
      <c r="X152" s="3" t="str">
        <f>IFERROR(__xludf.DUMMYFUNCTION("split(B152,"" "")"),"A.")</f>
        <v>A.</v>
      </c>
      <c r="Y152" s="3" t="str">
        <f>IFERROR(__xludf.DUMMYFUNCTION("""COMPUTED_VALUE"""),"Kamara")</f>
        <v>Kamara</v>
      </c>
      <c r="AA152" s="3">
        <v>2.0</v>
      </c>
      <c r="AB152" s="3">
        <f t="shared" si="7"/>
        <v>0</v>
      </c>
      <c r="AC152" s="3">
        <f t="shared" si="8"/>
        <v>1</v>
      </c>
      <c r="AD152" s="3">
        <f t="shared" si="9"/>
        <v>2.479338843</v>
      </c>
      <c r="AE152" s="3">
        <f t="shared" si="10"/>
        <v>2.479338843</v>
      </c>
      <c r="AF152" s="3">
        <f t="shared" si="11"/>
        <v>2.479338843</v>
      </c>
      <c r="AG152" s="3">
        <f t="shared" si="12"/>
        <v>0.5555555556</v>
      </c>
    </row>
    <row r="153">
      <c r="A153" s="1" t="s">
        <v>8</v>
      </c>
      <c r="B153" s="1" t="s">
        <v>441</v>
      </c>
      <c r="C153" s="1" t="s">
        <v>20</v>
      </c>
      <c r="D153" s="1" t="s">
        <v>58</v>
      </c>
      <c r="E153" s="1" t="s">
        <v>88</v>
      </c>
      <c r="F153" s="1" t="s">
        <v>455</v>
      </c>
      <c r="G153" s="1">
        <v>4.5</v>
      </c>
      <c r="H153" s="1" t="s">
        <v>60</v>
      </c>
      <c r="I153" s="1">
        <v>108.0</v>
      </c>
      <c r="J153" s="1">
        <v>-0.166767534657807</v>
      </c>
      <c r="K153" s="1" t="s">
        <v>61</v>
      </c>
      <c r="L153" s="1" t="s">
        <v>61</v>
      </c>
      <c r="M153" s="1" t="s">
        <v>62</v>
      </c>
      <c r="N153" s="1">
        <v>-140.0</v>
      </c>
      <c r="O153" s="1">
        <v>0.102677106837784</v>
      </c>
      <c r="P153" s="1" t="s">
        <v>61</v>
      </c>
      <c r="Q153" s="1" t="s">
        <v>61</v>
      </c>
      <c r="R153" s="1">
        <f t="shared" si="1"/>
        <v>0.1026771068</v>
      </c>
      <c r="S153" s="1">
        <f t="shared" si="2"/>
        <v>-140</v>
      </c>
      <c r="T153" s="1">
        <f t="shared" si="3"/>
        <v>1.714285714</v>
      </c>
      <c r="U153" s="1">
        <f t="shared" si="4"/>
        <v>0</v>
      </c>
      <c r="V153" s="3">
        <f t="shared" si="5"/>
        <v>3</v>
      </c>
      <c r="W153" s="3">
        <f t="shared" si="6"/>
        <v>3</v>
      </c>
      <c r="X153" s="3" t="str">
        <f>IFERROR(__xludf.DUMMYFUNCTION("split(B153,"" "")"),"T.")</f>
        <v>T.</v>
      </c>
      <c r="Y153" s="3" t="str">
        <f>IFERROR(__xludf.DUMMYFUNCTION("""COMPUTED_VALUE"""),"Hill")</f>
        <v>Hill</v>
      </c>
      <c r="AA153" s="3">
        <v>3.0</v>
      </c>
      <c r="AB153" s="3">
        <f t="shared" si="7"/>
        <v>0</v>
      </c>
      <c r="AC153" s="3">
        <f t="shared" si="8"/>
        <v>1</v>
      </c>
      <c r="AD153" s="3">
        <f t="shared" si="9"/>
        <v>2.142857143</v>
      </c>
      <c r="AE153" s="3">
        <f t="shared" si="10"/>
        <v>2.142857143</v>
      </c>
      <c r="AF153" s="3">
        <f t="shared" si="11"/>
        <v>2.142857143</v>
      </c>
      <c r="AG153" s="3">
        <f t="shared" si="12"/>
        <v>0.3333333333</v>
      </c>
    </row>
    <row r="154">
      <c r="A154" s="1" t="s">
        <v>14</v>
      </c>
      <c r="B154" s="1" t="s">
        <v>287</v>
      </c>
      <c r="C154" s="1" t="s">
        <v>21</v>
      </c>
      <c r="D154" s="1" t="s">
        <v>58</v>
      </c>
      <c r="E154" s="1" t="s">
        <v>88</v>
      </c>
      <c r="F154" s="1" t="s">
        <v>455</v>
      </c>
      <c r="G154" s="1">
        <v>1.5</v>
      </c>
      <c r="H154" s="1" t="s">
        <v>60</v>
      </c>
      <c r="I154" s="1">
        <v>157.0</v>
      </c>
      <c r="J154" s="1">
        <v>0.0394560311284046</v>
      </c>
      <c r="K154" s="1" t="s">
        <v>61</v>
      </c>
      <c r="L154" s="1" t="s">
        <v>61</v>
      </c>
      <c r="M154" s="1" t="s">
        <v>62</v>
      </c>
      <c r="N154" s="1">
        <v>-206.0</v>
      </c>
      <c r="O154" s="1">
        <v>-0.101769934640523</v>
      </c>
      <c r="P154" s="1" t="s">
        <v>61</v>
      </c>
      <c r="Q154" s="1" t="s">
        <v>61</v>
      </c>
      <c r="R154" s="1">
        <f t="shared" si="1"/>
        <v>0.03945603113</v>
      </c>
      <c r="S154" s="1">
        <f t="shared" si="2"/>
        <v>157</v>
      </c>
      <c r="T154" s="1">
        <f t="shared" si="3"/>
        <v>2.57</v>
      </c>
      <c r="U154" s="1">
        <f t="shared" si="4"/>
        <v>1</v>
      </c>
      <c r="V154" s="3">
        <f t="shared" si="5"/>
        <v>1</v>
      </c>
      <c r="W154" s="3">
        <f t="shared" si="6"/>
        <v>1</v>
      </c>
      <c r="X154" s="3" t="str">
        <f>IFERROR(__xludf.DUMMYFUNCTION("split(B154,"" "")"),"D.")</f>
        <v>D.</v>
      </c>
      <c r="Y154" s="3" t="str">
        <f>IFERROR(__xludf.DUMMYFUNCTION("""COMPUTED_VALUE"""),"Carr")</f>
        <v>Carr</v>
      </c>
      <c r="AA154" s="3">
        <v>2.0</v>
      </c>
      <c r="AB154" s="3">
        <f t="shared" si="7"/>
        <v>1</v>
      </c>
      <c r="AC154" s="3">
        <f t="shared" si="8"/>
        <v>1</v>
      </c>
      <c r="AD154" s="3">
        <f t="shared" si="9"/>
        <v>1.57</v>
      </c>
      <c r="AE154" s="3">
        <f t="shared" si="10"/>
        <v>1.57</v>
      </c>
      <c r="AF154" s="3">
        <f t="shared" si="11"/>
        <v>1.57</v>
      </c>
      <c r="AG154" s="3">
        <f t="shared" si="12"/>
        <v>0.3333333333</v>
      </c>
    </row>
    <row r="155">
      <c r="A155" s="1" t="s">
        <v>9</v>
      </c>
      <c r="B155" s="1" t="s">
        <v>428</v>
      </c>
      <c r="C155" s="1" t="s">
        <v>18</v>
      </c>
      <c r="D155" s="1" t="s">
        <v>58</v>
      </c>
      <c r="E155" s="1" t="s">
        <v>88</v>
      </c>
      <c r="F155" s="1" t="s">
        <v>455</v>
      </c>
      <c r="G155" s="1">
        <v>38.5</v>
      </c>
      <c r="H155" s="1" t="s">
        <v>60</v>
      </c>
      <c r="I155" s="1">
        <v>-119.0</v>
      </c>
      <c r="J155" s="1">
        <v>0.0219338645520292</v>
      </c>
      <c r="K155" s="1" t="s">
        <v>61</v>
      </c>
      <c r="L155" s="1" t="s">
        <v>61</v>
      </c>
      <c r="M155" s="1" t="s">
        <v>62</v>
      </c>
      <c r="N155" s="1">
        <v>-114.0</v>
      </c>
      <c r="O155" s="1">
        <v>-0.0979752926357925</v>
      </c>
      <c r="P155" s="1" t="s">
        <v>61</v>
      </c>
      <c r="Q155" s="1" t="s">
        <v>61</v>
      </c>
      <c r="R155" s="1">
        <f t="shared" si="1"/>
        <v>0.02193386455</v>
      </c>
      <c r="S155" s="1">
        <f t="shared" si="2"/>
        <v>-119</v>
      </c>
      <c r="T155" s="1">
        <f t="shared" si="3"/>
        <v>1.840336134</v>
      </c>
      <c r="U155" s="1">
        <f t="shared" si="4"/>
        <v>1</v>
      </c>
      <c r="V155" s="3">
        <f t="shared" si="5"/>
        <v>1</v>
      </c>
      <c r="W155" s="3">
        <f t="shared" si="6"/>
        <v>3</v>
      </c>
      <c r="X155" s="3" t="str">
        <f>IFERROR(__xludf.DUMMYFUNCTION("split(B155,"" "")"),"R.")</f>
        <v>R.</v>
      </c>
      <c r="Y155" s="3" t="str">
        <f>IFERROR(__xludf.DUMMYFUNCTION("""COMPUTED_VALUE"""),"Shaheed")</f>
        <v>Shaheed</v>
      </c>
      <c r="AA155" s="3">
        <v>109.0</v>
      </c>
      <c r="AB155" s="3">
        <f t="shared" si="7"/>
        <v>1</v>
      </c>
      <c r="AC155" s="3">
        <f t="shared" si="8"/>
        <v>1</v>
      </c>
      <c r="AD155" s="3">
        <f t="shared" si="9"/>
        <v>0.8403361345</v>
      </c>
      <c r="AE155" s="3">
        <f t="shared" si="10"/>
        <v>0.8403361345</v>
      </c>
      <c r="AF155" s="3">
        <f t="shared" si="11"/>
        <v>2.521008403</v>
      </c>
      <c r="AG155" s="3">
        <f t="shared" si="12"/>
        <v>1.831168831</v>
      </c>
    </row>
    <row r="156">
      <c r="A156" s="1" t="s">
        <v>13</v>
      </c>
      <c r="B156" s="1" t="s">
        <v>287</v>
      </c>
      <c r="C156" s="1" t="s">
        <v>21</v>
      </c>
      <c r="D156" s="1" t="s">
        <v>58</v>
      </c>
      <c r="E156" s="1" t="s">
        <v>88</v>
      </c>
      <c r="F156" s="1" t="s">
        <v>455</v>
      </c>
      <c r="G156" s="1">
        <v>220.0</v>
      </c>
      <c r="H156" s="1" t="s">
        <v>60</v>
      </c>
      <c r="I156" s="1">
        <v>-115.0</v>
      </c>
      <c r="J156" s="1">
        <v>0.00305581395348819</v>
      </c>
      <c r="K156" s="1" t="s">
        <v>61</v>
      </c>
      <c r="L156" s="1" t="s">
        <v>61</v>
      </c>
      <c r="M156" s="1" t="s">
        <v>62</v>
      </c>
      <c r="N156" s="1">
        <v>-115.0</v>
      </c>
      <c r="O156" s="1">
        <v>-0.0725441860465114</v>
      </c>
      <c r="P156" s="1" t="s">
        <v>61</v>
      </c>
      <c r="Q156" s="1" t="s">
        <v>61</v>
      </c>
      <c r="R156" s="1">
        <f t="shared" si="1"/>
        <v>0.003055813953</v>
      </c>
      <c r="S156" s="1">
        <f t="shared" si="2"/>
        <v>-115</v>
      </c>
      <c r="T156" s="1">
        <f t="shared" si="3"/>
        <v>1.869565217</v>
      </c>
      <c r="U156" s="1">
        <f t="shared" si="4"/>
        <v>1</v>
      </c>
      <c r="V156" s="3">
        <f t="shared" si="5"/>
        <v>1</v>
      </c>
      <c r="W156" s="3">
        <f t="shared" si="6"/>
        <v>2</v>
      </c>
      <c r="X156" s="3" t="str">
        <f>IFERROR(__xludf.DUMMYFUNCTION("split(B156,"" "")"),"D.")</f>
        <v>D.</v>
      </c>
      <c r="Y156" s="3" t="str">
        <f>IFERROR(__xludf.DUMMYFUNCTION("""COMPUTED_VALUE"""),"Carr")</f>
        <v>Carr</v>
      </c>
      <c r="AA156" s="3">
        <v>243.0</v>
      </c>
      <c r="AB156" s="3">
        <f t="shared" si="7"/>
        <v>1</v>
      </c>
      <c r="AC156" s="3">
        <f t="shared" si="8"/>
        <v>1</v>
      </c>
      <c r="AD156" s="3">
        <f t="shared" si="9"/>
        <v>0.8695652174</v>
      </c>
      <c r="AE156" s="3">
        <f t="shared" si="10"/>
        <v>0.8695652174</v>
      </c>
      <c r="AF156" s="3">
        <f t="shared" si="11"/>
        <v>1.739130435</v>
      </c>
      <c r="AG156" s="3">
        <f t="shared" si="12"/>
        <v>0.1045454545</v>
      </c>
    </row>
    <row r="157">
      <c r="A157" s="1" t="s">
        <v>8</v>
      </c>
      <c r="B157" s="1" t="s">
        <v>260</v>
      </c>
      <c r="C157" s="1" t="s">
        <v>21</v>
      </c>
      <c r="D157" s="1" t="s">
        <v>147</v>
      </c>
      <c r="E157" s="1" t="s">
        <v>114</v>
      </c>
      <c r="F157" s="1" t="s">
        <v>455</v>
      </c>
      <c r="G157" s="1">
        <v>6.5</v>
      </c>
      <c r="H157" s="1" t="s">
        <v>60</v>
      </c>
      <c r="I157" s="1">
        <v>-110.0</v>
      </c>
      <c r="J157" s="1">
        <v>-0.198041481888426</v>
      </c>
      <c r="K157" s="1" t="s">
        <v>61</v>
      </c>
      <c r="L157" s="1" t="s">
        <v>61</v>
      </c>
      <c r="M157" s="1" t="s">
        <v>62</v>
      </c>
      <c r="N157" s="1">
        <v>-120.0</v>
      </c>
      <c r="O157" s="1">
        <v>0.128796606526742</v>
      </c>
      <c r="P157" s="1" t="s">
        <v>61</v>
      </c>
      <c r="Q157" s="1" t="s">
        <v>61</v>
      </c>
      <c r="R157" s="1">
        <f t="shared" si="1"/>
        <v>0.1287966065</v>
      </c>
      <c r="S157" s="1">
        <f t="shared" si="2"/>
        <v>-120</v>
      </c>
      <c r="T157" s="1">
        <f t="shared" si="3"/>
        <v>1.833333333</v>
      </c>
      <c r="U157" s="1">
        <f t="shared" si="4"/>
        <v>0</v>
      </c>
      <c r="V157" s="3">
        <f t="shared" si="5"/>
        <v>3</v>
      </c>
      <c r="W157" s="3">
        <f t="shared" si="6"/>
        <v>3</v>
      </c>
      <c r="X157" s="3" t="str">
        <f>IFERROR(__xludf.DUMMYFUNCTION("split(B157,"" "")"),"D.")</f>
        <v>D.</v>
      </c>
      <c r="Y157" s="3" t="str">
        <f>IFERROR(__xludf.DUMMYFUNCTION("""COMPUTED_VALUE"""),"Jones")</f>
        <v>Jones</v>
      </c>
      <c r="AA157" s="1">
        <v>5.0</v>
      </c>
      <c r="AB157" s="3">
        <f t="shared" si="7"/>
        <v>0</v>
      </c>
      <c r="AC157" s="3">
        <f t="shared" si="8"/>
        <v>1</v>
      </c>
      <c r="AD157" s="3">
        <f t="shared" si="9"/>
        <v>2.5</v>
      </c>
      <c r="AE157" s="3">
        <f t="shared" si="10"/>
        <v>2.5</v>
      </c>
      <c r="AF157" s="3">
        <f t="shared" si="11"/>
        <v>2.5</v>
      </c>
      <c r="AG157" s="3">
        <f t="shared" si="12"/>
        <v>0.2307692308</v>
      </c>
    </row>
    <row r="158">
      <c r="A158" s="1" t="s">
        <v>15</v>
      </c>
      <c r="B158" s="1" t="s">
        <v>260</v>
      </c>
      <c r="C158" s="1" t="s">
        <v>21</v>
      </c>
      <c r="D158" s="1" t="s">
        <v>147</v>
      </c>
      <c r="E158" s="1" t="s">
        <v>114</v>
      </c>
      <c r="F158" s="1" t="s">
        <v>455</v>
      </c>
      <c r="G158" s="1">
        <v>19.5</v>
      </c>
      <c r="H158" s="1" t="s">
        <v>60</v>
      </c>
      <c r="I158" s="1">
        <v>-127.0</v>
      </c>
      <c r="J158" s="1">
        <v>-0.165370549118942</v>
      </c>
      <c r="K158" s="1" t="s">
        <v>61</v>
      </c>
      <c r="L158" s="1" t="s">
        <v>61</v>
      </c>
      <c r="M158" s="1" t="s">
        <v>62</v>
      </c>
      <c r="N158" s="1">
        <v>-106.0</v>
      </c>
      <c r="O158" s="1">
        <v>0.091335939461165</v>
      </c>
      <c r="P158" s="1" t="s">
        <v>61</v>
      </c>
      <c r="Q158" s="1" t="s">
        <v>61</v>
      </c>
      <c r="R158" s="1">
        <f t="shared" si="1"/>
        <v>0.09133593946</v>
      </c>
      <c r="S158" s="1">
        <f t="shared" si="2"/>
        <v>-106</v>
      </c>
      <c r="T158" s="1">
        <f t="shared" si="3"/>
        <v>1.943396226</v>
      </c>
      <c r="U158" s="1">
        <f t="shared" si="4"/>
        <v>0</v>
      </c>
      <c r="V158" s="3">
        <f t="shared" si="5"/>
        <v>2</v>
      </c>
      <c r="W158" s="3">
        <f t="shared" si="6"/>
        <v>2</v>
      </c>
      <c r="X158" s="3" t="str">
        <f>IFERROR(__xludf.DUMMYFUNCTION("split(B158,"" "")"),"D.")</f>
        <v>D.</v>
      </c>
      <c r="Y158" s="3" t="str">
        <f>IFERROR(__xludf.DUMMYFUNCTION("""COMPUTED_VALUE"""),"Jones")</f>
        <v>Jones</v>
      </c>
      <c r="AA158" s="1">
        <v>16.0</v>
      </c>
      <c r="AB158" s="3">
        <f t="shared" si="7"/>
        <v>0</v>
      </c>
      <c r="AC158" s="3">
        <f t="shared" si="8"/>
        <v>1</v>
      </c>
      <c r="AD158" s="3">
        <f t="shared" si="9"/>
        <v>1.886792453</v>
      </c>
      <c r="AE158" s="3">
        <f t="shared" si="10"/>
        <v>1.886792453</v>
      </c>
      <c r="AF158" s="3">
        <f t="shared" si="11"/>
        <v>1.886792453</v>
      </c>
      <c r="AG158" s="3">
        <f t="shared" si="12"/>
        <v>0.1794871795</v>
      </c>
    </row>
    <row r="159">
      <c r="A159" s="1" t="s">
        <v>11</v>
      </c>
      <c r="B159" s="1" t="s">
        <v>354</v>
      </c>
      <c r="C159" s="1" t="s">
        <v>18</v>
      </c>
      <c r="D159" s="1" t="s">
        <v>147</v>
      </c>
      <c r="E159" s="1" t="s">
        <v>114</v>
      </c>
      <c r="F159" s="1" t="s">
        <v>455</v>
      </c>
      <c r="G159" s="1">
        <v>35.5</v>
      </c>
      <c r="H159" s="1" t="s">
        <v>60</v>
      </c>
      <c r="I159" s="1">
        <v>-112.0</v>
      </c>
      <c r="J159" s="1">
        <v>-0.127409769446698</v>
      </c>
      <c r="K159" s="1" t="s">
        <v>61</v>
      </c>
      <c r="L159" s="1" t="s">
        <v>61</v>
      </c>
      <c r="M159" s="1" t="s">
        <v>62</v>
      </c>
      <c r="N159" s="1">
        <v>-117.0</v>
      </c>
      <c r="O159" s="1">
        <v>0.059980743936401</v>
      </c>
      <c r="P159" s="1" t="s">
        <v>61</v>
      </c>
      <c r="Q159" s="1" t="s">
        <v>61</v>
      </c>
      <c r="R159" s="1">
        <f t="shared" si="1"/>
        <v>0.05998074394</v>
      </c>
      <c r="S159" s="1">
        <f t="shared" si="2"/>
        <v>-117</v>
      </c>
      <c r="T159" s="1">
        <f t="shared" si="3"/>
        <v>1.854700855</v>
      </c>
      <c r="U159" s="1">
        <f t="shared" si="4"/>
        <v>0</v>
      </c>
      <c r="V159" s="3">
        <f t="shared" si="5"/>
        <v>2</v>
      </c>
      <c r="W159" s="3">
        <f t="shared" si="6"/>
        <v>2</v>
      </c>
      <c r="X159" s="3" t="str">
        <f>IFERROR(__xludf.DUMMYFUNCTION("split(B159,"" "")"),"W.")</f>
        <v>W.</v>
      </c>
      <c r="Y159" s="3" t="str">
        <f>IFERROR(__xludf.DUMMYFUNCTION("""COMPUTED_VALUE"""),"Robinson")</f>
        <v>Robinson</v>
      </c>
      <c r="AA159" s="1">
        <v>18.0</v>
      </c>
      <c r="AB159" s="3">
        <f t="shared" si="7"/>
        <v>0</v>
      </c>
      <c r="AC159" s="3">
        <f t="shared" si="8"/>
        <v>1</v>
      </c>
      <c r="AD159" s="3">
        <f t="shared" si="9"/>
        <v>1.709401709</v>
      </c>
      <c r="AE159" s="3">
        <f t="shared" si="10"/>
        <v>1.709401709</v>
      </c>
      <c r="AF159" s="3">
        <f t="shared" si="11"/>
        <v>1.709401709</v>
      </c>
      <c r="AG159" s="3">
        <f t="shared" si="12"/>
        <v>0.4929577465</v>
      </c>
    </row>
    <row r="160">
      <c r="A160" s="1" t="s">
        <v>12</v>
      </c>
      <c r="B160" s="1" t="s">
        <v>477</v>
      </c>
      <c r="C160" s="1" t="s">
        <v>20</v>
      </c>
      <c r="D160" s="1" t="s">
        <v>147</v>
      </c>
      <c r="E160" s="1" t="s">
        <v>114</v>
      </c>
      <c r="F160" s="1" t="s">
        <v>455</v>
      </c>
      <c r="G160" s="1">
        <v>2.5</v>
      </c>
      <c r="H160" s="1" t="s">
        <v>60</v>
      </c>
      <c r="I160" s="1">
        <v>133.0</v>
      </c>
      <c r="J160" s="1">
        <v>-0.118377737016308</v>
      </c>
      <c r="K160" s="1" t="s">
        <v>61</v>
      </c>
      <c r="L160" s="1" t="s">
        <v>61</v>
      </c>
      <c r="M160" s="1" t="s">
        <v>62</v>
      </c>
      <c r="N160" s="1">
        <v>-174.0</v>
      </c>
      <c r="O160" s="1">
        <v>0.054155924870073</v>
      </c>
      <c r="P160" s="1" t="s">
        <v>61</v>
      </c>
      <c r="Q160" s="1" t="s">
        <v>61</v>
      </c>
      <c r="R160" s="1">
        <f t="shared" si="1"/>
        <v>0.05415592487</v>
      </c>
      <c r="S160" s="1">
        <f t="shared" si="2"/>
        <v>-174</v>
      </c>
      <c r="T160" s="1">
        <f t="shared" si="3"/>
        <v>1.574712644</v>
      </c>
      <c r="U160" s="1">
        <f t="shared" si="4"/>
        <v>0</v>
      </c>
      <c r="V160" s="3">
        <f t="shared" si="5"/>
        <v>2</v>
      </c>
      <c r="W160" s="3">
        <f t="shared" si="6"/>
        <v>3</v>
      </c>
      <c r="X160" s="3" t="str">
        <f>IFERROR(__xludf.DUMMYFUNCTION("split(B160,"" "")"),"T.")</f>
        <v>T.</v>
      </c>
      <c r="Y160" s="3" t="str">
        <f>IFERROR(__xludf.DUMMYFUNCTION("""COMPUTED_VALUE"""),"Johnson")</f>
        <v>Johnson</v>
      </c>
      <c r="AA160" s="3">
        <v>0.0</v>
      </c>
      <c r="AB160" s="3">
        <f t="shared" si="7"/>
        <v>0</v>
      </c>
      <c r="AC160" s="3">
        <f t="shared" si="8"/>
        <v>1</v>
      </c>
      <c r="AD160" s="3">
        <f t="shared" si="9"/>
        <v>1.149425287</v>
      </c>
      <c r="AE160" s="3">
        <f t="shared" si="10"/>
        <v>1.149425287</v>
      </c>
      <c r="AF160" s="3">
        <f t="shared" si="11"/>
        <v>1.724137931</v>
      </c>
      <c r="AG160" s="3">
        <f t="shared" si="12"/>
        <v>1</v>
      </c>
    </row>
    <row r="161">
      <c r="A161" s="1" t="s">
        <v>12</v>
      </c>
      <c r="B161" s="1" t="s">
        <v>354</v>
      </c>
      <c r="C161" s="1" t="s">
        <v>18</v>
      </c>
      <c r="D161" s="1" t="s">
        <v>147</v>
      </c>
      <c r="E161" s="1" t="s">
        <v>114</v>
      </c>
      <c r="F161" s="1" t="s">
        <v>455</v>
      </c>
      <c r="G161" s="1">
        <v>4.5</v>
      </c>
      <c r="H161" s="1" t="s">
        <v>60</v>
      </c>
      <c r="I161" s="1">
        <v>128.0</v>
      </c>
      <c r="J161" s="1">
        <v>-0.110140350877192</v>
      </c>
      <c r="K161" s="1" t="s">
        <v>61</v>
      </c>
      <c r="L161" s="1" t="s">
        <v>61</v>
      </c>
      <c r="M161" s="1" t="s">
        <v>62</v>
      </c>
      <c r="N161" s="1">
        <v>-170.0</v>
      </c>
      <c r="O161" s="1">
        <v>0.0419074074074075</v>
      </c>
      <c r="P161" s="1" t="s">
        <v>61</v>
      </c>
      <c r="Q161" s="1" t="s">
        <v>61</v>
      </c>
      <c r="R161" s="1">
        <f t="shared" si="1"/>
        <v>0.04190740741</v>
      </c>
      <c r="S161" s="1">
        <f t="shared" si="2"/>
        <v>-170</v>
      </c>
      <c r="T161" s="1">
        <f t="shared" si="3"/>
        <v>1.588235294</v>
      </c>
      <c r="U161" s="1">
        <f t="shared" si="4"/>
        <v>0</v>
      </c>
      <c r="V161" s="3">
        <f t="shared" si="5"/>
        <v>1</v>
      </c>
      <c r="W161" s="3">
        <f t="shared" si="6"/>
        <v>3</v>
      </c>
      <c r="X161" s="3" t="str">
        <f>IFERROR(__xludf.DUMMYFUNCTION("split(B161,"" "")"),"W.")</f>
        <v>W.</v>
      </c>
      <c r="Y161" s="3" t="str">
        <f>IFERROR(__xludf.DUMMYFUNCTION("""COMPUTED_VALUE"""),"Robinson")</f>
        <v>Robinson</v>
      </c>
      <c r="AA161" s="3">
        <v>2.0</v>
      </c>
      <c r="AB161" s="3">
        <f t="shared" si="7"/>
        <v>0</v>
      </c>
      <c r="AC161" s="3">
        <f t="shared" si="8"/>
        <v>1</v>
      </c>
      <c r="AD161" s="3">
        <f t="shared" si="9"/>
        <v>0.5882352941</v>
      </c>
      <c r="AE161" s="3">
        <f t="shared" si="10"/>
        <v>0.5882352941</v>
      </c>
      <c r="AF161" s="3">
        <f t="shared" si="11"/>
        <v>1.764705882</v>
      </c>
      <c r="AG161" s="3">
        <f t="shared" si="12"/>
        <v>0.5555555556</v>
      </c>
    </row>
    <row r="162">
      <c r="A162" s="1" t="s">
        <v>16</v>
      </c>
      <c r="B162" s="1" t="s">
        <v>260</v>
      </c>
      <c r="C162" s="1" t="s">
        <v>21</v>
      </c>
      <c r="D162" s="1" t="s">
        <v>147</v>
      </c>
      <c r="E162" s="1" t="s">
        <v>114</v>
      </c>
      <c r="F162" s="1" t="s">
        <v>455</v>
      </c>
      <c r="G162" s="1">
        <v>30.5</v>
      </c>
      <c r="H162" s="1" t="s">
        <v>60</v>
      </c>
      <c r="I162" s="1">
        <v>-106.0</v>
      </c>
      <c r="J162" s="1">
        <v>-0.0960606739320388</v>
      </c>
      <c r="K162" s="1" t="s">
        <v>61</v>
      </c>
      <c r="L162" s="1" t="s">
        <v>61</v>
      </c>
      <c r="M162" s="1" t="s">
        <v>62</v>
      </c>
      <c r="N162" s="1">
        <v>-122.0</v>
      </c>
      <c r="O162" s="1">
        <v>0.0319476962729731</v>
      </c>
      <c r="P162" s="1" t="s">
        <v>61</v>
      </c>
      <c r="Q162" s="1" t="s">
        <v>61</v>
      </c>
      <c r="R162" s="1">
        <f t="shared" si="1"/>
        <v>0.03194769627</v>
      </c>
      <c r="S162" s="1">
        <f t="shared" si="2"/>
        <v>-122</v>
      </c>
      <c r="T162" s="1">
        <f t="shared" si="3"/>
        <v>1.819672131</v>
      </c>
      <c r="U162" s="1">
        <f t="shared" si="4"/>
        <v>0</v>
      </c>
      <c r="V162" s="3">
        <f t="shared" si="5"/>
        <v>1</v>
      </c>
      <c r="W162" s="3">
        <f t="shared" si="6"/>
        <v>3</v>
      </c>
      <c r="X162" s="3" t="str">
        <f>IFERROR(__xludf.DUMMYFUNCTION("split(B162,"" "")"),"D.")</f>
        <v>D.</v>
      </c>
      <c r="Y162" s="3" t="str">
        <f>IFERROR(__xludf.DUMMYFUNCTION("""COMPUTED_VALUE"""),"Jones")</f>
        <v>Jones</v>
      </c>
      <c r="AA162" s="3">
        <v>28.0</v>
      </c>
      <c r="AB162" s="3">
        <f t="shared" si="7"/>
        <v>0</v>
      </c>
      <c r="AC162" s="3">
        <f t="shared" si="8"/>
        <v>1</v>
      </c>
      <c r="AD162" s="3">
        <f t="shared" si="9"/>
        <v>0.8196721311</v>
      </c>
      <c r="AE162" s="3">
        <f t="shared" si="10"/>
        <v>0.8196721311</v>
      </c>
      <c r="AF162" s="3">
        <f t="shared" si="11"/>
        <v>2.459016393</v>
      </c>
      <c r="AG162" s="3">
        <f t="shared" si="12"/>
        <v>0.08196721311</v>
      </c>
    </row>
    <row r="163">
      <c r="A163" s="1" t="s">
        <v>17</v>
      </c>
      <c r="B163" s="1" t="s">
        <v>260</v>
      </c>
      <c r="C163" s="1" t="s">
        <v>21</v>
      </c>
      <c r="D163" s="1" t="s">
        <v>147</v>
      </c>
      <c r="E163" s="1" t="s">
        <v>114</v>
      </c>
      <c r="F163" s="1" t="s">
        <v>455</v>
      </c>
      <c r="G163" s="1">
        <v>0.5</v>
      </c>
      <c r="H163" s="1" t="s">
        <v>60</v>
      </c>
      <c r="I163" s="1">
        <v>-111.0</v>
      </c>
      <c r="J163" s="1">
        <v>-0.0989137440758293</v>
      </c>
      <c r="K163" s="1" t="s">
        <v>61</v>
      </c>
      <c r="L163" s="1" t="s">
        <v>61</v>
      </c>
      <c r="M163" s="1" t="s">
        <v>62</v>
      </c>
      <c r="N163" s="1">
        <v>-118.0</v>
      </c>
      <c r="O163" s="1">
        <v>0.0315697247706422</v>
      </c>
      <c r="P163" s="1" t="s">
        <v>61</v>
      </c>
      <c r="Q163" s="1" t="s">
        <v>61</v>
      </c>
      <c r="R163" s="1">
        <f t="shared" si="1"/>
        <v>0.03156972477</v>
      </c>
      <c r="S163" s="1">
        <f t="shared" si="2"/>
        <v>-118</v>
      </c>
      <c r="T163" s="1">
        <f t="shared" si="3"/>
        <v>1.847457627</v>
      </c>
      <c r="U163" s="1">
        <f t="shared" si="4"/>
        <v>0</v>
      </c>
      <c r="V163" s="3">
        <f t="shared" si="5"/>
        <v>1</v>
      </c>
      <c r="W163" s="3">
        <f t="shared" si="6"/>
        <v>3</v>
      </c>
      <c r="X163" s="3" t="str">
        <f>IFERROR(__xludf.DUMMYFUNCTION("split(B163,"" "")"),"D.")</f>
        <v>D.</v>
      </c>
      <c r="Y163" s="3" t="str">
        <f>IFERROR(__xludf.DUMMYFUNCTION("""COMPUTED_VALUE"""),"Jones")</f>
        <v>Jones</v>
      </c>
      <c r="AA163" s="3">
        <v>0.0</v>
      </c>
      <c r="AB163" s="3">
        <f t="shared" si="7"/>
        <v>0</v>
      </c>
      <c r="AC163" s="3">
        <f t="shared" si="8"/>
        <v>1</v>
      </c>
      <c r="AD163" s="3">
        <f t="shared" si="9"/>
        <v>0.8474576271</v>
      </c>
      <c r="AE163" s="3">
        <f t="shared" si="10"/>
        <v>0.8474576271</v>
      </c>
      <c r="AF163" s="3">
        <f t="shared" si="11"/>
        <v>2.542372881</v>
      </c>
      <c r="AG163" s="3">
        <f t="shared" si="12"/>
        <v>1</v>
      </c>
    </row>
    <row r="164">
      <c r="A164" s="1" t="s">
        <v>12</v>
      </c>
      <c r="B164" s="1" t="s">
        <v>478</v>
      </c>
      <c r="C164" s="1" t="s">
        <v>18</v>
      </c>
      <c r="D164" s="1" t="s">
        <v>147</v>
      </c>
      <c r="E164" s="1" t="s">
        <v>114</v>
      </c>
      <c r="F164" s="1" t="s">
        <v>455</v>
      </c>
      <c r="G164" s="1">
        <v>5.5</v>
      </c>
      <c r="H164" s="1" t="s">
        <v>60</v>
      </c>
      <c r="I164" s="1">
        <v>116.0</v>
      </c>
      <c r="J164" s="1">
        <v>0.00873703703703709</v>
      </c>
      <c r="K164" s="1" t="s">
        <v>61</v>
      </c>
      <c r="L164" s="1" t="s">
        <v>61</v>
      </c>
      <c r="M164" s="1" t="s">
        <v>62</v>
      </c>
      <c r="N164" s="1">
        <v>-152.0</v>
      </c>
      <c r="O164" s="1">
        <v>-0.0748746031746031</v>
      </c>
      <c r="P164" s="1" t="s">
        <v>61</v>
      </c>
      <c r="Q164" s="1" t="s">
        <v>61</v>
      </c>
      <c r="R164" s="1">
        <f t="shared" si="1"/>
        <v>0.008737037037</v>
      </c>
      <c r="S164" s="1">
        <f t="shared" si="2"/>
        <v>116</v>
      </c>
      <c r="T164" s="1">
        <f t="shared" si="3"/>
        <v>2.16</v>
      </c>
      <c r="U164" s="1">
        <f t="shared" si="4"/>
        <v>1</v>
      </c>
      <c r="V164" s="3">
        <f t="shared" si="5"/>
        <v>1</v>
      </c>
      <c r="W164" s="3">
        <f t="shared" si="6"/>
        <v>1</v>
      </c>
      <c r="X164" s="3" t="str">
        <f>IFERROR(__xludf.DUMMYFUNCTION("split(B164,"" "")"),"M.")</f>
        <v>M.</v>
      </c>
      <c r="Y164" s="3" t="str">
        <f>IFERROR(__xludf.DUMMYFUNCTION("""COMPUTED_VALUE"""),"Nabers")</f>
        <v>Nabers</v>
      </c>
      <c r="AA164" s="3">
        <v>10.0</v>
      </c>
      <c r="AB164" s="3">
        <f t="shared" si="7"/>
        <v>1</v>
      </c>
      <c r="AC164" s="3">
        <f t="shared" si="8"/>
        <v>1</v>
      </c>
      <c r="AD164" s="3">
        <f t="shared" si="9"/>
        <v>1.16</v>
      </c>
      <c r="AE164" s="3">
        <f t="shared" si="10"/>
        <v>1.16</v>
      </c>
      <c r="AF164" s="3">
        <f t="shared" si="11"/>
        <v>1.16</v>
      </c>
      <c r="AG164" s="3">
        <f t="shared" si="12"/>
        <v>0.8181818182</v>
      </c>
    </row>
    <row r="165">
      <c r="A165" s="1" t="s">
        <v>14</v>
      </c>
      <c r="B165" s="1" t="s">
        <v>260</v>
      </c>
      <c r="C165" s="1" t="s">
        <v>21</v>
      </c>
      <c r="D165" s="1" t="s">
        <v>147</v>
      </c>
      <c r="E165" s="1" t="s">
        <v>114</v>
      </c>
      <c r="F165" s="1" t="s">
        <v>455</v>
      </c>
      <c r="G165" s="1">
        <v>1.5</v>
      </c>
      <c r="H165" s="1" t="s">
        <v>60</v>
      </c>
      <c r="I165" s="1">
        <v>171.0</v>
      </c>
      <c r="J165" s="1">
        <v>0.00789630996309959</v>
      </c>
      <c r="K165" s="1" t="s">
        <v>61</v>
      </c>
      <c r="L165" s="1" t="s">
        <v>61</v>
      </c>
      <c r="M165" s="1" t="s">
        <v>62</v>
      </c>
      <c r="N165" s="1">
        <v>-230.0</v>
      </c>
      <c r="O165" s="1">
        <v>-0.073869696969697</v>
      </c>
      <c r="P165" s="1" t="s">
        <v>61</v>
      </c>
      <c r="Q165" s="1" t="s">
        <v>61</v>
      </c>
      <c r="R165" s="1">
        <f t="shared" si="1"/>
        <v>0.007896309963</v>
      </c>
      <c r="S165" s="1">
        <f t="shared" si="2"/>
        <v>171</v>
      </c>
      <c r="T165" s="1">
        <f t="shared" si="3"/>
        <v>2.71</v>
      </c>
      <c r="U165" s="1">
        <f t="shared" si="4"/>
        <v>1</v>
      </c>
      <c r="V165" s="3">
        <f t="shared" si="5"/>
        <v>1</v>
      </c>
      <c r="W165" s="3">
        <f t="shared" si="6"/>
        <v>1</v>
      </c>
      <c r="X165" s="3" t="str">
        <f>IFERROR(__xludf.DUMMYFUNCTION("split(B165,"" "")"),"D.")</f>
        <v>D.</v>
      </c>
      <c r="Y165" s="3" t="str">
        <f>IFERROR(__xludf.DUMMYFUNCTION("""COMPUTED_VALUE"""),"Jones")</f>
        <v>Jones</v>
      </c>
      <c r="AA165" s="3">
        <v>2.0</v>
      </c>
      <c r="AB165" s="3">
        <f t="shared" si="7"/>
        <v>1</v>
      </c>
      <c r="AC165" s="3">
        <f t="shared" si="8"/>
        <v>1</v>
      </c>
      <c r="AD165" s="3">
        <f t="shared" si="9"/>
        <v>1.71</v>
      </c>
      <c r="AE165" s="3">
        <f t="shared" si="10"/>
        <v>1.71</v>
      </c>
      <c r="AF165" s="3">
        <f t="shared" si="11"/>
        <v>1.71</v>
      </c>
      <c r="AG165" s="3">
        <f t="shared" si="12"/>
        <v>0.3333333333</v>
      </c>
    </row>
    <row r="166">
      <c r="A166" s="1" t="s">
        <v>15</v>
      </c>
      <c r="B166" s="1" t="s">
        <v>330</v>
      </c>
      <c r="C166" s="1" t="s">
        <v>21</v>
      </c>
      <c r="D166" s="1" t="s">
        <v>165</v>
      </c>
      <c r="E166" s="1" t="s">
        <v>100</v>
      </c>
      <c r="F166" s="1" t="s">
        <v>455</v>
      </c>
      <c r="G166" s="1">
        <v>20.5</v>
      </c>
      <c r="H166" s="1" t="s">
        <v>60</v>
      </c>
      <c r="I166" s="1">
        <v>-126.0</v>
      </c>
      <c r="J166" s="1">
        <v>-0.101696564690265</v>
      </c>
      <c r="K166" s="1" t="s">
        <v>61</v>
      </c>
      <c r="L166" s="1" t="s">
        <v>61</v>
      </c>
      <c r="M166" s="1" t="s">
        <v>62</v>
      </c>
      <c r="N166" s="1">
        <v>-105.0</v>
      </c>
      <c r="O166" s="1">
        <v>0.0320068039073171</v>
      </c>
      <c r="P166" s="1" t="s">
        <v>61</v>
      </c>
      <c r="Q166" s="1" t="s">
        <v>61</v>
      </c>
      <c r="R166" s="1">
        <f t="shared" si="1"/>
        <v>0.03200680391</v>
      </c>
      <c r="S166" s="1">
        <f t="shared" si="2"/>
        <v>-105</v>
      </c>
      <c r="T166" s="1">
        <f t="shared" si="3"/>
        <v>1.952380952</v>
      </c>
      <c r="U166" s="1">
        <f t="shared" si="4"/>
        <v>0</v>
      </c>
      <c r="V166" s="3">
        <f t="shared" si="5"/>
        <v>1</v>
      </c>
      <c r="W166" s="3">
        <f t="shared" si="6"/>
        <v>2</v>
      </c>
      <c r="X166" s="3" t="str">
        <f>IFERROR(__xludf.DUMMYFUNCTION("split(B166,"" "")"),"A.")</f>
        <v>A.</v>
      </c>
      <c r="Y166" s="3" t="str">
        <f>IFERROR(__xludf.DUMMYFUNCTION("""COMPUTED_VALUE"""),"Rodgers")</f>
        <v>Rodgers</v>
      </c>
      <c r="AA166" s="3">
        <v>18.0</v>
      </c>
      <c r="AB166" s="3">
        <f t="shared" si="7"/>
        <v>0</v>
      </c>
      <c r="AC166" s="3">
        <f t="shared" si="8"/>
        <v>1</v>
      </c>
      <c r="AD166" s="3">
        <f t="shared" si="9"/>
        <v>0.9523809524</v>
      </c>
      <c r="AE166" s="3">
        <f t="shared" si="10"/>
        <v>0.9523809524</v>
      </c>
      <c r="AF166" s="3">
        <f t="shared" si="11"/>
        <v>1.904761905</v>
      </c>
      <c r="AG166" s="3">
        <f t="shared" si="12"/>
        <v>0.1219512195</v>
      </c>
    </row>
    <row r="167">
      <c r="A167" s="1" t="s">
        <v>12</v>
      </c>
      <c r="B167" s="1" t="s">
        <v>305</v>
      </c>
      <c r="C167" s="1" t="s">
        <v>20</v>
      </c>
      <c r="D167" s="1" t="s">
        <v>165</v>
      </c>
      <c r="E167" s="1" t="s">
        <v>100</v>
      </c>
      <c r="F167" s="1" t="s">
        <v>455</v>
      </c>
      <c r="G167" s="1">
        <v>3.5</v>
      </c>
      <c r="H167" s="1" t="s">
        <v>60</v>
      </c>
      <c r="I167" s="1">
        <v>137.0</v>
      </c>
      <c r="J167" s="1">
        <v>-0.0910987341772151</v>
      </c>
      <c r="K167" s="1" t="s">
        <v>61</v>
      </c>
      <c r="L167" s="1" t="s">
        <v>61</v>
      </c>
      <c r="M167" s="1" t="s">
        <v>62</v>
      </c>
      <c r="N167" s="1">
        <v>-181.0</v>
      </c>
      <c r="O167" s="1">
        <v>0.0250362989323843</v>
      </c>
      <c r="P167" s="1" t="s">
        <v>61</v>
      </c>
      <c r="Q167" s="1" t="s">
        <v>61</v>
      </c>
      <c r="R167" s="1">
        <f t="shared" si="1"/>
        <v>0.02503629893</v>
      </c>
      <c r="S167" s="1">
        <f t="shared" si="2"/>
        <v>-181</v>
      </c>
      <c r="T167" s="1">
        <f t="shared" si="3"/>
        <v>1.552486188</v>
      </c>
      <c r="U167" s="1">
        <f t="shared" si="4"/>
        <v>0</v>
      </c>
      <c r="V167" s="3">
        <f t="shared" si="5"/>
        <v>1</v>
      </c>
      <c r="W167" s="3">
        <f t="shared" si="6"/>
        <v>3</v>
      </c>
      <c r="X167" s="3" t="str">
        <f>IFERROR(__xludf.DUMMYFUNCTION("split(B167,"" "")"),"T.")</f>
        <v>T.</v>
      </c>
      <c r="Y167" s="3" t="str">
        <f>IFERROR(__xludf.DUMMYFUNCTION("""COMPUTED_VALUE"""),"Conklin")</f>
        <v>Conklin</v>
      </c>
      <c r="AA167" s="3">
        <v>1.0</v>
      </c>
      <c r="AB167" s="3">
        <f t="shared" si="7"/>
        <v>0</v>
      </c>
      <c r="AC167" s="3">
        <f t="shared" si="8"/>
        <v>1</v>
      </c>
      <c r="AD167" s="3">
        <f t="shared" si="9"/>
        <v>0.5524861878</v>
      </c>
      <c r="AE167" s="3">
        <f t="shared" si="10"/>
        <v>0.5524861878</v>
      </c>
      <c r="AF167" s="3">
        <f t="shared" si="11"/>
        <v>1.657458564</v>
      </c>
      <c r="AG167" s="3">
        <f t="shared" si="12"/>
        <v>0.7142857143</v>
      </c>
    </row>
    <row r="168">
      <c r="A168" s="1" t="s">
        <v>12</v>
      </c>
      <c r="B168" s="1" t="s">
        <v>479</v>
      </c>
      <c r="C168" s="1" t="s">
        <v>18</v>
      </c>
      <c r="D168" s="1" t="s">
        <v>165</v>
      </c>
      <c r="E168" s="1" t="s">
        <v>100</v>
      </c>
      <c r="F168" s="1" t="s">
        <v>455</v>
      </c>
      <c r="G168" s="1">
        <v>5.5</v>
      </c>
      <c r="H168" s="1" t="s">
        <v>60</v>
      </c>
      <c r="I168" s="1">
        <v>-166.0</v>
      </c>
      <c r="J168" s="1">
        <v>-0.0841601503759399</v>
      </c>
      <c r="K168" s="1" t="s">
        <v>61</v>
      </c>
      <c r="L168" s="1" t="s">
        <v>61</v>
      </c>
      <c r="M168" s="1" t="s">
        <v>62</v>
      </c>
      <c r="N168" s="1">
        <v>128.0</v>
      </c>
      <c r="O168" s="1">
        <v>0.0215035087719298</v>
      </c>
      <c r="P168" s="1" t="s">
        <v>61</v>
      </c>
      <c r="Q168" s="1" t="s">
        <v>61</v>
      </c>
      <c r="R168" s="1">
        <f t="shared" si="1"/>
        <v>0.02150350877</v>
      </c>
      <c r="S168" s="1">
        <f t="shared" si="2"/>
        <v>128</v>
      </c>
      <c r="T168" s="1">
        <f t="shared" si="3"/>
        <v>2.28</v>
      </c>
      <c r="U168" s="1">
        <f t="shared" si="4"/>
        <v>0</v>
      </c>
      <c r="V168" s="3">
        <f t="shared" si="5"/>
        <v>1</v>
      </c>
      <c r="W168" s="3">
        <f t="shared" si="6"/>
        <v>1</v>
      </c>
      <c r="X168" s="3" t="str">
        <f>IFERROR(__xludf.DUMMYFUNCTION("split(B168,"" "")"),"G.")</f>
        <v>G.</v>
      </c>
      <c r="Y168" s="3" t="str">
        <f>IFERROR(__xludf.DUMMYFUNCTION("""COMPUTED_VALUE"""),"Wilson")</f>
        <v>Wilson</v>
      </c>
      <c r="AA168" s="3">
        <v>4.0</v>
      </c>
      <c r="AB168" s="3">
        <f t="shared" si="7"/>
        <v>0</v>
      </c>
      <c r="AC168" s="3">
        <f t="shared" si="8"/>
        <v>1</v>
      </c>
      <c r="AD168" s="3">
        <f t="shared" si="9"/>
        <v>1.28</v>
      </c>
      <c r="AE168" s="3">
        <f t="shared" si="10"/>
        <v>1.28</v>
      </c>
      <c r="AF168" s="3">
        <f t="shared" si="11"/>
        <v>1.28</v>
      </c>
      <c r="AG168" s="3">
        <f t="shared" si="12"/>
        <v>0.2727272727</v>
      </c>
    </row>
    <row r="169">
      <c r="A169" s="1" t="s">
        <v>17</v>
      </c>
      <c r="B169" s="1" t="s">
        <v>330</v>
      </c>
      <c r="C169" s="1" t="s">
        <v>21</v>
      </c>
      <c r="D169" s="1" t="s">
        <v>165</v>
      </c>
      <c r="E169" s="1" t="s">
        <v>100</v>
      </c>
      <c r="F169" s="1" t="s">
        <v>455</v>
      </c>
      <c r="G169" s="1">
        <v>0.5</v>
      </c>
      <c r="H169" s="1" t="s">
        <v>60</v>
      </c>
      <c r="I169" s="1">
        <v>100.0</v>
      </c>
      <c r="J169" s="1">
        <v>-0.0827</v>
      </c>
      <c r="K169" s="1" t="s">
        <v>61</v>
      </c>
      <c r="L169" s="1" t="s">
        <v>61</v>
      </c>
      <c r="M169" s="1" t="s">
        <v>62</v>
      </c>
      <c r="N169" s="1">
        <v>-130.0</v>
      </c>
      <c r="O169" s="1">
        <v>0.0174826086956521</v>
      </c>
      <c r="P169" s="1" t="s">
        <v>61</v>
      </c>
      <c r="Q169" s="1" t="s">
        <v>61</v>
      </c>
      <c r="R169" s="1">
        <f t="shared" si="1"/>
        <v>0.0174826087</v>
      </c>
      <c r="S169" s="1">
        <f t="shared" si="2"/>
        <v>-130</v>
      </c>
      <c r="T169" s="1">
        <f t="shared" si="3"/>
        <v>1.769230769</v>
      </c>
      <c r="U169" s="1">
        <f t="shared" si="4"/>
        <v>0</v>
      </c>
      <c r="V169" s="3">
        <f t="shared" si="5"/>
        <v>1</v>
      </c>
      <c r="W169" s="3">
        <f t="shared" si="6"/>
        <v>3</v>
      </c>
      <c r="X169" s="3" t="str">
        <f>IFERROR(__xludf.DUMMYFUNCTION("split(B169,"" "")"),"A.")</f>
        <v>A.</v>
      </c>
      <c r="Y169" s="3" t="str">
        <f>IFERROR(__xludf.DUMMYFUNCTION("""COMPUTED_VALUE"""),"Rodgers")</f>
        <v>Rodgers</v>
      </c>
      <c r="AA169" s="3">
        <v>0.0</v>
      </c>
      <c r="AB169" s="3">
        <f t="shared" si="7"/>
        <v>0</v>
      </c>
      <c r="AC169" s="3">
        <f t="shared" si="8"/>
        <v>1</v>
      </c>
      <c r="AD169" s="3">
        <f t="shared" si="9"/>
        <v>0.7692307692</v>
      </c>
      <c r="AE169" s="3">
        <f t="shared" si="10"/>
        <v>0.7692307692</v>
      </c>
      <c r="AF169" s="3">
        <f t="shared" si="11"/>
        <v>2.307692308</v>
      </c>
      <c r="AG169" s="3">
        <f t="shared" si="12"/>
        <v>1</v>
      </c>
    </row>
    <row r="170">
      <c r="A170" s="1" t="s">
        <v>11</v>
      </c>
      <c r="B170" s="1" t="s">
        <v>305</v>
      </c>
      <c r="C170" s="1" t="s">
        <v>20</v>
      </c>
      <c r="D170" s="1" t="s">
        <v>165</v>
      </c>
      <c r="E170" s="1" t="s">
        <v>100</v>
      </c>
      <c r="F170" s="1" t="s">
        <v>455</v>
      </c>
      <c r="G170" s="1">
        <v>27.5</v>
      </c>
      <c r="H170" s="1" t="s">
        <v>60</v>
      </c>
      <c r="I170" s="1">
        <v>-112.0</v>
      </c>
      <c r="J170" s="1">
        <v>-0.0847026077872171</v>
      </c>
      <c r="K170" s="1" t="s">
        <v>61</v>
      </c>
      <c r="L170" s="1" t="s">
        <v>61</v>
      </c>
      <c r="M170" s="1" t="s">
        <v>62</v>
      </c>
      <c r="N170" s="1">
        <v>-117.0</v>
      </c>
      <c r="O170" s="1">
        <v>0.0172732296568726</v>
      </c>
      <c r="P170" s="1" t="s">
        <v>61</v>
      </c>
      <c r="Q170" s="1" t="s">
        <v>61</v>
      </c>
      <c r="R170" s="1">
        <f t="shared" si="1"/>
        <v>0.01727322966</v>
      </c>
      <c r="S170" s="1">
        <f t="shared" si="2"/>
        <v>-117</v>
      </c>
      <c r="T170" s="1">
        <f t="shared" si="3"/>
        <v>1.854700855</v>
      </c>
      <c r="U170" s="1">
        <f t="shared" si="4"/>
        <v>0</v>
      </c>
      <c r="V170" s="3">
        <f t="shared" si="5"/>
        <v>1</v>
      </c>
      <c r="W170" s="3">
        <f t="shared" si="6"/>
        <v>2</v>
      </c>
      <c r="X170" s="3" t="str">
        <f>IFERROR(__xludf.DUMMYFUNCTION("split(B170,"" "")"),"T.")</f>
        <v>T.</v>
      </c>
      <c r="Y170" s="3" t="str">
        <f>IFERROR(__xludf.DUMMYFUNCTION("""COMPUTED_VALUE"""),"Conklin")</f>
        <v>Conklin</v>
      </c>
      <c r="AA170" s="3">
        <v>10.0</v>
      </c>
      <c r="AB170" s="3">
        <f t="shared" si="7"/>
        <v>0</v>
      </c>
      <c r="AC170" s="3">
        <f t="shared" si="8"/>
        <v>1</v>
      </c>
      <c r="AD170" s="3">
        <f t="shared" si="9"/>
        <v>0.8547008547</v>
      </c>
      <c r="AE170" s="3">
        <f t="shared" si="10"/>
        <v>0.8547008547</v>
      </c>
      <c r="AF170" s="3">
        <f t="shared" si="11"/>
        <v>1.709401709</v>
      </c>
      <c r="AG170" s="3">
        <f t="shared" si="12"/>
        <v>0.6363636364</v>
      </c>
    </row>
    <row r="171">
      <c r="A171" s="1" t="s">
        <v>10</v>
      </c>
      <c r="B171" s="1" t="s">
        <v>336</v>
      </c>
      <c r="C171" s="1" t="s">
        <v>19</v>
      </c>
      <c r="D171" s="1" t="s">
        <v>165</v>
      </c>
      <c r="E171" s="1" t="s">
        <v>100</v>
      </c>
      <c r="F171" s="1" t="s">
        <v>455</v>
      </c>
      <c r="G171" s="1">
        <v>70.5</v>
      </c>
      <c r="H171" s="1" t="s">
        <v>60</v>
      </c>
      <c r="I171" s="1">
        <v>-115.0</v>
      </c>
      <c r="J171" s="1">
        <v>-0.0830090190519508</v>
      </c>
      <c r="K171" s="1" t="s">
        <v>61</v>
      </c>
      <c r="L171" s="1" t="s">
        <v>61</v>
      </c>
      <c r="M171" s="1" t="s">
        <v>62</v>
      </c>
      <c r="N171" s="1">
        <v>-115.0</v>
      </c>
      <c r="O171" s="1">
        <v>0.0131980701208184</v>
      </c>
      <c r="P171" s="1" t="s">
        <v>61</v>
      </c>
      <c r="Q171" s="1" t="s">
        <v>61</v>
      </c>
      <c r="R171" s="1">
        <f t="shared" si="1"/>
        <v>0.01319807012</v>
      </c>
      <c r="S171" s="1">
        <f t="shared" si="2"/>
        <v>-115</v>
      </c>
      <c r="T171" s="1">
        <f t="shared" si="3"/>
        <v>1.869565217</v>
      </c>
      <c r="U171" s="1">
        <f t="shared" si="4"/>
        <v>0</v>
      </c>
      <c r="V171" s="3">
        <f t="shared" si="5"/>
        <v>1</v>
      </c>
      <c r="W171" s="3">
        <f t="shared" si="6"/>
        <v>2</v>
      </c>
      <c r="X171" s="3" t="str">
        <f>IFERROR(__xludf.DUMMYFUNCTION("split(B171,"" "")"),"B.")</f>
        <v>B.</v>
      </c>
      <c r="Y171" s="3" t="str">
        <f>IFERROR(__xludf.DUMMYFUNCTION("""COMPUTED_VALUE"""),"Hall")</f>
        <v>Hall</v>
      </c>
      <c r="AA171" s="3">
        <v>62.0</v>
      </c>
      <c r="AB171" s="3">
        <f t="shared" si="7"/>
        <v>0</v>
      </c>
      <c r="AC171" s="3">
        <f t="shared" si="8"/>
        <v>1</v>
      </c>
      <c r="AD171" s="3">
        <f t="shared" si="9"/>
        <v>0.8695652174</v>
      </c>
      <c r="AE171" s="3">
        <f t="shared" si="10"/>
        <v>0.8695652174</v>
      </c>
      <c r="AF171" s="3">
        <f t="shared" si="11"/>
        <v>1.739130435</v>
      </c>
      <c r="AG171" s="3">
        <f t="shared" si="12"/>
        <v>0.1205673759</v>
      </c>
    </row>
    <row r="172">
      <c r="A172" s="1" t="s">
        <v>9</v>
      </c>
      <c r="B172" s="1" t="s">
        <v>479</v>
      </c>
      <c r="C172" s="1" t="s">
        <v>18</v>
      </c>
      <c r="D172" s="1" t="s">
        <v>165</v>
      </c>
      <c r="E172" s="1" t="s">
        <v>100</v>
      </c>
      <c r="F172" s="1" t="s">
        <v>455</v>
      </c>
      <c r="G172" s="1">
        <v>70.5</v>
      </c>
      <c r="H172" s="1" t="s">
        <v>60</v>
      </c>
      <c r="I172" s="1">
        <v>-120.0</v>
      </c>
      <c r="J172" s="1">
        <v>-0.0815133666238734</v>
      </c>
      <c r="K172" s="1" t="s">
        <v>61</v>
      </c>
      <c r="L172" s="1" t="s">
        <v>61</v>
      </c>
      <c r="M172" s="1" t="s">
        <v>62</v>
      </c>
      <c r="N172" s="1">
        <v>-113.0</v>
      </c>
      <c r="O172" s="1">
        <v>0.00556893400326263</v>
      </c>
      <c r="P172" s="1" t="s">
        <v>61</v>
      </c>
      <c r="Q172" s="1" t="s">
        <v>61</v>
      </c>
      <c r="R172" s="1">
        <f t="shared" si="1"/>
        <v>0.005568934003</v>
      </c>
      <c r="S172" s="1">
        <f t="shared" si="2"/>
        <v>-113</v>
      </c>
      <c r="T172" s="1">
        <f t="shared" si="3"/>
        <v>1.884955752</v>
      </c>
      <c r="U172" s="1">
        <f t="shared" si="4"/>
        <v>0</v>
      </c>
      <c r="V172" s="3">
        <f t="shared" si="5"/>
        <v>1</v>
      </c>
      <c r="W172" s="3">
        <f t="shared" si="6"/>
        <v>2</v>
      </c>
      <c r="X172" s="3" t="str">
        <f>IFERROR(__xludf.DUMMYFUNCTION("split(B172,"" "")"),"G.")</f>
        <v>G.</v>
      </c>
      <c r="Y172" s="3" t="str">
        <f>IFERROR(__xludf.DUMMYFUNCTION("""COMPUTED_VALUE"""),"Wilson")</f>
        <v>Wilson</v>
      </c>
      <c r="AA172" s="3">
        <v>62.0</v>
      </c>
      <c r="AB172" s="3">
        <f t="shared" si="7"/>
        <v>0</v>
      </c>
      <c r="AC172" s="3">
        <f t="shared" si="8"/>
        <v>1</v>
      </c>
      <c r="AD172" s="3">
        <f t="shared" si="9"/>
        <v>0.8849557522</v>
      </c>
      <c r="AE172" s="3">
        <f t="shared" si="10"/>
        <v>0.8849557522</v>
      </c>
      <c r="AF172" s="3">
        <f t="shared" si="11"/>
        <v>1.769911504</v>
      </c>
      <c r="AG172" s="3">
        <f t="shared" si="12"/>
        <v>0.1205673759</v>
      </c>
    </row>
    <row r="173">
      <c r="A173" s="1" t="s">
        <v>12</v>
      </c>
      <c r="B173" s="1" t="s">
        <v>366</v>
      </c>
      <c r="C173" s="1" t="s">
        <v>20</v>
      </c>
      <c r="D173" s="1" t="s">
        <v>156</v>
      </c>
      <c r="E173" s="1" t="s">
        <v>109</v>
      </c>
      <c r="F173" s="1" t="s">
        <v>453</v>
      </c>
      <c r="G173" s="1">
        <v>3.5</v>
      </c>
      <c r="H173" s="1" t="s">
        <v>60</v>
      </c>
      <c r="I173" s="1">
        <v>-124.0</v>
      </c>
      <c r="J173" s="1">
        <v>-0.151016071428571</v>
      </c>
      <c r="K173" s="1" t="s">
        <v>61</v>
      </c>
      <c r="L173" s="1" t="s">
        <v>61</v>
      </c>
      <c r="M173" s="1" t="s">
        <v>62</v>
      </c>
      <c r="N173" s="1">
        <v>-106.0</v>
      </c>
      <c r="O173" s="1">
        <v>0.0828883495145631</v>
      </c>
      <c r="P173" s="1" t="s">
        <v>61</v>
      </c>
      <c r="Q173" s="1" t="s">
        <v>61</v>
      </c>
      <c r="R173" s="1">
        <f t="shared" si="1"/>
        <v>0.08288834951</v>
      </c>
      <c r="S173" s="1">
        <f t="shared" si="2"/>
        <v>-106</v>
      </c>
      <c r="T173" s="1">
        <f t="shared" si="3"/>
        <v>1.943396226</v>
      </c>
      <c r="U173" s="1">
        <f t="shared" si="4"/>
        <v>0</v>
      </c>
      <c r="V173" s="3">
        <f t="shared" si="5"/>
        <v>2</v>
      </c>
      <c r="W173" s="3">
        <f t="shared" si="6"/>
        <v>2</v>
      </c>
      <c r="X173" s="3" t="str">
        <f>IFERROR(__xludf.DUMMYFUNCTION("split(B173,"" "")"),"D.")</f>
        <v>D.</v>
      </c>
      <c r="Y173" s="3" t="str">
        <f>IFERROR(__xludf.DUMMYFUNCTION("""COMPUTED_VALUE"""),"Goedert")</f>
        <v>Goedert</v>
      </c>
      <c r="AA173" s="3">
        <v>3.0</v>
      </c>
      <c r="AB173" s="3">
        <f t="shared" si="7"/>
        <v>0</v>
      </c>
      <c r="AC173" s="3">
        <f t="shared" si="8"/>
        <v>1</v>
      </c>
      <c r="AD173" s="3">
        <f t="shared" si="9"/>
        <v>1.886792453</v>
      </c>
      <c r="AE173" s="3">
        <f t="shared" si="10"/>
        <v>1.886792453</v>
      </c>
      <c r="AF173" s="3">
        <f t="shared" si="11"/>
        <v>1.886792453</v>
      </c>
      <c r="AG173" s="3">
        <f t="shared" si="12"/>
        <v>0.1428571429</v>
      </c>
    </row>
    <row r="174">
      <c r="A174" s="1" t="s">
        <v>12</v>
      </c>
      <c r="B174" s="1" t="s">
        <v>81</v>
      </c>
      <c r="C174" s="1" t="s">
        <v>20</v>
      </c>
      <c r="D174" s="1" t="s">
        <v>82</v>
      </c>
      <c r="E174" s="1" t="s">
        <v>66</v>
      </c>
      <c r="F174" s="1" t="s">
        <v>455</v>
      </c>
      <c r="G174" s="1">
        <v>2.5</v>
      </c>
      <c r="H174" s="1" t="s">
        <v>60</v>
      </c>
      <c r="I174" s="1">
        <v>-133.0</v>
      </c>
      <c r="J174" s="1">
        <v>-0.206513477339055</v>
      </c>
      <c r="K174" s="1" t="s">
        <v>61</v>
      </c>
      <c r="L174" s="1" t="s">
        <v>61</v>
      </c>
      <c r="M174" s="1" t="s">
        <v>62</v>
      </c>
      <c r="N174" s="1">
        <v>100.0</v>
      </c>
      <c r="O174" s="1">
        <v>0.1356977011</v>
      </c>
      <c r="P174" s="1" t="s">
        <v>61</v>
      </c>
      <c r="Q174" s="1" t="s">
        <v>61</v>
      </c>
      <c r="R174" s="1">
        <f t="shared" si="1"/>
        <v>0.1356977011</v>
      </c>
      <c r="S174" s="1">
        <f t="shared" si="2"/>
        <v>100</v>
      </c>
      <c r="T174" s="1">
        <f t="shared" si="3"/>
        <v>2</v>
      </c>
      <c r="U174" s="1">
        <f t="shared" si="4"/>
        <v>0</v>
      </c>
      <c r="V174" s="3">
        <f t="shared" si="5"/>
        <v>3</v>
      </c>
      <c r="W174" s="3">
        <f t="shared" si="6"/>
        <v>2</v>
      </c>
      <c r="X174" s="3" t="str">
        <f>IFERROR(__xludf.DUMMYFUNCTION("split(B174,"" "")"),"N.")</f>
        <v>N.</v>
      </c>
      <c r="Y174" s="3" t="str">
        <f>IFERROR(__xludf.DUMMYFUNCTION("""COMPUTED_VALUE"""),"Fant")</f>
        <v>Fant</v>
      </c>
      <c r="AA174" s="3">
        <v>1.0</v>
      </c>
      <c r="AB174" s="3">
        <f t="shared" si="7"/>
        <v>0</v>
      </c>
      <c r="AC174" s="3">
        <f t="shared" si="8"/>
        <v>1</v>
      </c>
      <c r="AD174" s="3">
        <f t="shared" si="9"/>
        <v>3</v>
      </c>
      <c r="AE174" s="3">
        <f t="shared" si="10"/>
        <v>3</v>
      </c>
      <c r="AF174" s="3">
        <f t="shared" si="11"/>
        <v>2</v>
      </c>
      <c r="AG174" s="3">
        <f t="shared" si="12"/>
        <v>0.6</v>
      </c>
    </row>
    <row r="175">
      <c r="A175" s="1" t="s">
        <v>12</v>
      </c>
      <c r="B175" s="1" t="s">
        <v>480</v>
      </c>
      <c r="C175" s="1" t="s">
        <v>18</v>
      </c>
      <c r="D175" s="1" t="s">
        <v>82</v>
      </c>
      <c r="E175" s="1" t="s">
        <v>66</v>
      </c>
      <c r="F175" s="1" t="s">
        <v>455</v>
      </c>
      <c r="G175" s="1">
        <v>4.5</v>
      </c>
      <c r="H175" s="1" t="s">
        <v>60</v>
      </c>
      <c r="I175" s="1">
        <v>105.0</v>
      </c>
      <c r="J175" s="1">
        <v>-0.106156097560975</v>
      </c>
      <c r="K175" s="1" t="s">
        <v>61</v>
      </c>
      <c r="L175" s="1" t="s">
        <v>61</v>
      </c>
      <c r="M175" s="1" t="s">
        <v>62</v>
      </c>
      <c r="N175" s="1">
        <v>-137.0</v>
      </c>
      <c r="O175" s="1">
        <v>0.0402987341772151</v>
      </c>
      <c r="P175" s="1" t="s">
        <v>61</v>
      </c>
      <c r="Q175" s="1" t="s">
        <v>61</v>
      </c>
      <c r="R175" s="1">
        <f t="shared" si="1"/>
        <v>0.04029873418</v>
      </c>
      <c r="S175" s="1">
        <f t="shared" si="2"/>
        <v>-137</v>
      </c>
      <c r="T175" s="1">
        <f t="shared" si="3"/>
        <v>1.729927007</v>
      </c>
      <c r="U175" s="1">
        <f t="shared" si="4"/>
        <v>0</v>
      </c>
      <c r="V175" s="3">
        <f t="shared" si="5"/>
        <v>1</v>
      </c>
      <c r="W175" s="3">
        <f t="shared" si="6"/>
        <v>3</v>
      </c>
      <c r="X175" s="3" t="str">
        <f>IFERROR(__xludf.DUMMYFUNCTION("split(B175,"" "")"),"T.")</f>
        <v>T.</v>
      </c>
      <c r="Y175" s="3" t="str">
        <f>IFERROR(__xludf.DUMMYFUNCTION("""COMPUTED_VALUE"""),"Lockett")</f>
        <v>Lockett</v>
      </c>
      <c r="AA175" s="3">
        <v>2.0</v>
      </c>
      <c r="AB175" s="3">
        <f t="shared" si="7"/>
        <v>0</v>
      </c>
      <c r="AC175" s="3">
        <f t="shared" si="8"/>
        <v>1</v>
      </c>
      <c r="AD175" s="3">
        <f t="shared" si="9"/>
        <v>0.7299270073</v>
      </c>
      <c r="AE175" s="3">
        <f t="shared" si="10"/>
        <v>0.7299270073</v>
      </c>
      <c r="AF175" s="3">
        <f t="shared" si="11"/>
        <v>2.189781022</v>
      </c>
      <c r="AG175" s="3">
        <f t="shared" si="12"/>
        <v>0.5555555556</v>
      </c>
    </row>
    <row r="176">
      <c r="A176" s="1" t="s">
        <v>11</v>
      </c>
      <c r="B176" s="1" t="s">
        <v>480</v>
      </c>
      <c r="C176" s="1" t="s">
        <v>18</v>
      </c>
      <c r="D176" s="1" t="s">
        <v>82</v>
      </c>
      <c r="E176" s="1" t="s">
        <v>66</v>
      </c>
      <c r="F176" s="1" t="s">
        <v>455</v>
      </c>
      <c r="G176" s="1">
        <v>44.5</v>
      </c>
      <c r="H176" s="1" t="s">
        <v>60</v>
      </c>
      <c r="I176" s="1">
        <v>-111.0</v>
      </c>
      <c r="J176" s="1">
        <v>-0.0931981309577251</v>
      </c>
      <c r="K176" s="1" t="s">
        <v>61</v>
      </c>
      <c r="L176" s="1" t="s">
        <v>61</v>
      </c>
      <c r="M176" s="1" t="s">
        <v>62</v>
      </c>
      <c r="N176" s="1">
        <v>-118.0</v>
      </c>
      <c r="O176" s="1">
        <v>0.0258933394241009</v>
      </c>
      <c r="P176" s="1" t="s">
        <v>61</v>
      </c>
      <c r="Q176" s="1" t="s">
        <v>61</v>
      </c>
      <c r="R176" s="1">
        <f t="shared" si="1"/>
        <v>0.02589333942</v>
      </c>
      <c r="S176" s="1">
        <f t="shared" si="2"/>
        <v>-118</v>
      </c>
      <c r="T176" s="1">
        <f t="shared" si="3"/>
        <v>1.847457627</v>
      </c>
      <c r="U176" s="1">
        <f t="shared" si="4"/>
        <v>0</v>
      </c>
      <c r="V176" s="3">
        <f t="shared" si="5"/>
        <v>1</v>
      </c>
      <c r="W176" s="3">
        <f t="shared" si="6"/>
        <v>3</v>
      </c>
      <c r="X176" s="3" t="str">
        <f>IFERROR(__xludf.DUMMYFUNCTION("split(B176,"" "")"),"T.")</f>
        <v>T.</v>
      </c>
      <c r="Y176" s="3" t="str">
        <f>IFERROR(__xludf.DUMMYFUNCTION("""COMPUTED_VALUE"""),"Lockett")</f>
        <v>Lockett</v>
      </c>
      <c r="AA176" s="3">
        <v>15.0</v>
      </c>
      <c r="AB176" s="3">
        <f t="shared" si="7"/>
        <v>0</v>
      </c>
      <c r="AC176" s="3">
        <f t="shared" si="8"/>
        <v>1</v>
      </c>
      <c r="AD176" s="3">
        <f t="shared" si="9"/>
        <v>0.8474576271</v>
      </c>
      <c r="AE176" s="3">
        <f t="shared" si="10"/>
        <v>0.8474576271</v>
      </c>
      <c r="AF176" s="3">
        <f t="shared" si="11"/>
        <v>2.542372881</v>
      </c>
      <c r="AG176" s="3">
        <f t="shared" si="12"/>
        <v>0.6629213483</v>
      </c>
    </row>
    <row r="177">
      <c r="A177" s="1" t="s">
        <v>9</v>
      </c>
      <c r="B177" s="1" t="s">
        <v>387</v>
      </c>
      <c r="C177" s="1" t="s">
        <v>18</v>
      </c>
      <c r="D177" s="1" t="s">
        <v>82</v>
      </c>
      <c r="E177" s="1" t="s">
        <v>66</v>
      </c>
      <c r="F177" s="1" t="s">
        <v>455</v>
      </c>
      <c r="G177" s="1">
        <v>54.5</v>
      </c>
      <c r="H177" s="1" t="s">
        <v>60</v>
      </c>
      <c r="I177" s="1">
        <v>-115.0</v>
      </c>
      <c r="J177" s="1">
        <v>0.00364134533572668</v>
      </c>
      <c r="K177" s="1" t="s">
        <v>61</v>
      </c>
      <c r="L177" s="1" t="s">
        <v>61</v>
      </c>
      <c r="M177" s="1" t="s">
        <v>62</v>
      </c>
      <c r="N177" s="1">
        <v>-117.0</v>
      </c>
      <c r="O177" s="1">
        <v>-0.0776836424848021</v>
      </c>
      <c r="P177" s="1" t="s">
        <v>61</v>
      </c>
      <c r="Q177" s="1" t="s">
        <v>61</v>
      </c>
      <c r="R177" s="1">
        <f t="shared" si="1"/>
        <v>0.003641345336</v>
      </c>
      <c r="S177" s="1">
        <f t="shared" si="2"/>
        <v>-115</v>
      </c>
      <c r="T177" s="1">
        <f t="shared" si="3"/>
        <v>1.869565217</v>
      </c>
      <c r="U177" s="1">
        <f t="shared" si="4"/>
        <v>1</v>
      </c>
      <c r="V177" s="3">
        <f t="shared" si="5"/>
        <v>1</v>
      </c>
      <c r="W177" s="3">
        <f t="shared" si="6"/>
        <v>2</v>
      </c>
      <c r="X177" s="3" t="str">
        <f>IFERROR(__xludf.DUMMYFUNCTION("split(B177,"" "")"),"D.")</f>
        <v>D.</v>
      </c>
      <c r="Y177" s="3" t="str">
        <f>IFERROR(__xludf.DUMMYFUNCTION("""COMPUTED_VALUE"""),"Metcalf")</f>
        <v>Metcalf</v>
      </c>
      <c r="AA177" s="3">
        <v>129.0</v>
      </c>
      <c r="AB177" s="3">
        <f t="shared" si="7"/>
        <v>1</v>
      </c>
      <c r="AC177" s="3">
        <f t="shared" si="8"/>
        <v>1</v>
      </c>
      <c r="AD177" s="3">
        <f t="shared" si="9"/>
        <v>0.8695652174</v>
      </c>
      <c r="AE177" s="3">
        <f t="shared" si="10"/>
        <v>0.8695652174</v>
      </c>
      <c r="AF177" s="3">
        <f t="shared" si="11"/>
        <v>1.739130435</v>
      </c>
      <c r="AG177" s="3">
        <f t="shared" si="12"/>
        <v>1.366972477</v>
      </c>
    </row>
    <row r="178">
      <c r="A178" s="1" t="s">
        <v>8</v>
      </c>
      <c r="B178" s="1" t="s">
        <v>262</v>
      </c>
      <c r="C178" s="1" t="s">
        <v>21</v>
      </c>
      <c r="D178" s="1" t="s">
        <v>164</v>
      </c>
      <c r="E178" s="1" t="s">
        <v>146</v>
      </c>
      <c r="F178" s="1" t="s">
        <v>455</v>
      </c>
      <c r="G178" s="1">
        <v>2.5</v>
      </c>
      <c r="H178" s="1" t="s">
        <v>60</v>
      </c>
      <c r="I178" s="1">
        <v>-133.0</v>
      </c>
      <c r="J178" s="1">
        <v>-0.199306815419899</v>
      </c>
      <c r="K178" s="1" t="s">
        <v>61</v>
      </c>
      <c r="L178" s="1" t="s">
        <v>61</v>
      </c>
      <c r="M178" s="1" t="s">
        <v>62</v>
      </c>
      <c r="N178" s="1">
        <v>100.0</v>
      </c>
      <c r="O178" s="1">
        <v>0.128489939964183</v>
      </c>
      <c r="P178" s="1" t="s">
        <v>61</v>
      </c>
      <c r="Q178" s="1" t="s">
        <v>61</v>
      </c>
      <c r="R178" s="1">
        <f t="shared" si="1"/>
        <v>0.12848994</v>
      </c>
      <c r="S178" s="1">
        <f t="shared" si="2"/>
        <v>100</v>
      </c>
      <c r="T178" s="1">
        <f t="shared" si="3"/>
        <v>2</v>
      </c>
      <c r="U178" s="1">
        <f t="shared" si="4"/>
        <v>0</v>
      </c>
      <c r="V178" s="3">
        <f t="shared" si="5"/>
        <v>3</v>
      </c>
      <c r="W178" s="3">
        <f t="shared" si="6"/>
        <v>2</v>
      </c>
      <c r="X178" s="3" t="str">
        <f>IFERROR(__xludf.DUMMYFUNCTION("split(B178,"" "")"),"B.")</f>
        <v>B.</v>
      </c>
      <c r="Y178" s="3" t="str">
        <f>IFERROR(__xludf.DUMMYFUNCTION("""COMPUTED_VALUE"""),"Purdy")</f>
        <v>Purdy</v>
      </c>
      <c r="AA178" s="3">
        <v>2.0</v>
      </c>
      <c r="AB178" s="3">
        <f t="shared" si="7"/>
        <v>0</v>
      </c>
      <c r="AC178" s="3">
        <f t="shared" si="8"/>
        <v>1</v>
      </c>
      <c r="AD178" s="3">
        <f t="shared" si="9"/>
        <v>3</v>
      </c>
      <c r="AE178" s="3">
        <f t="shared" si="10"/>
        <v>3</v>
      </c>
      <c r="AF178" s="3">
        <f t="shared" si="11"/>
        <v>2</v>
      </c>
      <c r="AG178" s="3">
        <f t="shared" si="12"/>
        <v>0.2</v>
      </c>
    </row>
    <row r="179">
      <c r="A179" s="1" t="s">
        <v>12</v>
      </c>
      <c r="B179" s="1" t="s">
        <v>417</v>
      </c>
      <c r="C179" s="1" t="s">
        <v>19</v>
      </c>
      <c r="D179" s="1" t="s">
        <v>113</v>
      </c>
      <c r="E179" s="1" t="s">
        <v>197</v>
      </c>
      <c r="F179" s="1" t="s">
        <v>455</v>
      </c>
      <c r="G179" s="1">
        <v>3.5</v>
      </c>
      <c r="H179" s="1" t="s">
        <v>60</v>
      </c>
      <c r="I179" s="1">
        <v>-124.0</v>
      </c>
      <c r="J179" s="1">
        <v>-0.210316071428571</v>
      </c>
      <c r="K179" s="1" t="s">
        <v>61</v>
      </c>
      <c r="L179" s="1" t="s">
        <v>61</v>
      </c>
      <c r="M179" s="1" t="s">
        <v>62</v>
      </c>
      <c r="N179" s="1">
        <v>-106.0</v>
      </c>
      <c r="O179" s="1">
        <v>0.142188349514563</v>
      </c>
      <c r="P179" s="1" t="s">
        <v>61</v>
      </c>
      <c r="Q179" s="1" t="s">
        <v>61</v>
      </c>
      <c r="R179" s="1">
        <f t="shared" si="1"/>
        <v>0.1421883495</v>
      </c>
      <c r="S179" s="1">
        <f t="shared" si="2"/>
        <v>-106</v>
      </c>
      <c r="T179" s="1">
        <f t="shared" si="3"/>
        <v>1.943396226</v>
      </c>
      <c r="U179" s="1">
        <f t="shared" si="4"/>
        <v>0</v>
      </c>
      <c r="V179" s="3">
        <f t="shared" si="5"/>
        <v>3</v>
      </c>
      <c r="W179" s="3">
        <f t="shared" si="6"/>
        <v>2</v>
      </c>
      <c r="X179" s="3" t="str">
        <f>IFERROR(__xludf.DUMMYFUNCTION("split(B179,"" "")"),"R.")</f>
        <v>R.</v>
      </c>
      <c r="Y179" s="3" t="str">
        <f>IFERROR(__xludf.DUMMYFUNCTION("""COMPUTED_VALUE"""),"White")</f>
        <v>White</v>
      </c>
      <c r="AA179" s="3">
        <v>1.0</v>
      </c>
      <c r="AB179" s="3">
        <f t="shared" si="7"/>
        <v>0</v>
      </c>
      <c r="AC179" s="3">
        <f t="shared" si="8"/>
        <v>1</v>
      </c>
      <c r="AD179" s="3">
        <f t="shared" si="9"/>
        <v>2.830188679</v>
      </c>
      <c r="AE179" s="3">
        <f t="shared" si="10"/>
        <v>2.830188679</v>
      </c>
      <c r="AF179" s="3">
        <f t="shared" si="11"/>
        <v>1.886792453</v>
      </c>
      <c r="AG179" s="3">
        <f t="shared" si="12"/>
        <v>0.7142857143</v>
      </c>
    </row>
    <row r="180">
      <c r="A180" s="1" t="s">
        <v>12</v>
      </c>
      <c r="B180" s="1" t="s">
        <v>307</v>
      </c>
      <c r="C180" s="1" t="s">
        <v>18</v>
      </c>
      <c r="D180" s="1" t="s">
        <v>113</v>
      </c>
      <c r="E180" s="1" t="s">
        <v>197</v>
      </c>
      <c r="F180" s="1" t="s">
        <v>455</v>
      </c>
      <c r="G180" s="1">
        <v>2.5</v>
      </c>
      <c r="H180" s="1" t="s">
        <v>60</v>
      </c>
      <c r="I180" s="1">
        <v>-111.0</v>
      </c>
      <c r="J180" s="1">
        <v>-0.188064712985781</v>
      </c>
      <c r="K180" s="1" t="s">
        <v>61</v>
      </c>
      <c r="L180" s="1" t="s">
        <v>61</v>
      </c>
      <c r="M180" s="1" t="s">
        <v>62</v>
      </c>
      <c r="N180" s="1">
        <v>-116.0</v>
      </c>
      <c r="O180" s="1">
        <v>0.124961107177777</v>
      </c>
      <c r="P180" s="1" t="s">
        <v>61</v>
      </c>
      <c r="Q180" s="1" t="s">
        <v>61</v>
      </c>
      <c r="R180" s="1">
        <f t="shared" si="1"/>
        <v>0.1249611072</v>
      </c>
      <c r="S180" s="1">
        <f t="shared" si="2"/>
        <v>-116</v>
      </c>
      <c r="T180" s="1">
        <f t="shared" si="3"/>
        <v>1.862068966</v>
      </c>
      <c r="U180" s="1">
        <f t="shared" si="4"/>
        <v>0</v>
      </c>
      <c r="V180" s="3">
        <f t="shared" si="5"/>
        <v>3</v>
      </c>
      <c r="W180" s="3">
        <f t="shared" si="6"/>
        <v>2</v>
      </c>
      <c r="X180" s="3" t="str">
        <f>IFERROR(__xludf.DUMMYFUNCTION("split(B180,"" "")"),"J.")</f>
        <v>J.</v>
      </c>
      <c r="Y180" s="3" t="str">
        <f>IFERROR(__xludf.DUMMYFUNCTION("""COMPUTED_VALUE"""),"McMillan")</f>
        <v>McMillan</v>
      </c>
      <c r="AA180" s="3">
        <v>1.0</v>
      </c>
      <c r="AB180" s="3">
        <f t="shared" si="7"/>
        <v>0</v>
      </c>
      <c r="AC180" s="3">
        <f t="shared" si="8"/>
        <v>1</v>
      </c>
      <c r="AD180" s="3">
        <f t="shared" si="9"/>
        <v>2.586206897</v>
      </c>
      <c r="AE180" s="3">
        <f t="shared" si="10"/>
        <v>2.586206897</v>
      </c>
      <c r="AF180" s="3">
        <f t="shared" si="11"/>
        <v>1.724137931</v>
      </c>
      <c r="AG180" s="3">
        <f t="shared" si="12"/>
        <v>0.6</v>
      </c>
    </row>
    <row r="181">
      <c r="A181" s="1" t="s">
        <v>12</v>
      </c>
      <c r="B181" s="1" t="s">
        <v>112</v>
      </c>
      <c r="C181" s="1" t="s">
        <v>20</v>
      </c>
      <c r="D181" s="1" t="s">
        <v>113</v>
      </c>
      <c r="E181" s="1" t="s">
        <v>197</v>
      </c>
      <c r="F181" s="1" t="s">
        <v>455</v>
      </c>
      <c r="G181" s="1">
        <v>2.5</v>
      </c>
      <c r="H181" s="1" t="s">
        <v>60</v>
      </c>
      <c r="I181" s="1">
        <v>-105.0</v>
      </c>
      <c r="J181" s="1">
        <v>-0.124941053951219</v>
      </c>
      <c r="K181" s="1" t="s">
        <v>61</v>
      </c>
      <c r="L181" s="1" t="s">
        <v>61</v>
      </c>
      <c r="M181" s="1" t="s">
        <v>62</v>
      </c>
      <c r="N181" s="1">
        <v>-125.0</v>
      </c>
      <c r="O181" s="1">
        <v>0.0571967558888888</v>
      </c>
      <c r="P181" s="1" t="s">
        <v>61</v>
      </c>
      <c r="Q181" s="1" t="s">
        <v>61</v>
      </c>
      <c r="R181" s="1">
        <f t="shared" si="1"/>
        <v>0.05719675589</v>
      </c>
      <c r="S181" s="1">
        <f t="shared" si="2"/>
        <v>-125</v>
      </c>
      <c r="T181" s="1">
        <f t="shared" si="3"/>
        <v>1.8</v>
      </c>
      <c r="U181" s="1">
        <f t="shared" si="4"/>
        <v>0</v>
      </c>
      <c r="V181" s="3">
        <f t="shared" si="5"/>
        <v>2</v>
      </c>
      <c r="W181" s="3">
        <f t="shared" si="6"/>
        <v>3</v>
      </c>
      <c r="X181" s="3" t="str">
        <f>IFERROR(__xludf.DUMMYFUNCTION("split(B181,"" "")"),"C.")</f>
        <v>C.</v>
      </c>
      <c r="Y181" s="3" t="str">
        <f>IFERROR(__xludf.DUMMYFUNCTION("""COMPUTED_VALUE"""),"Otton")</f>
        <v>Otton</v>
      </c>
      <c r="AA181" s="3">
        <v>0.0</v>
      </c>
      <c r="AB181" s="3">
        <f t="shared" si="7"/>
        <v>0</v>
      </c>
      <c r="AC181" s="3">
        <f t="shared" si="8"/>
        <v>1</v>
      </c>
      <c r="AD181" s="3">
        <f t="shared" si="9"/>
        <v>1.6</v>
      </c>
      <c r="AE181" s="3">
        <f t="shared" si="10"/>
        <v>1.6</v>
      </c>
      <c r="AF181" s="3">
        <f t="shared" si="11"/>
        <v>2.4</v>
      </c>
      <c r="AG181" s="3">
        <f t="shared" si="12"/>
        <v>1</v>
      </c>
    </row>
    <row r="182">
      <c r="A182" s="1" t="s">
        <v>14</v>
      </c>
      <c r="B182" s="1" t="s">
        <v>253</v>
      </c>
      <c r="C182" s="1" t="s">
        <v>21</v>
      </c>
      <c r="D182" s="1" t="s">
        <v>113</v>
      </c>
      <c r="E182" s="1" t="s">
        <v>197</v>
      </c>
      <c r="F182" s="1" t="s">
        <v>455</v>
      </c>
      <c r="G182" s="1">
        <v>1.5</v>
      </c>
      <c r="H182" s="1" t="s">
        <v>60</v>
      </c>
      <c r="I182" s="1">
        <v>-133.0</v>
      </c>
      <c r="J182" s="1">
        <v>-0.117715450643776</v>
      </c>
      <c r="K182" s="1" t="s">
        <v>61</v>
      </c>
      <c r="L182" s="1" t="s">
        <v>61</v>
      </c>
      <c r="M182" s="1" t="s">
        <v>62</v>
      </c>
      <c r="N182" s="1">
        <v>101.0</v>
      </c>
      <c r="O182" s="1">
        <v>0.0493875621890546</v>
      </c>
      <c r="P182" s="1" t="s">
        <v>61</v>
      </c>
      <c r="Q182" s="1" t="s">
        <v>61</v>
      </c>
      <c r="R182" s="1">
        <f t="shared" si="1"/>
        <v>0.04938756219</v>
      </c>
      <c r="S182" s="1">
        <f t="shared" si="2"/>
        <v>101</v>
      </c>
      <c r="T182" s="1">
        <f t="shared" si="3"/>
        <v>2.01</v>
      </c>
      <c r="U182" s="1">
        <f t="shared" si="4"/>
        <v>0</v>
      </c>
      <c r="V182" s="3">
        <f t="shared" si="5"/>
        <v>1</v>
      </c>
      <c r="W182" s="3">
        <f t="shared" si="6"/>
        <v>2</v>
      </c>
      <c r="X182" s="3" t="str">
        <f>IFERROR(__xludf.DUMMYFUNCTION("split(B182,"" "")"),"B.")</f>
        <v>B.</v>
      </c>
      <c r="Y182" s="3" t="str">
        <f>IFERROR(__xludf.DUMMYFUNCTION("""COMPUTED_VALUE"""),"Mayfield")</f>
        <v>Mayfield</v>
      </c>
      <c r="AA182" s="3">
        <v>1.0</v>
      </c>
      <c r="AB182" s="3">
        <f t="shared" si="7"/>
        <v>0</v>
      </c>
      <c r="AC182" s="3">
        <f t="shared" si="8"/>
        <v>1</v>
      </c>
      <c r="AD182" s="3">
        <f t="shared" si="9"/>
        <v>1.01</v>
      </c>
      <c r="AE182" s="3">
        <f t="shared" si="10"/>
        <v>1.01</v>
      </c>
      <c r="AF182" s="3">
        <f t="shared" si="11"/>
        <v>2.02</v>
      </c>
      <c r="AG182" s="3">
        <f t="shared" si="12"/>
        <v>0.3333333333</v>
      </c>
    </row>
    <row r="183">
      <c r="A183" s="1" t="s">
        <v>9</v>
      </c>
      <c r="B183" s="1" t="s">
        <v>417</v>
      </c>
      <c r="C183" s="1" t="s">
        <v>19</v>
      </c>
      <c r="D183" s="1" t="s">
        <v>113</v>
      </c>
      <c r="E183" s="1" t="s">
        <v>197</v>
      </c>
      <c r="F183" s="1" t="s">
        <v>455</v>
      </c>
      <c r="G183" s="1">
        <v>74.5</v>
      </c>
      <c r="H183" s="1" t="s">
        <v>60</v>
      </c>
      <c r="I183" s="1">
        <v>-120.0</v>
      </c>
      <c r="J183" s="1">
        <v>-0.121779762769673</v>
      </c>
      <c r="K183" s="1" t="s">
        <v>61</v>
      </c>
      <c r="L183" s="1" t="s">
        <v>61</v>
      </c>
      <c r="M183" s="1" t="s">
        <v>62</v>
      </c>
      <c r="N183" s="1">
        <v>-113.0</v>
      </c>
      <c r="O183" s="1">
        <v>0.0458130001152149</v>
      </c>
      <c r="P183" s="1" t="s">
        <v>61</v>
      </c>
      <c r="Q183" s="1" t="s">
        <v>61</v>
      </c>
      <c r="R183" s="1">
        <f t="shared" si="1"/>
        <v>0.04581300012</v>
      </c>
      <c r="S183" s="1">
        <f t="shared" si="2"/>
        <v>-113</v>
      </c>
      <c r="T183" s="1">
        <f t="shared" si="3"/>
        <v>1.884955752</v>
      </c>
      <c r="U183" s="1">
        <f t="shared" si="4"/>
        <v>0</v>
      </c>
      <c r="V183" s="3">
        <f t="shared" si="5"/>
        <v>1</v>
      </c>
      <c r="W183" s="3">
        <f t="shared" si="6"/>
        <v>2</v>
      </c>
      <c r="X183" s="3" t="str">
        <f>IFERROR(__xludf.DUMMYFUNCTION("split(B183,"" "")"),"R.")</f>
        <v>R.</v>
      </c>
      <c r="Y183" s="3" t="str">
        <f>IFERROR(__xludf.DUMMYFUNCTION("""COMPUTED_VALUE"""),"White")</f>
        <v>White</v>
      </c>
      <c r="AA183" s="3">
        <v>23.0</v>
      </c>
      <c r="AB183" s="3">
        <f t="shared" si="7"/>
        <v>0</v>
      </c>
      <c r="AC183" s="3">
        <f t="shared" si="8"/>
        <v>1</v>
      </c>
      <c r="AD183" s="3">
        <f t="shared" si="9"/>
        <v>0.8849557522</v>
      </c>
      <c r="AE183" s="3">
        <f t="shared" si="10"/>
        <v>0.8849557522</v>
      </c>
      <c r="AF183" s="3">
        <f t="shared" si="11"/>
        <v>1.769911504</v>
      </c>
      <c r="AG183" s="3">
        <f t="shared" si="12"/>
        <v>0.6912751678</v>
      </c>
    </row>
    <row r="184">
      <c r="A184" s="1" t="s">
        <v>8</v>
      </c>
      <c r="B184" s="1" t="s">
        <v>417</v>
      </c>
      <c r="C184" s="1" t="s">
        <v>19</v>
      </c>
      <c r="D184" s="1" t="s">
        <v>113</v>
      </c>
      <c r="E184" s="1" t="s">
        <v>197</v>
      </c>
      <c r="F184" s="1" t="s">
        <v>455</v>
      </c>
      <c r="G184" s="1">
        <v>13.5</v>
      </c>
      <c r="H184" s="1" t="s">
        <v>60</v>
      </c>
      <c r="I184" s="1">
        <v>101.0</v>
      </c>
      <c r="J184" s="1">
        <v>-0.108710697109109</v>
      </c>
      <c r="K184" s="1" t="s">
        <v>61</v>
      </c>
      <c r="L184" s="1" t="s">
        <v>61</v>
      </c>
      <c r="M184" s="1" t="s">
        <v>62</v>
      </c>
      <c r="N184" s="1">
        <v>-132.0</v>
      </c>
      <c r="O184" s="1">
        <v>0.0422325117659136</v>
      </c>
      <c r="P184" s="1" t="s">
        <v>61</v>
      </c>
      <c r="Q184" s="1" t="s">
        <v>61</v>
      </c>
      <c r="R184" s="1">
        <f t="shared" si="1"/>
        <v>0.04223251177</v>
      </c>
      <c r="S184" s="1">
        <f t="shared" si="2"/>
        <v>-132</v>
      </c>
      <c r="T184" s="1">
        <f t="shared" si="3"/>
        <v>1.757575758</v>
      </c>
      <c r="U184" s="1">
        <f t="shared" si="4"/>
        <v>0</v>
      </c>
      <c r="V184" s="3">
        <f t="shared" si="5"/>
        <v>1</v>
      </c>
      <c r="W184" s="3">
        <f t="shared" si="6"/>
        <v>3</v>
      </c>
      <c r="X184" s="3" t="str">
        <f>IFERROR(__xludf.DUMMYFUNCTION("split(B184,"" "")"),"R.")</f>
        <v>R.</v>
      </c>
      <c r="Y184" s="3" t="str">
        <f>IFERROR(__xludf.DUMMYFUNCTION("""COMPUTED_VALUE"""),"White")</f>
        <v>White</v>
      </c>
      <c r="AA184" s="3">
        <v>10.0</v>
      </c>
      <c r="AB184" s="3">
        <f t="shared" si="7"/>
        <v>0</v>
      </c>
      <c r="AC184" s="3">
        <f t="shared" si="8"/>
        <v>1</v>
      </c>
      <c r="AD184" s="3">
        <f t="shared" si="9"/>
        <v>0.7575757576</v>
      </c>
      <c r="AE184" s="3">
        <f t="shared" si="10"/>
        <v>0.7575757576</v>
      </c>
      <c r="AF184" s="3">
        <f t="shared" si="11"/>
        <v>2.272727273</v>
      </c>
      <c r="AG184" s="3">
        <f t="shared" si="12"/>
        <v>0.2592592593</v>
      </c>
    </row>
    <row r="185">
      <c r="A185" s="1" t="s">
        <v>12</v>
      </c>
      <c r="B185" s="1" t="s">
        <v>481</v>
      </c>
      <c r="C185" s="1" t="s">
        <v>18</v>
      </c>
      <c r="D185" s="1" t="s">
        <v>113</v>
      </c>
      <c r="E185" s="1" t="s">
        <v>197</v>
      </c>
      <c r="F185" s="1" t="s">
        <v>455</v>
      </c>
      <c r="G185" s="1">
        <v>4.5</v>
      </c>
      <c r="H185" s="1" t="s">
        <v>60</v>
      </c>
      <c r="I185" s="1">
        <v>-135.0</v>
      </c>
      <c r="J185" s="1">
        <v>-0.101410638297872</v>
      </c>
      <c r="K185" s="1" t="s">
        <v>61</v>
      </c>
      <c r="L185" s="1" t="s">
        <v>61</v>
      </c>
      <c r="M185" s="1" t="s">
        <v>62</v>
      </c>
      <c r="N185" s="1">
        <v>103.0</v>
      </c>
      <c r="O185" s="1">
        <v>0.0343384236453201</v>
      </c>
      <c r="P185" s="1" t="s">
        <v>61</v>
      </c>
      <c r="Q185" s="1" t="s">
        <v>61</v>
      </c>
      <c r="R185" s="1">
        <f t="shared" si="1"/>
        <v>0.03433842365</v>
      </c>
      <c r="S185" s="1">
        <f t="shared" si="2"/>
        <v>103</v>
      </c>
      <c r="T185" s="1">
        <f t="shared" si="3"/>
        <v>2.03</v>
      </c>
      <c r="U185" s="1">
        <f t="shared" si="4"/>
        <v>0</v>
      </c>
      <c r="V185" s="3">
        <f t="shared" si="5"/>
        <v>1</v>
      </c>
      <c r="W185" s="3">
        <f t="shared" si="6"/>
        <v>2</v>
      </c>
      <c r="X185" s="3" t="str">
        <f>IFERROR(__xludf.DUMMYFUNCTION("split(B185,"" "")"),"M.")</f>
        <v>M.</v>
      </c>
      <c r="Y185" s="3" t="str">
        <f>IFERROR(__xludf.DUMMYFUNCTION("""COMPUTED_VALUE"""),"Evans")</f>
        <v>Evans</v>
      </c>
      <c r="AA185" s="3">
        <v>3.0</v>
      </c>
      <c r="AB185" s="3">
        <f t="shared" si="7"/>
        <v>0</v>
      </c>
      <c r="AC185" s="3">
        <f t="shared" si="8"/>
        <v>1</v>
      </c>
      <c r="AD185" s="3">
        <f t="shared" si="9"/>
        <v>1.03</v>
      </c>
      <c r="AE185" s="3">
        <f t="shared" si="10"/>
        <v>1.03</v>
      </c>
      <c r="AF185" s="3">
        <f t="shared" si="11"/>
        <v>2.06</v>
      </c>
      <c r="AG185" s="3">
        <f t="shared" si="12"/>
        <v>0.3333333333</v>
      </c>
    </row>
    <row r="186">
      <c r="A186" s="1" t="s">
        <v>11</v>
      </c>
      <c r="B186" s="1" t="s">
        <v>417</v>
      </c>
      <c r="C186" s="1" t="s">
        <v>19</v>
      </c>
      <c r="D186" s="1" t="s">
        <v>113</v>
      </c>
      <c r="E186" s="1" t="s">
        <v>197</v>
      </c>
      <c r="F186" s="1" t="s">
        <v>455</v>
      </c>
      <c r="G186" s="1">
        <v>24.5</v>
      </c>
      <c r="H186" s="1" t="s">
        <v>60</v>
      </c>
      <c r="I186" s="1">
        <v>-114.0</v>
      </c>
      <c r="J186" s="1">
        <v>-0.0974321382146963</v>
      </c>
      <c r="K186" s="1" t="s">
        <v>61</v>
      </c>
      <c r="L186" s="1" t="s">
        <v>61</v>
      </c>
      <c r="M186" s="1" t="s">
        <v>62</v>
      </c>
      <c r="N186" s="1">
        <v>-115.0</v>
      </c>
      <c r="O186" s="1">
        <v>0.0298557637890082</v>
      </c>
      <c r="P186" s="1" t="s">
        <v>61</v>
      </c>
      <c r="Q186" s="1" t="s">
        <v>61</v>
      </c>
      <c r="R186" s="1">
        <f t="shared" si="1"/>
        <v>0.02985576379</v>
      </c>
      <c r="S186" s="1">
        <f t="shared" si="2"/>
        <v>-115</v>
      </c>
      <c r="T186" s="1">
        <f t="shared" si="3"/>
        <v>1.869565217</v>
      </c>
      <c r="U186" s="1">
        <f t="shared" si="4"/>
        <v>0</v>
      </c>
      <c r="V186" s="3">
        <f t="shared" si="5"/>
        <v>1</v>
      </c>
      <c r="W186" s="3">
        <f t="shared" si="6"/>
        <v>2</v>
      </c>
      <c r="X186" s="3" t="str">
        <f>IFERROR(__xludf.DUMMYFUNCTION("split(B186,"" "")"),"R.")</f>
        <v>R.</v>
      </c>
      <c r="Y186" s="3" t="str">
        <f>IFERROR(__xludf.DUMMYFUNCTION("""COMPUTED_VALUE"""),"White")</f>
        <v>White</v>
      </c>
      <c r="AA186" s="3">
        <v>5.0</v>
      </c>
      <c r="AB186" s="3">
        <f t="shared" si="7"/>
        <v>0</v>
      </c>
      <c r="AC186" s="3">
        <f t="shared" si="8"/>
        <v>1</v>
      </c>
      <c r="AD186" s="3">
        <f t="shared" si="9"/>
        <v>0.8695652174</v>
      </c>
      <c r="AE186" s="3">
        <f t="shared" si="10"/>
        <v>0.8695652174</v>
      </c>
      <c r="AF186" s="3">
        <f t="shared" si="11"/>
        <v>1.739130435</v>
      </c>
      <c r="AG186" s="3">
        <f t="shared" si="12"/>
        <v>0.7959183673</v>
      </c>
    </row>
    <row r="187">
      <c r="A187" s="1" t="s">
        <v>11</v>
      </c>
      <c r="B187" s="1" t="s">
        <v>307</v>
      </c>
      <c r="C187" s="1" t="s">
        <v>18</v>
      </c>
      <c r="D187" s="1" t="s">
        <v>113</v>
      </c>
      <c r="E187" s="1" t="s">
        <v>197</v>
      </c>
      <c r="F187" s="1" t="s">
        <v>455</v>
      </c>
      <c r="G187" s="1">
        <v>29.5</v>
      </c>
      <c r="H187" s="1" t="s">
        <v>60</v>
      </c>
      <c r="I187" s="1">
        <v>-115.0</v>
      </c>
      <c r="J187" s="1">
        <v>-0.093341390809535</v>
      </c>
      <c r="K187" s="1" t="s">
        <v>61</v>
      </c>
      <c r="L187" s="1" t="s">
        <v>61</v>
      </c>
      <c r="M187" s="1" t="s">
        <v>62</v>
      </c>
      <c r="N187" s="1">
        <v>-113.0</v>
      </c>
      <c r="O187" s="1">
        <v>0.0279621320839037</v>
      </c>
      <c r="P187" s="1" t="s">
        <v>61</v>
      </c>
      <c r="Q187" s="1" t="s">
        <v>61</v>
      </c>
      <c r="R187" s="1">
        <f t="shared" si="1"/>
        <v>0.02796213208</v>
      </c>
      <c r="S187" s="1">
        <f t="shared" si="2"/>
        <v>-113</v>
      </c>
      <c r="T187" s="1">
        <f t="shared" si="3"/>
        <v>1.884955752</v>
      </c>
      <c r="U187" s="1">
        <f t="shared" si="4"/>
        <v>0</v>
      </c>
      <c r="V187" s="3">
        <f t="shared" si="5"/>
        <v>1</v>
      </c>
      <c r="W187" s="3">
        <f t="shared" si="6"/>
        <v>2</v>
      </c>
      <c r="X187" s="3" t="str">
        <f>IFERROR(__xludf.DUMMYFUNCTION("split(B187,"" "")"),"J.")</f>
        <v>J.</v>
      </c>
      <c r="Y187" s="3" t="str">
        <f>IFERROR(__xludf.DUMMYFUNCTION("""COMPUTED_VALUE"""),"McMillan")</f>
        <v>McMillan</v>
      </c>
      <c r="AA187" s="3">
        <v>21.0</v>
      </c>
      <c r="AB187" s="3">
        <f t="shared" si="7"/>
        <v>0</v>
      </c>
      <c r="AC187" s="3">
        <f t="shared" si="8"/>
        <v>1</v>
      </c>
      <c r="AD187" s="3">
        <f t="shared" si="9"/>
        <v>0.8849557522</v>
      </c>
      <c r="AE187" s="3">
        <f t="shared" si="10"/>
        <v>0.8849557522</v>
      </c>
      <c r="AF187" s="3">
        <f t="shared" si="11"/>
        <v>1.769911504</v>
      </c>
      <c r="AG187" s="3">
        <f t="shared" si="12"/>
        <v>0.2881355932</v>
      </c>
    </row>
    <row r="188">
      <c r="A188" s="1" t="s">
        <v>15</v>
      </c>
      <c r="B188" s="1" t="s">
        <v>275</v>
      </c>
      <c r="C188" s="1" t="s">
        <v>21</v>
      </c>
      <c r="D188" s="1" t="s">
        <v>100</v>
      </c>
      <c r="E188" s="1" t="s">
        <v>165</v>
      </c>
      <c r="F188" s="1" t="s">
        <v>455</v>
      </c>
      <c r="G188" s="1">
        <v>19.5</v>
      </c>
      <c r="H188" s="1" t="s">
        <v>60</v>
      </c>
      <c r="I188" s="1">
        <v>-125.0</v>
      </c>
      <c r="J188" s="1">
        <v>-0.205766141688888</v>
      </c>
      <c r="K188" s="1" t="s">
        <v>61</v>
      </c>
      <c r="L188" s="1" t="s">
        <v>61</v>
      </c>
      <c r="M188" s="1" t="s">
        <v>62</v>
      </c>
      <c r="N188" s="1">
        <v>-106.0</v>
      </c>
      <c r="O188" s="1">
        <v>0.135633372780582</v>
      </c>
      <c r="P188" s="1" t="s">
        <v>61</v>
      </c>
      <c r="Q188" s="1" t="s">
        <v>61</v>
      </c>
      <c r="R188" s="1">
        <f t="shared" si="1"/>
        <v>0.1356333728</v>
      </c>
      <c r="S188" s="1">
        <f t="shared" si="2"/>
        <v>-106</v>
      </c>
      <c r="T188" s="1">
        <f t="shared" si="3"/>
        <v>1.943396226</v>
      </c>
      <c r="U188" s="1">
        <f t="shared" si="4"/>
        <v>0</v>
      </c>
      <c r="V188" s="3">
        <f t="shared" si="5"/>
        <v>3</v>
      </c>
      <c r="W188" s="3">
        <f t="shared" si="6"/>
        <v>2</v>
      </c>
      <c r="X188" s="3" t="str">
        <f>IFERROR(__xludf.DUMMYFUNCTION("split(B188,"" "")"),"W.")</f>
        <v>W.</v>
      </c>
      <c r="Y188" s="3" t="str">
        <f>IFERROR(__xludf.DUMMYFUNCTION("""COMPUTED_VALUE"""),"Levis")</f>
        <v>Levis</v>
      </c>
      <c r="AA188" s="3">
        <v>19.0</v>
      </c>
      <c r="AB188" s="3">
        <f t="shared" si="7"/>
        <v>0</v>
      </c>
      <c r="AC188" s="3">
        <f t="shared" si="8"/>
        <v>1</v>
      </c>
      <c r="AD188" s="3">
        <f t="shared" si="9"/>
        <v>2.830188679</v>
      </c>
      <c r="AE188" s="3">
        <f t="shared" si="10"/>
        <v>2.830188679</v>
      </c>
      <c r="AF188" s="3">
        <f t="shared" si="11"/>
        <v>1.886792453</v>
      </c>
      <c r="AG188" s="3">
        <f t="shared" si="12"/>
        <v>0.02564102564</v>
      </c>
    </row>
    <row r="189">
      <c r="A189" s="1" t="s">
        <v>16</v>
      </c>
      <c r="B189" s="1" t="s">
        <v>275</v>
      </c>
      <c r="C189" s="1" t="s">
        <v>21</v>
      </c>
      <c r="D189" s="1" t="s">
        <v>100</v>
      </c>
      <c r="E189" s="1" t="s">
        <v>165</v>
      </c>
      <c r="F189" s="1" t="s">
        <v>455</v>
      </c>
      <c r="G189" s="1">
        <v>32.5</v>
      </c>
      <c r="H189" s="1" t="s">
        <v>60</v>
      </c>
      <c r="I189" s="1">
        <v>-102.0</v>
      </c>
      <c r="J189" s="1">
        <v>-0.102449504950494</v>
      </c>
      <c r="K189" s="1" t="s">
        <v>61</v>
      </c>
      <c r="L189" s="1" t="s">
        <v>61</v>
      </c>
      <c r="M189" s="1" t="s">
        <v>62</v>
      </c>
      <c r="N189" s="1">
        <v>-128.0</v>
      </c>
      <c r="O189" s="1">
        <v>0.0361087719298245</v>
      </c>
      <c r="P189" s="1" t="s">
        <v>61</v>
      </c>
      <c r="Q189" s="1" t="s">
        <v>61</v>
      </c>
      <c r="R189" s="1">
        <f t="shared" si="1"/>
        <v>0.03610877193</v>
      </c>
      <c r="S189" s="1">
        <f t="shared" si="2"/>
        <v>-128</v>
      </c>
      <c r="T189" s="1">
        <f t="shared" si="3"/>
        <v>1.78125</v>
      </c>
      <c r="U189" s="1">
        <f t="shared" si="4"/>
        <v>0</v>
      </c>
      <c r="V189" s="3">
        <f t="shared" si="5"/>
        <v>1</v>
      </c>
      <c r="W189" s="3">
        <f t="shared" si="6"/>
        <v>3</v>
      </c>
      <c r="X189" s="3" t="str">
        <f>IFERROR(__xludf.DUMMYFUNCTION("split(B189,"" "")"),"W.")</f>
        <v>W.</v>
      </c>
      <c r="Y189" s="3" t="str">
        <f>IFERROR(__xludf.DUMMYFUNCTION("""COMPUTED_VALUE"""),"Levis")</f>
        <v>Levis</v>
      </c>
      <c r="AA189" s="3">
        <v>28.0</v>
      </c>
      <c r="AB189" s="3">
        <f t="shared" si="7"/>
        <v>0</v>
      </c>
      <c r="AC189" s="3">
        <f t="shared" si="8"/>
        <v>1</v>
      </c>
      <c r="AD189" s="3">
        <f t="shared" si="9"/>
        <v>0.78125</v>
      </c>
      <c r="AE189" s="3">
        <f t="shared" si="10"/>
        <v>0.78125</v>
      </c>
      <c r="AF189" s="3">
        <f t="shared" si="11"/>
        <v>2.34375</v>
      </c>
      <c r="AG189" s="3">
        <f t="shared" si="12"/>
        <v>0.1384615385</v>
      </c>
    </row>
    <row r="190">
      <c r="A190" s="1" t="s">
        <v>12</v>
      </c>
      <c r="B190" s="1" t="s">
        <v>264</v>
      </c>
      <c r="C190" s="1" t="s">
        <v>19</v>
      </c>
      <c r="D190" s="1" t="s">
        <v>114</v>
      </c>
      <c r="E190" s="1" t="s">
        <v>147</v>
      </c>
      <c r="F190" s="1" t="s">
        <v>455</v>
      </c>
      <c r="G190" s="1">
        <v>1.5</v>
      </c>
      <c r="H190" s="1" t="s">
        <v>60</v>
      </c>
      <c r="I190" s="1">
        <v>-175.0</v>
      </c>
      <c r="J190" s="1">
        <v>-0.293358171814545</v>
      </c>
      <c r="K190" s="1" t="s">
        <v>61</v>
      </c>
      <c r="L190" s="1" t="s">
        <v>61</v>
      </c>
      <c r="M190" s="1" t="s">
        <v>62</v>
      </c>
      <c r="N190" s="1">
        <v>133.0</v>
      </c>
      <c r="O190" s="1">
        <v>0.227809001068669</v>
      </c>
      <c r="P190" s="1" t="s">
        <v>61</v>
      </c>
      <c r="Q190" s="1" t="s">
        <v>61</v>
      </c>
      <c r="R190" s="1">
        <f t="shared" si="1"/>
        <v>0.2278090011</v>
      </c>
      <c r="S190" s="1">
        <f t="shared" si="2"/>
        <v>133</v>
      </c>
      <c r="T190" s="1">
        <f t="shared" si="3"/>
        <v>2.33</v>
      </c>
      <c r="U190" s="1">
        <f t="shared" si="4"/>
        <v>0</v>
      </c>
      <c r="V190" s="3">
        <f t="shared" si="5"/>
        <v>3</v>
      </c>
      <c r="W190" s="3">
        <f t="shared" si="6"/>
        <v>1</v>
      </c>
      <c r="X190" s="3" t="str">
        <f>IFERROR(__xludf.DUMMYFUNCTION("split(B190,"" "")"),"B.")</f>
        <v>B.</v>
      </c>
      <c r="Y190" s="3" t="str">
        <f>IFERROR(__xludf.DUMMYFUNCTION("""COMPUTED_VALUE"""),"Robinson")</f>
        <v>Robinson</v>
      </c>
      <c r="AA190" s="1">
        <v>1.0</v>
      </c>
      <c r="AB190" s="3">
        <f t="shared" si="7"/>
        <v>0</v>
      </c>
      <c r="AC190" s="3">
        <f t="shared" si="8"/>
        <v>1</v>
      </c>
      <c r="AD190" s="3">
        <f t="shared" si="9"/>
        <v>3.99</v>
      </c>
      <c r="AE190" s="3">
        <f t="shared" si="10"/>
        <v>3.99</v>
      </c>
      <c r="AF190" s="3">
        <f t="shared" si="11"/>
        <v>1.33</v>
      </c>
      <c r="AG190" s="3">
        <f t="shared" si="12"/>
        <v>0.3333333333</v>
      </c>
    </row>
    <row r="191">
      <c r="A191" s="1" t="s">
        <v>10</v>
      </c>
      <c r="B191" s="1" t="s">
        <v>320</v>
      </c>
      <c r="C191" s="1" t="s">
        <v>21</v>
      </c>
      <c r="D191" s="1" t="s">
        <v>114</v>
      </c>
      <c r="E191" s="1" t="s">
        <v>147</v>
      </c>
      <c r="F191" s="1" t="s">
        <v>455</v>
      </c>
      <c r="G191" s="1">
        <v>51.5</v>
      </c>
      <c r="H191" s="1" t="s">
        <v>60</v>
      </c>
      <c r="I191" s="1">
        <v>-114.0</v>
      </c>
      <c r="J191" s="1">
        <v>-0.186166968335836</v>
      </c>
      <c r="K191" s="1" t="s">
        <v>61</v>
      </c>
      <c r="L191" s="1" t="s">
        <v>61</v>
      </c>
      <c r="M191" s="1" t="s">
        <v>62</v>
      </c>
      <c r="N191" s="1">
        <v>-115.0</v>
      </c>
      <c r="O191" s="1">
        <v>0.118638761274973</v>
      </c>
      <c r="P191" s="1" t="s">
        <v>61</v>
      </c>
      <c r="Q191" s="1" t="s">
        <v>61</v>
      </c>
      <c r="R191" s="1">
        <f t="shared" si="1"/>
        <v>0.1186387613</v>
      </c>
      <c r="S191" s="1">
        <f t="shared" si="2"/>
        <v>-115</v>
      </c>
      <c r="T191" s="1">
        <f t="shared" si="3"/>
        <v>1.869565217</v>
      </c>
      <c r="U191" s="1">
        <f t="shared" si="4"/>
        <v>0</v>
      </c>
      <c r="V191" s="3">
        <f t="shared" si="5"/>
        <v>3</v>
      </c>
      <c r="W191" s="3">
        <f t="shared" si="6"/>
        <v>2</v>
      </c>
      <c r="X191" s="3" t="str">
        <f>IFERROR(__xludf.DUMMYFUNCTION("split(B191,"" "")"),"J.")</f>
        <v>J.</v>
      </c>
      <c r="Y191" s="3" t="str">
        <f>IFERROR(__xludf.DUMMYFUNCTION("""COMPUTED_VALUE"""),"Daniels")</f>
        <v>Daniels</v>
      </c>
      <c r="AA191" s="3">
        <v>44.0</v>
      </c>
      <c r="AB191" s="3">
        <f t="shared" si="7"/>
        <v>0</v>
      </c>
      <c r="AC191" s="3">
        <f t="shared" si="8"/>
        <v>1</v>
      </c>
      <c r="AD191" s="3">
        <f t="shared" si="9"/>
        <v>2.608695652</v>
      </c>
      <c r="AE191" s="3">
        <f t="shared" si="10"/>
        <v>2.608695652</v>
      </c>
      <c r="AF191" s="3">
        <f t="shared" si="11"/>
        <v>1.739130435</v>
      </c>
      <c r="AG191" s="3">
        <f t="shared" si="12"/>
        <v>0.145631068</v>
      </c>
    </row>
    <row r="192">
      <c r="A192" s="1" t="s">
        <v>8</v>
      </c>
      <c r="B192" s="1" t="s">
        <v>320</v>
      </c>
      <c r="C192" s="1" t="s">
        <v>21</v>
      </c>
      <c r="D192" s="1" t="s">
        <v>114</v>
      </c>
      <c r="E192" s="1" t="s">
        <v>147</v>
      </c>
      <c r="F192" s="1" t="s">
        <v>455</v>
      </c>
      <c r="G192" s="1">
        <v>10.5</v>
      </c>
      <c r="H192" s="1" t="s">
        <v>60</v>
      </c>
      <c r="I192" s="1">
        <v>109.0</v>
      </c>
      <c r="J192" s="1">
        <v>-0.158460828125471</v>
      </c>
      <c r="K192" s="1" t="s">
        <v>61</v>
      </c>
      <c r="L192" s="1" t="s">
        <v>61</v>
      </c>
      <c r="M192" s="1" t="s">
        <v>62</v>
      </c>
      <c r="N192" s="1">
        <v>-140.0</v>
      </c>
      <c r="O192" s="1">
        <v>0.0966457886449267</v>
      </c>
      <c r="P192" s="1" t="s">
        <v>61</v>
      </c>
      <c r="Q192" s="1" t="s">
        <v>61</v>
      </c>
      <c r="R192" s="1">
        <f t="shared" si="1"/>
        <v>0.09664578864</v>
      </c>
      <c r="S192" s="1">
        <f t="shared" si="2"/>
        <v>-140</v>
      </c>
      <c r="T192" s="1">
        <f t="shared" si="3"/>
        <v>1.714285714</v>
      </c>
      <c r="U192" s="1">
        <f t="shared" si="4"/>
        <v>0</v>
      </c>
      <c r="V192" s="3">
        <f t="shared" si="5"/>
        <v>2</v>
      </c>
      <c r="W192" s="3">
        <f t="shared" si="6"/>
        <v>3</v>
      </c>
      <c r="X192" s="3" t="str">
        <f>IFERROR(__xludf.DUMMYFUNCTION("split(B192,"" "")"),"J.")</f>
        <v>J.</v>
      </c>
      <c r="Y192" s="3" t="str">
        <f>IFERROR(__xludf.DUMMYFUNCTION("""COMPUTED_VALUE"""),"Daniels")</f>
        <v>Daniels</v>
      </c>
      <c r="AA192" s="3">
        <v>10.0</v>
      </c>
      <c r="AB192" s="3">
        <f t="shared" si="7"/>
        <v>0</v>
      </c>
      <c r="AC192" s="3">
        <f t="shared" si="8"/>
        <v>1</v>
      </c>
      <c r="AD192" s="3">
        <f t="shared" si="9"/>
        <v>1.428571429</v>
      </c>
      <c r="AE192" s="3">
        <f t="shared" si="10"/>
        <v>1.428571429</v>
      </c>
      <c r="AF192" s="3">
        <f t="shared" si="11"/>
        <v>2.142857143</v>
      </c>
      <c r="AG192" s="3">
        <f t="shared" si="12"/>
        <v>0.04761904762</v>
      </c>
    </row>
    <row r="193">
      <c r="A193" s="1" t="s">
        <v>17</v>
      </c>
      <c r="B193" s="1" t="s">
        <v>320</v>
      </c>
      <c r="C193" s="1" t="s">
        <v>21</v>
      </c>
      <c r="D193" s="1" t="s">
        <v>114</v>
      </c>
      <c r="E193" s="1" t="s">
        <v>147</v>
      </c>
      <c r="F193" s="1" t="s">
        <v>455</v>
      </c>
      <c r="G193" s="1">
        <v>0.5</v>
      </c>
      <c r="H193" s="1" t="s">
        <v>60</v>
      </c>
      <c r="I193" s="1">
        <v>-136.0</v>
      </c>
      <c r="J193" s="1">
        <v>-0.115471186440678</v>
      </c>
      <c r="K193" s="1" t="s">
        <v>61</v>
      </c>
      <c r="L193" s="1" t="s">
        <v>61</v>
      </c>
      <c r="M193" s="1" t="s">
        <v>62</v>
      </c>
      <c r="N193" s="1">
        <v>104.0</v>
      </c>
      <c r="O193" s="1">
        <v>0.0490039215686274</v>
      </c>
      <c r="P193" s="1" t="s">
        <v>61</v>
      </c>
      <c r="Q193" s="1" t="s">
        <v>61</v>
      </c>
      <c r="R193" s="1">
        <f t="shared" si="1"/>
        <v>0.04900392157</v>
      </c>
      <c r="S193" s="1">
        <f t="shared" si="2"/>
        <v>104</v>
      </c>
      <c r="T193" s="1">
        <f t="shared" si="3"/>
        <v>2.04</v>
      </c>
      <c r="U193" s="1">
        <f t="shared" si="4"/>
        <v>0</v>
      </c>
      <c r="V193" s="3">
        <f t="shared" si="5"/>
        <v>1</v>
      </c>
      <c r="W193" s="3">
        <f t="shared" si="6"/>
        <v>2</v>
      </c>
      <c r="X193" s="3" t="str">
        <f>IFERROR(__xludf.DUMMYFUNCTION("split(B193,"" "")"),"J.")</f>
        <v>J.</v>
      </c>
      <c r="Y193" s="3" t="str">
        <f>IFERROR(__xludf.DUMMYFUNCTION("""COMPUTED_VALUE"""),"Daniels")</f>
        <v>Daniels</v>
      </c>
      <c r="AA193" s="3">
        <v>0.0</v>
      </c>
      <c r="AB193" s="3">
        <f t="shared" si="7"/>
        <v>0</v>
      </c>
      <c r="AC193" s="3">
        <f t="shared" si="8"/>
        <v>1</v>
      </c>
      <c r="AD193" s="3">
        <f t="shared" si="9"/>
        <v>1.04</v>
      </c>
      <c r="AE193" s="3">
        <f t="shared" si="10"/>
        <v>1.04</v>
      </c>
      <c r="AF193" s="3">
        <f t="shared" si="11"/>
        <v>2.08</v>
      </c>
      <c r="AG193" s="3">
        <f t="shared" si="12"/>
        <v>1</v>
      </c>
    </row>
    <row r="194">
      <c r="A194" s="1" t="s">
        <v>13</v>
      </c>
      <c r="B194" s="1" t="s">
        <v>320</v>
      </c>
      <c r="C194" s="1" t="s">
        <v>21</v>
      </c>
      <c r="D194" s="1" t="s">
        <v>114</v>
      </c>
      <c r="E194" s="1" t="s">
        <v>147</v>
      </c>
      <c r="F194" s="1" t="s">
        <v>455</v>
      </c>
      <c r="G194" s="1">
        <v>194.0</v>
      </c>
      <c r="H194" s="1" t="s">
        <v>60</v>
      </c>
      <c r="I194" s="1">
        <v>-116.0</v>
      </c>
      <c r="J194" s="1">
        <v>0.0148363092129629</v>
      </c>
      <c r="K194" s="1" t="s">
        <v>61</v>
      </c>
      <c r="L194" s="1" t="s">
        <v>61</v>
      </c>
      <c r="M194" s="1" t="s">
        <v>62</v>
      </c>
      <c r="N194" s="1">
        <v>-114.0</v>
      </c>
      <c r="O194" s="1">
        <v>-0.08399205972243</v>
      </c>
      <c r="P194" s="1" t="s">
        <v>61</v>
      </c>
      <c r="Q194" s="1" t="s">
        <v>61</v>
      </c>
      <c r="R194" s="1">
        <f t="shared" si="1"/>
        <v>0.01483630921</v>
      </c>
      <c r="S194" s="1">
        <f t="shared" si="2"/>
        <v>-116</v>
      </c>
      <c r="T194" s="1">
        <f t="shared" si="3"/>
        <v>1.862068966</v>
      </c>
      <c r="U194" s="1">
        <f t="shared" si="4"/>
        <v>1</v>
      </c>
      <c r="V194" s="3">
        <f t="shared" si="5"/>
        <v>1</v>
      </c>
      <c r="W194" s="3">
        <f t="shared" si="6"/>
        <v>2</v>
      </c>
      <c r="X194" s="3" t="str">
        <f>IFERROR(__xludf.DUMMYFUNCTION("split(B194,"" "")"),"J.")</f>
        <v>J.</v>
      </c>
      <c r="Y194" s="3" t="str">
        <f>IFERROR(__xludf.DUMMYFUNCTION("""COMPUTED_VALUE"""),"Daniels")</f>
        <v>Daniels</v>
      </c>
      <c r="AA194" s="3">
        <v>226.0</v>
      </c>
      <c r="AB194" s="3">
        <f t="shared" si="7"/>
        <v>1</v>
      </c>
      <c r="AC194" s="3">
        <f t="shared" si="8"/>
        <v>1</v>
      </c>
      <c r="AD194" s="3">
        <f t="shared" si="9"/>
        <v>0.8620689655</v>
      </c>
      <c r="AE194" s="3">
        <f t="shared" si="10"/>
        <v>0.8620689655</v>
      </c>
      <c r="AF194" s="3">
        <f t="shared" si="11"/>
        <v>1.724137931</v>
      </c>
      <c r="AG194" s="3">
        <f t="shared" si="12"/>
        <v>0.1649484536</v>
      </c>
    </row>
    <row r="195">
      <c r="A195" s="1" t="s">
        <v>9</v>
      </c>
      <c r="B195" s="1" t="s">
        <v>264</v>
      </c>
      <c r="C195" s="1" t="s">
        <v>19</v>
      </c>
      <c r="D195" s="1" t="s">
        <v>114</v>
      </c>
      <c r="E195" s="1" t="s">
        <v>147</v>
      </c>
      <c r="F195" s="1" t="s">
        <v>455</v>
      </c>
      <c r="G195" s="1">
        <v>68.5</v>
      </c>
      <c r="H195" s="1" t="s">
        <v>60</v>
      </c>
      <c r="I195" s="1">
        <v>-114.0</v>
      </c>
      <c r="J195" s="1">
        <v>-0.0731743227876098</v>
      </c>
      <c r="K195" s="1" t="s">
        <v>61</v>
      </c>
      <c r="L195" s="1" t="s">
        <v>61</v>
      </c>
      <c r="M195" s="1" t="s">
        <v>62</v>
      </c>
      <c r="N195" s="1">
        <v>-117.0</v>
      </c>
      <c r="O195" s="1">
        <v>0.00130338681825703</v>
      </c>
      <c r="P195" s="1" t="s">
        <v>61</v>
      </c>
      <c r="Q195" s="1" t="s">
        <v>61</v>
      </c>
      <c r="R195" s="1">
        <f t="shared" si="1"/>
        <v>0.001303386818</v>
      </c>
      <c r="S195" s="1">
        <f t="shared" si="2"/>
        <v>-117</v>
      </c>
      <c r="T195" s="1">
        <f t="shared" si="3"/>
        <v>1.854700855</v>
      </c>
      <c r="U195" s="1">
        <f t="shared" si="4"/>
        <v>0</v>
      </c>
      <c r="V195" s="3">
        <f t="shared" si="5"/>
        <v>1</v>
      </c>
      <c r="W195" s="3">
        <f t="shared" si="6"/>
        <v>2</v>
      </c>
      <c r="X195" s="3" t="str">
        <f>IFERROR(__xludf.DUMMYFUNCTION("split(B195,"" "")"),"B.")</f>
        <v>B.</v>
      </c>
      <c r="Y195" s="3" t="str">
        <f>IFERROR(__xludf.DUMMYFUNCTION("""COMPUTED_VALUE"""),"Robinson")</f>
        <v>Robinson</v>
      </c>
      <c r="AA195" s="3">
        <v>18.0</v>
      </c>
      <c r="AB195" s="3">
        <f t="shared" si="7"/>
        <v>0</v>
      </c>
      <c r="AC195" s="3">
        <f t="shared" si="8"/>
        <v>1</v>
      </c>
      <c r="AD195" s="3">
        <f t="shared" si="9"/>
        <v>0.8547008547</v>
      </c>
      <c r="AE195" s="3">
        <f t="shared" si="10"/>
        <v>0.8547008547</v>
      </c>
      <c r="AF195" s="3">
        <f t="shared" si="11"/>
        <v>1.709401709</v>
      </c>
      <c r="AG195" s="3">
        <f t="shared" si="12"/>
        <v>0.7372262774</v>
      </c>
    </row>
    <row r="196">
      <c r="A196" s="1" t="s">
        <v>9</v>
      </c>
      <c r="B196" s="1" t="s">
        <v>345</v>
      </c>
      <c r="C196" s="1" t="s">
        <v>19</v>
      </c>
      <c r="D196" s="1" t="s">
        <v>105</v>
      </c>
      <c r="E196" s="1" t="s">
        <v>196</v>
      </c>
      <c r="F196" s="1" t="s">
        <v>450</v>
      </c>
      <c r="G196" s="1">
        <v>82.5</v>
      </c>
      <c r="H196" s="1" t="s">
        <v>60</v>
      </c>
      <c r="I196" s="1">
        <v>-116.0</v>
      </c>
      <c r="J196" s="1">
        <v>-0.125021506770629</v>
      </c>
      <c r="K196" s="1" t="s">
        <v>61</v>
      </c>
      <c r="L196" s="1" t="s">
        <v>61</v>
      </c>
      <c r="M196" s="1" t="s">
        <v>62</v>
      </c>
      <c r="N196" s="1">
        <v>-116.0</v>
      </c>
      <c r="O196" s="1">
        <v>0.0509289478539302</v>
      </c>
      <c r="P196" s="1" t="s">
        <v>61</v>
      </c>
      <c r="Q196" s="1" t="s">
        <v>61</v>
      </c>
      <c r="R196" s="1">
        <f t="shared" si="1"/>
        <v>0.05092894785</v>
      </c>
      <c r="S196" s="1">
        <f t="shared" si="2"/>
        <v>-116</v>
      </c>
      <c r="T196" s="1">
        <f t="shared" si="3"/>
        <v>1.862068966</v>
      </c>
      <c r="U196" s="1">
        <f t="shared" si="4"/>
        <v>0</v>
      </c>
      <c r="V196" s="3">
        <f t="shared" si="5"/>
        <v>2</v>
      </c>
      <c r="W196" s="3">
        <f t="shared" si="6"/>
        <v>2</v>
      </c>
      <c r="X196" s="3" t="str">
        <f>IFERROR(__xludf.DUMMYFUNCTION("split(B196,"" "")"),"J.")</f>
        <v>J.</v>
      </c>
      <c r="Y196" s="3" t="str">
        <f>IFERROR(__xludf.DUMMYFUNCTION("""COMPUTED_VALUE"""),"Conner")</f>
        <v>Conner</v>
      </c>
      <c r="AA196" s="3">
        <v>124.0</v>
      </c>
      <c r="AB196" s="3">
        <f t="shared" si="7"/>
        <v>1</v>
      </c>
      <c r="AC196" s="3">
        <f t="shared" si="8"/>
        <v>0</v>
      </c>
      <c r="AD196" s="3">
        <f t="shared" si="9"/>
        <v>1.724137931</v>
      </c>
      <c r="AE196" s="3">
        <f t="shared" si="10"/>
        <v>-2</v>
      </c>
      <c r="AF196" s="3">
        <f t="shared" si="11"/>
        <v>-2</v>
      </c>
      <c r="AG196" s="3">
        <f t="shared" si="12"/>
        <v>-0.503030303</v>
      </c>
    </row>
    <row r="197">
      <c r="A197" s="1" t="s">
        <v>10</v>
      </c>
      <c r="B197" s="1" t="s">
        <v>204</v>
      </c>
      <c r="C197" s="1" t="s">
        <v>21</v>
      </c>
      <c r="D197" s="1" t="s">
        <v>105</v>
      </c>
      <c r="E197" s="1" t="s">
        <v>196</v>
      </c>
      <c r="F197" s="1" t="s">
        <v>450</v>
      </c>
      <c r="G197" s="1">
        <v>34.5</v>
      </c>
      <c r="H197" s="1" t="s">
        <v>60</v>
      </c>
      <c r="I197" s="1">
        <v>-108.0</v>
      </c>
      <c r="J197" s="1">
        <v>-0.097119809976187</v>
      </c>
      <c r="K197" s="1" t="s">
        <v>61</v>
      </c>
      <c r="L197" s="1" t="s">
        <v>61</v>
      </c>
      <c r="M197" s="1" t="s">
        <v>62</v>
      </c>
      <c r="N197" s="1">
        <v>-123.0</v>
      </c>
      <c r="O197" s="1">
        <v>0.0263915523959986</v>
      </c>
      <c r="P197" s="1" t="s">
        <v>61</v>
      </c>
      <c r="Q197" s="1" t="s">
        <v>61</v>
      </c>
      <c r="R197" s="1">
        <f t="shared" si="1"/>
        <v>0.0263915524</v>
      </c>
      <c r="S197" s="1">
        <f t="shared" si="2"/>
        <v>-123</v>
      </c>
      <c r="T197" s="1">
        <f t="shared" si="3"/>
        <v>1.81300813</v>
      </c>
      <c r="U197" s="1">
        <f t="shared" si="4"/>
        <v>0</v>
      </c>
      <c r="V197" s="3">
        <f t="shared" si="5"/>
        <v>1</v>
      </c>
      <c r="W197" s="3">
        <f t="shared" si="6"/>
        <v>3</v>
      </c>
      <c r="X197" s="3" t="str">
        <f>IFERROR(__xludf.DUMMYFUNCTION("split(B197,"" "")"),"K.")</f>
        <v>K.</v>
      </c>
      <c r="Y197" s="3" t="str">
        <f>IFERROR(__xludf.DUMMYFUNCTION("""COMPUTED_VALUE"""),"Murray")</f>
        <v>Murray</v>
      </c>
      <c r="AA197" s="3">
        <v>59.0</v>
      </c>
      <c r="AB197" s="3">
        <f t="shared" si="7"/>
        <v>1</v>
      </c>
      <c r="AC197" s="3">
        <f t="shared" si="8"/>
        <v>0</v>
      </c>
      <c r="AD197" s="3">
        <f t="shared" si="9"/>
        <v>0.8130081301</v>
      </c>
      <c r="AE197" s="3">
        <f t="shared" si="10"/>
        <v>-1</v>
      </c>
      <c r="AF197" s="3">
        <f t="shared" si="11"/>
        <v>-3</v>
      </c>
      <c r="AG197" s="3">
        <f t="shared" si="12"/>
        <v>-0.7101449275</v>
      </c>
    </row>
    <row r="198">
      <c r="A198" s="1" t="s">
        <v>10</v>
      </c>
      <c r="B198" s="1" t="s">
        <v>345</v>
      </c>
      <c r="C198" s="1" t="s">
        <v>19</v>
      </c>
      <c r="D198" s="1" t="s">
        <v>105</v>
      </c>
      <c r="E198" s="1" t="s">
        <v>196</v>
      </c>
      <c r="F198" s="1" t="s">
        <v>450</v>
      </c>
      <c r="G198" s="1">
        <v>63.5</v>
      </c>
      <c r="H198" s="1" t="s">
        <v>60</v>
      </c>
      <c r="I198" s="1">
        <v>-110.0</v>
      </c>
      <c r="J198" s="1">
        <v>-0.0811422462410542</v>
      </c>
      <c r="K198" s="1" t="s">
        <v>61</v>
      </c>
      <c r="L198" s="1" t="s">
        <v>61</v>
      </c>
      <c r="M198" s="1" t="s">
        <v>62</v>
      </c>
      <c r="N198" s="1">
        <v>-119.0</v>
      </c>
      <c r="O198" s="1">
        <v>0.0139861447190414</v>
      </c>
      <c r="P198" s="1" t="s">
        <v>61</v>
      </c>
      <c r="Q198" s="1" t="s">
        <v>61</v>
      </c>
      <c r="R198" s="1">
        <f t="shared" si="1"/>
        <v>0.01398614472</v>
      </c>
      <c r="S198" s="1">
        <f t="shared" si="2"/>
        <v>-119</v>
      </c>
      <c r="T198" s="1">
        <f t="shared" si="3"/>
        <v>1.840336134</v>
      </c>
      <c r="U198" s="1">
        <f t="shared" si="4"/>
        <v>0</v>
      </c>
      <c r="V198" s="3">
        <f t="shared" si="5"/>
        <v>1</v>
      </c>
      <c r="W198" s="3">
        <f t="shared" si="6"/>
        <v>3</v>
      </c>
      <c r="X198" s="3" t="str">
        <f>IFERROR(__xludf.DUMMYFUNCTION("split(B198,"" "")"),"J.")</f>
        <v>J.</v>
      </c>
      <c r="Y198" s="3" t="str">
        <f>IFERROR(__xludf.DUMMYFUNCTION("""COMPUTED_VALUE"""),"Conner")</f>
        <v>Conner</v>
      </c>
      <c r="AA198" s="3">
        <v>122.0</v>
      </c>
      <c r="AB198" s="3">
        <f t="shared" si="7"/>
        <v>1</v>
      </c>
      <c r="AC198" s="3">
        <f t="shared" si="8"/>
        <v>0</v>
      </c>
      <c r="AD198" s="3">
        <f t="shared" si="9"/>
        <v>0.8403361345</v>
      </c>
      <c r="AE198" s="3">
        <f t="shared" si="10"/>
        <v>-1</v>
      </c>
      <c r="AF198" s="3">
        <f t="shared" si="11"/>
        <v>-3</v>
      </c>
      <c r="AG198" s="3">
        <f t="shared" si="12"/>
        <v>-0.9212598425</v>
      </c>
    </row>
    <row r="199">
      <c r="A199" s="1" t="s">
        <v>11</v>
      </c>
      <c r="B199" s="1" t="s">
        <v>233</v>
      </c>
      <c r="C199" s="1" t="s">
        <v>18</v>
      </c>
      <c r="D199" s="1" t="s">
        <v>105</v>
      </c>
      <c r="E199" s="1" t="s">
        <v>196</v>
      </c>
      <c r="F199" s="1" t="s">
        <v>450</v>
      </c>
      <c r="G199" s="1">
        <v>30.5</v>
      </c>
      <c r="H199" s="1" t="s">
        <v>60</v>
      </c>
      <c r="I199" s="1">
        <v>-115.0</v>
      </c>
      <c r="J199" s="1">
        <v>-0.0764449787422792</v>
      </c>
      <c r="K199" s="1" t="s">
        <v>61</v>
      </c>
      <c r="L199" s="1" t="s">
        <v>61</v>
      </c>
      <c r="M199" s="1" t="s">
        <v>62</v>
      </c>
      <c r="N199" s="1">
        <v>-114.0</v>
      </c>
      <c r="O199" s="1">
        <v>0.00887364314903105</v>
      </c>
      <c r="P199" s="1" t="s">
        <v>61</v>
      </c>
      <c r="Q199" s="1" t="s">
        <v>61</v>
      </c>
      <c r="R199" s="1">
        <f t="shared" si="1"/>
        <v>0.008873643149</v>
      </c>
      <c r="S199" s="1">
        <f t="shared" si="2"/>
        <v>-114</v>
      </c>
      <c r="T199" s="1">
        <f t="shared" si="3"/>
        <v>1.877192982</v>
      </c>
      <c r="U199" s="1">
        <f t="shared" si="4"/>
        <v>0</v>
      </c>
      <c r="V199" s="3">
        <f t="shared" si="5"/>
        <v>1</v>
      </c>
      <c r="W199" s="3">
        <f t="shared" si="6"/>
        <v>2</v>
      </c>
      <c r="X199" s="3" t="str">
        <f>IFERROR(__xludf.DUMMYFUNCTION("split(B199,"" "")"),"M.")</f>
        <v>M.</v>
      </c>
      <c r="Y199" s="3" t="str">
        <f>IFERROR(__xludf.DUMMYFUNCTION("""COMPUTED_VALUE"""),"Wilson")</f>
        <v>Wilson</v>
      </c>
      <c r="AA199" s="3">
        <v>31.0</v>
      </c>
      <c r="AB199" s="3">
        <f t="shared" si="7"/>
        <v>1</v>
      </c>
      <c r="AC199" s="3">
        <f t="shared" si="8"/>
        <v>0</v>
      </c>
      <c r="AD199" s="3">
        <f t="shared" si="9"/>
        <v>0.8771929825</v>
      </c>
      <c r="AE199" s="3">
        <f t="shared" si="10"/>
        <v>-1</v>
      </c>
      <c r="AF199" s="3">
        <f t="shared" si="11"/>
        <v>-2</v>
      </c>
      <c r="AG199" s="3">
        <f t="shared" si="12"/>
        <v>-0.01639344262</v>
      </c>
    </row>
    <row r="200">
      <c r="A200" s="1" t="s">
        <v>15</v>
      </c>
      <c r="B200" s="1" t="s">
        <v>204</v>
      </c>
      <c r="C200" s="1" t="s">
        <v>21</v>
      </c>
      <c r="D200" s="1" t="s">
        <v>105</v>
      </c>
      <c r="E200" s="1" t="s">
        <v>196</v>
      </c>
      <c r="F200" s="1" t="s">
        <v>450</v>
      </c>
      <c r="G200" s="1">
        <v>22.5</v>
      </c>
      <c r="H200" s="1" t="s">
        <v>60</v>
      </c>
      <c r="I200" s="1">
        <v>-102.0</v>
      </c>
      <c r="J200" s="1">
        <v>0.00159900990099015</v>
      </c>
      <c r="K200" s="1" t="s">
        <v>61</v>
      </c>
      <c r="L200" s="1" t="s">
        <v>61</v>
      </c>
      <c r="M200" s="1" t="s">
        <v>62</v>
      </c>
      <c r="N200" s="1">
        <v>-128.0</v>
      </c>
      <c r="O200" s="1">
        <v>-0.067959649122807</v>
      </c>
      <c r="P200" s="1" t="s">
        <v>61</v>
      </c>
      <c r="Q200" s="1" t="s">
        <v>61</v>
      </c>
      <c r="R200" s="1">
        <f t="shared" si="1"/>
        <v>0.001599009901</v>
      </c>
      <c r="S200" s="1">
        <f t="shared" si="2"/>
        <v>-102</v>
      </c>
      <c r="T200" s="1">
        <f t="shared" si="3"/>
        <v>1.980392157</v>
      </c>
      <c r="U200" s="1">
        <f t="shared" si="4"/>
        <v>1</v>
      </c>
      <c r="V200" s="3">
        <f t="shared" si="5"/>
        <v>1</v>
      </c>
      <c r="W200" s="3">
        <f t="shared" si="6"/>
        <v>2</v>
      </c>
      <c r="X200" s="3" t="str">
        <f>IFERROR(__xludf.DUMMYFUNCTION("split(B200,"" "")"),"K.")</f>
        <v>K.</v>
      </c>
      <c r="Y200" s="3" t="str">
        <f>IFERROR(__xludf.DUMMYFUNCTION("""COMPUTED_VALUE"""),"Murray")</f>
        <v>Murray</v>
      </c>
      <c r="AA200" s="3">
        <v>17.0</v>
      </c>
      <c r="AB200" s="3">
        <f t="shared" si="7"/>
        <v>0</v>
      </c>
      <c r="AC200" s="3">
        <f t="shared" si="8"/>
        <v>0</v>
      </c>
      <c r="AD200" s="3">
        <f t="shared" si="9"/>
        <v>0.9803921569</v>
      </c>
      <c r="AE200" s="3">
        <f t="shared" si="10"/>
        <v>-1</v>
      </c>
      <c r="AF200" s="3">
        <f t="shared" si="11"/>
        <v>-2</v>
      </c>
      <c r="AG200" s="3">
        <f t="shared" si="12"/>
        <v>-0.2444444444</v>
      </c>
    </row>
    <row r="201">
      <c r="A201" s="1" t="s">
        <v>11</v>
      </c>
      <c r="B201" s="1" t="s">
        <v>355</v>
      </c>
      <c r="C201" s="1" t="s">
        <v>18</v>
      </c>
      <c r="D201" s="1" t="s">
        <v>109</v>
      </c>
      <c r="E201" s="1" t="s">
        <v>156</v>
      </c>
      <c r="F201" s="1" t="s">
        <v>453</v>
      </c>
      <c r="G201" s="1">
        <v>36.5</v>
      </c>
      <c r="H201" s="1" t="s">
        <v>60</v>
      </c>
      <c r="I201" s="1">
        <v>-116.0</v>
      </c>
      <c r="J201" s="1">
        <v>-0.0923100923193519</v>
      </c>
      <c r="K201" s="1" t="s">
        <v>61</v>
      </c>
      <c r="L201" s="1" t="s">
        <v>61</v>
      </c>
      <c r="M201" s="1" t="s">
        <v>62</v>
      </c>
      <c r="N201" s="1">
        <v>-116.0</v>
      </c>
      <c r="O201" s="1">
        <v>0.0182626313784481</v>
      </c>
      <c r="P201" s="1" t="s">
        <v>61</v>
      </c>
      <c r="Q201" s="1" t="s">
        <v>61</v>
      </c>
      <c r="R201" s="1">
        <f t="shared" si="1"/>
        <v>0.01826263138</v>
      </c>
      <c r="S201" s="1">
        <f t="shared" si="2"/>
        <v>-116</v>
      </c>
      <c r="T201" s="1">
        <f t="shared" si="3"/>
        <v>1.862068966</v>
      </c>
      <c r="U201" s="1">
        <f t="shared" si="4"/>
        <v>0</v>
      </c>
      <c r="V201" s="3">
        <f t="shared" si="5"/>
        <v>1</v>
      </c>
      <c r="W201" s="3">
        <f t="shared" si="6"/>
        <v>2</v>
      </c>
      <c r="X201" s="3" t="str">
        <f>IFERROR(__xludf.DUMMYFUNCTION("split(B201,"" "")"),"D.")</f>
        <v>D.</v>
      </c>
      <c r="Y201" s="3" t="str">
        <f>IFERROR(__xludf.DUMMYFUNCTION("""COMPUTED_VALUE"""),"Mooney")</f>
        <v>Mooney</v>
      </c>
      <c r="AA201" s="3">
        <v>88.0</v>
      </c>
      <c r="AB201" s="3">
        <f t="shared" si="7"/>
        <v>1</v>
      </c>
      <c r="AC201" s="3">
        <f t="shared" si="8"/>
        <v>0</v>
      </c>
      <c r="AD201" s="3">
        <f t="shared" si="9"/>
        <v>0.8620689655</v>
      </c>
      <c r="AE201" s="3">
        <f t="shared" si="10"/>
        <v>-1</v>
      </c>
      <c r="AF201" s="3">
        <f t="shared" si="11"/>
        <v>-2</v>
      </c>
      <c r="AG201" s="3">
        <f t="shared" si="12"/>
        <v>-1.410958904</v>
      </c>
    </row>
    <row r="202">
      <c r="A202" s="1" t="s">
        <v>12</v>
      </c>
      <c r="B202" s="1" t="s">
        <v>499</v>
      </c>
      <c r="C202" s="1" t="s">
        <v>18</v>
      </c>
      <c r="D202" s="1" t="s">
        <v>109</v>
      </c>
      <c r="E202" s="1" t="s">
        <v>156</v>
      </c>
      <c r="F202" s="1" t="s">
        <v>453</v>
      </c>
      <c r="G202" s="1">
        <v>4.5</v>
      </c>
      <c r="H202" s="1" t="s">
        <v>60</v>
      </c>
      <c r="I202" s="1">
        <v>-146.0</v>
      </c>
      <c r="J202" s="1">
        <v>-0.0849959349593495</v>
      </c>
      <c r="K202" s="1" t="s">
        <v>61</v>
      </c>
      <c r="L202" s="1" t="s">
        <v>61</v>
      </c>
      <c r="M202" s="1" t="s">
        <v>62</v>
      </c>
      <c r="N202" s="1">
        <v>110.0</v>
      </c>
      <c r="O202" s="1">
        <v>0.0153095238095237</v>
      </c>
      <c r="P202" s="1" t="s">
        <v>61</v>
      </c>
      <c r="Q202" s="1" t="s">
        <v>61</v>
      </c>
      <c r="R202" s="1">
        <f t="shared" si="1"/>
        <v>0.01530952381</v>
      </c>
      <c r="S202" s="1">
        <f t="shared" si="2"/>
        <v>110</v>
      </c>
      <c r="T202" s="1">
        <f t="shared" si="3"/>
        <v>2.1</v>
      </c>
      <c r="U202" s="1">
        <f t="shared" si="4"/>
        <v>0</v>
      </c>
      <c r="V202" s="3">
        <f t="shared" si="5"/>
        <v>1</v>
      </c>
      <c r="W202" s="3">
        <f t="shared" si="6"/>
        <v>2</v>
      </c>
      <c r="X202" s="3" t="str">
        <f>IFERROR(__xludf.DUMMYFUNCTION("split(B202,"" "")"),"D.")</f>
        <v>D.</v>
      </c>
      <c r="Y202" s="3" t="str">
        <f>IFERROR(__xludf.DUMMYFUNCTION("""COMPUTED_VALUE"""),"London")</f>
        <v>London</v>
      </c>
      <c r="AA202" s="3">
        <v>6.0</v>
      </c>
      <c r="AB202" s="3">
        <f t="shared" si="7"/>
        <v>1</v>
      </c>
      <c r="AC202" s="3">
        <f t="shared" si="8"/>
        <v>0</v>
      </c>
      <c r="AD202" s="3">
        <f t="shared" si="9"/>
        <v>1.1</v>
      </c>
      <c r="AE202" s="3">
        <f t="shared" si="10"/>
        <v>-1</v>
      </c>
      <c r="AF202" s="3">
        <f t="shared" si="11"/>
        <v>-2</v>
      </c>
      <c r="AG202" s="3">
        <f t="shared" si="12"/>
        <v>-0.3333333333</v>
      </c>
    </row>
    <row r="203">
      <c r="A203" s="1" t="s">
        <v>12</v>
      </c>
      <c r="B203" s="1" t="s">
        <v>239</v>
      </c>
      <c r="C203" s="1" t="s">
        <v>18</v>
      </c>
      <c r="D203" s="1" t="s">
        <v>77</v>
      </c>
      <c r="E203" s="1" t="s">
        <v>134</v>
      </c>
      <c r="F203" s="1" t="s">
        <v>455</v>
      </c>
      <c r="G203" s="1">
        <v>2.5</v>
      </c>
      <c r="H203" s="1" t="s">
        <v>60</v>
      </c>
      <c r="I203" s="1">
        <v>116.0</v>
      </c>
      <c r="J203" s="1">
        <v>-0.150249002038888</v>
      </c>
      <c r="K203" s="1" t="s">
        <v>61</v>
      </c>
      <c r="L203" s="1" t="s">
        <v>61</v>
      </c>
      <c r="M203" s="1" t="s">
        <v>62</v>
      </c>
      <c r="N203" s="1">
        <v>-152.0</v>
      </c>
      <c r="O203" s="1">
        <v>0.0840974013047619</v>
      </c>
      <c r="P203" s="1" t="s">
        <v>61</v>
      </c>
      <c r="Q203" s="1" t="s">
        <v>61</v>
      </c>
      <c r="R203" s="1">
        <f t="shared" si="1"/>
        <v>0.0840974013</v>
      </c>
      <c r="S203" s="1">
        <f t="shared" si="2"/>
        <v>-152</v>
      </c>
      <c r="T203" s="1">
        <f t="shared" si="3"/>
        <v>1.657894737</v>
      </c>
      <c r="U203" s="1">
        <f t="shared" si="4"/>
        <v>0</v>
      </c>
      <c r="V203" s="3">
        <f t="shared" si="5"/>
        <v>2</v>
      </c>
      <c r="W203" s="3">
        <f t="shared" si="6"/>
        <v>3</v>
      </c>
      <c r="X203" s="3" t="str">
        <f>IFERROR(__xludf.DUMMYFUNCTION("split(B203,"" "")"),"R.")</f>
        <v>R.</v>
      </c>
      <c r="Y203" s="3" t="str">
        <f>IFERROR(__xludf.DUMMYFUNCTION("""COMPUTED_VALUE"""),"Bateman")</f>
        <v>Bateman</v>
      </c>
      <c r="AA203" s="3">
        <v>3.0</v>
      </c>
      <c r="AB203" s="3">
        <f t="shared" si="7"/>
        <v>1</v>
      </c>
      <c r="AC203" s="3">
        <f t="shared" si="8"/>
        <v>0</v>
      </c>
      <c r="AD203" s="3">
        <f t="shared" si="9"/>
        <v>1.315789474</v>
      </c>
      <c r="AE203" s="3">
        <f t="shared" si="10"/>
        <v>-2</v>
      </c>
      <c r="AF203" s="3">
        <f t="shared" si="11"/>
        <v>-3</v>
      </c>
      <c r="AG203" s="3">
        <f t="shared" si="12"/>
        <v>-0.2</v>
      </c>
    </row>
    <row r="204">
      <c r="A204" s="1" t="s">
        <v>16</v>
      </c>
      <c r="B204" s="1" t="s">
        <v>347</v>
      </c>
      <c r="C204" s="1" t="s">
        <v>21</v>
      </c>
      <c r="D204" s="1" t="s">
        <v>77</v>
      </c>
      <c r="E204" s="1" t="s">
        <v>134</v>
      </c>
      <c r="F204" s="1" t="s">
        <v>455</v>
      </c>
      <c r="G204" s="1">
        <v>29.5</v>
      </c>
      <c r="H204" s="1" t="s">
        <v>60</v>
      </c>
      <c r="I204" s="1">
        <v>-109.0</v>
      </c>
      <c r="J204" s="1">
        <v>-0.126829957320574</v>
      </c>
      <c r="K204" s="1" t="s">
        <v>61</v>
      </c>
      <c r="L204" s="1" t="s">
        <v>61</v>
      </c>
      <c r="M204" s="1" t="s">
        <v>62</v>
      </c>
      <c r="N204" s="1">
        <v>-121.0</v>
      </c>
      <c r="O204" s="1">
        <v>0.0577873796687782</v>
      </c>
      <c r="P204" s="1" t="s">
        <v>61</v>
      </c>
      <c r="Q204" s="1" t="s">
        <v>61</v>
      </c>
      <c r="R204" s="1">
        <f t="shared" si="1"/>
        <v>0.05778737967</v>
      </c>
      <c r="S204" s="1">
        <f t="shared" si="2"/>
        <v>-121</v>
      </c>
      <c r="T204" s="1">
        <f t="shared" si="3"/>
        <v>1.826446281</v>
      </c>
      <c r="U204" s="1">
        <f t="shared" si="4"/>
        <v>0</v>
      </c>
      <c r="V204" s="3">
        <f t="shared" si="5"/>
        <v>2</v>
      </c>
      <c r="W204" s="3">
        <f t="shared" si="6"/>
        <v>3</v>
      </c>
      <c r="X204" s="3" t="str">
        <f>IFERROR(__xludf.DUMMYFUNCTION("split(B204,"" "")"),"L.")</f>
        <v>L.</v>
      </c>
      <c r="Y204" s="3" t="str">
        <f>IFERROR(__xludf.DUMMYFUNCTION("""COMPUTED_VALUE"""),"Jackson")</f>
        <v>Jackson</v>
      </c>
      <c r="AA204" s="3">
        <v>34.0</v>
      </c>
      <c r="AB204" s="3">
        <f t="shared" si="7"/>
        <v>1</v>
      </c>
      <c r="AC204" s="3">
        <f t="shared" si="8"/>
        <v>0</v>
      </c>
      <c r="AD204" s="3">
        <f t="shared" si="9"/>
        <v>1.652892562</v>
      </c>
      <c r="AE204" s="3">
        <f t="shared" si="10"/>
        <v>-2</v>
      </c>
      <c r="AF204" s="3">
        <f t="shared" si="11"/>
        <v>-3</v>
      </c>
      <c r="AG204" s="3">
        <f t="shared" si="12"/>
        <v>-0.1525423729</v>
      </c>
    </row>
    <row r="205">
      <c r="A205" s="1" t="s">
        <v>12</v>
      </c>
      <c r="B205" s="1" t="s">
        <v>399</v>
      </c>
      <c r="C205" s="1" t="s">
        <v>18</v>
      </c>
      <c r="D205" s="1" t="s">
        <v>77</v>
      </c>
      <c r="E205" s="1" t="s">
        <v>134</v>
      </c>
      <c r="F205" s="1" t="s">
        <v>455</v>
      </c>
      <c r="G205" s="1">
        <v>4.5</v>
      </c>
      <c r="H205" s="1" t="s">
        <v>60</v>
      </c>
      <c r="I205" s="1">
        <v>-121.0</v>
      </c>
      <c r="J205" s="1">
        <v>-0.107911312217194</v>
      </c>
      <c r="K205" s="1" t="s">
        <v>61</v>
      </c>
      <c r="L205" s="1" t="s">
        <v>61</v>
      </c>
      <c r="M205" s="1" t="s">
        <v>62</v>
      </c>
      <c r="N205" s="1">
        <v>-108.0</v>
      </c>
      <c r="O205" s="1">
        <v>0.0411692307692308</v>
      </c>
      <c r="P205" s="1" t="s">
        <v>61</v>
      </c>
      <c r="Q205" s="1" t="s">
        <v>61</v>
      </c>
      <c r="R205" s="1">
        <f t="shared" si="1"/>
        <v>0.04116923077</v>
      </c>
      <c r="S205" s="1">
        <f t="shared" si="2"/>
        <v>-108</v>
      </c>
      <c r="T205" s="1">
        <f t="shared" si="3"/>
        <v>1.925925926</v>
      </c>
      <c r="U205" s="1">
        <f t="shared" si="4"/>
        <v>0</v>
      </c>
      <c r="V205" s="3">
        <f t="shared" si="5"/>
        <v>1</v>
      </c>
      <c r="W205" s="3">
        <f t="shared" si="6"/>
        <v>2</v>
      </c>
      <c r="X205" s="3" t="str">
        <f>IFERROR(__xludf.DUMMYFUNCTION("split(B205,"" "")"),"Z.")</f>
        <v>Z.</v>
      </c>
      <c r="Y205" s="3" t="str">
        <f>IFERROR(__xludf.DUMMYFUNCTION("""COMPUTED_VALUE"""),"Flowers")</f>
        <v>Flowers</v>
      </c>
      <c r="AA205" s="3">
        <v>7.0</v>
      </c>
      <c r="AB205" s="3">
        <f t="shared" si="7"/>
        <v>1</v>
      </c>
      <c r="AC205" s="3">
        <f t="shared" si="8"/>
        <v>0</v>
      </c>
      <c r="AD205" s="3">
        <f t="shared" si="9"/>
        <v>0.9259259259</v>
      </c>
      <c r="AE205" s="3">
        <f t="shared" si="10"/>
        <v>-1</v>
      </c>
      <c r="AF205" s="3">
        <f t="shared" si="11"/>
        <v>-2</v>
      </c>
      <c r="AG205" s="3">
        <f t="shared" si="12"/>
        <v>-0.5555555556</v>
      </c>
    </row>
    <row r="206">
      <c r="A206" s="1" t="s">
        <v>15</v>
      </c>
      <c r="B206" s="1" t="s">
        <v>347</v>
      </c>
      <c r="C206" s="1" t="s">
        <v>21</v>
      </c>
      <c r="D206" s="1" t="s">
        <v>77</v>
      </c>
      <c r="E206" s="1" t="s">
        <v>134</v>
      </c>
      <c r="F206" s="1" t="s">
        <v>455</v>
      </c>
      <c r="G206" s="1">
        <v>19.5</v>
      </c>
      <c r="H206" s="1" t="s">
        <v>60</v>
      </c>
      <c r="I206" s="1">
        <v>-112.0</v>
      </c>
      <c r="J206" s="1">
        <v>-0.110089458443396</v>
      </c>
      <c r="K206" s="1" t="s">
        <v>61</v>
      </c>
      <c r="L206" s="1" t="s">
        <v>61</v>
      </c>
      <c r="M206" s="1" t="s">
        <v>62</v>
      </c>
      <c r="N206" s="1">
        <v>-118.0</v>
      </c>
      <c r="O206" s="1">
        <v>0.0405308391018348</v>
      </c>
      <c r="P206" s="1" t="s">
        <v>61</v>
      </c>
      <c r="Q206" s="1" t="s">
        <v>61</v>
      </c>
      <c r="R206" s="1">
        <f t="shared" si="1"/>
        <v>0.0405308391</v>
      </c>
      <c r="S206" s="1">
        <f t="shared" si="2"/>
        <v>-118</v>
      </c>
      <c r="T206" s="1">
        <f t="shared" si="3"/>
        <v>1.847457627</v>
      </c>
      <c r="U206" s="1">
        <f t="shared" si="4"/>
        <v>0</v>
      </c>
      <c r="V206" s="3">
        <f t="shared" si="5"/>
        <v>1</v>
      </c>
      <c r="W206" s="3">
        <f t="shared" si="6"/>
        <v>3</v>
      </c>
      <c r="X206" s="3" t="str">
        <f>IFERROR(__xludf.DUMMYFUNCTION("split(B206,"" "")"),"L.")</f>
        <v>L.</v>
      </c>
      <c r="Y206" s="3" t="str">
        <f>IFERROR(__xludf.DUMMYFUNCTION("""COMPUTED_VALUE"""),"Jackson")</f>
        <v>Jackson</v>
      </c>
      <c r="AA206" s="3">
        <v>21.0</v>
      </c>
      <c r="AB206" s="3">
        <f t="shared" si="7"/>
        <v>1</v>
      </c>
      <c r="AC206" s="3">
        <f t="shared" si="8"/>
        <v>0</v>
      </c>
      <c r="AD206" s="3">
        <f t="shared" si="9"/>
        <v>0.8474576271</v>
      </c>
      <c r="AE206" s="3">
        <f t="shared" si="10"/>
        <v>-1</v>
      </c>
      <c r="AF206" s="3">
        <f t="shared" si="11"/>
        <v>-3</v>
      </c>
      <c r="AG206" s="3">
        <f t="shared" si="12"/>
        <v>-0.07692307692</v>
      </c>
    </row>
    <row r="207">
      <c r="A207" s="1" t="s">
        <v>11</v>
      </c>
      <c r="B207" s="1" t="s">
        <v>239</v>
      </c>
      <c r="C207" s="1" t="s">
        <v>18</v>
      </c>
      <c r="D207" s="1" t="s">
        <v>77</v>
      </c>
      <c r="E207" s="1" t="s">
        <v>134</v>
      </c>
      <c r="F207" s="1" t="s">
        <v>455</v>
      </c>
      <c r="G207" s="1">
        <v>26.5</v>
      </c>
      <c r="H207" s="1" t="s">
        <v>60</v>
      </c>
      <c r="I207" s="1">
        <v>-117.0</v>
      </c>
      <c r="J207" s="1">
        <v>-0.0847954065198156</v>
      </c>
      <c r="K207" s="1" t="s">
        <v>61</v>
      </c>
      <c r="L207" s="1" t="s">
        <v>61</v>
      </c>
      <c r="M207" s="1" t="s">
        <v>62</v>
      </c>
      <c r="N207" s="1">
        <v>-112.0</v>
      </c>
      <c r="O207" s="1">
        <v>0.0173998660404528</v>
      </c>
      <c r="P207" s="1" t="s">
        <v>61</v>
      </c>
      <c r="Q207" s="1" t="s">
        <v>61</v>
      </c>
      <c r="R207" s="1">
        <f t="shared" si="1"/>
        <v>0.01739986604</v>
      </c>
      <c r="S207" s="1">
        <f t="shared" si="2"/>
        <v>-112</v>
      </c>
      <c r="T207" s="1">
        <f t="shared" si="3"/>
        <v>1.892857143</v>
      </c>
      <c r="U207" s="1">
        <f t="shared" si="4"/>
        <v>0</v>
      </c>
      <c r="V207" s="3">
        <f t="shared" si="5"/>
        <v>1</v>
      </c>
      <c r="W207" s="3">
        <f t="shared" si="6"/>
        <v>2</v>
      </c>
      <c r="X207" s="3" t="str">
        <f>IFERROR(__xludf.DUMMYFUNCTION("split(B207,"" "")"),"R.")</f>
        <v>R.</v>
      </c>
      <c r="Y207" s="3" t="str">
        <f>IFERROR(__xludf.DUMMYFUNCTION("""COMPUTED_VALUE"""),"Bateman")</f>
        <v>Bateman</v>
      </c>
      <c r="AA207" s="3">
        <v>40.0</v>
      </c>
      <c r="AB207" s="3">
        <f t="shared" si="7"/>
        <v>1</v>
      </c>
      <c r="AC207" s="3">
        <f t="shared" si="8"/>
        <v>0</v>
      </c>
      <c r="AD207" s="3">
        <f t="shared" si="9"/>
        <v>0.8928571429</v>
      </c>
      <c r="AE207" s="3">
        <f t="shared" si="10"/>
        <v>-1</v>
      </c>
      <c r="AF207" s="3">
        <f t="shared" si="11"/>
        <v>-2</v>
      </c>
      <c r="AG207" s="3">
        <f t="shared" si="12"/>
        <v>-0.5094339623</v>
      </c>
    </row>
    <row r="208">
      <c r="A208" s="1" t="s">
        <v>11</v>
      </c>
      <c r="B208" s="1" t="s">
        <v>399</v>
      </c>
      <c r="C208" s="1" t="s">
        <v>18</v>
      </c>
      <c r="D208" s="1" t="s">
        <v>77</v>
      </c>
      <c r="E208" s="1" t="s">
        <v>134</v>
      </c>
      <c r="F208" s="1" t="s">
        <v>455</v>
      </c>
      <c r="G208" s="1">
        <v>53.5</v>
      </c>
      <c r="H208" s="1" t="s">
        <v>60</v>
      </c>
      <c r="I208" s="1">
        <v>-111.0</v>
      </c>
      <c r="J208" s="1">
        <v>-0.0765659117295022</v>
      </c>
      <c r="K208" s="1" t="s">
        <v>61</v>
      </c>
      <c r="L208" s="1" t="s">
        <v>61</v>
      </c>
      <c r="M208" s="1" t="s">
        <v>62</v>
      </c>
      <c r="N208" s="1">
        <v>-118.0</v>
      </c>
      <c r="O208" s="1">
        <v>0.00921483736577977</v>
      </c>
      <c r="P208" s="1" t="s">
        <v>61</v>
      </c>
      <c r="Q208" s="1" t="s">
        <v>61</v>
      </c>
      <c r="R208" s="1">
        <f t="shared" si="1"/>
        <v>0.009214837366</v>
      </c>
      <c r="S208" s="1">
        <f t="shared" si="2"/>
        <v>-118</v>
      </c>
      <c r="T208" s="1">
        <f t="shared" si="3"/>
        <v>1.847457627</v>
      </c>
      <c r="U208" s="1">
        <f t="shared" si="4"/>
        <v>0</v>
      </c>
      <c r="V208" s="3">
        <f t="shared" si="5"/>
        <v>1</v>
      </c>
      <c r="W208" s="3">
        <f t="shared" si="6"/>
        <v>3</v>
      </c>
      <c r="X208" s="3" t="str">
        <f>IFERROR(__xludf.DUMMYFUNCTION("split(B208,"" "")"),"Z.")</f>
        <v>Z.</v>
      </c>
      <c r="Y208" s="3" t="str">
        <f>IFERROR(__xludf.DUMMYFUNCTION("""COMPUTED_VALUE"""),"Flowers")</f>
        <v>Flowers</v>
      </c>
      <c r="AA208" s="3">
        <v>91.0</v>
      </c>
      <c r="AB208" s="3">
        <f t="shared" si="7"/>
        <v>1</v>
      </c>
      <c r="AC208" s="3">
        <f t="shared" si="8"/>
        <v>0</v>
      </c>
      <c r="AD208" s="3">
        <f t="shared" si="9"/>
        <v>0.8474576271</v>
      </c>
      <c r="AE208" s="3">
        <f t="shared" si="10"/>
        <v>-1</v>
      </c>
      <c r="AF208" s="3">
        <f t="shared" si="11"/>
        <v>-3</v>
      </c>
      <c r="AG208" s="3">
        <f t="shared" si="12"/>
        <v>-0.7009345794</v>
      </c>
    </row>
    <row r="209">
      <c r="A209" s="1" t="s">
        <v>11</v>
      </c>
      <c r="B209" s="1" t="s">
        <v>418</v>
      </c>
      <c r="C209" s="1" t="s">
        <v>20</v>
      </c>
      <c r="D209" s="1" t="s">
        <v>77</v>
      </c>
      <c r="E209" s="1" t="s">
        <v>134</v>
      </c>
      <c r="F209" s="1" t="s">
        <v>455</v>
      </c>
      <c r="G209" s="1">
        <v>39.5</v>
      </c>
      <c r="H209" s="1" t="s">
        <v>60</v>
      </c>
      <c r="I209" s="1">
        <v>-119.0</v>
      </c>
      <c r="J209" s="1">
        <v>-0.0727932240704566</v>
      </c>
      <c r="K209" s="1" t="s">
        <v>61</v>
      </c>
      <c r="L209" s="1" t="s">
        <v>61</v>
      </c>
      <c r="M209" s="1" t="s">
        <v>62</v>
      </c>
      <c r="N209" s="1">
        <v>-110.0</v>
      </c>
      <c r="O209" s="1">
        <v>0.00566390888380952</v>
      </c>
      <c r="P209" s="1" t="s">
        <v>61</v>
      </c>
      <c r="Q209" s="1" t="s">
        <v>61</v>
      </c>
      <c r="R209" s="1">
        <f t="shared" si="1"/>
        <v>0.005663908884</v>
      </c>
      <c r="S209" s="1">
        <f t="shared" si="2"/>
        <v>-110</v>
      </c>
      <c r="T209" s="1">
        <f t="shared" si="3"/>
        <v>1.909090909</v>
      </c>
      <c r="U209" s="1">
        <f t="shared" si="4"/>
        <v>0</v>
      </c>
      <c r="V209" s="3">
        <f t="shared" si="5"/>
        <v>1</v>
      </c>
      <c r="W209" s="3">
        <f t="shared" si="6"/>
        <v>2</v>
      </c>
      <c r="X209" s="3" t="str">
        <f>IFERROR(__xludf.DUMMYFUNCTION("split(B209,"" "")"),"M.")</f>
        <v>M.</v>
      </c>
      <c r="Y209" s="3" t="str">
        <f>IFERROR(__xludf.DUMMYFUNCTION("""COMPUTED_VALUE"""),"Andrews")</f>
        <v>Andrews</v>
      </c>
      <c r="AA209" s="3">
        <v>51.0</v>
      </c>
      <c r="AB209" s="3">
        <f t="shared" si="7"/>
        <v>1</v>
      </c>
      <c r="AC209" s="3">
        <f t="shared" si="8"/>
        <v>0</v>
      </c>
      <c r="AD209" s="3">
        <f t="shared" si="9"/>
        <v>0.9090909091</v>
      </c>
      <c r="AE209" s="3">
        <f t="shared" si="10"/>
        <v>-1</v>
      </c>
      <c r="AF209" s="3">
        <f t="shared" si="11"/>
        <v>-2</v>
      </c>
      <c r="AG209" s="3">
        <f t="shared" si="12"/>
        <v>-0.2911392405</v>
      </c>
    </row>
    <row r="210">
      <c r="A210" s="1" t="s">
        <v>12</v>
      </c>
      <c r="B210" s="1" t="s">
        <v>418</v>
      </c>
      <c r="C210" s="1" t="s">
        <v>20</v>
      </c>
      <c r="D210" s="1" t="s">
        <v>77</v>
      </c>
      <c r="E210" s="1" t="s">
        <v>134</v>
      </c>
      <c r="F210" s="1" t="s">
        <v>455</v>
      </c>
      <c r="G210" s="1">
        <v>3.5</v>
      </c>
      <c r="H210" s="1" t="s">
        <v>60</v>
      </c>
      <c r="I210" s="1">
        <v>106.0</v>
      </c>
      <c r="J210" s="1">
        <v>-0.0690883495145631</v>
      </c>
      <c r="K210" s="1" t="s">
        <v>61</v>
      </c>
      <c r="L210" s="1" t="s">
        <v>61</v>
      </c>
      <c r="M210" s="1" t="s">
        <v>62</v>
      </c>
      <c r="N210" s="1">
        <v>-138.0</v>
      </c>
      <c r="O210" s="1">
        <v>0.00382605042016814</v>
      </c>
      <c r="P210" s="1" t="s">
        <v>61</v>
      </c>
      <c r="Q210" s="1" t="s">
        <v>61</v>
      </c>
      <c r="R210" s="1">
        <f t="shared" si="1"/>
        <v>0.00382605042</v>
      </c>
      <c r="S210" s="1">
        <f t="shared" si="2"/>
        <v>-138</v>
      </c>
      <c r="T210" s="1">
        <f t="shared" si="3"/>
        <v>1.724637681</v>
      </c>
      <c r="U210" s="1">
        <f t="shared" si="4"/>
        <v>0</v>
      </c>
      <c r="V210" s="3">
        <f t="shared" si="5"/>
        <v>1</v>
      </c>
      <c r="W210" s="3">
        <f t="shared" si="6"/>
        <v>3</v>
      </c>
      <c r="X210" s="3" t="str">
        <f>IFERROR(__xludf.DUMMYFUNCTION("split(B210,"" "")"),"M.")</f>
        <v>M.</v>
      </c>
      <c r="Y210" s="3" t="str">
        <f>IFERROR(__xludf.DUMMYFUNCTION("""COMPUTED_VALUE"""),"Andrews")</f>
        <v>Andrews</v>
      </c>
      <c r="AA210" s="3">
        <v>4.0</v>
      </c>
      <c r="AB210" s="3">
        <f t="shared" si="7"/>
        <v>1</v>
      </c>
      <c r="AC210" s="3">
        <f t="shared" si="8"/>
        <v>0</v>
      </c>
      <c r="AD210" s="3">
        <f t="shared" si="9"/>
        <v>0.7246376812</v>
      </c>
      <c r="AE210" s="3">
        <f t="shared" si="10"/>
        <v>-1</v>
      </c>
      <c r="AF210" s="3">
        <f t="shared" si="11"/>
        <v>-3</v>
      </c>
      <c r="AG210" s="3">
        <f t="shared" si="12"/>
        <v>-0.1428571429</v>
      </c>
    </row>
    <row r="211">
      <c r="A211" s="1" t="s">
        <v>9</v>
      </c>
      <c r="B211" s="1" t="s">
        <v>457</v>
      </c>
      <c r="C211" s="1" t="s">
        <v>18</v>
      </c>
      <c r="D211" s="1" t="s">
        <v>104</v>
      </c>
      <c r="E211" s="1" t="s">
        <v>94</v>
      </c>
      <c r="F211" s="1" t="s">
        <v>456</v>
      </c>
      <c r="G211" s="1">
        <v>15.5</v>
      </c>
      <c r="H211" s="1" t="s">
        <v>60</v>
      </c>
      <c r="I211" s="1">
        <v>-120.0</v>
      </c>
      <c r="J211" s="1">
        <v>0.100957976325638</v>
      </c>
      <c r="K211" s="1" t="s">
        <v>61</v>
      </c>
      <c r="L211" s="1" t="s">
        <v>61</v>
      </c>
      <c r="M211" s="1" t="s">
        <v>62</v>
      </c>
      <c r="N211" s="1">
        <v>-113.0</v>
      </c>
      <c r="O211" s="1">
        <v>-0.176914332932177</v>
      </c>
      <c r="P211" s="1" t="s">
        <v>61</v>
      </c>
      <c r="Q211" s="1" t="s">
        <v>61</v>
      </c>
      <c r="R211" s="1">
        <f t="shared" si="1"/>
        <v>0.1009579763</v>
      </c>
      <c r="S211" s="1">
        <f t="shared" si="2"/>
        <v>-120</v>
      </c>
      <c r="T211" s="1">
        <f t="shared" si="3"/>
        <v>1.833333333</v>
      </c>
      <c r="U211" s="1">
        <f t="shared" si="4"/>
        <v>1</v>
      </c>
      <c r="V211" s="3">
        <f t="shared" si="5"/>
        <v>3</v>
      </c>
      <c r="W211" s="3">
        <f t="shared" si="6"/>
        <v>3</v>
      </c>
      <c r="X211" s="3" t="str">
        <f>IFERROR(__xludf.DUMMYFUNCTION("split(B211,"" "")"),"M.")</f>
        <v>M.</v>
      </c>
      <c r="Y211" s="3" t="str">
        <f>IFERROR(__xludf.DUMMYFUNCTION("""COMPUTED_VALUE"""),"Hollins")</f>
        <v>Hollins</v>
      </c>
      <c r="AA211" s="3">
        <v>0.0</v>
      </c>
      <c r="AB211" s="3">
        <f t="shared" si="7"/>
        <v>0</v>
      </c>
      <c r="AC211" s="3">
        <f t="shared" si="8"/>
        <v>0</v>
      </c>
      <c r="AD211" s="3">
        <f t="shared" si="9"/>
        <v>2.5</v>
      </c>
      <c r="AE211" s="3">
        <f t="shared" si="10"/>
        <v>-3</v>
      </c>
      <c r="AF211" s="3">
        <f t="shared" si="11"/>
        <v>-3</v>
      </c>
      <c r="AG211" s="3">
        <f t="shared" si="12"/>
        <v>-1</v>
      </c>
    </row>
    <row r="212">
      <c r="A212" s="1" t="s">
        <v>12</v>
      </c>
      <c r="B212" s="1" t="s">
        <v>189</v>
      </c>
      <c r="C212" s="1" t="s">
        <v>18</v>
      </c>
      <c r="D212" s="1" t="s">
        <v>104</v>
      </c>
      <c r="E212" s="1" t="s">
        <v>94</v>
      </c>
      <c r="F212" s="1" t="s">
        <v>456</v>
      </c>
      <c r="G212" s="1">
        <v>3.5</v>
      </c>
      <c r="H212" s="1" t="s">
        <v>60</v>
      </c>
      <c r="I212" s="1">
        <v>-101.0</v>
      </c>
      <c r="J212" s="1">
        <v>-0.160687562189054</v>
      </c>
      <c r="K212" s="1" t="s">
        <v>61</v>
      </c>
      <c r="L212" s="1" t="s">
        <v>61</v>
      </c>
      <c r="M212" s="1" t="s">
        <v>62</v>
      </c>
      <c r="N212" s="1">
        <v>-130.0</v>
      </c>
      <c r="O212" s="1">
        <v>0.0929826086956521</v>
      </c>
      <c r="P212" s="1" t="s">
        <v>61</v>
      </c>
      <c r="Q212" s="1" t="s">
        <v>61</v>
      </c>
      <c r="R212" s="1">
        <f t="shared" si="1"/>
        <v>0.0929826087</v>
      </c>
      <c r="S212" s="1">
        <f t="shared" si="2"/>
        <v>-130</v>
      </c>
      <c r="T212" s="1">
        <f t="shared" si="3"/>
        <v>1.769230769</v>
      </c>
      <c r="U212" s="1">
        <f t="shared" si="4"/>
        <v>0</v>
      </c>
      <c r="V212" s="3">
        <f t="shared" si="5"/>
        <v>2</v>
      </c>
      <c r="W212" s="3">
        <f t="shared" si="6"/>
        <v>3</v>
      </c>
      <c r="X212" s="3" t="str">
        <f>IFERROR(__xludf.DUMMYFUNCTION("split(B212,"" "")"),"K.")</f>
        <v>K.</v>
      </c>
      <c r="Y212" s="3" t="str">
        <f>IFERROR(__xludf.DUMMYFUNCTION("""COMPUTED_VALUE"""),"Shakir")</f>
        <v>Shakir</v>
      </c>
      <c r="AA212" s="3">
        <v>5.0</v>
      </c>
      <c r="AB212" s="3">
        <f t="shared" si="7"/>
        <v>1</v>
      </c>
      <c r="AC212" s="3">
        <f t="shared" si="8"/>
        <v>0</v>
      </c>
      <c r="AD212" s="3">
        <f t="shared" si="9"/>
        <v>1.538461538</v>
      </c>
      <c r="AE212" s="3">
        <f t="shared" si="10"/>
        <v>-2</v>
      </c>
      <c r="AF212" s="3">
        <f t="shared" si="11"/>
        <v>-3</v>
      </c>
      <c r="AG212" s="3">
        <f t="shared" si="12"/>
        <v>-0.4285714286</v>
      </c>
    </row>
    <row r="213">
      <c r="A213" s="1" t="s">
        <v>9</v>
      </c>
      <c r="B213" s="1" t="s">
        <v>458</v>
      </c>
      <c r="C213" s="1" t="s">
        <v>19</v>
      </c>
      <c r="D213" s="1" t="s">
        <v>104</v>
      </c>
      <c r="E213" s="1" t="s">
        <v>94</v>
      </c>
      <c r="F213" s="1" t="s">
        <v>456</v>
      </c>
      <c r="G213" s="1">
        <v>83.5</v>
      </c>
      <c r="H213" s="1" t="s">
        <v>60</v>
      </c>
      <c r="I213" s="1">
        <v>-121.0</v>
      </c>
      <c r="J213" s="1">
        <v>-0.126279914873043</v>
      </c>
      <c r="K213" s="1" t="s">
        <v>61</v>
      </c>
      <c r="L213" s="1" t="s">
        <v>61</v>
      </c>
      <c r="M213" s="1" t="s">
        <v>62</v>
      </c>
      <c r="N213" s="1">
        <v>-110.0</v>
      </c>
      <c r="O213" s="1">
        <v>0.0549856538363654</v>
      </c>
      <c r="P213" s="1" t="s">
        <v>61</v>
      </c>
      <c r="Q213" s="1" t="s">
        <v>61</v>
      </c>
      <c r="R213" s="1">
        <f t="shared" si="1"/>
        <v>0.05498565384</v>
      </c>
      <c r="S213" s="1">
        <f t="shared" si="2"/>
        <v>-110</v>
      </c>
      <c r="T213" s="1">
        <f t="shared" si="3"/>
        <v>1.909090909</v>
      </c>
      <c r="U213" s="1">
        <f t="shared" si="4"/>
        <v>0</v>
      </c>
      <c r="V213" s="3">
        <f t="shared" si="5"/>
        <v>2</v>
      </c>
      <c r="W213" s="3">
        <f t="shared" si="6"/>
        <v>2</v>
      </c>
      <c r="X213" s="3" t="str">
        <f>IFERROR(__xludf.DUMMYFUNCTION("split(B213,"" "")"),"J.")</f>
        <v>J.</v>
      </c>
      <c r="Y213" s="3" t="str">
        <f>IFERROR(__xludf.DUMMYFUNCTION("""COMPUTED_VALUE"""),"Cook")</f>
        <v>Cook</v>
      </c>
      <c r="AA213" s="3">
        <v>95.0</v>
      </c>
      <c r="AB213" s="3">
        <f t="shared" si="7"/>
        <v>1</v>
      </c>
      <c r="AC213" s="3">
        <f t="shared" si="8"/>
        <v>0</v>
      </c>
      <c r="AD213" s="3">
        <f t="shared" si="9"/>
        <v>1.818181818</v>
      </c>
      <c r="AE213" s="3">
        <f t="shared" si="10"/>
        <v>-2</v>
      </c>
      <c r="AF213" s="3">
        <f t="shared" si="11"/>
        <v>-2</v>
      </c>
      <c r="AG213" s="3">
        <f t="shared" si="12"/>
        <v>-0.1377245509</v>
      </c>
    </row>
    <row r="214">
      <c r="A214" s="1" t="s">
        <v>10</v>
      </c>
      <c r="B214" s="1" t="s">
        <v>458</v>
      </c>
      <c r="C214" s="1" t="s">
        <v>19</v>
      </c>
      <c r="D214" s="1" t="s">
        <v>104</v>
      </c>
      <c r="E214" s="1" t="s">
        <v>94</v>
      </c>
      <c r="F214" s="1" t="s">
        <v>456</v>
      </c>
      <c r="G214" s="1">
        <v>61.5</v>
      </c>
      <c r="H214" s="1" t="s">
        <v>60</v>
      </c>
      <c r="I214" s="1">
        <v>-117.0</v>
      </c>
      <c r="J214" s="1">
        <v>-0.112658237751179</v>
      </c>
      <c r="K214" s="1" t="s">
        <v>61</v>
      </c>
      <c r="L214" s="1" t="s">
        <v>61</v>
      </c>
      <c r="M214" s="1" t="s">
        <v>62</v>
      </c>
      <c r="N214" s="1">
        <v>-113.0</v>
      </c>
      <c r="O214" s="1">
        <v>0.0429836958887855</v>
      </c>
      <c r="P214" s="1" t="s">
        <v>61</v>
      </c>
      <c r="Q214" s="1" t="s">
        <v>61</v>
      </c>
      <c r="R214" s="1">
        <f t="shared" si="1"/>
        <v>0.04298369589</v>
      </c>
      <c r="S214" s="1">
        <f t="shared" si="2"/>
        <v>-113</v>
      </c>
      <c r="T214" s="1">
        <f t="shared" si="3"/>
        <v>1.884955752</v>
      </c>
      <c r="U214" s="1">
        <f t="shared" si="4"/>
        <v>0</v>
      </c>
      <c r="V214" s="3">
        <f t="shared" si="5"/>
        <v>1</v>
      </c>
      <c r="W214" s="3">
        <f t="shared" si="6"/>
        <v>2</v>
      </c>
      <c r="X214" s="3" t="str">
        <f>IFERROR(__xludf.DUMMYFUNCTION("split(B214,"" "")"),"J.")</f>
        <v>J.</v>
      </c>
      <c r="Y214" s="3" t="str">
        <f>IFERROR(__xludf.DUMMYFUNCTION("""COMPUTED_VALUE"""),"Cook")</f>
        <v>Cook</v>
      </c>
      <c r="AA214" s="3">
        <v>78.0</v>
      </c>
      <c r="AB214" s="3">
        <f t="shared" si="7"/>
        <v>1</v>
      </c>
      <c r="AC214" s="3">
        <f t="shared" si="8"/>
        <v>0</v>
      </c>
      <c r="AD214" s="3">
        <f t="shared" si="9"/>
        <v>0.8849557522</v>
      </c>
      <c r="AE214" s="3">
        <f t="shared" si="10"/>
        <v>-1</v>
      </c>
      <c r="AF214" s="3">
        <f t="shared" si="11"/>
        <v>-2</v>
      </c>
      <c r="AG214" s="3">
        <f t="shared" si="12"/>
        <v>-0.2682926829</v>
      </c>
    </row>
    <row r="215">
      <c r="A215" s="1" t="s">
        <v>11</v>
      </c>
      <c r="B215" s="1" t="s">
        <v>189</v>
      </c>
      <c r="C215" s="1" t="s">
        <v>18</v>
      </c>
      <c r="D215" s="1" t="s">
        <v>104</v>
      </c>
      <c r="E215" s="1" t="s">
        <v>94</v>
      </c>
      <c r="F215" s="1" t="s">
        <v>456</v>
      </c>
      <c r="G215" s="1">
        <v>40.5</v>
      </c>
      <c r="H215" s="1" t="s">
        <v>60</v>
      </c>
      <c r="I215" s="1">
        <v>-117.0</v>
      </c>
      <c r="J215" s="1">
        <v>-0.104754096072857</v>
      </c>
      <c r="K215" s="1" t="s">
        <v>61</v>
      </c>
      <c r="L215" s="1" t="s">
        <v>61</v>
      </c>
      <c r="M215" s="1" t="s">
        <v>62</v>
      </c>
      <c r="N215" s="1">
        <v>-112.0</v>
      </c>
      <c r="O215" s="1">
        <v>0.0372934306607171</v>
      </c>
      <c r="P215" s="1" t="s">
        <v>61</v>
      </c>
      <c r="Q215" s="1" t="s">
        <v>61</v>
      </c>
      <c r="R215" s="1">
        <f t="shared" si="1"/>
        <v>0.03729343066</v>
      </c>
      <c r="S215" s="1">
        <f t="shared" si="2"/>
        <v>-112</v>
      </c>
      <c r="T215" s="1">
        <f t="shared" si="3"/>
        <v>1.892857143</v>
      </c>
      <c r="U215" s="1">
        <f t="shared" si="4"/>
        <v>0</v>
      </c>
      <c r="V215" s="3">
        <f t="shared" si="5"/>
        <v>1</v>
      </c>
      <c r="W215" s="3">
        <f t="shared" si="6"/>
        <v>2</v>
      </c>
      <c r="X215" s="3" t="str">
        <f>IFERROR(__xludf.DUMMYFUNCTION("split(B215,"" "")"),"K.")</f>
        <v>K.</v>
      </c>
      <c r="Y215" s="3" t="str">
        <f>IFERROR(__xludf.DUMMYFUNCTION("""COMPUTED_VALUE"""),"Shakir")</f>
        <v>Shakir</v>
      </c>
      <c r="AA215" s="3">
        <v>54.0</v>
      </c>
      <c r="AB215" s="3">
        <f t="shared" si="7"/>
        <v>1</v>
      </c>
      <c r="AC215" s="3">
        <f t="shared" si="8"/>
        <v>0</v>
      </c>
      <c r="AD215" s="3">
        <f t="shared" si="9"/>
        <v>0.8928571429</v>
      </c>
      <c r="AE215" s="3">
        <f t="shared" si="10"/>
        <v>-1</v>
      </c>
      <c r="AF215" s="3">
        <f t="shared" si="11"/>
        <v>-2</v>
      </c>
      <c r="AG215" s="3">
        <f t="shared" si="12"/>
        <v>-0.3333333333</v>
      </c>
    </row>
    <row r="216">
      <c r="A216" s="1" t="s">
        <v>15</v>
      </c>
      <c r="B216" s="1" t="s">
        <v>434</v>
      </c>
      <c r="C216" s="1" t="s">
        <v>21</v>
      </c>
      <c r="D216" s="1" t="s">
        <v>104</v>
      </c>
      <c r="E216" s="1" t="s">
        <v>94</v>
      </c>
      <c r="F216" s="1" t="s">
        <v>456</v>
      </c>
      <c r="G216" s="1">
        <v>22.5</v>
      </c>
      <c r="H216" s="1" t="s">
        <v>60</v>
      </c>
      <c r="I216" s="1">
        <v>101.0</v>
      </c>
      <c r="J216" s="1">
        <v>0.0321378109452735</v>
      </c>
      <c r="K216" s="1" t="s">
        <v>61</v>
      </c>
      <c r="L216" s="1" t="s">
        <v>61</v>
      </c>
      <c r="M216" s="1" t="s">
        <v>62</v>
      </c>
      <c r="N216" s="1">
        <v>-131.0</v>
      </c>
      <c r="O216" s="1">
        <v>-0.096756277056277</v>
      </c>
      <c r="P216" s="1" t="s">
        <v>61</v>
      </c>
      <c r="Q216" s="1" t="s">
        <v>61</v>
      </c>
      <c r="R216" s="1">
        <f t="shared" si="1"/>
        <v>0.03213781095</v>
      </c>
      <c r="S216" s="1">
        <f t="shared" si="2"/>
        <v>101</v>
      </c>
      <c r="T216" s="1">
        <f t="shared" si="3"/>
        <v>2.01</v>
      </c>
      <c r="U216" s="1">
        <f t="shared" si="4"/>
        <v>1</v>
      </c>
      <c r="V216" s="3">
        <f t="shared" si="5"/>
        <v>1</v>
      </c>
      <c r="W216" s="3">
        <f t="shared" si="6"/>
        <v>2</v>
      </c>
      <c r="X216" s="3" t="str">
        <f>IFERROR(__xludf.DUMMYFUNCTION("split(B216,"" "")"),"J.")</f>
        <v>J.</v>
      </c>
      <c r="Y216" s="3" t="str">
        <f>IFERROR(__xludf.DUMMYFUNCTION("""COMPUTED_VALUE"""),"Allen")</f>
        <v>Allen</v>
      </c>
      <c r="AA216" s="3">
        <v>13.0</v>
      </c>
      <c r="AB216" s="3">
        <f t="shared" si="7"/>
        <v>0</v>
      </c>
      <c r="AC216" s="3">
        <f t="shared" si="8"/>
        <v>0</v>
      </c>
      <c r="AD216" s="3">
        <f t="shared" si="9"/>
        <v>1.01</v>
      </c>
      <c r="AE216" s="3">
        <f t="shared" si="10"/>
        <v>-1</v>
      </c>
      <c r="AF216" s="3">
        <f t="shared" si="11"/>
        <v>-2</v>
      </c>
      <c r="AG216" s="3">
        <f t="shared" si="12"/>
        <v>-0.4222222222</v>
      </c>
    </row>
    <row r="217">
      <c r="A217" s="1" t="s">
        <v>11</v>
      </c>
      <c r="B217" s="1" t="s">
        <v>103</v>
      </c>
      <c r="C217" s="1" t="s">
        <v>18</v>
      </c>
      <c r="D217" s="1" t="s">
        <v>104</v>
      </c>
      <c r="E217" s="1" t="s">
        <v>94</v>
      </c>
      <c r="F217" s="1" t="s">
        <v>456</v>
      </c>
      <c r="G217" s="1">
        <v>17.5</v>
      </c>
      <c r="H217" s="1" t="s">
        <v>60</v>
      </c>
      <c r="I217" s="1">
        <v>-116.0</v>
      </c>
      <c r="J217" s="1">
        <v>0.00993479080070358</v>
      </c>
      <c r="K217" s="1" t="s">
        <v>61</v>
      </c>
      <c r="L217" s="1" t="s">
        <v>61</v>
      </c>
      <c r="M217" s="1" t="s">
        <v>62</v>
      </c>
      <c r="N217" s="1">
        <v>-113.0</v>
      </c>
      <c r="O217" s="1">
        <v>-0.0774841490076795</v>
      </c>
      <c r="P217" s="1" t="s">
        <v>61</v>
      </c>
      <c r="Q217" s="1" t="s">
        <v>61</v>
      </c>
      <c r="R217" s="1">
        <f t="shared" si="1"/>
        <v>0.009934790801</v>
      </c>
      <c r="S217" s="1">
        <f t="shared" si="2"/>
        <v>-116</v>
      </c>
      <c r="T217" s="1">
        <f t="shared" si="3"/>
        <v>1.862068966</v>
      </c>
      <c r="U217" s="1">
        <f t="shared" si="4"/>
        <v>1</v>
      </c>
      <c r="V217" s="3">
        <f t="shared" si="5"/>
        <v>1</v>
      </c>
      <c r="W217" s="3">
        <f t="shared" si="6"/>
        <v>2</v>
      </c>
      <c r="X217" s="3" t="str">
        <f>IFERROR(__xludf.DUMMYFUNCTION("split(B217,"" "")"),"C.")</f>
        <v>C.</v>
      </c>
      <c r="Y217" s="3" t="str">
        <f>IFERROR(__xludf.DUMMYFUNCTION("""COMPUTED_VALUE"""),"Samuel")</f>
        <v>Samuel</v>
      </c>
      <c r="AA217" s="3">
        <v>3.0</v>
      </c>
      <c r="AB217" s="3">
        <f t="shared" si="7"/>
        <v>0</v>
      </c>
      <c r="AC217" s="3">
        <f t="shared" si="8"/>
        <v>0</v>
      </c>
      <c r="AD217" s="3">
        <f t="shared" si="9"/>
        <v>0.8620689655</v>
      </c>
      <c r="AE217" s="3">
        <f t="shared" si="10"/>
        <v>-1</v>
      </c>
      <c r="AF217" s="3">
        <f t="shared" si="11"/>
        <v>-2</v>
      </c>
      <c r="AG217" s="3">
        <f t="shared" si="12"/>
        <v>-0.8285714286</v>
      </c>
    </row>
    <row r="218">
      <c r="A218" s="1" t="s">
        <v>12</v>
      </c>
      <c r="B218" s="1" t="s">
        <v>266</v>
      </c>
      <c r="C218" s="1" t="s">
        <v>19</v>
      </c>
      <c r="D218" s="1" t="s">
        <v>57</v>
      </c>
      <c r="E218" s="1" t="s">
        <v>135</v>
      </c>
      <c r="F218" s="1" t="s">
        <v>455</v>
      </c>
      <c r="G218" s="1">
        <v>1.5</v>
      </c>
      <c r="H218" s="1" t="s">
        <v>60</v>
      </c>
      <c r="I218" s="1">
        <v>-185.0</v>
      </c>
      <c r="J218" s="1">
        <v>-0.292851646954385</v>
      </c>
      <c r="K218" s="1" t="s">
        <v>61</v>
      </c>
      <c r="L218" s="1" t="s">
        <v>61</v>
      </c>
      <c r="M218" s="1" t="s">
        <v>62</v>
      </c>
      <c r="N218" s="1">
        <v>140.0</v>
      </c>
      <c r="O218" s="1">
        <v>0.227067580758333</v>
      </c>
      <c r="P218" s="1" t="s">
        <v>61</v>
      </c>
      <c r="Q218" s="1" t="s">
        <v>61</v>
      </c>
      <c r="R218" s="1">
        <f t="shared" si="1"/>
        <v>0.2270675808</v>
      </c>
      <c r="S218" s="1">
        <f t="shared" si="2"/>
        <v>140</v>
      </c>
      <c r="T218" s="1">
        <f t="shared" si="3"/>
        <v>2.4</v>
      </c>
      <c r="U218" s="1">
        <f t="shared" si="4"/>
        <v>0</v>
      </c>
      <c r="V218" s="3">
        <f t="shared" si="5"/>
        <v>3</v>
      </c>
      <c r="W218" s="3">
        <f t="shared" si="6"/>
        <v>1</v>
      </c>
      <c r="X218" s="3" t="str">
        <f>IFERROR(__xludf.DUMMYFUNCTION("split(B218,"" "")"),"C.")</f>
        <v>C.</v>
      </c>
      <c r="Y218" s="3" t="str">
        <f>IFERROR(__xludf.DUMMYFUNCTION("""COMPUTED_VALUE"""),"Hubbard")</f>
        <v>Hubbard</v>
      </c>
      <c r="AA218" s="3">
        <v>4.0</v>
      </c>
      <c r="AB218" s="3">
        <f t="shared" si="7"/>
        <v>1</v>
      </c>
      <c r="AC218" s="3">
        <f t="shared" si="8"/>
        <v>0</v>
      </c>
      <c r="AD218" s="3">
        <f t="shared" si="9"/>
        <v>4.2</v>
      </c>
      <c r="AE218" s="3">
        <f t="shared" si="10"/>
        <v>-3</v>
      </c>
      <c r="AF218" s="3">
        <f t="shared" si="11"/>
        <v>-1</v>
      </c>
      <c r="AG218" s="3">
        <f t="shared" si="12"/>
        <v>-1.666666667</v>
      </c>
    </row>
    <row r="219">
      <c r="A219" s="1" t="s">
        <v>17</v>
      </c>
      <c r="B219" s="1" t="s">
        <v>56</v>
      </c>
      <c r="C219" s="1" t="s">
        <v>21</v>
      </c>
      <c r="D219" s="1" t="s">
        <v>57</v>
      </c>
      <c r="E219" s="1" t="s">
        <v>135</v>
      </c>
      <c r="F219" s="1" t="s">
        <v>455</v>
      </c>
      <c r="G219" s="1">
        <v>0.5</v>
      </c>
      <c r="H219" s="1" t="s">
        <v>60</v>
      </c>
      <c r="I219" s="1">
        <v>-166.0</v>
      </c>
      <c r="J219" s="1">
        <v>-0.191060150375939</v>
      </c>
      <c r="K219" s="1" t="s">
        <v>61</v>
      </c>
      <c r="L219" s="1" t="s">
        <v>61</v>
      </c>
      <c r="M219" s="1" t="s">
        <v>62</v>
      </c>
      <c r="N219" s="1">
        <v>127.0</v>
      </c>
      <c r="O219" s="1">
        <v>0.126471365638766</v>
      </c>
      <c r="P219" s="1" t="s">
        <v>61</v>
      </c>
      <c r="Q219" s="1" t="s">
        <v>61</v>
      </c>
      <c r="R219" s="1">
        <f t="shared" si="1"/>
        <v>0.1264713656</v>
      </c>
      <c r="S219" s="1">
        <f t="shared" si="2"/>
        <v>127</v>
      </c>
      <c r="T219" s="1">
        <f t="shared" si="3"/>
        <v>2.27</v>
      </c>
      <c r="U219" s="1">
        <f t="shared" si="4"/>
        <v>0</v>
      </c>
      <c r="V219" s="3">
        <f t="shared" si="5"/>
        <v>3</v>
      </c>
      <c r="W219" s="3">
        <f t="shared" si="6"/>
        <v>1</v>
      </c>
      <c r="X219" s="3" t="str">
        <f>IFERROR(__xludf.DUMMYFUNCTION("split(B219,"" "")"),"B.")</f>
        <v>B.</v>
      </c>
      <c r="Y219" s="3" t="str">
        <f>IFERROR(__xludf.DUMMYFUNCTION("""COMPUTED_VALUE"""),"Young")</f>
        <v>Young</v>
      </c>
      <c r="AA219" s="3">
        <v>1.0</v>
      </c>
      <c r="AB219" s="3">
        <f t="shared" si="7"/>
        <v>1</v>
      </c>
      <c r="AC219" s="3">
        <f t="shared" si="8"/>
        <v>0</v>
      </c>
      <c r="AD219" s="3">
        <f t="shared" si="9"/>
        <v>3.81</v>
      </c>
      <c r="AE219" s="3">
        <f t="shared" si="10"/>
        <v>-3</v>
      </c>
      <c r="AF219" s="3">
        <f t="shared" si="11"/>
        <v>-1</v>
      </c>
      <c r="AG219" s="3">
        <f t="shared" si="12"/>
        <v>-1</v>
      </c>
    </row>
    <row r="220">
      <c r="A220" s="1" t="s">
        <v>8</v>
      </c>
      <c r="B220" s="1" t="s">
        <v>274</v>
      </c>
      <c r="C220" s="1" t="s">
        <v>21</v>
      </c>
      <c r="D220" s="1" t="s">
        <v>99</v>
      </c>
      <c r="E220" s="1" t="s">
        <v>72</v>
      </c>
      <c r="F220" s="1" t="s">
        <v>460</v>
      </c>
      <c r="G220" s="1">
        <v>4.5</v>
      </c>
      <c r="H220" s="1" t="s">
        <v>60</v>
      </c>
      <c r="I220" s="1">
        <v>-113.0</v>
      </c>
      <c r="J220" s="1">
        <v>-0.177201790746417</v>
      </c>
      <c r="K220" s="1" t="s">
        <v>61</v>
      </c>
      <c r="L220" s="1" t="s">
        <v>61</v>
      </c>
      <c r="M220" s="1" t="s">
        <v>62</v>
      </c>
      <c r="N220" s="1">
        <v>-117.0</v>
      </c>
      <c r="O220" s="1">
        <v>0.10752752199039</v>
      </c>
      <c r="P220" s="1" t="s">
        <v>61</v>
      </c>
      <c r="Q220" s="1" t="s">
        <v>61</v>
      </c>
      <c r="R220" s="1">
        <f t="shared" si="1"/>
        <v>0.107527522</v>
      </c>
      <c r="S220" s="1">
        <f t="shared" si="2"/>
        <v>-117</v>
      </c>
      <c r="T220" s="1">
        <f t="shared" si="3"/>
        <v>1.854700855</v>
      </c>
      <c r="U220" s="1">
        <f t="shared" si="4"/>
        <v>0</v>
      </c>
      <c r="V220" s="3">
        <f t="shared" si="5"/>
        <v>3</v>
      </c>
      <c r="W220" s="3">
        <f t="shared" si="6"/>
        <v>2</v>
      </c>
      <c r="X220" s="3" t="str">
        <f>IFERROR(__xludf.DUMMYFUNCTION("split(B220,"" "")"),"C.")</f>
        <v>C.</v>
      </c>
      <c r="Y220" s="3" t="str">
        <f>IFERROR(__xludf.DUMMYFUNCTION("""COMPUTED_VALUE"""),"Williams")</f>
        <v>Williams</v>
      </c>
      <c r="AA220" s="3">
        <v>5.0</v>
      </c>
      <c r="AB220" s="3">
        <f t="shared" si="7"/>
        <v>1</v>
      </c>
      <c r="AC220" s="3">
        <f t="shared" si="8"/>
        <v>0</v>
      </c>
      <c r="AD220" s="3">
        <f t="shared" si="9"/>
        <v>2.564102564</v>
      </c>
      <c r="AE220" s="3">
        <f t="shared" si="10"/>
        <v>-3</v>
      </c>
      <c r="AF220" s="3">
        <f t="shared" si="11"/>
        <v>-2</v>
      </c>
      <c r="AG220" s="3">
        <f t="shared" si="12"/>
        <v>-0.1111111111</v>
      </c>
    </row>
    <row r="221">
      <c r="A221" s="1" t="s">
        <v>12</v>
      </c>
      <c r="B221" s="1" t="s">
        <v>98</v>
      </c>
      <c r="C221" s="1" t="s">
        <v>19</v>
      </c>
      <c r="D221" s="1" t="s">
        <v>99</v>
      </c>
      <c r="E221" s="1" t="s">
        <v>72</v>
      </c>
      <c r="F221" s="1" t="s">
        <v>460</v>
      </c>
      <c r="G221" s="1">
        <v>2.5</v>
      </c>
      <c r="H221" s="1" t="s">
        <v>60</v>
      </c>
      <c r="I221" s="1">
        <v>121.0</v>
      </c>
      <c r="J221" s="1">
        <v>-0.165629077324434</v>
      </c>
      <c r="K221" s="1" t="s">
        <v>61</v>
      </c>
      <c r="L221" s="1" t="s">
        <v>61</v>
      </c>
      <c r="M221" s="1" t="s">
        <v>62</v>
      </c>
      <c r="N221" s="1">
        <v>-159.0</v>
      </c>
      <c r="O221" s="1">
        <v>0.0992335475957527</v>
      </c>
      <c r="P221" s="1" t="s">
        <v>61</v>
      </c>
      <c r="Q221" s="1" t="s">
        <v>61</v>
      </c>
      <c r="R221" s="1">
        <f t="shared" si="1"/>
        <v>0.0992335476</v>
      </c>
      <c r="S221" s="1">
        <f t="shared" si="2"/>
        <v>-159</v>
      </c>
      <c r="T221" s="1">
        <f t="shared" si="3"/>
        <v>1.628930818</v>
      </c>
      <c r="U221" s="1">
        <f t="shared" si="4"/>
        <v>0</v>
      </c>
      <c r="V221" s="3">
        <f t="shared" si="5"/>
        <v>2</v>
      </c>
      <c r="W221" s="3">
        <f t="shared" si="6"/>
        <v>3</v>
      </c>
      <c r="X221" s="3" t="str">
        <f>IFERROR(__xludf.DUMMYFUNCTION("split(B221,"" "")"),"D.")</f>
        <v>D.</v>
      </c>
      <c r="Y221" s="3" t="str">
        <f>IFERROR(__xludf.DUMMYFUNCTION("""COMPUTED_VALUE"""),"Swift")</f>
        <v>Swift</v>
      </c>
      <c r="AA221" s="3">
        <v>4.0</v>
      </c>
      <c r="AB221" s="3">
        <f t="shared" si="7"/>
        <v>1</v>
      </c>
      <c r="AC221" s="3">
        <f t="shared" si="8"/>
        <v>0</v>
      </c>
      <c r="AD221" s="3">
        <f t="shared" si="9"/>
        <v>1.257861635</v>
      </c>
      <c r="AE221" s="3">
        <f t="shared" si="10"/>
        <v>-2</v>
      </c>
      <c r="AF221" s="3">
        <f t="shared" si="11"/>
        <v>-3</v>
      </c>
      <c r="AG221" s="3">
        <f t="shared" si="12"/>
        <v>-0.6</v>
      </c>
    </row>
    <row r="222">
      <c r="A222" s="1" t="s">
        <v>17</v>
      </c>
      <c r="B222" s="1" t="s">
        <v>274</v>
      </c>
      <c r="C222" s="1" t="s">
        <v>21</v>
      </c>
      <c r="D222" s="1" t="s">
        <v>99</v>
      </c>
      <c r="E222" s="1" t="s">
        <v>72</v>
      </c>
      <c r="F222" s="1" t="s">
        <v>460</v>
      </c>
      <c r="G222" s="1">
        <v>0.5</v>
      </c>
      <c r="H222" s="1" t="s">
        <v>60</v>
      </c>
      <c r="I222" s="1">
        <v>-161.0</v>
      </c>
      <c r="J222" s="1">
        <v>-0.161296551724138</v>
      </c>
      <c r="K222" s="1" t="s">
        <v>61</v>
      </c>
      <c r="L222" s="1" t="s">
        <v>61</v>
      </c>
      <c r="M222" s="1" t="s">
        <v>62</v>
      </c>
      <c r="N222" s="1">
        <v>122.0</v>
      </c>
      <c r="O222" s="1">
        <v>0.0939945945945945</v>
      </c>
      <c r="P222" s="1" t="s">
        <v>61</v>
      </c>
      <c r="Q222" s="1" t="s">
        <v>61</v>
      </c>
      <c r="R222" s="1">
        <f t="shared" si="1"/>
        <v>0.09399459459</v>
      </c>
      <c r="S222" s="1">
        <f t="shared" si="2"/>
        <v>122</v>
      </c>
      <c r="T222" s="1">
        <f t="shared" si="3"/>
        <v>2.22</v>
      </c>
      <c r="U222" s="1">
        <f t="shared" si="4"/>
        <v>0</v>
      </c>
      <c r="V222" s="3">
        <f t="shared" si="5"/>
        <v>2</v>
      </c>
      <c r="W222" s="3">
        <f t="shared" si="6"/>
        <v>1</v>
      </c>
      <c r="X222" s="3" t="str">
        <f>IFERROR(__xludf.DUMMYFUNCTION("split(B222,"" "")"),"C.")</f>
        <v>C.</v>
      </c>
      <c r="Y222" s="3" t="str">
        <f>IFERROR(__xludf.DUMMYFUNCTION("""COMPUTED_VALUE"""),"Williams")</f>
        <v>Williams</v>
      </c>
      <c r="AA222" s="3">
        <v>2.0</v>
      </c>
      <c r="AB222" s="3">
        <f t="shared" si="7"/>
        <v>1</v>
      </c>
      <c r="AC222" s="3">
        <f t="shared" si="8"/>
        <v>0</v>
      </c>
      <c r="AD222" s="3">
        <f t="shared" si="9"/>
        <v>2.44</v>
      </c>
      <c r="AE222" s="3">
        <f t="shared" si="10"/>
        <v>-2</v>
      </c>
      <c r="AF222" s="3">
        <f t="shared" si="11"/>
        <v>-1</v>
      </c>
      <c r="AG222" s="3">
        <f t="shared" si="12"/>
        <v>-3</v>
      </c>
    </row>
    <row r="223">
      <c r="A223" s="1" t="s">
        <v>15</v>
      </c>
      <c r="B223" s="1" t="s">
        <v>274</v>
      </c>
      <c r="C223" s="1" t="s">
        <v>21</v>
      </c>
      <c r="D223" s="1" t="s">
        <v>99</v>
      </c>
      <c r="E223" s="1" t="s">
        <v>72</v>
      </c>
      <c r="F223" s="1" t="s">
        <v>460</v>
      </c>
      <c r="G223" s="1">
        <v>20.5</v>
      </c>
      <c r="H223" s="1" t="s">
        <v>60</v>
      </c>
      <c r="I223" s="1">
        <v>-120.0</v>
      </c>
      <c r="J223" s="1">
        <v>-0.111052420772727</v>
      </c>
      <c r="K223" s="1" t="s">
        <v>61</v>
      </c>
      <c r="L223" s="1" t="s">
        <v>61</v>
      </c>
      <c r="M223" s="1" t="s">
        <v>62</v>
      </c>
      <c r="N223" s="1">
        <v>-110.0</v>
      </c>
      <c r="O223" s="1">
        <v>0.041788027747619</v>
      </c>
      <c r="P223" s="1" t="s">
        <v>61</v>
      </c>
      <c r="Q223" s="1" t="s">
        <v>61</v>
      </c>
      <c r="R223" s="1">
        <f t="shared" si="1"/>
        <v>0.04178802775</v>
      </c>
      <c r="S223" s="1">
        <f t="shared" si="2"/>
        <v>-110</v>
      </c>
      <c r="T223" s="1">
        <f t="shared" si="3"/>
        <v>1.909090909</v>
      </c>
      <c r="U223" s="1">
        <f t="shared" si="4"/>
        <v>0</v>
      </c>
      <c r="V223" s="3">
        <f t="shared" si="5"/>
        <v>1</v>
      </c>
      <c r="W223" s="3">
        <f t="shared" si="6"/>
        <v>2</v>
      </c>
      <c r="X223" s="3" t="str">
        <f>IFERROR(__xludf.DUMMYFUNCTION("split(B223,"" "")"),"C.")</f>
        <v>C.</v>
      </c>
      <c r="Y223" s="3" t="str">
        <f>IFERROR(__xludf.DUMMYFUNCTION("""COMPUTED_VALUE"""),"Williams")</f>
        <v>Williams</v>
      </c>
      <c r="AA223" s="3">
        <v>23.0</v>
      </c>
      <c r="AB223" s="3">
        <f t="shared" si="7"/>
        <v>1</v>
      </c>
      <c r="AC223" s="3">
        <f t="shared" si="8"/>
        <v>0</v>
      </c>
      <c r="AD223" s="3">
        <f t="shared" si="9"/>
        <v>0.9090909091</v>
      </c>
      <c r="AE223" s="3">
        <f t="shared" si="10"/>
        <v>-1</v>
      </c>
      <c r="AF223" s="3">
        <f t="shared" si="11"/>
        <v>-2</v>
      </c>
      <c r="AG223" s="3">
        <f t="shared" si="12"/>
        <v>-0.1219512195</v>
      </c>
    </row>
    <row r="224">
      <c r="A224" s="1" t="s">
        <v>10</v>
      </c>
      <c r="B224" s="1" t="s">
        <v>274</v>
      </c>
      <c r="C224" s="1" t="s">
        <v>21</v>
      </c>
      <c r="D224" s="1" t="s">
        <v>99</v>
      </c>
      <c r="E224" s="1" t="s">
        <v>72</v>
      </c>
      <c r="F224" s="1" t="s">
        <v>460</v>
      </c>
      <c r="G224" s="1">
        <v>18.5</v>
      </c>
      <c r="H224" s="1" t="s">
        <v>60</v>
      </c>
      <c r="I224" s="1">
        <v>-110.0</v>
      </c>
      <c r="J224" s="1">
        <v>-0.104695418770136</v>
      </c>
      <c r="K224" s="1" t="s">
        <v>61</v>
      </c>
      <c r="L224" s="1" t="s">
        <v>61</v>
      </c>
      <c r="M224" s="1" t="s">
        <v>62</v>
      </c>
      <c r="N224" s="1">
        <v>-119.0</v>
      </c>
      <c r="O224" s="1">
        <v>0.037533128541813</v>
      </c>
      <c r="P224" s="1" t="s">
        <v>61</v>
      </c>
      <c r="Q224" s="1" t="s">
        <v>61</v>
      </c>
      <c r="R224" s="1">
        <f t="shared" si="1"/>
        <v>0.03753312854</v>
      </c>
      <c r="S224" s="1">
        <f t="shared" si="2"/>
        <v>-119</v>
      </c>
      <c r="T224" s="1">
        <f t="shared" si="3"/>
        <v>1.840336134</v>
      </c>
      <c r="U224" s="1">
        <f t="shared" si="4"/>
        <v>0</v>
      </c>
      <c r="V224" s="3">
        <f t="shared" si="5"/>
        <v>1</v>
      </c>
      <c r="W224" s="3">
        <f t="shared" si="6"/>
        <v>3</v>
      </c>
      <c r="X224" s="3" t="str">
        <f>IFERROR(__xludf.DUMMYFUNCTION("split(B224,"" "")"),"C.")</f>
        <v>C.</v>
      </c>
      <c r="Y224" s="3" t="str">
        <f>IFERROR(__xludf.DUMMYFUNCTION("""COMPUTED_VALUE"""),"Williams")</f>
        <v>Williams</v>
      </c>
      <c r="AA224" s="3">
        <v>44.0</v>
      </c>
      <c r="AB224" s="3">
        <f t="shared" si="7"/>
        <v>1</v>
      </c>
      <c r="AC224" s="3">
        <f t="shared" si="8"/>
        <v>0</v>
      </c>
      <c r="AD224" s="3">
        <f t="shared" si="9"/>
        <v>0.8403361345</v>
      </c>
      <c r="AE224" s="3">
        <f t="shared" si="10"/>
        <v>-1</v>
      </c>
      <c r="AF224" s="3">
        <f t="shared" si="11"/>
        <v>-3</v>
      </c>
      <c r="AG224" s="3">
        <f t="shared" si="12"/>
        <v>-1.378378378</v>
      </c>
    </row>
    <row r="225">
      <c r="A225" s="1" t="s">
        <v>8</v>
      </c>
      <c r="B225" s="1" t="s">
        <v>98</v>
      </c>
      <c r="C225" s="1" t="s">
        <v>19</v>
      </c>
      <c r="D225" s="1" t="s">
        <v>99</v>
      </c>
      <c r="E225" s="1" t="s">
        <v>72</v>
      </c>
      <c r="F225" s="1" t="s">
        <v>460</v>
      </c>
      <c r="G225" s="1">
        <v>10.5</v>
      </c>
      <c r="H225" s="1" t="s">
        <v>60</v>
      </c>
      <c r="I225" s="1">
        <v>-140.0</v>
      </c>
      <c r="J225" s="1">
        <v>-0.0912747475261666</v>
      </c>
      <c r="K225" s="1" t="s">
        <v>61</v>
      </c>
      <c r="L225" s="1" t="s">
        <v>61</v>
      </c>
      <c r="M225" s="1" t="s">
        <v>62</v>
      </c>
      <c r="N225" s="1">
        <v>109.0</v>
      </c>
      <c r="O225" s="1">
        <v>0.0294786574463157</v>
      </c>
      <c r="P225" s="1" t="s">
        <v>61</v>
      </c>
      <c r="Q225" s="1" t="s">
        <v>61</v>
      </c>
      <c r="R225" s="1">
        <f t="shared" si="1"/>
        <v>0.02947865745</v>
      </c>
      <c r="S225" s="1">
        <f t="shared" si="2"/>
        <v>109</v>
      </c>
      <c r="T225" s="1">
        <f t="shared" si="3"/>
        <v>2.09</v>
      </c>
      <c r="U225" s="1">
        <f t="shared" si="4"/>
        <v>0</v>
      </c>
      <c r="V225" s="3">
        <f t="shared" si="5"/>
        <v>1</v>
      </c>
      <c r="W225" s="3">
        <f t="shared" si="6"/>
        <v>2</v>
      </c>
      <c r="X225" s="3" t="str">
        <f>IFERROR(__xludf.DUMMYFUNCTION("split(B225,"" "")"),"D.")</f>
        <v>D.</v>
      </c>
      <c r="Y225" s="3" t="str">
        <f>IFERROR(__xludf.DUMMYFUNCTION("""COMPUTED_VALUE"""),"Swift")</f>
        <v>Swift</v>
      </c>
      <c r="AA225" s="3">
        <v>14.0</v>
      </c>
      <c r="AB225" s="3">
        <f t="shared" si="7"/>
        <v>1</v>
      </c>
      <c r="AC225" s="3">
        <f t="shared" si="8"/>
        <v>0</v>
      </c>
      <c r="AD225" s="3">
        <f t="shared" si="9"/>
        <v>1.09</v>
      </c>
      <c r="AE225" s="3">
        <f t="shared" si="10"/>
        <v>-1</v>
      </c>
      <c r="AF225" s="3">
        <f t="shared" si="11"/>
        <v>-2</v>
      </c>
      <c r="AG225" s="3">
        <f t="shared" si="12"/>
        <v>-0.3333333333</v>
      </c>
    </row>
    <row r="226">
      <c r="A226" s="1" t="s">
        <v>16</v>
      </c>
      <c r="B226" s="1" t="s">
        <v>274</v>
      </c>
      <c r="C226" s="1" t="s">
        <v>21</v>
      </c>
      <c r="D226" s="1" t="s">
        <v>99</v>
      </c>
      <c r="E226" s="1" t="s">
        <v>72</v>
      </c>
      <c r="F226" s="1" t="s">
        <v>460</v>
      </c>
      <c r="G226" s="1">
        <v>34.5</v>
      </c>
      <c r="H226" s="1" t="s">
        <v>60</v>
      </c>
      <c r="I226" s="1">
        <v>-103.0</v>
      </c>
      <c r="J226" s="1">
        <v>-0.0813910099655171</v>
      </c>
      <c r="K226" s="1" t="s">
        <v>61</v>
      </c>
      <c r="L226" s="1" t="s">
        <v>61</v>
      </c>
      <c r="M226" s="1" t="s">
        <v>62</v>
      </c>
      <c r="N226" s="1">
        <v>-128.0</v>
      </c>
      <c r="O226" s="1">
        <v>0.0125980881578946</v>
      </c>
      <c r="P226" s="1" t="s">
        <v>61</v>
      </c>
      <c r="Q226" s="1" t="s">
        <v>61</v>
      </c>
      <c r="R226" s="1">
        <f t="shared" si="1"/>
        <v>0.01259808816</v>
      </c>
      <c r="S226" s="1">
        <f t="shared" si="2"/>
        <v>-128</v>
      </c>
      <c r="T226" s="1">
        <f t="shared" si="3"/>
        <v>1.78125</v>
      </c>
      <c r="U226" s="1">
        <f t="shared" si="4"/>
        <v>0</v>
      </c>
      <c r="V226" s="3">
        <f t="shared" si="5"/>
        <v>1</v>
      </c>
      <c r="W226" s="3">
        <f t="shared" si="6"/>
        <v>3</v>
      </c>
      <c r="X226" s="3" t="str">
        <f>IFERROR(__xludf.DUMMYFUNCTION("split(B226,"" "")"),"C.")</f>
        <v>C.</v>
      </c>
      <c r="Y226" s="3" t="str">
        <f>IFERROR(__xludf.DUMMYFUNCTION("""COMPUTED_VALUE"""),"Williams")</f>
        <v>Williams</v>
      </c>
      <c r="AA226" s="3">
        <v>37.0</v>
      </c>
      <c r="AB226" s="3">
        <f t="shared" si="7"/>
        <v>1</v>
      </c>
      <c r="AC226" s="3">
        <f t="shared" si="8"/>
        <v>0</v>
      </c>
      <c r="AD226" s="3">
        <f t="shared" si="9"/>
        <v>0.78125</v>
      </c>
      <c r="AE226" s="3">
        <f t="shared" si="10"/>
        <v>-1</v>
      </c>
      <c r="AF226" s="3">
        <f t="shared" si="11"/>
        <v>-3</v>
      </c>
      <c r="AG226" s="3">
        <f t="shared" si="12"/>
        <v>-0.07246376812</v>
      </c>
    </row>
    <row r="227">
      <c r="A227" s="1" t="s">
        <v>14</v>
      </c>
      <c r="B227" s="1" t="s">
        <v>274</v>
      </c>
      <c r="C227" s="1" t="s">
        <v>21</v>
      </c>
      <c r="D227" s="1" t="s">
        <v>99</v>
      </c>
      <c r="E227" s="1" t="s">
        <v>72</v>
      </c>
      <c r="F227" s="1" t="s">
        <v>460</v>
      </c>
      <c r="G227" s="1">
        <v>1.5</v>
      </c>
      <c r="H227" s="1" t="s">
        <v>60</v>
      </c>
      <c r="I227" s="1">
        <v>160.0</v>
      </c>
      <c r="J227" s="1">
        <v>0.0104846153846154</v>
      </c>
      <c r="K227" s="1" t="s">
        <v>61</v>
      </c>
      <c r="L227" s="1" t="s">
        <v>61</v>
      </c>
      <c r="M227" s="1" t="s">
        <v>62</v>
      </c>
      <c r="N227" s="1">
        <v>-215.0</v>
      </c>
      <c r="O227" s="1">
        <v>-0.0776396825396825</v>
      </c>
      <c r="P227" s="1" t="s">
        <v>61</v>
      </c>
      <c r="Q227" s="1" t="s">
        <v>61</v>
      </c>
      <c r="R227" s="1">
        <f t="shared" si="1"/>
        <v>0.01048461538</v>
      </c>
      <c r="S227" s="1">
        <f t="shared" si="2"/>
        <v>160</v>
      </c>
      <c r="T227" s="1">
        <f t="shared" si="3"/>
        <v>2.6</v>
      </c>
      <c r="U227" s="1">
        <f t="shared" si="4"/>
        <v>1</v>
      </c>
      <c r="V227" s="3">
        <f t="shared" si="5"/>
        <v>1</v>
      </c>
      <c r="W227" s="3">
        <f t="shared" si="6"/>
        <v>1</v>
      </c>
      <c r="X227" s="3" t="str">
        <f>IFERROR(__xludf.DUMMYFUNCTION("split(B227,"" "")"),"C.")</f>
        <v>C.</v>
      </c>
      <c r="Y227" s="3" t="str">
        <f>IFERROR(__xludf.DUMMYFUNCTION("""COMPUTED_VALUE"""),"Williams")</f>
        <v>Williams</v>
      </c>
      <c r="AA227" s="3">
        <v>0.0</v>
      </c>
      <c r="AB227" s="3">
        <f t="shared" si="7"/>
        <v>0</v>
      </c>
      <c r="AC227" s="3">
        <f t="shared" si="8"/>
        <v>0</v>
      </c>
      <c r="AD227" s="3">
        <f t="shared" si="9"/>
        <v>1.6</v>
      </c>
      <c r="AE227" s="3">
        <f t="shared" si="10"/>
        <v>-1</v>
      </c>
      <c r="AF227" s="3">
        <f t="shared" si="11"/>
        <v>-1</v>
      </c>
      <c r="AG227" s="3">
        <f t="shared" si="12"/>
        <v>-1</v>
      </c>
    </row>
    <row r="228">
      <c r="A228" s="1" t="s">
        <v>12</v>
      </c>
      <c r="B228" s="1" t="s">
        <v>389</v>
      </c>
      <c r="C228" s="1" t="s">
        <v>18</v>
      </c>
      <c r="D228" s="1" t="s">
        <v>67</v>
      </c>
      <c r="E228" s="1" t="s">
        <v>76</v>
      </c>
      <c r="F228" s="1" t="s">
        <v>461</v>
      </c>
      <c r="G228" s="1">
        <v>6.5</v>
      </c>
      <c r="H228" s="1" t="s">
        <v>60</v>
      </c>
      <c r="I228" s="1">
        <v>-104.0</v>
      </c>
      <c r="J228" s="1">
        <v>0.146294117647058</v>
      </c>
      <c r="K228" s="1" t="s">
        <v>61</v>
      </c>
      <c r="L228" s="1" t="s">
        <v>61</v>
      </c>
      <c r="M228" s="1" t="s">
        <v>62</v>
      </c>
      <c r="N228" s="1">
        <v>-127.0</v>
      </c>
      <c r="O228" s="1">
        <v>-0.215583259911894</v>
      </c>
      <c r="P228" s="1" t="s">
        <v>61</v>
      </c>
      <c r="Q228" s="1" t="s">
        <v>61</v>
      </c>
      <c r="R228" s="1">
        <f t="shared" si="1"/>
        <v>0.1462941176</v>
      </c>
      <c r="S228" s="1">
        <f t="shared" si="2"/>
        <v>-104</v>
      </c>
      <c r="T228" s="1">
        <f t="shared" si="3"/>
        <v>1.961538462</v>
      </c>
      <c r="U228" s="1">
        <f t="shared" si="4"/>
        <v>1</v>
      </c>
      <c r="V228" s="3">
        <f t="shared" si="5"/>
        <v>3</v>
      </c>
      <c r="W228" s="3">
        <f t="shared" si="6"/>
        <v>2</v>
      </c>
      <c r="X228" s="3" t="str">
        <f>IFERROR(__xludf.DUMMYFUNCTION("split(B228,"" "")"),"J.")</f>
        <v>J.</v>
      </c>
      <c r="Y228" s="3" t="str">
        <f>IFERROR(__xludf.DUMMYFUNCTION("""COMPUTED_VALUE"""),"Chase")</f>
        <v>Chase</v>
      </c>
      <c r="AA228" s="3">
        <v>4.0</v>
      </c>
      <c r="AB228" s="3">
        <f t="shared" si="7"/>
        <v>0</v>
      </c>
      <c r="AC228" s="3">
        <f t="shared" si="8"/>
        <v>0</v>
      </c>
      <c r="AD228" s="3">
        <f t="shared" si="9"/>
        <v>2.884615385</v>
      </c>
      <c r="AE228" s="3">
        <f t="shared" si="10"/>
        <v>-3</v>
      </c>
      <c r="AF228" s="3">
        <f t="shared" si="11"/>
        <v>-2</v>
      </c>
      <c r="AG228" s="3">
        <f t="shared" si="12"/>
        <v>-0.3846153846</v>
      </c>
    </row>
    <row r="229">
      <c r="A229" s="1" t="s">
        <v>11</v>
      </c>
      <c r="B229" s="1" t="s">
        <v>504</v>
      </c>
      <c r="C229" s="1" t="s">
        <v>20</v>
      </c>
      <c r="D229" s="1" t="s">
        <v>67</v>
      </c>
      <c r="E229" s="1" t="s">
        <v>76</v>
      </c>
      <c r="F229" s="1" t="s">
        <v>461</v>
      </c>
      <c r="G229" s="1">
        <v>21.5</v>
      </c>
      <c r="H229" s="1" t="s">
        <v>60</v>
      </c>
      <c r="I229" s="1">
        <v>-110.0</v>
      </c>
      <c r="J229" s="1">
        <v>-0.0757679913074286</v>
      </c>
      <c r="K229" s="1" t="s">
        <v>61</v>
      </c>
      <c r="L229" s="1" t="s">
        <v>61</v>
      </c>
      <c r="M229" s="1" t="s">
        <v>62</v>
      </c>
      <c r="N229" s="1">
        <v>-120.0</v>
      </c>
      <c r="O229" s="1">
        <v>0.0065269718612364</v>
      </c>
      <c r="P229" s="1" t="s">
        <v>61</v>
      </c>
      <c r="Q229" s="1" t="s">
        <v>61</v>
      </c>
      <c r="R229" s="1">
        <f t="shared" si="1"/>
        <v>0.006526971861</v>
      </c>
      <c r="S229" s="1">
        <f t="shared" si="2"/>
        <v>-120</v>
      </c>
      <c r="T229" s="1">
        <f t="shared" si="3"/>
        <v>1.833333333</v>
      </c>
      <c r="U229" s="1">
        <f t="shared" si="4"/>
        <v>0</v>
      </c>
      <c r="V229" s="3">
        <f t="shared" si="5"/>
        <v>1</v>
      </c>
      <c r="W229" s="3">
        <f t="shared" si="6"/>
        <v>3</v>
      </c>
      <c r="X229" s="3" t="str">
        <f>IFERROR(__xludf.DUMMYFUNCTION("split(B229,"" "")"),"M.")</f>
        <v>M.</v>
      </c>
      <c r="Y229" s="3" t="str">
        <f>IFERROR(__xludf.DUMMYFUNCTION("""COMPUTED_VALUE"""),"Gesicki")</f>
        <v>Gesicki</v>
      </c>
      <c r="AA229" s="3">
        <v>91.0</v>
      </c>
      <c r="AB229" s="3">
        <f t="shared" si="7"/>
        <v>1</v>
      </c>
      <c r="AC229" s="3">
        <f t="shared" si="8"/>
        <v>0</v>
      </c>
      <c r="AD229" s="3">
        <f t="shared" si="9"/>
        <v>0.8333333333</v>
      </c>
      <c r="AE229" s="3">
        <f t="shared" si="10"/>
        <v>-1</v>
      </c>
      <c r="AF229" s="3">
        <f t="shared" si="11"/>
        <v>-3</v>
      </c>
      <c r="AG229" s="3">
        <f t="shared" si="12"/>
        <v>-3.23255814</v>
      </c>
    </row>
    <row r="230">
      <c r="A230" s="1" t="s">
        <v>12</v>
      </c>
      <c r="B230" s="1" t="s">
        <v>299</v>
      </c>
      <c r="C230" s="1" t="s">
        <v>18</v>
      </c>
      <c r="D230" s="1" t="s">
        <v>89</v>
      </c>
      <c r="E230" s="1" t="s">
        <v>93</v>
      </c>
      <c r="F230" s="1" t="s">
        <v>455</v>
      </c>
      <c r="G230" s="1">
        <v>3.5</v>
      </c>
      <c r="H230" s="1" t="s">
        <v>60</v>
      </c>
      <c r="I230" s="1">
        <v>-129.0</v>
      </c>
      <c r="J230" s="1">
        <v>-0.220175109170305</v>
      </c>
      <c r="K230" s="1" t="s">
        <v>61</v>
      </c>
      <c r="L230" s="1" t="s">
        <v>61</v>
      </c>
      <c r="M230" s="1" t="s">
        <v>62</v>
      </c>
      <c r="N230" s="1">
        <v>-101.0</v>
      </c>
      <c r="O230" s="1">
        <v>0.154362189054726</v>
      </c>
      <c r="P230" s="1" t="s">
        <v>61</v>
      </c>
      <c r="Q230" s="1" t="s">
        <v>61</v>
      </c>
      <c r="R230" s="1">
        <f t="shared" si="1"/>
        <v>0.1543621891</v>
      </c>
      <c r="S230" s="1">
        <f t="shared" si="2"/>
        <v>-101</v>
      </c>
      <c r="T230" s="1">
        <f t="shared" si="3"/>
        <v>1.99009901</v>
      </c>
      <c r="U230" s="1">
        <f t="shared" si="4"/>
        <v>0</v>
      </c>
      <c r="V230" s="3">
        <f t="shared" si="5"/>
        <v>3</v>
      </c>
      <c r="W230" s="3">
        <f t="shared" si="6"/>
        <v>2</v>
      </c>
      <c r="X230" s="3" t="str">
        <f>IFERROR(__xludf.DUMMYFUNCTION("split(B230,"" "")"),"J.")</f>
        <v>J.</v>
      </c>
      <c r="Y230" s="3" t="str">
        <f>IFERROR(__xludf.DUMMYFUNCTION("""COMPUTED_VALUE"""),"Jeudy")</f>
        <v>Jeudy</v>
      </c>
      <c r="AA230" s="3">
        <v>5.0</v>
      </c>
      <c r="AB230" s="3">
        <f t="shared" si="7"/>
        <v>1</v>
      </c>
      <c r="AC230" s="3">
        <f t="shared" si="8"/>
        <v>0</v>
      </c>
      <c r="AD230" s="3">
        <f t="shared" si="9"/>
        <v>2.97029703</v>
      </c>
      <c r="AE230" s="3">
        <f t="shared" si="10"/>
        <v>-3</v>
      </c>
      <c r="AF230" s="3">
        <f t="shared" si="11"/>
        <v>-2</v>
      </c>
      <c r="AG230" s="3">
        <f t="shared" si="12"/>
        <v>-0.4285714286</v>
      </c>
    </row>
    <row r="231">
      <c r="A231" s="1" t="s">
        <v>15</v>
      </c>
      <c r="B231" s="1" t="s">
        <v>462</v>
      </c>
      <c r="C231" s="1" t="s">
        <v>21</v>
      </c>
      <c r="D231" s="1" t="s">
        <v>89</v>
      </c>
      <c r="E231" s="1" t="s">
        <v>93</v>
      </c>
      <c r="F231" s="1" t="s">
        <v>455</v>
      </c>
      <c r="G231" s="1">
        <v>20.5</v>
      </c>
      <c r="H231" s="1" t="s">
        <v>60</v>
      </c>
      <c r="I231" s="1">
        <v>-113.0</v>
      </c>
      <c r="J231" s="1">
        <v>-0.145668143004694</v>
      </c>
      <c r="K231" s="1" t="s">
        <v>61</v>
      </c>
      <c r="L231" s="1" t="s">
        <v>61</v>
      </c>
      <c r="M231" s="1" t="s">
        <v>62</v>
      </c>
      <c r="N231" s="1">
        <v>-117.0</v>
      </c>
      <c r="O231" s="1">
        <v>0.075974036489401</v>
      </c>
      <c r="P231" s="1" t="s">
        <v>61</v>
      </c>
      <c r="Q231" s="1" t="s">
        <v>61</v>
      </c>
      <c r="R231" s="1">
        <f t="shared" si="1"/>
        <v>0.07597403649</v>
      </c>
      <c r="S231" s="1">
        <f t="shared" si="2"/>
        <v>-117</v>
      </c>
      <c r="T231" s="1">
        <f t="shared" si="3"/>
        <v>1.854700855</v>
      </c>
      <c r="U231" s="1">
        <f t="shared" si="4"/>
        <v>0</v>
      </c>
      <c r="V231" s="3">
        <f t="shared" si="5"/>
        <v>2</v>
      </c>
      <c r="W231" s="3">
        <f t="shared" si="6"/>
        <v>2</v>
      </c>
      <c r="X231" s="3" t="str">
        <f>IFERROR(__xludf.DUMMYFUNCTION("split(B231,"" "")"),"D.")</f>
        <v>D.</v>
      </c>
      <c r="Y231" s="3" t="str">
        <f>IFERROR(__xludf.DUMMYFUNCTION("""COMPUTED_VALUE"""),"Watson")</f>
        <v>Watson</v>
      </c>
      <c r="AA231" s="3">
        <v>22.0</v>
      </c>
      <c r="AB231" s="3">
        <f t="shared" si="7"/>
        <v>1</v>
      </c>
      <c r="AC231" s="3">
        <f t="shared" si="8"/>
        <v>0</v>
      </c>
      <c r="AD231" s="3">
        <f t="shared" si="9"/>
        <v>1.709401709</v>
      </c>
      <c r="AE231" s="3">
        <f t="shared" si="10"/>
        <v>-2</v>
      </c>
      <c r="AF231" s="3">
        <f t="shared" si="11"/>
        <v>-2</v>
      </c>
      <c r="AG231" s="3">
        <f t="shared" si="12"/>
        <v>-0.07317073171</v>
      </c>
    </row>
    <row r="232">
      <c r="A232" s="1" t="s">
        <v>11</v>
      </c>
      <c r="B232" s="1" t="s">
        <v>299</v>
      </c>
      <c r="C232" s="1" t="s">
        <v>18</v>
      </c>
      <c r="D232" s="1" t="s">
        <v>89</v>
      </c>
      <c r="E232" s="1" t="s">
        <v>93</v>
      </c>
      <c r="F232" s="1" t="s">
        <v>455</v>
      </c>
      <c r="G232" s="1">
        <v>45.5</v>
      </c>
      <c r="H232" s="1" t="s">
        <v>60</v>
      </c>
      <c r="I232" s="1">
        <v>-113.0</v>
      </c>
      <c r="J232" s="1">
        <v>-0.116587058261596</v>
      </c>
      <c r="K232" s="1" t="s">
        <v>61</v>
      </c>
      <c r="L232" s="1" t="s">
        <v>61</v>
      </c>
      <c r="M232" s="1" t="s">
        <v>62</v>
      </c>
      <c r="N232" s="1">
        <v>-120.0</v>
      </c>
      <c r="O232" s="1">
        <v>0.0406906978343638</v>
      </c>
      <c r="P232" s="1" t="s">
        <v>61</v>
      </c>
      <c r="Q232" s="1" t="s">
        <v>61</v>
      </c>
      <c r="R232" s="1">
        <f t="shared" si="1"/>
        <v>0.04069069783</v>
      </c>
      <c r="S232" s="1">
        <f t="shared" si="2"/>
        <v>-120</v>
      </c>
      <c r="T232" s="1">
        <f t="shared" si="3"/>
        <v>1.833333333</v>
      </c>
      <c r="U232" s="1">
        <f t="shared" si="4"/>
        <v>0</v>
      </c>
      <c r="V232" s="3">
        <f t="shared" si="5"/>
        <v>1</v>
      </c>
      <c r="W232" s="3">
        <f t="shared" si="6"/>
        <v>3</v>
      </c>
      <c r="X232" s="3" t="str">
        <f>IFERROR(__xludf.DUMMYFUNCTION("split(B232,"" "")"),"J.")</f>
        <v>J.</v>
      </c>
      <c r="Y232" s="3" t="str">
        <f>IFERROR(__xludf.DUMMYFUNCTION("""COMPUTED_VALUE"""),"Jeudy")</f>
        <v>Jeudy</v>
      </c>
      <c r="AA232" s="3">
        <v>73.0</v>
      </c>
      <c r="AB232" s="3">
        <f t="shared" si="7"/>
        <v>1</v>
      </c>
      <c r="AC232" s="3">
        <f t="shared" si="8"/>
        <v>0</v>
      </c>
      <c r="AD232" s="3">
        <f t="shared" si="9"/>
        <v>0.8333333333</v>
      </c>
      <c r="AE232" s="3">
        <f t="shared" si="10"/>
        <v>-1</v>
      </c>
      <c r="AF232" s="3">
        <f t="shared" si="11"/>
        <v>-3</v>
      </c>
      <c r="AG232" s="3">
        <f t="shared" si="12"/>
        <v>-0.6043956044</v>
      </c>
    </row>
    <row r="233">
      <c r="A233" s="1" t="s">
        <v>11</v>
      </c>
      <c r="B233" s="1" t="s">
        <v>414</v>
      </c>
      <c r="C233" s="1" t="s">
        <v>18</v>
      </c>
      <c r="D233" s="1" t="s">
        <v>89</v>
      </c>
      <c r="E233" s="1" t="s">
        <v>93</v>
      </c>
      <c r="F233" s="1" t="s">
        <v>455</v>
      </c>
      <c r="G233" s="1">
        <v>20.5</v>
      </c>
      <c r="H233" s="1" t="s">
        <v>60</v>
      </c>
      <c r="I233" s="1">
        <v>-119.0</v>
      </c>
      <c r="J233" s="1">
        <v>-0.0969304566388721</v>
      </c>
      <c r="K233" s="1" t="s">
        <v>61</v>
      </c>
      <c r="L233" s="1" t="s">
        <v>61</v>
      </c>
      <c r="M233" s="1" t="s">
        <v>62</v>
      </c>
      <c r="N233" s="1">
        <v>-110.0</v>
      </c>
      <c r="O233" s="1">
        <v>0.0297495095443062</v>
      </c>
      <c r="P233" s="1" t="s">
        <v>61</v>
      </c>
      <c r="Q233" s="1" t="s">
        <v>61</v>
      </c>
      <c r="R233" s="1">
        <f t="shared" si="1"/>
        <v>0.02974950954</v>
      </c>
      <c r="S233" s="1">
        <f t="shared" si="2"/>
        <v>-110</v>
      </c>
      <c r="T233" s="1">
        <f t="shared" si="3"/>
        <v>1.909090909</v>
      </c>
      <c r="U233" s="1">
        <f t="shared" si="4"/>
        <v>0</v>
      </c>
      <c r="V233" s="3">
        <f t="shared" si="5"/>
        <v>1</v>
      </c>
      <c r="W233" s="3">
        <f t="shared" si="6"/>
        <v>2</v>
      </c>
      <c r="X233" s="3" t="str">
        <f>IFERROR(__xludf.DUMMYFUNCTION("split(B233,"" "")"),"E.")</f>
        <v>E.</v>
      </c>
      <c r="Y233" s="3" t="str">
        <f>IFERROR(__xludf.DUMMYFUNCTION("""COMPUTED_VALUE"""),"Moore")</f>
        <v>Moore</v>
      </c>
      <c r="AA233" s="3">
        <v>44.0</v>
      </c>
      <c r="AB233" s="3">
        <f t="shared" si="7"/>
        <v>1</v>
      </c>
      <c r="AC233" s="3">
        <f t="shared" si="8"/>
        <v>0</v>
      </c>
      <c r="AD233" s="3">
        <f t="shared" si="9"/>
        <v>0.9090909091</v>
      </c>
      <c r="AE233" s="3">
        <f t="shared" si="10"/>
        <v>-1</v>
      </c>
      <c r="AF233" s="3">
        <f t="shared" si="11"/>
        <v>-2</v>
      </c>
      <c r="AG233" s="3">
        <f t="shared" si="12"/>
        <v>-1.146341463</v>
      </c>
    </row>
    <row r="234">
      <c r="A234" s="1" t="s">
        <v>14</v>
      </c>
      <c r="B234" s="1" t="s">
        <v>462</v>
      </c>
      <c r="C234" s="1" t="s">
        <v>21</v>
      </c>
      <c r="D234" s="1" t="s">
        <v>89</v>
      </c>
      <c r="E234" s="1" t="s">
        <v>93</v>
      </c>
      <c r="F234" s="1" t="s">
        <v>455</v>
      </c>
      <c r="G234" s="1">
        <v>1.5</v>
      </c>
      <c r="H234" s="1" t="s">
        <v>60</v>
      </c>
      <c r="I234" s="1">
        <v>176.0</v>
      </c>
      <c r="J234" s="1">
        <v>0.0196811594202898</v>
      </c>
      <c r="K234" s="1" t="s">
        <v>61</v>
      </c>
      <c r="L234" s="1" t="s">
        <v>61</v>
      </c>
      <c r="M234" s="1" t="s">
        <v>62</v>
      </c>
      <c r="N234" s="1">
        <v>-237.0</v>
      </c>
      <c r="O234" s="1">
        <v>-0.0852640949554894</v>
      </c>
      <c r="P234" s="1" t="s">
        <v>61</v>
      </c>
      <c r="Q234" s="1" t="s">
        <v>61</v>
      </c>
      <c r="R234" s="1">
        <f t="shared" si="1"/>
        <v>0.01968115942</v>
      </c>
      <c r="S234" s="1">
        <f t="shared" si="2"/>
        <v>176</v>
      </c>
      <c r="T234" s="1">
        <f t="shared" si="3"/>
        <v>2.76</v>
      </c>
      <c r="U234" s="1">
        <f t="shared" si="4"/>
        <v>1</v>
      </c>
      <c r="V234" s="3">
        <f t="shared" si="5"/>
        <v>1</v>
      </c>
      <c r="W234" s="3">
        <f t="shared" si="6"/>
        <v>1</v>
      </c>
      <c r="X234" s="3" t="str">
        <f>IFERROR(__xludf.DUMMYFUNCTION("split(B234,"" "")"),"D.")</f>
        <v>D.</v>
      </c>
      <c r="Y234" s="3" t="str">
        <f>IFERROR(__xludf.DUMMYFUNCTION("""COMPUTED_VALUE"""),"Watson")</f>
        <v>Watson</v>
      </c>
      <c r="AA234" s="3">
        <v>0.0</v>
      </c>
      <c r="AB234" s="3">
        <f t="shared" si="7"/>
        <v>0</v>
      </c>
      <c r="AC234" s="3">
        <f t="shared" si="8"/>
        <v>0</v>
      </c>
      <c r="AD234" s="3">
        <f t="shared" si="9"/>
        <v>1.76</v>
      </c>
      <c r="AE234" s="3">
        <f t="shared" si="10"/>
        <v>-1</v>
      </c>
      <c r="AF234" s="3">
        <f t="shared" si="11"/>
        <v>-1</v>
      </c>
      <c r="AG234" s="3">
        <f t="shared" si="12"/>
        <v>-1</v>
      </c>
    </row>
    <row r="235">
      <c r="A235" s="1" t="s">
        <v>16</v>
      </c>
      <c r="B235" s="1" t="s">
        <v>462</v>
      </c>
      <c r="C235" s="1" t="s">
        <v>21</v>
      </c>
      <c r="D235" s="1" t="s">
        <v>89</v>
      </c>
      <c r="E235" s="1" t="s">
        <v>93</v>
      </c>
      <c r="F235" s="1" t="s">
        <v>455</v>
      </c>
      <c r="G235" s="1">
        <v>33.5</v>
      </c>
      <c r="H235" s="1" t="s">
        <v>60</v>
      </c>
      <c r="I235" s="1">
        <v>-102.0</v>
      </c>
      <c r="J235" s="1">
        <v>-0.078452285670297</v>
      </c>
      <c r="K235" s="1" t="s">
        <v>61</v>
      </c>
      <c r="L235" s="1" t="s">
        <v>61</v>
      </c>
      <c r="M235" s="1" t="s">
        <v>62</v>
      </c>
      <c r="N235" s="1">
        <v>-128.0</v>
      </c>
      <c r="O235" s="1">
        <v>0.0121243279385965</v>
      </c>
      <c r="P235" s="1" t="s">
        <v>61</v>
      </c>
      <c r="Q235" s="1" t="s">
        <v>61</v>
      </c>
      <c r="R235" s="1">
        <f t="shared" si="1"/>
        <v>0.01212432794</v>
      </c>
      <c r="S235" s="1">
        <f t="shared" si="2"/>
        <v>-128</v>
      </c>
      <c r="T235" s="1">
        <f t="shared" si="3"/>
        <v>1.78125</v>
      </c>
      <c r="U235" s="1">
        <f t="shared" si="4"/>
        <v>0</v>
      </c>
      <c r="V235" s="3">
        <f t="shared" si="5"/>
        <v>1</v>
      </c>
      <c r="W235" s="3">
        <f t="shared" si="6"/>
        <v>3</v>
      </c>
      <c r="X235" s="3" t="str">
        <f>IFERROR(__xludf.DUMMYFUNCTION("split(B235,"" "")"),"D.")</f>
        <v>D.</v>
      </c>
      <c r="Y235" s="3" t="str">
        <f>IFERROR(__xludf.DUMMYFUNCTION("""COMPUTED_VALUE"""),"Watson")</f>
        <v>Watson</v>
      </c>
      <c r="AA235" s="3">
        <v>34.0</v>
      </c>
      <c r="AB235" s="3">
        <f t="shared" si="7"/>
        <v>1</v>
      </c>
      <c r="AC235" s="3">
        <f t="shared" si="8"/>
        <v>0</v>
      </c>
      <c r="AD235" s="3">
        <f t="shared" si="9"/>
        <v>0.78125</v>
      </c>
      <c r="AE235" s="3">
        <f t="shared" si="10"/>
        <v>-1</v>
      </c>
      <c r="AF235" s="3">
        <f t="shared" si="11"/>
        <v>-3</v>
      </c>
      <c r="AG235" s="3">
        <f t="shared" si="12"/>
        <v>-0.01492537313</v>
      </c>
    </row>
    <row r="236">
      <c r="A236" s="1" t="s">
        <v>12</v>
      </c>
      <c r="B236" s="1" t="s">
        <v>152</v>
      </c>
      <c r="C236" s="1" t="s">
        <v>19</v>
      </c>
      <c r="D236" s="1" t="s">
        <v>88</v>
      </c>
      <c r="E236" s="1" t="s">
        <v>58</v>
      </c>
      <c r="F236" s="1" t="s">
        <v>455</v>
      </c>
      <c r="G236" s="1">
        <v>1.5</v>
      </c>
      <c r="H236" s="1" t="s">
        <v>60</v>
      </c>
      <c r="I236" s="1">
        <v>-116.0</v>
      </c>
      <c r="J236" s="1">
        <v>-0.20208448275</v>
      </c>
      <c r="K236" s="1" t="s">
        <v>61</v>
      </c>
      <c r="L236" s="1" t="s">
        <v>61</v>
      </c>
      <c r="M236" s="1" t="s">
        <v>62</v>
      </c>
      <c r="N236" s="1">
        <v>-113.0</v>
      </c>
      <c r="O236" s="1">
        <v>0.13452334530338</v>
      </c>
      <c r="P236" s="1" t="s">
        <v>61</v>
      </c>
      <c r="Q236" s="1" t="s">
        <v>61</v>
      </c>
      <c r="R236" s="1">
        <f t="shared" si="1"/>
        <v>0.1345233453</v>
      </c>
      <c r="S236" s="1">
        <f t="shared" si="2"/>
        <v>-113</v>
      </c>
      <c r="T236" s="1">
        <f t="shared" si="3"/>
        <v>1.884955752</v>
      </c>
      <c r="U236" s="1">
        <f t="shared" si="4"/>
        <v>0</v>
      </c>
      <c r="V236" s="3">
        <f t="shared" si="5"/>
        <v>3</v>
      </c>
      <c r="W236" s="3">
        <f t="shared" si="6"/>
        <v>2</v>
      </c>
      <c r="X236" s="3" t="str">
        <f>IFERROR(__xludf.DUMMYFUNCTION("split(B236,"" "")"),"R.")</f>
        <v>R.</v>
      </c>
      <c r="Y236" s="3" t="str">
        <f>IFERROR(__xludf.DUMMYFUNCTION("""COMPUTED_VALUE"""),"Dowdle")</f>
        <v>Dowdle</v>
      </c>
      <c r="AA236" s="3">
        <v>4.0</v>
      </c>
      <c r="AB236" s="3">
        <f t="shared" si="7"/>
        <v>1</v>
      </c>
      <c r="AC236" s="3">
        <f t="shared" si="8"/>
        <v>0</v>
      </c>
      <c r="AD236" s="3">
        <f t="shared" si="9"/>
        <v>2.654867257</v>
      </c>
      <c r="AE236" s="3">
        <f t="shared" si="10"/>
        <v>-3</v>
      </c>
      <c r="AF236" s="3">
        <f t="shared" si="11"/>
        <v>-2</v>
      </c>
      <c r="AG236" s="3">
        <f t="shared" si="12"/>
        <v>-1.666666667</v>
      </c>
    </row>
    <row r="237">
      <c r="A237" s="1" t="s">
        <v>17</v>
      </c>
      <c r="B237" s="1" t="s">
        <v>251</v>
      </c>
      <c r="C237" s="1" t="s">
        <v>21</v>
      </c>
      <c r="D237" s="1" t="s">
        <v>88</v>
      </c>
      <c r="E237" s="1" t="s">
        <v>58</v>
      </c>
      <c r="F237" s="1" t="s">
        <v>455</v>
      </c>
      <c r="G237" s="1">
        <v>0.5</v>
      </c>
      <c r="H237" s="1" t="s">
        <v>60</v>
      </c>
      <c r="I237" s="1">
        <v>-137.0</v>
      </c>
      <c r="J237" s="1">
        <v>-0.14211687763713</v>
      </c>
      <c r="K237" s="1" t="s">
        <v>61</v>
      </c>
      <c r="L237" s="1" t="s">
        <v>61</v>
      </c>
      <c r="M237" s="1" t="s">
        <v>62</v>
      </c>
      <c r="N237" s="1">
        <v>105.0</v>
      </c>
      <c r="O237" s="1">
        <v>0.0762463414634146</v>
      </c>
      <c r="P237" s="1" t="s">
        <v>61</v>
      </c>
      <c r="Q237" s="1" t="s">
        <v>61</v>
      </c>
      <c r="R237" s="1">
        <f t="shared" si="1"/>
        <v>0.07624634146</v>
      </c>
      <c r="S237" s="1">
        <f t="shared" si="2"/>
        <v>105</v>
      </c>
      <c r="T237" s="1">
        <f t="shared" si="3"/>
        <v>2.05</v>
      </c>
      <c r="U237" s="1">
        <f t="shared" si="4"/>
        <v>0</v>
      </c>
      <c r="V237" s="3">
        <f t="shared" si="5"/>
        <v>2</v>
      </c>
      <c r="W237" s="3">
        <f t="shared" si="6"/>
        <v>2</v>
      </c>
      <c r="X237" s="3" t="str">
        <f>IFERROR(__xludf.DUMMYFUNCTION("split(B237,"" "")"),"D.")</f>
        <v>D.</v>
      </c>
      <c r="Y237" s="3" t="str">
        <f>IFERROR(__xludf.DUMMYFUNCTION("""COMPUTED_VALUE"""),"Prescott")</f>
        <v>Prescott</v>
      </c>
      <c r="AA237" s="3">
        <v>2.0</v>
      </c>
      <c r="AB237" s="3">
        <f t="shared" si="7"/>
        <v>1</v>
      </c>
      <c r="AC237" s="3">
        <f t="shared" si="8"/>
        <v>0</v>
      </c>
      <c r="AD237" s="3">
        <f t="shared" si="9"/>
        <v>2.1</v>
      </c>
      <c r="AE237" s="3">
        <f t="shared" si="10"/>
        <v>-2</v>
      </c>
      <c r="AF237" s="3">
        <f t="shared" si="11"/>
        <v>-2</v>
      </c>
      <c r="AG237" s="3">
        <f t="shared" si="12"/>
        <v>-3</v>
      </c>
    </row>
    <row r="238">
      <c r="A238" s="1" t="s">
        <v>12</v>
      </c>
      <c r="B238" s="1" t="s">
        <v>395</v>
      </c>
      <c r="C238" s="1" t="s">
        <v>18</v>
      </c>
      <c r="D238" s="1" t="s">
        <v>88</v>
      </c>
      <c r="E238" s="1" t="s">
        <v>58</v>
      </c>
      <c r="F238" s="1" t="s">
        <v>455</v>
      </c>
      <c r="G238" s="1">
        <v>6.5</v>
      </c>
      <c r="H238" s="1" t="s">
        <v>60</v>
      </c>
      <c r="I238" s="1">
        <v>-154.0</v>
      </c>
      <c r="J238" s="1">
        <v>0.0298401574803148</v>
      </c>
      <c r="K238" s="1" t="s">
        <v>61</v>
      </c>
      <c r="L238" s="1" t="s">
        <v>61</v>
      </c>
      <c r="M238" s="1" t="s">
        <v>62</v>
      </c>
      <c r="N238" s="1">
        <v>117.0</v>
      </c>
      <c r="O238" s="1">
        <v>-0.0969755760368663</v>
      </c>
      <c r="P238" s="1" t="s">
        <v>61</v>
      </c>
      <c r="Q238" s="1" t="s">
        <v>61</v>
      </c>
      <c r="R238" s="1">
        <f t="shared" si="1"/>
        <v>0.02984015748</v>
      </c>
      <c r="S238" s="1">
        <f t="shared" si="2"/>
        <v>-154</v>
      </c>
      <c r="T238" s="1">
        <f t="shared" si="3"/>
        <v>1.649350649</v>
      </c>
      <c r="U238" s="1">
        <f t="shared" si="4"/>
        <v>1</v>
      </c>
      <c r="V238" s="3">
        <f t="shared" si="5"/>
        <v>1</v>
      </c>
      <c r="W238" s="3">
        <f t="shared" si="6"/>
        <v>3</v>
      </c>
      <c r="X238" s="3" t="str">
        <f>IFERROR(__xludf.DUMMYFUNCTION("split(B238,"" "")"),"C.")</f>
        <v>C.</v>
      </c>
      <c r="Y238" s="3" t="str">
        <f>IFERROR(__xludf.DUMMYFUNCTION("""COMPUTED_VALUE"""),"Lamb")</f>
        <v>Lamb</v>
      </c>
      <c r="AA238" s="3">
        <v>4.0</v>
      </c>
      <c r="AB238" s="3">
        <f t="shared" si="7"/>
        <v>0</v>
      </c>
      <c r="AC238" s="3">
        <f t="shared" si="8"/>
        <v>0</v>
      </c>
      <c r="AD238" s="3">
        <f t="shared" si="9"/>
        <v>0.6493506494</v>
      </c>
      <c r="AE238" s="3">
        <f t="shared" si="10"/>
        <v>-1</v>
      </c>
      <c r="AF238" s="3">
        <f t="shared" si="11"/>
        <v>-3</v>
      </c>
      <c r="AG238" s="3">
        <f t="shared" si="12"/>
        <v>-0.3846153846</v>
      </c>
    </row>
    <row r="239">
      <c r="A239" s="1" t="s">
        <v>12</v>
      </c>
      <c r="B239" s="1" t="s">
        <v>87</v>
      </c>
      <c r="C239" s="1" t="s">
        <v>18</v>
      </c>
      <c r="D239" s="1" t="s">
        <v>88</v>
      </c>
      <c r="E239" s="1" t="s">
        <v>58</v>
      </c>
      <c r="F239" s="1" t="s">
        <v>455</v>
      </c>
      <c r="G239" s="1">
        <v>2.5</v>
      </c>
      <c r="H239" s="1" t="s">
        <v>60</v>
      </c>
      <c r="I239" s="1">
        <v>134.0</v>
      </c>
      <c r="J239" s="1">
        <v>-0.0943485586803419</v>
      </c>
      <c r="K239" s="1" t="s">
        <v>61</v>
      </c>
      <c r="L239" s="1" t="s">
        <v>61</v>
      </c>
      <c r="M239" s="1" t="s">
        <v>62</v>
      </c>
      <c r="N239" s="1">
        <v>-177.0</v>
      </c>
      <c r="O239" s="1">
        <v>0.0280087451754513</v>
      </c>
      <c r="P239" s="1" t="s">
        <v>61</v>
      </c>
      <c r="Q239" s="1" t="s">
        <v>61</v>
      </c>
      <c r="R239" s="1">
        <f t="shared" si="1"/>
        <v>0.02800874518</v>
      </c>
      <c r="S239" s="1">
        <f t="shared" si="2"/>
        <v>-177</v>
      </c>
      <c r="T239" s="1">
        <f t="shared" si="3"/>
        <v>1.564971751</v>
      </c>
      <c r="U239" s="1">
        <f t="shared" si="4"/>
        <v>0</v>
      </c>
      <c r="V239" s="3">
        <f t="shared" si="5"/>
        <v>1</v>
      </c>
      <c r="W239" s="3">
        <f t="shared" si="6"/>
        <v>3</v>
      </c>
      <c r="X239" s="3" t="str">
        <f>IFERROR(__xludf.DUMMYFUNCTION("split(B239,"" "")"),"J.")</f>
        <v>J.</v>
      </c>
      <c r="Y239" s="3" t="str">
        <f>IFERROR(__xludf.DUMMYFUNCTION("""COMPUTED_VALUE"""),"Tolbert")</f>
        <v>Tolbert</v>
      </c>
      <c r="AA239" s="3">
        <v>6.0</v>
      </c>
      <c r="AB239" s="3">
        <f t="shared" si="7"/>
        <v>1</v>
      </c>
      <c r="AC239" s="3">
        <f t="shared" si="8"/>
        <v>0</v>
      </c>
      <c r="AD239" s="3">
        <f t="shared" si="9"/>
        <v>0.5649717514</v>
      </c>
      <c r="AE239" s="3">
        <f t="shared" si="10"/>
        <v>-1</v>
      </c>
      <c r="AF239" s="3">
        <f t="shared" si="11"/>
        <v>-3</v>
      </c>
      <c r="AG239" s="3">
        <f t="shared" si="12"/>
        <v>-1.4</v>
      </c>
    </row>
    <row r="240">
      <c r="A240" s="1" t="s">
        <v>12</v>
      </c>
      <c r="B240" s="1" t="s">
        <v>312</v>
      </c>
      <c r="C240" s="1" t="s">
        <v>20</v>
      </c>
      <c r="D240" s="1" t="s">
        <v>83</v>
      </c>
      <c r="E240" s="1" t="s">
        <v>110</v>
      </c>
      <c r="F240" s="1" t="s">
        <v>461</v>
      </c>
      <c r="G240" s="1">
        <v>2.5</v>
      </c>
      <c r="H240" s="1" t="s">
        <v>60</v>
      </c>
      <c r="I240" s="1">
        <v>101.0</v>
      </c>
      <c r="J240" s="1">
        <v>-0.184155999865174</v>
      </c>
      <c r="K240" s="1" t="s">
        <v>61</v>
      </c>
      <c r="L240" s="1" t="s">
        <v>61</v>
      </c>
      <c r="M240" s="1" t="s">
        <v>62</v>
      </c>
      <c r="N240" s="1">
        <v>-132.0</v>
      </c>
      <c r="O240" s="1">
        <v>0.117670578201724</v>
      </c>
      <c r="P240" s="1" t="s">
        <v>61</v>
      </c>
      <c r="Q240" s="1" t="s">
        <v>61</v>
      </c>
      <c r="R240" s="1">
        <f t="shared" si="1"/>
        <v>0.1176705782</v>
      </c>
      <c r="S240" s="1">
        <f t="shared" si="2"/>
        <v>-132</v>
      </c>
      <c r="T240" s="1">
        <f t="shared" si="3"/>
        <v>1.757575758</v>
      </c>
      <c r="U240" s="1">
        <f t="shared" si="4"/>
        <v>0</v>
      </c>
      <c r="V240" s="3">
        <f t="shared" si="5"/>
        <v>3</v>
      </c>
      <c r="W240" s="3">
        <f t="shared" si="6"/>
        <v>3</v>
      </c>
      <c r="X240" s="3" t="str">
        <f>IFERROR(__xludf.DUMMYFUNCTION("split(B240,"" "")"),"G.")</f>
        <v>G.</v>
      </c>
      <c r="Y240" s="3" t="str">
        <f>IFERROR(__xludf.DUMMYFUNCTION("""COMPUTED_VALUE"""),"Dulcich")</f>
        <v>Dulcich</v>
      </c>
      <c r="AA240" s="3">
        <v>3.0</v>
      </c>
      <c r="AB240" s="3">
        <f t="shared" si="7"/>
        <v>1</v>
      </c>
      <c r="AC240" s="3">
        <f t="shared" si="8"/>
        <v>0</v>
      </c>
      <c r="AD240" s="3">
        <f t="shared" si="9"/>
        <v>2.272727273</v>
      </c>
      <c r="AE240" s="3">
        <f t="shared" si="10"/>
        <v>-3</v>
      </c>
      <c r="AF240" s="3">
        <f t="shared" si="11"/>
        <v>-3</v>
      </c>
      <c r="AG240" s="3">
        <f t="shared" si="12"/>
        <v>-0.2</v>
      </c>
    </row>
    <row r="241">
      <c r="A241" s="1" t="s">
        <v>10</v>
      </c>
      <c r="B241" s="1" t="s">
        <v>464</v>
      </c>
      <c r="C241" s="1" t="s">
        <v>21</v>
      </c>
      <c r="D241" s="1" t="s">
        <v>83</v>
      </c>
      <c r="E241" s="1" t="s">
        <v>110</v>
      </c>
      <c r="F241" s="1" t="s">
        <v>461</v>
      </c>
      <c r="G241" s="1">
        <v>24.5</v>
      </c>
      <c r="H241" s="1" t="s">
        <v>60</v>
      </c>
      <c r="I241" s="1">
        <v>-113.0</v>
      </c>
      <c r="J241" s="1">
        <v>-0.138272421635727</v>
      </c>
      <c r="K241" s="1" t="s">
        <v>61</v>
      </c>
      <c r="L241" s="1" t="s">
        <v>61</v>
      </c>
      <c r="M241" s="1" t="s">
        <v>62</v>
      </c>
      <c r="N241" s="1">
        <v>-119.0</v>
      </c>
      <c r="O241" s="1">
        <v>0.0644487658082554</v>
      </c>
      <c r="P241" s="1" t="s">
        <v>61</v>
      </c>
      <c r="Q241" s="1" t="s">
        <v>61</v>
      </c>
      <c r="R241" s="1">
        <f t="shared" si="1"/>
        <v>0.06444876581</v>
      </c>
      <c r="S241" s="1">
        <f t="shared" si="2"/>
        <v>-119</v>
      </c>
      <c r="T241" s="1">
        <f t="shared" si="3"/>
        <v>1.840336134</v>
      </c>
      <c r="U241" s="1">
        <f t="shared" si="4"/>
        <v>0</v>
      </c>
      <c r="V241" s="3">
        <f t="shared" si="5"/>
        <v>2</v>
      </c>
      <c r="W241" s="3">
        <f t="shared" si="6"/>
        <v>3</v>
      </c>
      <c r="X241" s="3" t="str">
        <f>IFERROR(__xludf.DUMMYFUNCTION("split(B241,"" "")"),"B.")</f>
        <v>B.</v>
      </c>
      <c r="Y241" s="3" t="str">
        <f>IFERROR(__xludf.DUMMYFUNCTION("""COMPUTED_VALUE"""),"Nix")</f>
        <v>Nix</v>
      </c>
      <c r="AA241" s="3">
        <v>25.0</v>
      </c>
      <c r="AB241" s="3">
        <f t="shared" si="7"/>
        <v>1</v>
      </c>
      <c r="AC241" s="3">
        <f t="shared" si="8"/>
        <v>0</v>
      </c>
      <c r="AD241" s="3">
        <f t="shared" si="9"/>
        <v>1.680672269</v>
      </c>
      <c r="AE241" s="3">
        <f t="shared" si="10"/>
        <v>-2</v>
      </c>
      <c r="AF241" s="3">
        <f t="shared" si="11"/>
        <v>-3</v>
      </c>
      <c r="AG241" s="3">
        <f t="shared" si="12"/>
        <v>-0.02040816327</v>
      </c>
    </row>
    <row r="242">
      <c r="A242" s="1" t="s">
        <v>17</v>
      </c>
      <c r="B242" s="1" t="s">
        <v>464</v>
      </c>
      <c r="C242" s="1" t="s">
        <v>21</v>
      </c>
      <c r="D242" s="1" t="s">
        <v>83</v>
      </c>
      <c r="E242" s="1" t="s">
        <v>110</v>
      </c>
      <c r="F242" s="1" t="s">
        <v>461</v>
      </c>
      <c r="G242" s="1">
        <v>0.5</v>
      </c>
      <c r="H242" s="1" t="s">
        <v>60</v>
      </c>
      <c r="I242" s="1">
        <v>-139.0</v>
      </c>
      <c r="J242" s="1">
        <v>-0.121689958158995</v>
      </c>
      <c r="K242" s="1" t="s">
        <v>61</v>
      </c>
      <c r="L242" s="1" t="s">
        <v>61</v>
      </c>
      <c r="M242" s="1" t="s">
        <v>62</v>
      </c>
      <c r="N242" s="1">
        <v>102.0</v>
      </c>
      <c r="O242" s="1">
        <v>0.0450504950495049</v>
      </c>
      <c r="P242" s="1" t="s">
        <v>61</v>
      </c>
      <c r="Q242" s="1" t="s">
        <v>61</v>
      </c>
      <c r="R242" s="1">
        <f t="shared" si="1"/>
        <v>0.04505049505</v>
      </c>
      <c r="S242" s="1">
        <f t="shared" si="2"/>
        <v>102</v>
      </c>
      <c r="T242" s="1">
        <f t="shared" si="3"/>
        <v>2.02</v>
      </c>
      <c r="U242" s="1">
        <f t="shared" si="4"/>
        <v>0</v>
      </c>
      <c r="V242" s="3">
        <f t="shared" si="5"/>
        <v>1</v>
      </c>
      <c r="W242" s="3">
        <f t="shared" si="6"/>
        <v>2</v>
      </c>
      <c r="X242" s="3" t="str">
        <f>IFERROR(__xludf.DUMMYFUNCTION("split(B242,"" "")"),"B.")</f>
        <v>B.</v>
      </c>
      <c r="Y242" s="3" t="str">
        <f>IFERROR(__xludf.DUMMYFUNCTION("""COMPUTED_VALUE"""),"Nix")</f>
        <v>Nix</v>
      </c>
      <c r="AA242" s="3">
        <v>2.0</v>
      </c>
      <c r="AB242" s="3">
        <f t="shared" si="7"/>
        <v>1</v>
      </c>
      <c r="AC242" s="3">
        <f t="shared" si="8"/>
        <v>0</v>
      </c>
      <c r="AD242" s="3">
        <f t="shared" si="9"/>
        <v>1.02</v>
      </c>
      <c r="AE242" s="3">
        <f t="shared" si="10"/>
        <v>-1</v>
      </c>
      <c r="AF242" s="3">
        <f t="shared" si="11"/>
        <v>-2</v>
      </c>
      <c r="AG242" s="3">
        <f t="shared" si="12"/>
        <v>-3</v>
      </c>
    </row>
    <row r="243">
      <c r="A243" s="1" t="s">
        <v>9</v>
      </c>
      <c r="B243" s="1" t="s">
        <v>401</v>
      </c>
      <c r="C243" s="1" t="s">
        <v>18</v>
      </c>
      <c r="D243" s="1" t="s">
        <v>83</v>
      </c>
      <c r="E243" s="1" t="s">
        <v>110</v>
      </c>
      <c r="F243" s="1" t="s">
        <v>461</v>
      </c>
      <c r="G243" s="1">
        <v>35.5</v>
      </c>
      <c r="H243" s="1" t="s">
        <v>60</v>
      </c>
      <c r="I243" s="1">
        <v>-115.0</v>
      </c>
      <c r="J243" s="1">
        <v>0.0392665563335348</v>
      </c>
      <c r="K243" s="1" t="s">
        <v>61</v>
      </c>
      <c r="L243" s="1" t="s">
        <v>61</v>
      </c>
      <c r="M243" s="1" t="s">
        <v>62</v>
      </c>
      <c r="N243" s="1">
        <v>-117.0</v>
      </c>
      <c r="O243" s="1">
        <v>-0.113281024173735</v>
      </c>
      <c r="P243" s="1" t="s">
        <v>61</v>
      </c>
      <c r="Q243" s="1" t="s">
        <v>61</v>
      </c>
      <c r="R243" s="1">
        <f t="shared" si="1"/>
        <v>0.03926655633</v>
      </c>
      <c r="S243" s="1">
        <f t="shared" si="2"/>
        <v>-115</v>
      </c>
      <c r="T243" s="1">
        <f t="shared" si="3"/>
        <v>1.869565217</v>
      </c>
      <c r="U243" s="1">
        <f t="shared" si="4"/>
        <v>1</v>
      </c>
      <c r="V243" s="3">
        <f t="shared" si="5"/>
        <v>1</v>
      </c>
      <c r="W243" s="3">
        <f t="shared" si="6"/>
        <v>2</v>
      </c>
      <c r="X243" s="3" t="str">
        <f>IFERROR(__xludf.DUMMYFUNCTION("split(B243,"" "")"),"C.")</f>
        <v>C.</v>
      </c>
      <c r="Y243" s="3" t="str">
        <f>IFERROR(__xludf.DUMMYFUNCTION("""COMPUTED_VALUE"""),"Sutton")</f>
        <v>Sutton</v>
      </c>
      <c r="AA243" s="3">
        <v>26.0</v>
      </c>
      <c r="AB243" s="3">
        <f t="shared" si="7"/>
        <v>0</v>
      </c>
      <c r="AC243" s="3">
        <f t="shared" si="8"/>
        <v>0</v>
      </c>
      <c r="AD243" s="3">
        <f t="shared" si="9"/>
        <v>0.8695652174</v>
      </c>
      <c r="AE243" s="3">
        <f t="shared" si="10"/>
        <v>-1</v>
      </c>
      <c r="AF243" s="3">
        <f t="shared" si="11"/>
        <v>-2</v>
      </c>
      <c r="AG243" s="3">
        <f t="shared" si="12"/>
        <v>-0.2676056338</v>
      </c>
    </row>
    <row r="244">
      <c r="A244" s="1" t="s">
        <v>11</v>
      </c>
      <c r="B244" s="1" t="s">
        <v>127</v>
      </c>
      <c r="C244" s="1" t="s">
        <v>19</v>
      </c>
      <c r="D244" s="1" t="s">
        <v>83</v>
      </c>
      <c r="E244" s="1" t="s">
        <v>110</v>
      </c>
      <c r="F244" s="1" t="s">
        <v>461</v>
      </c>
      <c r="G244" s="1">
        <v>16.5</v>
      </c>
      <c r="H244" s="1" t="s">
        <v>60</v>
      </c>
      <c r="I244" s="1">
        <v>-117.0</v>
      </c>
      <c r="J244" s="1">
        <v>-0.0770018538809179</v>
      </c>
      <c r="K244" s="1" t="s">
        <v>61</v>
      </c>
      <c r="L244" s="1" t="s">
        <v>61</v>
      </c>
      <c r="M244" s="1" t="s">
        <v>62</v>
      </c>
      <c r="N244" s="1">
        <v>-115.0</v>
      </c>
      <c r="O244" s="1">
        <v>0.00301694249294437</v>
      </c>
      <c r="P244" s="1" t="s">
        <v>61</v>
      </c>
      <c r="Q244" s="1" t="s">
        <v>61</v>
      </c>
      <c r="R244" s="1">
        <f t="shared" si="1"/>
        <v>0.003016942493</v>
      </c>
      <c r="S244" s="1">
        <f t="shared" si="2"/>
        <v>-115</v>
      </c>
      <c r="T244" s="1">
        <f t="shared" si="3"/>
        <v>1.869565217</v>
      </c>
      <c r="U244" s="1">
        <f t="shared" si="4"/>
        <v>0</v>
      </c>
      <c r="V244" s="3">
        <f t="shared" si="5"/>
        <v>1</v>
      </c>
      <c r="W244" s="3">
        <f t="shared" si="6"/>
        <v>2</v>
      </c>
      <c r="X244" s="3" t="str">
        <f>IFERROR(__xludf.DUMMYFUNCTION("split(B244,"" "")"),"J.")</f>
        <v>J.</v>
      </c>
      <c r="Y244" s="3" t="str">
        <f>IFERROR(__xludf.DUMMYFUNCTION("""COMPUTED_VALUE"""),"Williams")</f>
        <v>Williams</v>
      </c>
      <c r="AA244" s="3">
        <v>48.0</v>
      </c>
      <c r="AB244" s="3">
        <f t="shared" si="7"/>
        <v>1</v>
      </c>
      <c r="AC244" s="3">
        <f t="shared" si="8"/>
        <v>0</v>
      </c>
      <c r="AD244" s="3">
        <f t="shared" si="9"/>
        <v>0.8695652174</v>
      </c>
      <c r="AE244" s="3">
        <f t="shared" si="10"/>
        <v>-1</v>
      </c>
      <c r="AF244" s="3">
        <f t="shared" si="11"/>
        <v>-2</v>
      </c>
      <c r="AG244" s="3">
        <f t="shared" si="12"/>
        <v>-1.909090909</v>
      </c>
    </row>
    <row r="245">
      <c r="A245" s="1" t="s">
        <v>12</v>
      </c>
      <c r="B245" s="1" t="s">
        <v>127</v>
      </c>
      <c r="C245" s="1" t="s">
        <v>18</v>
      </c>
      <c r="D245" s="1" t="s">
        <v>197</v>
      </c>
      <c r="E245" s="1" t="s">
        <v>113</v>
      </c>
      <c r="F245" s="1" t="s">
        <v>455</v>
      </c>
      <c r="G245" s="1">
        <v>3.5</v>
      </c>
      <c r="H245" s="1" t="s">
        <v>60</v>
      </c>
      <c r="I245" s="1">
        <v>-102.0</v>
      </c>
      <c r="J245" s="1">
        <v>-0.181999999999999</v>
      </c>
      <c r="K245" s="1" t="s">
        <v>61</v>
      </c>
      <c r="L245" s="1" t="s">
        <v>61</v>
      </c>
      <c r="M245" s="1" t="s">
        <v>62</v>
      </c>
      <c r="N245" s="1">
        <v>-129.0</v>
      </c>
      <c r="O245" s="1">
        <v>0.113737554585152</v>
      </c>
      <c r="P245" s="1" t="s">
        <v>61</v>
      </c>
      <c r="Q245" s="1" t="s">
        <v>61</v>
      </c>
      <c r="R245" s="1">
        <f t="shared" si="1"/>
        <v>0.1137375546</v>
      </c>
      <c r="S245" s="1">
        <f t="shared" si="2"/>
        <v>-129</v>
      </c>
      <c r="T245" s="1">
        <f t="shared" si="3"/>
        <v>1.775193798</v>
      </c>
      <c r="U245" s="1">
        <f t="shared" si="4"/>
        <v>0</v>
      </c>
      <c r="V245" s="3">
        <f t="shared" si="5"/>
        <v>3</v>
      </c>
      <c r="W245" s="3">
        <f t="shared" si="6"/>
        <v>3</v>
      </c>
      <c r="X245" s="3" t="str">
        <f>IFERROR(__xludf.DUMMYFUNCTION("split(B245,"" "")"),"J.")</f>
        <v>J.</v>
      </c>
      <c r="Y245" s="3" t="str">
        <f>IFERROR(__xludf.DUMMYFUNCTION("""COMPUTED_VALUE"""),"Williams")</f>
        <v>Williams</v>
      </c>
      <c r="AA245" s="3">
        <v>5.0</v>
      </c>
      <c r="AB245" s="3">
        <f t="shared" si="7"/>
        <v>1</v>
      </c>
      <c r="AC245" s="3">
        <f t="shared" si="8"/>
        <v>0</v>
      </c>
      <c r="AD245" s="3">
        <f t="shared" si="9"/>
        <v>2.325581395</v>
      </c>
      <c r="AE245" s="3">
        <f t="shared" si="10"/>
        <v>-3</v>
      </c>
      <c r="AF245" s="3">
        <f t="shared" si="11"/>
        <v>-3</v>
      </c>
      <c r="AG245" s="3">
        <f t="shared" si="12"/>
        <v>-0.4285714286</v>
      </c>
    </row>
    <row r="246">
      <c r="A246" s="1" t="s">
        <v>12</v>
      </c>
      <c r="B246" s="1" t="s">
        <v>393</v>
      </c>
      <c r="C246" s="1" t="s">
        <v>19</v>
      </c>
      <c r="D246" s="1" t="s">
        <v>197</v>
      </c>
      <c r="E246" s="1" t="s">
        <v>113</v>
      </c>
      <c r="F246" s="1" t="s">
        <v>455</v>
      </c>
      <c r="G246" s="1">
        <v>3.5</v>
      </c>
      <c r="H246" s="1" t="s">
        <v>60</v>
      </c>
      <c r="I246" s="1">
        <v>-120.0</v>
      </c>
      <c r="J246" s="1">
        <v>-0.177145454545454</v>
      </c>
      <c r="K246" s="1" t="s">
        <v>61</v>
      </c>
      <c r="L246" s="1" t="s">
        <v>61</v>
      </c>
      <c r="M246" s="1" t="s">
        <v>62</v>
      </c>
      <c r="N246" s="1">
        <v>-109.0</v>
      </c>
      <c r="O246" s="1">
        <v>0.110173205741626</v>
      </c>
      <c r="P246" s="1" t="s">
        <v>61</v>
      </c>
      <c r="Q246" s="1" t="s">
        <v>61</v>
      </c>
      <c r="R246" s="1">
        <f t="shared" si="1"/>
        <v>0.1101732057</v>
      </c>
      <c r="S246" s="1">
        <f t="shared" si="2"/>
        <v>-109</v>
      </c>
      <c r="T246" s="1">
        <f t="shared" si="3"/>
        <v>1.917431193</v>
      </c>
      <c r="U246" s="1">
        <f t="shared" si="4"/>
        <v>0</v>
      </c>
      <c r="V246" s="3">
        <f t="shared" si="5"/>
        <v>3</v>
      </c>
      <c r="W246" s="3">
        <f t="shared" si="6"/>
        <v>2</v>
      </c>
      <c r="X246" s="3" t="str">
        <f>IFERROR(__xludf.DUMMYFUNCTION("split(B246,"" "")"),"J.")</f>
        <v>J.</v>
      </c>
      <c r="Y246" s="3" t="str">
        <f>IFERROR(__xludf.DUMMYFUNCTION("""COMPUTED_VALUE"""),"Gibbs")</f>
        <v>Gibbs</v>
      </c>
      <c r="AA246" s="3">
        <v>7.0</v>
      </c>
      <c r="AB246" s="3">
        <f t="shared" si="7"/>
        <v>1</v>
      </c>
      <c r="AC246" s="3">
        <f t="shared" si="8"/>
        <v>0</v>
      </c>
      <c r="AD246" s="3">
        <f t="shared" si="9"/>
        <v>2.752293578</v>
      </c>
      <c r="AE246" s="3">
        <f t="shared" si="10"/>
        <v>-3</v>
      </c>
      <c r="AF246" s="3">
        <f t="shared" si="11"/>
        <v>-2</v>
      </c>
      <c r="AG246" s="3">
        <f t="shared" si="12"/>
        <v>-1</v>
      </c>
    </row>
    <row r="247">
      <c r="A247" s="1" t="s">
        <v>8</v>
      </c>
      <c r="B247" s="1" t="s">
        <v>393</v>
      </c>
      <c r="C247" s="1" t="s">
        <v>19</v>
      </c>
      <c r="D247" s="1" t="s">
        <v>197</v>
      </c>
      <c r="E247" s="1" t="s">
        <v>113</v>
      </c>
      <c r="F247" s="1" t="s">
        <v>455</v>
      </c>
      <c r="G247" s="1">
        <v>10.5</v>
      </c>
      <c r="H247" s="1" t="s">
        <v>60</v>
      </c>
      <c r="I247" s="1">
        <v>-144.0</v>
      </c>
      <c r="J247" s="1">
        <v>-0.156945792233811</v>
      </c>
      <c r="K247" s="1" t="s">
        <v>61</v>
      </c>
      <c r="L247" s="1" t="s">
        <v>61</v>
      </c>
      <c r="M247" s="1" t="s">
        <v>62</v>
      </c>
      <c r="N247" s="1">
        <v>110.0</v>
      </c>
      <c r="O247" s="1">
        <v>0.0906046347859523</v>
      </c>
      <c r="P247" s="1" t="s">
        <v>61</v>
      </c>
      <c r="Q247" s="1" t="s">
        <v>61</v>
      </c>
      <c r="R247" s="1">
        <f t="shared" si="1"/>
        <v>0.09060463479</v>
      </c>
      <c r="S247" s="1">
        <f t="shared" si="2"/>
        <v>110</v>
      </c>
      <c r="T247" s="1">
        <f t="shared" si="3"/>
        <v>2.1</v>
      </c>
      <c r="U247" s="1">
        <f t="shared" si="4"/>
        <v>0</v>
      </c>
      <c r="V247" s="3">
        <f t="shared" si="5"/>
        <v>2</v>
      </c>
      <c r="W247" s="3">
        <f t="shared" si="6"/>
        <v>2</v>
      </c>
      <c r="X247" s="3" t="str">
        <f>IFERROR(__xludf.DUMMYFUNCTION("split(B247,"" "")"),"J.")</f>
        <v>J.</v>
      </c>
      <c r="Y247" s="3" t="str">
        <f>IFERROR(__xludf.DUMMYFUNCTION("""COMPUTED_VALUE"""),"Gibbs")</f>
        <v>Gibbs</v>
      </c>
      <c r="AA247" s="3">
        <v>13.0</v>
      </c>
      <c r="AB247" s="3">
        <f t="shared" si="7"/>
        <v>1</v>
      </c>
      <c r="AC247" s="3">
        <f t="shared" si="8"/>
        <v>0</v>
      </c>
      <c r="AD247" s="3">
        <f t="shared" si="9"/>
        <v>2.2</v>
      </c>
      <c r="AE247" s="3">
        <f t="shared" si="10"/>
        <v>-2</v>
      </c>
      <c r="AF247" s="3">
        <f t="shared" si="11"/>
        <v>-2</v>
      </c>
      <c r="AG247" s="3">
        <f t="shared" si="12"/>
        <v>-0.2380952381</v>
      </c>
    </row>
    <row r="248">
      <c r="A248" s="1" t="s">
        <v>12</v>
      </c>
      <c r="B248" s="1" t="s">
        <v>498</v>
      </c>
      <c r="C248" s="1" t="s">
        <v>20</v>
      </c>
      <c r="D248" s="1" t="s">
        <v>197</v>
      </c>
      <c r="E248" s="1" t="s">
        <v>113</v>
      </c>
      <c r="F248" s="1" t="s">
        <v>455</v>
      </c>
      <c r="G248" s="1">
        <v>5.5</v>
      </c>
      <c r="H248" s="1" t="s">
        <v>60</v>
      </c>
      <c r="I248" s="1">
        <v>118.0</v>
      </c>
      <c r="J248" s="1">
        <v>0.0816302752293577</v>
      </c>
      <c r="K248" s="1" t="s">
        <v>61</v>
      </c>
      <c r="L248" s="1" t="s">
        <v>61</v>
      </c>
      <c r="M248" s="1" t="s">
        <v>62</v>
      </c>
      <c r="N248" s="1">
        <v>-154.0</v>
      </c>
      <c r="O248" s="1">
        <v>-0.146638582677165</v>
      </c>
      <c r="P248" s="1" t="s">
        <v>61</v>
      </c>
      <c r="Q248" s="1" t="s">
        <v>61</v>
      </c>
      <c r="R248" s="1">
        <f t="shared" si="1"/>
        <v>0.08163027523</v>
      </c>
      <c r="S248" s="1">
        <f t="shared" si="2"/>
        <v>118</v>
      </c>
      <c r="T248" s="1">
        <f t="shared" si="3"/>
        <v>2.18</v>
      </c>
      <c r="U248" s="1">
        <f t="shared" si="4"/>
        <v>1</v>
      </c>
      <c r="V248" s="3">
        <f t="shared" si="5"/>
        <v>2</v>
      </c>
      <c r="W248" s="3">
        <f t="shared" si="6"/>
        <v>1</v>
      </c>
      <c r="X248" s="3" t="str">
        <f>IFERROR(__xludf.DUMMYFUNCTION("split(B248,"" "")"),"S.")</f>
        <v>S.</v>
      </c>
      <c r="Y248" s="3" t="str">
        <f>IFERROR(__xludf.DUMMYFUNCTION("""COMPUTED_VALUE"""),"LaPorta")</f>
        <v>LaPorta</v>
      </c>
      <c r="AA248" s="3">
        <v>2.0</v>
      </c>
      <c r="AB248" s="3">
        <f t="shared" si="7"/>
        <v>0</v>
      </c>
      <c r="AC248" s="3">
        <f t="shared" si="8"/>
        <v>0</v>
      </c>
      <c r="AD248" s="3">
        <f t="shared" si="9"/>
        <v>2.36</v>
      </c>
      <c r="AE248" s="3">
        <f t="shared" si="10"/>
        <v>-2</v>
      </c>
      <c r="AF248" s="3">
        <f t="shared" si="11"/>
        <v>-1</v>
      </c>
      <c r="AG248" s="3">
        <f t="shared" si="12"/>
        <v>-0.6363636364</v>
      </c>
    </row>
    <row r="249">
      <c r="A249" s="1" t="s">
        <v>11</v>
      </c>
      <c r="B249" s="1" t="s">
        <v>127</v>
      </c>
      <c r="C249" s="1" t="s">
        <v>18</v>
      </c>
      <c r="D249" s="1" t="s">
        <v>197</v>
      </c>
      <c r="E249" s="1" t="s">
        <v>113</v>
      </c>
      <c r="F249" s="1" t="s">
        <v>455</v>
      </c>
      <c r="G249" s="1">
        <v>46.5</v>
      </c>
      <c r="H249" s="1" t="s">
        <v>60</v>
      </c>
      <c r="I249" s="1">
        <v>-118.0</v>
      </c>
      <c r="J249" s="1">
        <v>-0.117575198622201</v>
      </c>
      <c r="K249" s="1" t="s">
        <v>61</v>
      </c>
      <c r="L249" s="1" t="s">
        <v>61</v>
      </c>
      <c r="M249" s="1" t="s">
        <v>62</v>
      </c>
      <c r="N249" s="1">
        <v>-111.0</v>
      </c>
      <c r="O249" s="1">
        <v>0.0502367322416399</v>
      </c>
      <c r="P249" s="1" t="s">
        <v>61</v>
      </c>
      <c r="Q249" s="1" t="s">
        <v>61</v>
      </c>
      <c r="R249" s="1">
        <f t="shared" si="1"/>
        <v>0.05023673224</v>
      </c>
      <c r="S249" s="1">
        <f t="shared" si="2"/>
        <v>-111</v>
      </c>
      <c r="T249" s="1">
        <f t="shared" si="3"/>
        <v>1.900900901</v>
      </c>
      <c r="U249" s="1">
        <f t="shared" si="4"/>
        <v>0</v>
      </c>
      <c r="V249" s="3">
        <f t="shared" si="5"/>
        <v>2</v>
      </c>
      <c r="W249" s="3">
        <f t="shared" si="6"/>
        <v>2</v>
      </c>
      <c r="X249" s="3" t="str">
        <f>IFERROR(__xludf.DUMMYFUNCTION("split(B249,"" "")"),"J.")</f>
        <v>J.</v>
      </c>
      <c r="Y249" s="3" t="str">
        <f>IFERROR(__xludf.DUMMYFUNCTION("""COMPUTED_VALUE"""),"Williams")</f>
        <v>Williams</v>
      </c>
      <c r="AA249" s="3">
        <v>79.0</v>
      </c>
      <c r="AB249" s="3">
        <f t="shared" si="7"/>
        <v>1</v>
      </c>
      <c r="AC249" s="3">
        <f t="shared" si="8"/>
        <v>0</v>
      </c>
      <c r="AD249" s="3">
        <f t="shared" si="9"/>
        <v>1.801801802</v>
      </c>
      <c r="AE249" s="3">
        <f t="shared" si="10"/>
        <v>-2</v>
      </c>
      <c r="AF249" s="3">
        <f t="shared" si="11"/>
        <v>-2</v>
      </c>
      <c r="AG249" s="3">
        <f t="shared" si="12"/>
        <v>-0.6989247312</v>
      </c>
    </row>
    <row r="250">
      <c r="A250" s="1" t="s">
        <v>9</v>
      </c>
      <c r="B250" s="1" t="s">
        <v>385</v>
      </c>
      <c r="C250" s="1" t="s">
        <v>18</v>
      </c>
      <c r="D250" s="1" t="s">
        <v>197</v>
      </c>
      <c r="E250" s="1" t="s">
        <v>113</v>
      </c>
      <c r="F250" s="1" t="s">
        <v>455</v>
      </c>
      <c r="G250" s="1">
        <v>80.5</v>
      </c>
      <c r="H250" s="1" t="s">
        <v>60</v>
      </c>
      <c r="I250" s="1">
        <v>-119.0</v>
      </c>
      <c r="J250" s="1">
        <v>-0.0933038960313277</v>
      </c>
      <c r="K250" s="1" t="s">
        <v>61</v>
      </c>
      <c r="L250" s="1" t="s">
        <v>61</v>
      </c>
      <c r="M250" s="1" t="s">
        <v>62</v>
      </c>
      <c r="N250" s="1">
        <v>-114.0</v>
      </c>
      <c r="O250" s="1">
        <v>0.0172354330989781</v>
      </c>
      <c r="P250" s="1" t="s">
        <v>61</v>
      </c>
      <c r="Q250" s="1" t="s">
        <v>61</v>
      </c>
      <c r="R250" s="1">
        <f t="shared" si="1"/>
        <v>0.0172354331</v>
      </c>
      <c r="S250" s="1">
        <f t="shared" si="2"/>
        <v>-114</v>
      </c>
      <c r="T250" s="1">
        <f t="shared" si="3"/>
        <v>1.877192982</v>
      </c>
      <c r="U250" s="1">
        <f t="shared" si="4"/>
        <v>0</v>
      </c>
      <c r="V250" s="3">
        <f t="shared" si="5"/>
        <v>1</v>
      </c>
      <c r="W250" s="3">
        <f t="shared" si="6"/>
        <v>2</v>
      </c>
      <c r="X250" s="3" t="str">
        <f>IFERROR(__xludf.DUMMYFUNCTION("split(B250,"" "")"),"A.")</f>
        <v>A.</v>
      </c>
      <c r="Y250" s="3" t="str">
        <f>IFERROR(__xludf.DUMMYFUNCTION("""COMPUTED_VALUE"""),"St.")</f>
        <v>St.</v>
      </c>
      <c r="Z250" s="3" t="str">
        <f>IFERROR(__xludf.DUMMYFUNCTION("""COMPUTED_VALUE"""),"Brown")</f>
        <v>Brown</v>
      </c>
      <c r="AA250" s="3">
        <v>119.0</v>
      </c>
      <c r="AB250" s="3">
        <f t="shared" si="7"/>
        <v>1</v>
      </c>
      <c r="AC250" s="3">
        <f t="shared" si="8"/>
        <v>0</v>
      </c>
      <c r="AD250" s="3">
        <f t="shared" si="9"/>
        <v>0.8771929825</v>
      </c>
      <c r="AE250" s="3">
        <f t="shared" si="10"/>
        <v>-1</v>
      </c>
      <c r="AF250" s="3">
        <f t="shared" si="11"/>
        <v>-2</v>
      </c>
      <c r="AG250" s="3">
        <f t="shared" si="12"/>
        <v>-0.4782608696</v>
      </c>
    </row>
    <row r="251">
      <c r="A251" s="1" t="s">
        <v>9</v>
      </c>
      <c r="B251" s="1" t="s">
        <v>393</v>
      </c>
      <c r="C251" s="1" t="s">
        <v>19</v>
      </c>
      <c r="D251" s="1" t="s">
        <v>197</v>
      </c>
      <c r="E251" s="1" t="s">
        <v>113</v>
      </c>
      <c r="F251" s="1" t="s">
        <v>455</v>
      </c>
      <c r="G251" s="1">
        <v>78.5</v>
      </c>
      <c r="H251" s="1" t="s">
        <v>60</v>
      </c>
      <c r="I251" s="1">
        <v>-118.0</v>
      </c>
      <c r="J251" s="1">
        <v>-0.0779310800239582</v>
      </c>
      <c r="K251" s="1" t="s">
        <v>61</v>
      </c>
      <c r="L251" s="1" t="s">
        <v>61</v>
      </c>
      <c r="M251" s="1" t="s">
        <v>62</v>
      </c>
      <c r="N251" s="1">
        <v>-114.0</v>
      </c>
      <c r="O251" s="1">
        <v>0.0039923177923089</v>
      </c>
      <c r="P251" s="1" t="s">
        <v>61</v>
      </c>
      <c r="Q251" s="1" t="s">
        <v>61</v>
      </c>
      <c r="R251" s="1">
        <f t="shared" si="1"/>
        <v>0.003992317792</v>
      </c>
      <c r="S251" s="1">
        <f t="shared" si="2"/>
        <v>-114</v>
      </c>
      <c r="T251" s="1">
        <f t="shared" si="3"/>
        <v>1.877192982</v>
      </c>
      <c r="U251" s="1">
        <f t="shared" si="4"/>
        <v>0</v>
      </c>
      <c r="V251" s="3">
        <f t="shared" si="5"/>
        <v>1</v>
      </c>
      <c r="W251" s="3">
        <f t="shared" si="6"/>
        <v>2</v>
      </c>
      <c r="X251" s="3" t="str">
        <f>IFERROR(__xludf.DUMMYFUNCTION("split(B251,"" "")"),"J.")</f>
        <v>J.</v>
      </c>
      <c r="Y251" s="3" t="str">
        <f>IFERROR(__xludf.DUMMYFUNCTION("""COMPUTED_VALUE"""),"Gibbs")</f>
        <v>Gibbs</v>
      </c>
      <c r="AA251" s="3">
        <v>106.0</v>
      </c>
      <c r="AB251" s="3">
        <f t="shared" si="7"/>
        <v>1</v>
      </c>
      <c r="AC251" s="3">
        <f t="shared" si="8"/>
        <v>0</v>
      </c>
      <c r="AD251" s="3">
        <f t="shared" si="9"/>
        <v>0.8771929825</v>
      </c>
      <c r="AE251" s="3">
        <f t="shared" si="10"/>
        <v>-1</v>
      </c>
      <c r="AF251" s="3">
        <f t="shared" si="11"/>
        <v>-2</v>
      </c>
      <c r="AG251" s="3">
        <f t="shared" si="12"/>
        <v>-0.3503184713</v>
      </c>
    </row>
    <row r="252">
      <c r="A252" s="1" t="s">
        <v>13</v>
      </c>
      <c r="B252" s="1" t="s">
        <v>241</v>
      </c>
      <c r="C252" s="1" t="s">
        <v>21</v>
      </c>
      <c r="D252" s="1" t="s">
        <v>197</v>
      </c>
      <c r="E252" s="1" t="s">
        <v>113</v>
      </c>
      <c r="F252" s="1" t="s">
        <v>455</v>
      </c>
      <c r="G252" s="1">
        <v>265.5</v>
      </c>
      <c r="H252" s="1" t="s">
        <v>60</v>
      </c>
      <c r="I252" s="1">
        <v>-119.0</v>
      </c>
      <c r="J252" s="1">
        <v>-0.0698646441570775</v>
      </c>
      <c r="K252" s="1" t="s">
        <v>61</v>
      </c>
      <c r="L252" s="1" t="s">
        <v>61</v>
      </c>
      <c r="M252" s="1" t="s">
        <v>62</v>
      </c>
      <c r="N252" s="1">
        <v>-111.0</v>
      </c>
      <c r="O252" s="1">
        <v>4.46692701421724E-4</v>
      </c>
      <c r="P252" s="1" t="s">
        <v>61</v>
      </c>
      <c r="Q252" s="1" t="s">
        <v>61</v>
      </c>
      <c r="R252" s="1">
        <f t="shared" si="1"/>
        <v>0.0004466927014</v>
      </c>
      <c r="S252" s="1">
        <f t="shared" si="2"/>
        <v>-111</v>
      </c>
      <c r="T252" s="1">
        <f t="shared" si="3"/>
        <v>1.900900901</v>
      </c>
      <c r="U252" s="1">
        <f t="shared" si="4"/>
        <v>0</v>
      </c>
      <c r="V252" s="3">
        <f t="shared" si="5"/>
        <v>1</v>
      </c>
      <c r="W252" s="3">
        <f t="shared" si="6"/>
        <v>2</v>
      </c>
      <c r="X252" s="3" t="str">
        <f>IFERROR(__xludf.DUMMYFUNCTION("split(B252,"" "")"),"J.")</f>
        <v>J.</v>
      </c>
      <c r="Y252" s="3" t="str">
        <f>IFERROR(__xludf.DUMMYFUNCTION("""COMPUTED_VALUE"""),"Goff")</f>
        <v>Goff</v>
      </c>
      <c r="AA252" s="3">
        <v>307.0</v>
      </c>
      <c r="AB252" s="3">
        <f t="shared" si="7"/>
        <v>1</v>
      </c>
      <c r="AC252" s="3">
        <f t="shared" si="8"/>
        <v>0</v>
      </c>
      <c r="AD252" s="3">
        <f t="shared" si="9"/>
        <v>0.9009009009</v>
      </c>
      <c r="AE252" s="3">
        <f t="shared" si="10"/>
        <v>-1</v>
      </c>
      <c r="AF252" s="3">
        <f t="shared" si="11"/>
        <v>-2</v>
      </c>
      <c r="AG252" s="3">
        <f t="shared" si="12"/>
        <v>-0.1563088512</v>
      </c>
    </row>
    <row r="253">
      <c r="A253" s="1" t="s">
        <v>14</v>
      </c>
      <c r="B253" s="1" t="s">
        <v>505</v>
      </c>
      <c r="C253" s="1" t="s">
        <v>21</v>
      </c>
      <c r="D253" s="1" t="s">
        <v>157</v>
      </c>
      <c r="E253" s="1" t="s">
        <v>71</v>
      </c>
      <c r="F253" s="1" t="s">
        <v>455</v>
      </c>
      <c r="G253" s="1">
        <v>0.5</v>
      </c>
      <c r="H253" s="1" t="s">
        <v>60</v>
      </c>
      <c r="I253" s="1">
        <v>-240.0</v>
      </c>
      <c r="J253" s="1">
        <v>-0.154182352941176</v>
      </c>
      <c r="K253" s="1" t="s">
        <v>61</v>
      </c>
      <c r="L253" s="1" t="s">
        <v>61</v>
      </c>
      <c r="M253" s="1" t="s">
        <v>62</v>
      </c>
      <c r="N253" s="1">
        <v>176.0</v>
      </c>
      <c r="O253" s="1">
        <v>0.0859811594202897</v>
      </c>
      <c r="P253" s="1" t="s">
        <v>61</v>
      </c>
      <c r="Q253" s="1" t="s">
        <v>61</v>
      </c>
      <c r="R253" s="1">
        <f t="shared" si="1"/>
        <v>0.08598115942</v>
      </c>
      <c r="S253" s="1">
        <f t="shared" si="2"/>
        <v>176</v>
      </c>
      <c r="T253" s="1">
        <f t="shared" si="3"/>
        <v>2.76</v>
      </c>
      <c r="U253" s="1">
        <f t="shared" si="4"/>
        <v>0</v>
      </c>
      <c r="V253" s="3">
        <f t="shared" si="5"/>
        <v>2</v>
      </c>
      <c r="W253" s="3">
        <f t="shared" si="6"/>
        <v>1</v>
      </c>
      <c r="X253" s="3" t="str">
        <f>IFERROR(__xludf.DUMMYFUNCTION("split(B253,"" "")"),"M.")</f>
        <v>M.</v>
      </c>
      <c r="Y253" s="3" t="str">
        <f>IFERROR(__xludf.DUMMYFUNCTION("""COMPUTED_VALUE"""),"Willis")</f>
        <v>Willis</v>
      </c>
      <c r="AA253" s="3">
        <v>1.0</v>
      </c>
      <c r="AB253" s="3">
        <f t="shared" si="7"/>
        <v>1</v>
      </c>
      <c r="AC253" s="3">
        <f t="shared" si="8"/>
        <v>0</v>
      </c>
      <c r="AD253" s="3">
        <f t="shared" si="9"/>
        <v>3.52</v>
      </c>
      <c r="AE253" s="3">
        <f t="shared" si="10"/>
        <v>-2</v>
      </c>
      <c r="AF253" s="3">
        <f t="shared" si="11"/>
        <v>-1</v>
      </c>
      <c r="AG253" s="3">
        <f t="shared" si="12"/>
        <v>-1</v>
      </c>
    </row>
    <row r="254">
      <c r="A254" s="1" t="s">
        <v>12</v>
      </c>
      <c r="B254" s="1" t="s">
        <v>359</v>
      </c>
      <c r="C254" s="1" t="s">
        <v>19</v>
      </c>
      <c r="D254" s="1" t="s">
        <v>72</v>
      </c>
      <c r="E254" s="1" t="s">
        <v>99</v>
      </c>
      <c r="F254" s="1" t="s">
        <v>460</v>
      </c>
      <c r="G254" s="1">
        <v>2.5</v>
      </c>
      <c r="H254" s="1" t="s">
        <v>60</v>
      </c>
      <c r="I254" s="1">
        <v>-133.0</v>
      </c>
      <c r="J254" s="1">
        <v>-0.253214277381974</v>
      </c>
      <c r="K254" s="1" t="s">
        <v>61</v>
      </c>
      <c r="L254" s="1" t="s">
        <v>61</v>
      </c>
      <c r="M254" s="1" t="s">
        <v>62</v>
      </c>
      <c r="N254" s="1">
        <v>100.0</v>
      </c>
      <c r="O254" s="1">
        <v>0.18239863315</v>
      </c>
      <c r="P254" s="1" t="s">
        <v>61</v>
      </c>
      <c r="Q254" s="1" t="s">
        <v>61</v>
      </c>
      <c r="R254" s="1">
        <f t="shared" si="1"/>
        <v>0.1823986332</v>
      </c>
      <c r="S254" s="1">
        <f t="shared" si="2"/>
        <v>100</v>
      </c>
      <c r="T254" s="1">
        <f t="shared" si="3"/>
        <v>2</v>
      </c>
      <c r="U254" s="1">
        <f t="shared" si="4"/>
        <v>0</v>
      </c>
      <c r="V254" s="3">
        <f t="shared" si="5"/>
        <v>3</v>
      </c>
      <c r="W254" s="3">
        <f t="shared" si="6"/>
        <v>2</v>
      </c>
      <c r="X254" s="3" t="str">
        <f>IFERROR(__xludf.DUMMYFUNCTION("split(B254,"" "")"),"J.")</f>
        <v>J.</v>
      </c>
      <c r="Y254" s="3" t="str">
        <f>IFERROR(__xludf.DUMMYFUNCTION("""COMPUTED_VALUE"""),"Mixon")</f>
        <v>Mixon</v>
      </c>
      <c r="AA254" s="3">
        <v>3.0</v>
      </c>
      <c r="AB254" s="3">
        <f t="shared" si="7"/>
        <v>1</v>
      </c>
      <c r="AC254" s="3">
        <f t="shared" si="8"/>
        <v>0</v>
      </c>
      <c r="AD254" s="3">
        <f t="shared" si="9"/>
        <v>3</v>
      </c>
      <c r="AE254" s="3">
        <f t="shared" si="10"/>
        <v>-3</v>
      </c>
      <c r="AF254" s="3">
        <f t="shared" si="11"/>
        <v>-2</v>
      </c>
      <c r="AG254" s="3">
        <f t="shared" si="12"/>
        <v>-0.2</v>
      </c>
    </row>
    <row r="255">
      <c r="A255" s="1" t="s">
        <v>12</v>
      </c>
      <c r="B255" s="1" t="s">
        <v>495</v>
      </c>
      <c r="C255" s="1" t="s">
        <v>18</v>
      </c>
      <c r="D255" s="1" t="s">
        <v>72</v>
      </c>
      <c r="E255" s="1" t="s">
        <v>99</v>
      </c>
      <c r="F255" s="1" t="s">
        <v>460</v>
      </c>
      <c r="G255" s="1">
        <v>4.5</v>
      </c>
      <c r="H255" s="1" t="s">
        <v>60</v>
      </c>
      <c r="I255" s="1">
        <v>-143.0</v>
      </c>
      <c r="J255" s="1">
        <v>-0.149936213991769</v>
      </c>
      <c r="K255" s="1" t="s">
        <v>61</v>
      </c>
      <c r="L255" s="1" t="s">
        <v>61</v>
      </c>
      <c r="M255" s="1" t="s">
        <v>62</v>
      </c>
      <c r="N255" s="1">
        <v>109.0</v>
      </c>
      <c r="O255" s="1">
        <v>0.0829832535885168</v>
      </c>
      <c r="P255" s="1" t="s">
        <v>61</v>
      </c>
      <c r="Q255" s="1" t="s">
        <v>61</v>
      </c>
      <c r="R255" s="1">
        <f t="shared" si="1"/>
        <v>0.08298325359</v>
      </c>
      <c r="S255" s="1">
        <f t="shared" si="2"/>
        <v>109</v>
      </c>
      <c r="T255" s="1">
        <f t="shared" si="3"/>
        <v>2.09</v>
      </c>
      <c r="U255" s="1">
        <f t="shared" si="4"/>
        <v>0</v>
      </c>
      <c r="V255" s="3">
        <f t="shared" si="5"/>
        <v>2</v>
      </c>
      <c r="W255" s="3">
        <f t="shared" si="6"/>
        <v>2</v>
      </c>
      <c r="X255" s="3" t="str">
        <f>IFERROR(__xludf.DUMMYFUNCTION("split(B255,"" "")"),"N.")</f>
        <v>N.</v>
      </c>
      <c r="Y255" s="3" t="str">
        <f>IFERROR(__xludf.DUMMYFUNCTION("""COMPUTED_VALUE"""),"Collins")</f>
        <v>Collins</v>
      </c>
      <c r="AA255" s="3">
        <v>8.0</v>
      </c>
      <c r="AB255" s="3">
        <f t="shared" si="7"/>
        <v>1</v>
      </c>
      <c r="AC255" s="3">
        <f t="shared" si="8"/>
        <v>0</v>
      </c>
      <c r="AD255" s="3">
        <f t="shared" si="9"/>
        <v>2.18</v>
      </c>
      <c r="AE255" s="3">
        <f t="shared" si="10"/>
        <v>-2</v>
      </c>
      <c r="AF255" s="3">
        <f t="shared" si="11"/>
        <v>-2</v>
      </c>
      <c r="AG255" s="3">
        <f t="shared" si="12"/>
        <v>-0.7777777778</v>
      </c>
    </row>
    <row r="256">
      <c r="A256" s="1" t="s">
        <v>8</v>
      </c>
      <c r="B256" s="1" t="s">
        <v>359</v>
      </c>
      <c r="C256" s="1" t="s">
        <v>19</v>
      </c>
      <c r="D256" s="1" t="s">
        <v>72</v>
      </c>
      <c r="E256" s="1" t="s">
        <v>99</v>
      </c>
      <c r="F256" s="1" t="s">
        <v>460</v>
      </c>
      <c r="G256" s="1">
        <v>17.5</v>
      </c>
      <c r="H256" s="1" t="s">
        <v>60</v>
      </c>
      <c r="I256" s="1">
        <v>-104.0</v>
      </c>
      <c r="J256" s="1">
        <v>0.0293960784313725</v>
      </c>
      <c r="K256" s="1" t="s">
        <v>61</v>
      </c>
      <c r="L256" s="1" t="s">
        <v>61</v>
      </c>
      <c r="M256" s="1" t="s">
        <v>62</v>
      </c>
      <c r="N256" s="1">
        <v>-128.0</v>
      </c>
      <c r="O256" s="1">
        <v>-0.100603508771929</v>
      </c>
      <c r="P256" s="1" t="s">
        <v>61</v>
      </c>
      <c r="Q256" s="1" t="s">
        <v>61</v>
      </c>
      <c r="R256" s="1">
        <f t="shared" si="1"/>
        <v>0.02939607843</v>
      </c>
      <c r="S256" s="1">
        <f t="shared" si="2"/>
        <v>-104</v>
      </c>
      <c r="T256" s="1">
        <f t="shared" si="3"/>
        <v>1.961538462</v>
      </c>
      <c r="U256" s="1">
        <f t="shared" si="4"/>
        <v>1</v>
      </c>
      <c r="V256" s="3">
        <f t="shared" si="5"/>
        <v>1</v>
      </c>
      <c r="W256" s="3">
        <f t="shared" si="6"/>
        <v>2</v>
      </c>
      <c r="X256" s="3" t="str">
        <f>IFERROR(__xludf.DUMMYFUNCTION("split(B256,"" "")"),"J.")</f>
        <v>J.</v>
      </c>
      <c r="Y256" s="3" t="str">
        <f>IFERROR(__xludf.DUMMYFUNCTION("""COMPUTED_VALUE"""),"Mixon")</f>
        <v>Mixon</v>
      </c>
      <c r="AA256" s="3">
        <v>9.0</v>
      </c>
      <c r="AB256" s="3">
        <f t="shared" si="7"/>
        <v>0</v>
      </c>
      <c r="AC256" s="3">
        <f t="shared" si="8"/>
        <v>0</v>
      </c>
      <c r="AD256" s="3">
        <f t="shared" si="9"/>
        <v>0.9615384615</v>
      </c>
      <c r="AE256" s="3">
        <f t="shared" si="10"/>
        <v>-1</v>
      </c>
      <c r="AF256" s="3">
        <f t="shared" si="11"/>
        <v>-2</v>
      </c>
      <c r="AG256" s="3">
        <f t="shared" si="12"/>
        <v>-0.4857142857</v>
      </c>
    </row>
    <row r="257">
      <c r="A257" s="1" t="s">
        <v>11</v>
      </c>
      <c r="B257" s="1" t="s">
        <v>495</v>
      </c>
      <c r="C257" s="1" t="s">
        <v>18</v>
      </c>
      <c r="D257" s="1" t="s">
        <v>72</v>
      </c>
      <c r="E257" s="1" t="s">
        <v>99</v>
      </c>
      <c r="F257" s="1" t="s">
        <v>460</v>
      </c>
      <c r="G257" s="1">
        <v>65.5</v>
      </c>
      <c r="H257" s="1" t="s">
        <v>60</v>
      </c>
      <c r="I257" s="1">
        <v>-117.0</v>
      </c>
      <c r="J257" s="1">
        <v>-0.0725710489727045</v>
      </c>
      <c r="K257" s="1" t="s">
        <v>61</v>
      </c>
      <c r="L257" s="1" t="s">
        <v>61</v>
      </c>
      <c r="M257" s="1" t="s">
        <v>62</v>
      </c>
      <c r="N257" s="1">
        <v>-111.0</v>
      </c>
      <c r="O257" s="1">
        <v>0.0073337773702673</v>
      </c>
      <c r="P257" s="1" t="s">
        <v>61</v>
      </c>
      <c r="Q257" s="1" t="s">
        <v>61</v>
      </c>
      <c r="R257" s="1">
        <f t="shared" si="1"/>
        <v>0.00733377737</v>
      </c>
      <c r="S257" s="1">
        <f t="shared" si="2"/>
        <v>-111</v>
      </c>
      <c r="T257" s="1">
        <f t="shared" si="3"/>
        <v>1.900900901</v>
      </c>
      <c r="U257" s="1">
        <f t="shared" si="4"/>
        <v>0</v>
      </c>
      <c r="V257" s="3">
        <f t="shared" si="5"/>
        <v>1</v>
      </c>
      <c r="W257" s="3">
        <f t="shared" si="6"/>
        <v>2</v>
      </c>
      <c r="X257" s="3" t="str">
        <f>IFERROR(__xludf.DUMMYFUNCTION("split(B257,"" "")"),"N.")</f>
        <v>N.</v>
      </c>
      <c r="Y257" s="3" t="str">
        <f>IFERROR(__xludf.DUMMYFUNCTION("""COMPUTED_VALUE"""),"Collins")</f>
        <v>Collins</v>
      </c>
      <c r="AA257" s="3">
        <v>135.0</v>
      </c>
      <c r="AB257" s="3">
        <f t="shared" si="7"/>
        <v>1</v>
      </c>
      <c r="AC257" s="3">
        <f t="shared" si="8"/>
        <v>0</v>
      </c>
      <c r="AD257" s="3">
        <f t="shared" si="9"/>
        <v>0.9009009009</v>
      </c>
      <c r="AE257" s="3">
        <f t="shared" si="10"/>
        <v>-1</v>
      </c>
      <c r="AF257" s="3">
        <f t="shared" si="11"/>
        <v>-2</v>
      </c>
      <c r="AG257" s="3">
        <f t="shared" si="12"/>
        <v>-1.061068702</v>
      </c>
    </row>
    <row r="258">
      <c r="A258" s="1" t="s">
        <v>11</v>
      </c>
      <c r="B258" s="1" t="s">
        <v>359</v>
      </c>
      <c r="C258" s="1" t="s">
        <v>19</v>
      </c>
      <c r="D258" s="1" t="s">
        <v>72</v>
      </c>
      <c r="E258" s="1" t="s">
        <v>99</v>
      </c>
      <c r="F258" s="1" t="s">
        <v>460</v>
      </c>
      <c r="G258" s="1">
        <v>17.5</v>
      </c>
      <c r="H258" s="1" t="s">
        <v>60</v>
      </c>
      <c r="I258" s="1">
        <v>-113.0</v>
      </c>
      <c r="J258" s="1">
        <v>-0.0731809818436478</v>
      </c>
      <c r="K258" s="1" t="s">
        <v>61</v>
      </c>
      <c r="L258" s="1" t="s">
        <v>61</v>
      </c>
      <c r="M258" s="1" t="s">
        <v>62</v>
      </c>
      <c r="N258" s="1">
        <v>-116.0</v>
      </c>
      <c r="O258" s="1">
        <v>0.00565118978670597</v>
      </c>
      <c r="P258" s="1" t="s">
        <v>61</v>
      </c>
      <c r="Q258" s="1" t="s">
        <v>61</v>
      </c>
      <c r="R258" s="1">
        <f t="shared" si="1"/>
        <v>0.005651189787</v>
      </c>
      <c r="S258" s="1">
        <f t="shared" si="2"/>
        <v>-116</v>
      </c>
      <c r="T258" s="1">
        <f t="shared" si="3"/>
        <v>1.862068966</v>
      </c>
      <c r="U258" s="1">
        <f t="shared" si="4"/>
        <v>0</v>
      </c>
      <c r="V258" s="3">
        <f t="shared" si="5"/>
        <v>1</v>
      </c>
      <c r="W258" s="3">
        <f t="shared" si="6"/>
        <v>2</v>
      </c>
      <c r="X258" s="3" t="str">
        <f>IFERROR(__xludf.DUMMYFUNCTION("split(B258,"" "")"),"J.")</f>
        <v>J.</v>
      </c>
      <c r="Y258" s="3" t="str">
        <f>IFERROR(__xludf.DUMMYFUNCTION("""COMPUTED_VALUE"""),"Mixon")</f>
        <v>Mixon</v>
      </c>
      <c r="AA258" s="3">
        <v>25.0</v>
      </c>
      <c r="AB258" s="3">
        <f t="shared" si="7"/>
        <v>1</v>
      </c>
      <c r="AC258" s="3">
        <f t="shared" si="8"/>
        <v>0</v>
      </c>
      <c r="AD258" s="3">
        <f t="shared" si="9"/>
        <v>0.8620689655</v>
      </c>
      <c r="AE258" s="3">
        <f t="shared" si="10"/>
        <v>-1</v>
      </c>
      <c r="AF258" s="3">
        <f t="shared" si="11"/>
        <v>-2</v>
      </c>
      <c r="AG258" s="3">
        <f t="shared" si="12"/>
        <v>-0.4285714286</v>
      </c>
    </row>
    <row r="259">
      <c r="A259" s="1" t="s">
        <v>17</v>
      </c>
      <c r="B259" s="1" t="s">
        <v>200</v>
      </c>
      <c r="C259" s="1" t="s">
        <v>21</v>
      </c>
      <c r="D259" s="1" t="s">
        <v>71</v>
      </c>
      <c r="E259" s="1" t="s">
        <v>157</v>
      </c>
      <c r="F259" s="1" t="s">
        <v>455</v>
      </c>
      <c r="G259" s="1">
        <v>0.5</v>
      </c>
      <c r="H259" s="1" t="s">
        <v>60</v>
      </c>
      <c r="I259" s="1">
        <v>-140.0</v>
      </c>
      <c r="J259" s="1">
        <v>-0.132891666666666</v>
      </c>
      <c r="K259" s="1" t="s">
        <v>61</v>
      </c>
      <c r="L259" s="1" t="s">
        <v>61</v>
      </c>
      <c r="M259" s="1" t="s">
        <v>62</v>
      </c>
      <c r="N259" s="1">
        <v>106.0</v>
      </c>
      <c r="O259" s="1">
        <v>0.0641145631067962</v>
      </c>
      <c r="P259" s="1" t="s">
        <v>61</v>
      </c>
      <c r="Q259" s="1" t="s">
        <v>61</v>
      </c>
      <c r="R259" s="1">
        <f t="shared" si="1"/>
        <v>0.06411456311</v>
      </c>
      <c r="S259" s="1">
        <f t="shared" si="2"/>
        <v>106</v>
      </c>
      <c r="T259" s="1">
        <f t="shared" si="3"/>
        <v>2.06</v>
      </c>
      <c r="U259" s="1">
        <f t="shared" si="4"/>
        <v>0</v>
      </c>
      <c r="V259" s="3">
        <f t="shared" si="5"/>
        <v>2</v>
      </c>
      <c r="W259" s="3">
        <f t="shared" si="6"/>
        <v>2</v>
      </c>
      <c r="X259" s="3" t="str">
        <f>IFERROR(__xludf.DUMMYFUNCTION("split(B259,"" "")"),"A.")</f>
        <v>A.</v>
      </c>
      <c r="Y259" s="3" t="str">
        <f>IFERROR(__xludf.DUMMYFUNCTION("""COMPUTED_VALUE"""),"Richardson")</f>
        <v>Richardson</v>
      </c>
      <c r="AA259" s="3">
        <v>3.0</v>
      </c>
      <c r="AB259" s="3">
        <f t="shared" si="7"/>
        <v>1</v>
      </c>
      <c r="AC259" s="3">
        <f t="shared" si="8"/>
        <v>0</v>
      </c>
      <c r="AD259" s="3">
        <f t="shared" si="9"/>
        <v>2.12</v>
      </c>
      <c r="AE259" s="3">
        <f t="shared" si="10"/>
        <v>-2</v>
      </c>
      <c r="AF259" s="3">
        <f t="shared" si="11"/>
        <v>-2</v>
      </c>
      <c r="AG259" s="3">
        <f t="shared" si="12"/>
        <v>-5</v>
      </c>
    </row>
    <row r="260">
      <c r="A260" s="1" t="s">
        <v>10</v>
      </c>
      <c r="B260" s="1" t="s">
        <v>444</v>
      </c>
      <c r="C260" s="1" t="s">
        <v>19</v>
      </c>
      <c r="D260" s="1" t="s">
        <v>71</v>
      </c>
      <c r="E260" s="1" t="s">
        <v>157</v>
      </c>
      <c r="F260" s="1" t="s">
        <v>455</v>
      </c>
      <c r="G260" s="1">
        <v>79.5</v>
      </c>
      <c r="H260" s="1" t="s">
        <v>60</v>
      </c>
      <c r="I260" s="1">
        <v>-118.0</v>
      </c>
      <c r="J260" s="1">
        <v>-0.0940847581412906</v>
      </c>
      <c r="K260" s="1" t="s">
        <v>61</v>
      </c>
      <c r="L260" s="1" t="s">
        <v>61</v>
      </c>
      <c r="M260" s="1" t="s">
        <v>62</v>
      </c>
      <c r="N260" s="1">
        <v>-111.0</v>
      </c>
      <c r="O260" s="1">
        <v>0.0267332924662797</v>
      </c>
      <c r="P260" s="1" t="s">
        <v>61</v>
      </c>
      <c r="Q260" s="1" t="s">
        <v>61</v>
      </c>
      <c r="R260" s="1">
        <f t="shared" si="1"/>
        <v>0.02673329247</v>
      </c>
      <c r="S260" s="1">
        <f t="shared" si="2"/>
        <v>-111</v>
      </c>
      <c r="T260" s="1">
        <f t="shared" si="3"/>
        <v>1.900900901</v>
      </c>
      <c r="U260" s="1">
        <f t="shared" si="4"/>
        <v>0</v>
      </c>
      <c r="V260" s="3">
        <f t="shared" si="5"/>
        <v>1</v>
      </c>
      <c r="W260" s="3">
        <f t="shared" si="6"/>
        <v>2</v>
      </c>
      <c r="X260" s="3" t="str">
        <f>IFERROR(__xludf.DUMMYFUNCTION("split(B260,"" "")"),"J.")</f>
        <v>J.</v>
      </c>
      <c r="Y260" s="3" t="str">
        <f>IFERROR(__xludf.DUMMYFUNCTION("""COMPUTED_VALUE"""),"Taylor")</f>
        <v>Taylor</v>
      </c>
      <c r="AA260" s="3">
        <v>103.0</v>
      </c>
      <c r="AB260" s="3">
        <f t="shared" si="7"/>
        <v>1</v>
      </c>
      <c r="AC260" s="3">
        <f t="shared" si="8"/>
        <v>0</v>
      </c>
      <c r="AD260" s="3">
        <f t="shared" si="9"/>
        <v>0.9009009009</v>
      </c>
      <c r="AE260" s="3">
        <f t="shared" si="10"/>
        <v>-1</v>
      </c>
      <c r="AF260" s="3">
        <f t="shared" si="11"/>
        <v>-2</v>
      </c>
      <c r="AG260" s="3">
        <f t="shared" si="12"/>
        <v>-0.2955974843</v>
      </c>
    </row>
    <row r="261">
      <c r="A261" s="1" t="s">
        <v>12</v>
      </c>
      <c r="B261" s="1" t="s">
        <v>467</v>
      </c>
      <c r="C261" s="1" t="s">
        <v>18</v>
      </c>
      <c r="D261" s="1" t="s">
        <v>93</v>
      </c>
      <c r="E261" s="1" t="s">
        <v>89</v>
      </c>
      <c r="F261" s="1" t="s">
        <v>455</v>
      </c>
      <c r="G261" s="1">
        <v>2.5</v>
      </c>
      <c r="H261" s="1" t="s">
        <v>60</v>
      </c>
      <c r="I261" s="1">
        <v>-140.0</v>
      </c>
      <c r="J261" s="1">
        <v>-0.242190175833333</v>
      </c>
      <c r="K261" s="1" t="s">
        <v>61</v>
      </c>
      <c r="L261" s="1" t="s">
        <v>61</v>
      </c>
      <c r="M261" s="1" t="s">
        <v>62</v>
      </c>
      <c r="N261" s="1">
        <v>106.0</v>
      </c>
      <c r="O261" s="1">
        <v>0.173412826213592</v>
      </c>
      <c r="P261" s="1" t="s">
        <v>61</v>
      </c>
      <c r="Q261" s="1" t="s">
        <v>61</v>
      </c>
      <c r="R261" s="1">
        <f t="shared" si="1"/>
        <v>0.1734128262</v>
      </c>
      <c r="S261" s="1">
        <f t="shared" si="2"/>
        <v>106</v>
      </c>
      <c r="T261" s="1">
        <f t="shared" si="3"/>
        <v>2.06</v>
      </c>
      <c r="U261" s="1">
        <f t="shared" si="4"/>
        <v>0</v>
      </c>
      <c r="V261" s="3">
        <f t="shared" si="5"/>
        <v>3</v>
      </c>
      <c r="W261" s="3">
        <f t="shared" si="6"/>
        <v>2</v>
      </c>
      <c r="X261" s="3" t="str">
        <f>IFERROR(__xludf.DUMMYFUNCTION("split(B261,"" "")"),"G.")</f>
        <v>G.</v>
      </c>
      <c r="Y261" s="3" t="str">
        <f>IFERROR(__xludf.DUMMYFUNCTION("""COMPUTED_VALUE"""),"Davis")</f>
        <v>Davis</v>
      </c>
      <c r="AA261" s="3">
        <v>3.0</v>
      </c>
      <c r="AB261" s="3">
        <f t="shared" si="7"/>
        <v>1</v>
      </c>
      <c r="AC261" s="3">
        <f t="shared" si="8"/>
        <v>0</v>
      </c>
      <c r="AD261" s="3">
        <f t="shared" si="9"/>
        <v>3.18</v>
      </c>
      <c r="AE261" s="3">
        <f t="shared" si="10"/>
        <v>-3</v>
      </c>
      <c r="AF261" s="3">
        <f t="shared" si="11"/>
        <v>-2</v>
      </c>
      <c r="AG261" s="3">
        <f t="shared" si="12"/>
        <v>-0.2</v>
      </c>
    </row>
    <row r="262">
      <c r="A262" s="1" t="s">
        <v>10</v>
      </c>
      <c r="B262" s="1" t="s">
        <v>119</v>
      </c>
      <c r="C262" s="1" t="s">
        <v>21</v>
      </c>
      <c r="D262" s="1" t="s">
        <v>93</v>
      </c>
      <c r="E262" s="1" t="s">
        <v>89</v>
      </c>
      <c r="F262" s="1" t="s">
        <v>455</v>
      </c>
      <c r="G262" s="1">
        <v>14.5</v>
      </c>
      <c r="H262" s="1" t="s">
        <v>60</v>
      </c>
      <c r="I262" s="1">
        <v>-120.0</v>
      </c>
      <c r="J262" s="1">
        <v>-0.107185882971652</v>
      </c>
      <c r="K262" s="1" t="s">
        <v>61</v>
      </c>
      <c r="L262" s="1" t="s">
        <v>61</v>
      </c>
      <c r="M262" s="1" t="s">
        <v>62</v>
      </c>
      <c r="N262" s="1">
        <v>-110.0</v>
      </c>
      <c r="O262" s="1">
        <v>0.0379418270435237</v>
      </c>
      <c r="P262" s="1" t="s">
        <v>61</v>
      </c>
      <c r="Q262" s="1" t="s">
        <v>61</v>
      </c>
      <c r="R262" s="1">
        <f t="shared" si="1"/>
        <v>0.03794182704</v>
      </c>
      <c r="S262" s="1">
        <f t="shared" si="2"/>
        <v>-110</v>
      </c>
      <c r="T262" s="1">
        <f t="shared" si="3"/>
        <v>1.909090909</v>
      </c>
      <c r="U262" s="1">
        <f t="shared" si="4"/>
        <v>0</v>
      </c>
      <c r="V262" s="3">
        <f t="shared" si="5"/>
        <v>1</v>
      </c>
      <c r="W262" s="3">
        <f t="shared" si="6"/>
        <v>2</v>
      </c>
      <c r="X262" s="3" t="str">
        <f>IFERROR(__xludf.DUMMYFUNCTION("split(B262,"" "")"),"T.")</f>
        <v>T.</v>
      </c>
      <c r="Y262" s="3" t="str">
        <f>IFERROR(__xludf.DUMMYFUNCTION("""COMPUTED_VALUE"""),"Lawrence")</f>
        <v>Lawrence</v>
      </c>
      <c r="AA262" s="3">
        <v>45.0</v>
      </c>
      <c r="AB262" s="3">
        <f t="shared" si="7"/>
        <v>1</v>
      </c>
      <c r="AC262" s="3">
        <f t="shared" si="8"/>
        <v>0</v>
      </c>
      <c r="AD262" s="3">
        <f t="shared" si="9"/>
        <v>0.9090909091</v>
      </c>
      <c r="AE262" s="3">
        <f t="shared" si="10"/>
        <v>-1</v>
      </c>
      <c r="AF262" s="3">
        <f t="shared" si="11"/>
        <v>-2</v>
      </c>
      <c r="AG262" s="3">
        <f t="shared" si="12"/>
        <v>-2.103448276</v>
      </c>
    </row>
    <row r="263">
      <c r="A263" s="1" t="s">
        <v>12</v>
      </c>
      <c r="B263" s="1" t="s">
        <v>179</v>
      </c>
      <c r="C263" s="1" t="s">
        <v>19</v>
      </c>
      <c r="D263" s="1" t="s">
        <v>76</v>
      </c>
      <c r="E263" s="1" t="s">
        <v>67</v>
      </c>
      <c r="F263" s="1" t="s">
        <v>461</v>
      </c>
      <c r="G263" s="1">
        <v>2.5</v>
      </c>
      <c r="H263" s="1" t="s">
        <v>60</v>
      </c>
      <c r="I263" s="1">
        <v>-143.0</v>
      </c>
      <c r="J263" s="1">
        <v>-0.257776057736625</v>
      </c>
      <c r="K263" s="1" t="s">
        <v>61</v>
      </c>
      <c r="L263" s="1" t="s">
        <v>61</v>
      </c>
      <c r="M263" s="1" t="s">
        <v>62</v>
      </c>
      <c r="N263" s="1">
        <v>110.0</v>
      </c>
      <c r="O263" s="1">
        <v>0.193108009666666</v>
      </c>
      <c r="P263" s="1" t="s">
        <v>61</v>
      </c>
      <c r="Q263" s="1" t="s">
        <v>61</v>
      </c>
      <c r="R263" s="1">
        <f t="shared" si="1"/>
        <v>0.1931080097</v>
      </c>
      <c r="S263" s="1">
        <f t="shared" si="2"/>
        <v>110</v>
      </c>
      <c r="T263" s="1">
        <f t="shared" si="3"/>
        <v>2.1</v>
      </c>
      <c r="U263" s="1">
        <f t="shared" si="4"/>
        <v>0</v>
      </c>
      <c r="V263" s="3">
        <f t="shared" si="5"/>
        <v>3</v>
      </c>
      <c r="W263" s="3">
        <f t="shared" si="6"/>
        <v>2</v>
      </c>
      <c r="X263" s="3" t="str">
        <f>IFERROR(__xludf.DUMMYFUNCTION("split(B263,"" "")"),"I.")</f>
        <v>I.</v>
      </c>
      <c r="Y263" s="3" t="str">
        <f>IFERROR(__xludf.DUMMYFUNCTION("""COMPUTED_VALUE"""),"Pacheco")</f>
        <v>Pacheco</v>
      </c>
      <c r="AA263" s="3">
        <v>5.0</v>
      </c>
      <c r="AB263" s="3">
        <f t="shared" si="7"/>
        <v>1</v>
      </c>
      <c r="AC263" s="3">
        <f t="shared" si="8"/>
        <v>0</v>
      </c>
      <c r="AD263" s="3">
        <f t="shared" si="9"/>
        <v>3.3</v>
      </c>
      <c r="AE263" s="3">
        <f t="shared" si="10"/>
        <v>-3</v>
      </c>
      <c r="AF263" s="3">
        <f t="shared" si="11"/>
        <v>-2</v>
      </c>
      <c r="AG263" s="3">
        <f t="shared" si="12"/>
        <v>-1</v>
      </c>
    </row>
    <row r="264">
      <c r="A264" s="1" t="s">
        <v>14</v>
      </c>
      <c r="B264" s="1" t="s">
        <v>75</v>
      </c>
      <c r="C264" s="1" t="s">
        <v>21</v>
      </c>
      <c r="D264" s="1" t="s">
        <v>76</v>
      </c>
      <c r="E264" s="1" t="s">
        <v>67</v>
      </c>
      <c r="F264" s="1" t="s">
        <v>461</v>
      </c>
      <c r="G264" s="1">
        <v>1.5</v>
      </c>
      <c r="H264" s="1" t="s">
        <v>60</v>
      </c>
      <c r="I264" s="1">
        <v>-184.0</v>
      </c>
      <c r="J264" s="1">
        <v>-0.165152112676056</v>
      </c>
      <c r="K264" s="1" t="s">
        <v>61</v>
      </c>
      <c r="L264" s="1" t="s">
        <v>61</v>
      </c>
      <c r="M264" s="1" t="s">
        <v>62</v>
      </c>
      <c r="N264" s="1">
        <v>138.0</v>
      </c>
      <c r="O264" s="1">
        <v>0.0970899159663865</v>
      </c>
      <c r="P264" s="1" t="s">
        <v>61</v>
      </c>
      <c r="Q264" s="1" t="s">
        <v>61</v>
      </c>
      <c r="R264" s="1">
        <f t="shared" si="1"/>
        <v>0.09708991597</v>
      </c>
      <c r="S264" s="1">
        <f t="shared" si="2"/>
        <v>138</v>
      </c>
      <c r="T264" s="1">
        <f t="shared" si="3"/>
        <v>2.38</v>
      </c>
      <c r="U264" s="1">
        <f t="shared" si="4"/>
        <v>0</v>
      </c>
      <c r="V264" s="3">
        <f t="shared" si="5"/>
        <v>2</v>
      </c>
      <c r="W264" s="3">
        <f t="shared" si="6"/>
        <v>1</v>
      </c>
      <c r="X264" s="3" t="str">
        <f>IFERROR(__xludf.DUMMYFUNCTION("split(B264,"" "")"),"P.")</f>
        <v>P.</v>
      </c>
      <c r="Y264" s="3" t="str">
        <f>IFERROR(__xludf.DUMMYFUNCTION("""COMPUTED_VALUE"""),"Mahomes")</f>
        <v>Mahomes</v>
      </c>
      <c r="AA264" s="3">
        <v>2.0</v>
      </c>
      <c r="AB264" s="3">
        <f t="shared" si="7"/>
        <v>1</v>
      </c>
      <c r="AC264" s="3">
        <f t="shared" si="8"/>
        <v>0</v>
      </c>
      <c r="AD264" s="3">
        <f t="shared" si="9"/>
        <v>2.76</v>
      </c>
      <c r="AE264" s="3">
        <f t="shared" si="10"/>
        <v>-2</v>
      </c>
      <c r="AF264" s="3">
        <f t="shared" si="11"/>
        <v>-1</v>
      </c>
      <c r="AG264" s="3">
        <f t="shared" si="12"/>
        <v>-0.3333333333</v>
      </c>
    </row>
    <row r="265">
      <c r="A265" s="1" t="s">
        <v>12</v>
      </c>
      <c r="B265" s="1" t="s">
        <v>493</v>
      </c>
      <c r="C265" s="1" t="s">
        <v>18</v>
      </c>
      <c r="D265" s="1" t="s">
        <v>76</v>
      </c>
      <c r="E265" s="1" t="s">
        <v>67</v>
      </c>
      <c r="F265" s="1" t="s">
        <v>461</v>
      </c>
      <c r="G265" s="1">
        <v>6.5</v>
      </c>
      <c r="H265" s="1" t="s">
        <v>60</v>
      </c>
      <c r="I265" s="1">
        <v>118.0</v>
      </c>
      <c r="J265" s="1">
        <v>0.0855385321100916</v>
      </c>
      <c r="K265" s="1" t="s">
        <v>61</v>
      </c>
      <c r="L265" s="1" t="s">
        <v>61</v>
      </c>
      <c r="M265" s="1" t="s">
        <v>62</v>
      </c>
      <c r="N265" s="1">
        <v>-154.0</v>
      </c>
      <c r="O265" s="1">
        <v>-0.150559842519685</v>
      </c>
      <c r="P265" s="1" t="s">
        <v>61</v>
      </c>
      <c r="Q265" s="1" t="s">
        <v>61</v>
      </c>
      <c r="R265" s="1">
        <f t="shared" si="1"/>
        <v>0.08553853211</v>
      </c>
      <c r="S265" s="1">
        <f t="shared" si="2"/>
        <v>118</v>
      </c>
      <c r="T265" s="1">
        <f t="shared" si="3"/>
        <v>2.18</v>
      </c>
      <c r="U265" s="1">
        <f t="shared" si="4"/>
        <v>1</v>
      </c>
      <c r="V265" s="3">
        <f t="shared" si="5"/>
        <v>2</v>
      </c>
      <c r="W265" s="3">
        <f t="shared" si="6"/>
        <v>1</v>
      </c>
      <c r="X265" s="3" t="str">
        <f>IFERROR(__xludf.DUMMYFUNCTION("split(B265,"" "")"),"R.")</f>
        <v>R.</v>
      </c>
      <c r="Y265" s="3" t="str">
        <f>IFERROR(__xludf.DUMMYFUNCTION("""COMPUTED_VALUE"""),"Rice")</f>
        <v>Rice</v>
      </c>
      <c r="AA265" s="3">
        <v>5.0</v>
      </c>
      <c r="AB265" s="3">
        <f t="shared" si="7"/>
        <v>0</v>
      </c>
      <c r="AC265" s="3">
        <f t="shared" si="8"/>
        <v>0</v>
      </c>
      <c r="AD265" s="3">
        <f t="shared" si="9"/>
        <v>2.36</v>
      </c>
      <c r="AE265" s="3">
        <f t="shared" si="10"/>
        <v>-2</v>
      </c>
      <c r="AF265" s="3">
        <f t="shared" si="11"/>
        <v>-1</v>
      </c>
      <c r="AG265" s="3">
        <f t="shared" si="12"/>
        <v>-0.2307692308</v>
      </c>
    </row>
    <row r="266">
      <c r="A266" s="1" t="s">
        <v>17</v>
      </c>
      <c r="B266" s="1" t="s">
        <v>75</v>
      </c>
      <c r="C266" s="1" t="s">
        <v>21</v>
      </c>
      <c r="D266" s="1" t="s">
        <v>76</v>
      </c>
      <c r="E266" s="1" t="s">
        <v>67</v>
      </c>
      <c r="F266" s="1" t="s">
        <v>461</v>
      </c>
      <c r="G266" s="1">
        <v>0.5</v>
      </c>
      <c r="H266" s="1" t="s">
        <v>60</v>
      </c>
      <c r="I266" s="1">
        <v>-122.0</v>
      </c>
      <c r="J266" s="1">
        <v>-0.120449549549549</v>
      </c>
      <c r="K266" s="1" t="s">
        <v>61</v>
      </c>
      <c r="L266" s="1" t="s">
        <v>61</v>
      </c>
      <c r="M266" s="1" t="s">
        <v>62</v>
      </c>
      <c r="N266" s="1">
        <v>-109.0</v>
      </c>
      <c r="O266" s="1">
        <v>0.0493688995215311</v>
      </c>
      <c r="P266" s="1" t="s">
        <v>61</v>
      </c>
      <c r="Q266" s="1" t="s">
        <v>61</v>
      </c>
      <c r="R266" s="1">
        <f t="shared" si="1"/>
        <v>0.04936889952</v>
      </c>
      <c r="S266" s="1">
        <f t="shared" si="2"/>
        <v>-109</v>
      </c>
      <c r="T266" s="1">
        <f t="shared" si="3"/>
        <v>1.917431193</v>
      </c>
      <c r="U266" s="1">
        <f t="shared" si="4"/>
        <v>0</v>
      </c>
      <c r="V266" s="3">
        <f t="shared" si="5"/>
        <v>1</v>
      </c>
      <c r="W266" s="3">
        <f t="shared" si="6"/>
        <v>2</v>
      </c>
      <c r="X266" s="3" t="str">
        <f>IFERROR(__xludf.DUMMYFUNCTION("split(B266,"" "")"),"P.")</f>
        <v>P.</v>
      </c>
      <c r="Y266" s="3" t="str">
        <f>IFERROR(__xludf.DUMMYFUNCTION("""COMPUTED_VALUE"""),"Mahomes")</f>
        <v>Mahomes</v>
      </c>
      <c r="AA266" s="3">
        <v>2.0</v>
      </c>
      <c r="AB266" s="3">
        <f t="shared" si="7"/>
        <v>1</v>
      </c>
      <c r="AC266" s="3">
        <f t="shared" si="8"/>
        <v>0</v>
      </c>
      <c r="AD266" s="3">
        <f t="shared" si="9"/>
        <v>0.9174311927</v>
      </c>
      <c r="AE266" s="3">
        <f t="shared" si="10"/>
        <v>-1</v>
      </c>
      <c r="AF266" s="3">
        <f t="shared" si="11"/>
        <v>-2</v>
      </c>
      <c r="AG266" s="3">
        <f t="shared" si="12"/>
        <v>-3</v>
      </c>
    </row>
    <row r="267">
      <c r="A267" s="1" t="s">
        <v>11</v>
      </c>
      <c r="B267" s="1" t="s">
        <v>493</v>
      </c>
      <c r="C267" s="1" t="s">
        <v>18</v>
      </c>
      <c r="D267" s="1" t="s">
        <v>76</v>
      </c>
      <c r="E267" s="1" t="s">
        <v>67</v>
      </c>
      <c r="F267" s="1" t="s">
        <v>461</v>
      </c>
      <c r="G267" s="1">
        <v>67.5</v>
      </c>
      <c r="H267" s="1" t="s">
        <v>60</v>
      </c>
      <c r="I267" s="1">
        <v>-114.0</v>
      </c>
      <c r="J267" s="1">
        <v>-0.116467498686287</v>
      </c>
      <c r="K267" s="1" t="s">
        <v>61</v>
      </c>
      <c r="L267" s="1" t="s">
        <v>61</v>
      </c>
      <c r="M267" s="1" t="s">
        <v>62</v>
      </c>
      <c r="N267" s="1">
        <v>-117.0</v>
      </c>
      <c r="O267" s="1">
        <v>0.0445639782487501</v>
      </c>
      <c r="P267" s="1" t="s">
        <v>61</v>
      </c>
      <c r="Q267" s="1" t="s">
        <v>61</v>
      </c>
      <c r="R267" s="1">
        <f t="shared" si="1"/>
        <v>0.04456397825</v>
      </c>
      <c r="S267" s="1">
        <f t="shared" si="2"/>
        <v>-117</v>
      </c>
      <c r="T267" s="1">
        <f t="shared" si="3"/>
        <v>1.854700855</v>
      </c>
      <c r="U267" s="1">
        <f t="shared" si="4"/>
        <v>0</v>
      </c>
      <c r="V267" s="3">
        <f t="shared" si="5"/>
        <v>1</v>
      </c>
      <c r="W267" s="3">
        <f t="shared" si="6"/>
        <v>2</v>
      </c>
      <c r="X267" s="3" t="str">
        <f>IFERROR(__xludf.DUMMYFUNCTION("split(B267,"" "")"),"R.")</f>
        <v>R.</v>
      </c>
      <c r="Y267" s="3" t="str">
        <f>IFERROR(__xludf.DUMMYFUNCTION("""COMPUTED_VALUE"""),"Rice")</f>
        <v>Rice</v>
      </c>
      <c r="AA267" s="3">
        <v>75.0</v>
      </c>
      <c r="AB267" s="3">
        <f t="shared" si="7"/>
        <v>1</v>
      </c>
      <c r="AC267" s="3">
        <f t="shared" si="8"/>
        <v>0</v>
      </c>
      <c r="AD267" s="3">
        <f t="shared" si="9"/>
        <v>0.8547008547</v>
      </c>
      <c r="AE267" s="3">
        <f t="shared" si="10"/>
        <v>-1</v>
      </c>
      <c r="AF267" s="3">
        <f t="shared" si="11"/>
        <v>-2</v>
      </c>
      <c r="AG267" s="3">
        <f t="shared" si="12"/>
        <v>-0.1111111111</v>
      </c>
    </row>
    <row r="268">
      <c r="A268" s="1" t="s">
        <v>9</v>
      </c>
      <c r="B268" s="1" t="s">
        <v>493</v>
      </c>
      <c r="C268" s="1" t="s">
        <v>18</v>
      </c>
      <c r="D268" s="1" t="s">
        <v>76</v>
      </c>
      <c r="E268" s="1" t="s">
        <v>67</v>
      </c>
      <c r="F268" s="1" t="s">
        <v>461</v>
      </c>
      <c r="G268" s="1">
        <v>68.5</v>
      </c>
      <c r="H268" s="1" t="s">
        <v>60</v>
      </c>
      <c r="I268" s="1">
        <v>-114.0</v>
      </c>
      <c r="J268" s="1">
        <v>-0.109421013196105</v>
      </c>
      <c r="K268" s="1" t="s">
        <v>61</v>
      </c>
      <c r="L268" s="1" t="s">
        <v>61</v>
      </c>
      <c r="M268" s="1" t="s">
        <v>62</v>
      </c>
      <c r="N268" s="1">
        <v>-119.0</v>
      </c>
      <c r="O268" s="1">
        <v>0.0333660512352522</v>
      </c>
      <c r="P268" s="1" t="s">
        <v>61</v>
      </c>
      <c r="Q268" s="1" t="s">
        <v>61</v>
      </c>
      <c r="R268" s="1">
        <f t="shared" si="1"/>
        <v>0.03336605124</v>
      </c>
      <c r="S268" s="1">
        <f t="shared" si="2"/>
        <v>-119</v>
      </c>
      <c r="T268" s="1">
        <f t="shared" si="3"/>
        <v>1.840336134</v>
      </c>
      <c r="U268" s="1">
        <f t="shared" si="4"/>
        <v>0</v>
      </c>
      <c r="V268" s="3">
        <f t="shared" si="5"/>
        <v>1</v>
      </c>
      <c r="W268" s="3">
        <f t="shared" si="6"/>
        <v>3</v>
      </c>
      <c r="X268" s="3" t="str">
        <f>IFERROR(__xludf.DUMMYFUNCTION("split(B268,"" "")"),"R.")</f>
        <v>R.</v>
      </c>
      <c r="Y268" s="3" t="str">
        <f>IFERROR(__xludf.DUMMYFUNCTION("""COMPUTED_VALUE"""),"Rice")</f>
        <v>Rice</v>
      </c>
      <c r="AA268" s="3">
        <v>75.0</v>
      </c>
      <c r="AB268" s="3">
        <f t="shared" si="7"/>
        <v>1</v>
      </c>
      <c r="AC268" s="3">
        <f t="shared" si="8"/>
        <v>0</v>
      </c>
      <c r="AD268" s="3">
        <f t="shared" si="9"/>
        <v>0.8403361345</v>
      </c>
      <c r="AE268" s="3">
        <f t="shared" si="10"/>
        <v>-1</v>
      </c>
      <c r="AF268" s="3">
        <f t="shared" si="11"/>
        <v>-3</v>
      </c>
      <c r="AG268" s="3">
        <f t="shared" si="12"/>
        <v>-0.09489051095</v>
      </c>
    </row>
    <row r="269">
      <c r="A269" s="1" t="s">
        <v>10</v>
      </c>
      <c r="B269" s="1" t="s">
        <v>179</v>
      </c>
      <c r="C269" s="1" t="s">
        <v>19</v>
      </c>
      <c r="D269" s="1" t="s">
        <v>76</v>
      </c>
      <c r="E269" s="1" t="s">
        <v>67</v>
      </c>
      <c r="F269" s="1" t="s">
        <v>461</v>
      </c>
      <c r="G269" s="1">
        <v>64.5</v>
      </c>
      <c r="H269" s="1" t="s">
        <v>60</v>
      </c>
      <c r="I269" s="1">
        <v>-126.0</v>
      </c>
      <c r="J269" s="1">
        <v>-0.0971185899822528</v>
      </c>
      <c r="K269" s="1" t="s">
        <v>61</v>
      </c>
      <c r="L269" s="1" t="s">
        <v>61</v>
      </c>
      <c r="M269" s="1" t="s">
        <v>62</v>
      </c>
      <c r="N269" s="1">
        <v>-104.0</v>
      </c>
      <c r="O269" s="1">
        <v>0.0297917252406944</v>
      </c>
      <c r="P269" s="1" t="s">
        <v>61</v>
      </c>
      <c r="Q269" s="1" t="s">
        <v>61</v>
      </c>
      <c r="R269" s="1">
        <f t="shared" si="1"/>
        <v>0.02979172524</v>
      </c>
      <c r="S269" s="1">
        <f t="shared" si="2"/>
        <v>-104</v>
      </c>
      <c r="T269" s="1">
        <f t="shared" si="3"/>
        <v>1.961538462</v>
      </c>
      <c r="U269" s="1">
        <f t="shared" si="4"/>
        <v>0</v>
      </c>
      <c r="V269" s="3">
        <f t="shared" si="5"/>
        <v>1</v>
      </c>
      <c r="W269" s="3">
        <f t="shared" si="6"/>
        <v>2</v>
      </c>
      <c r="X269" s="3" t="str">
        <f>IFERROR(__xludf.DUMMYFUNCTION("split(B269,"" "")"),"I.")</f>
        <v>I.</v>
      </c>
      <c r="Y269" s="3" t="str">
        <f>IFERROR(__xludf.DUMMYFUNCTION("""COMPUTED_VALUE"""),"Pacheco")</f>
        <v>Pacheco</v>
      </c>
      <c r="AA269" s="3">
        <v>90.0</v>
      </c>
      <c r="AB269" s="3">
        <f t="shared" si="7"/>
        <v>1</v>
      </c>
      <c r="AC269" s="3">
        <f t="shared" si="8"/>
        <v>0</v>
      </c>
      <c r="AD269" s="3">
        <f t="shared" si="9"/>
        <v>0.9615384615</v>
      </c>
      <c r="AE269" s="3">
        <f t="shared" si="10"/>
        <v>-1</v>
      </c>
      <c r="AF269" s="3">
        <f t="shared" si="11"/>
        <v>-2</v>
      </c>
      <c r="AG269" s="3">
        <f t="shared" si="12"/>
        <v>-0.3953488372</v>
      </c>
    </row>
    <row r="270">
      <c r="A270" s="1" t="s">
        <v>12</v>
      </c>
      <c r="B270" s="1" t="s">
        <v>326</v>
      </c>
      <c r="C270" s="1" t="s">
        <v>20</v>
      </c>
      <c r="D270" s="1" t="s">
        <v>76</v>
      </c>
      <c r="E270" s="1" t="s">
        <v>67</v>
      </c>
      <c r="F270" s="1" t="s">
        <v>461</v>
      </c>
      <c r="G270" s="1">
        <v>5.5</v>
      </c>
      <c r="H270" s="1" t="s">
        <v>60</v>
      </c>
      <c r="I270" s="1">
        <v>115.0</v>
      </c>
      <c r="J270" s="1">
        <v>0.0290837209302325</v>
      </c>
      <c r="K270" s="1" t="s">
        <v>61</v>
      </c>
      <c r="L270" s="1" t="s">
        <v>61</v>
      </c>
      <c r="M270" s="1" t="s">
        <v>62</v>
      </c>
      <c r="N270" s="1">
        <v>-152.0</v>
      </c>
      <c r="O270" s="1">
        <v>-0.0973746031746031</v>
      </c>
      <c r="P270" s="1" t="s">
        <v>61</v>
      </c>
      <c r="Q270" s="1" t="s">
        <v>61</v>
      </c>
      <c r="R270" s="1">
        <f t="shared" si="1"/>
        <v>0.02908372093</v>
      </c>
      <c r="S270" s="1">
        <f t="shared" si="2"/>
        <v>115</v>
      </c>
      <c r="T270" s="1">
        <f t="shared" si="3"/>
        <v>2.15</v>
      </c>
      <c r="U270" s="1">
        <f t="shared" si="4"/>
        <v>1</v>
      </c>
      <c r="V270" s="3">
        <f t="shared" si="5"/>
        <v>1</v>
      </c>
      <c r="W270" s="3">
        <f t="shared" si="6"/>
        <v>1</v>
      </c>
      <c r="X270" s="3" t="str">
        <f>IFERROR(__xludf.DUMMYFUNCTION("split(B270,"" "")"),"T.")</f>
        <v>T.</v>
      </c>
      <c r="Y270" s="3" t="str">
        <f>IFERROR(__xludf.DUMMYFUNCTION("""COMPUTED_VALUE"""),"Kelce")</f>
        <v>Kelce</v>
      </c>
      <c r="AA270" s="3">
        <v>1.0</v>
      </c>
      <c r="AB270" s="3">
        <f t="shared" si="7"/>
        <v>0</v>
      </c>
      <c r="AC270" s="3">
        <f t="shared" si="8"/>
        <v>0</v>
      </c>
      <c r="AD270" s="3">
        <f t="shared" si="9"/>
        <v>1.15</v>
      </c>
      <c r="AE270" s="3">
        <f t="shared" si="10"/>
        <v>-1</v>
      </c>
      <c r="AF270" s="3">
        <f t="shared" si="11"/>
        <v>-1</v>
      </c>
      <c r="AG270" s="3">
        <f t="shared" si="12"/>
        <v>-0.8181818182</v>
      </c>
    </row>
    <row r="271">
      <c r="A271" s="1" t="s">
        <v>9</v>
      </c>
      <c r="B271" s="1" t="s">
        <v>179</v>
      </c>
      <c r="C271" s="1" t="s">
        <v>19</v>
      </c>
      <c r="D271" s="1" t="s">
        <v>76</v>
      </c>
      <c r="E271" s="1" t="s">
        <v>67</v>
      </c>
      <c r="F271" s="1" t="s">
        <v>461</v>
      </c>
      <c r="G271" s="1">
        <v>85.5</v>
      </c>
      <c r="H271" s="1" t="s">
        <v>60</v>
      </c>
      <c r="I271" s="1">
        <v>-115.0</v>
      </c>
      <c r="J271" s="1">
        <v>-0.0972253172780669</v>
      </c>
      <c r="K271" s="1" t="s">
        <v>61</v>
      </c>
      <c r="L271" s="1" t="s">
        <v>61</v>
      </c>
      <c r="M271" s="1" t="s">
        <v>62</v>
      </c>
      <c r="N271" s="1">
        <v>-120.0</v>
      </c>
      <c r="O271" s="1">
        <v>0.0168769629897329</v>
      </c>
      <c r="P271" s="1" t="s">
        <v>61</v>
      </c>
      <c r="Q271" s="1" t="s">
        <v>61</v>
      </c>
      <c r="R271" s="1">
        <f t="shared" si="1"/>
        <v>0.01687696299</v>
      </c>
      <c r="S271" s="1">
        <f t="shared" si="2"/>
        <v>-120</v>
      </c>
      <c r="T271" s="1">
        <f t="shared" si="3"/>
        <v>1.833333333</v>
      </c>
      <c r="U271" s="1">
        <f t="shared" si="4"/>
        <v>0</v>
      </c>
      <c r="V271" s="3">
        <f t="shared" si="5"/>
        <v>1</v>
      </c>
      <c r="W271" s="3">
        <f t="shared" si="6"/>
        <v>3</v>
      </c>
      <c r="X271" s="3" t="str">
        <f>IFERROR(__xludf.DUMMYFUNCTION("split(B271,"" "")"),"I.")</f>
        <v>I.</v>
      </c>
      <c r="Y271" s="3" t="str">
        <f>IFERROR(__xludf.DUMMYFUNCTION("""COMPUTED_VALUE"""),"Pacheco")</f>
        <v>Pacheco</v>
      </c>
      <c r="AA271" s="3">
        <v>111.0</v>
      </c>
      <c r="AB271" s="3">
        <f t="shared" si="7"/>
        <v>1</v>
      </c>
      <c r="AC271" s="3">
        <f t="shared" si="8"/>
        <v>0</v>
      </c>
      <c r="AD271" s="3">
        <f t="shared" si="9"/>
        <v>0.8333333333</v>
      </c>
      <c r="AE271" s="3">
        <f t="shared" si="10"/>
        <v>-1</v>
      </c>
      <c r="AF271" s="3">
        <f t="shared" si="11"/>
        <v>-3</v>
      </c>
      <c r="AG271" s="3">
        <f t="shared" si="12"/>
        <v>-0.298245614</v>
      </c>
    </row>
    <row r="272">
      <c r="A272" s="1" t="s">
        <v>10</v>
      </c>
      <c r="B272" s="1" t="s">
        <v>75</v>
      </c>
      <c r="C272" s="1" t="s">
        <v>21</v>
      </c>
      <c r="D272" s="1" t="s">
        <v>76</v>
      </c>
      <c r="E272" s="1" t="s">
        <v>67</v>
      </c>
      <c r="F272" s="1" t="s">
        <v>461</v>
      </c>
      <c r="G272" s="1">
        <v>20.5</v>
      </c>
      <c r="H272" s="1" t="s">
        <v>60</v>
      </c>
      <c r="I272" s="1">
        <v>-110.0</v>
      </c>
      <c r="J272" s="1">
        <v>-0.0841695557077447</v>
      </c>
      <c r="K272" s="1" t="s">
        <v>61</v>
      </c>
      <c r="L272" s="1" t="s">
        <v>61</v>
      </c>
      <c r="M272" s="1" t="s">
        <v>62</v>
      </c>
      <c r="N272" s="1">
        <v>-120.0</v>
      </c>
      <c r="O272" s="1">
        <v>0.0149578547197803</v>
      </c>
      <c r="P272" s="1" t="s">
        <v>61</v>
      </c>
      <c r="Q272" s="1" t="s">
        <v>61</v>
      </c>
      <c r="R272" s="1">
        <f t="shared" si="1"/>
        <v>0.01495785472</v>
      </c>
      <c r="S272" s="1">
        <f t="shared" si="2"/>
        <v>-120</v>
      </c>
      <c r="T272" s="1">
        <f t="shared" si="3"/>
        <v>1.833333333</v>
      </c>
      <c r="U272" s="1">
        <f t="shared" si="4"/>
        <v>0</v>
      </c>
      <c r="V272" s="3">
        <f t="shared" si="5"/>
        <v>1</v>
      </c>
      <c r="W272" s="3">
        <f t="shared" si="6"/>
        <v>3</v>
      </c>
      <c r="X272" s="3" t="str">
        <f>IFERROR(__xludf.DUMMYFUNCTION("split(B272,"" "")"),"P.")</f>
        <v>P.</v>
      </c>
      <c r="Y272" s="3" t="str">
        <f>IFERROR(__xludf.DUMMYFUNCTION("""COMPUTED_VALUE"""),"Mahomes")</f>
        <v>Mahomes</v>
      </c>
      <c r="AA272" s="3">
        <v>29.0</v>
      </c>
      <c r="AB272" s="3">
        <f t="shared" si="7"/>
        <v>1</v>
      </c>
      <c r="AC272" s="3">
        <f t="shared" si="8"/>
        <v>0</v>
      </c>
      <c r="AD272" s="3">
        <f t="shared" si="9"/>
        <v>0.8333333333</v>
      </c>
      <c r="AE272" s="3">
        <f t="shared" si="10"/>
        <v>-1</v>
      </c>
      <c r="AF272" s="3">
        <f t="shared" si="11"/>
        <v>-3</v>
      </c>
      <c r="AG272" s="3">
        <f t="shared" si="12"/>
        <v>-0.4146341463</v>
      </c>
    </row>
    <row r="273">
      <c r="A273" s="1" t="s">
        <v>11</v>
      </c>
      <c r="B273" s="1" t="s">
        <v>237</v>
      </c>
      <c r="C273" s="1" t="s">
        <v>18</v>
      </c>
      <c r="D273" s="1" t="s">
        <v>76</v>
      </c>
      <c r="E273" s="1" t="s">
        <v>67</v>
      </c>
      <c r="F273" s="1" t="s">
        <v>461</v>
      </c>
      <c r="G273" s="1">
        <v>15.5</v>
      </c>
      <c r="H273" s="1" t="s">
        <v>60</v>
      </c>
      <c r="I273" s="1">
        <v>-111.0</v>
      </c>
      <c r="J273" s="1">
        <v>-0.0632141184536629</v>
      </c>
      <c r="K273" s="1" t="s">
        <v>61</v>
      </c>
      <c r="L273" s="1" t="s">
        <v>61</v>
      </c>
      <c r="M273" s="1" t="s">
        <v>62</v>
      </c>
      <c r="N273" s="1">
        <v>-114.0</v>
      </c>
      <c r="O273" s="1">
        <v>0.00446821520020612</v>
      </c>
      <c r="P273" s="1" t="s">
        <v>61</v>
      </c>
      <c r="Q273" s="1" t="s">
        <v>61</v>
      </c>
      <c r="R273" s="1">
        <f t="shared" si="1"/>
        <v>0.0044682152</v>
      </c>
      <c r="S273" s="1">
        <f t="shared" si="2"/>
        <v>-114</v>
      </c>
      <c r="T273" s="1">
        <f t="shared" si="3"/>
        <v>1.877192982</v>
      </c>
      <c r="U273" s="1">
        <f t="shared" si="4"/>
        <v>0</v>
      </c>
      <c r="V273" s="3">
        <f t="shared" si="5"/>
        <v>1</v>
      </c>
      <c r="W273" s="3">
        <f t="shared" si="6"/>
        <v>2</v>
      </c>
      <c r="X273" s="3" t="str">
        <f>IFERROR(__xludf.DUMMYFUNCTION("split(B273,"" "")"),"J.")</f>
        <v>J.</v>
      </c>
      <c r="Y273" s="3" t="str">
        <f>IFERROR(__xludf.DUMMYFUNCTION("""COMPUTED_VALUE"""),"Watson")</f>
        <v>Watson</v>
      </c>
      <c r="AA273" s="3">
        <v>22.0</v>
      </c>
      <c r="AB273" s="3">
        <f t="shared" si="7"/>
        <v>1</v>
      </c>
      <c r="AC273" s="3">
        <f t="shared" si="8"/>
        <v>0</v>
      </c>
      <c r="AD273" s="3">
        <f t="shared" si="9"/>
        <v>0.8771929825</v>
      </c>
      <c r="AE273" s="3">
        <f t="shared" si="10"/>
        <v>-1</v>
      </c>
      <c r="AF273" s="3">
        <f t="shared" si="11"/>
        <v>-2</v>
      </c>
      <c r="AG273" s="3">
        <f t="shared" si="12"/>
        <v>-0.4193548387</v>
      </c>
    </row>
    <row r="274">
      <c r="A274" s="1" t="s">
        <v>12</v>
      </c>
      <c r="B274" s="1" t="s">
        <v>368</v>
      </c>
      <c r="C274" s="1" t="s">
        <v>19</v>
      </c>
      <c r="D274" s="1" t="s">
        <v>196</v>
      </c>
      <c r="E274" s="1" t="s">
        <v>105</v>
      </c>
      <c r="F274" s="1" t="s">
        <v>450</v>
      </c>
      <c r="G274" s="1">
        <v>2.5</v>
      </c>
      <c r="H274" s="1" t="s">
        <v>60</v>
      </c>
      <c r="I274" s="1">
        <v>-143.0</v>
      </c>
      <c r="J274" s="1">
        <v>-0.246834733415637</v>
      </c>
      <c r="K274" s="1" t="s">
        <v>61</v>
      </c>
      <c r="L274" s="1" t="s">
        <v>61</v>
      </c>
      <c r="M274" s="1" t="s">
        <v>62</v>
      </c>
      <c r="N274" s="1">
        <v>110.0</v>
      </c>
      <c r="O274" s="1">
        <v>0.182160191523809</v>
      </c>
      <c r="P274" s="1" t="s">
        <v>61</v>
      </c>
      <c r="Q274" s="1" t="s">
        <v>61</v>
      </c>
      <c r="R274" s="1">
        <f t="shared" si="1"/>
        <v>0.1821601915</v>
      </c>
      <c r="S274" s="1">
        <f t="shared" si="2"/>
        <v>110</v>
      </c>
      <c r="T274" s="1">
        <f t="shared" si="3"/>
        <v>2.1</v>
      </c>
      <c r="U274" s="1">
        <f t="shared" si="4"/>
        <v>0</v>
      </c>
      <c r="V274" s="3">
        <f t="shared" si="5"/>
        <v>3</v>
      </c>
      <c r="W274" s="3">
        <f t="shared" si="6"/>
        <v>2</v>
      </c>
      <c r="X274" s="3" t="str">
        <f>IFERROR(__xludf.DUMMYFUNCTION("split(B274,"" "")"),"K.")</f>
        <v>K.</v>
      </c>
      <c r="Y274" s="3" t="str">
        <f>IFERROR(__xludf.DUMMYFUNCTION("""COMPUTED_VALUE"""),"Williams")</f>
        <v>Williams</v>
      </c>
      <c r="AA274" s="3">
        <v>4.0</v>
      </c>
      <c r="AB274" s="3">
        <f t="shared" si="7"/>
        <v>1</v>
      </c>
      <c r="AC274" s="3">
        <f t="shared" si="8"/>
        <v>0</v>
      </c>
      <c r="AD274" s="3">
        <f t="shared" si="9"/>
        <v>3.3</v>
      </c>
      <c r="AE274" s="3">
        <f t="shared" si="10"/>
        <v>-3</v>
      </c>
      <c r="AF274" s="3">
        <f t="shared" si="11"/>
        <v>-2</v>
      </c>
      <c r="AG274" s="3">
        <f t="shared" si="12"/>
        <v>-0.6</v>
      </c>
    </row>
    <row r="275">
      <c r="A275" s="1" t="s">
        <v>12</v>
      </c>
      <c r="B275" s="1" t="s">
        <v>469</v>
      </c>
      <c r="C275" s="1" t="s">
        <v>18</v>
      </c>
      <c r="D275" s="1" t="s">
        <v>196</v>
      </c>
      <c r="E275" s="1" t="s">
        <v>105</v>
      </c>
      <c r="F275" s="1" t="s">
        <v>450</v>
      </c>
      <c r="G275" s="1">
        <v>7.5</v>
      </c>
      <c r="H275" s="1" t="s">
        <v>60</v>
      </c>
      <c r="I275" s="1">
        <v>-162.0</v>
      </c>
      <c r="J275" s="1">
        <v>0.0561793893129771</v>
      </c>
      <c r="K275" s="1" t="s">
        <v>61</v>
      </c>
      <c r="L275" s="1" t="s">
        <v>61</v>
      </c>
      <c r="M275" s="1" t="s">
        <v>62</v>
      </c>
      <c r="N275" s="1">
        <v>123.0</v>
      </c>
      <c r="O275" s="1">
        <v>-0.122930493273542</v>
      </c>
      <c r="P275" s="1" t="s">
        <v>61</v>
      </c>
      <c r="Q275" s="1" t="s">
        <v>61</v>
      </c>
      <c r="R275" s="1">
        <f t="shared" si="1"/>
        <v>0.05617938931</v>
      </c>
      <c r="S275" s="1">
        <f t="shared" si="2"/>
        <v>-162</v>
      </c>
      <c r="T275" s="1">
        <f t="shared" si="3"/>
        <v>1.617283951</v>
      </c>
      <c r="U275" s="1">
        <f t="shared" si="4"/>
        <v>1</v>
      </c>
      <c r="V275" s="3">
        <f t="shared" si="5"/>
        <v>2</v>
      </c>
      <c r="W275" s="3">
        <f t="shared" si="6"/>
        <v>3</v>
      </c>
      <c r="X275" s="3" t="str">
        <f>IFERROR(__xludf.DUMMYFUNCTION("split(B275,"" "")"),"C.")</f>
        <v>C.</v>
      </c>
      <c r="Y275" s="3" t="str">
        <f>IFERROR(__xludf.DUMMYFUNCTION("""COMPUTED_VALUE"""),"Kupp")</f>
        <v>Kupp</v>
      </c>
      <c r="AA275" s="3">
        <v>4.0</v>
      </c>
      <c r="AB275" s="3">
        <f t="shared" si="7"/>
        <v>0</v>
      </c>
      <c r="AC275" s="3">
        <f t="shared" si="8"/>
        <v>0</v>
      </c>
      <c r="AD275" s="3">
        <f t="shared" si="9"/>
        <v>1.234567901</v>
      </c>
      <c r="AE275" s="3">
        <f t="shared" si="10"/>
        <v>-2</v>
      </c>
      <c r="AF275" s="3">
        <f t="shared" si="11"/>
        <v>-3</v>
      </c>
      <c r="AG275" s="3">
        <f t="shared" si="12"/>
        <v>-0.4666666667</v>
      </c>
    </row>
    <row r="276">
      <c r="A276" s="1" t="s">
        <v>8</v>
      </c>
      <c r="B276" s="1" t="s">
        <v>368</v>
      </c>
      <c r="C276" s="1" t="s">
        <v>19</v>
      </c>
      <c r="D276" s="1" t="s">
        <v>196</v>
      </c>
      <c r="E276" s="1" t="s">
        <v>105</v>
      </c>
      <c r="F276" s="1" t="s">
        <v>450</v>
      </c>
      <c r="G276" s="1">
        <v>17.5</v>
      </c>
      <c r="H276" s="1" t="s">
        <v>60</v>
      </c>
      <c r="I276" s="1">
        <v>100.0</v>
      </c>
      <c r="J276" s="1">
        <v>0.02710480095</v>
      </c>
      <c r="K276" s="1" t="s">
        <v>61</v>
      </c>
      <c r="L276" s="1" t="s">
        <v>61</v>
      </c>
      <c r="M276" s="1" t="s">
        <v>62</v>
      </c>
      <c r="N276" s="1">
        <v>-130.0</v>
      </c>
      <c r="O276" s="1">
        <v>-0.0923228184652174</v>
      </c>
      <c r="P276" s="1" t="s">
        <v>61</v>
      </c>
      <c r="Q276" s="1" t="s">
        <v>61</v>
      </c>
      <c r="R276" s="1">
        <f t="shared" si="1"/>
        <v>0.02710480095</v>
      </c>
      <c r="S276" s="1">
        <f t="shared" si="2"/>
        <v>100</v>
      </c>
      <c r="T276" s="1">
        <f t="shared" si="3"/>
        <v>2</v>
      </c>
      <c r="U276" s="1">
        <f t="shared" si="4"/>
        <v>1</v>
      </c>
      <c r="V276" s="3">
        <f t="shared" si="5"/>
        <v>1</v>
      </c>
      <c r="W276" s="3">
        <f t="shared" si="6"/>
        <v>2</v>
      </c>
      <c r="X276" s="3" t="str">
        <f>IFERROR(__xludf.DUMMYFUNCTION("split(B276,"" "")"),"K.")</f>
        <v>K.</v>
      </c>
      <c r="Y276" s="3" t="str">
        <f>IFERROR(__xludf.DUMMYFUNCTION("""COMPUTED_VALUE"""),"Williams")</f>
        <v>Williams</v>
      </c>
      <c r="AA276" s="3">
        <v>12.0</v>
      </c>
      <c r="AB276" s="3">
        <f t="shared" si="7"/>
        <v>0</v>
      </c>
      <c r="AC276" s="3">
        <f t="shared" si="8"/>
        <v>0</v>
      </c>
      <c r="AD276" s="3">
        <f t="shared" si="9"/>
        <v>1</v>
      </c>
      <c r="AE276" s="3">
        <f t="shared" si="10"/>
        <v>-1</v>
      </c>
      <c r="AF276" s="3">
        <f t="shared" si="11"/>
        <v>-2</v>
      </c>
      <c r="AG276" s="3">
        <f t="shared" si="12"/>
        <v>-0.3142857143</v>
      </c>
    </row>
    <row r="277">
      <c r="A277" s="1" t="s">
        <v>15</v>
      </c>
      <c r="B277" s="1" t="s">
        <v>247</v>
      </c>
      <c r="C277" s="1" t="s">
        <v>21</v>
      </c>
      <c r="D277" s="1" t="s">
        <v>196</v>
      </c>
      <c r="E277" s="1" t="s">
        <v>105</v>
      </c>
      <c r="F277" s="1" t="s">
        <v>450</v>
      </c>
      <c r="G277" s="1">
        <v>24.5</v>
      </c>
      <c r="H277" s="1" t="s">
        <v>60</v>
      </c>
      <c r="I277" s="1">
        <v>101.0</v>
      </c>
      <c r="J277" s="1">
        <v>0.00363731343283574</v>
      </c>
      <c r="K277" s="1" t="s">
        <v>61</v>
      </c>
      <c r="L277" s="1" t="s">
        <v>61</v>
      </c>
      <c r="M277" s="1" t="s">
        <v>62</v>
      </c>
      <c r="N277" s="1">
        <v>-133.0</v>
      </c>
      <c r="O277" s="1">
        <v>-0.0719583690987125</v>
      </c>
      <c r="P277" s="1" t="s">
        <v>61</v>
      </c>
      <c r="Q277" s="1" t="s">
        <v>61</v>
      </c>
      <c r="R277" s="1">
        <f t="shared" si="1"/>
        <v>0.003637313433</v>
      </c>
      <c r="S277" s="1">
        <f t="shared" si="2"/>
        <v>101</v>
      </c>
      <c r="T277" s="1">
        <f t="shared" si="3"/>
        <v>2.01</v>
      </c>
      <c r="U277" s="1">
        <f t="shared" si="4"/>
        <v>1</v>
      </c>
      <c r="V277" s="3">
        <f t="shared" si="5"/>
        <v>1</v>
      </c>
      <c r="W277" s="3">
        <f t="shared" si="6"/>
        <v>2</v>
      </c>
      <c r="X277" s="3" t="str">
        <f>IFERROR(__xludf.DUMMYFUNCTION("split(B277,"" "")"),"M.")</f>
        <v>M.</v>
      </c>
      <c r="Y277" s="3" t="str">
        <f>IFERROR(__xludf.DUMMYFUNCTION("""COMPUTED_VALUE"""),"Stafford")</f>
        <v>Stafford</v>
      </c>
      <c r="AA277" s="3">
        <v>19.0</v>
      </c>
      <c r="AB277" s="3">
        <f t="shared" si="7"/>
        <v>0</v>
      </c>
      <c r="AC277" s="3">
        <f t="shared" si="8"/>
        <v>0</v>
      </c>
      <c r="AD277" s="3">
        <f t="shared" si="9"/>
        <v>1.01</v>
      </c>
      <c r="AE277" s="3">
        <f t="shared" si="10"/>
        <v>-1</v>
      </c>
      <c r="AF277" s="3">
        <f t="shared" si="11"/>
        <v>-2</v>
      </c>
      <c r="AG277" s="3">
        <f t="shared" si="12"/>
        <v>-0.2244897959</v>
      </c>
    </row>
    <row r="278">
      <c r="A278" s="1" t="s">
        <v>8</v>
      </c>
      <c r="B278" s="1" t="s">
        <v>405</v>
      </c>
      <c r="C278" s="1" t="s">
        <v>21</v>
      </c>
      <c r="D278" s="1" t="s">
        <v>135</v>
      </c>
      <c r="E278" s="1" t="s">
        <v>57</v>
      </c>
      <c r="F278" s="1" t="s">
        <v>455</v>
      </c>
      <c r="G278" s="1">
        <v>3.5</v>
      </c>
      <c r="H278" s="1" t="s">
        <v>60</v>
      </c>
      <c r="I278" s="1">
        <v>-120.0</v>
      </c>
      <c r="J278" s="1">
        <v>-0.216449080237127</v>
      </c>
      <c r="K278" s="1" t="s">
        <v>61</v>
      </c>
      <c r="L278" s="1" t="s">
        <v>61</v>
      </c>
      <c r="M278" s="1" t="s">
        <v>62</v>
      </c>
      <c r="N278" s="1">
        <v>-110.0</v>
      </c>
      <c r="O278" s="1">
        <v>0.147184178178023</v>
      </c>
      <c r="P278" s="1" t="s">
        <v>61</v>
      </c>
      <c r="Q278" s="1" t="s">
        <v>61</v>
      </c>
      <c r="R278" s="1">
        <f t="shared" si="1"/>
        <v>0.1471841782</v>
      </c>
      <c r="S278" s="1">
        <f t="shared" si="2"/>
        <v>-110</v>
      </c>
      <c r="T278" s="1">
        <f t="shared" si="3"/>
        <v>1.909090909</v>
      </c>
      <c r="U278" s="1">
        <f t="shared" si="4"/>
        <v>0</v>
      </c>
      <c r="V278" s="3">
        <f t="shared" si="5"/>
        <v>3</v>
      </c>
      <c r="W278" s="3">
        <f t="shared" si="6"/>
        <v>2</v>
      </c>
      <c r="X278" s="3" t="str">
        <f>IFERROR(__xludf.DUMMYFUNCTION("split(B278,"" "")"),"J.")</f>
        <v>J.</v>
      </c>
      <c r="Y278" s="3" t="str">
        <f>IFERROR(__xludf.DUMMYFUNCTION("""COMPUTED_VALUE"""),"Herbert")</f>
        <v>Herbert</v>
      </c>
      <c r="AA278" s="3">
        <v>6.0</v>
      </c>
      <c r="AB278" s="3">
        <f t="shared" si="7"/>
        <v>1</v>
      </c>
      <c r="AC278" s="3">
        <f t="shared" si="8"/>
        <v>0</v>
      </c>
      <c r="AD278" s="3">
        <f t="shared" si="9"/>
        <v>2.727272727</v>
      </c>
      <c r="AE278" s="3">
        <f t="shared" si="10"/>
        <v>-3</v>
      </c>
      <c r="AF278" s="3">
        <f t="shared" si="11"/>
        <v>-2</v>
      </c>
      <c r="AG278" s="3">
        <f t="shared" si="12"/>
        <v>-0.7142857143</v>
      </c>
    </row>
    <row r="279">
      <c r="A279" s="1" t="s">
        <v>10</v>
      </c>
      <c r="B279" s="1" t="s">
        <v>485</v>
      </c>
      <c r="C279" s="1" t="s">
        <v>19</v>
      </c>
      <c r="D279" s="1" t="s">
        <v>135</v>
      </c>
      <c r="E279" s="1" t="s">
        <v>57</v>
      </c>
      <c r="F279" s="1" t="s">
        <v>455</v>
      </c>
      <c r="G279" s="1">
        <v>51.5</v>
      </c>
      <c r="H279" s="1" t="s">
        <v>60</v>
      </c>
      <c r="I279" s="1">
        <v>-120.0</v>
      </c>
      <c r="J279" s="1">
        <v>-0.190952312696549</v>
      </c>
      <c r="K279" s="1" t="s">
        <v>61</v>
      </c>
      <c r="L279" s="1" t="s">
        <v>61</v>
      </c>
      <c r="M279" s="1" t="s">
        <v>62</v>
      </c>
      <c r="N279" s="1">
        <v>-110.0</v>
      </c>
      <c r="O279" s="1">
        <v>0.121672425747452</v>
      </c>
      <c r="P279" s="1" t="s">
        <v>61</v>
      </c>
      <c r="Q279" s="1" t="s">
        <v>61</v>
      </c>
      <c r="R279" s="1">
        <f t="shared" si="1"/>
        <v>0.1216724257</v>
      </c>
      <c r="S279" s="1">
        <f t="shared" si="2"/>
        <v>-110</v>
      </c>
      <c r="T279" s="1">
        <f t="shared" si="3"/>
        <v>1.909090909</v>
      </c>
      <c r="U279" s="1">
        <f t="shared" si="4"/>
        <v>0</v>
      </c>
      <c r="V279" s="3">
        <f t="shared" si="5"/>
        <v>3</v>
      </c>
      <c r="W279" s="3">
        <f t="shared" si="6"/>
        <v>2</v>
      </c>
      <c r="X279" s="3" t="str">
        <f>IFERROR(__xludf.DUMMYFUNCTION("split(B279,"" "")"),"J.")</f>
        <v>J.</v>
      </c>
      <c r="Y279" s="3" t="str">
        <f>IFERROR(__xludf.DUMMYFUNCTION("""COMPUTED_VALUE"""),"Dobbins")</f>
        <v>Dobbins</v>
      </c>
      <c r="AA279" s="3">
        <v>131.0</v>
      </c>
      <c r="AB279" s="3">
        <f t="shared" si="7"/>
        <v>1</v>
      </c>
      <c r="AC279" s="3">
        <f t="shared" si="8"/>
        <v>0</v>
      </c>
      <c r="AD279" s="3">
        <f t="shared" si="9"/>
        <v>2.727272727</v>
      </c>
      <c r="AE279" s="3">
        <f t="shared" si="10"/>
        <v>-3</v>
      </c>
      <c r="AF279" s="3">
        <f t="shared" si="11"/>
        <v>-2</v>
      </c>
      <c r="AG279" s="3">
        <f t="shared" si="12"/>
        <v>-1.54368932</v>
      </c>
    </row>
    <row r="280">
      <c r="A280" s="1" t="s">
        <v>11</v>
      </c>
      <c r="B280" s="1" t="s">
        <v>439</v>
      </c>
      <c r="C280" s="1" t="s">
        <v>19</v>
      </c>
      <c r="D280" s="1" t="s">
        <v>135</v>
      </c>
      <c r="E280" s="1" t="s">
        <v>57</v>
      </c>
      <c r="F280" s="1" t="s">
        <v>455</v>
      </c>
      <c r="G280" s="1">
        <v>3.5</v>
      </c>
      <c r="H280" s="1" t="s">
        <v>60</v>
      </c>
      <c r="I280" s="1">
        <v>-121.0</v>
      </c>
      <c r="J280" s="1">
        <v>0.108571845739676</v>
      </c>
      <c r="K280" s="1" t="s">
        <v>61</v>
      </c>
      <c r="L280" s="1" t="s">
        <v>61</v>
      </c>
      <c r="M280" s="1" t="s">
        <v>62</v>
      </c>
      <c r="N280" s="1">
        <v>-106.0</v>
      </c>
      <c r="O280" s="1">
        <v>-0.170643954286293</v>
      </c>
      <c r="P280" s="1" t="s">
        <v>61</v>
      </c>
      <c r="Q280" s="1" t="s">
        <v>61</v>
      </c>
      <c r="R280" s="1">
        <f t="shared" si="1"/>
        <v>0.1085718457</v>
      </c>
      <c r="S280" s="1">
        <f t="shared" si="2"/>
        <v>-121</v>
      </c>
      <c r="T280" s="1">
        <f t="shared" si="3"/>
        <v>1.826446281</v>
      </c>
      <c r="U280" s="1">
        <f t="shared" si="4"/>
        <v>1</v>
      </c>
      <c r="V280" s="3">
        <f t="shared" si="5"/>
        <v>3</v>
      </c>
      <c r="W280" s="3">
        <f t="shared" si="6"/>
        <v>3</v>
      </c>
      <c r="X280" s="3" t="str">
        <f>IFERROR(__xludf.DUMMYFUNCTION("split(B280,"" "")"),"G.")</f>
        <v>G.</v>
      </c>
      <c r="Y280" s="3" t="str">
        <f>IFERROR(__xludf.DUMMYFUNCTION("""COMPUTED_VALUE"""),"Edwards")</f>
        <v>Edwards</v>
      </c>
      <c r="AA280" s="3">
        <v>0.0</v>
      </c>
      <c r="AB280" s="3">
        <f t="shared" si="7"/>
        <v>0</v>
      </c>
      <c r="AC280" s="3">
        <f t="shared" si="8"/>
        <v>0</v>
      </c>
      <c r="AD280" s="3">
        <f t="shared" si="9"/>
        <v>2.479338843</v>
      </c>
      <c r="AE280" s="3">
        <f t="shared" si="10"/>
        <v>-3</v>
      </c>
      <c r="AF280" s="3">
        <f t="shared" si="11"/>
        <v>-3</v>
      </c>
      <c r="AG280" s="3">
        <f t="shared" si="12"/>
        <v>-1</v>
      </c>
    </row>
    <row r="281">
      <c r="A281" s="1" t="s">
        <v>11</v>
      </c>
      <c r="B281" s="1" t="s">
        <v>506</v>
      </c>
      <c r="C281" s="1" t="s">
        <v>18</v>
      </c>
      <c r="D281" s="1" t="s">
        <v>135</v>
      </c>
      <c r="E281" s="1" t="s">
        <v>57</v>
      </c>
      <c r="F281" s="1" t="s">
        <v>455</v>
      </c>
      <c r="G281" s="1">
        <v>34.5</v>
      </c>
      <c r="H281" s="1" t="s">
        <v>60</v>
      </c>
      <c r="I281" s="1">
        <v>-115.0</v>
      </c>
      <c r="J281" s="1">
        <v>-0.147480928861116</v>
      </c>
      <c r="K281" s="1" t="s">
        <v>61</v>
      </c>
      <c r="L281" s="1" t="s">
        <v>61</v>
      </c>
      <c r="M281" s="1" t="s">
        <v>62</v>
      </c>
      <c r="N281" s="1">
        <v>-114.0</v>
      </c>
      <c r="O281" s="1">
        <v>0.0799290589059329</v>
      </c>
      <c r="P281" s="1" t="s">
        <v>61</v>
      </c>
      <c r="Q281" s="1" t="s">
        <v>61</v>
      </c>
      <c r="R281" s="1">
        <f t="shared" si="1"/>
        <v>0.07992905891</v>
      </c>
      <c r="S281" s="1">
        <f t="shared" si="2"/>
        <v>-114</v>
      </c>
      <c r="T281" s="1">
        <f t="shared" si="3"/>
        <v>1.877192982</v>
      </c>
      <c r="U281" s="1">
        <f t="shared" si="4"/>
        <v>0</v>
      </c>
      <c r="V281" s="3">
        <f t="shared" si="5"/>
        <v>2</v>
      </c>
      <c r="W281" s="3">
        <f t="shared" si="6"/>
        <v>2</v>
      </c>
      <c r="X281" s="3" t="str">
        <f>IFERROR(__xludf.DUMMYFUNCTION("split(B281,"" "")"),"Q.")</f>
        <v>Q.</v>
      </c>
      <c r="Y281" s="3" t="str">
        <f>IFERROR(__xludf.DUMMYFUNCTION("""COMPUTED_VALUE"""),"Johnston")</f>
        <v>Johnston</v>
      </c>
      <c r="AA281" s="3">
        <v>51.0</v>
      </c>
      <c r="AB281" s="3">
        <f t="shared" si="7"/>
        <v>1</v>
      </c>
      <c r="AC281" s="3">
        <f t="shared" si="8"/>
        <v>0</v>
      </c>
      <c r="AD281" s="3">
        <f t="shared" si="9"/>
        <v>1.754385965</v>
      </c>
      <c r="AE281" s="3">
        <f t="shared" si="10"/>
        <v>-2</v>
      </c>
      <c r="AF281" s="3">
        <f t="shared" si="11"/>
        <v>-2</v>
      </c>
      <c r="AG281" s="3">
        <f t="shared" si="12"/>
        <v>-0.4782608696</v>
      </c>
    </row>
    <row r="282">
      <c r="A282" s="1" t="s">
        <v>9</v>
      </c>
      <c r="B282" s="1" t="s">
        <v>485</v>
      </c>
      <c r="C282" s="1" t="s">
        <v>19</v>
      </c>
      <c r="D282" s="1" t="s">
        <v>135</v>
      </c>
      <c r="E282" s="1" t="s">
        <v>57</v>
      </c>
      <c r="F282" s="1" t="s">
        <v>455</v>
      </c>
      <c r="G282" s="1">
        <v>66.5</v>
      </c>
      <c r="H282" s="1" t="s">
        <v>60</v>
      </c>
      <c r="I282" s="1">
        <v>-116.0</v>
      </c>
      <c r="J282" s="1">
        <v>-0.146211554593462</v>
      </c>
      <c r="K282" s="1" t="s">
        <v>61</v>
      </c>
      <c r="L282" s="1" t="s">
        <v>61</v>
      </c>
      <c r="M282" s="1" t="s">
        <v>62</v>
      </c>
      <c r="N282" s="1">
        <v>-116.0</v>
      </c>
      <c r="O282" s="1">
        <v>0.072149403328416</v>
      </c>
      <c r="P282" s="1" t="s">
        <v>61</v>
      </c>
      <c r="Q282" s="1" t="s">
        <v>61</v>
      </c>
      <c r="R282" s="1">
        <f t="shared" si="1"/>
        <v>0.07214940333</v>
      </c>
      <c r="S282" s="1">
        <f t="shared" si="2"/>
        <v>-116</v>
      </c>
      <c r="T282" s="1">
        <f t="shared" si="3"/>
        <v>1.862068966</v>
      </c>
      <c r="U282" s="1">
        <f t="shared" si="4"/>
        <v>0</v>
      </c>
      <c r="V282" s="3">
        <f t="shared" si="5"/>
        <v>2</v>
      </c>
      <c r="W282" s="3">
        <f t="shared" si="6"/>
        <v>2</v>
      </c>
      <c r="X282" s="3" t="str">
        <f>IFERROR(__xludf.DUMMYFUNCTION("split(B282,"" "")"),"J.")</f>
        <v>J.</v>
      </c>
      <c r="Y282" s="3" t="str">
        <f>IFERROR(__xludf.DUMMYFUNCTION("""COMPUTED_VALUE"""),"Dobbins")</f>
        <v>Dobbins</v>
      </c>
      <c r="AA282" s="3">
        <v>131.0</v>
      </c>
      <c r="AB282" s="3">
        <f t="shared" si="7"/>
        <v>1</v>
      </c>
      <c r="AC282" s="3">
        <f t="shared" si="8"/>
        <v>0</v>
      </c>
      <c r="AD282" s="3">
        <f t="shared" si="9"/>
        <v>1.724137931</v>
      </c>
      <c r="AE282" s="3">
        <f t="shared" si="10"/>
        <v>-2</v>
      </c>
      <c r="AF282" s="3">
        <f t="shared" si="11"/>
        <v>-2</v>
      </c>
      <c r="AG282" s="3">
        <f t="shared" si="12"/>
        <v>-0.969924812</v>
      </c>
    </row>
    <row r="283">
      <c r="A283" s="1" t="s">
        <v>10</v>
      </c>
      <c r="B283" s="1" t="s">
        <v>405</v>
      </c>
      <c r="C283" s="1" t="s">
        <v>21</v>
      </c>
      <c r="D283" s="1" t="s">
        <v>135</v>
      </c>
      <c r="E283" s="1" t="s">
        <v>57</v>
      </c>
      <c r="F283" s="1" t="s">
        <v>455</v>
      </c>
      <c r="G283" s="1">
        <v>11.5</v>
      </c>
      <c r="H283" s="1" t="s">
        <v>60</v>
      </c>
      <c r="I283" s="1">
        <v>-117.0</v>
      </c>
      <c r="J283" s="1">
        <v>-0.0850473065970371</v>
      </c>
      <c r="K283" s="1" t="s">
        <v>61</v>
      </c>
      <c r="L283" s="1" t="s">
        <v>61</v>
      </c>
      <c r="M283" s="1" t="s">
        <v>62</v>
      </c>
      <c r="N283" s="1">
        <v>-112.0</v>
      </c>
      <c r="O283" s="1">
        <v>0.017600799034641</v>
      </c>
      <c r="P283" s="1" t="s">
        <v>61</v>
      </c>
      <c r="Q283" s="1" t="s">
        <v>61</v>
      </c>
      <c r="R283" s="1">
        <f t="shared" si="1"/>
        <v>0.01760079903</v>
      </c>
      <c r="S283" s="1">
        <f t="shared" si="2"/>
        <v>-112</v>
      </c>
      <c r="T283" s="1">
        <f t="shared" si="3"/>
        <v>1.892857143</v>
      </c>
      <c r="U283" s="1">
        <f t="shared" si="4"/>
        <v>0</v>
      </c>
      <c r="V283" s="3">
        <f t="shared" si="5"/>
        <v>1</v>
      </c>
      <c r="W283" s="3">
        <f t="shared" si="6"/>
        <v>2</v>
      </c>
      <c r="X283" s="3" t="str">
        <f>IFERROR(__xludf.DUMMYFUNCTION("split(B283,"" "")"),"J.")</f>
        <v>J.</v>
      </c>
      <c r="Y283" s="3" t="str">
        <f>IFERROR(__xludf.DUMMYFUNCTION("""COMPUTED_VALUE"""),"Herbert")</f>
        <v>Herbert</v>
      </c>
      <c r="AA283" s="3">
        <v>18.0</v>
      </c>
      <c r="AB283" s="3">
        <f t="shared" si="7"/>
        <v>1</v>
      </c>
      <c r="AC283" s="3">
        <f t="shared" si="8"/>
        <v>0</v>
      </c>
      <c r="AD283" s="3">
        <f t="shared" si="9"/>
        <v>0.8928571429</v>
      </c>
      <c r="AE283" s="3">
        <f t="shared" si="10"/>
        <v>-1</v>
      </c>
      <c r="AF283" s="3">
        <f t="shared" si="11"/>
        <v>-2</v>
      </c>
      <c r="AG283" s="3">
        <f t="shared" si="12"/>
        <v>-0.5652173913</v>
      </c>
    </row>
    <row r="284">
      <c r="A284" s="1" t="s">
        <v>13</v>
      </c>
      <c r="B284" s="1" t="s">
        <v>405</v>
      </c>
      <c r="C284" s="1" t="s">
        <v>21</v>
      </c>
      <c r="D284" s="1" t="s">
        <v>135</v>
      </c>
      <c r="E284" s="1" t="s">
        <v>57</v>
      </c>
      <c r="F284" s="1" t="s">
        <v>455</v>
      </c>
      <c r="G284" s="1">
        <v>208.5</v>
      </c>
      <c r="H284" s="1" t="s">
        <v>60</v>
      </c>
      <c r="I284" s="1">
        <v>-115.0</v>
      </c>
      <c r="J284" s="1">
        <v>0.0131195952558132</v>
      </c>
      <c r="K284" s="1" t="s">
        <v>61</v>
      </c>
      <c r="L284" s="1" t="s">
        <v>61</v>
      </c>
      <c r="M284" s="1" t="s">
        <v>62</v>
      </c>
      <c r="N284" s="1">
        <v>-115.0</v>
      </c>
      <c r="O284" s="1">
        <v>-0.0828875345441856</v>
      </c>
      <c r="P284" s="1" t="s">
        <v>61</v>
      </c>
      <c r="Q284" s="1" t="s">
        <v>61</v>
      </c>
      <c r="R284" s="1">
        <f t="shared" si="1"/>
        <v>0.01311959526</v>
      </c>
      <c r="S284" s="1">
        <f t="shared" si="2"/>
        <v>-115</v>
      </c>
      <c r="T284" s="1">
        <f t="shared" si="3"/>
        <v>1.869565217</v>
      </c>
      <c r="U284" s="1">
        <f t="shared" si="4"/>
        <v>1</v>
      </c>
      <c r="V284" s="3">
        <f t="shared" si="5"/>
        <v>1</v>
      </c>
      <c r="W284" s="3">
        <f t="shared" si="6"/>
        <v>2</v>
      </c>
      <c r="X284" s="3" t="str">
        <f>IFERROR(__xludf.DUMMYFUNCTION("split(B284,"" "")"),"J.")</f>
        <v>J.</v>
      </c>
      <c r="Y284" s="3" t="str">
        <f>IFERROR(__xludf.DUMMYFUNCTION("""COMPUTED_VALUE"""),"Herbert")</f>
        <v>Herbert</v>
      </c>
      <c r="AA284" s="3">
        <v>130.0</v>
      </c>
      <c r="AB284" s="3">
        <f t="shared" si="7"/>
        <v>0</v>
      </c>
      <c r="AC284" s="3">
        <f t="shared" si="8"/>
        <v>0</v>
      </c>
      <c r="AD284" s="3">
        <f t="shared" si="9"/>
        <v>0.8695652174</v>
      </c>
      <c r="AE284" s="3">
        <f t="shared" si="10"/>
        <v>-1</v>
      </c>
      <c r="AF284" s="3">
        <f t="shared" si="11"/>
        <v>-2</v>
      </c>
      <c r="AG284" s="3">
        <f t="shared" si="12"/>
        <v>-0.376498801</v>
      </c>
    </row>
    <row r="285">
      <c r="A285" s="1" t="s">
        <v>14</v>
      </c>
      <c r="B285" s="1" t="s">
        <v>474</v>
      </c>
      <c r="C285" s="1" t="s">
        <v>21</v>
      </c>
      <c r="D285" s="1" t="s">
        <v>134</v>
      </c>
      <c r="E285" s="1" t="s">
        <v>77</v>
      </c>
      <c r="F285" s="1" t="s">
        <v>455</v>
      </c>
      <c r="G285" s="1">
        <v>0.5</v>
      </c>
      <c r="H285" s="1" t="s">
        <v>60</v>
      </c>
      <c r="I285" s="1">
        <v>-252.0</v>
      </c>
      <c r="J285" s="1">
        <v>-0.21943591434659</v>
      </c>
      <c r="K285" s="1" t="s">
        <v>61</v>
      </c>
      <c r="L285" s="1" t="s">
        <v>61</v>
      </c>
      <c r="M285" s="1" t="s">
        <v>62</v>
      </c>
      <c r="N285" s="1">
        <v>186.0</v>
      </c>
      <c r="O285" s="1">
        <v>0.153882663811188</v>
      </c>
      <c r="P285" s="1" t="s">
        <v>61</v>
      </c>
      <c r="Q285" s="1" t="s">
        <v>61</v>
      </c>
      <c r="R285" s="1">
        <f t="shared" si="1"/>
        <v>0.1538826638</v>
      </c>
      <c r="S285" s="1">
        <f t="shared" si="2"/>
        <v>186</v>
      </c>
      <c r="T285" s="1">
        <f t="shared" si="3"/>
        <v>2.86</v>
      </c>
      <c r="U285" s="1">
        <f t="shared" si="4"/>
        <v>0</v>
      </c>
      <c r="V285" s="3">
        <f t="shared" si="5"/>
        <v>3</v>
      </c>
      <c r="W285" s="3">
        <f t="shared" si="6"/>
        <v>1</v>
      </c>
      <c r="X285" s="3" t="str">
        <f>IFERROR(__xludf.DUMMYFUNCTION("split(B285,"" "")"),"G.")</f>
        <v>G.</v>
      </c>
      <c r="Y285" s="3" t="str">
        <f>IFERROR(__xludf.DUMMYFUNCTION("""COMPUTED_VALUE"""),"Minshew")</f>
        <v>Minshew</v>
      </c>
      <c r="AA285" s="3">
        <v>1.0</v>
      </c>
      <c r="AB285" s="3">
        <f t="shared" si="7"/>
        <v>1</v>
      </c>
      <c r="AC285" s="3">
        <f t="shared" si="8"/>
        <v>0</v>
      </c>
      <c r="AD285" s="3">
        <f t="shared" si="9"/>
        <v>5.58</v>
      </c>
      <c r="AE285" s="3">
        <f t="shared" si="10"/>
        <v>-3</v>
      </c>
      <c r="AF285" s="3">
        <f t="shared" si="11"/>
        <v>-1</v>
      </c>
      <c r="AG285" s="3">
        <f t="shared" si="12"/>
        <v>-1</v>
      </c>
    </row>
    <row r="286">
      <c r="A286" s="1" t="s">
        <v>12</v>
      </c>
      <c r="B286" s="1" t="s">
        <v>494</v>
      </c>
      <c r="C286" s="1" t="s">
        <v>20</v>
      </c>
      <c r="D286" s="1" t="s">
        <v>134</v>
      </c>
      <c r="E286" s="1" t="s">
        <v>77</v>
      </c>
      <c r="F286" s="1" t="s">
        <v>455</v>
      </c>
      <c r="G286" s="1">
        <v>3.5</v>
      </c>
      <c r="H286" s="1" t="s">
        <v>60</v>
      </c>
      <c r="I286" s="1">
        <v>-127.0</v>
      </c>
      <c r="J286" s="1">
        <v>-0.165315418502202</v>
      </c>
      <c r="K286" s="1" t="s">
        <v>61</v>
      </c>
      <c r="L286" s="1" t="s">
        <v>61</v>
      </c>
      <c r="M286" s="1" t="s">
        <v>62</v>
      </c>
      <c r="N286" s="1">
        <v>-103.0</v>
      </c>
      <c r="O286" s="1">
        <v>0.0984615763546797</v>
      </c>
      <c r="P286" s="1" t="s">
        <v>61</v>
      </c>
      <c r="Q286" s="1" t="s">
        <v>61</v>
      </c>
      <c r="R286" s="1">
        <f t="shared" si="1"/>
        <v>0.09846157635</v>
      </c>
      <c r="S286" s="1">
        <f t="shared" si="2"/>
        <v>-103</v>
      </c>
      <c r="T286" s="1">
        <f t="shared" si="3"/>
        <v>1.970873786</v>
      </c>
      <c r="U286" s="1">
        <f t="shared" si="4"/>
        <v>0</v>
      </c>
      <c r="V286" s="3">
        <f t="shared" si="5"/>
        <v>2</v>
      </c>
      <c r="W286" s="3">
        <f t="shared" si="6"/>
        <v>2</v>
      </c>
      <c r="X286" s="3" t="str">
        <f>IFERROR(__xludf.DUMMYFUNCTION("split(B286,"" "")"),"B.")</f>
        <v>B.</v>
      </c>
      <c r="Y286" s="3" t="str">
        <f>IFERROR(__xludf.DUMMYFUNCTION("""COMPUTED_VALUE"""),"Bowers")</f>
        <v>Bowers</v>
      </c>
      <c r="AA286" s="3">
        <v>9.0</v>
      </c>
      <c r="AB286" s="3">
        <f t="shared" si="7"/>
        <v>1</v>
      </c>
      <c r="AC286" s="3">
        <f t="shared" si="8"/>
        <v>0</v>
      </c>
      <c r="AD286" s="3">
        <f t="shared" si="9"/>
        <v>1.941747573</v>
      </c>
      <c r="AE286" s="3">
        <f t="shared" si="10"/>
        <v>-2</v>
      </c>
      <c r="AF286" s="3">
        <f t="shared" si="11"/>
        <v>-2</v>
      </c>
      <c r="AG286" s="3">
        <f t="shared" si="12"/>
        <v>-1.571428571</v>
      </c>
    </row>
    <row r="287">
      <c r="A287" s="1" t="s">
        <v>17</v>
      </c>
      <c r="B287" s="1" t="s">
        <v>474</v>
      </c>
      <c r="C287" s="1" t="s">
        <v>21</v>
      </c>
      <c r="D287" s="1" t="s">
        <v>134</v>
      </c>
      <c r="E287" s="1" t="s">
        <v>77</v>
      </c>
      <c r="F287" s="1" t="s">
        <v>455</v>
      </c>
      <c r="G287" s="1">
        <v>0.5</v>
      </c>
      <c r="H287" s="1" t="s">
        <v>60</v>
      </c>
      <c r="I287" s="1">
        <v>-146.0</v>
      </c>
      <c r="J287" s="1">
        <v>-0.157936585365853</v>
      </c>
      <c r="K287" s="1" t="s">
        <v>61</v>
      </c>
      <c r="L287" s="1" t="s">
        <v>61</v>
      </c>
      <c r="M287" s="1" t="s">
        <v>62</v>
      </c>
      <c r="N287" s="1">
        <v>112.0</v>
      </c>
      <c r="O287" s="1">
        <v>0.0927490566037736</v>
      </c>
      <c r="P287" s="1" t="s">
        <v>61</v>
      </c>
      <c r="Q287" s="1" t="s">
        <v>61</v>
      </c>
      <c r="R287" s="1">
        <f t="shared" si="1"/>
        <v>0.0927490566</v>
      </c>
      <c r="S287" s="1">
        <f t="shared" si="2"/>
        <v>112</v>
      </c>
      <c r="T287" s="1">
        <f t="shared" si="3"/>
        <v>2.12</v>
      </c>
      <c r="U287" s="1">
        <f t="shared" si="4"/>
        <v>0</v>
      </c>
      <c r="V287" s="3">
        <f t="shared" si="5"/>
        <v>2</v>
      </c>
      <c r="W287" s="3">
        <f t="shared" si="6"/>
        <v>1</v>
      </c>
      <c r="X287" s="3" t="str">
        <f>IFERROR(__xludf.DUMMYFUNCTION("split(B287,"" "")"),"G.")</f>
        <v>G.</v>
      </c>
      <c r="Y287" s="3" t="str">
        <f>IFERROR(__xludf.DUMMYFUNCTION("""COMPUTED_VALUE"""),"Minshew")</f>
        <v>Minshew</v>
      </c>
      <c r="AA287" s="3">
        <v>1.0</v>
      </c>
      <c r="AB287" s="3">
        <f t="shared" si="7"/>
        <v>1</v>
      </c>
      <c r="AC287" s="3">
        <f t="shared" si="8"/>
        <v>0</v>
      </c>
      <c r="AD287" s="3">
        <f t="shared" si="9"/>
        <v>2.24</v>
      </c>
      <c r="AE287" s="3">
        <f t="shared" si="10"/>
        <v>-2</v>
      </c>
      <c r="AF287" s="3">
        <f t="shared" si="11"/>
        <v>-1</v>
      </c>
      <c r="AG287" s="3">
        <f t="shared" si="12"/>
        <v>-1</v>
      </c>
    </row>
    <row r="288">
      <c r="A288" s="1" t="s">
        <v>15</v>
      </c>
      <c r="B288" s="1" t="s">
        <v>474</v>
      </c>
      <c r="C288" s="1" t="s">
        <v>21</v>
      </c>
      <c r="D288" s="1" t="s">
        <v>134</v>
      </c>
      <c r="E288" s="1" t="s">
        <v>77</v>
      </c>
      <c r="F288" s="1" t="s">
        <v>455</v>
      </c>
      <c r="G288" s="1">
        <v>19.5</v>
      </c>
      <c r="H288" s="1" t="s">
        <v>60</v>
      </c>
      <c r="I288" s="1">
        <v>-109.0</v>
      </c>
      <c r="J288" s="1">
        <v>-0.107125709999999</v>
      </c>
      <c r="K288" s="1" t="s">
        <v>61</v>
      </c>
      <c r="L288" s="1" t="s">
        <v>61</v>
      </c>
      <c r="M288" s="1" t="s">
        <v>62</v>
      </c>
      <c r="N288" s="1">
        <v>-121.0</v>
      </c>
      <c r="O288" s="1">
        <v>0.0380969493298641</v>
      </c>
      <c r="P288" s="1" t="s">
        <v>61</v>
      </c>
      <c r="Q288" s="1" t="s">
        <v>61</v>
      </c>
      <c r="R288" s="1">
        <f t="shared" si="1"/>
        <v>0.03809694933</v>
      </c>
      <c r="S288" s="1">
        <f t="shared" si="2"/>
        <v>-121</v>
      </c>
      <c r="T288" s="1">
        <f t="shared" si="3"/>
        <v>1.826446281</v>
      </c>
      <c r="U288" s="1">
        <f t="shared" si="4"/>
        <v>0</v>
      </c>
      <c r="V288" s="3">
        <f t="shared" si="5"/>
        <v>1</v>
      </c>
      <c r="W288" s="3">
        <f t="shared" si="6"/>
        <v>3</v>
      </c>
      <c r="X288" s="3" t="str">
        <f>IFERROR(__xludf.DUMMYFUNCTION("split(B288,"" "")"),"G.")</f>
        <v>G.</v>
      </c>
      <c r="Y288" s="3" t="str">
        <f>IFERROR(__xludf.DUMMYFUNCTION("""COMPUTED_VALUE"""),"Minshew")</f>
        <v>Minshew</v>
      </c>
      <c r="AA288" s="3">
        <v>30.0</v>
      </c>
      <c r="AB288" s="3">
        <f t="shared" si="7"/>
        <v>1</v>
      </c>
      <c r="AC288" s="3">
        <f t="shared" si="8"/>
        <v>0</v>
      </c>
      <c r="AD288" s="3">
        <f t="shared" si="9"/>
        <v>0.826446281</v>
      </c>
      <c r="AE288" s="3">
        <f t="shared" si="10"/>
        <v>-1</v>
      </c>
      <c r="AF288" s="3">
        <f t="shared" si="11"/>
        <v>-3</v>
      </c>
      <c r="AG288" s="3">
        <f t="shared" si="12"/>
        <v>-0.5384615385</v>
      </c>
    </row>
    <row r="289">
      <c r="A289" s="1" t="s">
        <v>12</v>
      </c>
      <c r="B289" s="1" t="s">
        <v>133</v>
      </c>
      <c r="C289" s="1" t="s">
        <v>19</v>
      </c>
      <c r="D289" s="1" t="s">
        <v>134</v>
      </c>
      <c r="E289" s="1" t="s">
        <v>77</v>
      </c>
      <c r="F289" s="1" t="s">
        <v>455</v>
      </c>
      <c r="G289" s="1">
        <v>1.5</v>
      </c>
      <c r="H289" s="1" t="s">
        <v>60</v>
      </c>
      <c r="I289" s="1">
        <v>128.0</v>
      </c>
      <c r="J289" s="1">
        <v>-0.0989445506863158</v>
      </c>
      <c r="K289" s="1" t="s">
        <v>61</v>
      </c>
      <c r="L289" s="1" t="s">
        <v>61</v>
      </c>
      <c r="M289" s="1" t="s">
        <v>62</v>
      </c>
      <c r="N289" s="1">
        <v>-170.0</v>
      </c>
      <c r="O289" s="1">
        <v>0.0307242703877778</v>
      </c>
      <c r="P289" s="1" t="s">
        <v>61</v>
      </c>
      <c r="Q289" s="1" t="s">
        <v>61</v>
      </c>
      <c r="R289" s="1">
        <f t="shared" si="1"/>
        <v>0.03072427039</v>
      </c>
      <c r="S289" s="1">
        <f t="shared" si="2"/>
        <v>-170</v>
      </c>
      <c r="T289" s="1">
        <f t="shared" si="3"/>
        <v>1.588235294</v>
      </c>
      <c r="U289" s="1">
        <f t="shared" si="4"/>
        <v>0</v>
      </c>
      <c r="V289" s="3">
        <f t="shared" si="5"/>
        <v>1</v>
      </c>
      <c r="W289" s="3">
        <f t="shared" si="6"/>
        <v>3</v>
      </c>
      <c r="X289" s="3" t="str">
        <f>IFERROR(__xludf.DUMMYFUNCTION("split(B289,"" "")"),"Z.")</f>
        <v>Z.</v>
      </c>
      <c r="Y289" s="3" t="str">
        <f>IFERROR(__xludf.DUMMYFUNCTION("""COMPUTED_VALUE"""),"White")</f>
        <v>White</v>
      </c>
      <c r="AA289" s="3">
        <v>3.0</v>
      </c>
      <c r="AB289" s="3">
        <f t="shared" si="7"/>
        <v>1</v>
      </c>
      <c r="AC289" s="3">
        <f t="shared" si="8"/>
        <v>0</v>
      </c>
      <c r="AD289" s="3">
        <f t="shared" si="9"/>
        <v>0.5882352941</v>
      </c>
      <c r="AE289" s="3">
        <f t="shared" si="10"/>
        <v>-1</v>
      </c>
      <c r="AF289" s="3">
        <f t="shared" si="11"/>
        <v>-3</v>
      </c>
      <c r="AG289" s="3">
        <f t="shared" si="12"/>
        <v>-1</v>
      </c>
    </row>
    <row r="290">
      <c r="A290" s="1" t="s">
        <v>12</v>
      </c>
      <c r="B290" s="1" t="s">
        <v>278</v>
      </c>
      <c r="C290" s="1" t="s">
        <v>18</v>
      </c>
      <c r="D290" s="1" t="s">
        <v>134</v>
      </c>
      <c r="E290" s="1" t="s">
        <v>77</v>
      </c>
      <c r="F290" s="1" t="s">
        <v>455</v>
      </c>
      <c r="G290" s="1">
        <v>3.5</v>
      </c>
      <c r="H290" s="1" t="s">
        <v>60</v>
      </c>
      <c r="I290" s="1">
        <v>115.0</v>
      </c>
      <c r="J290" s="1">
        <v>-0.0926697674418604</v>
      </c>
      <c r="K290" s="1" t="s">
        <v>61</v>
      </c>
      <c r="L290" s="1" t="s">
        <v>61</v>
      </c>
      <c r="M290" s="1" t="s">
        <v>62</v>
      </c>
      <c r="N290" s="1">
        <v>-150.0</v>
      </c>
      <c r="O290" s="1">
        <v>0.0275599999999998</v>
      </c>
      <c r="P290" s="1" t="s">
        <v>61</v>
      </c>
      <c r="Q290" s="1" t="s">
        <v>61</v>
      </c>
      <c r="R290" s="1">
        <f t="shared" si="1"/>
        <v>0.02756</v>
      </c>
      <c r="S290" s="1">
        <f t="shared" si="2"/>
        <v>-150</v>
      </c>
      <c r="T290" s="1">
        <f t="shared" si="3"/>
        <v>1.666666667</v>
      </c>
      <c r="U290" s="1">
        <f t="shared" si="4"/>
        <v>0</v>
      </c>
      <c r="V290" s="3">
        <f t="shared" si="5"/>
        <v>1</v>
      </c>
      <c r="W290" s="3">
        <f t="shared" si="6"/>
        <v>3</v>
      </c>
      <c r="X290" s="3" t="str">
        <f>IFERROR(__xludf.DUMMYFUNCTION("split(B290,"" "")"),"J.")</f>
        <v>J.</v>
      </c>
      <c r="Y290" s="3" t="str">
        <f>IFERROR(__xludf.DUMMYFUNCTION("""COMPUTED_VALUE"""),"Meyers")</f>
        <v>Meyers</v>
      </c>
      <c r="AA290" s="3">
        <v>4.0</v>
      </c>
      <c r="AB290" s="3">
        <f t="shared" si="7"/>
        <v>1</v>
      </c>
      <c r="AC290" s="3">
        <f t="shared" si="8"/>
        <v>0</v>
      </c>
      <c r="AD290" s="3">
        <f t="shared" si="9"/>
        <v>0.6666666667</v>
      </c>
      <c r="AE290" s="3">
        <f t="shared" si="10"/>
        <v>-1</v>
      </c>
      <c r="AF290" s="3">
        <f t="shared" si="11"/>
        <v>-3</v>
      </c>
      <c r="AG290" s="3">
        <f t="shared" si="12"/>
        <v>-0.1428571429</v>
      </c>
    </row>
    <row r="291">
      <c r="A291" s="1" t="s">
        <v>11</v>
      </c>
      <c r="B291" s="1" t="s">
        <v>494</v>
      </c>
      <c r="C291" s="1" t="s">
        <v>20</v>
      </c>
      <c r="D291" s="1" t="s">
        <v>134</v>
      </c>
      <c r="E291" s="1" t="s">
        <v>77</v>
      </c>
      <c r="F291" s="1" t="s">
        <v>455</v>
      </c>
      <c r="G291" s="1">
        <v>34.5</v>
      </c>
      <c r="H291" s="1" t="s">
        <v>60</v>
      </c>
      <c r="I291" s="1">
        <v>-113.0</v>
      </c>
      <c r="J291" s="1">
        <v>-0.0760439701969483</v>
      </c>
      <c r="K291" s="1" t="s">
        <v>61</v>
      </c>
      <c r="L291" s="1" t="s">
        <v>61</v>
      </c>
      <c r="M291" s="1" t="s">
        <v>62</v>
      </c>
      <c r="N291" s="1">
        <v>-116.0</v>
      </c>
      <c r="O291" s="1">
        <v>0.0085076014326203</v>
      </c>
      <c r="P291" s="1" t="s">
        <v>61</v>
      </c>
      <c r="Q291" s="1" t="s">
        <v>61</v>
      </c>
      <c r="R291" s="1">
        <f t="shared" si="1"/>
        <v>0.008507601433</v>
      </c>
      <c r="S291" s="1">
        <f t="shared" si="2"/>
        <v>-116</v>
      </c>
      <c r="T291" s="1">
        <f t="shared" si="3"/>
        <v>1.862068966</v>
      </c>
      <c r="U291" s="1">
        <f t="shared" si="4"/>
        <v>0</v>
      </c>
      <c r="V291" s="3">
        <f t="shared" si="5"/>
        <v>1</v>
      </c>
      <c r="W291" s="3">
        <f t="shared" si="6"/>
        <v>2</v>
      </c>
      <c r="X291" s="3" t="str">
        <f>IFERROR(__xludf.DUMMYFUNCTION("split(B291,"" "")"),"B.")</f>
        <v>B.</v>
      </c>
      <c r="Y291" s="3" t="str">
        <f>IFERROR(__xludf.DUMMYFUNCTION("""COMPUTED_VALUE"""),"Bowers")</f>
        <v>Bowers</v>
      </c>
      <c r="AA291" s="3">
        <v>98.0</v>
      </c>
      <c r="AB291" s="3">
        <f t="shared" si="7"/>
        <v>1</v>
      </c>
      <c r="AC291" s="3">
        <f t="shared" si="8"/>
        <v>0</v>
      </c>
      <c r="AD291" s="3">
        <f t="shared" si="9"/>
        <v>0.8620689655</v>
      </c>
      <c r="AE291" s="3">
        <f t="shared" si="10"/>
        <v>-1</v>
      </c>
      <c r="AF291" s="3">
        <f t="shared" si="11"/>
        <v>-2</v>
      </c>
      <c r="AG291" s="3">
        <f t="shared" si="12"/>
        <v>-1.84057971</v>
      </c>
    </row>
    <row r="292">
      <c r="A292" s="1" t="s">
        <v>9</v>
      </c>
      <c r="B292" s="1" t="s">
        <v>133</v>
      </c>
      <c r="C292" s="1" t="s">
        <v>19</v>
      </c>
      <c r="D292" s="1" t="s">
        <v>134</v>
      </c>
      <c r="E292" s="1" t="s">
        <v>77</v>
      </c>
      <c r="F292" s="1" t="s">
        <v>455</v>
      </c>
      <c r="G292" s="1">
        <v>50.5</v>
      </c>
      <c r="H292" s="1" t="s">
        <v>60</v>
      </c>
      <c r="I292" s="1">
        <v>-115.0</v>
      </c>
      <c r="J292" s="1">
        <v>3.94106620980827E-4</v>
      </c>
      <c r="K292" s="1" t="s">
        <v>61</v>
      </c>
      <c r="L292" s="1" t="s">
        <v>61</v>
      </c>
      <c r="M292" s="1" t="s">
        <v>62</v>
      </c>
      <c r="N292" s="1">
        <v>-117.0</v>
      </c>
      <c r="O292" s="1">
        <v>-0.0744288825829849</v>
      </c>
      <c r="P292" s="1" t="s">
        <v>61</v>
      </c>
      <c r="Q292" s="1" t="s">
        <v>61</v>
      </c>
      <c r="R292" s="1">
        <f t="shared" si="1"/>
        <v>0.000394106621</v>
      </c>
      <c r="S292" s="1">
        <f t="shared" si="2"/>
        <v>-115</v>
      </c>
      <c r="T292" s="1">
        <f t="shared" si="3"/>
        <v>1.869565217</v>
      </c>
      <c r="U292" s="1">
        <f t="shared" si="4"/>
        <v>1</v>
      </c>
      <c r="V292" s="3">
        <f t="shared" si="5"/>
        <v>1</v>
      </c>
      <c r="W292" s="3">
        <f t="shared" si="6"/>
        <v>2</v>
      </c>
      <c r="X292" s="3" t="str">
        <f>IFERROR(__xludf.DUMMYFUNCTION("split(B292,"" "")"),"Z.")</f>
        <v>Z.</v>
      </c>
      <c r="Y292" s="3" t="str">
        <f>IFERROR(__xludf.DUMMYFUNCTION("""COMPUTED_VALUE"""),"White")</f>
        <v>White</v>
      </c>
      <c r="AA292" s="3">
        <v>38.0</v>
      </c>
      <c r="AB292" s="3">
        <f t="shared" si="7"/>
        <v>0</v>
      </c>
      <c r="AC292" s="3">
        <f t="shared" si="8"/>
        <v>0</v>
      </c>
      <c r="AD292" s="3">
        <f t="shared" si="9"/>
        <v>0.8695652174</v>
      </c>
      <c r="AE292" s="3">
        <f t="shared" si="10"/>
        <v>-1</v>
      </c>
      <c r="AF292" s="3">
        <f t="shared" si="11"/>
        <v>-2</v>
      </c>
      <c r="AG292" s="3">
        <f t="shared" si="12"/>
        <v>-0.2475247525</v>
      </c>
    </row>
    <row r="293">
      <c r="A293" s="1" t="s">
        <v>12</v>
      </c>
      <c r="B293" s="1" t="s">
        <v>220</v>
      </c>
      <c r="C293" s="1" t="s">
        <v>20</v>
      </c>
      <c r="D293" s="1" t="s">
        <v>94</v>
      </c>
      <c r="E293" s="1" t="s">
        <v>104</v>
      </c>
      <c r="F293" s="1" t="s">
        <v>456</v>
      </c>
      <c r="G293" s="1">
        <v>1.5</v>
      </c>
      <c r="H293" s="1" t="s">
        <v>60</v>
      </c>
      <c r="I293" s="1">
        <v>-151.0</v>
      </c>
      <c r="J293" s="1">
        <v>-0.179892161286852</v>
      </c>
      <c r="K293" s="1" t="s">
        <v>61</v>
      </c>
      <c r="L293" s="1" t="s">
        <v>61</v>
      </c>
      <c r="M293" s="1" t="s">
        <v>62</v>
      </c>
      <c r="N293" s="1">
        <v>116.0</v>
      </c>
      <c r="O293" s="1">
        <v>0.115335335569444</v>
      </c>
      <c r="P293" s="1" t="s">
        <v>61</v>
      </c>
      <c r="Q293" s="1" t="s">
        <v>61</v>
      </c>
      <c r="R293" s="1">
        <f t="shared" si="1"/>
        <v>0.1153353356</v>
      </c>
      <c r="S293" s="1">
        <f t="shared" si="2"/>
        <v>116</v>
      </c>
      <c r="T293" s="1">
        <f t="shared" si="3"/>
        <v>2.16</v>
      </c>
      <c r="U293" s="1">
        <f t="shared" si="4"/>
        <v>0</v>
      </c>
      <c r="V293" s="3">
        <f t="shared" si="5"/>
        <v>3</v>
      </c>
      <c r="W293" s="3">
        <f t="shared" si="6"/>
        <v>1</v>
      </c>
      <c r="X293" s="3" t="str">
        <f>IFERROR(__xludf.DUMMYFUNCTION("split(B293,"" "")"),"J.")</f>
        <v>J.</v>
      </c>
      <c r="Y293" s="3" t="str">
        <f>IFERROR(__xludf.DUMMYFUNCTION("""COMPUTED_VALUE"""),"Smith")</f>
        <v>Smith</v>
      </c>
      <c r="AA293" s="3">
        <v>6.0</v>
      </c>
      <c r="AB293" s="3">
        <f t="shared" si="7"/>
        <v>1</v>
      </c>
      <c r="AC293" s="3">
        <f t="shared" si="8"/>
        <v>0</v>
      </c>
      <c r="AD293" s="3">
        <f t="shared" si="9"/>
        <v>3.48</v>
      </c>
      <c r="AE293" s="3">
        <f t="shared" si="10"/>
        <v>-3</v>
      </c>
      <c r="AF293" s="3">
        <f t="shared" si="11"/>
        <v>-1</v>
      </c>
      <c r="AG293" s="3">
        <f t="shared" si="12"/>
        <v>-3</v>
      </c>
    </row>
    <row r="294">
      <c r="A294" s="1" t="s">
        <v>17</v>
      </c>
      <c r="B294" s="1" t="s">
        <v>316</v>
      </c>
      <c r="C294" s="1" t="s">
        <v>21</v>
      </c>
      <c r="D294" s="1" t="s">
        <v>94</v>
      </c>
      <c r="E294" s="1" t="s">
        <v>104</v>
      </c>
      <c r="F294" s="1" t="s">
        <v>456</v>
      </c>
      <c r="G294" s="1">
        <v>0.5</v>
      </c>
      <c r="H294" s="1" t="s">
        <v>60</v>
      </c>
      <c r="I294" s="1">
        <v>-142.0</v>
      </c>
      <c r="J294" s="1">
        <v>-0.131035537190082</v>
      </c>
      <c r="K294" s="1" t="s">
        <v>61</v>
      </c>
      <c r="L294" s="1" t="s">
        <v>61</v>
      </c>
      <c r="M294" s="1" t="s">
        <v>62</v>
      </c>
      <c r="N294" s="1">
        <v>109.0</v>
      </c>
      <c r="O294" s="1">
        <v>0.0657832535885167</v>
      </c>
      <c r="P294" s="1" t="s">
        <v>61</v>
      </c>
      <c r="Q294" s="1" t="s">
        <v>61</v>
      </c>
      <c r="R294" s="1">
        <f t="shared" si="1"/>
        <v>0.06578325359</v>
      </c>
      <c r="S294" s="1">
        <f t="shared" si="2"/>
        <v>109</v>
      </c>
      <c r="T294" s="1">
        <f t="shared" si="3"/>
        <v>2.09</v>
      </c>
      <c r="U294" s="1">
        <f t="shared" si="4"/>
        <v>0</v>
      </c>
      <c r="V294" s="3">
        <f t="shared" si="5"/>
        <v>2</v>
      </c>
      <c r="W294" s="3">
        <f t="shared" si="6"/>
        <v>2</v>
      </c>
      <c r="X294" s="3" t="str">
        <f>IFERROR(__xludf.DUMMYFUNCTION("split(B294,"" "")"),"T.")</f>
        <v>T.</v>
      </c>
      <c r="Y294" s="3" t="str">
        <f>IFERROR(__xludf.DUMMYFUNCTION("""COMPUTED_VALUE"""),"Tagovailoa")</f>
        <v>Tagovailoa</v>
      </c>
      <c r="AA294" s="3">
        <v>3.0</v>
      </c>
      <c r="AB294" s="3">
        <f t="shared" si="7"/>
        <v>1</v>
      </c>
      <c r="AC294" s="3">
        <f t="shared" si="8"/>
        <v>0</v>
      </c>
      <c r="AD294" s="3">
        <f t="shared" si="9"/>
        <v>2.18</v>
      </c>
      <c r="AE294" s="3">
        <f t="shared" si="10"/>
        <v>-2</v>
      </c>
      <c r="AF294" s="3">
        <f t="shared" si="11"/>
        <v>-2</v>
      </c>
      <c r="AG294" s="3">
        <f t="shared" si="12"/>
        <v>-5</v>
      </c>
    </row>
    <row r="295">
      <c r="A295" s="1" t="s">
        <v>12</v>
      </c>
      <c r="B295" s="1" t="s">
        <v>441</v>
      </c>
      <c r="C295" s="1" t="s">
        <v>18</v>
      </c>
      <c r="D295" s="1" t="s">
        <v>94</v>
      </c>
      <c r="E295" s="1" t="s">
        <v>104</v>
      </c>
      <c r="F295" s="1" t="s">
        <v>456</v>
      </c>
      <c r="G295" s="1">
        <v>6.5</v>
      </c>
      <c r="H295" s="1" t="s">
        <v>60</v>
      </c>
      <c r="I295" s="1">
        <v>-145.0</v>
      </c>
      <c r="J295" s="1">
        <v>0.0163040816326531</v>
      </c>
      <c r="K295" s="1" t="s">
        <v>61</v>
      </c>
      <c r="L295" s="1" t="s">
        <v>61</v>
      </c>
      <c r="M295" s="1" t="s">
        <v>62</v>
      </c>
      <c r="N295" s="1">
        <v>112.0</v>
      </c>
      <c r="O295" s="1">
        <v>-0.0798452830188679</v>
      </c>
      <c r="P295" s="1" t="s">
        <v>61</v>
      </c>
      <c r="Q295" s="1" t="s">
        <v>61</v>
      </c>
      <c r="R295" s="1">
        <f t="shared" si="1"/>
        <v>0.01630408163</v>
      </c>
      <c r="S295" s="1">
        <f t="shared" si="2"/>
        <v>-145</v>
      </c>
      <c r="T295" s="1">
        <f t="shared" si="3"/>
        <v>1.689655172</v>
      </c>
      <c r="U295" s="1">
        <f t="shared" si="4"/>
        <v>1</v>
      </c>
      <c r="V295" s="3">
        <f t="shared" si="5"/>
        <v>1</v>
      </c>
      <c r="W295" s="3">
        <f t="shared" si="6"/>
        <v>3</v>
      </c>
      <c r="X295" s="3" t="str">
        <f>IFERROR(__xludf.DUMMYFUNCTION("split(B295,"" "")"),"T.")</f>
        <v>T.</v>
      </c>
      <c r="Y295" s="3" t="str">
        <f>IFERROR(__xludf.DUMMYFUNCTION("""COMPUTED_VALUE"""),"Hill")</f>
        <v>Hill</v>
      </c>
      <c r="AA295" s="3">
        <v>3.0</v>
      </c>
      <c r="AB295" s="3">
        <f t="shared" si="7"/>
        <v>0</v>
      </c>
      <c r="AC295" s="3">
        <f t="shared" si="8"/>
        <v>0</v>
      </c>
      <c r="AD295" s="3">
        <f t="shared" si="9"/>
        <v>0.6896551724</v>
      </c>
      <c r="AE295" s="3">
        <f t="shared" si="10"/>
        <v>-1</v>
      </c>
      <c r="AF295" s="3">
        <f t="shared" si="11"/>
        <v>-3</v>
      </c>
      <c r="AG295" s="3">
        <f t="shared" si="12"/>
        <v>-0.5384615385</v>
      </c>
    </row>
    <row r="296">
      <c r="A296" s="1" t="s">
        <v>16</v>
      </c>
      <c r="B296" s="1" t="s">
        <v>316</v>
      </c>
      <c r="C296" s="1" t="s">
        <v>21</v>
      </c>
      <c r="D296" s="1" t="s">
        <v>94</v>
      </c>
      <c r="E296" s="1" t="s">
        <v>104</v>
      </c>
      <c r="F296" s="1" t="s">
        <v>456</v>
      </c>
      <c r="G296" s="1">
        <v>33.5</v>
      </c>
      <c r="H296" s="1" t="s">
        <v>60</v>
      </c>
      <c r="I296" s="1">
        <v>-109.0</v>
      </c>
      <c r="J296" s="1">
        <v>0.00396801672583735</v>
      </c>
      <c r="K296" s="1" t="s">
        <v>61</v>
      </c>
      <c r="L296" s="1" t="s">
        <v>61</v>
      </c>
      <c r="M296" s="1" t="s">
        <v>62</v>
      </c>
      <c r="N296" s="1">
        <v>-120.0</v>
      </c>
      <c r="O296" s="1">
        <v>-0.0709537760454543</v>
      </c>
      <c r="P296" s="1" t="s">
        <v>61</v>
      </c>
      <c r="Q296" s="1" t="s">
        <v>61</v>
      </c>
      <c r="R296" s="1">
        <f t="shared" si="1"/>
        <v>0.003968016726</v>
      </c>
      <c r="S296" s="1">
        <f t="shared" si="2"/>
        <v>-109</v>
      </c>
      <c r="T296" s="1">
        <f t="shared" si="3"/>
        <v>1.917431193</v>
      </c>
      <c r="U296" s="1">
        <f t="shared" si="4"/>
        <v>1</v>
      </c>
      <c r="V296" s="3">
        <f t="shared" si="5"/>
        <v>1</v>
      </c>
      <c r="W296" s="3">
        <f t="shared" si="6"/>
        <v>2</v>
      </c>
      <c r="X296" s="3" t="str">
        <f>IFERROR(__xludf.DUMMYFUNCTION("split(B296,"" "")"),"T.")</f>
        <v>T.</v>
      </c>
      <c r="Y296" s="3" t="str">
        <f>IFERROR(__xludf.DUMMYFUNCTION("""COMPUTED_VALUE"""),"Tagovailoa")</f>
        <v>Tagovailoa</v>
      </c>
      <c r="AA296" s="3">
        <v>25.0</v>
      </c>
      <c r="AB296" s="3">
        <f t="shared" si="7"/>
        <v>0</v>
      </c>
      <c r="AC296" s="3">
        <f t="shared" si="8"/>
        <v>0</v>
      </c>
      <c r="AD296" s="3">
        <f t="shared" si="9"/>
        <v>0.9174311927</v>
      </c>
      <c r="AE296" s="3">
        <f t="shared" si="10"/>
        <v>-1</v>
      </c>
      <c r="AF296" s="3">
        <f t="shared" si="11"/>
        <v>-2</v>
      </c>
      <c r="AG296" s="3">
        <f t="shared" si="12"/>
        <v>-0.2537313433</v>
      </c>
    </row>
    <row r="297">
      <c r="A297" s="1" t="s">
        <v>12</v>
      </c>
      <c r="B297" s="1" t="s">
        <v>304</v>
      </c>
      <c r="C297" s="1" t="s">
        <v>19</v>
      </c>
      <c r="D297" s="1" t="s">
        <v>146</v>
      </c>
      <c r="E297" s="1" t="s">
        <v>164</v>
      </c>
      <c r="F297" s="1" t="s">
        <v>455</v>
      </c>
      <c r="G297" s="1">
        <v>2.5</v>
      </c>
      <c r="H297" s="1" t="s">
        <v>60</v>
      </c>
      <c r="I297" s="1">
        <v>-143.0</v>
      </c>
      <c r="J297" s="1">
        <v>-0.239434609176954</v>
      </c>
      <c r="K297" s="1" t="s">
        <v>61</v>
      </c>
      <c r="L297" s="1" t="s">
        <v>61</v>
      </c>
      <c r="M297" s="1" t="s">
        <v>62</v>
      </c>
      <c r="N297" s="1">
        <v>110.0</v>
      </c>
      <c r="O297" s="1">
        <v>0.174760047761904</v>
      </c>
      <c r="P297" s="1" t="s">
        <v>61</v>
      </c>
      <c r="Q297" s="1" t="s">
        <v>61</v>
      </c>
      <c r="R297" s="1">
        <f t="shared" si="1"/>
        <v>0.1747600478</v>
      </c>
      <c r="S297" s="1">
        <f t="shared" si="2"/>
        <v>110</v>
      </c>
      <c r="T297" s="1">
        <f t="shared" si="3"/>
        <v>2.1</v>
      </c>
      <c r="U297" s="1">
        <f t="shared" si="4"/>
        <v>0</v>
      </c>
      <c r="V297" s="3">
        <f t="shared" si="5"/>
        <v>3</v>
      </c>
      <c r="W297" s="3">
        <f t="shared" si="6"/>
        <v>2</v>
      </c>
      <c r="X297" s="3" t="str">
        <f>IFERROR(__xludf.DUMMYFUNCTION("split(B297,"" "")"),"A.")</f>
        <v>A.</v>
      </c>
      <c r="Y297" s="3" t="str">
        <f>IFERROR(__xludf.DUMMYFUNCTION("""COMPUTED_VALUE"""),"Jones")</f>
        <v>Jones</v>
      </c>
      <c r="AA297" s="3">
        <v>5.0</v>
      </c>
      <c r="AB297" s="3">
        <f t="shared" si="7"/>
        <v>1</v>
      </c>
      <c r="AC297" s="3">
        <f t="shared" si="8"/>
        <v>0</v>
      </c>
      <c r="AD297" s="3">
        <f t="shared" si="9"/>
        <v>3.3</v>
      </c>
      <c r="AE297" s="3">
        <f t="shared" si="10"/>
        <v>-3</v>
      </c>
      <c r="AF297" s="3">
        <f t="shared" si="11"/>
        <v>-2</v>
      </c>
      <c r="AG297" s="3">
        <f t="shared" si="12"/>
        <v>-1</v>
      </c>
    </row>
    <row r="298">
      <c r="A298" s="1" t="s">
        <v>8</v>
      </c>
      <c r="B298" s="1" t="s">
        <v>145</v>
      </c>
      <c r="C298" s="1" t="s">
        <v>21</v>
      </c>
      <c r="D298" s="1" t="s">
        <v>146</v>
      </c>
      <c r="E298" s="1" t="s">
        <v>164</v>
      </c>
      <c r="F298" s="1" t="s">
        <v>455</v>
      </c>
      <c r="G298" s="1">
        <v>3.5</v>
      </c>
      <c r="H298" s="1" t="s">
        <v>60</v>
      </c>
      <c r="I298" s="1">
        <v>-105.0</v>
      </c>
      <c r="J298" s="1">
        <v>-0.184838157697587</v>
      </c>
      <c r="K298" s="1" t="s">
        <v>61</v>
      </c>
      <c r="L298" s="1" t="s">
        <v>61</v>
      </c>
      <c r="M298" s="1" t="s">
        <v>62</v>
      </c>
      <c r="N298" s="1">
        <v>-128.0</v>
      </c>
      <c r="O298" s="1">
        <v>0.111246020087048</v>
      </c>
      <c r="P298" s="1" t="s">
        <v>61</v>
      </c>
      <c r="Q298" s="1" t="s">
        <v>61</v>
      </c>
      <c r="R298" s="1">
        <f t="shared" si="1"/>
        <v>0.1112460201</v>
      </c>
      <c r="S298" s="1">
        <f t="shared" si="2"/>
        <v>-128</v>
      </c>
      <c r="T298" s="1">
        <f t="shared" si="3"/>
        <v>1.78125</v>
      </c>
      <c r="U298" s="1">
        <f t="shared" si="4"/>
        <v>0</v>
      </c>
      <c r="V298" s="3">
        <f t="shared" si="5"/>
        <v>3</v>
      </c>
      <c r="W298" s="3">
        <f t="shared" si="6"/>
        <v>3</v>
      </c>
      <c r="X298" s="3" t="str">
        <f>IFERROR(__xludf.DUMMYFUNCTION("split(B298,"" "")"),"S.")</f>
        <v>S.</v>
      </c>
      <c r="Y298" s="3" t="str">
        <f>IFERROR(__xludf.DUMMYFUNCTION("""COMPUTED_VALUE"""),"Darnold")</f>
        <v>Darnold</v>
      </c>
      <c r="AA298" s="3">
        <v>5.0</v>
      </c>
      <c r="AB298" s="3">
        <f t="shared" si="7"/>
        <v>1</v>
      </c>
      <c r="AC298" s="3">
        <f t="shared" si="8"/>
        <v>0</v>
      </c>
      <c r="AD298" s="3">
        <f t="shared" si="9"/>
        <v>2.34375</v>
      </c>
      <c r="AE298" s="3">
        <f t="shared" si="10"/>
        <v>-3</v>
      </c>
      <c r="AF298" s="3">
        <f t="shared" si="11"/>
        <v>-3</v>
      </c>
      <c r="AG298" s="3">
        <f t="shared" si="12"/>
        <v>-0.4285714286</v>
      </c>
    </row>
    <row r="299">
      <c r="A299" s="1" t="s">
        <v>12</v>
      </c>
      <c r="B299" s="1" t="s">
        <v>379</v>
      </c>
      <c r="C299" s="1" t="s">
        <v>18</v>
      </c>
      <c r="D299" s="1" t="s">
        <v>146</v>
      </c>
      <c r="E299" s="1" t="s">
        <v>164</v>
      </c>
      <c r="F299" s="1" t="s">
        <v>455</v>
      </c>
      <c r="G299" s="1">
        <v>6.5</v>
      </c>
      <c r="H299" s="1" t="s">
        <v>60</v>
      </c>
      <c r="I299" s="1">
        <v>-118.0</v>
      </c>
      <c r="J299" s="1">
        <v>0.0687697247706422</v>
      </c>
      <c r="K299" s="1" t="s">
        <v>61</v>
      </c>
      <c r="L299" s="1" t="s">
        <v>61</v>
      </c>
      <c r="M299" s="1" t="s">
        <v>62</v>
      </c>
      <c r="N299" s="1">
        <v>-111.0</v>
      </c>
      <c r="O299" s="1">
        <v>-0.136113744075829</v>
      </c>
      <c r="P299" s="1" t="s">
        <v>61</v>
      </c>
      <c r="Q299" s="1" t="s">
        <v>61</v>
      </c>
      <c r="R299" s="1">
        <f t="shared" si="1"/>
        <v>0.06876972477</v>
      </c>
      <c r="S299" s="1">
        <f t="shared" si="2"/>
        <v>-118</v>
      </c>
      <c r="T299" s="1">
        <f t="shared" si="3"/>
        <v>1.847457627</v>
      </c>
      <c r="U299" s="1">
        <f t="shared" si="4"/>
        <v>1</v>
      </c>
      <c r="V299" s="3">
        <f t="shared" si="5"/>
        <v>2</v>
      </c>
      <c r="W299" s="3">
        <f t="shared" si="6"/>
        <v>3</v>
      </c>
      <c r="X299" s="3" t="str">
        <f>IFERROR(__xludf.DUMMYFUNCTION("split(B299,"" "")"),"J.")</f>
        <v>J.</v>
      </c>
      <c r="Y299" s="3" t="str">
        <f>IFERROR(__xludf.DUMMYFUNCTION("""COMPUTED_VALUE"""),"Jefferson")</f>
        <v>Jefferson</v>
      </c>
      <c r="AA299" s="3">
        <v>4.0</v>
      </c>
      <c r="AB299" s="3">
        <f t="shared" si="7"/>
        <v>0</v>
      </c>
      <c r="AC299" s="3">
        <f t="shared" si="8"/>
        <v>0</v>
      </c>
      <c r="AD299" s="3">
        <f t="shared" si="9"/>
        <v>1.694915254</v>
      </c>
      <c r="AE299" s="3">
        <f t="shared" si="10"/>
        <v>-2</v>
      </c>
      <c r="AF299" s="3">
        <f t="shared" si="11"/>
        <v>-3</v>
      </c>
      <c r="AG299" s="3">
        <f t="shared" si="12"/>
        <v>-0.3846153846</v>
      </c>
    </row>
    <row r="300">
      <c r="A300" s="1" t="s">
        <v>17</v>
      </c>
      <c r="B300" s="1" t="s">
        <v>145</v>
      </c>
      <c r="C300" s="1" t="s">
        <v>21</v>
      </c>
      <c r="D300" s="1" t="s">
        <v>146</v>
      </c>
      <c r="E300" s="1" t="s">
        <v>164</v>
      </c>
      <c r="F300" s="1" t="s">
        <v>455</v>
      </c>
      <c r="G300" s="1">
        <v>0.5</v>
      </c>
      <c r="H300" s="1" t="s">
        <v>60</v>
      </c>
      <c r="I300" s="1">
        <v>-147.0</v>
      </c>
      <c r="J300" s="1">
        <v>-0.119201214574898</v>
      </c>
      <c r="K300" s="1" t="s">
        <v>61</v>
      </c>
      <c r="L300" s="1" t="s">
        <v>61</v>
      </c>
      <c r="M300" s="1" t="s">
        <v>62</v>
      </c>
      <c r="N300" s="1">
        <v>112.0</v>
      </c>
      <c r="O300" s="1">
        <v>0.0523547169811321</v>
      </c>
      <c r="P300" s="1" t="s">
        <v>61</v>
      </c>
      <c r="Q300" s="1" t="s">
        <v>61</v>
      </c>
      <c r="R300" s="1">
        <f t="shared" si="1"/>
        <v>0.05235471698</v>
      </c>
      <c r="S300" s="1">
        <f t="shared" si="2"/>
        <v>112</v>
      </c>
      <c r="T300" s="1">
        <f t="shared" si="3"/>
        <v>2.12</v>
      </c>
      <c r="U300" s="1">
        <f t="shared" si="4"/>
        <v>0</v>
      </c>
      <c r="V300" s="3">
        <f t="shared" si="5"/>
        <v>2</v>
      </c>
      <c r="W300" s="3">
        <f t="shared" si="6"/>
        <v>1</v>
      </c>
      <c r="X300" s="3" t="str">
        <f>IFERROR(__xludf.DUMMYFUNCTION("split(B300,"" "")"),"S.")</f>
        <v>S.</v>
      </c>
      <c r="Y300" s="3" t="str">
        <f>IFERROR(__xludf.DUMMYFUNCTION("""COMPUTED_VALUE"""),"Darnold")</f>
        <v>Darnold</v>
      </c>
      <c r="AA300" s="3">
        <v>1.0</v>
      </c>
      <c r="AB300" s="3">
        <f t="shared" si="7"/>
        <v>1</v>
      </c>
      <c r="AC300" s="3">
        <f t="shared" si="8"/>
        <v>0</v>
      </c>
      <c r="AD300" s="3">
        <f t="shared" si="9"/>
        <v>2.24</v>
      </c>
      <c r="AE300" s="3">
        <f t="shared" si="10"/>
        <v>-2</v>
      </c>
      <c r="AF300" s="3">
        <f t="shared" si="11"/>
        <v>-1</v>
      </c>
      <c r="AG300" s="3">
        <f t="shared" si="12"/>
        <v>-1</v>
      </c>
    </row>
    <row r="301">
      <c r="A301" s="1" t="s">
        <v>10</v>
      </c>
      <c r="B301" s="1" t="s">
        <v>145</v>
      </c>
      <c r="C301" s="1" t="s">
        <v>21</v>
      </c>
      <c r="D301" s="1" t="s">
        <v>146</v>
      </c>
      <c r="E301" s="1" t="s">
        <v>164</v>
      </c>
      <c r="F301" s="1" t="s">
        <v>455</v>
      </c>
      <c r="G301" s="1">
        <v>12.5</v>
      </c>
      <c r="H301" s="1" t="s">
        <v>60</v>
      </c>
      <c r="I301" s="1">
        <v>-111.0</v>
      </c>
      <c r="J301" s="1">
        <v>-0.0768943605026827</v>
      </c>
      <c r="K301" s="1" t="s">
        <v>61</v>
      </c>
      <c r="L301" s="1" t="s">
        <v>61</v>
      </c>
      <c r="M301" s="1" t="s">
        <v>62</v>
      </c>
      <c r="N301" s="1">
        <v>-121.0</v>
      </c>
      <c r="O301" s="1">
        <v>0.00335209583683215</v>
      </c>
      <c r="P301" s="1" t="s">
        <v>61</v>
      </c>
      <c r="Q301" s="1" t="s">
        <v>61</v>
      </c>
      <c r="R301" s="1">
        <f t="shared" si="1"/>
        <v>0.003352095837</v>
      </c>
      <c r="S301" s="1">
        <f t="shared" si="2"/>
        <v>-121</v>
      </c>
      <c r="T301" s="1">
        <f t="shared" si="3"/>
        <v>1.826446281</v>
      </c>
      <c r="U301" s="1">
        <f t="shared" si="4"/>
        <v>0</v>
      </c>
      <c r="V301" s="3">
        <f t="shared" si="5"/>
        <v>1</v>
      </c>
      <c r="W301" s="3">
        <f t="shared" si="6"/>
        <v>3</v>
      </c>
      <c r="X301" s="3" t="str">
        <f>IFERROR(__xludf.DUMMYFUNCTION("split(B301,"" "")"),"S.")</f>
        <v>S.</v>
      </c>
      <c r="Y301" s="3" t="str">
        <f>IFERROR(__xludf.DUMMYFUNCTION("""COMPUTED_VALUE"""),"Darnold")</f>
        <v>Darnold</v>
      </c>
      <c r="AA301" s="3">
        <v>32.0</v>
      </c>
      <c r="AB301" s="3">
        <f t="shared" si="7"/>
        <v>1</v>
      </c>
      <c r="AC301" s="3">
        <f t="shared" si="8"/>
        <v>0</v>
      </c>
      <c r="AD301" s="3">
        <f t="shared" si="9"/>
        <v>0.826446281</v>
      </c>
      <c r="AE301" s="3">
        <f t="shared" si="10"/>
        <v>-1</v>
      </c>
      <c r="AF301" s="3">
        <f t="shared" si="11"/>
        <v>-3</v>
      </c>
      <c r="AG301" s="3">
        <f t="shared" si="12"/>
        <v>-1.56</v>
      </c>
    </row>
    <row r="302">
      <c r="A302" s="1" t="s">
        <v>11</v>
      </c>
      <c r="B302" s="1" t="s">
        <v>304</v>
      </c>
      <c r="C302" s="1" t="s">
        <v>19</v>
      </c>
      <c r="D302" s="1" t="s">
        <v>146</v>
      </c>
      <c r="E302" s="1" t="s">
        <v>164</v>
      </c>
      <c r="F302" s="1" t="s">
        <v>455</v>
      </c>
      <c r="G302" s="1">
        <v>18.5</v>
      </c>
      <c r="H302" s="1" t="s">
        <v>60</v>
      </c>
      <c r="I302" s="1">
        <v>-114.0</v>
      </c>
      <c r="J302" s="1">
        <v>-0.0761422706846448</v>
      </c>
      <c r="K302" s="1" t="s">
        <v>61</v>
      </c>
      <c r="L302" s="1" t="s">
        <v>61</v>
      </c>
      <c r="M302" s="1" t="s">
        <v>62</v>
      </c>
      <c r="N302" s="1">
        <v>-118.0</v>
      </c>
      <c r="O302" s="1">
        <v>0.00215265226278227</v>
      </c>
      <c r="P302" s="1" t="s">
        <v>61</v>
      </c>
      <c r="Q302" s="1" t="s">
        <v>61</v>
      </c>
      <c r="R302" s="1">
        <f t="shared" si="1"/>
        <v>0.002152652263</v>
      </c>
      <c r="S302" s="1">
        <f t="shared" si="2"/>
        <v>-118</v>
      </c>
      <c r="T302" s="1">
        <f t="shared" si="3"/>
        <v>1.847457627</v>
      </c>
      <c r="U302" s="1">
        <f t="shared" si="4"/>
        <v>0</v>
      </c>
      <c r="V302" s="3">
        <f t="shared" si="5"/>
        <v>1</v>
      </c>
      <c r="W302" s="3">
        <f t="shared" si="6"/>
        <v>3</v>
      </c>
      <c r="X302" s="3" t="str">
        <f>IFERROR(__xludf.DUMMYFUNCTION("split(B302,"" "")"),"A.")</f>
        <v>A.</v>
      </c>
      <c r="Y302" s="3" t="str">
        <f>IFERROR(__xludf.DUMMYFUNCTION("""COMPUTED_VALUE"""),"Jones")</f>
        <v>Jones</v>
      </c>
      <c r="AA302" s="3">
        <v>36.0</v>
      </c>
      <c r="AB302" s="3">
        <f t="shared" si="7"/>
        <v>1</v>
      </c>
      <c r="AC302" s="3">
        <f t="shared" si="8"/>
        <v>0</v>
      </c>
      <c r="AD302" s="3">
        <f t="shared" si="9"/>
        <v>0.8474576271</v>
      </c>
      <c r="AE302" s="3">
        <f t="shared" si="10"/>
        <v>-1</v>
      </c>
      <c r="AF302" s="3">
        <f t="shared" si="11"/>
        <v>-3</v>
      </c>
      <c r="AG302" s="3">
        <f t="shared" si="12"/>
        <v>-0.9459459459</v>
      </c>
    </row>
    <row r="303">
      <c r="A303" s="1" t="s">
        <v>12</v>
      </c>
      <c r="B303" s="1" t="s">
        <v>140</v>
      </c>
      <c r="C303" s="1" t="s">
        <v>20</v>
      </c>
      <c r="D303" s="1" t="s">
        <v>66</v>
      </c>
      <c r="E303" s="1" t="s">
        <v>82</v>
      </c>
      <c r="F303" s="1" t="s">
        <v>455</v>
      </c>
      <c r="G303" s="1">
        <v>2.5</v>
      </c>
      <c r="H303" s="1" t="s">
        <v>60</v>
      </c>
      <c r="I303" s="1">
        <v>-160.0</v>
      </c>
      <c r="J303" s="1">
        <v>-0.266344654115384</v>
      </c>
      <c r="K303" s="1" t="s">
        <v>61</v>
      </c>
      <c r="L303" s="1" t="s">
        <v>61</v>
      </c>
      <c r="M303" s="1" t="s">
        <v>62</v>
      </c>
      <c r="N303" s="1">
        <v>122.0</v>
      </c>
      <c r="O303" s="1">
        <v>0.200502748063063</v>
      </c>
      <c r="P303" s="1" t="s">
        <v>61</v>
      </c>
      <c r="Q303" s="1" t="s">
        <v>61</v>
      </c>
      <c r="R303" s="1">
        <f t="shared" si="1"/>
        <v>0.2005027481</v>
      </c>
      <c r="S303" s="1">
        <f t="shared" si="2"/>
        <v>122</v>
      </c>
      <c r="T303" s="1">
        <f t="shared" si="3"/>
        <v>2.22</v>
      </c>
      <c r="U303" s="1">
        <f t="shared" si="4"/>
        <v>0</v>
      </c>
      <c r="V303" s="3">
        <f t="shared" si="5"/>
        <v>3</v>
      </c>
      <c r="W303" s="3">
        <f t="shared" si="6"/>
        <v>1</v>
      </c>
      <c r="X303" s="3" t="str">
        <f>IFERROR(__xludf.DUMMYFUNCTION("split(B303,"" "")"),"H.")</f>
        <v>H.</v>
      </c>
      <c r="Y303" s="3" t="str">
        <f>IFERROR(__xludf.DUMMYFUNCTION("""COMPUTED_VALUE"""),"Henry")</f>
        <v>Henry</v>
      </c>
      <c r="AA303" s="3">
        <v>8.0</v>
      </c>
      <c r="AB303" s="3">
        <f t="shared" si="7"/>
        <v>1</v>
      </c>
      <c r="AC303" s="3">
        <f t="shared" si="8"/>
        <v>0</v>
      </c>
      <c r="AD303" s="3">
        <f t="shared" si="9"/>
        <v>3.66</v>
      </c>
      <c r="AE303" s="3">
        <f t="shared" si="10"/>
        <v>-3</v>
      </c>
      <c r="AF303" s="3">
        <f t="shared" si="11"/>
        <v>-1</v>
      </c>
      <c r="AG303" s="3">
        <f t="shared" si="12"/>
        <v>-2.2</v>
      </c>
    </row>
    <row r="304">
      <c r="A304" s="1" t="s">
        <v>14</v>
      </c>
      <c r="B304" s="1" t="s">
        <v>65</v>
      </c>
      <c r="C304" s="1" t="s">
        <v>21</v>
      </c>
      <c r="D304" s="1" t="s">
        <v>66</v>
      </c>
      <c r="E304" s="1" t="s">
        <v>82</v>
      </c>
      <c r="F304" s="1" t="s">
        <v>455</v>
      </c>
      <c r="G304" s="1">
        <v>0.5</v>
      </c>
      <c r="H304" s="1" t="s">
        <v>60</v>
      </c>
      <c r="I304" s="1">
        <v>-209.0</v>
      </c>
      <c r="J304" s="1">
        <v>-0.169073229029126</v>
      </c>
      <c r="K304" s="1" t="s">
        <v>61</v>
      </c>
      <c r="L304" s="1" t="s">
        <v>61</v>
      </c>
      <c r="M304" s="1" t="s">
        <v>62</v>
      </c>
      <c r="N304" s="1">
        <v>157.0</v>
      </c>
      <c r="O304" s="1">
        <v>0.103592325953307</v>
      </c>
      <c r="P304" s="1" t="s">
        <v>61</v>
      </c>
      <c r="Q304" s="1" t="s">
        <v>61</v>
      </c>
      <c r="R304" s="1">
        <f t="shared" si="1"/>
        <v>0.103592326</v>
      </c>
      <c r="S304" s="1">
        <f t="shared" si="2"/>
        <v>157</v>
      </c>
      <c r="T304" s="1">
        <f t="shared" si="3"/>
        <v>2.57</v>
      </c>
      <c r="U304" s="1">
        <f t="shared" si="4"/>
        <v>0</v>
      </c>
      <c r="V304" s="3">
        <f t="shared" si="5"/>
        <v>3</v>
      </c>
      <c r="W304" s="3">
        <f t="shared" si="6"/>
        <v>1</v>
      </c>
      <c r="X304" s="3" t="str">
        <f>IFERROR(__xludf.DUMMYFUNCTION("split(B304,"" "")"),"J.")</f>
        <v>J.</v>
      </c>
      <c r="Y304" s="3" t="str">
        <f>IFERROR(__xludf.DUMMYFUNCTION("""COMPUTED_VALUE"""),"Brissett")</f>
        <v>Brissett</v>
      </c>
      <c r="AA304" s="3">
        <v>1.0</v>
      </c>
      <c r="AB304" s="3">
        <f t="shared" si="7"/>
        <v>1</v>
      </c>
      <c r="AC304" s="3">
        <f t="shared" si="8"/>
        <v>0</v>
      </c>
      <c r="AD304" s="3">
        <f t="shared" si="9"/>
        <v>4.71</v>
      </c>
      <c r="AE304" s="3">
        <f t="shared" si="10"/>
        <v>-3</v>
      </c>
      <c r="AF304" s="3">
        <f t="shared" si="11"/>
        <v>-1</v>
      </c>
      <c r="AG304" s="3">
        <f t="shared" si="12"/>
        <v>-1</v>
      </c>
    </row>
    <row r="305">
      <c r="A305" s="1" t="s">
        <v>9</v>
      </c>
      <c r="B305" s="1" t="s">
        <v>212</v>
      </c>
      <c r="C305" s="1" t="s">
        <v>18</v>
      </c>
      <c r="D305" s="1" t="s">
        <v>66</v>
      </c>
      <c r="E305" s="1" t="s">
        <v>82</v>
      </c>
      <c r="F305" s="1" t="s">
        <v>455</v>
      </c>
      <c r="G305" s="1">
        <v>24.5</v>
      </c>
      <c r="H305" s="1" t="s">
        <v>60</v>
      </c>
      <c r="I305" s="1">
        <v>-120.0</v>
      </c>
      <c r="J305" s="1">
        <v>0.0352405428698737</v>
      </c>
      <c r="K305" s="1" t="s">
        <v>61</v>
      </c>
      <c r="L305" s="1" t="s">
        <v>61</v>
      </c>
      <c r="M305" s="1" t="s">
        <v>62</v>
      </c>
      <c r="N305" s="1">
        <v>-113.0</v>
      </c>
      <c r="O305" s="1">
        <v>-0.11119398571573</v>
      </c>
      <c r="P305" s="1" t="s">
        <v>61</v>
      </c>
      <c r="Q305" s="1" t="s">
        <v>61</v>
      </c>
      <c r="R305" s="1">
        <f t="shared" si="1"/>
        <v>0.03524054287</v>
      </c>
      <c r="S305" s="1">
        <f t="shared" si="2"/>
        <v>-120</v>
      </c>
      <c r="T305" s="1">
        <f t="shared" si="3"/>
        <v>1.833333333</v>
      </c>
      <c r="U305" s="1">
        <f t="shared" si="4"/>
        <v>1</v>
      </c>
      <c r="V305" s="3">
        <f t="shared" si="5"/>
        <v>1</v>
      </c>
      <c r="W305" s="3">
        <f t="shared" si="6"/>
        <v>3</v>
      </c>
      <c r="X305" s="3" t="str">
        <f>IFERROR(__xludf.DUMMYFUNCTION("split(B305,"" "")"),"K.")</f>
        <v>K.</v>
      </c>
      <c r="Y305" s="3" t="str">
        <f>IFERROR(__xludf.DUMMYFUNCTION("""COMPUTED_VALUE"""),"Osborn")</f>
        <v>Osborn</v>
      </c>
      <c r="AA305" s="3">
        <v>7.0</v>
      </c>
      <c r="AB305" s="3">
        <f t="shared" si="7"/>
        <v>0</v>
      </c>
      <c r="AC305" s="3">
        <f t="shared" si="8"/>
        <v>0</v>
      </c>
      <c r="AD305" s="3">
        <f t="shared" si="9"/>
        <v>0.8333333333</v>
      </c>
      <c r="AE305" s="3">
        <f t="shared" si="10"/>
        <v>-1</v>
      </c>
      <c r="AF305" s="3">
        <f t="shared" si="11"/>
        <v>-3</v>
      </c>
      <c r="AG305" s="3">
        <f t="shared" si="12"/>
        <v>-0.7142857143</v>
      </c>
    </row>
    <row r="306">
      <c r="A306" s="1" t="s">
        <v>9</v>
      </c>
      <c r="B306" s="1" t="s">
        <v>476</v>
      </c>
      <c r="C306" s="1" t="s">
        <v>19</v>
      </c>
      <c r="D306" s="1" t="s">
        <v>66</v>
      </c>
      <c r="E306" s="1" t="s">
        <v>82</v>
      </c>
      <c r="F306" s="1" t="s">
        <v>455</v>
      </c>
      <c r="G306" s="1">
        <v>81.5</v>
      </c>
      <c r="H306" s="1" t="s">
        <v>60</v>
      </c>
      <c r="I306" s="1">
        <v>-115.0</v>
      </c>
      <c r="J306" s="1">
        <v>-0.114154574613102</v>
      </c>
      <c r="K306" s="1" t="s">
        <v>61</v>
      </c>
      <c r="L306" s="1" t="s">
        <v>61</v>
      </c>
      <c r="M306" s="1" t="s">
        <v>62</v>
      </c>
      <c r="N306" s="1">
        <v>-120.0</v>
      </c>
      <c r="O306" s="1">
        <v>0.0338285465917291</v>
      </c>
      <c r="P306" s="1" t="s">
        <v>61</v>
      </c>
      <c r="Q306" s="1" t="s">
        <v>61</v>
      </c>
      <c r="R306" s="1">
        <f t="shared" si="1"/>
        <v>0.03382854659</v>
      </c>
      <c r="S306" s="1">
        <f t="shared" si="2"/>
        <v>-120</v>
      </c>
      <c r="T306" s="1">
        <f t="shared" si="3"/>
        <v>1.833333333</v>
      </c>
      <c r="U306" s="1">
        <f t="shared" si="4"/>
        <v>0</v>
      </c>
      <c r="V306" s="3">
        <f t="shared" si="5"/>
        <v>1</v>
      </c>
      <c r="W306" s="3">
        <f t="shared" si="6"/>
        <v>3</v>
      </c>
      <c r="X306" s="3" t="str">
        <f>IFERROR(__xludf.DUMMYFUNCTION("split(B306,"" "")"),"R.")</f>
        <v>R.</v>
      </c>
      <c r="Y306" s="3" t="str">
        <f>IFERROR(__xludf.DUMMYFUNCTION("""COMPUTED_VALUE"""),"Stevenson")</f>
        <v>Stevenson</v>
      </c>
      <c r="AA306" s="3">
        <v>90.0</v>
      </c>
      <c r="AB306" s="3">
        <f t="shared" si="7"/>
        <v>1</v>
      </c>
      <c r="AC306" s="3">
        <f t="shared" si="8"/>
        <v>0</v>
      </c>
      <c r="AD306" s="3">
        <f t="shared" si="9"/>
        <v>0.8333333333</v>
      </c>
      <c r="AE306" s="3">
        <f t="shared" si="10"/>
        <v>-1</v>
      </c>
      <c r="AF306" s="3">
        <f t="shared" si="11"/>
        <v>-3</v>
      </c>
      <c r="AG306" s="3">
        <f t="shared" si="12"/>
        <v>-0.1042944785</v>
      </c>
    </row>
    <row r="307">
      <c r="A307" s="1" t="s">
        <v>8</v>
      </c>
      <c r="B307" s="1" t="s">
        <v>476</v>
      </c>
      <c r="C307" s="1" t="s">
        <v>19</v>
      </c>
      <c r="D307" s="1" t="s">
        <v>66</v>
      </c>
      <c r="E307" s="1" t="s">
        <v>82</v>
      </c>
      <c r="F307" s="1" t="s">
        <v>455</v>
      </c>
      <c r="G307" s="1">
        <v>16.5</v>
      </c>
      <c r="H307" s="1" t="s">
        <v>60</v>
      </c>
      <c r="I307" s="1">
        <v>-122.0</v>
      </c>
      <c r="J307" s="1">
        <v>-0.10070375036036</v>
      </c>
      <c r="K307" s="1" t="s">
        <v>61</v>
      </c>
      <c r="L307" s="1" t="s">
        <v>61</v>
      </c>
      <c r="M307" s="1" t="s">
        <v>62</v>
      </c>
      <c r="N307" s="1">
        <v>-109.0</v>
      </c>
      <c r="O307" s="1">
        <v>0.0296158732641148</v>
      </c>
      <c r="P307" s="1" t="s">
        <v>61</v>
      </c>
      <c r="Q307" s="1" t="s">
        <v>61</v>
      </c>
      <c r="R307" s="1">
        <f t="shared" si="1"/>
        <v>0.02961587326</v>
      </c>
      <c r="S307" s="1">
        <f t="shared" si="2"/>
        <v>-109</v>
      </c>
      <c r="T307" s="1">
        <f t="shared" si="3"/>
        <v>1.917431193</v>
      </c>
      <c r="U307" s="1">
        <f t="shared" si="4"/>
        <v>0</v>
      </c>
      <c r="V307" s="3">
        <f t="shared" si="5"/>
        <v>1</v>
      </c>
      <c r="W307" s="3">
        <f t="shared" si="6"/>
        <v>2</v>
      </c>
      <c r="X307" s="3" t="str">
        <f>IFERROR(__xludf.DUMMYFUNCTION("split(B307,"" "")"),"R.")</f>
        <v>R.</v>
      </c>
      <c r="Y307" s="3" t="str">
        <f>IFERROR(__xludf.DUMMYFUNCTION("""COMPUTED_VALUE"""),"Stevenson")</f>
        <v>Stevenson</v>
      </c>
      <c r="AA307" s="3">
        <v>21.0</v>
      </c>
      <c r="AB307" s="3">
        <f t="shared" si="7"/>
        <v>1</v>
      </c>
      <c r="AC307" s="3">
        <f t="shared" si="8"/>
        <v>0</v>
      </c>
      <c r="AD307" s="3">
        <f t="shared" si="9"/>
        <v>0.9174311927</v>
      </c>
      <c r="AE307" s="3">
        <f t="shared" si="10"/>
        <v>-1</v>
      </c>
      <c r="AF307" s="3">
        <f t="shared" si="11"/>
        <v>-2</v>
      </c>
      <c r="AG307" s="3">
        <f t="shared" si="12"/>
        <v>-0.2727272727</v>
      </c>
    </row>
    <row r="308">
      <c r="A308" s="1" t="s">
        <v>13</v>
      </c>
      <c r="B308" s="1" t="s">
        <v>65</v>
      </c>
      <c r="C308" s="1" t="s">
        <v>21</v>
      </c>
      <c r="D308" s="1" t="s">
        <v>66</v>
      </c>
      <c r="E308" s="1" t="s">
        <v>82</v>
      </c>
      <c r="F308" s="1" t="s">
        <v>455</v>
      </c>
      <c r="G308" s="1">
        <v>185.5</v>
      </c>
      <c r="H308" s="1" t="s">
        <v>60</v>
      </c>
      <c r="I308" s="1">
        <v>-109.0</v>
      </c>
      <c r="J308" s="1">
        <v>0.0273388254545453</v>
      </c>
      <c r="K308" s="1" t="s">
        <v>61</v>
      </c>
      <c r="L308" s="1" t="s">
        <v>61</v>
      </c>
      <c r="M308" s="1" t="s">
        <v>62</v>
      </c>
      <c r="N308" s="1">
        <v>-120.0</v>
      </c>
      <c r="O308" s="1">
        <v>-0.0942082610181815</v>
      </c>
      <c r="P308" s="1" t="s">
        <v>61</v>
      </c>
      <c r="Q308" s="1" t="s">
        <v>61</v>
      </c>
      <c r="R308" s="1">
        <f t="shared" si="1"/>
        <v>0.02733882545</v>
      </c>
      <c r="S308" s="1">
        <f t="shared" si="2"/>
        <v>-109</v>
      </c>
      <c r="T308" s="1">
        <f t="shared" si="3"/>
        <v>1.917431193</v>
      </c>
      <c r="U308" s="1">
        <f t="shared" si="4"/>
        <v>1</v>
      </c>
      <c r="V308" s="3">
        <f t="shared" si="5"/>
        <v>1</v>
      </c>
      <c r="W308" s="3">
        <f t="shared" si="6"/>
        <v>2</v>
      </c>
      <c r="X308" s="3" t="str">
        <f>IFERROR(__xludf.DUMMYFUNCTION("split(B308,"" "")"),"J.")</f>
        <v>J.</v>
      </c>
      <c r="Y308" s="3" t="str">
        <f>IFERROR(__xludf.DUMMYFUNCTION("""COMPUTED_VALUE"""),"Brissett")</f>
        <v>Brissett</v>
      </c>
      <c r="AA308" s="3">
        <v>149.0</v>
      </c>
      <c r="AB308" s="3">
        <f t="shared" si="7"/>
        <v>0</v>
      </c>
      <c r="AC308" s="3">
        <f t="shared" si="8"/>
        <v>0</v>
      </c>
      <c r="AD308" s="3">
        <f t="shared" si="9"/>
        <v>0.9174311927</v>
      </c>
      <c r="AE308" s="3">
        <f t="shared" si="10"/>
        <v>-1</v>
      </c>
      <c r="AF308" s="3">
        <f t="shared" si="11"/>
        <v>-2</v>
      </c>
      <c r="AG308" s="3">
        <f t="shared" si="12"/>
        <v>-0.1967654987</v>
      </c>
    </row>
    <row r="309">
      <c r="A309" s="1" t="s">
        <v>11</v>
      </c>
      <c r="B309" s="1" t="s">
        <v>140</v>
      </c>
      <c r="C309" s="1" t="s">
        <v>20</v>
      </c>
      <c r="D309" s="1" t="s">
        <v>66</v>
      </c>
      <c r="E309" s="1" t="s">
        <v>82</v>
      </c>
      <c r="F309" s="1" t="s">
        <v>455</v>
      </c>
      <c r="G309" s="1">
        <v>28.5</v>
      </c>
      <c r="H309" s="1" t="s">
        <v>60</v>
      </c>
      <c r="I309" s="1">
        <v>-108.0</v>
      </c>
      <c r="J309" s="1">
        <v>-0.0693828524628846</v>
      </c>
      <c r="K309" s="1" t="s">
        <v>61</v>
      </c>
      <c r="L309" s="1" t="s">
        <v>61</v>
      </c>
      <c r="M309" s="1" t="s">
        <v>62</v>
      </c>
      <c r="N309" s="1">
        <v>-121.0</v>
      </c>
      <c r="O309" s="1">
        <v>0.00267576609890862</v>
      </c>
      <c r="P309" s="1" t="s">
        <v>61</v>
      </c>
      <c r="Q309" s="1" t="s">
        <v>61</v>
      </c>
      <c r="R309" s="1">
        <f t="shared" si="1"/>
        <v>0.002675766099</v>
      </c>
      <c r="S309" s="1">
        <f t="shared" si="2"/>
        <v>-121</v>
      </c>
      <c r="T309" s="1">
        <f t="shared" si="3"/>
        <v>1.826446281</v>
      </c>
      <c r="U309" s="1">
        <f t="shared" si="4"/>
        <v>0</v>
      </c>
      <c r="V309" s="3">
        <f t="shared" si="5"/>
        <v>1</v>
      </c>
      <c r="W309" s="3">
        <f t="shared" si="6"/>
        <v>3</v>
      </c>
      <c r="X309" s="3" t="str">
        <f>IFERROR(__xludf.DUMMYFUNCTION("split(B309,"" "")"),"H.")</f>
        <v>H.</v>
      </c>
      <c r="Y309" s="3" t="str">
        <f>IFERROR(__xludf.DUMMYFUNCTION("""COMPUTED_VALUE"""),"Henry")</f>
        <v>Henry</v>
      </c>
      <c r="AA309" s="3">
        <v>109.0</v>
      </c>
      <c r="AB309" s="3">
        <f t="shared" si="7"/>
        <v>1</v>
      </c>
      <c r="AC309" s="3">
        <f t="shared" si="8"/>
        <v>0</v>
      </c>
      <c r="AD309" s="3">
        <f t="shared" si="9"/>
        <v>0.826446281</v>
      </c>
      <c r="AE309" s="3">
        <f t="shared" si="10"/>
        <v>-1</v>
      </c>
      <c r="AF309" s="3">
        <f t="shared" si="11"/>
        <v>-3</v>
      </c>
      <c r="AG309" s="3">
        <f t="shared" si="12"/>
        <v>-2.824561404</v>
      </c>
    </row>
    <row r="310">
      <c r="A310" s="1" t="s">
        <v>8</v>
      </c>
      <c r="B310" s="1" t="s">
        <v>282</v>
      </c>
      <c r="C310" s="1" t="s">
        <v>19</v>
      </c>
      <c r="D310" s="1" t="s">
        <v>58</v>
      </c>
      <c r="E310" s="1" t="s">
        <v>88</v>
      </c>
      <c r="F310" s="1" t="s">
        <v>455</v>
      </c>
      <c r="G310" s="1">
        <v>12.5</v>
      </c>
      <c r="H310" s="1" t="s">
        <v>60</v>
      </c>
      <c r="I310" s="1">
        <v>-120.0</v>
      </c>
      <c r="J310" s="1">
        <v>-0.183172340453318</v>
      </c>
      <c r="K310" s="1" t="s">
        <v>61</v>
      </c>
      <c r="L310" s="1" t="s">
        <v>61</v>
      </c>
      <c r="M310" s="1" t="s">
        <v>62</v>
      </c>
      <c r="N310" s="1">
        <v>-109.0</v>
      </c>
      <c r="O310" s="1">
        <v>0.116159843256965</v>
      </c>
      <c r="P310" s="1" t="s">
        <v>61</v>
      </c>
      <c r="Q310" s="1" t="s">
        <v>61</v>
      </c>
      <c r="R310" s="1">
        <f t="shared" si="1"/>
        <v>0.1161598433</v>
      </c>
      <c r="S310" s="1">
        <f t="shared" si="2"/>
        <v>-109</v>
      </c>
      <c r="T310" s="1">
        <f t="shared" si="3"/>
        <v>1.917431193</v>
      </c>
      <c r="U310" s="1">
        <f t="shared" si="4"/>
        <v>0</v>
      </c>
      <c r="V310" s="3">
        <f t="shared" si="5"/>
        <v>3</v>
      </c>
      <c r="W310" s="3">
        <f t="shared" si="6"/>
        <v>2</v>
      </c>
      <c r="X310" s="3" t="str">
        <f>IFERROR(__xludf.DUMMYFUNCTION("split(B310,"" "")"),"A.")</f>
        <v>A.</v>
      </c>
      <c r="Y310" s="3" t="str">
        <f>IFERROR(__xludf.DUMMYFUNCTION("""COMPUTED_VALUE"""),"Kamara")</f>
        <v>Kamara</v>
      </c>
      <c r="AA310" s="3">
        <v>20.0</v>
      </c>
      <c r="AB310" s="3">
        <f t="shared" si="7"/>
        <v>1</v>
      </c>
      <c r="AC310" s="3">
        <f t="shared" si="8"/>
        <v>0</v>
      </c>
      <c r="AD310" s="3">
        <f t="shared" si="9"/>
        <v>2.752293578</v>
      </c>
      <c r="AE310" s="3">
        <f t="shared" si="10"/>
        <v>-3</v>
      </c>
      <c r="AF310" s="3">
        <f t="shared" si="11"/>
        <v>-2</v>
      </c>
      <c r="AG310" s="3">
        <f t="shared" si="12"/>
        <v>-0.6</v>
      </c>
    </row>
    <row r="311">
      <c r="A311" s="1" t="s">
        <v>8</v>
      </c>
      <c r="B311" s="1" t="s">
        <v>127</v>
      </c>
      <c r="C311" s="1" t="s">
        <v>19</v>
      </c>
      <c r="D311" s="1" t="s">
        <v>58</v>
      </c>
      <c r="E311" s="1" t="s">
        <v>88</v>
      </c>
      <c r="F311" s="1" t="s">
        <v>455</v>
      </c>
      <c r="G311" s="1">
        <v>3.5</v>
      </c>
      <c r="H311" s="1" t="s">
        <v>60</v>
      </c>
      <c r="I311" s="1">
        <v>-109.0</v>
      </c>
      <c r="J311" s="1">
        <v>-0.172071463042918</v>
      </c>
      <c r="K311" s="1" t="s">
        <v>61</v>
      </c>
      <c r="L311" s="1" t="s">
        <v>61</v>
      </c>
      <c r="M311" s="1" t="s">
        <v>62</v>
      </c>
      <c r="N311" s="1">
        <v>-120.0</v>
      </c>
      <c r="O311" s="1">
        <v>0.105091467868926</v>
      </c>
      <c r="P311" s="1" t="s">
        <v>61</v>
      </c>
      <c r="Q311" s="1" t="s">
        <v>61</v>
      </c>
      <c r="R311" s="1">
        <f t="shared" si="1"/>
        <v>0.1050914679</v>
      </c>
      <c r="S311" s="1">
        <f t="shared" si="2"/>
        <v>-120</v>
      </c>
      <c r="T311" s="1">
        <f t="shared" si="3"/>
        <v>1.833333333</v>
      </c>
      <c r="U311" s="1">
        <f t="shared" si="4"/>
        <v>0</v>
      </c>
      <c r="V311" s="3">
        <f t="shared" si="5"/>
        <v>3</v>
      </c>
      <c r="W311" s="3">
        <f t="shared" si="6"/>
        <v>3</v>
      </c>
      <c r="X311" s="3" t="str">
        <f>IFERROR(__xludf.DUMMYFUNCTION("split(B311,"" "")"),"J.")</f>
        <v>J.</v>
      </c>
      <c r="Y311" s="3" t="str">
        <f>IFERROR(__xludf.DUMMYFUNCTION("""COMPUTED_VALUE"""),"Williams")</f>
        <v>Williams</v>
      </c>
      <c r="AA311" s="3">
        <v>8.0</v>
      </c>
      <c r="AB311" s="3">
        <f t="shared" si="7"/>
        <v>1</v>
      </c>
      <c r="AC311" s="3">
        <f t="shared" si="8"/>
        <v>0</v>
      </c>
      <c r="AD311" s="3">
        <f t="shared" si="9"/>
        <v>2.5</v>
      </c>
      <c r="AE311" s="3">
        <f t="shared" si="10"/>
        <v>-3</v>
      </c>
      <c r="AF311" s="3">
        <f t="shared" si="11"/>
        <v>-3</v>
      </c>
      <c r="AG311" s="3">
        <f t="shared" si="12"/>
        <v>-1.285714286</v>
      </c>
    </row>
    <row r="312">
      <c r="A312" s="1" t="s">
        <v>17</v>
      </c>
      <c r="B312" s="1" t="s">
        <v>287</v>
      </c>
      <c r="C312" s="1" t="s">
        <v>21</v>
      </c>
      <c r="D312" s="1" t="s">
        <v>58</v>
      </c>
      <c r="E312" s="1" t="s">
        <v>88</v>
      </c>
      <c r="F312" s="1" t="s">
        <v>455</v>
      </c>
      <c r="G312" s="1">
        <v>0.5</v>
      </c>
      <c r="H312" s="1" t="s">
        <v>60</v>
      </c>
      <c r="I312" s="1">
        <v>-141.0</v>
      </c>
      <c r="J312" s="1">
        <v>-0.152720746887966</v>
      </c>
      <c r="K312" s="1" t="s">
        <v>61</v>
      </c>
      <c r="L312" s="1" t="s">
        <v>61</v>
      </c>
      <c r="M312" s="1" t="s">
        <v>62</v>
      </c>
      <c r="N312" s="1">
        <v>108.0</v>
      </c>
      <c r="O312" s="1">
        <v>0.0868826923076923</v>
      </c>
      <c r="P312" s="1" t="s">
        <v>61</v>
      </c>
      <c r="Q312" s="1" t="s">
        <v>61</v>
      </c>
      <c r="R312" s="1">
        <f t="shared" si="1"/>
        <v>0.08688269231</v>
      </c>
      <c r="S312" s="1">
        <f t="shared" si="2"/>
        <v>108</v>
      </c>
      <c r="T312" s="1">
        <f t="shared" si="3"/>
        <v>2.08</v>
      </c>
      <c r="U312" s="1">
        <f t="shared" si="4"/>
        <v>0</v>
      </c>
      <c r="V312" s="3">
        <f t="shared" si="5"/>
        <v>2</v>
      </c>
      <c r="W312" s="3">
        <f t="shared" si="6"/>
        <v>2</v>
      </c>
      <c r="X312" s="3" t="str">
        <f>IFERROR(__xludf.DUMMYFUNCTION("split(B312,"" "")"),"D.")</f>
        <v>D.</v>
      </c>
      <c r="Y312" s="3" t="str">
        <f>IFERROR(__xludf.DUMMYFUNCTION("""COMPUTED_VALUE"""),"Carr")</f>
        <v>Carr</v>
      </c>
      <c r="AA312" s="3">
        <v>1.0</v>
      </c>
      <c r="AB312" s="3">
        <f t="shared" si="7"/>
        <v>1</v>
      </c>
      <c r="AC312" s="3">
        <f t="shared" si="8"/>
        <v>0</v>
      </c>
      <c r="AD312" s="3">
        <f t="shared" si="9"/>
        <v>2.16</v>
      </c>
      <c r="AE312" s="3">
        <f t="shared" si="10"/>
        <v>-2</v>
      </c>
      <c r="AF312" s="3">
        <f t="shared" si="11"/>
        <v>-2</v>
      </c>
      <c r="AG312" s="3">
        <f t="shared" si="12"/>
        <v>-1</v>
      </c>
    </row>
    <row r="313">
      <c r="A313" s="1" t="s">
        <v>9</v>
      </c>
      <c r="B313" s="1" t="s">
        <v>282</v>
      </c>
      <c r="C313" s="1" t="s">
        <v>19</v>
      </c>
      <c r="D313" s="1" t="s">
        <v>58</v>
      </c>
      <c r="E313" s="1" t="s">
        <v>88</v>
      </c>
      <c r="F313" s="1" t="s">
        <v>455</v>
      </c>
      <c r="G313" s="1">
        <v>84.5</v>
      </c>
      <c r="H313" s="1" t="s">
        <v>60</v>
      </c>
      <c r="I313" s="1">
        <v>-115.0</v>
      </c>
      <c r="J313" s="1">
        <v>-0.157783737015881</v>
      </c>
      <c r="K313" s="1" t="s">
        <v>61</v>
      </c>
      <c r="L313" s="1" t="s">
        <v>61</v>
      </c>
      <c r="M313" s="1" t="s">
        <v>62</v>
      </c>
      <c r="N313" s="1">
        <v>-117.0</v>
      </c>
      <c r="O313" s="1">
        <v>0.0837931983702533</v>
      </c>
      <c r="P313" s="1" t="s">
        <v>61</v>
      </c>
      <c r="Q313" s="1" t="s">
        <v>61</v>
      </c>
      <c r="R313" s="1">
        <f t="shared" si="1"/>
        <v>0.08379319837</v>
      </c>
      <c r="S313" s="1">
        <f t="shared" si="2"/>
        <v>-117</v>
      </c>
      <c r="T313" s="1">
        <f t="shared" si="3"/>
        <v>1.854700855</v>
      </c>
      <c r="U313" s="1">
        <f t="shared" si="4"/>
        <v>0</v>
      </c>
      <c r="V313" s="3">
        <f t="shared" si="5"/>
        <v>2</v>
      </c>
      <c r="W313" s="3">
        <f t="shared" si="6"/>
        <v>2</v>
      </c>
      <c r="X313" s="3" t="str">
        <f>IFERROR(__xludf.DUMMYFUNCTION("split(B313,"" "")"),"A.")</f>
        <v>A.</v>
      </c>
      <c r="Y313" s="3" t="str">
        <f>IFERROR(__xludf.DUMMYFUNCTION("""COMPUTED_VALUE"""),"Kamara")</f>
        <v>Kamara</v>
      </c>
      <c r="AA313" s="3">
        <v>180.0</v>
      </c>
      <c r="AB313" s="3">
        <f t="shared" si="7"/>
        <v>1</v>
      </c>
      <c r="AC313" s="3">
        <f t="shared" si="8"/>
        <v>0</v>
      </c>
      <c r="AD313" s="3">
        <f t="shared" si="9"/>
        <v>1.709401709</v>
      </c>
      <c r="AE313" s="3">
        <f t="shared" si="10"/>
        <v>-2</v>
      </c>
      <c r="AF313" s="3">
        <f t="shared" si="11"/>
        <v>-2</v>
      </c>
      <c r="AG313" s="3">
        <f t="shared" si="12"/>
        <v>-1.130177515</v>
      </c>
    </row>
    <row r="314">
      <c r="A314" s="1" t="s">
        <v>12</v>
      </c>
      <c r="B314" s="1" t="s">
        <v>428</v>
      </c>
      <c r="C314" s="1" t="s">
        <v>18</v>
      </c>
      <c r="D314" s="1" t="s">
        <v>58</v>
      </c>
      <c r="E314" s="1" t="s">
        <v>88</v>
      </c>
      <c r="F314" s="1" t="s">
        <v>455</v>
      </c>
      <c r="G314" s="1">
        <v>3.5</v>
      </c>
      <c r="H314" s="1" t="s">
        <v>60</v>
      </c>
      <c r="I314" s="1">
        <v>112.0</v>
      </c>
      <c r="J314" s="1">
        <v>-0.140592452830188</v>
      </c>
      <c r="K314" s="1" t="s">
        <v>61</v>
      </c>
      <c r="L314" s="1" t="s">
        <v>61</v>
      </c>
      <c r="M314" s="1" t="s">
        <v>62</v>
      </c>
      <c r="N314" s="1">
        <v>-145.0</v>
      </c>
      <c r="O314" s="1">
        <v>0.0770448979591837</v>
      </c>
      <c r="P314" s="1" t="s">
        <v>61</v>
      </c>
      <c r="Q314" s="1" t="s">
        <v>61</v>
      </c>
      <c r="R314" s="1">
        <f t="shared" si="1"/>
        <v>0.07704489796</v>
      </c>
      <c r="S314" s="1">
        <f t="shared" si="2"/>
        <v>-145</v>
      </c>
      <c r="T314" s="1">
        <f t="shared" si="3"/>
        <v>1.689655172</v>
      </c>
      <c r="U314" s="1">
        <f t="shared" si="4"/>
        <v>0</v>
      </c>
      <c r="V314" s="3">
        <f t="shared" si="5"/>
        <v>2</v>
      </c>
      <c r="W314" s="3">
        <f t="shared" si="6"/>
        <v>3</v>
      </c>
      <c r="X314" s="3" t="str">
        <f>IFERROR(__xludf.DUMMYFUNCTION("split(B314,"" "")"),"R.")</f>
        <v>R.</v>
      </c>
      <c r="Y314" s="3" t="str">
        <f>IFERROR(__xludf.DUMMYFUNCTION("""COMPUTED_VALUE"""),"Shaheed")</f>
        <v>Shaheed</v>
      </c>
      <c r="AA314" s="3">
        <v>4.0</v>
      </c>
      <c r="AB314" s="3">
        <f t="shared" si="7"/>
        <v>1</v>
      </c>
      <c r="AC314" s="3">
        <f t="shared" si="8"/>
        <v>0</v>
      </c>
      <c r="AD314" s="3">
        <f t="shared" si="9"/>
        <v>1.379310345</v>
      </c>
      <c r="AE314" s="3">
        <f t="shared" si="10"/>
        <v>-2</v>
      </c>
      <c r="AF314" s="3">
        <f t="shared" si="11"/>
        <v>-3</v>
      </c>
      <c r="AG314" s="3">
        <f t="shared" si="12"/>
        <v>-0.1428571429</v>
      </c>
    </row>
    <row r="315">
      <c r="A315" s="1" t="s">
        <v>10</v>
      </c>
      <c r="B315" s="1" t="s">
        <v>287</v>
      </c>
      <c r="C315" s="1" t="s">
        <v>21</v>
      </c>
      <c r="D315" s="1" t="s">
        <v>58</v>
      </c>
      <c r="E315" s="1" t="s">
        <v>88</v>
      </c>
      <c r="F315" s="1" t="s">
        <v>455</v>
      </c>
      <c r="G315" s="1">
        <v>2.5</v>
      </c>
      <c r="H315" s="1" t="s">
        <v>60</v>
      </c>
      <c r="I315" s="1">
        <v>-110.0</v>
      </c>
      <c r="J315" s="1">
        <v>0.0640988916909001</v>
      </c>
      <c r="K315" s="1" t="s">
        <v>61</v>
      </c>
      <c r="L315" s="1" t="s">
        <v>61</v>
      </c>
      <c r="M315" s="1" t="s">
        <v>62</v>
      </c>
      <c r="N315" s="1">
        <v>-120.0</v>
      </c>
      <c r="O315" s="1">
        <v>-0.133335094118667</v>
      </c>
      <c r="P315" s="1" t="s">
        <v>61</v>
      </c>
      <c r="Q315" s="1" t="s">
        <v>61</v>
      </c>
      <c r="R315" s="1">
        <f t="shared" si="1"/>
        <v>0.06409889169</v>
      </c>
      <c r="S315" s="1">
        <f t="shared" si="2"/>
        <v>-110</v>
      </c>
      <c r="T315" s="1">
        <f t="shared" si="3"/>
        <v>1.909090909</v>
      </c>
      <c r="U315" s="1">
        <f t="shared" si="4"/>
        <v>1</v>
      </c>
      <c r="V315" s="3">
        <f t="shared" si="5"/>
        <v>2</v>
      </c>
      <c r="W315" s="3">
        <f t="shared" si="6"/>
        <v>2</v>
      </c>
      <c r="X315" s="3" t="str">
        <f>IFERROR(__xludf.DUMMYFUNCTION("split(B315,"" "")"),"D.")</f>
        <v>D.</v>
      </c>
      <c r="Y315" s="3" t="str">
        <f>IFERROR(__xludf.DUMMYFUNCTION("""COMPUTED_VALUE"""),"Carr")</f>
        <v>Carr</v>
      </c>
      <c r="AA315" s="3">
        <v>1.0</v>
      </c>
      <c r="AB315" s="3">
        <f t="shared" si="7"/>
        <v>0</v>
      </c>
      <c r="AC315" s="3">
        <f t="shared" si="8"/>
        <v>0</v>
      </c>
      <c r="AD315" s="3">
        <f t="shared" si="9"/>
        <v>1.818181818</v>
      </c>
      <c r="AE315" s="3">
        <f t="shared" si="10"/>
        <v>-2</v>
      </c>
      <c r="AF315" s="3">
        <f t="shared" si="11"/>
        <v>-2</v>
      </c>
      <c r="AG315" s="3">
        <f t="shared" si="12"/>
        <v>-0.6</v>
      </c>
    </row>
    <row r="316">
      <c r="A316" s="1" t="s">
        <v>11</v>
      </c>
      <c r="B316" s="1" t="s">
        <v>282</v>
      </c>
      <c r="C316" s="1" t="s">
        <v>19</v>
      </c>
      <c r="D316" s="1" t="s">
        <v>58</v>
      </c>
      <c r="E316" s="1" t="s">
        <v>88</v>
      </c>
      <c r="F316" s="1" t="s">
        <v>455</v>
      </c>
      <c r="G316" s="1">
        <v>29.5</v>
      </c>
      <c r="H316" s="1" t="s">
        <v>60</v>
      </c>
      <c r="I316" s="1">
        <v>-111.0</v>
      </c>
      <c r="J316" s="1">
        <v>-0.122807303575696</v>
      </c>
      <c r="K316" s="1" t="s">
        <v>61</v>
      </c>
      <c r="L316" s="1" t="s">
        <v>61</v>
      </c>
      <c r="M316" s="1" t="s">
        <v>62</v>
      </c>
      <c r="N316" s="1">
        <v>-117.0</v>
      </c>
      <c r="O316" s="1">
        <v>0.0576449079895495</v>
      </c>
      <c r="P316" s="1" t="s">
        <v>61</v>
      </c>
      <c r="Q316" s="1" t="s">
        <v>61</v>
      </c>
      <c r="R316" s="1">
        <f t="shared" si="1"/>
        <v>0.05764490799</v>
      </c>
      <c r="S316" s="1">
        <f t="shared" si="2"/>
        <v>-117</v>
      </c>
      <c r="T316" s="1">
        <f t="shared" si="3"/>
        <v>1.854700855</v>
      </c>
      <c r="U316" s="1">
        <f t="shared" si="4"/>
        <v>0</v>
      </c>
      <c r="V316" s="3">
        <f t="shared" si="5"/>
        <v>2</v>
      </c>
      <c r="W316" s="3">
        <f t="shared" si="6"/>
        <v>2</v>
      </c>
      <c r="X316" s="3" t="str">
        <f>IFERROR(__xludf.DUMMYFUNCTION("split(B316,"" "")"),"A.")</f>
        <v>A.</v>
      </c>
      <c r="Y316" s="3" t="str">
        <f>IFERROR(__xludf.DUMMYFUNCTION("""COMPUTED_VALUE"""),"Kamara")</f>
        <v>Kamara</v>
      </c>
      <c r="AA316" s="3">
        <v>65.0</v>
      </c>
      <c r="AB316" s="3">
        <f t="shared" si="7"/>
        <v>1</v>
      </c>
      <c r="AC316" s="3">
        <f t="shared" si="8"/>
        <v>0</v>
      </c>
      <c r="AD316" s="3">
        <f t="shared" si="9"/>
        <v>1.709401709</v>
      </c>
      <c r="AE316" s="3">
        <f t="shared" si="10"/>
        <v>-2</v>
      </c>
      <c r="AF316" s="3">
        <f t="shared" si="11"/>
        <v>-2</v>
      </c>
      <c r="AG316" s="3">
        <f t="shared" si="12"/>
        <v>-1.203389831</v>
      </c>
    </row>
    <row r="317">
      <c r="A317" s="1" t="s">
        <v>10</v>
      </c>
      <c r="B317" s="1" t="s">
        <v>282</v>
      </c>
      <c r="C317" s="1" t="s">
        <v>19</v>
      </c>
      <c r="D317" s="1" t="s">
        <v>58</v>
      </c>
      <c r="E317" s="1" t="s">
        <v>88</v>
      </c>
      <c r="F317" s="1" t="s">
        <v>455</v>
      </c>
      <c r="G317" s="1">
        <v>51.5</v>
      </c>
      <c r="H317" s="1" t="s">
        <v>60</v>
      </c>
      <c r="I317" s="1">
        <v>-111.0</v>
      </c>
      <c r="J317" s="1">
        <v>-0.110988781572443</v>
      </c>
      <c r="K317" s="1" t="s">
        <v>61</v>
      </c>
      <c r="L317" s="1" t="s">
        <v>61</v>
      </c>
      <c r="M317" s="1" t="s">
        <v>62</v>
      </c>
      <c r="N317" s="1">
        <v>-118.0</v>
      </c>
      <c r="O317" s="1">
        <v>0.0436695677353468</v>
      </c>
      <c r="P317" s="1" t="s">
        <v>61</v>
      </c>
      <c r="Q317" s="1" t="s">
        <v>61</v>
      </c>
      <c r="R317" s="1">
        <f t="shared" si="1"/>
        <v>0.04366956774</v>
      </c>
      <c r="S317" s="1">
        <f t="shared" si="2"/>
        <v>-118</v>
      </c>
      <c r="T317" s="1">
        <f t="shared" si="3"/>
        <v>1.847457627</v>
      </c>
      <c r="U317" s="1">
        <f t="shared" si="4"/>
        <v>0</v>
      </c>
      <c r="V317" s="3">
        <f t="shared" si="5"/>
        <v>1</v>
      </c>
      <c r="W317" s="3">
        <f t="shared" si="6"/>
        <v>3</v>
      </c>
      <c r="X317" s="3" t="str">
        <f>IFERROR(__xludf.DUMMYFUNCTION("split(B317,"" "")"),"A.")</f>
        <v>A.</v>
      </c>
      <c r="Y317" s="3" t="str">
        <f>IFERROR(__xludf.DUMMYFUNCTION("""COMPUTED_VALUE"""),"Kamara")</f>
        <v>Kamara</v>
      </c>
      <c r="AA317" s="3">
        <v>115.0</v>
      </c>
      <c r="AB317" s="3">
        <f t="shared" si="7"/>
        <v>1</v>
      </c>
      <c r="AC317" s="3">
        <f t="shared" si="8"/>
        <v>0</v>
      </c>
      <c r="AD317" s="3">
        <f t="shared" si="9"/>
        <v>0.8474576271</v>
      </c>
      <c r="AE317" s="3">
        <f t="shared" si="10"/>
        <v>-1</v>
      </c>
      <c r="AF317" s="3">
        <f t="shared" si="11"/>
        <v>-3</v>
      </c>
      <c r="AG317" s="3">
        <f t="shared" si="12"/>
        <v>-1.233009709</v>
      </c>
    </row>
    <row r="318">
      <c r="A318" s="1" t="s">
        <v>10</v>
      </c>
      <c r="B318" s="1" t="s">
        <v>127</v>
      </c>
      <c r="C318" s="1" t="s">
        <v>19</v>
      </c>
      <c r="D318" s="1" t="s">
        <v>58</v>
      </c>
      <c r="E318" s="1" t="s">
        <v>88</v>
      </c>
      <c r="F318" s="1" t="s">
        <v>455</v>
      </c>
      <c r="G318" s="1">
        <v>19.5</v>
      </c>
      <c r="H318" s="1" t="s">
        <v>60</v>
      </c>
      <c r="I318" s="1">
        <v>-105.0</v>
      </c>
      <c r="J318" s="1">
        <v>-0.0978391771138262</v>
      </c>
      <c r="K318" s="1" t="s">
        <v>61</v>
      </c>
      <c r="L318" s="1" t="s">
        <v>61</v>
      </c>
      <c r="M318" s="1" t="s">
        <v>62</v>
      </c>
      <c r="N318" s="1">
        <v>-125.0</v>
      </c>
      <c r="O318" s="1">
        <v>0.0300946183796353</v>
      </c>
      <c r="P318" s="1" t="s">
        <v>61</v>
      </c>
      <c r="Q318" s="1" t="s">
        <v>61</v>
      </c>
      <c r="R318" s="1">
        <f t="shared" si="1"/>
        <v>0.03009461838</v>
      </c>
      <c r="S318" s="1">
        <f t="shared" si="2"/>
        <v>-125</v>
      </c>
      <c r="T318" s="1">
        <f t="shared" si="3"/>
        <v>1.8</v>
      </c>
      <c r="U318" s="1">
        <f t="shared" si="4"/>
        <v>0</v>
      </c>
      <c r="V318" s="3">
        <f t="shared" si="5"/>
        <v>1</v>
      </c>
      <c r="W318" s="3">
        <f t="shared" si="6"/>
        <v>3</v>
      </c>
      <c r="X318" s="3" t="str">
        <f>IFERROR(__xludf.DUMMYFUNCTION("split(B318,"" "")"),"J.")</f>
        <v>J.</v>
      </c>
      <c r="Y318" s="3" t="str">
        <f>IFERROR(__xludf.DUMMYFUNCTION("""COMPUTED_VALUE"""),"Williams")</f>
        <v>Williams</v>
      </c>
      <c r="AA318" s="3">
        <v>39.0</v>
      </c>
      <c r="AB318" s="3">
        <f t="shared" si="7"/>
        <v>1</v>
      </c>
      <c r="AC318" s="3">
        <f t="shared" si="8"/>
        <v>0</v>
      </c>
      <c r="AD318" s="3">
        <f t="shared" si="9"/>
        <v>0.8</v>
      </c>
      <c r="AE318" s="3">
        <f t="shared" si="10"/>
        <v>-1</v>
      </c>
      <c r="AF318" s="3">
        <f t="shared" si="11"/>
        <v>-3</v>
      </c>
      <c r="AG318" s="3">
        <f t="shared" si="12"/>
        <v>-1</v>
      </c>
    </row>
    <row r="319">
      <c r="A319" s="1" t="s">
        <v>10</v>
      </c>
      <c r="B319" s="1" t="s">
        <v>441</v>
      </c>
      <c r="C319" s="1" t="s">
        <v>20</v>
      </c>
      <c r="D319" s="1" t="s">
        <v>58</v>
      </c>
      <c r="E319" s="1" t="s">
        <v>88</v>
      </c>
      <c r="F319" s="1" t="s">
        <v>455</v>
      </c>
      <c r="G319" s="1">
        <v>15.5</v>
      </c>
      <c r="H319" s="1" t="s">
        <v>60</v>
      </c>
      <c r="I319" s="1">
        <v>-112.0</v>
      </c>
      <c r="J319" s="1">
        <v>-0.0960852947775428</v>
      </c>
      <c r="K319" s="1" t="s">
        <v>61</v>
      </c>
      <c r="L319" s="1" t="s">
        <v>61</v>
      </c>
      <c r="M319" s="1" t="s">
        <v>62</v>
      </c>
      <c r="N319" s="1">
        <v>-118.0</v>
      </c>
      <c r="O319" s="1">
        <v>0.026526061199771</v>
      </c>
      <c r="P319" s="1" t="s">
        <v>61</v>
      </c>
      <c r="Q319" s="1" t="s">
        <v>61</v>
      </c>
      <c r="R319" s="1">
        <f t="shared" si="1"/>
        <v>0.0265260612</v>
      </c>
      <c r="S319" s="1">
        <f t="shared" si="2"/>
        <v>-118</v>
      </c>
      <c r="T319" s="1">
        <f t="shared" si="3"/>
        <v>1.847457627</v>
      </c>
      <c r="U319" s="1">
        <f t="shared" si="4"/>
        <v>0</v>
      </c>
      <c r="V319" s="3">
        <f t="shared" si="5"/>
        <v>1</v>
      </c>
      <c r="W319" s="3">
        <f t="shared" si="6"/>
        <v>3</v>
      </c>
      <c r="X319" s="3" t="str">
        <f>IFERROR(__xludf.DUMMYFUNCTION("split(B319,"" "")"),"T.")</f>
        <v>T.</v>
      </c>
      <c r="Y319" s="3" t="str">
        <f>IFERROR(__xludf.DUMMYFUNCTION("""COMPUTED_VALUE"""),"Hill")</f>
        <v>Hill</v>
      </c>
      <c r="AA319" s="3">
        <v>18.0</v>
      </c>
      <c r="AB319" s="3">
        <f t="shared" si="7"/>
        <v>1</v>
      </c>
      <c r="AC319" s="3">
        <f t="shared" si="8"/>
        <v>0</v>
      </c>
      <c r="AD319" s="3">
        <f t="shared" si="9"/>
        <v>0.8474576271</v>
      </c>
      <c r="AE319" s="3">
        <f t="shared" si="10"/>
        <v>-1</v>
      </c>
      <c r="AF319" s="3">
        <f t="shared" si="11"/>
        <v>-3</v>
      </c>
      <c r="AG319" s="3">
        <f t="shared" si="12"/>
        <v>-0.1612903226</v>
      </c>
    </row>
    <row r="320">
      <c r="A320" s="1" t="s">
        <v>12</v>
      </c>
      <c r="B320" s="1" t="s">
        <v>270</v>
      </c>
      <c r="C320" s="1" t="s">
        <v>19</v>
      </c>
      <c r="D320" s="1" t="s">
        <v>147</v>
      </c>
      <c r="E320" s="1" t="s">
        <v>114</v>
      </c>
      <c r="F320" s="1" t="s">
        <v>455</v>
      </c>
      <c r="G320" s="1">
        <v>2.5</v>
      </c>
      <c r="H320" s="1" t="s">
        <v>60</v>
      </c>
      <c r="I320" s="1">
        <v>-108.0</v>
      </c>
      <c r="J320" s="1">
        <v>-0.225926137884615</v>
      </c>
      <c r="K320" s="1" t="s">
        <v>61</v>
      </c>
      <c r="L320" s="1" t="s">
        <v>61</v>
      </c>
      <c r="M320" s="1" t="s">
        <v>62</v>
      </c>
      <c r="N320" s="1">
        <v>-122.0</v>
      </c>
      <c r="O320" s="1">
        <v>0.157145156529729</v>
      </c>
      <c r="P320" s="1" t="s">
        <v>61</v>
      </c>
      <c r="Q320" s="1" t="s">
        <v>61</v>
      </c>
      <c r="R320" s="1">
        <f t="shared" si="1"/>
        <v>0.1571451565</v>
      </c>
      <c r="S320" s="1">
        <f t="shared" si="2"/>
        <v>-122</v>
      </c>
      <c r="T320" s="1">
        <f t="shared" si="3"/>
        <v>1.819672131</v>
      </c>
      <c r="U320" s="1">
        <f t="shared" si="4"/>
        <v>0</v>
      </c>
      <c r="V320" s="3">
        <f t="shared" si="5"/>
        <v>3</v>
      </c>
      <c r="W320" s="3">
        <f t="shared" si="6"/>
        <v>3</v>
      </c>
      <c r="X320" s="3" t="str">
        <f>IFERROR(__xludf.DUMMYFUNCTION("split(B320,"" "")"),"D.")</f>
        <v>D.</v>
      </c>
      <c r="Y320" s="3" t="str">
        <f>IFERROR(__xludf.DUMMYFUNCTION("""COMPUTED_VALUE"""),"Singletary")</f>
        <v>Singletary</v>
      </c>
      <c r="AA320" s="1">
        <v>95.0</v>
      </c>
      <c r="AB320" s="3">
        <f t="shared" si="7"/>
        <v>1</v>
      </c>
      <c r="AC320" s="3">
        <f t="shared" si="8"/>
        <v>0</v>
      </c>
      <c r="AD320" s="3">
        <f t="shared" si="9"/>
        <v>2.459016393</v>
      </c>
      <c r="AE320" s="3">
        <f t="shared" si="10"/>
        <v>-3</v>
      </c>
      <c r="AF320" s="3">
        <f t="shared" si="11"/>
        <v>-3</v>
      </c>
      <c r="AG320" s="3">
        <f t="shared" si="12"/>
        <v>-37</v>
      </c>
    </row>
    <row r="321">
      <c r="A321" s="1" t="s">
        <v>8</v>
      </c>
      <c r="B321" s="1" t="s">
        <v>270</v>
      </c>
      <c r="C321" s="1" t="s">
        <v>19</v>
      </c>
      <c r="D321" s="1" t="s">
        <v>147</v>
      </c>
      <c r="E321" s="1" t="s">
        <v>114</v>
      </c>
      <c r="F321" s="1" t="s">
        <v>455</v>
      </c>
      <c r="G321" s="1">
        <v>13.5</v>
      </c>
      <c r="H321" s="1" t="s">
        <v>60</v>
      </c>
      <c r="I321" s="1">
        <v>-113.0</v>
      </c>
      <c r="J321" s="1">
        <v>-0.126461429715023</v>
      </c>
      <c r="K321" s="1" t="s">
        <v>61</v>
      </c>
      <c r="L321" s="1" t="s">
        <v>61</v>
      </c>
      <c r="M321" s="1" t="s">
        <v>62</v>
      </c>
      <c r="N321" s="1">
        <v>-116.0</v>
      </c>
      <c r="O321" s="1">
        <v>0.0589144354351296</v>
      </c>
      <c r="P321" s="1" t="s">
        <v>61</v>
      </c>
      <c r="Q321" s="1" t="s">
        <v>61</v>
      </c>
      <c r="R321" s="1">
        <f t="shared" si="1"/>
        <v>0.05891443544</v>
      </c>
      <c r="S321" s="1">
        <f t="shared" si="2"/>
        <v>-116</v>
      </c>
      <c r="T321" s="1">
        <f t="shared" si="3"/>
        <v>1.862068966</v>
      </c>
      <c r="U321" s="1">
        <f t="shared" si="4"/>
        <v>0</v>
      </c>
      <c r="V321" s="3">
        <f t="shared" si="5"/>
        <v>2</v>
      </c>
      <c r="W321" s="3">
        <f t="shared" si="6"/>
        <v>2</v>
      </c>
      <c r="X321" s="3" t="str">
        <f>IFERROR(__xludf.DUMMYFUNCTION("split(B321,"" "")"),"D.")</f>
        <v>D.</v>
      </c>
      <c r="Y321" s="3" t="str">
        <f>IFERROR(__xludf.DUMMYFUNCTION("""COMPUTED_VALUE"""),"Singletary")</f>
        <v>Singletary</v>
      </c>
      <c r="AA321" s="3">
        <v>16.0</v>
      </c>
      <c r="AB321" s="3">
        <f t="shared" si="7"/>
        <v>1</v>
      </c>
      <c r="AC321" s="3">
        <f t="shared" si="8"/>
        <v>0</v>
      </c>
      <c r="AD321" s="3">
        <f t="shared" si="9"/>
        <v>1.724137931</v>
      </c>
      <c r="AE321" s="3">
        <f t="shared" si="10"/>
        <v>-2</v>
      </c>
      <c r="AF321" s="3">
        <f t="shared" si="11"/>
        <v>-2</v>
      </c>
      <c r="AG321" s="3">
        <f t="shared" si="12"/>
        <v>-0.1851851852</v>
      </c>
    </row>
    <row r="322">
      <c r="A322" s="1" t="s">
        <v>9</v>
      </c>
      <c r="B322" s="1" t="s">
        <v>270</v>
      </c>
      <c r="C322" s="1" t="s">
        <v>19</v>
      </c>
      <c r="D322" s="1" t="s">
        <v>147</v>
      </c>
      <c r="E322" s="1" t="s">
        <v>114</v>
      </c>
      <c r="F322" s="1" t="s">
        <v>455</v>
      </c>
      <c r="G322" s="1">
        <v>78.5</v>
      </c>
      <c r="H322" s="1" t="s">
        <v>60</v>
      </c>
      <c r="I322" s="1">
        <v>-120.0</v>
      </c>
      <c r="J322" s="1">
        <v>-0.130868558570101</v>
      </c>
      <c r="K322" s="1" t="s">
        <v>61</v>
      </c>
      <c r="L322" s="1" t="s">
        <v>61</v>
      </c>
      <c r="M322" s="1" t="s">
        <v>62</v>
      </c>
      <c r="N322" s="1">
        <v>-115.0</v>
      </c>
      <c r="O322" s="1">
        <v>0.0505504433406306</v>
      </c>
      <c r="P322" s="1" t="s">
        <v>61</v>
      </c>
      <c r="Q322" s="1" t="s">
        <v>61</v>
      </c>
      <c r="R322" s="1">
        <f t="shared" si="1"/>
        <v>0.05055044334</v>
      </c>
      <c r="S322" s="1">
        <f t="shared" si="2"/>
        <v>-115</v>
      </c>
      <c r="T322" s="1">
        <f t="shared" si="3"/>
        <v>1.869565217</v>
      </c>
      <c r="U322" s="1">
        <f t="shared" si="4"/>
        <v>0</v>
      </c>
      <c r="V322" s="3">
        <f t="shared" si="5"/>
        <v>2</v>
      </c>
      <c r="W322" s="3">
        <f t="shared" si="6"/>
        <v>2</v>
      </c>
      <c r="X322" s="3" t="str">
        <f>IFERROR(__xludf.DUMMYFUNCTION("split(B322,"" "")"),"D.")</f>
        <v>D.</v>
      </c>
      <c r="Y322" s="3" t="str">
        <f>IFERROR(__xludf.DUMMYFUNCTION("""COMPUTED_VALUE"""),"Singletary")</f>
        <v>Singletary</v>
      </c>
      <c r="AA322" s="3">
        <v>95.0</v>
      </c>
      <c r="AB322" s="3">
        <f t="shared" si="7"/>
        <v>1</v>
      </c>
      <c r="AC322" s="3">
        <f t="shared" si="8"/>
        <v>0</v>
      </c>
      <c r="AD322" s="3">
        <f t="shared" si="9"/>
        <v>1.739130435</v>
      </c>
      <c r="AE322" s="3">
        <f t="shared" si="10"/>
        <v>-2</v>
      </c>
      <c r="AF322" s="3">
        <f t="shared" si="11"/>
        <v>-2</v>
      </c>
      <c r="AG322" s="3">
        <f t="shared" si="12"/>
        <v>-0.2101910828</v>
      </c>
    </row>
    <row r="323">
      <c r="A323" s="1" t="s">
        <v>11</v>
      </c>
      <c r="B323" s="1" t="s">
        <v>478</v>
      </c>
      <c r="C323" s="1" t="s">
        <v>18</v>
      </c>
      <c r="D323" s="1" t="s">
        <v>147</v>
      </c>
      <c r="E323" s="1" t="s">
        <v>114</v>
      </c>
      <c r="F323" s="1" t="s">
        <v>455</v>
      </c>
      <c r="G323" s="1">
        <v>64.5</v>
      </c>
      <c r="H323" s="1" t="s">
        <v>60</v>
      </c>
      <c r="I323" s="1">
        <v>-121.0</v>
      </c>
      <c r="J323" s="1">
        <v>-0.0915842968394106</v>
      </c>
      <c r="K323" s="1" t="s">
        <v>61</v>
      </c>
      <c r="L323" s="1" t="s">
        <v>61</v>
      </c>
      <c r="M323" s="1" t="s">
        <v>62</v>
      </c>
      <c r="N323" s="1">
        <v>-106.0</v>
      </c>
      <c r="O323" s="1">
        <v>0.029546713196206</v>
      </c>
      <c r="P323" s="1" t="s">
        <v>61</v>
      </c>
      <c r="Q323" s="1" t="s">
        <v>61</v>
      </c>
      <c r="R323" s="1">
        <f t="shared" si="1"/>
        <v>0.0295467132</v>
      </c>
      <c r="S323" s="1">
        <f t="shared" si="2"/>
        <v>-106</v>
      </c>
      <c r="T323" s="1">
        <f t="shared" si="3"/>
        <v>1.943396226</v>
      </c>
      <c r="U323" s="1">
        <f t="shared" si="4"/>
        <v>0</v>
      </c>
      <c r="V323" s="3">
        <f t="shared" si="5"/>
        <v>1</v>
      </c>
      <c r="W323" s="3">
        <f t="shared" si="6"/>
        <v>2</v>
      </c>
      <c r="X323" s="3" t="str">
        <f>IFERROR(__xludf.DUMMYFUNCTION("split(B323,"" "")"),"M.")</f>
        <v>M.</v>
      </c>
      <c r="Y323" s="3" t="str">
        <f>IFERROR(__xludf.DUMMYFUNCTION("""COMPUTED_VALUE"""),"Nabers")</f>
        <v>Nabers</v>
      </c>
      <c r="AA323" s="3">
        <v>127.0</v>
      </c>
      <c r="AB323" s="3">
        <f t="shared" si="7"/>
        <v>1</v>
      </c>
      <c r="AC323" s="3">
        <f t="shared" si="8"/>
        <v>0</v>
      </c>
      <c r="AD323" s="3">
        <f t="shared" si="9"/>
        <v>0.9433962264</v>
      </c>
      <c r="AE323" s="3">
        <f t="shared" si="10"/>
        <v>-1</v>
      </c>
      <c r="AF323" s="3">
        <f t="shared" si="11"/>
        <v>-2</v>
      </c>
      <c r="AG323" s="3">
        <f t="shared" si="12"/>
        <v>-0.9689922481</v>
      </c>
    </row>
    <row r="324">
      <c r="A324" s="1" t="s">
        <v>10</v>
      </c>
      <c r="B324" s="1" t="s">
        <v>270</v>
      </c>
      <c r="C324" s="1" t="s">
        <v>19</v>
      </c>
      <c r="D324" s="1" t="s">
        <v>147</v>
      </c>
      <c r="E324" s="1" t="s">
        <v>114</v>
      </c>
      <c r="F324" s="1" t="s">
        <v>455</v>
      </c>
      <c r="G324" s="1">
        <v>57.5</v>
      </c>
      <c r="H324" s="1" t="s">
        <v>60</v>
      </c>
      <c r="I324" s="1">
        <v>-109.0</v>
      </c>
      <c r="J324" s="1">
        <v>-0.0672291562904893</v>
      </c>
      <c r="K324" s="1" t="s">
        <v>61</v>
      </c>
      <c r="L324" s="1" t="s">
        <v>61</v>
      </c>
      <c r="M324" s="1" t="s">
        <v>62</v>
      </c>
      <c r="N324" s="1">
        <v>-117.0</v>
      </c>
      <c r="O324" s="1">
        <v>0.00652629195222131</v>
      </c>
      <c r="P324" s="1" t="s">
        <v>61</v>
      </c>
      <c r="Q324" s="1" t="s">
        <v>61</v>
      </c>
      <c r="R324" s="1">
        <f t="shared" si="1"/>
        <v>0.006526291952</v>
      </c>
      <c r="S324" s="1">
        <f t="shared" si="2"/>
        <v>-117</v>
      </c>
      <c r="T324" s="1">
        <f t="shared" si="3"/>
        <v>1.854700855</v>
      </c>
      <c r="U324" s="1">
        <f t="shared" si="4"/>
        <v>0</v>
      </c>
      <c r="V324" s="3">
        <f t="shared" si="5"/>
        <v>1</v>
      </c>
      <c r="W324" s="3">
        <f t="shared" si="6"/>
        <v>2</v>
      </c>
      <c r="X324" s="3" t="str">
        <f>IFERROR(__xludf.DUMMYFUNCTION("split(B324,"" "")"),"D.")</f>
        <v>D.</v>
      </c>
      <c r="Y324" s="3" t="str">
        <f>IFERROR(__xludf.DUMMYFUNCTION("""COMPUTED_VALUE"""),"Singletary")</f>
        <v>Singletary</v>
      </c>
      <c r="AA324" s="3">
        <v>95.0</v>
      </c>
      <c r="AB324" s="3">
        <f t="shared" si="7"/>
        <v>1</v>
      </c>
      <c r="AC324" s="3">
        <f t="shared" si="8"/>
        <v>0</v>
      </c>
      <c r="AD324" s="3">
        <f t="shared" si="9"/>
        <v>0.8547008547</v>
      </c>
      <c r="AE324" s="3">
        <f t="shared" si="10"/>
        <v>-1</v>
      </c>
      <c r="AF324" s="3">
        <f t="shared" si="11"/>
        <v>-2</v>
      </c>
      <c r="AG324" s="3">
        <f t="shared" si="12"/>
        <v>-0.652173913</v>
      </c>
    </row>
    <row r="325">
      <c r="A325" s="1" t="s">
        <v>9</v>
      </c>
      <c r="B325" s="1" t="s">
        <v>478</v>
      </c>
      <c r="C325" s="1" t="s">
        <v>18</v>
      </c>
      <c r="D325" s="1" t="s">
        <v>147</v>
      </c>
      <c r="E325" s="1" t="s">
        <v>114</v>
      </c>
      <c r="F325" s="1" t="s">
        <v>455</v>
      </c>
      <c r="G325" s="1">
        <v>66.0</v>
      </c>
      <c r="H325" s="1" t="s">
        <v>60</v>
      </c>
      <c r="I325" s="1">
        <v>-117.0</v>
      </c>
      <c r="J325" s="1">
        <v>-0.0787552326887147</v>
      </c>
      <c r="K325" s="1" t="s">
        <v>61</v>
      </c>
      <c r="L325" s="1" t="s">
        <v>61</v>
      </c>
      <c r="M325" s="1" t="s">
        <v>62</v>
      </c>
      <c r="N325" s="1">
        <v>-116.0</v>
      </c>
      <c r="O325" s="1">
        <v>0.00330586653890396</v>
      </c>
      <c r="P325" s="1" t="s">
        <v>61</v>
      </c>
      <c r="Q325" s="1" t="s">
        <v>61</v>
      </c>
      <c r="R325" s="1">
        <f t="shared" si="1"/>
        <v>0.003305866539</v>
      </c>
      <c r="S325" s="1">
        <f t="shared" si="2"/>
        <v>-116</v>
      </c>
      <c r="T325" s="1">
        <f t="shared" si="3"/>
        <v>1.862068966</v>
      </c>
      <c r="U325" s="1">
        <f t="shared" si="4"/>
        <v>0</v>
      </c>
      <c r="V325" s="3">
        <f t="shared" si="5"/>
        <v>1</v>
      </c>
      <c r="W325" s="3">
        <f t="shared" si="6"/>
        <v>2</v>
      </c>
      <c r="X325" s="3" t="str">
        <f>IFERROR(__xludf.DUMMYFUNCTION("split(B325,"" "")"),"M.")</f>
        <v>M.</v>
      </c>
      <c r="Y325" s="3" t="str">
        <f>IFERROR(__xludf.DUMMYFUNCTION("""COMPUTED_VALUE"""),"Nabers")</f>
        <v>Nabers</v>
      </c>
      <c r="AA325" s="3">
        <v>127.0</v>
      </c>
      <c r="AB325" s="3">
        <f t="shared" si="7"/>
        <v>1</v>
      </c>
      <c r="AC325" s="3">
        <f t="shared" si="8"/>
        <v>0</v>
      </c>
      <c r="AD325" s="3">
        <f t="shared" si="9"/>
        <v>0.8620689655</v>
      </c>
      <c r="AE325" s="3">
        <f t="shared" si="10"/>
        <v>-1</v>
      </c>
      <c r="AF325" s="3">
        <f t="shared" si="11"/>
        <v>-2</v>
      </c>
      <c r="AG325" s="3">
        <f t="shared" si="12"/>
        <v>-0.9242424242</v>
      </c>
    </row>
    <row r="326">
      <c r="A326" s="1" t="s">
        <v>10</v>
      </c>
      <c r="B326" s="1" t="s">
        <v>330</v>
      </c>
      <c r="C326" s="1" t="s">
        <v>21</v>
      </c>
      <c r="D326" s="1" t="s">
        <v>165</v>
      </c>
      <c r="E326" s="1" t="s">
        <v>100</v>
      </c>
      <c r="F326" s="1" t="s">
        <v>455</v>
      </c>
      <c r="G326" s="1">
        <v>2.5</v>
      </c>
      <c r="H326" s="1" t="s">
        <v>60</v>
      </c>
      <c r="I326" s="1">
        <v>-105.0</v>
      </c>
      <c r="J326" s="1">
        <v>0.0909098072256201</v>
      </c>
      <c r="K326" s="1" t="s">
        <v>61</v>
      </c>
      <c r="L326" s="1" t="s">
        <v>61</v>
      </c>
      <c r="M326" s="1" t="s">
        <v>62</v>
      </c>
      <c r="N326" s="1">
        <v>-124.0</v>
      </c>
      <c r="O326" s="1">
        <v>-0.156677022306931</v>
      </c>
      <c r="P326" s="1" t="s">
        <v>61</v>
      </c>
      <c r="Q326" s="1" t="s">
        <v>61</v>
      </c>
      <c r="R326" s="1">
        <f t="shared" si="1"/>
        <v>0.09090980723</v>
      </c>
      <c r="S326" s="1">
        <f t="shared" si="2"/>
        <v>-105</v>
      </c>
      <c r="T326" s="1">
        <f t="shared" si="3"/>
        <v>1.952380952</v>
      </c>
      <c r="U326" s="1">
        <f t="shared" si="4"/>
        <v>1</v>
      </c>
      <c r="V326" s="3">
        <f t="shared" si="5"/>
        <v>2</v>
      </c>
      <c r="W326" s="3">
        <f t="shared" si="6"/>
        <v>2</v>
      </c>
      <c r="X326" s="3" t="str">
        <f>IFERROR(__xludf.DUMMYFUNCTION("split(B326,"" "")"),"A.")</f>
        <v>A.</v>
      </c>
      <c r="Y326" s="3" t="str">
        <f>IFERROR(__xludf.DUMMYFUNCTION("""COMPUTED_VALUE"""),"Rodgers")</f>
        <v>Rodgers</v>
      </c>
      <c r="AA326" s="3">
        <v>1.0</v>
      </c>
      <c r="AB326" s="3">
        <f t="shared" si="7"/>
        <v>0</v>
      </c>
      <c r="AC326" s="3">
        <f t="shared" si="8"/>
        <v>0</v>
      </c>
      <c r="AD326" s="3">
        <f t="shared" si="9"/>
        <v>1.904761905</v>
      </c>
      <c r="AE326" s="3">
        <f t="shared" si="10"/>
        <v>-2</v>
      </c>
      <c r="AF326" s="3">
        <f t="shared" si="11"/>
        <v>-2</v>
      </c>
      <c r="AG326" s="3">
        <f t="shared" si="12"/>
        <v>-0.6</v>
      </c>
    </row>
    <row r="327">
      <c r="A327" s="1" t="s">
        <v>14</v>
      </c>
      <c r="B327" s="1" t="s">
        <v>330</v>
      </c>
      <c r="C327" s="1" t="s">
        <v>21</v>
      </c>
      <c r="D327" s="1" t="s">
        <v>165</v>
      </c>
      <c r="E327" s="1" t="s">
        <v>100</v>
      </c>
      <c r="F327" s="1" t="s">
        <v>455</v>
      </c>
      <c r="G327" s="1">
        <v>1.5</v>
      </c>
      <c r="H327" s="1" t="s">
        <v>60</v>
      </c>
      <c r="I327" s="1">
        <v>101.0</v>
      </c>
      <c r="J327" s="1">
        <v>-0.122762189054726</v>
      </c>
      <c r="K327" s="1" t="s">
        <v>61</v>
      </c>
      <c r="L327" s="1" t="s">
        <v>61</v>
      </c>
      <c r="M327" s="1" t="s">
        <v>62</v>
      </c>
      <c r="N327" s="1">
        <v>-133.0</v>
      </c>
      <c r="O327" s="1">
        <v>0.0544274678111588</v>
      </c>
      <c r="P327" s="1" t="s">
        <v>61</v>
      </c>
      <c r="Q327" s="1" t="s">
        <v>61</v>
      </c>
      <c r="R327" s="1">
        <f t="shared" si="1"/>
        <v>0.05442746781</v>
      </c>
      <c r="S327" s="1">
        <f t="shared" si="2"/>
        <v>-133</v>
      </c>
      <c r="T327" s="1">
        <f t="shared" si="3"/>
        <v>1.751879699</v>
      </c>
      <c r="U327" s="1">
        <f t="shared" si="4"/>
        <v>0</v>
      </c>
      <c r="V327" s="3">
        <f t="shared" si="5"/>
        <v>2</v>
      </c>
      <c r="W327" s="3">
        <f t="shared" si="6"/>
        <v>3</v>
      </c>
      <c r="X327" s="3" t="str">
        <f>IFERROR(__xludf.DUMMYFUNCTION("split(B327,"" "")"),"A.")</f>
        <v>A.</v>
      </c>
      <c r="Y327" s="3" t="str">
        <f>IFERROR(__xludf.DUMMYFUNCTION("""COMPUTED_VALUE"""),"Rodgers")</f>
        <v>Rodgers</v>
      </c>
      <c r="AA327" s="3">
        <v>2.0</v>
      </c>
      <c r="AB327" s="3">
        <f t="shared" si="7"/>
        <v>1</v>
      </c>
      <c r="AC327" s="3">
        <f t="shared" si="8"/>
        <v>0</v>
      </c>
      <c r="AD327" s="3">
        <f t="shared" si="9"/>
        <v>1.503759398</v>
      </c>
      <c r="AE327" s="3">
        <f t="shared" si="10"/>
        <v>-2</v>
      </c>
      <c r="AF327" s="3">
        <f t="shared" si="11"/>
        <v>-3</v>
      </c>
      <c r="AG327" s="3">
        <f t="shared" si="12"/>
        <v>-0.3333333333</v>
      </c>
    </row>
    <row r="328">
      <c r="A328" s="1" t="s">
        <v>12</v>
      </c>
      <c r="B328" s="1" t="s">
        <v>336</v>
      </c>
      <c r="C328" s="1" t="s">
        <v>19</v>
      </c>
      <c r="D328" s="1" t="s">
        <v>165</v>
      </c>
      <c r="E328" s="1" t="s">
        <v>100</v>
      </c>
      <c r="F328" s="1" t="s">
        <v>455</v>
      </c>
      <c r="G328" s="1">
        <v>4.5</v>
      </c>
      <c r="H328" s="1" t="s">
        <v>60</v>
      </c>
      <c r="I328" s="1">
        <v>102.0</v>
      </c>
      <c r="J328" s="1">
        <v>-0.114949504950495</v>
      </c>
      <c r="K328" s="1" t="s">
        <v>61</v>
      </c>
      <c r="L328" s="1" t="s">
        <v>61</v>
      </c>
      <c r="M328" s="1" t="s">
        <v>62</v>
      </c>
      <c r="N328" s="1">
        <v>-132.0</v>
      </c>
      <c r="O328" s="1">
        <v>0.0509344827586206</v>
      </c>
      <c r="P328" s="1" t="s">
        <v>61</v>
      </c>
      <c r="Q328" s="1" t="s">
        <v>61</v>
      </c>
      <c r="R328" s="1">
        <f t="shared" si="1"/>
        <v>0.05093448276</v>
      </c>
      <c r="S328" s="1">
        <f t="shared" si="2"/>
        <v>-132</v>
      </c>
      <c r="T328" s="1">
        <f t="shared" si="3"/>
        <v>1.757575758</v>
      </c>
      <c r="U328" s="1">
        <f t="shared" si="4"/>
        <v>0</v>
      </c>
      <c r="V328" s="3">
        <f t="shared" si="5"/>
        <v>2</v>
      </c>
      <c r="W328" s="3">
        <f t="shared" si="6"/>
        <v>3</v>
      </c>
      <c r="X328" s="3" t="str">
        <f>IFERROR(__xludf.DUMMYFUNCTION("split(B328,"" "")"),"B.")</f>
        <v>B.</v>
      </c>
      <c r="Y328" s="3" t="str">
        <f>IFERROR(__xludf.DUMMYFUNCTION("""COMPUTED_VALUE"""),"Hall")</f>
        <v>Hall</v>
      </c>
      <c r="AA328" s="3">
        <v>7.0</v>
      </c>
      <c r="AB328" s="3">
        <f t="shared" si="7"/>
        <v>1</v>
      </c>
      <c r="AC328" s="3">
        <f t="shared" si="8"/>
        <v>0</v>
      </c>
      <c r="AD328" s="3">
        <f t="shared" si="9"/>
        <v>1.515151515</v>
      </c>
      <c r="AE328" s="3">
        <f t="shared" si="10"/>
        <v>-2</v>
      </c>
      <c r="AF328" s="3">
        <f t="shared" si="11"/>
        <v>-3</v>
      </c>
      <c r="AG328" s="3">
        <f t="shared" si="12"/>
        <v>-0.5555555556</v>
      </c>
    </row>
    <row r="329">
      <c r="A329" s="1" t="s">
        <v>11</v>
      </c>
      <c r="B329" s="1" t="s">
        <v>336</v>
      </c>
      <c r="C329" s="1" t="s">
        <v>19</v>
      </c>
      <c r="D329" s="1" t="s">
        <v>165</v>
      </c>
      <c r="E329" s="1" t="s">
        <v>100</v>
      </c>
      <c r="F329" s="1" t="s">
        <v>455</v>
      </c>
      <c r="G329" s="1">
        <v>29.5</v>
      </c>
      <c r="H329" s="1" t="s">
        <v>60</v>
      </c>
      <c r="I329" s="1">
        <v>-114.0</v>
      </c>
      <c r="J329" s="1">
        <v>-0.0976676118303273</v>
      </c>
      <c r="K329" s="1" t="s">
        <v>61</v>
      </c>
      <c r="L329" s="1" t="s">
        <v>61</v>
      </c>
      <c r="M329" s="1" t="s">
        <v>62</v>
      </c>
      <c r="N329" s="1">
        <v>-115.0</v>
      </c>
      <c r="O329" s="1">
        <v>0.0300819035881093</v>
      </c>
      <c r="P329" s="1" t="s">
        <v>61</v>
      </c>
      <c r="Q329" s="1" t="s">
        <v>61</v>
      </c>
      <c r="R329" s="1">
        <f t="shared" si="1"/>
        <v>0.03008190359</v>
      </c>
      <c r="S329" s="1">
        <f t="shared" si="2"/>
        <v>-115</v>
      </c>
      <c r="T329" s="1">
        <f t="shared" si="3"/>
        <v>1.869565217</v>
      </c>
      <c r="U329" s="1">
        <f t="shared" si="4"/>
        <v>0</v>
      </c>
      <c r="V329" s="3">
        <f t="shared" si="5"/>
        <v>1</v>
      </c>
      <c r="W329" s="3">
        <f t="shared" si="6"/>
        <v>2</v>
      </c>
      <c r="X329" s="3" t="str">
        <f>IFERROR(__xludf.DUMMYFUNCTION("split(B329,"" "")"),"B.")</f>
        <v>B.</v>
      </c>
      <c r="Y329" s="3" t="str">
        <f>IFERROR(__xludf.DUMMYFUNCTION("""COMPUTED_VALUE"""),"Hall")</f>
        <v>Hall</v>
      </c>
      <c r="AA329" s="3">
        <v>52.0</v>
      </c>
      <c r="AB329" s="3">
        <f t="shared" si="7"/>
        <v>1</v>
      </c>
      <c r="AC329" s="3">
        <f t="shared" si="8"/>
        <v>0</v>
      </c>
      <c r="AD329" s="3">
        <f t="shared" si="9"/>
        <v>0.8695652174</v>
      </c>
      <c r="AE329" s="3">
        <f t="shared" si="10"/>
        <v>-1</v>
      </c>
      <c r="AF329" s="3">
        <f t="shared" si="11"/>
        <v>-2</v>
      </c>
      <c r="AG329" s="3">
        <f t="shared" si="12"/>
        <v>-0.7627118644</v>
      </c>
    </row>
    <row r="330">
      <c r="A330" s="1" t="s">
        <v>9</v>
      </c>
      <c r="B330" s="1" t="s">
        <v>336</v>
      </c>
      <c r="C330" s="1" t="s">
        <v>19</v>
      </c>
      <c r="D330" s="1" t="s">
        <v>165</v>
      </c>
      <c r="E330" s="1" t="s">
        <v>100</v>
      </c>
      <c r="F330" s="1" t="s">
        <v>455</v>
      </c>
      <c r="G330" s="1">
        <v>103.5</v>
      </c>
      <c r="H330" s="1" t="s">
        <v>60</v>
      </c>
      <c r="I330" s="1">
        <v>-120.0</v>
      </c>
      <c r="J330" s="1">
        <v>-0.0794612707000175</v>
      </c>
      <c r="K330" s="1" t="s">
        <v>61</v>
      </c>
      <c r="L330" s="1" t="s">
        <v>61</v>
      </c>
      <c r="M330" s="1" t="s">
        <v>62</v>
      </c>
      <c r="N330" s="1">
        <v>-113.0</v>
      </c>
      <c r="O330" s="1">
        <v>0.00347452152537253</v>
      </c>
      <c r="P330" s="1" t="s">
        <v>61</v>
      </c>
      <c r="Q330" s="1" t="s">
        <v>61</v>
      </c>
      <c r="R330" s="1">
        <f t="shared" si="1"/>
        <v>0.003474521525</v>
      </c>
      <c r="S330" s="1">
        <f t="shared" si="2"/>
        <v>-113</v>
      </c>
      <c r="T330" s="1">
        <f t="shared" si="3"/>
        <v>1.884955752</v>
      </c>
      <c r="U330" s="1">
        <f t="shared" si="4"/>
        <v>0</v>
      </c>
      <c r="V330" s="3">
        <f t="shared" si="5"/>
        <v>1</v>
      </c>
      <c r="W330" s="3">
        <f t="shared" si="6"/>
        <v>2</v>
      </c>
      <c r="X330" s="3" t="str">
        <f>IFERROR(__xludf.DUMMYFUNCTION("split(B330,"" "")"),"B.")</f>
        <v>B.</v>
      </c>
      <c r="Y330" s="3" t="str">
        <f>IFERROR(__xludf.DUMMYFUNCTION("""COMPUTED_VALUE"""),"Hall")</f>
        <v>Hall</v>
      </c>
      <c r="AA330" s="3">
        <v>114.0</v>
      </c>
      <c r="AB330" s="3">
        <f t="shared" si="7"/>
        <v>1</v>
      </c>
      <c r="AC330" s="3">
        <f t="shared" si="8"/>
        <v>0</v>
      </c>
      <c r="AD330" s="3">
        <f t="shared" si="9"/>
        <v>0.8849557522</v>
      </c>
      <c r="AE330" s="3">
        <f t="shared" si="10"/>
        <v>-1</v>
      </c>
      <c r="AF330" s="3">
        <f t="shared" si="11"/>
        <v>-2</v>
      </c>
      <c r="AG330" s="3">
        <f t="shared" si="12"/>
        <v>-0.1014492754</v>
      </c>
    </row>
    <row r="331">
      <c r="A331" s="1" t="s">
        <v>12</v>
      </c>
      <c r="B331" s="1" t="s">
        <v>155</v>
      </c>
      <c r="C331" s="1" t="s">
        <v>19</v>
      </c>
      <c r="D331" s="1" t="s">
        <v>156</v>
      </c>
      <c r="E331" s="1" t="s">
        <v>109</v>
      </c>
      <c r="F331" s="1" t="s">
        <v>453</v>
      </c>
      <c r="G331" s="1">
        <v>2.5</v>
      </c>
      <c r="H331" s="1" t="s">
        <v>60</v>
      </c>
      <c r="I331" s="1">
        <v>-133.0</v>
      </c>
      <c r="J331" s="1">
        <v>-0.214870729055794</v>
      </c>
      <c r="K331" s="1" t="s">
        <v>61</v>
      </c>
      <c r="L331" s="1" t="s">
        <v>61</v>
      </c>
      <c r="M331" s="1" t="s">
        <v>62</v>
      </c>
      <c r="N331" s="1">
        <v>102.0</v>
      </c>
      <c r="O331" s="1">
        <v>0.148998910247524</v>
      </c>
      <c r="P331" s="1" t="s">
        <v>61</v>
      </c>
      <c r="Q331" s="1" t="s">
        <v>61</v>
      </c>
      <c r="R331" s="1">
        <f t="shared" si="1"/>
        <v>0.1489989102</v>
      </c>
      <c r="S331" s="1">
        <f t="shared" si="2"/>
        <v>102</v>
      </c>
      <c r="T331" s="1">
        <f t="shared" si="3"/>
        <v>2.02</v>
      </c>
      <c r="U331" s="1">
        <f t="shared" si="4"/>
        <v>0</v>
      </c>
      <c r="V331" s="3">
        <f t="shared" si="5"/>
        <v>3</v>
      </c>
      <c r="W331" s="3">
        <f t="shared" si="6"/>
        <v>2</v>
      </c>
      <c r="X331" s="3" t="str">
        <f>IFERROR(__xludf.DUMMYFUNCTION("split(B331,"" "")"),"S.")</f>
        <v>S.</v>
      </c>
      <c r="Y331" s="3" t="str">
        <f>IFERROR(__xludf.DUMMYFUNCTION("""COMPUTED_VALUE"""),"Barkley")</f>
        <v>Barkley</v>
      </c>
      <c r="AA331" s="3">
        <v>4.0</v>
      </c>
      <c r="AB331" s="3">
        <f t="shared" si="7"/>
        <v>1</v>
      </c>
      <c r="AC331" s="3">
        <f t="shared" si="8"/>
        <v>0</v>
      </c>
      <c r="AD331" s="3">
        <f t="shared" si="9"/>
        <v>3.06</v>
      </c>
      <c r="AE331" s="3">
        <f t="shared" si="10"/>
        <v>-3</v>
      </c>
      <c r="AF331" s="3">
        <f t="shared" si="11"/>
        <v>-2</v>
      </c>
      <c r="AG331" s="3">
        <f t="shared" si="12"/>
        <v>-0.6</v>
      </c>
    </row>
    <row r="332">
      <c r="A332" s="1" t="s">
        <v>9</v>
      </c>
      <c r="B332" s="1" t="s">
        <v>155</v>
      </c>
      <c r="C332" s="1" t="s">
        <v>19</v>
      </c>
      <c r="D332" s="1" t="s">
        <v>156</v>
      </c>
      <c r="E332" s="1" t="s">
        <v>109</v>
      </c>
      <c r="F332" s="1" t="s">
        <v>453</v>
      </c>
      <c r="G332" s="1">
        <v>97.5</v>
      </c>
      <c r="H332" s="1" t="s">
        <v>60</v>
      </c>
      <c r="I332" s="1">
        <v>-116.0</v>
      </c>
      <c r="J332" s="1">
        <v>-0.125519007842278</v>
      </c>
      <c r="K332" s="1" t="s">
        <v>61</v>
      </c>
      <c r="L332" s="1" t="s">
        <v>61</v>
      </c>
      <c r="M332" s="1" t="s">
        <v>62</v>
      </c>
      <c r="N332" s="1">
        <v>-116.0</v>
      </c>
      <c r="O332" s="1">
        <v>0.0514734781050428</v>
      </c>
      <c r="P332" s="1" t="s">
        <v>61</v>
      </c>
      <c r="Q332" s="1" t="s">
        <v>61</v>
      </c>
      <c r="R332" s="1">
        <f t="shared" si="1"/>
        <v>0.05147347811</v>
      </c>
      <c r="S332" s="1">
        <f t="shared" si="2"/>
        <v>-116</v>
      </c>
      <c r="T332" s="1">
        <f t="shared" si="3"/>
        <v>1.862068966</v>
      </c>
      <c r="U332" s="1">
        <f t="shared" si="4"/>
        <v>0</v>
      </c>
      <c r="V332" s="3">
        <f t="shared" si="5"/>
        <v>2</v>
      </c>
      <c r="W332" s="3">
        <f t="shared" si="6"/>
        <v>2</v>
      </c>
      <c r="X332" s="3" t="str">
        <f>IFERROR(__xludf.DUMMYFUNCTION("split(B332,"" "")"),"S.")</f>
        <v>S.</v>
      </c>
      <c r="Y332" s="3" t="str">
        <f>IFERROR(__xludf.DUMMYFUNCTION("""COMPUTED_VALUE"""),"Barkley")</f>
        <v>Barkley</v>
      </c>
      <c r="AA332" s="3">
        <v>116.0</v>
      </c>
      <c r="AB332" s="3">
        <f t="shared" si="7"/>
        <v>1</v>
      </c>
      <c r="AC332" s="3">
        <f t="shared" si="8"/>
        <v>0</v>
      </c>
      <c r="AD332" s="3">
        <f t="shared" si="9"/>
        <v>1.724137931</v>
      </c>
      <c r="AE332" s="3">
        <f t="shared" si="10"/>
        <v>-2</v>
      </c>
      <c r="AF332" s="3">
        <f t="shared" si="11"/>
        <v>-2</v>
      </c>
      <c r="AG332" s="3">
        <f t="shared" si="12"/>
        <v>-0.1897435897</v>
      </c>
    </row>
    <row r="333">
      <c r="A333" s="1" t="s">
        <v>10</v>
      </c>
      <c r="B333" s="1" t="s">
        <v>155</v>
      </c>
      <c r="C333" s="1" t="s">
        <v>19</v>
      </c>
      <c r="D333" s="1" t="s">
        <v>156</v>
      </c>
      <c r="E333" s="1" t="s">
        <v>109</v>
      </c>
      <c r="F333" s="1" t="s">
        <v>453</v>
      </c>
      <c r="G333" s="1">
        <v>75.5</v>
      </c>
      <c r="H333" s="1" t="s">
        <v>60</v>
      </c>
      <c r="I333" s="1">
        <v>-114.0</v>
      </c>
      <c r="J333" s="1">
        <v>-0.112605661185565</v>
      </c>
      <c r="K333" s="1" t="s">
        <v>61</v>
      </c>
      <c r="L333" s="1" t="s">
        <v>61</v>
      </c>
      <c r="M333" s="1" t="s">
        <v>62</v>
      </c>
      <c r="N333" s="1">
        <v>-114.0</v>
      </c>
      <c r="O333" s="1">
        <v>0.0471967285307178</v>
      </c>
      <c r="P333" s="1" t="s">
        <v>61</v>
      </c>
      <c r="Q333" s="1" t="s">
        <v>61</v>
      </c>
      <c r="R333" s="1">
        <f t="shared" si="1"/>
        <v>0.04719672853</v>
      </c>
      <c r="S333" s="1">
        <f t="shared" si="2"/>
        <v>-114</v>
      </c>
      <c r="T333" s="1">
        <f t="shared" si="3"/>
        <v>1.877192982</v>
      </c>
      <c r="U333" s="1">
        <f t="shared" si="4"/>
        <v>0</v>
      </c>
      <c r="V333" s="3">
        <f t="shared" si="5"/>
        <v>1</v>
      </c>
      <c r="W333" s="3">
        <f t="shared" si="6"/>
        <v>2</v>
      </c>
      <c r="X333" s="3" t="str">
        <f>IFERROR(__xludf.DUMMYFUNCTION("split(B333,"" "")"),"S.")</f>
        <v>S.</v>
      </c>
      <c r="Y333" s="3" t="str">
        <f>IFERROR(__xludf.DUMMYFUNCTION("""COMPUTED_VALUE"""),"Barkley")</f>
        <v>Barkley</v>
      </c>
      <c r="AA333" s="3">
        <v>95.0</v>
      </c>
      <c r="AB333" s="3">
        <f t="shared" si="7"/>
        <v>1</v>
      </c>
      <c r="AC333" s="3">
        <f t="shared" si="8"/>
        <v>0</v>
      </c>
      <c r="AD333" s="3">
        <f t="shared" si="9"/>
        <v>0.8771929825</v>
      </c>
      <c r="AE333" s="3">
        <f t="shared" si="10"/>
        <v>-1</v>
      </c>
      <c r="AF333" s="3">
        <f t="shared" si="11"/>
        <v>-2</v>
      </c>
      <c r="AG333" s="3">
        <f t="shared" si="12"/>
        <v>-0.2582781457</v>
      </c>
    </row>
    <row r="334">
      <c r="A334" s="1" t="s">
        <v>12</v>
      </c>
      <c r="B334" s="1" t="s">
        <v>507</v>
      </c>
      <c r="C334" s="1" t="s">
        <v>18</v>
      </c>
      <c r="D334" s="1" t="s">
        <v>156</v>
      </c>
      <c r="E334" s="1" t="s">
        <v>109</v>
      </c>
      <c r="F334" s="1" t="s">
        <v>453</v>
      </c>
      <c r="G334" s="1">
        <v>4.5</v>
      </c>
      <c r="H334" s="1" t="s">
        <v>60</v>
      </c>
      <c r="I334" s="1">
        <v>-150.0</v>
      </c>
      <c r="J334" s="1">
        <v>-0.0997</v>
      </c>
      <c r="K334" s="1" t="s">
        <v>61</v>
      </c>
      <c r="L334" s="1" t="s">
        <v>61</v>
      </c>
      <c r="M334" s="1" t="s">
        <v>62</v>
      </c>
      <c r="N334" s="1">
        <v>114.0</v>
      </c>
      <c r="O334" s="1">
        <v>0.0324102803738317</v>
      </c>
      <c r="P334" s="1" t="s">
        <v>61</v>
      </c>
      <c r="Q334" s="1" t="s">
        <v>61</v>
      </c>
      <c r="R334" s="1">
        <f t="shared" si="1"/>
        <v>0.03241028037</v>
      </c>
      <c r="S334" s="1">
        <f t="shared" si="2"/>
        <v>114</v>
      </c>
      <c r="T334" s="1">
        <f t="shared" si="3"/>
        <v>2.14</v>
      </c>
      <c r="U334" s="1">
        <f t="shared" si="4"/>
        <v>0</v>
      </c>
      <c r="V334" s="3">
        <f t="shared" si="5"/>
        <v>1</v>
      </c>
      <c r="W334" s="3">
        <f t="shared" si="6"/>
        <v>1</v>
      </c>
      <c r="X334" s="3" t="str">
        <f>IFERROR(__xludf.DUMMYFUNCTION("split(B334,"" "")"),"D.")</f>
        <v>D.</v>
      </c>
      <c r="Y334" s="3" t="str">
        <f>IFERROR(__xludf.DUMMYFUNCTION("""COMPUTED_VALUE"""),"Smith")</f>
        <v>Smith</v>
      </c>
      <c r="AA334" s="3">
        <v>7.0</v>
      </c>
      <c r="AB334" s="3">
        <f t="shared" si="7"/>
        <v>1</v>
      </c>
      <c r="AC334" s="3">
        <f t="shared" si="8"/>
        <v>0</v>
      </c>
      <c r="AD334" s="3">
        <f t="shared" si="9"/>
        <v>1.14</v>
      </c>
      <c r="AE334" s="3">
        <f t="shared" si="10"/>
        <v>-1</v>
      </c>
      <c r="AF334" s="3">
        <f t="shared" si="11"/>
        <v>-1</v>
      </c>
      <c r="AG334" s="3">
        <f t="shared" si="12"/>
        <v>-0.5555555556</v>
      </c>
    </row>
    <row r="335">
      <c r="A335" s="1" t="s">
        <v>10</v>
      </c>
      <c r="B335" s="1" t="s">
        <v>338</v>
      </c>
      <c r="C335" s="1" t="s">
        <v>21</v>
      </c>
      <c r="D335" s="1" t="s">
        <v>156</v>
      </c>
      <c r="E335" s="1" t="s">
        <v>109</v>
      </c>
      <c r="F335" s="1" t="s">
        <v>453</v>
      </c>
      <c r="G335" s="1">
        <v>35.5</v>
      </c>
      <c r="H335" s="1" t="s">
        <v>60</v>
      </c>
      <c r="I335" s="1">
        <v>-120.0</v>
      </c>
      <c r="J335" s="1">
        <v>-0.0878074528156185</v>
      </c>
      <c r="K335" s="1" t="s">
        <v>61</v>
      </c>
      <c r="L335" s="1" t="s">
        <v>61</v>
      </c>
      <c r="M335" s="1" t="s">
        <v>62</v>
      </c>
      <c r="N335" s="1">
        <v>-109.0</v>
      </c>
      <c r="O335" s="1">
        <v>0.020857993487394</v>
      </c>
      <c r="P335" s="1" t="s">
        <v>61</v>
      </c>
      <c r="Q335" s="1" t="s">
        <v>61</v>
      </c>
      <c r="R335" s="1">
        <f t="shared" si="1"/>
        <v>0.02085799349</v>
      </c>
      <c r="S335" s="1">
        <f t="shared" si="2"/>
        <v>-109</v>
      </c>
      <c r="T335" s="1">
        <f t="shared" si="3"/>
        <v>1.917431193</v>
      </c>
      <c r="U335" s="1">
        <f t="shared" si="4"/>
        <v>0</v>
      </c>
      <c r="V335" s="3">
        <f t="shared" si="5"/>
        <v>1</v>
      </c>
      <c r="W335" s="3">
        <f t="shared" si="6"/>
        <v>2</v>
      </c>
      <c r="X335" s="3" t="str">
        <f>IFERROR(__xludf.DUMMYFUNCTION("split(B335,"" "")"),"J.")</f>
        <v>J.</v>
      </c>
      <c r="Y335" s="3" t="str">
        <f>IFERROR(__xludf.DUMMYFUNCTION("""COMPUTED_VALUE"""),"Hurts")</f>
        <v>Hurts</v>
      </c>
      <c r="AA335" s="3">
        <v>85.0</v>
      </c>
      <c r="AB335" s="3">
        <f t="shared" si="7"/>
        <v>1</v>
      </c>
      <c r="AC335" s="3">
        <f t="shared" si="8"/>
        <v>0</v>
      </c>
      <c r="AD335" s="3">
        <f t="shared" si="9"/>
        <v>0.9174311927</v>
      </c>
      <c r="AE335" s="3">
        <f t="shared" si="10"/>
        <v>-1</v>
      </c>
      <c r="AF335" s="3">
        <f t="shared" si="11"/>
        <v>-2</v>
      </c>
      <c r="AG335" s="3">
        <f t="shared" si="12"/>
        <v>-1.394366197</v>
      </c>
    </row>
    <row r="336">
      <c r="A336" s="1" t="s">
        <v>11</v>
      </c>
      <c r="B336" s="1" t="s">
        <v>366</v>
      </c>
      <c r="C336" s="1" t="s">
        <v>20</v>
      </c>
      <c r="D336" s="1" t="s">
        <v>156</v>
      </c>
      <c r="E336" s="1" t="s">
        <v>109</v>
      </c>
      <c r="F336" s="1" t="s">
        <v>453</v>
      </c>
      <c r="G336" s="1">
        <v>33.5</v>
      </c>
      <c r="H336" s="1" t="s">
        <v>60</v>
      </c>
      <c r="I336" s="1">
        <v>-115.0</v>
      </c>
      <c r="J336" s="1">
        <v>-0.0757116790788373</v>
      </c>
      <c r="K336" s="1" t="s">
        <v>61</v>
      </c>
      <c r="L336" s="1" t="s">
        <v>61</v>
      </c>
      <c r="M336" s="1" t="s">
        <v>62</v>
      </c>
      <c r="N336" s="1">
        <v>-114.0</v>
      </c>
      <c r="O336" s="1">
        <v>0.00813487660501421</v>
      </c>
      <c r="P336" s="1" t="s">
        <v>61</v>
      </c>
      <c r="Q336" s="1" t="s">
        <v>61</v>
      </c>
      <c r="R336" s="1">
        <f t="shared" si="1"/>
        <v>0.008134876605</v>
      </c>
      <c r="S336" s="1">
        <f t="shared" si="2"/>
        <v>-114</v>
      </c>
      <c r="T336" s="1">
        <f t="shared" si="3"/>
        <v>1.877192982</v>
      </c>
      <c r="U336" s="1">
        <f t="shared" si="4"/>
        <v>0</v>
      </c>
      <c r="V336" s="3">
        <f t="shared" si="5"/>
        <v>1</v>
      </c>
      <c r="W336" s="3">
        <f t="shared" si="6"/>
        <v>2</v>
      </c>
      <c r="X336" s="3" t="str">
        <f>IFERROR(__xludf.DUMMYFUNCTION("split(B336,"" "")"),"D.")</f>
        <v>D.</v>
      </c>
      <c r="Y336" s="3" t="str">
        <f>IFERROR(__xludf.DUMMYFUNCTION("""COMPUTED_VALUE"""),"Goedert")</f>
        <v>Goedert</v>
      </c>
      <c r="AA336" s="3">
        <v>38.0</v>
      </c>
      <c r="AB336" s="3">
        <f t="shared" si="7"/>
        <v>1</v>
      </c>
      <c r="AC336" s="3">
        <f t="shared" si="8"/>
        <v>0</v>
      </c>
      <c r="AD336" s="3">
        <f t="shared" si="9"/>
        <v>0.8771929825</v>
      </c>
      <c r="AE336" s="3">
        <f t="shared" si="10"/>
        <v>-1</v>
      </c>
      <c r="AF336" s="3">
        <f t="shared" si="11"/>
        <v>-2</v>
      </c>
      <c r="AG336" s="3">
        <f t="shared" si="12"/>
        <v>-0.1343283582</v>
      </c>
    </row>
    <row r="337">
      <c r="A337" s="1" t="s">
        <v>17</v>
      </c>
      <c r="B337" s="1" t="s">
        <v>338</v>
      </c>
      <c r="C337" s="1" t="s">
        <v>21</v>
      </c>
      <c r="D337" s="1" t="s">
        <v>156</v>
      </c>
      <c r="E337" s="1" t="s">
        <v>109</v>
      </c>
      <c r="F337" s="1" t="s">
        <v>453</v>
      </c>
      <c r="G337" s="1">
        <v>0.5</v>
      </c>
      <c r="H337" s="1" t="s">
        <v>60</v>
      </c>
      <c r="I337" s="1">
        <v>-106.0</v>
      </c>
      <c r="J337" s="1">
        <v>-0.0708631067961165</v>
      </c>
      <c r="K337" s="1" t="s">
        <v>61</v>
      </c>
      <c r="L337" s="1" t="s">
        <v>61</v>
      </c>
      <c r="M337" s="1" t="s">
        <v>62</v>
      </c>
      <c r="N337" s="1">
        <v>-125.0</v>
      </c>
      <c r="O337" s="1">
        <v>7.44444444444436E-4</v>
      </c>
      <c r="P337" s="1" t="s">
        <v>61</v>
      </c>
      <c r="Q337" s="1" t="s">
        <v>61</v>
      </c>
      <c r="R337" s="1">
        <f t="shared" si="1"/>
        <v>0.0007444444444</v>
      </c>
      <c r="S337" s="1">
        <f t="shared" si="2"/>
        <v>-125</v>
      </c>
      <c r="T337" s="1">
        <f t="shared" si="3"/>
        <v>1.8</v>
      </c>
      <c r="U337" s="1">
        <f t="shared" si="4"/>
        <v>0</v>
      </c>
      <c r="V337" s="3">
        <f t="shared" si="5"/>
        <v>1</v>
      </c>
      <c r="W337" s="3">
        <f t="shared" si="6"/>
        <v>3</v>
      </c>
      <c r="X337" s="3" t="str">
        <f>IFERROR(__xludf.DUMMYFUNCTION("split(B337,"" "")"),"J.")</f>
        <v>J.</v>
      </c>
      <c r="Y337" s="3" t="str">
        <f>IFERROR(__xludf.DUMMYFUNCTION("""COMPUTED_VALUE"""),"Hurts")</f>
        <v>Hurts</v>
      </c>
      <c r="AA337" s="3">
        <v>1.0</v>
      </c>
      <c r="AB337" s="3">
        <f t="shared" si="7"/>
        <v>1</v>
      </c>
      <c r="AC337" s="3">
        <f t="shared" si="8"/>
        <v>0</v>
      </c>
      <c r="AD337" s="3">
        <f t="shared" si="9"/>
        <v>0.8</v>
      </c>
      <c r="AE337" s="3">
        <f t="shared" si="10"/>
        <v>-1</v>
      </c>
      <c r="AF337" s="3">
        <f t="shared" si="11"/>
        <v>-3</v>
      </c>
      <c r="AG337" s="3">
        <f t="shared" si="12"/>
        <v>-1</v>
      </c>
    </row>
    <row r="338">
      <c r="A338" s="1" t="s">
        <v>8</v>
      </c>
      <c r="B338" s="1" t="s">
        <v>500</v>
      </c>
      <c r="C338" s="1" t="s">
        <v>21</v>
      </c>
      <c r="D338" s="1" t="s">
        <v>82</v>
      </c>
      <c r="E338" s="1" t="s">
        <v>66</v>
      </c>
      <c r="F338" s="1" t="s">
        <v>455</v>
      </c>
      <c r="G338" s="1">
        <v>2.5</v>
      </c>
      <c r="H338" s="1" t="s">
        <v>60</v>
      </c>
      <c r="I338" s="1">
        <v>-158.0</v>
      </c>
      <c r="J338" s="1">
        <v>-0.245111972686263</v>
      </c>
      <c r="K338" s="1" t="s">
        <v>61</v>
      </c>
      <c r="L338" s="1" t="s">
        <v>61</v>
      </c>
      <c r="M338" s="1" t="s">
        <v>62</v>
      </c>
      <c r="N338" s="1">
        <v>122.0</v>
      </c>
      <c r="O338" s="1">
        <v>0.182276076365116</v>
      </c>
      <c r="P338" s="1" t="s">
        <v>61</v>
      </c>
      <c r="Q338" s="1" t="s">
        <v>61</v>
      </c>
      <c r="R338" s="1">
        <f t="shared" si="1"/>
        <v>0.1822760764</v>
      </c>
      <c r="S338" s="1">
        <f t="shared" si="2"/>
        <v>122</v>
      </c>
      <c r="T338" s="1">
        <f t="shared" si="3"/>
        <v>2.22</v>
      </c>
      <c r="U338" s="1">
        <f t="shared" si="4"/>
        <v>0</v>
      </c>
      <c r="V338" s="3">
        <f t="shared" si="5"/>
        <v>3</v>
      </c>
      <c r="W338" s="3">
        <f t="shared" si="6"/>
        <v>1</v>
      </c>
      <c r="X338" s="3" t="str">
        <f>IFERROR(__xludf.DUMMYFUNCTION("split(B338,"" "")"),"G.")</f>
        <v>G.</v>
      </c>
      <c r="Y338" s="3" t="str">
        <f>IFERROR(__xludf.DUMMYFUNCTION("""COMPUTED_VALUE"""),"Smith")</f>
        <v>Smith</v>
      </c>
      <c r="AA338" s="3">
        <v>5.0</v>
      </c>
      <c r="AB338" s="3">
        <f t="shared" si="7"/>
        <v>1</v>
      </c>
      <c r="AC338" s="3">
        <f t="shared" si="8"/>
        <v>0</v>
      </c>
      <c r="AD338" s="3">
        <f t="shared" si="9"/>
        <v>3.66</v>
      </c>
      <c r="AE338" s="3">
        <f t="shared" si="10"/>
        <v>-3</v>
      </c>
      <c r="AF338" s="3">
        <f t="shared" si="11"/>
        <v>-1</v>
      </c>
      <c r="AG338" s="3">
        <f t="shared" si="12"/>
        <v>-1</v>
      </c>
    </row>
    <row r="339">
      <c r="A339" s="1" t="s">
        <v>12</v>
      </c>
      <c r="B339" s="1" t="s">
        <v>334</v>
      </c>
      <c r="C339" s="1" t="s">
        <v>18</v>
      </c>
      <c r="D339" s="1" t="s">
        <v>82</v>
      </c>
      <c r="E339" s="1" t="s">
        <v>66</v>
      </c>
      <c r="F339" s="1" t="s">
        <v>455</v>
      </c>
      <c r="G339" s="1">
        <v>3.5</v>
      </c>
      <c r="H339" s="1" t="s">
        <v>60</v>
      </c>
      <c r="I339" s="1">
        <v>-167.0</v>
      </c>
      <c r="J339" s="1">
        <v>-0.186130711610487</v>
      </c>
      <c r="K339" s="1" t="s">
        <v>61</v>
      </c>
      <c r="L339" s="1" t="s">
        <v>61</v>
      </c>
      <c r="M339" s="1" t="s">
        <v>62</v>
      </c>
      <c r="N339" s="1">
        <v>126.0</v>
      </c>
      <c r="O339" s="1">
        <v>0.118177876106194</v>
      </c>
      <c r="P339" s="1" t="s">
        <v>61</v>
      </c>
      <c r="Q339" s="1" t="s">
        <v>61</v>
      </c>
      <c r="R339" s="1">
        <f t="shared" si="1"/>
        <v>0.1181778761</v>
      </c>
      <c r="S339" s="1">
        <f t="shared" si="2"/>
        <v>126</v>
      </c>
      <c r="T339" s="1">
        <f t="shared" si="3"/>
        <v>2.26</v>
      </c>
      <c r="U339" s="1">
        <f t="shared" si="4"/>
        <v>0</v>
      </c>
      <c r="V339" s="3">
        <f t="shared" si="5"/>
        <v>3</v>
      </c>
      <c r="W339" s="3">
        <f t="shared" si="6"/>
        <v>1</v>
      </c>
      <c r="X339" s="3" t="str">
        <f>IFERROR(__xludf.DUMMYFUNCTION("split(B339,"" "")"),"J.")</f>
        <v>J.</v>
      </c>
      <c r="Y339" s="3" t="str">
        <f>IFERROR(__xludf.DUMMYFUNCTION("""COMPUTED_VALUE"""),"Smith-Njigba")</f>
        <v>Smith-Njigba</v>
      </c>
      <c r="AA339" s="3">
        <v>12.0</v>
      </c>
      <c r="AB339" s="3">
        <f t="shared" si="7"/>
        <v>1</v>
      </c>
      <c r="AC339" s="3">
        <f t="shared" si="8"/>
        <v>0</v>
      </c>
      <c r="AD339" s="3">
        <f t="shared" si="9"/>
        <v>3.78</v>
      </c>
      <c r="AE339" s="3">
        <f t="shared" si="10"/>
        <v>-3</v>
      </c>
      <c r="AF339" s="3">
        <f t="shared" si="11"/>
        <v>-1</v>
      </c>
      <c r="AG339" s="3">
        <f t="shared" si="12"/>
        <v>-2.428571429</v>
      </c>
    </row>
    <row r="340">
      <c r="A340" s="1" t="s">
        <v>11</v>
      </c>
      <c r="B340" s="1" t="s">
        <v>334</v>
      </c>
      <c r="C340" s="1" t="s">
        <v>18</v>
      </c>
      <c r="D340" s="1" t="s">
        <v>82</v>
      </c>
      <c r="E340" s="1" t="s">
        <v>66</v>
      </c>
      <c r="F340" s="1" t="s">
        <v>455</v>
      </c>
      <c r="G340" s="1">
        <v>42.5</v>
      </c>
      <c r="H340" s="1" t="s">
        <v>60</v>
      </c>
      <c r="I340" s="1">
        <v>-114.0</v>
      </c>
      <c r="J340" s="1">
        <v>-0.094852824518785</v>
      </c>
      <c r="K340" s="1" t="s">
        <v>61</v>
      </c>
      <c r="L340" s="1" t="s">
        <v>61</v>
      </c>
      <c r="M340" s="1" t="s">
        <v>62</v>
      </c>
      <c r="N340" s="1">
        <v>-115.0</v>
      </c>
      <c r="O340" s="1">
        <v>0.0272778590929302</v>
      </c>
      <c r="P340" s="1" t="s">
        <v>61</v>
      </c>
      <c r="Q340" s="1" t="s">
        <v>61</v>
      </c>
      <c r="R340" s="1">
        <f t="shared" si="1"/>
        <v>0.02727785909</v>
      </c>
      <c r="S340" s="1">
        <f t="shared" si="2"/>
        <v>-115</v>
      </c>
      <c r="T340" s="1">
        <f t="shared" si="3"/>
        <v>1.869565217</v>
      </c>
      <c r="U340" s="1">
        <f t="shared" si="4"/>
        <v>0</v>
      </c>
      <c r="V340" s="3">
        <f t="shared" si="5"/>
        <v>1</v>
      </c>
      <c r="W340" s="3">
        <f t="shared" si="6"/>
        <v>2</v>
      </c>
      <c r="X340" s="3" t="str">
        <f>IFERROR(__xludf.DUMMYFUNCTION("split(B340,"" "")"),"J.")</f>
        <v>J.</v>
      </c>
      <c r="Y340" s="3" t="str">
        <f>IFERROR(__xludf.DUMMYFUNCTION("""COMPUTED_VALUE"""),"Smith-Njigba")</f>
        <v>Smith-Njigba</v>
      </c>
      <c r="AA340" s="3">
        <v>117.0</v>
      </c>
      <c r="AB340" s="3">
        <f t="shared" si="7"/>
        <v>1</v>
      </c>
      <c r="AC340" s="3">
        <f t="shared" si="8"/>
        <v>0</v>
      </c>
      <c r="AD340" s="3">
        <f t="shared" si="9"/>
        <v>0.8695652174</v>
      </c>
      <c r="AE340" s="3">
        <f t="shared" si="10"/>
        <v>-1</v>
      </c>
      <c r="AF340" s="3">
        <f t="shared" si="11"/>
        <v>-2</v>
      </c>
      <c r="AG340" s="3">
        <f t="shared" si="12"/>
        <v>-1.752941176</v>
      </c>
    </row>
    <row r="341">
      <c r="A341" s="1" t="s">
        <v>16</v>
      </c>
      <c r="B341" s="1" t="s">
        <v>500</v>
      </c>
      <c r="C341" s="1" t="s">
        <v>21</v>
      </c>
      <c r="D341" s="1" t="s">
        <v>82</v>
      </c>
      <c r="E341" s="1" t="s">
        <v>66</v>
      </c>
      <c r="F341" s="1" t="s">
        <v>455</v>
      </c>
      <c r="G341" s="1">
        <v>31.5</v>
      </c>
      <c r="H341" s="1" t="s">
        <v>60</v>
      </c>
      <c r="I341" s="1">
        <v>-123.0</v>
      </c>
      <c r="J341" s="1">
        <v>-0.0755488789237668</v>
      </c>
      <c r="K341" s="1" t="s">
        <v>61</v>
      </c>
      <c r="L341" s="1" t="s">
        <v>61</v>
      </c>
      <c r="M341" s="1" t="s">
        <v>62</v>
      </c>
      <c r="N341" s="1">
        <v>-106.0</v>
      </c>
      <c r="O341" s="1">
        <v>0.00944271844660193</v>
      </c>
      <c r="P341" s="1" t="s">
        <v>61</v>
      </c>
      <c r="Q341" s="1" t="s">
        <v>61</v>
      </c>
      <c r="R341" s="1">
        <f t="shared" si="1"/>
        <v>0.009442718447</v>
      </c>
      <c r="S341" s="1">
        <f t="shared" si="2"/>
        <v>-106</v>
      </c>
      <c r="T341" s="1">
        <f t="shared" si="3"/>
        <v>1.943396226</v>
      </c>
      <c r="U341" s="1">
        <f t="shared" si="4"/>
        <v>0</v>
      </c>
      <c r="V341" s="3">
        <f t="shared" si="5"/>
        <v>1</v>
      </c>
      <c r="W341" s="3">
        <f t="shared" si="6"/>
        <v>2</v>
      </c>
      <c r="X341" s="3" t="str">
        <f>IFERROR(__xludf.DUMMYFUNCTION("split(B341,"" "")"),"G.")</f>
        <v>G.</v>
      </c>
      <c r="Y341" s="3" t="str">
        <f>IFERROR(__xludf.DUMMYFUNCTION("""COMPUTED_VALUE"""),"Smith")</f>
        <v>Smith</v>
      </c>
      <c r="AA341" s="3">
        <v>44.0</v>
      </c>
      <c r="AB341" s="3">
        <f t="shared" si="7"/>
        <v>1</v>
      </c>
      <c r="AC341" s="3">
        <f t="shared" si="8"/>
        <v>0</v>
      </c>
      <c r="AD341" s="3">
        <f t="shared" si="9"/>
        <v>0.9433962264</v>
      </c>
      <c r="AE341" s="3">
        <f t="shared" si="10"/>
        <v>-1</v>
      </c>
      <c r="AF341" s="3">
        <f t="shared" si="11"/>
        <v>-2</v>
      </c>
      <c r="AG341" s="3">
        <f t="shared" si="12"/>
        <v>-0.3968253968</v>
      </c>
    </row>
    <row r="342">
      <c r="A342" s="1" t="s">
        <v>15</v>
      </c>
      <c r="B342" s="1" t="s">
        <v>500</v>
      </c>
      <c r="C342" s="1" t="s">
        <v>21</v>
      </c>
      <c r="D342" s="1" t="s">
        <v>82</v>
      </c>
      <c r="E342" s="1" t="s">
        <v>66</v>
      </c>
      <c r="F342" s="1" t="s">
        <v>455</v>
      </c>
      <c r="G342" s="1">
        <v>20.5</v>
      </c>
      <c r="H342" s="1" t="s">
        <v>60</v>
      </c>
      <c r="I342" s="1">
        <v>-131.0</v>
      </c>
      <c r="J342" s="1">
        <v>-0.0754826264935065</v>
      </c>
      <c r="K342" s="1" t="s">
        <v>61</v>
      </c>
      <c r="L342" s="1" t="s">
        <v>61</v>
      </c>
      <c r="M342" s="1" t="s">
        <v>62</v>
      </c>
      <c r="N342" s="1">
        <v>100.0</v>
      </c>
      <c r="O342" s="1">
        <v>0.00839593360000007</v>
      </c>
      <c r="P342" s="1" t="s">
        <v>61</v>
      </c>
      <c r="Q342" s="1" t="s">
        <v>61</v>
      </c>
      <c r="R342" s="1">
        <f t="shared" si="1"/>
        <v>0.0083959336</v>
      </c>
      <c r="S342" s="1">
        <f t="shared" si="2"/>
        <v>100</v>
      </c>
      <c r="T342" s="1">
        <f t="shared" si="3"/>
        <v>2</v>
      </c>
      <c r="U342" s="1">
        <f t="shared" si="4"/>
        <v>0</v>
      </c>
      <c r="V342" s="3">
        <f t="shared" si="5"/>
        <v>1</v>
      </c>
      <c r="W342" s="3">
        <f t="shared" si="6"/>
        <v>2</v>
      </c>
      <c r="X342" s="3" t="str">
        <f>IFERROR(__xludf.DUMMYFUNCTION("split(B342,"" "")"),"G.")</f>
        <v>G.</v>
      </c>
      <c r="Y342" s="3" t="str">
        <f>IFERROR(__xludf.DUMMYFUNCTION("""COMPUTED_VALUE"""),"Smith")</f>
        <v>Smith</v>
      </c>
      <c r="AA342" s="3">
        <v>33.0</v>
      </c>
      <c r="AB342" s="3">
        <f t="shared" si="7"/>
        <v>1</v>
      </c>
      <c r="AC342" s="3">
        <f t="shared" si="8"/>
        <v>0</v>
      </c>
      <c r="AD342" s="3">
        <f t="shared" si="9"/>
        <v>1</v>
      </c>
      <c r="AE342" s="3">
        <f t="shared" si="10"/>
        <v>-1</v>
      </c>
      <c r="AF342" s="3">
        <f t="shared" si="11"/>
        <v>-2</v>
      </c>
      <c r="AG342" s="3">
        <f t="shared" si="12"/>
        <v>-0.6097560976</v>
      </c>
    </row>
    <row r="343">
      <c r="A343" s="1" t="s">
        <v>14</v>
      </c>
      <c r="B343" s="1" t="s">
        <v>500</v>
      </c>
      <c r="C343" s="1" t="s">
        <v>21</v>
      </c>
      <c r="D343" s="1" t="s">
        <v>82</v>
      </c>
      <c r="E343" s="1" t="s">
        <v>66</v>
      </c>
      <c r="F343" s="1" t="s">
        <v>455</v>
      </c>
      <c r="G343" s="1">
        <v>1.5</v>
      </c>
      <c r="H343" s="1" t="s">
        <v>60</v>
      </c>
      <c r="I343" s="1">
        <v>125.0</v>
      </c>
      <c r="J343" s="1">
        <v>0.00375555555555562</v>
      </c>
      <c r="K343" s="1" t="s">
        <v>61</v>
      </c>
      <c r="L343" s="1" t="s">
        <v>61</v>
      </c>
      <c r="M343" s="1" t="s">
        <v>62</v>
      </c>
      <c r="N343" s="1">
        <v>-164.0</v>
      </c>
      <c r="O343" s="1">
        <v>-0.0694121212121211</v>
      </c>
      <c r="P343" s="1" t="s">
        <v>61</v>
      </c>
      <c r="Q343" s="1" t="s">
        <v>61</v>
      </c>
      <c r="R343" s="1">
        <f t="shared" si="1"/>
        <v>0.003755555556</v>
      </c>
      <c r="S343" s="1">
        <f t="shared" si="2"/>
        <v>125</v>
      </c>
      <c r="T343" s="1">
        <f t="shared" si="3"/>
        <v>2.25</v>
      </c>
      <c r="U343" s="1">
        <f t="shared" si="4"/>
        <v>1</v>
      </c>
      <c r="V343" s="3">
        <f t="shared" si="5"/>
        <v>1</v>
      </c>
      <c r="W343" s="3">
        <f t="shared" si="6"/>
        <v>1</v>
      </c>
      <c r="X343" s="3" t="str">
        <f>IFERROR(__xludf.DUMMYFUNCTION("split(B343,"" "")"),"G.")</f>
        <v>G.</v>
      </c>
      <c r="Y343" s="3" t="str">
        <f>IFERROR(__xludf.DUMMYFUNCTION("""COMPUTED_VALUE"""),"Smith")</f>
        <v>Smith</v>
      </c>
      <c r="AA343" s="3">
        <v>1.0</v>
      </c>
      <c r="AB343" s="3">
        <f t="shared" si="7"/>
        <v>0</v>
      </c>
      <c r="AC343" s="3">
        <f t="shared" si="8"/>
        <v>0</v>
      </c>
      <c r="AD343" s="3">
        <f t="shared" si="9"/>
        <v>1.25</v>
      </c>
      <c r="AE343" s="3">
        <f t="shared" si="10"/>
        <v>-1</v>
      </c>
      <c r="AF343" s="3">
        <f t="shared" si="11"/>
        <v>-1</v>
      </c>
      <c r="AG343" s="3">
        <f t="shared" si="12"/>
        <v>-0.3333333333</v>
      </c>
    </row>
    <row r="344">
      <c r="A344" s="1" t="s">
        <v>11</v>
      </c>
      <c r="B344" s="1" t="s">
        <v>332</v>
      </c>
      <c r="C344" s="1" t="s">
        <v>20</v>
      </c>
      <c r="D344" s="1" t="s">
        <v>164</v>
      </c>
      <c r="E344" s="1" t="s">
        <v>146</v>
      </c>
      <c r="F344" s="1" t="s">
        <v>455</v>
      </c>
      <c r="G344" s="1">
        <v>50.5</v>
      </c>
      <c r="H344" s="1" t="s">
        <v>60</v>
      </c>
      <c r="I344" s="1">
        <v>-116.0</v>
      </c>
      <c r="J344" s="1">
        <v>-0.0811133813888703</v>
      </c>
      <c r="K344" s="1" t="s">
        <v>61</v>
      </c>
      <c r="L344" s="1" t="s">
        <v>61</v>
      </c>
      <c r="M344" s="1" t="s">
        <v>62</v>
      </c>
      <c r="N344" s="1">
        <v>-114.0</v>
      </c>
      <c r="O344" s="1">
        <v>0.0113169122405608</v>
      </c>
      <c r="P344" s="1" t="s">
        <v>61</v>
      </c>
      <c r="Q344" s="1" t="s">
        <v>61</v>
      </c>
      <c r="R344" s="1">
        <f t="shared" si="1"/>
        <v>0.01131691224</v>
      </c>
      <c r="S344" s="1">
        <f t="shared" si="2"/>
        <v>-114</v>
      </c>
      <c r="T344" s="1">
        <f t="shared" si="3"/>
        <v>1.877192982</v>
      </c>
      <c r="U344" s="1">
        <f t="shared" si="4"/>
        <v>0</v>
      </c>
      <c r="V344" s="3">
        <f t="shared" si="5"/>
        <v>1</v>
      </c>
      <c r="W344" s="3">
        <f t="shared" si="6"/>
        <v>2</v>
      </c>
      <c r="X344" s="3" t="str">
        <f>IFERROR(__xludf.DUMMYFUNCTION("split(B344,"" "")"),"G.")</f>
        <v>G.</v>
      </c>
      <c r="Y344" s="3" t="str">
        <f>IFERROR(__xludf.DUMMYFUNCTION("""COMPUTED_VALUE"""),"Kittle")</f>
        <v>Kittle</v>
      </c>
      <c r="AA344" s="3">
        <v>76.0</v>
      </c>
      <c r="AB344" s="3">
        <f t="shared" si="7"/>
        <v>1</v>
      </c>
      <c r="AC344" s="3">
        <f t="shared" si="8"/>
        <v>0</v>
      </c>
      <c r="AD344" s="3">
        <f t="shared" si="9"/>
        <v>0.8771929825</v>
      </c>
      <c r="AE344" s="3">
        <f t="shared" si="10"/>
        <v>-1</v>
      </c>
      <c r="AF344" s="3">
        <f t="shared" si="11"/>
        <v>-2</v>
      </c>
      <c r="AG344" s="3">
        <f t="shared" si="12"/>
        <v>-0.504950495</v>
      </c>
    </row>
    <row r="345">
      <c r="A345" s="1" t="s">
        <v>15</v>
      </c>
      <c r="B345" s="1" t="s">
        <v>262</v>
      </c>
      <c r="C345" s="1" t="s">
        <v>21</v>
      </c>
      <c r="D345" s="1" t="s">
        <v>164</v>
      </c>
      <c r="E345" s="1" t="s">
        <v>146</v>
      </c>
      <c r="F345" s="1" t="s">
        <v>455</v>
      </c>
      <c r="G345" s="1">
        <v>19.5</v>
      </c>
      <c r="H345" s="1" t="s">
        <v>60</v>
      </c>
      <c r="I345" s="1">
        <v>-127.0</v>
      </c>
      <c r="J345" s="1">
        <v>-0.069281226784141</v>
      </c>
      <c r="K345" s="1" t="s">
        <v>61</v>
      </c>
      <c r="L345" s="1" t="s">
        <v>61</v>
      </c>
      <c r="M345" s="1" t="s">
        <v>62</v>
      </c>
      <c r="N345" s="1">
        <v>-103.0</v>
      </c>
      <c r="O345" s="1">
        <v>0.00240701790344832</v>
      </c>
      <c r="P345" s="1" t="s">
        <v>61</v>
      </c>
      <c r="Q345" s="1" t="s">
        <v>61</v>
      </c>
      <c r="R345" s="1">
        <f t="shared" si="1"/>
        <v>0.002407017903</v>
      </c>
      <c r="S345" s="1">
        <f t="shared" si="2"/>
        <v>-103</v>
      </c>
      <c r="T345" s="1">
        <f t="shared" si="3"/>
        <v>1.970873786</v>
      </c>
      <c r="U345" s="1">
        <f t="shared" si="4"/>
        <v>0</v>
      </c>
      <c r="V345" s="3">
        <f t="shared" si="5"/>
        <v>1</v>
      </c>
      <c r="W345" s="3">
        <f t="shared" si="6"/>
        <v>2</v>
      </c>
      <c r="X345" s="3" t="str">
        <f>IFERROR(__xludf.DUMMYFUNCTION("split(B345,"" "")"),"B.")</f>
        <v>B.</v>
      </c>
      <c r="Y345" s="3" t="str">
        <f>IFERROR(__xludf.DUMMYFUNCTION("""COMPUTED_VALUE"""),"Purdy")</f>
        <v>Purdy</v>
      </c>
      <c r="AA345" s="3">
        <v>28.0</v>
      </c>
      <c r="AB345" s="3">
        <f t="shared" si="7"/>
        <v>1</v>
      </c>
      <c r="AC345" s="3">
        <f t="shared" si="8"/>
        <v>0</v>
      </c>
      <c r="AD345" s="3">
        <f t="shared" si="9"/>
        <v>0.9708737864</v>
      </c>
      <c r="AE345" s="3">
        <f t="shared" si="10"/>
        <v>-1</v>
      </c>
      <c r="AF345" s="3">
        <f t="shared" si="11"/>
        <v>-2</v>
      </c>
      <c r="AG345" s="3">
        <f t="shared" si="12"/>
        <v>-0.4358974359</v>
      </c>
    </row>
    <row r="346">
      <c r="A346" s="1" t="s">
        <v>8</v>
      </c>
      <c r="B346" s="1" t="s">
        <v>253</v>
      </c>
      <c r="C346" s="1" t="s">
        <v>21</v>
      </c>
      <c r="D346" s="1" t="s">
        <v>113</v>
      </c>
      <c r="E346" s="1" t="s">
        <v>197</v>
      </c>
      <c r="F346" s="1" t="s">
        <v>455</v>
      </c>
      <c r="G346" s="1">
        <v>2.5</v>
      </c>
      <c r="H346" s="1" t="s">
        <v>60</v>
      </c>
      <c r="I346" s="1">
        <v>-118.0</v>
      </c>
      <c r="J346" s="1">
        <v>-0.162874359464125</v>
      </c>
      <c r="K346" s="1" t="s">
        <v>61</v>
      </c>
      <c r="L346" s="1" t="s">
        <v>61</v>
      </c>
      <c r="M346" s="1" t="s">
        <v>62</v>
      </c>
      <c r="N346" s="1">
        <v>-113.0</v>
      </c>
      <c r="O346" s="1">
        <v>0.0910719516919849</v>
      </c>
      <c r="P346" s="1" t="s">
        <v>61</v>
      </c>
      <c r="Q346" s="1" t="s">
        <v>61</v>
      </c>
      <c r="R346" s="1">
        <f t="shared" si="1"/>
        <v>0.09107195169</v>
      </c>
      <c r="S346" s="1">
        <f t="shared" si="2"/>
        <v>-113</v>
      </c>
      <c r="T346" s="1">
        <f t="shared" si="3"/>
        <v>1.884955752</v>
      </c>
      <c r="U346" s="1">
        <f t="shared" si="4"/>
        <v>0</v>
      </c>
      <c r="V346" s="3">
        <f t="shared" si="5"/>
        <v>2</v>
      </c>
      <c r="W346" s="3">
        <f t="shared" si="6"/>
        <v>2</v>
      </c>
      <c r="X346" s="3" t="str">
        <f>IFERROR(__xludf.DUMMYFUNCTION("split(B346,"" "")"),"B.")</f>
        <v>B.</v>
      </c>
      <c r="Y346" s="3" t="str">
        <f>IFERROR(__xludf.DUMMYFUNCTION("""COMPUTED_VALUE"""),"Mayfield")</f>
        <v>Mayfield</v>
      </c>
      <c r="AA346" s="3">
        <v>5.0</v>
      </c>
      <c r="AB346" s="3">
        <f t="shared" si="7"/>
        <v>1</v>
      </c>
      <c r="AC346" s="3">
        <f t="shared" si="8"/>
        <v>0</v>
      </c>
      <c r="AD346" s="3">
        <f t="shared" si="9"/>
        <v>1.769911504</v>
      </c>
      <c r="AE346" s="3">
        <f t="shared" si="10"/>
        <v>-2</v>
      </c>
      <c r="AF346" s="3">
        <f t="shared" si="11"/>
        <v>-2</v>
      </c>
      <c r="AG346" s="3">
        <f t="shared" si="12"/>
        <v>-1</v>
      </c>
    </row>
    <row r="347">
      <c r="A347" s="1" t="s">
        <v>11</v>
      </c>
      <c r="B347" s="1" t="s">
        <v>314</v>
      </c>
      <c r="C347" s="1" t="s">
        <v>18</v>
      </c>
      <c r="D347" s="1" t="s">
        <v>113</v>
      </c>
      <c r="E347" s="1" t="s">
        <v>197</v>
      </c>
      <c r="F347" s="1" t="s">
        <v>455</v>
      </c>
      <c r="G347" s="1">
        <v>59.5</v>
      </c>
      <c r="H347" s="1" t="s">
        <v>60</v>
      </c>
      <c r="I347" s="1">
        <v>-133.0</v>
      </c>
      <c r="J347" s="1">
        <v>-0.134275924259239</v>
      </c>
      <c r="K347" s="1" t="s">
        <v>61</v>
      </c>
      <c r="L347" s="1" t="s">
        <v>61</v>
      </c>
      <c r="M347" s="1" t="s">
        <v>62</v>
      </c>
      <c r="N347" s="1">
        <v>102.0</v>
      </c>
      <c r="O347" s="1">
        <v>0.0684033833984251</v>
      </c>
      <c r="P347" s="1" t="s">
        <v>61</v>
      </c>
      <c r="Q347" s="1" t="s">
        <v>61</v>
      </c>
      <c r="R347" s="1">
        <f t="shared" si="1"/>
        <v>0.0684033834</v>
      </c>
      <c r="S347" s="1">
        <f t="shared" si="2"/>
        <v>102</v>
      </c>
      <c r="T347" s="1">
        <f t="shared" si="3"/>
        <v>2.02</v>
      </c>
      <c r="U347" s="1">
        <f t="shared" si="4"/>
        <v>0</v>
      </c>
      <c r="V347" s="3">
        <f t="shared" si="5"/>
        <v>2</v>
      </c>
      <c r="W347" s="3">
        <f t="shared" si="6"/>
        <v>2</v>
      </c>
      <c r="X347" s="3" t="str">
        <f>IFERROR(__xludf.DUMMYFUNCTION("split(B347,"" "")"),"C.")</f>
        <v>C.</v>
      </c>
      <c r="Y347" s="3" t="str">
        <f>IFERROR(__xludf.DUMMYFUNCTION("""COMPUTED_VALUE"""),"Godwin")</f>
        <v>Godwin</v>
      </c>
      <c r="AA347" s="3">
        <v>117.0</v>
      </c>
      <c r="AB347" s="3">
        <f t="shared" si="7"/>
        <v>1</v>
      </c>
      <c r="AC347" s="3">
        <f t="shared" si="8"/>
        <v>0</v>
      </c>
      <c r="AD347" s="3">
        <f t="shared" si="9"/>
        <v>2.04</v>
      </c>
      <c r="AE347" s="3">
        <f t="shared" si="10"/>
        <v>-2</v>
      </c>
      <c r="AF347" s="3">
        <f t="shared" si="11"/>
        <v>-2</v>
      </c>
      <c r="AG347" s="3">
        <f t="shared" si="12"/>
        <v>-0.9663865546</v>
      </c>
    </row>
    <row r="348">
      <c r="A348" s="1" t="s">
        <v>17</v>
      </c>
      <c r="B348" s="1" t="s">
        <v>253</v>
      </c>
      <c r="C348" s="1" t="s">
        <v>21</v>
      </c>
      <c r="D348" s="1" t="s">
        <v>113</v>
      </c>
      <c r="E348" s="1" t="s">
        <v>197</v>
      </c>
      <c r="F348" s="1" t="s">
        <v>455</v>
      </c>
      <c r="G348" s="1">
        <v>0.5</v>
      </c>
      <c r="H348" s="1" t="s">
        <v>60</v>
      </c>
      <c r="I348" s="1">
        <v>-141.0</v>
      </c>
      <c r="J348" s="1">
        <v>-0.123020746887966</v>
      </c>
      <c r="K348" s="1" t="s">
        <v>61</v>
      </c>
      <c r="L348" s="1" t="s">
        <v>61</v>
      </c>
      <c r="M348" s="1" t="s">
        <v>62</v>
      </c>
      <c r="N348" s="1">
        <v>107.0</v>
      </c>
      <c r="O348" s="1">
        <v>0.0548599033816426</v>
      </c>
      <c r="P348" s="1" t="s">
        <v>61</v>
      </c>
      <c r="Q348" s="1" t="s">
        <v>61</v>
      </c>
      <c r="R348" s="1">
        <f t="shared" si="1"/>
        <v>0.05485990338</v>
      </c>
      <c r="S348" s="1">
        <f t="shared" si="2"/>
        <v>107</v>
      </c>
      <c r="T348" s="1">
        <f t="shared" si="3"/>
        <v>2.07</v>
      </c>
      <c r="U348" s="1">
        <f t="shared" si="4"/>
        <v>0</v>
      </c>
      <c r="V348" s="3">
        <f t="shared" si="5"/>
        <v>2</v>
      </c>
      <c r="W348" s="3">
        <f t="shared" si="6"/>
        <v>2</v>
      </c>
      <c r="X348" s="3" t="str">
        <f>IFERROR(__xludf.DUMMYFUNCTION("split(B348,"" "")"),"B.")</f>
        <v>B.</v>
      </c>
      <c r="Y348" s="3" t="str">
        <f>IFERROR(__xludf.DUMMYFUNCTION("""COMPUTED_VALUE"""),"Mayfield")</f>
        <v>Mayfield</v>
      </c>
      <c r="AA348" s="3">
        <v>1.0</v>
      </c>
      <c r="AB348" s="3">
        <f t="shared" si="7"/>
        <v>1</v>
      </c>
      <c r="AC348" s="3">
        <f t="shared" si="8"/>
        <v>0</v>
      </c>
      <c r="AD348" s="3">
        <f t="shared" si="9"/>
        <v>2.14</v>
      </c>
      <c r="AE348" s="3">
        <f t="shared" si="10"/>
        <v>-2</v>
      </c>
      <c r="AF348" s="3">
        <f t="shared" si="11"/>
        <v>-2</v>
      </c>
      <c r="AG348" s="3">
        <f t="shared" si="12"/>
        <v>-1</v>
      </c>
    </row>
    <row r="349">
      <c r="A349" s="1" t="s">
        <v>15</v>
      </c>
      <c r="B349" s="1" t="s">
        <v>253</v>
      </c>
      <c r="C349" s="1" t="s">
        <v>21</v>
      </c>
      <c r="D349" s="1" t="s">
        <v>113</v>
      </c>
      <c r="E349" s="1" t="s">
        <v>197</v>
      </c>
      <c r="F349" s="1" t="s">
        <v>455</v>
      </c>
      <c r="G349" s="1">
        <v>22.5</v>
      </c>
      <c r="H349" s="1" t="s">
        <v>60</v>
      </c>
      <c r="I349" s="1">
        <v>-104.0</v>
      </c>
      <c r="J349" s="1">
        <v>0.0124470588235293</v>
      </c>
      <c r="K349" s="1" t="s">
        <v>61</v>
      </c>
      <c r="L349" s="1" t="s">
        <v>61</v>
      </c>
      <c r="M349" s="1" t="s">
        <v>62</v>
      </c>
      <c r="N349" s="1">
        <v>-127.0</v>
      </c>
      <c r="O349" s="1">
        <v>-0.0817154185022025</v>
      </c>
      <c r="P349" s="1" t="s">
        <v>61</v>
      </c>
      <c r="Q349" s="1" t="s">
        <v>61</v>
      </c>
      <c r="R349" s="1">
        <f t="shared" si="1"/>
        <v>0.01244705882</v>
      </c>
      <c r="S349" s="1">
        <f t="shared" si="2"/>
        <v>-104</v>
      </c>
      <c r="T349" s="1">
        <f t="shared" si="3"/>
        <v>1.961538462</v>
      </c>
      <c r="U349" s="1">
        <f t="shared" si="4"/>
        <v>1</v>
      </c>
      <c r="V349" s="3">
        <f t="shared" si="5"/>
        <v>1</v>
      </c>
      <c r="W349" s="3">
        <f t="shared" si="6"/>
        <v>2</v>
      </c>
      <c r="X349" s="3" t="str">
        <f>IFERROR(__xludf.DUMMYFUNCTION("split(B349,"" "")"),"B.")</f>
        <v>B.</v>
      </c>
      <c r="Y349" s="3" t="str">
        <f>IFERROR(__xludf.DUMMYFUNCTION("""COMPUTED_VALUE"""),"Mayfield")</f>
        <v>Mayfield</v>
      </c>
      <c r="AA349" s="3">
        <v>12.0</v>
      </c>
      <c r="AB349" s="3">
        <f t="shared" si="7"/>
        <v>0</v>
      </c>
      <c r="AC349" s="3">
        <f t="shared" si="8"/>
        <v>0</v>
      </c>
      <c r="AD349" s="3">
        <f t="shared" si="9"/>
        <v>0.9615384615</v>
      </c>
      <c r="AE349" s="3">
        <f t="shared" si="10"/>
        <v>-1</v>
      </c>
      <c r="AF349" s="3">
        <f t="shared" si="11"/>
        <v>-2</v>
      </c>
      <c r="AG349" s="3">
        <f t="shared" si="12"/>
        <v>-0.4666666667</v>
      </c>
    </row>
    <row r="350">
      <c r="A350" s="1" t="s">
        <v>8</v>
      </c>
      <c r="B350" s="1" t="s">
        <v>275</v>
      </c>
      <c r="C350" s="1" t="s">
        <v>21</v>
      </c>
      <c r="D350" s="1" t="s">
        <v>100</v>
      </c>
      <c r="E350" s="1" t="s">
        <v>165</v>
      </c>
      <c r="F350" s="1" t="s">
        <v>455</v>
      </c>
      <c r="G350" s="1">
        <v>2.5</v>
      </c>
      <c r="H350" s="1" t="s">
        <v>60</v>
      </c>
      <c r="I350" s="1">
        <v>-173.0</v>
      </c>
      <c r="J350" s="1">
        <v>-0.240567470797087</v>
      </c>
      <c r="K350" s="1" t="s">
        <v>61</v>
      </c>
      <c r="L350" s="1" t="s">
        <v>61</v>
      </c>
      <c r="M350" s="1" t="s">
        <v>62</v>
      </c>
      <c r="N350" s="1">
        <v>130.0</v>
      </c>
      <c r="O350" s="1">
        <v>0.172097910989585</v>
      </c>
      <c r="P350" s="1" t="s">
        <v>61</v>
      </c>
      <c r="Q350" s="1" t="s">
        <v>61</v>
      </c>
      <c r="R350" s="1">
        <f t="shared" si="1"/>
        <v>0.172097911</v>
      </c>
      <c r="S350" s="1">
        <f t="shared" si="2"/>
        <v>130</v>
      </c>
      <c r="T350" s="1">
        <f t="shared" si="3"/>
        <v>2.3</v>
      </c>
      <c r="U350" s="1">
        <f t="shared" si="4"/>
        <v>0</v>
      </c>
      <c r="V350" s="3">
        <f t="shared" si="5"/>
        <v>3</v>
      </c>
      <c r="W350" s="3">
        <f t="shared" si="6"/>
        <v>1</v>
      </c>
      <c r="X350" s="3" t="str">
        <f>IFERROR(__xludf.DUMMYFUNCTION("split(B350,"" "")"),"W.")</f>
        <v>W.</v>
      </c>
      <c r="Y350" s="3" t="str">
        <f>IFERROR(__xludf.DUMMYFUNCTION("""COMPUTED_VALUE"""),"Levis")</f>
        <v>Levis</v>
      </c>
      <c r="AA350" s="3">
        <v>4.0</v>
      </c>
      <c r="AB350" s="3">
        <f t="shared" si="7"/>
        <v>1</v>
      </c>
      <c r="AC350" s="3">
        <f t="shared" si="8"/>
        <v>0</v>
      </c>
      <c r="AD350" s="3">
        <f t="shared" si="9"/>
        <v>3.9</v>
      </c>
      <c r="AE350" s="3">
        <f t="shared" si="10"/>
        <v>-3</v>
      </c>
      <c r="AF350" s="3">
        <f t="shared" si="11"/>
        <v>-1</v>
      </c>
      <c r="AG350" s="3">
        <f t="shared" si="12"/>
        <v>-0.6</v>
      </c>
    </row>
    <row r="351">
      <c r="A351" s="1" t="s">
        <v>14</v>
      </c>
      <c r="B351" s="1" t="s">
        <v>275</v>
      </c>
      <c r="C351" s="1" t="s">
        <v>21</v>
      </c>
      <c r="D351" s="1" t="s">
        <v>100</v>
      </c>
      <c r="E351" s="1" t="s">
        <v>165</v>
      </c>
      <c r="F351" s="1" t="s">
        <v>455</v>
      </c>
      <c r="G351" s="1">
        <v>0.5</v>
      </c>
      <c r="H351" s="1" t="s">
        <v>60</v>
      </c>
      <c r="I351" s="1">
        <v>-221.0</v>
      </c>
      <c r="J351" s="1">
        <v>-0.203372092056074</v>
      </c>
      <c r="K351" s="1" t="s">
        <v>61</v>
      </c>
      <c r="L351" s="1" t="s">
        <v>61</v>
      </c>
      <c r="M351" s="1" t="s">
        <v>62</v>
      </c>
      <c r="N351" s="1">
        <v>166.0</v>
      </c>
      <c r="O351" s="1">
        <v>0.138958426879699</v>
      </c>
      <c r="P351" s="1" t="s">
        <v>61</v>
      </c>
      <c r="Q351" s="1" t="s">
        <v>61</v>
      </c>
      <c r="R351" s="1">
        <f t="shared" si="1"/>
        <v>0.1389584269</v>
      </c>
      <c r="S351" s="1">
        <f t="shared" si="2"/>
        <v>166</v>
      </c>
      <c r="T351" s="1">
        <f t="shared" si="3"/>
        <v>2.66</v>
      </c>
      <c r="U351" s="1">
        <f t="shared" si="4"/>
        <v>0</v>
      </c>
      <c r="V351" s="3">
        <f t="shared" si="5"/>
        <v>3</v>
      </c>
      <c r="W351" s="3">
        <f t="shared" si="6"/>
        <v>1</v>
      </c>
      <c r="X351" s="3" t="str">
        <f>IFERROR(__xludf.DUMMYFUNCTION("split(B351,"" "")"),"W.")</f>
        <v>W.</v>
      </c>
      <c r="Y351" s="3" t="str">
        <f>IFERROR(__xludf.DUMMYFUNCTION("""COMPUTED_VALUE"""),"Levis")</f>
        <v>Levis</v>
      </c>
      <c r="AA351" s="3">
        <v>1.0</v>
      </c>
      <c r="AB351" s="3">
        <f t="shared" si="7"/>
        <v>1</v>
      </c>
      <c r="AC351" s="3">
        <f t="shared" si="8"/>
        <v>0</v>
      </c>
      <c r="AD351" s="3">
        <f t="shared" si="9"/>
        <v>4.98</v>
      </c>
      <c r="AE351" s="3">
        <f t="shared" si="10"/>
        <v>-3</v>
      </c>
      <c r="AF351" s="3">
        <f t="shared" si="11"/>
        <v>-1</v>
      </c>
      <c r="AG351" s="3">
        <f t="shared" si="12"/>
        <v>-1</v>
      </c>
    </row>
    <row r="352">
      <c r="A352" s="1" t="s">
        <v>17</v>
      </c>
      <c r="B352" s="1" t="s">
        <v>275</v>
      </c>
      <c r="C352" s="1" t="s">
        <v>21</v>
      </c>
      <c r="D352" s="1" t="s">
        <v>100</v>
      </c>
      <c r="E352" s="1" t="s">
        <v>165</v>
      </c>
      <c r="F352" s="1" t="s">
        <v>455</v>
      </c>
      <c r="G352" s="1">
        <v>0.5</v>
      </c>
      <c r="H352" s="1" t="s">
        <v>60</v>
      </c>
      <c r="I352" s="1">
        <v>-150.0</v>
      </c>
      <c r="J352" s="1">
        <v>-0.1535</v>
      </c>
      <c r="K352" s="1" t="s">
        <v>61</v>
      </c>
      <c r="L352" s="1" t="s">
        <v>61</v>
      </c>
      <c r="M352" s="1" t="s">
        <v>62</v>
      </c>
      <c r="N352" s="1">
        <v>115.0</v>
      </c>
      <c r="O352" s="1">
        <v>0.0883837209302325</v>
      </c>
      <c r="P352" s="1" t="s">
        <v>61</v>
      </c>
      <c r="Q352" s="1" t="s">
        <v>61</v>
      </c>
      <c r="R352" s="1">
        <f t="shared" si="1"/>
        <v>0.08838372093</v>
      </c>
      <c r="S352" s="1">
        <f t="shared" si="2"/>
        <v>115</v>
      </c>
      <c r="T352" s="1">
        <f t="shared" si="3"/>
        <v>2.15</v>
      </c>
      <c r="U352" s="1">
        <f t="shared" si="4"/>
        <v>0</v>
      </c>
      <c r="V352" s="3">
        <f t="shared" si="5"/>
        <v>2</v>
      </c>
      <c r="W352" s="3">
        <f t="shared" si="6"/>
        <v>1</v>
      </c>
      <c r="X352" s="3" t="str">
        <f>IFERROR(__xludf.DUMMYFUNCTION("split(B352,"" "")"),"W.")</f>
        <v>W.</v>
      </c>
      <c r="Y352" s="3" t="str">
        <f>IFERROR(__xludf.DUMMYFUNCTION("""COMPUTED_VALUE"""),"Levis")</f>
        <v>Levis</v>
      </c>
      <c r="AA352" s="3">
        <v>1.0</v>
      </c>
      <c r="AB352" s="3">
        <f t="shared" si="7"/>
        <v>1</v>
      </c>
      <c r="AC352" s="3">
        <f t="shared" si="8"/>
        <v>0</v>
      </c>
      <c r="AD352" s="3">
        <f t="shared" si="9"/>
        <v>2.3</v>
      </c>
      <c r="AE352" s="3">
        <f t="shared" si="10"/>
        <v>-2</v>
      </c>
      <c r="AF352" s="3">
        <f t="shared" si="11"/>
        <v>-1</v>
      </c>
      <c r="AG352" s="3">
        <f t="shared" si="12"/>
        <v>-1</v>
      </c>
    </row>
    <row r="353">
      <c r="A353" s="1" t="s">
        <v>8</v>
      </c>
      <c r="B353" s="1" t="s">
        <v>340</v>
      </c>
      <c r="C353" s="1" t="s">
        <v>19</v>
      </c>
      <c r="D353" s="1" t="s">
        <v>100</v>
      </c>
      <c r="E353" s="1" t="s">
        <v>165</v>
      </c>
      <c r="F353" s="1" t="s">
        <v>455</v>
      </c>
      <c r="G353" s="1">
        <v>12.5</v>
      </c>
      <c r="H353" s="1" t="s">
        <v>60</v>
      </c>
      <c r="I353" s="1">
        <v>-115.0</v>
      </c>
      <c r="J353" s="1">
        <v>-0.0797359706637209</v>
      </c>
      <c r="K353" s="1" t="s">
        <v>61</v>
      </c>
      <c r="L353" s="1" t="s">
        <v>61</v>
      </c>
      <c r="M353" s="1" t="s">
        <v>62</v>
      </c>
      <c r="N353" s="1">
        <v>-115.0</v>
      </c>
      <c r="O353" s="1">
        <v>0.00996136626327903</v>
      </c>
      <c r="P353" s="1" t="s">
        <v>61</v>
      </c>
      <c r="Q353" s="1" t="s">
        <v>61</v>
      </c>
      <c r="R353" s="1">
        <f t="shared" si="1"/>
        <v>0.009961366263</v>
      </c>
      <c r="S353" s="1">
        <f t="shared" si="2"/>
        <v>-115</v>
      </c>
      <c r="T353" s="1">
        <f t="shared" si="3"/>
        <v>1.869565217</v>
      </c>
      <c r="U353" s="1">
        <f t="shared" si="4"/>
        <v>0</v>
      </c>
      <c r="V353" s="3">
        <f t="shared" si="5"/>
        <v>1</v>
      </c>
      <c r="W353" s="3">
        <f t="shared" si="6"/>
        <v>2</v>
      </c>
      <c r="X353" s="3" t="str">
        <f>IFERROR(__xludf.DUMMYFUNCTION("split(B353,"" "")"),"T.")</f>
        <v>T.</v>
      </c>
      <c r="Y353" s="3" t="str">
        <f>IFERROR(__xludf.DUMMYFUNCTION("""COMPUTED_VALUE"""),"Pollard")</f>
        <v>Pollard</v>
      </c>
      <c r="AA353" s="3">
        <v>17.0</v>
      </c>
      <c r="AB353" s="3">
        <f t="shared" si="7"/>
        <v>1</v>
      </c>
      <c r="AC353" s="3">
        <f t="shared" si="8"/>
        <v>0</v>
      </c>
      <c r="AD353" s="3">
        <f t="shared" si="9"/>
        <v>0.8695652174</v>
      </c>
      <c r="AE353" s="3">
        <f t="shared" si="10"/>
        <v>-1</v>
      </c>
      <c r="AF353" s="3">
        <f t="shared" si="11"/>
        <v>-2</v>
      </c>
      <c r="AG353" s="3">
        <f t="shared" si="12"/>
        <v>-0.36</v>
      </c>
    </row>
    <row r="354">
      <c r="A354" s="1" t="s">
        <v>12</v>
      </c>
      <c r="B354" s="1" t="s">
        <v>488</v>
      </c>
      <c r="C354" s="1" t="s">
        <v>20</v>
      </c>
      <c r="D354" s="1" t="s">
        <v>114</v>
      </c>
      <c r="E354" s="1" t="s">
        <v>147</v>
      </c>
      <c r="F354" s="1" t="s">
        <v>455</v>
      </c>
      <c r="G354" s="1">
        <v>2.5</v>
      </c>
      <c r="H354" s="1" t="s">
        <v>60</v>
      </c>
      <c r="I354" s="1">
        <v>-171.0</v>
      </c>
      <c r="J354" s="1">
        <v>-0.27793170701107</v>
      </c>
      <c r="K354" s="1" t="s">
        <v>61</v>
      </c>
      <c r="L354" s="1" t="s">
        <v>61</v>
      </c>
      <c r="M354" s="1" t="s">
        <v>62</v>
      </c>
      <c r="N354" s="1">
        <v>129.0</v>
      </c>
      <c r="O354" s="1">
        <v>0.210260666375545</v>
      </c>
      <c r="P354" s="1" t="s">
        <v>61</v>
      </c>
      <c r="Q354" s="1" t="s">
        <v>61</v>
      </c>
      <c r="R354" s="1">
        <f t="shared" si="1"/>
        <v>0.2102606664</v>
      </c>
      <c r="S354" s="1">
        <f t="shared" si="2"/>
        <v>129</v>
      </c>
      <c r="T354" s="1">
        <f t="shared" si="3"/>
        <v>2.29</v>
      </c>
      <c r="U354" s="1">
        <f t="shared" si="4"/>
        <v>0</v>
      </c>
      <c r="V354" s="3">
        <f t="shared" si="5"/>
        <v>3</v>
      </c>
      <c r="W354" s="3">
        <f t="shared" si="6"/>
        <v>1</v>
      </c>
      <c r="X354" s="3" t="str">
        <f>IFERROR(__xludf.DUMMYFUNCTION("split(B354,"" "")"),"Z.")</f>
        <v>Z.</v>
      </c>
      <c r="Y354" s="3" t="str">
        <f>IFERROR(__xludf.DUMMYFUNCTION("""COMPUTED_VALUE"""),"Ertz")</f>
        <v>Ertz</v>
      </c>
      <c r="AA354" s="3">
        <v>4.0</v>
      </c>
      <c r="AB354" s="3">
        <f t="shared" si="7"/>
        <v>1</v>
      </c>
      <c r="AC354" s="3">
        <f t="shared" si="8"/>
        <v>0</v>
      </c>
      <c r="AD354" s="3">
        <f t="shared" si="9"/>
        <v>3.87</v>
      </c>
      <c r="AE354" s="3">
        <f t="shared" si="10"/>
        <v>-3</v>
      </c>
      <c r="AF354" s="3">
        <f t="shared" si="11"/>
        <v>-1</v>
      </c>
      <c r="AG354" s="3">
        <f t="shared" si="12"/>
        <v>-0.6</v>
      </c>
    </row>
    <row r="355">
      <c r="A355" s="1" t="s">
        <v>12</v>
      </c>
      <c r="B355" s="1" t="s">
        <v>408</v>
      </c>
      <c r="C355" s="1" t="s">
        <v>19</v>
      </c>
      <c r="D355" s="1" t="s">
        <v>114</v>
      </c>
      <c r="E355" s="1" t="s">
        <v>147</v>
      </c>
      <c r="F355" s="1" t="s">
        <v>455</v>
      </c>
      <c r="G355" s="1">
        <v>2.5</v>
      </c>
      <c r="H355" s="1" t="s">
        <v>60</v>
      </c>
      <c r="I355" s="1">
        <v>-168.0</v>
      </c>
      <c r="J355" s="1">
        <v>-0.256726533544776</v>
      </c>
      <c r="K355" s="1" t="s">
        <v>61</v>
      </c>
      <c r="L355" s="1" t="s">
        <v>61</v>
      </c>
      <c r="M355" s="1" t="s">
        <v>62</v>
      </c>
      <c r="N355" s="1">
        <v>128.0</v>
      </c>
      <c r="O355" s="1">
        <v>0.191257504342105</v>
      </c>
      <c r="P355" s="1" t="s">
        <v>61</v>
      </c>
      <c r="Q355" s="1" t="s">
        <v>61</v>
      </c>
      <c r="R355" s="1">
        <f t="shared" si="1"/>
        <v>0.1912575043</v>
      </c>
      <c r="S355" s="1">
        <f t="shared" si="2"/>
        <v>128</v>
      </c>
      <c r="T355" s="1">
        <f t="shared" si="3"/>
        <v>2.28</v>
      </c>
      <c r="U355" s="1">
        <f t="shared" si="4"/>
        <v>0</v>
      </c>
      <c r="V355" s="3">
        <f t="shared" si="5"/>
        <v>3</v>
      </c>
      <c r="W355" s="3">
        <f t="shared" si="6"/>
        <v>1</v>
      </c>
      <c r="X355" s="3" t="str">
        <f>IFERROR(__xludf.DUMMYFUNCTION("split(B355,"" "")"),"A.")</f>
        <v>A.</v>
      </c>
      <c r="Y355" s="3" t="str">
        <f>IFERROR(__xludf.DUMMYFUNCTION("""COMPUTED_VALUE"""),"Ekeler")</f>
        <v>Ekeler</v>
      </c>
      <c r="AA355" s="3">
        <v>3.0</v>
      </c>
      <c r="AB355" s="3">
        <f t="shared" si="7"/>
        <v>1</v>
      </c>
      <c r="AC355" s="3">
        <f t="shared" si="8"/>
        <v>0</v>
      </c>
      <c r="AD355" s="3">
        <f t="shared" si="9"/>
        <v>3.84</v>
      </c>
      <c r="AE355" s="3">
        <f t="shared" si="10"/>
        <v>-3</v>
      </c>
      <c r="AF355" s="3">
        <f t="shared" si="11"/>
        <v>-1</v>
      </c>
      <c r="AG355" s="3">
        <f t="shared" si="12"/>
        <v>-0.2</v>
      </c>
    </row>
    <row r="356">
      <c r="A356" s="1" t="s">
        <v>12</v>
      </c>
      <c r="B356" s="1" t="s">
        <v>249</v>
      </c>
      <c r="C356" s="1" t="s">
        <v>18</v>
      </c>
      <c r="D356" s="1" t="s">
        <v>114</v>
      </c>
      <c r="E356" s="1" t="s">
        <v>147</v>
      </c>
      <c r="F356" s="1" t="s">
        <v>455</v>
      </c>
      <c r="G356" s="1">
        <v>3.5</v>
      </c>
      <c r="H356" s="1" t="s">
        <v>60</v>
      </c>
      <c r="I356" s="1">
        <v>-163.0</v>
      </c>
      <c r="J356" s="1">
        <v>-0.186409885931559</v>
      </c>
      <c r="K356" s="1" t="s">
        <v>61</v>
      </c>
      <c r="L356" s="1" t="s">
        <v>61</v>
      </c>
      <c r="M356" s="1" t="s">
        <v>62</v>
      </c>
      <c r="N356" s="1">
        <v>124.0</v>
      </c>
      <c r="O356" s="1">
        <v>0.120216071428571</v>
      </c>
      <c r="P356" s="1" t="s">
        <v>61</v>
      </c>
      <c r="Q356" s="1" t="s">
        <v>61</v>
      </c>
      <c r="R356" s="1">
        <f t="shared" si="1"/>
        <v>0.1202160714</v>
      </c>
      <c r="S356" s="1">
        <f t="shared" si="2"/>
        <v>124</v>
      </c>
      <c r="T356" s="1">
        <f t="shared" si="3"/>
        <v>2.24</v>
      </c>
      <c r="U356" s="1">
        <f t="shared" si="4"/>
        <v>0</v>
      </c>
      <c r="V356" s="3">
        <f t="shared" si="5"/>
        <v>3</v>
      </c>
      <c r="W356" s="3">
        <f t="shared" si="6"/>
        <v>1</v>
      </c>
      <c r="X356" s="3" t="str">
        <f>IFERROR(__xludf.DUMMYFUNCTION("split(B356,"" "")"),"T.")</f>
        <v>T.</v>
      </c>
      <c r="Y356" s="3" t="str">
        <f>IFERROR(__xludf.DUMMYFUNCTION("""COMPUTED_VALUE"""),"McLaurin")</f>
        <v>McLaurin</v>
      </c>
      <c r="AA356" s="3">
        <v>6.0</v>
      </c>
      <c r="AB356" s="3">
        <f t="shared" si="7"/>
        <v>1</v>
      </c>
      <c r="AC356" s="3">
        <f t="shared" si="8"/>
        <v>0</v>
      </c>
      <c r="AD356" s="3">
        <f t="shared" si="9"/>
        <v>3.72</v>
      </c>
      <c r="AE356" s="3">
        <f t="shared" si="10"/>
        <v>-3</v>
      </c>
      <c r="AF356" s="3">
        <f t="shared" si="11"/>
        <v>-1</v>
      </c>
      <c r="AG356" s="3">
        <f t="shared" si="12"/>
        <v>-0.7142857143</v>
      </c>
    </row>
    <row r="357">
      <c r="A357" s="1" t="s">
        <v>15</v>
      </c>
      <c r="B357" s="1" t="s">
        <v>320</v>
      </c>
      <c r="C357" s="1" t="s">
        <v>21</v>
      </c>
      <c r="D357" s="1" t="s">
        <v>114</v>
      </c>
      <c r="E357" s="1" t="s">
        <v>147</v>
      </c>
      <c r="F357" s="1" t="s">
        <v>455</v>
      </c>
      <c r="G357" s="1">
        <v>17.5</v>
      </c>
      <c r="H357" s="1" t="s">
        <v>60</v>
      </c>
      <c r="I357" s="1">
        <v>-127.0</v>
      </c>
      <c r="J357" s="1">
        <v>-0.171971079867841</v>
      </c>
      <c r="K357" s="1" t="s">
        <v>61</v>
      </c>
      <c r="L357" s="1" t="s">
        <v>61</v>
      </c>
      <c r="M357" s="1" t="s">
        <v>62</v>
      </c>
      <c r="N357" s="1">
        <v>-101.0</v>
      </c>
      <c r="O357" s="1">
        <v>0.110012111847263</v>
      </c>
      <c r="P357" s="1" t="s">
        <v>61</v>
      </c>
      <c r="Q357" s="1" t="s">
        <v>61</v>
      </c>
      <c r="R357" s="1">
        <f t="shared" si="1"/>
        <v>0.1100121118</v>
      </c>
      <c r="S357" s="1">
        <f t="shared" si="2"/>
        <v>-101</v>
      </c>
      <c r="T357" s="1">
        <f t="shared" si="3"/>
        <v>1.99009901</v>
      </c>
      <c r="U357" s="1">
        <f t="shared" si="4"/>
        <v>0</v>
      </c>
      <c r="V357" s="3">
        <f t="shared" si="5"/>
        <v>3</v>
      </c>
      <c r="W357" s="3">
        <f t="shared" si="6"/>
        <v>2</v>
      </c>
      <c r="X357" s="3" t="str">
        <f>IFERROR(__xludf.DUMMYFUNCTION("split(B357,"" "")"),"J.")</f>
        <v>J.</v>
      </c>
      <c r="Y357" s="3" t="str">
        <f>IFERROR(__xludf.DUMMYFUNCTION("""COMPUTED_VALUE"""),"Daniels")</f>
        <v>Daniels</v>
      </c>
      <c r="AA357" s="3">
        <v>23.0</v>
      </c>
      <c r="AB357" s="3">
        <f t="shared" si="7"/>
        <v>1</v>
      </c>
      <c r="AC357" s="3">
        <f t="shared" si="8"/>
        <v>0</v>
      </c>
      <c r="AD357" s="3">
        <f t="shared" si="9"/>
        <v>2.97029703</v>
      </c>
      <c r="AE357" s="3">
        <f t="shared" si="10"/>
        <v>-3</v>
      </c>
      <c r="AF357" s="3">
        <f t="shared" si="11"/>
        <v>-2</v>
      </c>
      <c r="AG357" s="3">
        <f t="shared" si="12"/>
        <v>-0.3142857143</v>
      </c>
    </row>
    <row r="358">
      <c r="A358" s="1" t="s">
        <v>14</v>
      </c>
      <c r="B358" s="1" t="s">
        <v>320</v>
      </c>
      <c r="C358" s="1" t="s">
        <v>21</v>
      </c>
      <c r="D358" s="1" t="s">
        <v>114</v>
      </c>
      <c r="E358" s="1" t="s">
        <v>147</v>
      </c>
      <c r="F358" s="1" t="s">
        <v>455</v>
      </c>
      <c r="G358" s="1">
        <v>1.5</v>
      </c>
      <c r="H358" s="1" t="s">
        <v>60</v>
      </c>
      <c r="I358" s="1">
        <v>179.0</v>
      </c>
      <c r="J358" s="1">
        <v>0.0412770609318996</v>
      </c>
      <c r="K358" s="1" t="s">
        <v>61</v>
      </c>
      <c r="L358" s="1" t="s">
        <v>61</v>
      </c>
      <c r="M358" s="1" t="s">
        <v>62</v>
      </c>
      <c r="N358" s="1">
        <v>-242.0</v>
      </c>
      <c r="O358" s="1">
        <v>-0.107302339181286</v>
      </c>
      <c r="P358" s="1" t="s">
        <v>61</v>
      </c>
      <c r="Q358" s="1" t="s">
        <v>61</v>
      </c>
      <c r="R358" s="1">
        <f t="shared" si="1"/>
        <v>0.04127706093</v>
      </c>
      <c r="S358" s="1">
        <f t="shared" si="2"/>
        <v>179</v>
      </c>
      <c r="T358" s="1">
        <f t="shared" si="3"/>
        <v>2.79</v>
      </c>
      <c r="U358" s="1">
        <f t="shared" si="4"/>
        <v>1</v>
      </c>
      <c r="V358" s="3">
        <f t="shared" si="5"/>
        <v>1</v>
      </c>
      <c r="W358" s="3">
        <f t="shared" si="6"/>
        <v>1</v>
      </c>
      <c r="X358" s="3" t="str">
        <f>IFERROR(__xludf.DUMMYFUNCTION("split(B358,"" "")"),"J.")</f>
        <v>J.</v>
      </c>
      <c r="Y358" s="3" t="str">
        <f>IFERROR(__xludf.DUMMYFUNCTION("""COMPUTED_VALUE"""),"Daniels")</f>
        <v>Daniels</v>
      </c>
      <c r="AA358" s="3">
        <v>0.0</v>
      </c>
      <c r="AB358" s="3">
        <f t="shared" si="7"/>
        <v>0</v>
      </c>
      <c r="AC358" s="3">
        <f t="shared" si="8"/>
        <v>0</v>
      </c>
      <c r="AD358" s="3">
        <f t="shared" si="9"/>
        <v>1.79</v>
      </c>
      <c r="AE358" s="3">
        <f t="shared" si="10"/>
        <v>-1</v>
      </c>
      <c r="AF358" s="3">
        <f t="shared" si="11"/>
        <v>-1</v>
      </c>
      <c r="AG358" s="3">
        <f t="shared" si="12"/>
        <v>-1</v>
      </c>
    </row>
    <row r="359">
      <c r="A359" s="1" t="s">
        <v>8</v>
      </c>
      <c r="B359" s="1" t="s">
        <v>264</v>
      </c>
      <c r="C359" s="1" t="s">
        <v>19</v>
      </c>
      <c r="D359" s="1" t="s">
        <v>114</v>
      </c>
      <c r="E359" s="1" t="s">
        <v>147</v>
      </c>
      <c r="F359" s="1" t="s">
        <v>455</v>
      </c>
      <c r="G359" s="1">
        <v>13.5</v>
      </c>
      <c r="H359" s="1" t="s">
        <v>60</v>
      </c>
      <c r="I359" s="1">
        <v>-120.0</v>
      </c>
      <c r="J359" s="1">
        <v>-0.105806223999545</v>
      </c>
      <c r="K359" s="1" t="s">
        <v>61</v>
      </c>
      <c r="L359" s="1" t="s">
        <v>61</v>
      </c>
      <c r="M359" s="1" t="s">
        <v>62</v>
      </c>
      <c r="N359" s="1">
        <v>-110.0</v>
      </c>
      <c r="O359" s="1">
        <v>0.0365347914661429</v>
      </c>
      <c r="P359" s="1" t="s">
        <v>61</v>
      </c>
      <c r="Q359" s="1" t="s">
        <v>61</v>
      </c>
      <c r="R359" s="1">
        <f t="shared" si="1"/>
        <v>0.03653479147</v>
      </c>
      <c r="S359" s="1">
        <f t="shared" si="2"/>
        <v>-110</v>
      </c>
      <c r="T359" s="1">
        <f t="shared" si="3"/>
        <v>1.909090909</v>
      </c>
      <c r="U359" s="1">
        <f t="shared" si="4"/>
        <v>0</v>
      </c>
      <c r="V359" s="3">
        <f t="shared" si="5"/>
        <v>1</v>
      </c>
      <c r="W359" s="3">
        <f t="shared" si="6"/>
        <v>2</v>
      </c>
      <c r="X359" s="3" t="str">
        <f>IFERROR(__xludf.DUMMYFUNCTION("split(B359,"" "")"),"B.")</f>
        <v>B.</v>
      </c>
      <c r="Y359" s="3" t="str">
        <f>IFERROR(__xludf.DUMMYFUNCTION("""COMPUTED_VALUE"""),"Robinson")</f>
        <v>Robinson</v>
      </c>
      <c r="AA359" s="1">
        <v>17.0</v>
      </c>
      <c r="AB359" s="3">
        <f t="shared" si="7"/>
        <v>1</v>
      </c>
      <c r="AC359" s="3">
        <f t="shared" si="8"/>
        <v>0</v>
      </c>
      <c r="AD359" s="3">
        <f t="shared" si="9"/>
        <v>0.9090909091</v>
      </c>
      <c r="AE359" s="3">
        <f t="shared" si="10"/>
        <v>-1</v>
      </c>
      <c r="AF359" s="3">
        <f t="shared" si="11"/>
        <v>-2</v>
      </c>
      <c r="AG359" s="3">
        <f t="shared" si="12"/>
        <v>-0.2592592593</v>
      </c>
    </row>
    <row r="360">
      <c r="A360" s="1" t="s">
        <v>16</v>
      </c>
      <c r="B360" s="1" t="s">
        <v>320</v>
      </c>
      <c r="C360" s="1" t="s">
        <v>21</v>
      </c>
      <c r="D360" s="1" t="s">
        <v>114</v>
      </c>
      <c r="E360" s="1" t="s">
        <v>147</v>
      </c>
      <c r="F360" s="1" t="s">
        <v>455</v>
      </c>
      <c r="G360" s="1">
        <v>27.5</v>
      </c>
      <c r="H360" s="1" t="s">
        <v>60</v>
      </c>
      <c r="I360" s="1">
        <v>-121.0</v>
      </c>
      <c r="J360" s="1">
        <v>-0.0928653362895928</v>
      </c>
      <c r="K360" s="1" t="s">
        <v>61</v>
      </c>
      <c r="L360" s="1" t="s">
        <v>61</v>
      </c>
      <c r="M360" s="1" t="s">
        <v>62</v>
      </c>
      <c r="N360" s="1">
        <v>-106.0</v>
      </c>
      <c r="O360" s="1">
        <v>0.0307846100932038</v>
      </c>
      <c r="P360" s="1" t="s">
        <v>61</v>
      </c>
      <c r="Q360" s="1" t="s">
        <v>61</v>
      </c>
      <c r="R360" s="1">
        <f t="shared" si="1"/>
        <v>0.03078461009</v>
      </c>
      <c r="S360" s="1">
        <f t="shared" si="2"/>
        <v>-106</v>
      </c>
      <c r="T360" s="1">
        <f t="shared" si="3"/>
        <v>1.943396226</v>
      </c>
      <c r="U360" s="1">
        <f t="shared" si="4"/>
        <v>0</v>
      </c>
      <c r="V360" s="3">
        <f t="shared" si="5"/>
        <v>1</v>
      </c>
      <c r="W360" s="3">
        <f t="shared" si="6"/>
        <v>2</v>
      </c>
      <c r="X360" s="3" t="str">
        <f>IFERROR(__xludf.DUMMYFUNCTION("split(B360,"" "")"),"J.")</f>
        <v>J.</v>
      </c>
      <c r="Y360" s="3" t="str">
        <f>IFERROR(__xludf.DUMMYFUNCTION("""COMPUTED_VALUE"""),"Daniels")</f>
        <v>Daniels</v>
      </c>
      <c r="AA360" s="3">
        <v>29.0</v>
      </c>
      <c r="AB360" s="3">
        <f t="shared" si="7"/>
        <v>1</v>
      </c>
      <c r="AC360" s="3">
        <f t="shared" si="8"/>
        <v>0</v>
      </c>
      <c r="AD360" s="3">
        <f t="shared" si="9"/>
        <v>0.9433962264</v>
      </c>
      <c r="AE360" s="3">
        <f t="shared" si="10"/>
        <v>-1</v>
      </c>
      <c r="AF360" s="3">
        <f t="shared" si="11"/>
        <v>-2</v>
      </c>
      <c r="AG360" s="3">
        <f t="shared" si="12"/>
        <v>-0.05454545455</v>
      </c>
    </row>
    <row r="361">
      <c r="A361" s="1" t="s">
        <v>10</v>
      </c>
      <c r="B361" s="1" t="s">
        <v>264</v>
      </c>
      <c r="C361" s="1" t="s">
        <v>19</v>
      </c>
      <c r="D361" s="1" t="s">
        <v>114</v>
      </c>
      <c r="E361" s="1" t="s">
        <v>147</v>
      </c>
      <c r="F361" s="1" t="s">
        <v>455</v>
      </c>
      <c r="G361" s="1">
        <v>53.5</v>
      </c>
      <c r="H361" s="1" t="s">
        <v>60</v>
      </c>
      <c r="I361" s="1">
        <v>-131.0</v>
      </c>
      <c r="J361" s="1">
        <v>-0.0924014931550184</v>
      </c>
      <c r="K361" s="1" t="s">
        <v>61</v>
      </c>
      <c r="L361" s="1" t="s">
        <v>61</v>
      </c>
      <c r="M361" s="1" t="s">
        <v>62</v>
      </c>
      <c r="N361" s="1">
        <v>100.0</v>
      </c>
      <c r="O361" s="1">
        <v>0.0253005247628312</v>
      </c>
      <c r="P361" s="1" t="s">
        <v>61</v>
      </c>
      <c r="Q361" s="1" t="s">
        <v>61</v>
      </c>
      <c r="R361" s="1">
        <f t="shared" si="1"/>
        <v>0.02530052476</v>
      </c>
      <c r="S361" s="1">
        <f t="shared" si="2"/>
        <v>100</v>
      </c>
      <c r="T361" s="1">
        <f t="shared" si="3"/>
        <v>2</v>
      </c>
      <c r="U361" s="1">
        <f t="shared" si="4"/>
        <v>0</v>
      </c>
      <c r="V361" s="3">
        <f t="shared" si="5"/>
        <v>1</v>
      </c>
      <c r="W361" s="3">
        <f t="shared" si="6"/>
        <v>2</v>
      </c>
      <c r="X361" s="3" t="str">
        <f>IFERROR(__xludf.DUMMYFUNCTION("split(B361,"" "")"),"B.")</f>
        <v>B.</v>
      </c>
      <c r="Y361" s="3" t="str">
        <f>IFERROR(__xludf.DUMMYFUNCTION("""COMPUTED_VALUE"""),"Robinson")</f>
        <v>Robinson</v>
      </c>
      <c r="AA361" s="1">
        <v>133.0</v>
      </c>
      <c r="AB361" s="3">
        <f t="shared" si="7"/>
        <v>1</v>
      </c>
      <c r="AC361" s="3">
        <f t="shared" si="8"/>
        <v>0</v>
      </c>
      <c r="AD361" s="3">
        <f t="shared" si="9"/>
        <v>1</v>
      </c>
      <c r="AE361" s="3">
        <f t="shared" si="10"/>
        <v>-1</v>
      </c>
      <c r="AF361" s="3">
        <f t="shared" si="11"/>
        <v>-2</v>
      </c>
      <c r="AG361" s="3">
        <f t="shared" si="12"/>
        <v>-1.485981308</v>
      </c>
    </row>
    <row r="362">
      <c r="A362" s="1" t="s">
        <v>11</v>
      </c>
      <c r="B362" s="1" t="s">
        <v>408</v>
      </c>
      <c r="C362" s="1" t="s">
        <v>19</v>
      </c>
      <c r="D362" s="1" t="s">
        <v>114</v>
      </c>
      <c r="E362" s="1" t="s">
        <v>147</v>
      </c>
      <c r="F362" s="1" t="s">
        <v>455</v>
      </c>
      <c r="G362" s="1">
        <v>19.5</v>
      </c>
      <c r="H362" s="1" t="s">
        <v>60</v>
      </c>
      <c r="I362" s="1">
        <v>-115.0</v>
      </c>
      <c r="J362" s="1">
        <v>-0.0752197255791537</v>
      </c>
      <c r="K362" s="1" t="s">
        <v>61</v>
      </c>
      <c r="L362" s="1" t="s">
        <v>61</v>
      </c>
      <c r="M362" s="1" t="s">
        <v>62</v>
      </c>
      <c r="N362" s="1">
        <v>-115.0</v>
      </c>
      <c r="O362" s="1">
        <v>0.00548768441602665</v>
      </c>
      <c r="P362" s="1" t="s">
        <v>61</v>
      </c>
      <c r="Q362" s="1" t="s">
        <v>61</v>
      </c>
      <c r="R362" s="1">
        <f t="shared" si="1"/>
        <v>0.005487684416</v>
      </c>
      <c r="S362" s="1">
        <f t="shared" si="2"/>
        <v>-115</v>
      </c>
      <c r="T362" s="1">
        <f t="shared" si="3"/>
        <v>1.869565217</v>
      </c>
      <c r="U362" s="1">
        <f t="shared" si="4"/>
        <v>0</v>
      </c>
      <c r="V362" s="3">
        <f t="shared" si="5"/>
        <v>1</v>
      </c>
      <c r="W362" s="3">
        <f t="shared" si="6"/>
        <v>2</v>
      </c>
      <c r="X362" s="3" t="str">
        <f>IFERROR(__xludf.DUMMYFUNCTION("split(B362,"" "")"),"A.")</f>
        <v>A.</v>
      </c>
      <c r="Y362" s="3" t="str">
        <f>IFERROR(__xludf.DUMMYFUNCTION("""COMPUTED_VALUE"""),"Ekeler")</f>
        <v>Ekeler</v>
      </c>
      <c r="AA362" s="3">
        <v>47.0</v>
      </c>
      <c r="AB362" s="3">
        <f t="shared" si="7"/>
        <v>1</v>
      </c>
      <c r="AC362" s="3">
        <f t="shared" si="8"/>
        <v>0</v>
      </c>
      <c r="AD362" s="3">
        <f t="shared" si="9"/>
        <v>0.8695652174</v>
      </c>
      <c r="AE362" s="3">
        <f t="shared" si="10"/>
        <v>-1</v>
      </c>
      <c r="AF362" s="3">
        <f t="shared" si="11"/>
        <v>-2</v>
      </c>
      <c r="AG362" s="3">
        <f t="shared" si="12"/>
        <v>-1.41025641</v>
      </c>
    </row>
    <row r="363">
      <c r="W363" s="3">
        <f t="shared" si="6"/>
        <v>3</v>
      </c>
      <c r="AF363" s="3">
        <f t="shared" si="11"/>
        <v>-3</v>
      </c>
    </row>
    <row r="364">
      <c r="W364" s="3">
        <f t="shared" si="6"/>
        <v>3</v>
      </c>
      <c r="AF364" s="3">
        <f t="shared" si="11"/>
        <v>-3</v>
      </c>
    </row>
    <row r="365">
      <c r="W365" s="3">
        <f t="shared" si="6"/>
        <v>3</v>
      </c>
      <c r="AF365" s="3">
        <f t="shared" si="11"/>
        <v>-3</v>
      </c>
    </row>
    <row r="366">
      <c r="W366" s="3">
        <f t="shared" si="6"/>
        <v>3</v>
      </c>
      <c r="AF366" s="3">
        <f t="shared" si="11"/>
        <v>-3</v>
      </c>
    </row>
    <row r="367">
      <c r="W367" s="3">
        <f t="shared" si="6"/>
        <v>3</v>
      </c>
      <c r="AF367" s="3">
        <f t="shared" si="11"/>
        <v>-3</v>
      </c>
    </row>
    <row r="368">
      <c r="W368" s="3">
        <f t="shared" si="6"/>
        <v>3</v>
      </c>
      <c r="AF368" s="3">
        <f t="shared" si="11"/>
        <v>-3</v>
      </c>
    </row>
    <row r="369">
      <c r="W369" s="3">
        <f t="shared" si="6"/>
        <v>3</v>
      </c>
      <c r="AF369" s="3">
        <f t="shared" si="11"/>
        <v>-3</v>
      </c>
    </row>
    <row r="370">
      <c r="W370" s="3">
        <f t="shared" si="6"/>
        <v>3</v>
      </c>
      <c r="AF370" s="3">
        <f t="shared" si="11"/>
        <v>-3</v>
      </c>
    </row>
    <row r="371">
      <c r="W371" s="3">
        <f t="shared" si="6"/>
        <v>3</v>
      </c>
      <c r="AF371" s="3">
        <f t="shared" si="11"/>
        <v>-3</v>
      </c>
    </row>
    <row r="372">
      <c r="W372" s="3">
        <f t="shared" si="6"/>
        <v>3</v>
      </c>
      <c r="AF372" s="3">
        <f t="shared" si="11"/>
        <v>-3</v>
      </c>
    </row>
    <row r="373">
      <c r="W373" s="3">
        <f t="shared" si="6"/>
        <v>3</v>
      </c>
      <c r="AF373" s="3">
        <f t="shared" si="11"/>
        <v>-3</v>
      </c>
    </row>
    <row r="374">
      <c r="W374" s="3">
        <f t="shared" si="6"/>
        <v>3</v>
      </c>
      <c r="AF374" s="3">
        <f t="shared" si="11"/>
        <v>-3</v>
      </c>
    </row>
    <row r="375">
      <c r="W375" s="3">
        <f t="shared" si="6"/>
        <v>3</v>
      </c>
      <c r="AF375" s="3">
        <f t="shared" si="11"/>
        <v>-3</v>
      </c>
    </row>
    <row r="376">
      <c r="W376" s="3">
        <f t="shared" si="6"/>
        <v>3</v>
      </c>
      <c r="AF376" s="3">
        <f t="shared" si="11"/>
        <v>-3</v>
      </c>
    </row>
    <row r="377">
      <c r="W377" s="3">
        <f t="shared" si="6"/>
        <v>3</v>
      </c>
      <c r="AF377" s="3">
        <f t="shared" si="11"/>
        <v>-3</v>
      </c>
    </row>
    <row r="378">
      <c r="W378" s="3">
        <f t="shared" si="6"/>
        <v>3</v>
      </c>
      <c r="AF378" s="3">
        <f t="shared" si="11"/>
        <v>-3</v>
      </c>
    </row>
    <row r="379">
      <c r="W379" s="3">
        <f t="shared" si="6"/>
        <v>3</v>
      </c>
      <c r="AF379" s="3">
        <f t="shared" si="11"/>
        <v>-3</v>
      </c>
    </row>
    <row r="380">
      <c r="W380" s="3">
        <f t="shared" si="6"/>
        <v>3</v>
      </c>
      <c r="AF380" s="3">
        <f t="shared" si="11"/>
        <v>-3</v>
      </c>
    </row>
    <row r="381">
      <c r="W381" s="3">
        <f t="shared" si="6"/>
        <v>3</v>
      </c>
      <c r="AF381" s="3">
        <f t="shared" si="11"/>
        <v>-3</v>
      </c>
    </row>
    <row r="382">
      <c r="W382" s="3">
        <f t="shared" si="6"/>
        <v>3</v>
      </c>
      <c r="AF382" s="3">
        <f t="shared" si="11"/>
        <v>-3</v>
      </c>
    </row>
    <row r="383">
      <c r="W383" s="3">
        <f t="shared" si="6"/>
        <v>3</v>
      </c>
      <c r="AF383" s="3">
        <f t="shared" si="11"/>
        <v>-3</v>
      </c>
    </row>
    <row r="384">
      <c r="W384" s="3">
        <f t="shared" si="6"/>
        <v>3</v>
      </c>
      <c r="AF384" s="3">
        <f t="shared" si="11"/>
        <v>-3</v>
      </c>
    </row>
    <row r="385">
      <c r="W385" s="3">
        <f t="shared" si="6"/>
        <v>3</v>
      </c>
      <c r="AF385" s="3">
        <f t="shared" si="11"/>
        <v>-3</v>
      </c>
    </row>
    <row r="386">
      <c r="W386" s="3">
        <f t="shared" si="6"/>
        <v>3</v>
      </c>
      <c r="AF386" s="3">
        <f t="shared" si="11"/>
        <v>-3</v>
      </c>
    </row>
    <row r="387">
      <c r="W387" s="3">
        <f t="shared" si="6"/>
        <v>3</v>
      </c>
      <c r="AF387" s="3">
        <f t="shared" si="11"/>
        <v>-3</v>
      </c>
    </row>
    <row r="388">
      <c r="W388" s="3">
        <f t="shared" si="6"/>
        <v>3</v>
      </c>
      <c r="AF388" s="3">
        <f t="shared" si="11"/>
        <v>-3</v>
      </c>
    </row>
    <row r="389">
      <c r="W389" s="3">
        <f t="shared" si="6"/>
        <v>3</v>
      </c>
      <c r="AF389" s="3">
        <f t="shared" si="11"/>
        <v>-3</v>
      </c>
    </row>
    <row r="390">
      <c r="W390" s="3">
        <f t="shared" si="6"/>
        <v>3</v>
      </c>
      <c r="AF390" s="3">
        <f t="shared" si="11"/>
        <v>-3</v>
      </c>
    </row>
    <row r="391">
      <c r="W391" s="3">
        <f t="shared" si="6"/>
        <v>3</v>
      </c>
      <c r="AF391" s="3">
        <f t="shared" si="11"/>
        <v>-3</v>
      </c>
    </row>
    <row r="392">
      <c r="W392" s="3">
        <f t="shared" si="6"/>
        <v>3</v>
      </c>
      <c r="AF392" s="3">
        <f t="shared" si="11"/>
        <v>-3</v>
      </c>
    </row>
    <row r="393">
      <c r="W393" s="3">
        <f t="shared" si="6"/>
        <v>3</v>
      </c>
      <c r="AF393" s="3">
        <f t="shared" si="11"/>
        <v>-3</v>
      </c>
    </row>
    <row r="394">
      <c r="W394" s="3">
        <f t="shared" si="6"/>
        <v>3</v>
      </c>
      <c r="AF394" s="3">
        <f t="shared" si="11"/>
        <v>-3</v>
      </c>
    </row>
    <row r="395">
      <c r="W395" s="3">
        <f t="shared" si="6"/>
        <v>3</v>
      </c>
      <c r="AF395" s="3">
        <f t="shared" si="11"/>
        <v>-3</v>
      </c>
    </row>
    <row r="396">
      <c r="W396" s="3">
        <f t="shared" si="6"/>
        <v>3</v>
      </c>
      <c r="AF396" s="3">
        <f t="shared" si="11"/>
        <v>-3</v>
      </c>
    </row>
    <row r="397">
      <c r="W397" s="3">
        <f t="shared" si="6"/>
        <v>3</v>
      </c>
      <c r="AF397" s="3">
        <f t="shared" si="11"/>
        <v>-3</v>
      </c>
    </row>
    <row r="398">
      <c r="W398" s="3">
        <f t="shared" si="6"/>
        <v>3</v>
      </c>
      <c r="AF398" s="3">
        <f t="shared" si="11"/>
        <v>-3</v>
      </c>
    </row>
    <row r="399">
      <c r="W399" s="3">
        <f t="shared" si="6"/>
        <v>3</v>
      </c>
      <c r="AF399" s="3">
        <f t="shared" si="11"/>
        <v>-3</v>
      </c>
    </row>
    <row r="400">
      <c r="W400" s="3">
        <f t="shared" si="6"/>
        <v>3</v>
      </c>
      <c r="AF400" s="3">
        <f t="shared" si="11"/>
        <v>-3</v>
      </c>
    </row>
    <row r="401">
      <c r="W401" s="3">
        <f t="shared" si="6"/>
        <v>3</v>
      </c>
      <c r="AF401" s="3">
        <f t="shared" si="11"/>
        <v>-3</v>
      </c>
    </row>
    <row r="402">
      <c r="W402" s="3">
        <f t="shared" si="6"/>
        <v>3</v>
      </c>
      <c r="AF402" s="3">
        <f t="shared" si="11"/>
        <v>-3</v>
      </c>
    </row>
    <row r="403">
      <c r="W403" s="3">
        <f t="shared" si="6"/>
        <v>3</v>
      </c>
      <c r="AF403" s="3">
        <f t="shared" si="11"/>
        <v>-3</v>
      </c>
    </row>
    <row r="404">
      <c r="W404" s="3">
        <f t="shared" si="6"/>
        <v>3</v>
      </c>
      <c r="AF404" s="3">
        <f t="shared" si="11"/>
        <v>-3</v>
      </c>
    </row>
    <row r="405">
      <c r="W405" s="3">
        <f t="shared" si="6"/>
        <v>3</v>
      </c>
      <c r="AF405" s="3">
        <f t="shared" si="11"/>
        <v>-3</v>
      </c>
    </row>
    <row r="406">
      <c r="W406" s="3">
        <f t="shared" si="6"/>
        <v>3</v>
      </c>
      <c r="AF406" s="3">
        <f t="shared" si="11"/>
        <v>-3</v>
      </c>
    </row>
    <row r="407">
      <c r="W407" s="3">
        <f t="shared" si="6"/>
        <v>3</v>
      </c>
      <c r="AF407" s="3">
        <f t="shared" si="11"/>
        <v>-3</v>
      </c>
    </row>
    <row r="408">
      <c r="W408" s="3">
        <f t="shared" si="6"/>
        <v>3</v>
      </c>
      <c r="AF408" s="3">
        <f t="shared" si="11"/>
        <v>-3</v>
      </c>
    </row>
    <row r="409">
      <c r="W409" s="3">
        <f t="shared" si="6"/>
        <v>3</v>
      </c>
      <c r="AF409" s="3">
        <f t="shared" si="11"/>
        <v>-3</v>
      </c>
    </row>
    <row r="410">
      <c r="W410" s="3">
        <f t="shared" si="6"/>
        <v>3</v>
      </c>
      <c r="AF410" s="3">
        <f t="shared" si="11"/>
        <v>-3</v>
      </c>
    </row>
    <row r="411">
      <c r="W411" s="3">
        <f t="shared" si="6"/>
        <v>3</v>
      </c>
      <c r="AF411" s="3">
        <f t="shared" si="11"/>
        <v>-3</v>
      </c>
    </row>
    <row r="412">
      <c r="W412" s="3">
        <f t="shared" si="6"/>
        <v>3</v>
      </c>
      <c r="AF412" s="3">
        <f t="shared" si="11"/>
        <v>-3</v>
      </c>
    </row>
    <row r="413">
      <c r="W413" s="3">
        <f t="shared" si="6"/>
        <v>3</v>
      </c>
      <c r="AF413" s="3">
        <f t="shared" si="11"/>
        <v>-3</v>
      </c>
    </row>
    <row r="414">
      <c r="W414" s="3">
        <f t="shared" si="6"/>
        <v>3</v>
      </c>
      <c r="AF414" s="3">
        <f t="shared" si="11"/>
        <v>-3</v>
      </c>
    </row>
    <row r="415">
      <c r="W415" s="3">
        <f t="shared" si="6"/>
        <v>3</v>
      </c>
      <c r="AF415" s="3">
        <f t="shared" si="11"/>
        <v>-3</v>
      </c>
    </row>
    <row r="416">
      <c r="W416" s="3">
        <f t="shared" si="6"/>
        <v>3</v>
      </c>
    </row>
    <row r="417">
      <c r="W417" s="3">
        <f t="shared" si="6"/>
        <v>3</v>
      </c>
    </row>
    <row r="418">
      <c r="W418" s="3">
        <f t="shared" si="6"/>
        <v>3</v>
      </c>
    </row>
    <row r="419">
      <c r="W419" s="3">
        <f t="shared" si="6"/>
        <v>3</v>
      </c>
    </row>
    <row r="420">
      <c r="W420" s="3">
        <f t="shared" si="6"/>
        <v>3</v>
      </c>
    </row>
    <row r="421">
      <c r="W421" s="3">
        <f t="shared" si="6"/>
        <v>3</v>
      </c>
    </row>
    <row r="422">
      <c r="W422" s="3">
        <f t="shared" si="6"/>
        <v>3</v>
      </c>
    </row>
    <row r="423">
      <c r="W423" s="3">
        <f t="shared" si="6"/>
        <v>3</v>
      </c>
    </row>
    <row r="424">
      <c r="W424" s="3">
        <f t="shared" si="6"/>
        <v>3</v>
      </c>
    </row>
    <row r="425">
      <c r="W425" s="3">
        <f t="shared" si="6"/>
        <v>3</v>
      </c>
    </row>
    <row r="426">
      <c r="W426" s="3">
        <f t="shared" si="6"/>
        <v>3</v>
      </c>
    </row>
    <row r="427">
      <c r="W427" s="3">
        <f t="shared" si="6"/>
        <v>3</v>
      </c>
    </row>
    <row r="428">
      <c r="W428" s="3">
        <f t="shared" si="6"/>
        <v>3</v>
      </c>
    </row>
    <row r="429">
      <c r="W429" s="3">
        <f t="shared" si="6"/>
        <v>3</v>
      </c>
    </row>
    <row r="430">
      <c r="W430" s="3">
        <f t="shared" si="6"/>
        <v>3</v>
      </c>
    </row>
    <row r="431">
      <c r="W431" s="3">
        <f t="shared" si="6"/>
        <v>3</v>
      </c>
    </row>
    <row r="432">
      <c r="W432" s="3">
        <f t="shared" si="6"/>
        <v>3</v>
      </c>
    </row>
    <row r="433">
      <c r="W433" s="3">
        <f t="shared" si="6"/>
        <v>3</v>
      </c>
    </row>
    <row r="434">
      <c r="W434" s="3">
        <f t="shared" si="6"/>
        <v>3</v>
      </c>
    </row>
    <row r="435">
      <c r="W435" s="3">
        <f t="shared" si="6"/>
        <v>3</v>
      </c>
    </row>
    <row r="436">
      <c r="W436" s="3">
        <f t="shared" si="6"/>
        <v>3</v>
      </c>
    </row>
    <row r="437">
      <c r="W437" s="3">
        <f t="shared" si="6"/>
        <v>3</v>
      </c>
    </row>
    <row r="438">
      <c r="W438" s="3">
        <f t="shared" si="6"/>
        <v>3</v>
      </c>
    </row>
    <row r="439">
      <c r="W439" s="3">
        <f t="shared" si="6"/>
        <v>3</v>
      </c>
    </row>
    <row r="440">
      <c r="W440" s="3">
        <f t="shared" si="6"/>
        <v>3</v>
      </c>
    </row>
    <row r="441">
      <c r="W441" s="3">
        <f t="shared" si="6"/>
        <v>3</v>
      </c>
    </row>
    <row r="442">
      <c r="W442" s="3">
        <f t="shared" si="6"/>
        <v>3</v>
      </c>
    </row>
    <row r="443">
      <c r="W443" s="3">
        <f t="shared" si="6"/>
        <v>3</v>
      </c>
    </row>
    <row r="444">
      <c r="W444" s="3">
        <f t="shared" si="6"/>
        <v>3</v>
      </c>
    </row>
    <row r="445">
      <c r="W445" s="3">
        <f t="shared" si="6"/>
        <v>3</v>
      </c>
    </row>
    <row r="446">
      <c r="W446" s="3">
        <f t="shared" si="6"/>
        <v>3</v>
      </c>
    </row>
    <row r="447">
      <c r="W447" s="3">
        <f t="shared" si="6"/>
        <v>3</v>
      </c>
    </row>
    <row r="448">
      <c r="W448" s="3">
        <f t="shared" si="6"/>
        <v>3</v>
      </c>
    </row>
    <row r="449">
      <c r="W449" s="3">
        <f t="shared" si="6"/>
        <v>3</v>
      </c>
    </row>
    <row r="450">
      <c r="W450" s="3">
        <f t="shared" si="6"/>
        <v>3</v>
      </c>
    </row>
    <row r="451">
      <c r="W451" s="3">
        <f t="shared" si="6"/>
        <v>3</v>
      </c>
    </row>
    <row r="452">
      <c r="W452" s="3">
        <f t="shared" si="6"/>
        <v>3</v>
      </c>
    </row>
    <row r="453">
      <c r="W453" s="3">
        <f t="shared" si="6"/>
        <v>3</v>
      </c>
    </row>
    <row r="454">
      <c r="W454" s="3">
        <f t="shared" si="6"/>
        <v>3</v>
      </c>
    </row>
    <row r="455">
      <c r="W455" s="3">
        <f t="shared" si="6"/>
        <v>3</v>
      </c>
    </row>
    <row r="456">
      <c r="W456" s="3">
        <f t="shared" si="6"/>
        <v>3</v>
      </c>
    </row>
    <row r="457">
      <c r="W457" s="3">
        <f t="shared" si="6"/>
        <v>3</v>
      </c>
    </row>
    <row r="458">
      <c r="W458" s="3">
        <f t="shared" si="6"/>
        <v>3</v>
      </c>
    </row>
    <row r="459">
      <c r="W459" s="3">
        <f t="shared" si="6"/>
        <v>3</v>
      </c>
    </row>
    <row r="460">
      <c r="W460" s="3">
        <f t="shared" si="6"/>
        <v>3</v>
      </c>
    </row>
    <row r="461">
      <c r="W461" s="3">
        <f t="shared" si="6"/>
        <v>3</v>
      </c>
    </row>
    <row r="462">
      <c r="W462" s="3">
        <f t="shared" si="6"/>
        <v>3</v>
      </c>
    </row>
    <row r="463">
      <c r="W463" s="3">
        <f t="shared" si="6"/>
        <v>3</v>
      </c>
    </row>
    <row r="464">
      <c r="W464" s="3">
        <f t="shared" si="6"/>
        <v>3</v>
      </c>
    </row>
    <row r="465">
      <c r="W465" s="3">
        <f t="shared" si="6"/>
        <v>3</v>
      </c>
    </row>
    <row r="466">
      <c r="W466" s="3">
        <f t="shared" si="6"/>
        <v>3</v>
      </c>
    </row>
    <row r="467">
      <c r="W467" s="3">
        <f t="shared" si="6"/>
        <v>3</v>
      </c>
    </row>
    <row r="468">
      <c r="W468" s="3">
        <f t="shared" si="6"/>
        <v>3</v>
      </c>
    </row>
    <row r="469">
      <c r="W469" s="3">
        <f t="shared" si="6"/>
        <v>3</v>
      </c>
    </row>
    <row r="470">
      <c r="W470" s="3">
        <f t="shared" si="6"/>
        <v>3</v>
      </c>
    </row>
    <row r="471">
      <c r="W471" s="3">
        <f t="shared" si="6"/>
        <v>3</v>
      </c>
    </row>
    <row r="472">
      <c r="W472" s="3">
        <f t="shared" si="6"/>
        <v>3</v>
      </c>
    </row>
    <row r="473">
      <c r="W473" s="3">
        <f t="shared" si="6"/>
        <v>3</v>
      </c>
    </row>
    <row r="474">
      <c r="W474" s="3">
        <f t="shared" si="6"/>
        <v>3</v>
      </c>
    </row>
    <row r="475">
      <c r="W475" s="3">
        <f t="shared" si="6"/>
        <v>3</v>
      </c>
    </row>
    <row r="476">
      <c r="W476" s="3">
        <f t="shared" si="6"/>
        <v>3</v>
      </c>
    </row>
    <row r="477">
      <c r="W477" s="3">
        <f t="shared" si="6"/>
        <v>3</v>
      </c>
    </row>
    <row r="478">
      <c r="W478" s="3">
        <f t="shared" si="6"/>
        <v>3</v>
      </c>
    </row>
    <row r="479">
      <c r="W479" s="3">
        <f t="shared" si="6"/>
        <v>3</v>
      </c>
    </row>
    <row r="480">
      <c r="W480" s="3">
        <f t="shared" si="6"/>
        <v>3</v>
      </c>
    </row>
    <row r="481">
      <c r="W481" s="3">
        <f t="shared" si="6"/>
        <v>3</v>
      </c>
    </row>
    <row r="482">
      <c r="W482" s="3">
        <f t="shared" si="6"/>
        <v>3</v>
      </c>
    </row>
    <row r="483">
      <c r="W483" s="3">
        <f t="shared" si="6"/>
        <v>3</v>
      </c>
    </row>
    <row r="484">
      <c r="W484" s="3">
        <f t="shared" si="6"/>
        <v>3</v>
      </c>
    </row>
    <row r="485">
      <c r="W485" s="3">
        <f t="shared" si="6"/>
        <v>3</v>
      </c>
    </row>
    <row r="486">
      <c r="W486" s="3">
        <f t="shared" si="6"/>
        <v>3</v>
      </c>
    </row>
    <row r="487">
      <c r="W487" s="3">
        <f t="shared" si="6"/>
        <v>3</v>
      </c>
    </row>
    <row r="488">
      <c r="W488" s="3">
        <f t="shared" si="6"/>
        <v>3</v>
      </c>
    </row>
    <row r="489">
      <c r="W489" s="3">
        <f t="shared" si="6"/>
        <v>3</v>
      </c>
    </row>
    <row r="490">
      <c r="W490" s="3">
        <f t="shared" si="6"/>
        <v>3</v>
      </c>
    </row>
    <row r="491">
      <c r="W491" s="3">
        <f t="shared" si="6"/>
        <v>3</v>
      </c>
    </row>
    <row r="492">
      <c r="W492" s="3">
        <f t="shared" si="6"/>
        <v>3</v>
      </c>
    </row>
    <row r="493">
      <c r="W493" s="3">
        <f t="shared" si="6"/>
        <v>3</v>
      </c>
    </row>
    <row r="494">
      <c r="W494" s="3">
        <f t="shared" si="6"/>
        <v>3</v>
      </c>
    </row>
    <row r="495">
      <c r="W495" s="3">
        <f t="shared" si="6"/>
        <v>3</v>
      </c>
    </row>
    <row r="496">
      <c r="W496" s="3">
        <f t="shared" si="6"/>
        <v>3</v>
      </c>
    </row>
    <row r="497">
      <c r="W497" s="3">
        <f t="shared" si="6"/>
        <v>3</v>
      </c>
    </row>
    <row r="498">
      <c r="W498" s="3">
        <f t="shared" si="6"/>
        <v>3</v>
      </c>
    </row>
    <row r="499">
      <c r="W499" s="3">
        <f t="shared" si="6"/>
        <v>3</v>
      </c>
    </row>
    <row r="500">
      <c r="W500" s="3">
        <f t="shared" si="6"/>
        <v>3</v>
      </c>
    </row>
    <row r="501">
      <c r="W501" s="3">
        <f t="shared" si="6"/>
        <v>3</v>
      </c>
    </row>
    <row r="502">
      <c r="W502" s="3">
        <f t="shared" si="6"/>
        <v>3</v>
      </c>
    </row>
    <row r="503">
      <c r="W503" s="3">
        <f t="shared" si="6"/>
        <v>3</v>
      </c>
    </row>
    <row r="504">
      <c r="W504" s="3">
        <f t="shared" si="6"/>
        <v>3</v>
      </c>
    </row>
    <row r="505">
      <c r="W505" s="3">
        <f t="shared" si="6"/>
        <v>3</v>
      </c>
    </row>
    <row r="506">
      <c r="W506" s="3">
        <f t="shared" si="6"/>
        <v>3</v>
      </c>
    </row>
    <row r="507">
      <c r="W507" s="3">
        <f t="shared" si="6"/>
        <v>3</v>
      </c>
    </row>
    <row r="508">
      <c r="W508" s="3">
        <f t="shared" si="6"/>
        <v>3</v>
      </c>
    </row>
    <row r="509">
      <c r="W509" s="3">
        <f t="shared" si="6"/>
        <v>3</v>
      </c>
    </row>
    <row r="510">
      <c r="W510" s="3">
        <f t="shared" si="6"/>
        <v>3</v>
      </c>
    </row>
    <row r="511">
      <c r="W511" s="3">
        <f t="shared" si="6"/>
        <v>3</v>
      </c>
    </row>
    <row r="512">
      <c r="W512" s="3">
        <f t="shared" si="6"/>
        <v>3</v>
      </c>
    </row>
    <row r="513">
      <c r="W513" s="3">
        <f t="shared" si="6"/>
        <v>3</v>
      </c>
    </row>
    <row r="514">
      <c r="W514" s="3">
        <f t="shared" si="6"/>
        <v>3</v>
      </c>
    </row>
    <row r="515">
      <c r="W515" s="3">
        <f t="shared" si="6"/>
        <v>3</v>
      </c>
    </row>
    <row r="516">
      <c r="W516" s="3">
        <f t="shared" si="6"/>
        <v>3</v>
      </c>
    </row>
    <row r="517">
      <c r="W517" s="3">
        <f t="shared" si="6"/>
        <v>3</v>
      </c>
    </row>
    <row r="518">
      <c r="W518" s="3">
        <f t="shared" si="6"/>
        <v>3</v>
      </c>
    </row>
    <row r="519">
      <c r="W519" s="3">
        <f t="shared" si="6"/>
        <v>3</v>
      </c>
    </row>
    <row r="520">
      <c r="W520" s="3">
        <f t="shared" si="6"/>
        <v>3</v>
      </c>
    </row>
    <row r="521">
      <c r="W521" s="3">
        <f t="shared" si="6"/>
        <v>3</v>
      </c>
    </row>
    <row r="522">
      <c r="W522" s="3">
        <f t="shared" si="6"/>
        <v>3</v>
      </c>
    </row>
    <row r="523">
      <c r="W523" s="3">
        <f t="shared" si="6"/>
        <v>3</v>
      </c>
    </row>
    <row r="524">
      <c r="W524" s="3">
        <f t="shared" si="6"/>
        <v>3</v>
      </c>
    </row>
    <row r="525">
      <c r="W525" s="3">
        <f t="shared" si="6"/>
        <v>3</v>
      </c>
    </row>
    <row r="526">
      <c r="W526" s="3">
        <f t="shared" si="6"/>
        <v>3</v>
      </c>
    </row>
    <row r="527">
      <c r="W527" s="3">
        <f t="shared" si="6"/>
        <v>3</v>
      </c>
    </row>
    <row r="528">
      <c r="W528" s="3">
        <f t="shared" si="6"/>
        <v>3</v>
      </c>
    </row>
    <row r="529">
      <c r="W529" s="3">
        <f t="shared" si="6"/>
        <v>3</v>
      </c>
    </row>
    <row r="530">
      <c r="W530" s="3">
        <f t="shared" si="6"/>
        <v>3</v>
      </c>
    </row>
    <row r="531">
      <c r="W531" s="3">
        <f t="shared" si="6"/>
        <v>3</v>
      </c>
    </row>
    <row r="532">
      <c r="W532" s="3">
        <f t="shared" si="6"/>
        <v>3</v>
      </c>
    </row>
    <row r="533">
      <c r="W533" s="3">
        <f t="shared" si="6"/>
        <v>3</v>
      </c>
    </row>
    <row r="534">
      <c r="W534" s="3">
        <f t="shared" si="6"/>
        <v>3</v>
      </c>
    </row>
    <row r="535">
      <c r="W535" s="3">
        <f t="shared" si="6"/>
        <v>3</v>
      </c>
    </row>
    <row r="536">
      <c r="W536" s="3">
        <f t="shared" si="6"/>
        <v>3</v>
      </c>
    </row>
    <row r="537">
      <c r="W537" s="3">
        <f t="shared" si="6"/>
        <v>3</v>
      </c>
    </row>
    <row r="538">
      <c r="W538" s="3">
        <f t="shared" si="6"/>
        <v>3</v>
      </c>
    </row>
    <row r="539">
      <c r="W539" s="3">
        <f t="shared" si="6"/>
        <v>3</v>
      </c>
    </row>
    <row r="540">
      <c r="W540" s="3">
        <f t="shared" si="6"/>
        <v>3</v>
      </c>
    </row>
    <row r="541">
      <c r="W541" s="3">
        <f t="shared" si="6"/>
        <v>3</v>
      </c>
    </row>
    <row r="542">
      <c r="W542" s="3">
        <f t="shared" si="6"/>
        <v>3</v>
      </c>
    </row>
    <row r="543">
      <c r="W543" s="3">
        <f t="shared" si="6"/>
        <v>3</v>
      </c>
    </row>
    <row r="544">
      <c r="W544" s="3">
        <f t="shared" si="6"/>
        <v>3</v>
      </c>
    </row>
    <row r="545">
      <c r="W545" s="3">
        <f t="shared" si="6"/>
        <v>3</v>
      </c>
    </row>
    <row r="546">
      <c r="W546" s="3">
        <f t="shared" si="6"/>
        <v>3</v>
      </c>
    </row>
    <row r="547">
      <c r="W547" s="3">
        <f t="shared" si="6"/>
        <v>3</v>
      </c>
    </row>
    <row r="548">
      <c r="W548" s="3">
        <f t="shared" si="6"/>
        <v>3</v>
      </c>
    </row>
    <row r="549">
      <c r="W549" s="3">
        <f t="shared" si="6"/>
        <v>3</v>
      </c>
    </row>
    <row r="550">
      <c r="W550" s="3">
        <f t="shared" si="6"/>
        <v>3</v>
      </c>
    </row>
    <row r="551">
      <c r="W551" s="3">
        <f t="shared" si="6"/>
        <v>3</v>
      </c>
    </row>
    <row r="552">
      <c r="W552" s="3">
        <f t="shared" si="6"/>
        <v>3</v>
      </c>
    </row>
    <row r="553">
      <c r="W553" s="3">
        <f t="shared" si="6"/>
        <v>3</v>
      </c>
    </row>
    <row r="554">
      <c r="W554" s="3">
        <f t="shared" si="6"/>
        <v>3</v>
      </c>
    </row>
    <row r="555">
      <c r="W555" s="3">
        <f t="shared" si="6"/>
        <v>3</v>
      </c>
    </row>
    <row r="556">
      <c r="W556" s="3">
        <f t="shared" si="6"/>
        <v>3</v>
      </c>
    </row>
    <row r="557">
      <c r="W557" s="3">
        <f t="shared" si="6"/>
        <v>3</v>
      </c>
    </row>
    <row r="558">
      <c r="W558" s="3">
        <f t="shared" si="6"/>
        <v>3</v>
      </c>
    </row>
    <row r="559">
      <c r="W559" s="3">
        <f t="shared" si="6"/>
        <v>3</v>
      </c>
    </row>
    <row r="560">
      <c r="W560" s="3">
        <f t="shared" si="6"/>
        <v>3</v>
      </c>
    </row>
    <row r="561">
      <c r="W561" s="3">
        <f t="shared" si="6"/>
        <v>3</v>
      </c>
    </row>
    <row r="562">
      <c r="W562" s="3">
        <f t="shared" si="6"/>
        <v>3</v>
      </c>
    </row>
    <row r="563">
      <c r="W563" s="3">
        <f t="shared" si="6"/>
        <v>3</v>
      </c>
    </row>
    <row r="564">
      <c r="W564" s="3">
        <f t="shared" si="6"/>
        <v>3</v>
      </c>
    </row>
    <row r="565">
      <c r="W565" s="3">
        <f t="shared" si="6"/>
        <v>3</v>
      </c>
    </row>
    <row r="566">
      <c r="W566" s="3">
        <f t="shared" si="6"/>
        <v>3</v>
      </c>
    </row>
    <row r="567">
      <c r="W567" s="3">
        <f t="shared" si="6"/>
        <v>3</v>
      </c>
    </row>
    <row r="568">
      <c r="W568" s="3">
        <f t="shared" si="6"/>
        <v>3</v>
      </c>
    </row>
    <row r="569">
      <c r="W569" s="3">
        <f t="shared" si="6"/>
        <v>3</v>
      </c>
    </row>
    <row r="570">
      <c r="W570" s="3">
        <f t="shared" si="6"/>
        <v>3</v>
      </c>
    </row>
    <row r="571">
      <c r="W571" s="3">
        <f t="shared" si="6"/>
        <v>3</v>
      </c>
    </row>
    <row r="572">
      <c r="W572" s="3">
        <f t="shared" si="6"/>
        <v>3</v>
      </c>
    </row>
    <row r="573">
      <c r="W573" s="3">
        <f t="shared" si="6"/>
        <v>3</v>
      </c>
    </row>
    <row r="574">
      <c r="W574" s="3">
        <f t="shared" si="6"/>
        <v>3</v>
      </c>
    </row>
    <row r="575">
      <c r="W575" s="3">
        <f t="shared" si="6"/>
        <v>3</v>
      </c>
    </row>
    <row r="576">
      <c r="W576" s="3">
        <f t="shared" si="6"/>
        <v>3</v>
      </c>
    </row>
    <row r="577">
      <c r="W577" s="3">
        <f t="shared" si="6"/>
        <v>3</v>
      </c>
    </row>
    <row r="578">
      <c r="W578" s="3">
        <f t="shared" si="6"/>
        <v>3</v>
      </c>
    </row>
    <row r="579">
      <c r="W579" s="3">
        <f t="shared" si="6"/>
        <v>3</v>
      </c>
    </row>
    <row r="580">
      <c r="W580" s="3">
        <f t="shared" si="6"/>
        <v>3</v>
      </c>
    </row>
    <row r="581">
      <c r="W581" s="3">
        <f t="shared" si="6"/>
        <v>3</v>
      </c>
    </row>
    <row r="582">
      <c r="W582" s="3">
        <f t="shared" si="6"/>
        <v>3</v>
      </c>
    </row>
    <row r="583">
      <c r="W583" s="3">
        <f t="shared" si="6"/>
        <v>3</v>
      </c>
    </row>
    <row r="584">
      <c r="W584" s="3">
        <f t="shared" si="6"/>
        <v>3</v>
      </c>
    </row>
    <row r="585">
      <c r="W585" s="3">
        <f t="shared" si="6"/>
        <v>3</v>
      </c>
    </row>
    <row r="586">
      <c r="W586" s="3">
        <f t="shared" si="6"/>
        <v>3</v>
      </c>
    </row>
    <row r="587">
      <c r="W587" s="3">
        <f t="shared" si="6"/>
        <v>3</v>
      </c>
    </row>
    <row r="588">
      <c r="W588" s="3">
        <f t="shared" si="6"/>
        <v>3</v>
      </c>
    </row>
    <row r="589">
      <c r="W589" s="3">
        <f t="shared" si="6"/>
        <v>3</v>
      </c>
    </row>
    <row r="590">
      <c r="W590" s="3">
        <f t="shared" si="6"/>
        <v>3</v>
      </c>
    </row>
    <row r="591">
      <c r="W591" s="3">
        <f t="shared" si="6"/>
        <v>3</v>
      </c>
    </row>
    <row r="592">
      <c r="W592" s="3">
        <f t="shared" si="6"/>
        <v>3</v>
      </c>
    </row>
    <row r="593">
      <c r="W593" s="3">
        <f t="shared" si="6"/>
        <v>3</v>
      </c>
    </row>
    <row r="594">
      <c r="W594" s="3">
        <f t="shared" si="6"/>
        <v>3</v>
      </c>
    </row>
    <row r="595">
      <c r="W595" s="3">
        <f t="shared" si="6"/>
        <v>3</v>
      </c>
    </row>
    <row r="596">
      <c r="W596" s="3">
        <f t="shared" si="6"/>
        <v>3</v>
      </c>
    </row>
    <row r="597">
      <c r="W597" s="3">
        <f t="shared" si="6"/>
        <v>3</v>
      </c>
    </row>
    <row r="598">
      <c r="W598" s="3">
        <f t="shared" si="6"/>
        <v>3</v>
      </c>
    </row>
    <row r="599">
      <c r="W599" s="3">
        <f t="shared" si="6"/>
        <v>3</v>
      </c>
    </row>
    <row r="600">
      <c r="W600" s="3">
        <f t="shared" si="6"/>
        <v>3</v>
      </c>
    </row>
    <row r="601">
      <c r="W601" s="3">
        <f t="shared" si="6"/>
        <v>3</v>
      </c>
    </row>
    <row r="602">
      <c r="W602" s="3">
        <f t="shared" si="6"/>
        <v>3</v>
      </c>
    </row>
    <row r="603">
      <c r="W603" s="3">
        <f t="shared" si="6"/>
        <v>3</v>
      </c>
    </row>
    <row r="604">
      <c r="W604" s="3">
        <f t="shared" si="6"/>
        <v>3</v>
      </c>
    </row>
    <row r="605">
      <c r="W605" s="3">
        <f t="shared" si="6"/>
        <v>3</v>
      </c>
    </row>
    <row r="606">
      <c r="W606" s="3">
        <f t="shared" si="6"/>
        <v>3</v>
      </c>
    </row>
  </sheetData>
  <conditionalFormatting sqref="AN19:AN30">
    <cfRule type="colorScale" priority="1">
      <colorScale>
        <cfvo type="min"/>
        <cfvo type="percentile" val="50"/>
        <cfvo type="max"/>
        <color rgb="FFDD7E6B"/>
        <color rgb="FFFFFFFF"/>
        <color rgb="FF57BB8A"/>
      </colorScale>
    </cfRule>
  </conditionalFormatting>
  <conditionalFormatting sqref="AG2:AG545">
    <cfRule type="colorScale" priority="2">
      <colorScale>
        <cfvo type="min"/>
        <cfvo type="formula" val="-0.1428571429"/>
        <cfvo type="max"/>
        <color rgb="FFB6D7A8"/>
        <color rgb="FFEFEFEF"/>
        <color rgb="FF93C47D"/>
      </colorScale>
    </cfRule>
  </conditionalFormatting>
  <conditionalFormatting sqref="AK19:AK30">
    <cfRule type="colorScale" priority="3">
      <colorScale>
        <cfvo type="min"/>
        <cfvo type="max"/>
        <color rgb="FFD9EAD3"/>
        <color rgb="FF57BB8A"/>
      </colorScale>
    </cfRule>
  </conditionalFormatting>
  <conditionalFormatting sqref="J1:J476">
    <cfRule type="cellIs" dxfId="0" priority="4" operator="greaterThan">
      <formula>0</formula>
    </cfRule>
  </conditionalFormatting>
  <conditionalFormatting sqref="O1:O476">
    <cfRule type="cellIs" dxfId="0" priority="5" operator="greaterThan">
      <formula>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SUM(AE2:AE99967)</f>
        <v>-31.9095227</v>
      </c>
      <c r="AH1" s="2">
        <f>COUNTIF(AC:AC,1)/COUNT(AC:AC)</f>
        <v>0.5107438017</v>
      </c>
      <c r="AI1" s="3">
        <f>COUNTIF(AC:AC,1)</f>
        <v>309</v>
      </c>
      <c r="AJ1" s="1">
        <f>COUNT(AC:AC)-AI1</f>
        <v>296</v>
      </c>
      <c r="AK1" s="1"/>
      <c r="AL1" s="1"/>
      <c r="AM1" s="1"/>
      <c r="AN1" s="1"/>
      <c r="AO1" s="1"/>
      <c r="AP1" s="1"/>
      <c r="AQ1" s="1"/>
      <c r="AR1" s="1"/>
    </row>
    <row r="2">
      <c r="A2" s="1" t="s">
        <v>12</v>
      </c>
      <c r="B2" s="1" t="s">
        <v>451</v>
      </c>
      <c r="C2" s="1" t="s">
        <v>18</v>
      </c>
      <c r="D2" s="1" t="s">
        <v>105</v>
      </c>
      <c r="E2" s="1" t="s">
        <v>197</v>
      </c>
      <c r="F2" s="1" t="s">
        <v>516</v>
      </c>
      <c r="G2" s="1">
        <v>2.5</v>
      </c>
      <c r="H2" s="1" t="s">
        <v>60</v>
      </c>
      <c r="I2" s="1">
        <v>-155.0</v>
      </c>
      <c r="J2" s="1">
        <v>-0.308578285607843</v>
      </c>
      <c r="K2" s="1" t="s">
        <v>61</v>
      </c>
      <c r="L2" s="1" t="s">
        <v>61</v>
      </c>
      <c r="M2" s="1" t="s">
        <v>62</v>
      </c>
      <c r="N2" s="1">
        <v>117.0</v>
      </c>
      <c r="O2" s="1">
        <v>0.239911810276497</v>
      </c>
      <c r="P2" s="1" t="s">
        <v>61</v>
      </c>
      <c r="Q2" s="1" t="s">
        <v>61</v>
      </c>
      <c r="R2" s="1">
        <f t="shared" ref="R2:R606" si="1">if(O2&gt;0, O2, J2)</f>
        <v>0.2399118103</v>
      </c>
      <c r="S2" s="1">
        <f t="shared" ref="S2:S606" si="2">if(O2&gt;0,N2,I2)</f>
        <v>117</v>
      </c>
      <c r="T2" s="1">
        <f t="shared" ref="T2:T606" si="3">if(S2&gt;0, S2/100, -100/S2) + 1</f>
        <v>2.17</v>
      </c>
      <c r="U2" s="1">
        <f t="shared" ref="U2:U606" si="4">if(and(M2="under", O2&gt;0),0,1)</f>
        <v>0</v>
      </c>
      <c r="V2" s="3">
        <f t="shared" ref="V2:V606" si="5">IF(R2&lt;0.05, 1,if(R2&gt;0.1,3,2))</f>
        <v>3</v>
      </c>
      <c r="W2" s="3">
        <f t="shared" ref="W2:W606" si="6">IFS(T2&gt;2.1, 1, T2&lt;1.85,3, TRUE,2)</f>
        <v>1</v>
      </c>
      <c r="X2" s="3" t="str">
        <f>IFERROR(__xludf.DUMMYFUNCTION("split(B2,"" "")"),"G.")</f>
        <v>G.</v>
      </c>
      <c r="Y2" s="3" t="str">
        <f>IFERROR(__xludf.DUMMYFUNCTION("""COMPUTED_VALUE"""),"Dortch")</f>
        <v>Dortch</v>
      </c>
      <c r="AA2" s="3">
        <v>3.0</v>
      </c>
      <c r="AB2" s="3">
        <f t="shared" ref="AB2:AB606" si="7">if(AA2&lt;G2,0,1)</f>
        <v>1</v>
      </c>
      <c r="AC2" s="3">
        <f t="shared" ref="AC2:AC606" si="8">if(AB2=U2,1,0)</f>
        <v>0</v>
      </c>
      <c r="AD2" s="3">
        <f t="shared" ref="AD2:AD606" si="9">if(S2&lt;0, (100/(-S2))*V2, (S2/100)*V2)</f>
        <v>3.51</v>
      </c>
      <c r="AE2" s="3">
        <f t="shared" ref="AE2:AE606" si="10">if(AC2=1,AD2,-V2)</f>
        <v>-3</v>
      </c>
      <c r="AF2" s="3">
        <f t="shared" ref="AF2:AF631" si="11">IF(AC2=0, -W2, (W2*T2)-W2)</f>
        <v>-1</v>
      </c>
      <c r="AG2" s="3">
        <f t="shared" ref="AG2:AG606" si="12">if(AC2 = 1, ABS((AA2-G2)/G2), ABS((AA2-G2)/G2)*-1)</f>
        <v>-0.2</v>
      </c>
    </row>
    <row r="3">
      <c r="A3" s="1" t="s">
        <v>8</v>
      </c>
      <c r="B3" s="1" t="s">
        <v>204</v>
      </c>
      <c r="C3" s="1" t="s">
        <v>21</v>
      </c>
      <c r="D3" s="1" t="s">
        <v>105</v>
      </c>
      <c r="E3" s="1" t="s">
        <v>197</v>
      </c>
      <c r="F3" s="1" t="s">
        <v>516</v>
      </c>
      <c r="G3" s="1">
        <v>5.5</v>
      </c>
      <c r="H3" s="1" t="s">
        <v>60</v>
      </c>
      <c r="I3" s="1">
        <v>-139.0</v>
      </c>
      <c r="J3" s="1">
        <v>-0.259094435852938</v>
      </c>
      <c r="K3" s="1" t="s">
        <v>61</v>
      </c>
      <c r="L3" s="1" t="s">
        <v>61</v>
      </c>
      <c r="M3" s="1" t="s">
        <v>62</v>
      </c>
      <c r="N3" s="1">
        <v>104.0</v>
      </c>
      <c r="O3" s="1">
        <v>0.187292010631628</v>
      </c>
      <c r="P3" s="1" t="s">
        <v>61</v>
      </c>
      <c r="Q3" s="1" t="s">
        <v>61</v>
      </c>
      <c r="R3" s="1">
        <f t="shared" si="1"/>
        <v>0.1872920106</v>
      </c>
      <c r="S3" s="1">
        <f t="shared" si="2"/>
        <v>104</v>
      </c>
      <c r="T3" s="1">
        <f t="shared" si="3"/>
        <v>2.04</v>
      </c>
      <c r="U3" s="1">
        <f t="shared" si="4"/>
        <v>0</v>
      </c>
      <c r="V3" s="3">
        <f t="shared" si="5"/>
        <v>3</v>
      </c>
      <c r="W3" s="3">
        <f t="shared" si="6"/>
        <v>2</v>
      </c>
      <c r="X3" s="3" t="str">
        <f>IFERROR(__xludf.DUMMYFUNCTION("split(B3,"" "")"),"K.")</f>
        <v>K.</v>
      </c>
      <c r="Y3" s="3" t="str">
        <f>IFERROR(__xludf.DUMMYFUNCTION("""COMPUTED_VALUE"""),"Murray")</f>
        <v>Murray</v>
      </c>
      <c r="AA3" s="3">
        <v>5.0</v>
      </c>
      <c r="AB3" s="3">
        <f t="shared" si="7"/>
        <v>0</v>
      </c>
      <c r="AC3" s="3">
        <f t="shared" si="8"/>
        <v>1</v>
      </c>
      <c r="AD3" s="3">
        <f t="shared" si="9"/>
        <v>3.12</v>
      </c>
      <c r="AE3" s="3">
        <f t="shared" si="10"/>
        <v>3.12</v>
      </c>
      <c r="AF3" s="3">
        <f t="shared" si="11"/>
        <v>2.08</v>
      </c>
      <c r="AG3" s="3">
        <f t="shared" si="12"/>
        <v>0.09090909091</v>
      </c>
    </row>
    <row r="4">
      <c r="A4" s="1" t="s">
        <v>12</v>
      </c>
      <c r="B4" s="1" t="s">
        <v>452</v>
      </c>
      <c r="C4" s="1" t="s">
        <v>18</v>
      </c>
      <c r="D4" s="1" t="s">
        <v>105</v>
      </c>
      <c r="E4" s="1" t="s">
        <v>197</v>
      </c>
      <c r="F4" s="1" t="s">
        <v>516</v>
      </c>
      <c r="G4" s="1">
        <v>5.5</v>
      </c>
      <c r="H4" s="1" t="s">
        <v>60</v>
      </c>
      <c r="I4" s="1">
        <v>116.0</v>
      </c>
      <c r="J4" s="1">
        <v>0.0818907407407408</v>
      </c>
      <c r="K4" s="1" t="s">
        <v>61</v>
      </c>
      <c r="L4" s="1" t="s">
        <v>61</v>
      </c>
      <c r="M4" s="1" t="s">
        <v>62</v>
      </c>
      <c r="N4" s="1">
        <v>-152.0</v>
      </c>
      <c r="O4" s="1">
        <v>-0.14803492063492</v>
      </c>
      <c r="P4" s="1" t="s">
        <v>61</v>
      </c>
      <c r="Q4" s="1" t="s">
        <v>61</v>
      </c>
      <c r="R4" s="1">
        <f t="shared" si="1"/>
        <v>0.08189074074</v>
      </c>
      <c r="S4" s="1">
        <f t="shared" si="2"/>
        <v>116</v>
      </c>
      <c r="T4" s="1">
        <f t="shared" si="3"/>
        <v>2.16</v>
      </c>
      <c r="U4" s="1">
        <f t="shared" si="4"/>
        <v>1</v>
      </c>
      <c r="V4" s="3">
        <f t="shared" si="5"/>
        <v>2</v>
      </c>
      <c r="W4" s="3">
        <f t="shared" si="6"/>
        <v>1</v>
      </c>
      <c r="X4" s="3" t="str">
        <f>IFERROR(__xludf.DUMMYFUNCTION("split(B4,"" "")"),"M.")</f>
        <v>M.</v>
      </c>
      <c r="Y4" s="3" t="str">
        <f>IFERROR(__xludf.DUMMYFUNCTION("""COMPUTED_VALUE"""),"Harrison")</f>
        <v>Harrison</v>
      </c>
      <c r="Z4" s="3" t="str">
        <f>IFERROR(__xludf.DUMMYFUNCTION("""COMPUTED_VALUE"""),"Jr.")</f>
        <v>Jr.</v>
      </c>
      <c r="AA4" s="3">
        <v>5.0</v>
      </c>
      <c r="AB4" s="3">
        <f t="shared" si="7"/>
        <v>0</v>
      </c>
      <c r="AC4" s="3">
        <f t="shared" si="8"/>
        <v>0</v>
      </c>
      <c r="AD4" s="3">
        <f t="shared" si="9"/>
        <v>2.32</v>
      </c>
      <c r="AE4" s="3">
        <f t="shared" si="10"/>
        <v>-2</v>
      </c>
      <c r="AF4" s="3">
        <f t="shared" si="11"/>
        <v>-1</v>
      </c>
      <c r="AG4" s="3">
        <f t="shared" si="12"/>
        <v>-0.09090909091</v>
      </c>
      <c r="AH4" s="1" t="s">
        <v>18</v>
      </c>
      <c r="AI4" s="3">
        <f t="shared" ref="AI4:AI7" si="13">COUNTIFS(C:C, "="&amp;AH4, AC:AC, "=1")</f>
        <v>88</v>
      </c>
      <c r="AJ4" s="3">
        <f t="shared" ref="AJ4:AJ7" si="14">countif(C:C, "="&amp;AH4)</f>
        <v>196</v>
      </c>
      <c r="AK4" s="3">
        <f t="shared" ref="AK4:AK7" si="15">AI4/AJ4</f>
        <v>0.4489795918</v>
      </c>
    </row>
    <row r="5">
      <c r="A5" s="1" t="s">
        <v>12</v>
      </c>
      <c r="B5" s="1" t="s">
        <v>345</v>
      </c>
      <c r="C5" s="1" t="s">
        <v>19</v>
      </c>
      <c r="D5" s="1" t="s">
        <v>105</v>
      </c>
      <c r="E5" s="1" t="s">
        <v>197</v>
      </c>
      <c r="F5" s="1" t="s">
        <v>516</v>
      </c>
      <c r="G5" s="1">
        <v>2.5</v>
      </c>
      <c r="H5" s="1" t="s">
        <v>60</v>
      </c>
      <c r="I5" s="1">
        <v>123.0</v>
      </c>
      <c r="J5" s="1">
        <v>-0.146679745617488</v>
      </c>
      <c r="K5" s="1" t="s">
        <v>61</v>
      </c>
      <c r="L5" s="1" t="s">
        <v>61</v>
      </c>
      <c r="M5" s="1" t="s">
        <v>62</v>
      </c>
      <c r="N5" s="1">
        <v>-162.0</v>
      </c>
      <c r="O5" s="1">
        <v>0.0799346021900764</v>
      </c>
      <c r="P5" s="1" t="s">
        <v>61</v>
      </c>
      <c r="Q5" s="1" t="s">
        <v>61</v>
      </c>
      <c r="R5" s="1">
        <f t="shared" si="1"/>
        <v>0.07993460219</v>
      </c>
      <c r="S5" s="1">
        <f t="shared" si="2"/>
        <v>-162</v>
      </c>
      <c r="T5" s="1">
        <f t="shared" si="3"/>
        <v>1.617283951</v>
      </c>
      <c r="U5" s="1">
        <f t="shared" si="4"/>
        <v>0</v>
      </c>
      <c r="V5" s="3">
        <f t="shared" si="5"/>
        <v>2</v>
      </c>
      <c r="W5" s="3">
        <f t="shared" si="6"/>
        <v>3</v>
      </c>
      <c r="X5" s="3" t="str">
        <f>IFERROR(__xludf.DUMMYFUNCTION("split(B5,"" "")"),"J.")</f>
        <v>J.</v>
      </c>
      <c r="Y5" s="3" t="str">
        <f>IFERROR(__xludf.DUMMYFUNCTION("""COMPUTED_VALUE"""),"Conner")</f>
        <v>Conner</v>
      </c>
      <c r="AA5" s="3">
        <v>1.0</v>
      </c>
      <c r="AB5" s="3">
        <f t="shared" si="7"/>
        <v>0</v>
      </c>
      <c r="AC5" s="3">
        <f t="shared" si="8"/>
        <v>1</v>
      </c>
      <c r="AD5" s="3">
        <f t="shared" si="9"/>
        <v>1.234567901</v>
      </c>
      <c r="AE5" s="3">
        <f t="shared" si="10"/>
        <v>1.234567901</v>
      </c>
      <c r="AF5" s="3">
        <f t="shared" si="11"/>
        <v>1.851851852</v>
      </c>
      <c r="AG5" s="3">
        <f t="shared" si="12"/>
        <v>0.6</v>
      </c>
      <c r="AH5" s="1" t="s">
        <v>19</v>
      </c>
      <c r="AI5" s="3">
        <f t="shared" si="13"/>
        <v>108</v>
      </c>
      <c r="AJ5" s="3">
        <f t="shared" si="14"/>
        <v>200</v>
      </c>
      <c r="AK5" s="3">
        <f t="shared" si="15"/>
        <v>0.54</v>
      </c>
    </row>
    <row r="6">
      <c r="A6" s="1" t="s">
        <v>9</v>
      </c>
      <c r="B6" s="1" t="s">
        <v>233</v>
      </c>
      <c r="C6" s="1" t="s">
        <v>18</v>
      </c>
      <c r="D6" s="1" t="s">
        <v>105</v>
      </c>
      <c r="E6" s="1" t="s">
        <v>197</v>
      </c>
      <c r="F6" s="1" t="s">
        <v>516</v>
      </c>
      <c r="G6" s="1">
        <v>26.5</v>
      </c>
      <c r="H6" s="1" t="s">
        <v>60</v>
      </c>
      <c r="I6" s="1">
        <v>-110.0</v>
      </c>
      <c r="J6" s="1">
        <v>0.0754525773495446</v>
      </c>
      <c r="K6" s="1" t="s">
        <v>61</v>
      </c>
      <c r="L6" s="1" t="s">
        <v>61</v>
      </c>
      <c r="M6" s="1" t="s">
        <v>62</v>
      </c>
      <c r="N6" s="1">
        <v>-120.0</v>
      </c>
      <c r="O6" s="1">
        <v>-0.144682043145842</v>
      </c>
      <c r="P6" s="1" t="s">
        <v>61</v>
      </c>
      <c r="Q6" s="1" t="s">
        <v>61</v>
      </c>
      <c r="R6" s="1">
        <f t="shared" si="1"/>
        <v>0.07545257735</v>
      </c>
      <c r="S6" s="1">
        <f t="shared" si="2"/>
        <v>-110</v>
      </c>
      <c r="T6" s="1">
        <f t="shared" si="3"/>
        <v>1.909090909</v>
      </c>
      <c r="U6" s="1">
        <f t="shared" si="4"/>
        <v>1</v>
      </c>
      <c r="V6" s="3">
        <f t="shared" si="5"/>
        <v>2</v>
      </c>
      <c r="W6" s="3">
        <f t="shared" si="6"/>
        <v>2</v>
      </c>
      <c r="X6" s="3" t="str">
        <f>IFERROR(__xludf.DUMMYFUNCTION("split(B6,"" "")"),"M.")</f>
        <v>M.</v>
      </c>
      <c r="Y6" s="3" t="str">
        <f>IFERROR(__xludf.DUMMYFUNCTION("""COMPUTED_VALUE"""),"Wilson")</f>
        <v>Wilson</v>
      </c>
      <c r="AA6" s="3">
        <v>64.0</v>
      </c>
      <c r="AB6" s="3">
        <f t="shared" si="7"/>
        <v>1</v>
      </c>
      <c r="AC6" s="3">
        <f t="shared" si="8"/>
        <v>1</v>
      </c>
      <c r="AD6" s="3">
        <f t="shared" si="9"/>
        <v>1.818181818</v>
      </c>
      <c r="AE6" s="3">
        <f t="shared" si="10"/>
        <v>1.818181818</v>
      </c>
      <c r="AF6" s="3">
        <f t="shared" si="11"/>
        <v>1.818181818</v>
      </c>
      <c r="AG6" s="3">
        <f t="shared" si="12"/>
        <v>1.41509434</v>
      </c>
      <c r="AH6" s="1" t="s">
        <v>20</v>
      </c>
      <c r="AI6" s="3">
        <f t="shared" si="13"/>
        <v>39</v>
      </c>
      <c r="AJ6" s="3">
        <f t="shared" si="14"/>
        <v>65</v>
      </c>
      <c r="AK6" s="3">
        <f t="shared" si="15"/>
        <v>0.6</v>
      </c>
    </row>
    <row r="7">
      <c r="A7" s="1" t="s">
        <v>11</v>
      </c>
      <c r="B7" s="1" t="s">
        <v>451</v>
      </c>
      <c r="C7" s="1" t="s">
        <v>18</v>
      </c>
      <c r="D7" s="1" t="s">
        <v>105</v>
      </c>
      <c r="E7" s="1" t="s">
        <v>197</v>
      </c>
      <c r="F7" s="1" t="s">
        <v>516</v>
      </c>
      <c r="G7" s="1">
        <v>27.5</v>
      </c>
      <c r="H7" s="1" t="s">
        <v>60</v>
      </c>
      <c r="I7" s="1">
        <v>-117.0</v>
      </c>
      <c r="J7" s="1">
        <v>-0.13518872754299</v>
      </c>
      <c r="K7" s="1" t="s">
        <v>61</v>
      </c>
      <c r="L7" s="1" t="s">
        <v>61</v>
      </c>
      <c r="M7" s="1" t="s">
        <v>62</v>
      </c>
      <c r="N7" s="1">
        <v>-112.0</v>
      </c>
      <c r="O7" s="1">
        <v>0.0677336431228702</v>
      </c>
      <c r="P7" s="1" t="s">
        <v>61</v>
      </c>
      <c r="Q7" s="1" t="s">
        <v>61</v>
      </c>
      <c r="R7" s="1">
        <f t="shared" si="1"/>
        <v>0.06773364312</v>
      </c>
      <c r="S7" s="1">
        <f t="shared" si="2"/>
        <v>-112</v>
      </c>
      <c r="T7" s="1">
        <f t="shared" si="3"/>
        <v>1.892857143</v>
      </c>
      <c r="U7" s="1">
        <f t="shared" si="4"/>
        <v>0</v>
      </c>
      <c r="V7" s="3">
        <f t="shared" si="5"/>
        <v>2</v>
      </c>
      <c r="W7" s="3">
        <f t="shared" si="6"/>
        <v>2</v>
      </c>
      <c r="X7" s="3" t="str">
        <f>IFERROR(__xludf.DUMMYFUNCTION("split(B7,"" "")"),"G.")</f>
        <v>G.</v>
      </c>
      <c r="Y7" s="3" t="str">
        <f>IFERROR(__xludf.DUMMYFUNCTION("""COMPUTED_VALUE"""),"Dortch")</f>
        <v>Dortch</v>
      </c>
      <c r="AA7" s="3">
        <v>35.0</v>
      </c>
      <c r="AB7" s="3">
        <f t="shared" si="7"/>
        <v>1</v>
      </c>
      <c r="AC7" s="3">
        <f t="shared" si="8"/>
        <v>0</v>
      </c>
      <c r="AD7" s="3">
        <f t="shared" si="9"/>
        <v>1.785714286</v>
      </c>
      <c r="AE7" s="3">
        <f t="shared" si="10"/>
        <v>-2</v>
      </c>
      <c r="AF7" s="3">
        <f t="shared" si="11"/>
        <v>-2</v>
      </c>
      <c r="AG7" s="3">
        <f t="shared" si="12"/>
        <v>-0.2727272727</v>
      </c>
      <c r="AH7" s="1" t="s">
        <v>21</v>
      </c>
      <c r="AI7" s="3">
        <f t="shared" si="13"/>
        <v>74</v>
      </c>
      <c r="AJ7" s="3">
        <f t="shared" si="14"/>
        <v>144</v>
      </c>
      <c r="AK7" s="3">
        <f t="shared" si="15"/>
        <v>0.5138888889</v>
      </c>
    </row>
    <row r="8">
      <c r="A8" s="1" t="s">
        <v>8</v>
      </c>
      <c r="B8" s="1" t="s">
        <v>345</v>
      </c>
      <c r="C8" s="1" t="s">
        <v>19</v>
      </c>
      <c r="D8" s="1" t="s">
        <v>105</v>
      </c>
      <c r="E8" s="1" t="s">
        <v>197</v>
      </c>
      <c r="F8" s="1" t="s">
        <v>516</v>
      </c>
      <c r="G8" s="1">
        <v>15.5</v>
      </c>
      <c r="H8" s="1" t="s">
        <v>60</v>
      </c>
      <c r="I8" s="1">
        <v>-137.0</v>
      </c>
      <c r="J8" s="1">
        <v>-0.126632239434599</v>
      </c>
      <c r="K8" s="1" t="s">
        <v>61</v>
      </c>
      <c r="L8" s="1" t="s">
        <v>61</v>
      </c>
      <c r="M8" s="1" t="s">
        <v>62</v>
      </c>
      <c r="N8" s="1">
        <v>103.0</v>
      </c>
      <c r="O8" s="1">
        <v>0.0559410874187192</v>
      </c>
      <c r="P8" s="1" t="s">
        <v>61</v>
      </c>
      <c r="Q8" s="1" t="s">
        <v>61</v>
      </c>
      <c r="R8" s="1">
        <f t="shared" si="1"/>
        <v>0.05594108742</v>
      </c>
      <c r="S8" s="1">
        <f t="shared" si="2"/>
        <v>103</v>
      </c>
      <c r="T8" s="1">
        <f t="shared" si="3"/>
        <v>2.03</v>
      </c>
      <c r="U8" s="1">
        <f t="shared" si="4"/>
        <v>0</v>
      </c>
      <c r="V8" s="3">
        <f t="shared" si="5"/>
        <v>2</v>
      </c>
      <c r="W8" s="3">
        <f t="shared" si="6"/>
        <v>2</v>
      </c>
      <c r="X8" s="3" t="str">
        <f>IFERROR(__xludf.DUMMYFUNCTION("split(B8,"" "")"),"J.")</f>
        <v>J.</v>
      </c>
      <c r="Y8" s="3" t="str">
        <f>IFERROR(__xludf.DUMMYFUNCTION("""COMPUTED_VALUE"""),"Conner")</f>
        <v>Conner</v>
      </c>
      <c r="AA8" s="3">
        <v>9.0</v>
      </c>
      <c r="AB8" s="3">
        <f t="shared" si="7"/>
        <v>0</v>
      </c>
      <c r="AC8" s="3">
        <f t="shared" si="8"/>
        <v>1</v>
      </c>
      <c r="AD8" s="3">
        <f t="shared" si="9"/>
        <v>2.06</v>
      </c>
      <c r="AE8" s="3">
        <f t="shared" si="10"/>
        <v>2.06</v>
      </c>
      <c r="AF8" s="3">
        <f t="shared" si="11"/>
        <v>2.06</v>
      </c>
      <c r="AG8" s="3">
        <f t="shared" si="12"/>
        <v>0.4193548387</v>
      </c>
    </row>
    <row r="9">
      <c r="A9" s="1" t="s">
        <v>10</v>
      </c>
      <c r="B9" s="1" t="s">
        <v>204</v>
      </c>
      <c r="C9" s="1" t="s">
        <v>21</v>
      </c>
      <c r="D9" s="1" t="s">
        <v>105</v>
      </c>
      <c r="E9" s="1" t="s">
        <v>197</v>
      </c>
      <c r="F9" s="1" t="s">
        <v>516</v>
      </c>
      <c r="G9" s="1">
        <v>35.5</v>
      </c>
      <c r="H9" s="1" t="s">
        <v>60</v>
      </c>
      <c r="I9" s="1">
        <v>-123.0</v>
      </c>
      <c r="J9" s="1">
        <v>-0.118276419823075</v>
      </c>
      <c r="K9" s="1" t="s">
        <v>61</v>
      </c>
      <c r="L9" s="1" t="s">
        <v>61</v>
      </c>
      <c r="M9" s="1" t="s">
        <v>62</v>
      </c>
      <c r="N9" s="1">
        <v>-108.0</v>
      </c>
      <c r="O9" s="1">
        <v>0.0475561776451417</v>
      </c>
      <c r="P9" s="1" t="s">
        <v>61</v>
      </c>
      <c r="Q9" s="1" t="s">
        <v>61</v>
      </c>
      <c r="R9" s="1">
        <f t="shared" si="1"/>
        <v>0.04755617765</v>
      </c>
      <c r="S9" s="1">
        <f t="shared" si="2"/>
        <v>-108</v>
      </c>
      <c r="T9" s="1">
        <f t="shared" si="3"/>
        <v>1.925925926</v>
      </c>
      <c r="U9" s="1">
        <f t="shared" si="4"/>
        <v>0</v>
      </c>
      <c r="V9" s="3">
        <f t="shared" si="5"/>
        <v>1</v>
      </c>
      <c r="W9" s="3">
        <f t="shared" si="6"/>
        <v>2</v>
      </c>
      <c r="X9" s="3" t="str">
        <f>IFERROR(__xludf.DUMMYFUNCTION("split(B9,"" "")"),"K.")</f>
        <v>K.</v>
      </c>
      <c r="Y9" s="3" t="str">
        <f>IFERROR(__xludf.DUMMYFUNCTION("""COMPUTED_VALUE"""),"Murray")</f>
        <v>Murray</v>
      </c>
      <c r="AA9" s="3">
        <v>45.0</v>
      </c>
      <c r="AB9" s="3">
        <f t="shared" si="7"/>
        <v>1</v>
      </c>
      <c r="AC9" s="3">
        <f t="shared" si="8"/>
        <v>0</v>
      </c>
      <c r="AD9" s="3">
        <f t="shared" si="9"/>
        <v>0.9259259259</v>
      </c>
      <c r="AE9" s="3">
        <f t="shared" si="10"/>
        <v>-1</v>
      </c>
      <c r="AF9" s="3">
        <f t="shared" si="11"/>
        <v>-2</v>
      </c>
      <c r="AG9" s="3">
        <f t="shared" si="12"/>
        <v>-0.2676056338</v>
      </c>
    </row>
    <row r="10">
      <c r="A10" s="1" t="s">
        <v>9</v>
      </c>
      <c r="B10" s="1" t="s">
        <v>345</v>
      </c>
      <c r="C10" s="1" t="s">
        <v>19</v>
      </c>
      <c r="D10" s="1" t="s">
        <v>105</v>
      </c>
      <c r="E10" s="1" t="s">
        <v>197</v>
      </c>
      <c r="F10" s="1" t="s">
        <v>516</v>
      </c>
      <c r="G10" s="1">
        <v>77.5</v>
      </c>
      <c r="H10" s="1" t="s">
        <v>60</v>
      </c>
      <c r="I10" s="1">
        <v>-116.0</v>
      </c>
      <c r="J10" s="1">
        <v>-0.114930246203379</v>
      </c>
      <c r="K10" s="1" t="s">
        <v>61</v>
      </c>
      <c r="L10" s="1" t="s">
        <v>61</v>
      </c>
      <c r="M10" s="1" t="s">
        <v>62</v>
      </c>
      <c r="N10" s="1">
        <v>-116.0</v>
      </c>
      <c r="O10" s="1">
        <v>0.0408230855959196</v>
      </c>
      <c r="P10" s="1" t="s">
        <v>61</v>
      </c>
      <c r="Q10" s="1" t="s">
        <v>61</v>
      </c>
      <c r="R10" s="1">
        <f t="shared" si="1"/>
        <v>0.0408230856</v>
      </c>
      <c r="S10" s="1">
        <f t="shared" si="2"/>
        <v>-116</v>
      </c>
      <c r="T10" s="1">
        <f t="shared" si="3"/>
        <v>1.862068966</v>
      </c>
      <c r="U10" s="1">
        <f t="shared" si="4"/>
        <v>0</v>
      </c>
      <c r="V10" s="3">
        <f t="shared" si="5"/>
        <v>1</v>
      </c>
      <c r="W10" s="3">
        <f t="shared" si="6"/>
        <v>2</v>
      </c>
      <c r="X10" s="3" t="str">
        <f>IFERROR(__xludf.DUMMYFUNCTION("split(B10,"" "")"),"J.")</f>
        <v>J.</v>
      </c>
      <c r="Y10" s="3" t="str">
        <f>IFERROR(__xludf.DUMMYFUNCTION("""COMPUTED_VALUE"""),"Conner")</f>
        <v>Conner</v>
      </c>
      <c r="AA10" s="3">
        <v>25.0</v>
      </c>
      <c r="AB10" s="3">
        <f t="shared" si="7"/>
        <v>0</v>
      </c>
      <c r="AC10" s="3">
        <f t="shared" si="8"/>
        <v>1</v>
      </c>
      <c r="AD10" s="3">
        <f t="shared" si="9"/>
        <v>0.8620689655</v>
      </c>
      <c r="AE10" s="3">
        <f t="shared" si="10"/>
        <v>0.8620689655</v>
      </c>
      <c r="AF10" s="3">
        <f t="shared" si="11"/>
        <v>1.724137931</v>
      </c>
      <c r="AG10" s="3">
        <f t="shared" si="12"/>
        <v>0.6774193548</v>
      </c>
    </row>
    <row r="11">
      <c r="A11" s="1" t="s">
        <v>12</v>
      </c>
      <c r="B11" s="1" t="s">
        <v>233</v>
      </c>
      <c r="C11" s="1" t="s">
        <v>18</v>
      </c>
      <c r="D11" s="1" t="s">
        <v>105</v>
      </c>
      <c r="E11" s="1" t="s">
        <v>197</v>
      </c>
      <c r="F11" s="1" t="s">
        <v>516</v>
      </c>
      <c r="G11" s="1">
        <v>2.5</v>
      </c>
      <c r="H11" s="1" t="s">
        <v>60</v>
      </c>
      <c r="I11" s="1">
        <v>117.0</v>
      </c>
      <c r="J11" s="1">
        <v>-0.100934960877419</v>
      </c>
      <c r="K11" s="1" t="s">
        <v>61</v>
      </c>
      <c r="L11" s="1" t="s">
        <v>61</v>
      </c>
      <c r="M11" s="1" t="s">
        <v>62</v>
      </c>
      <c r="N11" s="1">
        <v>-154.0</v>
      </c>
      <c r="O11" s="1">
        <v>0.0338193863181102</v>
      </c>
      <c r="P11" s="1" t="s">
        <v>61</v>
      </c>
      <c r="Q11" s="1" t="s">
        <v>61</v>
      </c>
      <c r="R11" s="1">
        <f t="shared" si="1"/>
        <v>0.03381938632</v>
      </c>
      <c r="S11" s="1">
        <f t="shared" si="2"/>
        <v>-154</v>
      </c>
      <c r="T11" s="1">
        <f t="shared" si="3"/>
        <v>1.649350649</v>
      </c>
      <c r="U11" s="1">
        <f t="shared" si="4"/>
        <v>0</v>
      </c>
      <c r="V11" s="3">
        <f t="shared" si="5"/>
        <v>1</v>
      </c>
      <c r="W11" s="3">
        <f t="shared" si="6"/>
        <v>3</v>
      </c>
      <c r="X11" s="3" t="str">
        <f>IFERROR(__xludf.DUMMYFUNCTION("split(B11,"" "")"),"M.")</f>
        <v>M.</v>
      </c>
      <c r="Y11" s="3" t="str">
        <f>IFERROR(__xludf.DUMMYFUNCTION("""COMPUTED_VALUE"""),"Wilson")</f>
        <v>Wilson</v>
      </c>
      <c r="AA11" s="3">
        <v>8.0</v>
      </c>
      <c r="AB11" s="3">
        <f t="shared" si="7"/>
        <v>1</v>
      </c>
      <c r="AC11" s="3">
        <f t="shared" si="8"/>
        <v>0</v>
      </c>
      <c r="AD11" s="3">
        <f t="shared" si="9"/>
        <v>0.6493506494</v>
      </c>
      <c r="AE11" s="3">
        <f t="shared" si="10"/>
        <v>-1</v>
      </c>
      <c r="AF11" s="3">
        <f t="shared" si="11"/>
        <v>-3</v>
      </c>
      <c r="AG11" s="3">
        <f t="shared" si="12"/>
        <v>-2.2</v>
      </c>
      <c r="AH11" s="1" t="s">
        <v>209</v>
      </c>
      <c r="AI11" s="3">
        <f>COUNTIFs(AC:AC, "=1", AB:AB, "=0")</f>
        <v>226</v>
      </c>
      <c r="AJ11" s="3">
        <f>countif(AB:AB, "=0")</f>
        <v>317</v>
      </c>
      <c r="AK11" s="3">
        <f t="shared" ref="AK11:AK12" si="16">AI11/AJ11</f>
        <v>0.7129337539</v>
      </c>
      <c r="AL11" s="3">
        <f>sumifs(AE:AE,U:U, "=0")</f>
        <v>5.500749953</v>
      </c>
    </row>
    <row r="12">
      <c r="A12" s="1" t="s">
        <v>12</v>
      </c>
      <c r="B12" s="1" t="s">
        <v>349</v>
      </c>
      <c r="C12" s="1" t="s">
        <v>20</v>
      </c>
      <c r="D12" s="1" t="s">
        <v>105</v>
      </c>
      <c r="E12" s="1" t="s">
        <v>197</v>
      </c>
      <c r="F12" s="1" t="s">
        <v>516</v>
      </c>
      <c r="G12" s="1">
        <v>5.5</v>
      </c>
      <c r="H12" s="1" t="s">
        <v>60</v>
      </c>
      <c r="I12" s="1">
        <v>-113.0</v>
      </c>
      <c r="J12" s="1">
        <v>0.0320366197183098</v>
      </c>
      <c r="K12" s="1" t="s">
        <v>61</v>
      </c>
      <c r="L12" s="1" t="s">
        <v>61</v>
      </c>
      <c r="M12" s="1" t="s">
        <v>62</v>
      </c>
      <c r="N12" s="1">
        <v>-119.0</v>
      </c>
      <c r="O12" s="1">
        <v>-0.105924657534246</v>
      </c>
      <c r="P12" s="1" t="s">
        <v>61</v>
      </c>
      <c r="Q12" s="1" t="s">
        <v>61</v>
      </c>
      <c r="R12" s="1">
        <f t="shared" si="1"/>
        <v>0.03203661972</v>
      </c>
      <c r="S12" s="1">
        <f t="shared" si="2"/>
        <v>-113</v>
      </c>
      <c r="T12" s="1">
        <f t="shared" si="3"/>
        <v>1.884955752</v>
      </c>
      <c r="U12" s="1">
        <f t="shared" si="4"/>
        <v>1</v>
      </c>
      <c r="V12" s="3">
        <f t="shared" si="5"/>
        <v>1</v>
      </c>
      <c r="W12" s="3">
        <f t="shared" si="6"/>
        <v>2</v>
      </c>
      <c r="X12" s="3" t="str">
        <f>IFERROR(__xludf.DUMMYFUNCTION("split(B12,"" "")"),"T.")</f>
        <v>T.</v>
      </c>
      <c r="Y12" s="3" t="str">
        <f>IFERROR(__xludf.DUMMYFUNCTION("""COMPUTED_VALUE"""),"McBride")</f>
        <v>McBride</v>
      </c>
      <c r="AA12" s="3">
        <v>3.0</v>
      </c>
      <c r="AB12" s="3">
        <f t="shared" si="7"/>
        <v>0</v>
      </c>
      <c r="AC12" s="3">
        <f t="shared" si="8"/>
        <v>0</v>
      </c>
      <c r="AD12" s="3">
        <f t="shared" si="9"/>
        <v>0.8849557522</v>
      </c>
      <c r="AE12" s="3">
        <f t="shared" si="10"/>
        <v>-1</v>
      </c>
      <c r="AF12" s="3">
        <f t="shared" si="11"/>
        <v>-2</v>
      </c>
      <c r="AG12" s="3">
        <f t="shared" si="12"/>
        <v>-0.4545454545</v>
      </c>
      <c r="AH12" s="1" t="s">
        <v>206</v>
      </c>
      <c r="AI12" s="3">
        <f>COUNTIFs(AC:AC, "=1", AB:AB, "=1")</f>
        <v>83</v>
      </c>
      <c r="AJ12" s="3">
        <f>countif(AB:AB, "=1")</f>
        <v>288</v>
      </c>
      <c r="AK12" s="3">
        <f t="shared" si="16"/>
        <v>0.2881944444</v>
      </c>
      <c r="AL12" s="3">
        <f>sumifs(AE:AE,U:U, "=1")</f>
        <v>-37.41027265</v>
      </c>
    </row>
    <row r="13">
      <c r="A13" s="1" t="s">
        <v>10</v>
      </c>
      <c r="B13" s="1" t="s">
        <v>345</v>
      </c>
      <c r="C13" s="1" t="s">
        <v>19</v>
      </c>
      <c r="D13" s="1" t="s">
        <v>105</v>
      </c>
      <c r="E13" s="1" t="s">
        <v>197</v>
      </c>
      <c r="F13" s="1" t="s">
        <v>516</v>
      </c>
      <c r="G13" s="1">
        <v>60.5</v>
      </c>
      <c r="H13" s="1" t="s">
        <v>60</v>
      </c>
      <c r="I13" s="1">
        <v>-114.0</v>
      </c>
      <c r="J13" s="1">
        <v>-0.0844516392365976</v>
      </c>
      <c r="K13" s="1" t="s">
        <v>61</v>
      </c>
      <c r="L13" s="1" t="s">
        <v>61</v>
      </c>
      <c r="M13" s="1" t="s">
        <v>62</v>
      </c>
      <c r="N13" s="1">
        <v>-112.0</v>
      </c>
      <c r="O13" s="1">
        <v>0.0234441851156802</v>
      </c>
      <c r="P13" s="1" t="s">
        <v>61</v>
      </c>
      <c r="Q13" s="1" t="s">
        <v>61</v>
      </c>
      <c r="R13" s="1">
        <f t="shared" si="1"/>
        <v>0.02344418512</v>
      </c>
      <c r="S13" s="1">
        <f t="shared" si="2"/>
        <v>-112</v>
      </c>
      <c r="T13" s="1">
        <f t="shared" si="3"/>
        <v>1.892857143</v>
      </c>
      <c r="U13" s="1">
        <f t="shared" si="4"/>
        <v>0</v>
      </c>
      <c r="V13" s="3">
        <f t="shared" si="5"/>
        <v>1</v>
      </c>
      <c r="W13" s="3">
        <f t="shared" si="6"/>
        <v>2</v>
      </c>
      <c r="X13" s="3" t="str">
        <f>IFERROR(__xludf.DUMMYFUNCTION("split(B13,"" "")"),"J.")</f>
        <v>J.</v>
      </c>
      <c r="Y13" s="3" t="str">
        <f>IFERROR(__xludf.DUMMYFUNCTION("""COMPUTED_VALUE"""),"Conner")</f>
        <v>Conner</v>
      </c>
      <c r="AA13" s="3">
        <v>17.0</v>
      </c>
      <c r="AB13" s="3">
        <f t="shared" si="7"/>
        <v>0</v>
      </c>
      <c r="AC13" s="3">
        <f t="shared" si="8"/>
        <v>1</v>
      </c>
      <c r="AD13" s="3">
        <f t="shared" si="9"/>
        <v>0.8928571429</v>
      </c>
      <c r="AE13" s="3">
        <f t="shared" si="10"/>
        <v>0.8928571429</v>
      </c>
      <c r="AF13" s="3">
        <f t="shared" si="11"/>
        <v>1.785714286</v>
      </c>
      <c r="AG13" s="3">
        <f t="shared" si="12"/>
        <v>0.7190082645</v>
      </c>
    </row>
    <row r="14">
      <c r="A14" s="1" t="s">
        <v>17</v>
      </c>
      <c r="B14" s="1" t="s">
        <v>204</v>
      </c>
      <c r="C14" s="1" t="s">
        <v>21</v>
      </c>
      <c r="D14" s="1" t="s">
        <v>105</v>
      </c>
      <c r="E14" s="1" t="s">
        <v>197</v>
      </c>
      <c r="F14" s="1" t="s">
        <v>516</v>
      </c>
      <c r="G14" s="1">
        <v>0.5</v>
      </c>
      <c r="H14" s="1" t="s">
        <v>60</v>
      </c>
      <c r="I14" s="1">
        <v>-110.0</v>
      </c>
      <c r="J14" s="1">
        <v>-0.0812619047619047</v>
      </c>
      <c r="K14" s="1" t="s">
        <v>61</v>
      </c>
      <c r="L14" s="1" t="s">
        <v>61</v>
      </c>
      <c r="M14" s="1" t="s">
        <v>62</v>
      </c>
      <c r="N14" s="1">
        <v>-120.0</v>
      </c>
      <c r="O14" s="1">
        <v>0.0119909090909092</v>
      </c>
      <c r="P14" s="1" t="s">
        <v>61</v>
      </c>
      <c r="Q14" s="1" t="s">
        <v>61</v>
      </c>
      <c r="R14" s="1">
        <f t="shared" si="1"/>
        <v>0.01199090909</v>
      </c>
      <c r="S14" s="1">
        <f t="shared" si="2"/>
        <v>-120</v>
      </c>
      <c r="T14" s="1">
        <f t="shared" si="3"/>
        <v>1.833333333</v>
      </c>
      <c r="U14" s="1">
        <f t="shared" si="4"/>
        <v>0</v>
      </c>
      <c r="V14" s="3">
        <f t="shared" si="5"/>
        <v>1</v>
      </c>
      <c r="W14" s="3">
        <f t="shared" si="6"/>
        <v>3</v>
      </c>
      <c r="X14" s="3" t="str">
        <f>IFERROR(__xludf.DUMMYFUNCTION("split(B14,"" "")"),"K.")</f>
        <v>K.</v>
      </c>
      <c r="Y14" s="3" t="str">
        <f>IFERROR(__xludf.DUMMYFUNCTION("""COMPUTED_VALUE"""),"Murray")</f>
        <v>Murray</v>
      </c>
      <c r="AA14" s="3">
        <v>1.0</v>
      </c>
      <c r="AB14" s="3">
        <f t="shared" si="7"/>
        <v>1</v>
      </c>
      <c r="AC14" s="3">
        <f t="shared" si="8"/>
        <v>0</v>
      </c>
      <c r="AD14" s="3">
        <f t="shared" si="9"/>
        <v>0.8333333333</v>
      </c>
      <c r="AE14" s="3">
        <f t="shared" si="10"/>
        <v>-1</v>
      </c>
      <c r="AF14" s="3">
        <f t="shared" si="11"/>
        <v>-3</v>
      </c>
      <c r="AG14" s="3">
        <f t="shared" si="12"/>
        <v>-1</v>
      </c>
    </row>
    <row r="15">
      <c r="A15" s="1" t="s">
        <v>11</v>
      </c>
      <c r="B15" s="1" t="s">
        <v>452</v>
      </c>
      <c r="C15" s="1" t="s">
        <v>18</v>
      </c>
      <c r="D15" s="1" t="s">
        <v>105</v>
      </c>
      <c r="E15" s="1" t="s">
        <v>197</v>
      </c>
      <c r="F15" s="1" t="s">
        <v>516</v>
      </c>
      <c r="G15" s="1">
        <v>60.5</v>
      </c>
      <c r="H15" s="1" t="s">
        <v>60</v>
      </c>
      <c r="I15" s="1">
        <v>-116.0</v>
      </c>
      <c r="J15" s="1">
        <v>0.00293895277920253</v>
      </c>
      <c r="K15" s="1" t="s">
        <v>61</v>
      </c>
      <c r="L15" s="1" t="s">
        <v>61</v>
      </c>
      <c r="M15" s="1" t="s">
        <v>62</v>
      </c>
      <c r="N15" s="1">
        <v>-113.0</v>
      </c>
      <c r="O15" s="1">
        <v>-0.0704455696831368</v>
      </c>
      <c r="P15" s="1" t="s">
        <v>61</v>
      </c>
      <c r="Q15" s="1" t="s">
        <v>61</v>
      </c>
      <c r="R15" s="1">
        <f t="shared" si="1"/>
        <v>0.002938952779</v>
      </c>
      <c r="S15" s="1">
        <f t="shared" si="2"/>
        <v>-116</v>
      </c>
      <c r="T15" s="1">
        <f t="shared" si="3"/>
        <v>1.862068966</v>
      </c>
      <c r="U15" s="1">
        <f t="shared" si="4"/>
        <v>1</v>
      </c>
      <c r="V15" s="3">
        <f t="shared" si="5"/>
        <v>1</v>
      </c>
      <c r="W15" s="3">
        <f t="shared" si="6"/>
        <v>2</v>
      </c>
      <c r="X15" s="3" t="str">
        <f>IFERROR(__xludf.DUMMYFUNCTION("split(B15,"" "")"),"M.")</f>
        <v>M.</v>
      </c>
      <c r="Y15" s="3" t="str">
        <f>IFERROR(__xludf.DUMMYFUNCTION("""COMPUTED_VALUE"""),"Harrison")</f>
        <v>Harrison</v>
      </c>
      <c r="Z15" s="3" t="str">
        <f>IFERROR(__xludf.DUMMYFUNCTION("""COMPUTED_VALUE"""),"Jr.")</f>
        <v>Jr.</v>
      </c>
      <c r="AA15" s="3">
        <v>64.0</v>
      </c>
      <c r="AB15" s="3">
        <f t="shared" si="7"/>
        <v>1</v>
      </c>
      <c r="AC15" s="3">
        <f t="shared" si="8"/>
        <v>1</v>
      </c>
      <c r="AD15" s="3">
        <f t="shared" si="9"/>
        <v>0.8620689655</v>
      </c>
      <c r="AE15" s="3">
        <f t="shared" si="10"/>
        <v>0.8620689655</v>
      </c>
      <c r="AF15" s="3">
        <f t="shared" si="11"/>
        <v>1.724137931</v>
      </c>
      <c r="AG15" s="3">
        <f t="shared" si="12"/>
        <v>0.05785123967</v>
      </c>
      <c r="AH15" s="1" t="s">
        <v>216</v>
      </c>
      <c r="AI15" s="3">
        <f>COUNTIFS(AC:AC, "=1",V:V, "=1")/COUNTIF(V:V, "=1")</f>
        <v>0.531147541</v>
      </c>
      <c r="AJ15" s="3">
        <f>SUMIF(V:V, "=1", AE:AE)</f>
        <v>-0.5766660803</v>
      </c>
      <c r="AK15" s="3">
        <f>AVERAGEIF(V:V, "=1",T:T)</f>
        <v>1.894511532</v>
      </c>
      <c r="AL15" s="7">
        <f t="shared" ref="AL15:AL16" si="17">if(AK15&gt;2, (AK15-1)/100, (-100/(AK15-1)))</f>
        <v>-111.7928573</v>
      </c>
    </row>
    <row r="16">
      <c r="A16" s="1" t="s">
        <v>11</v>
      </c>
      <c r="B16" s="1" t="s">
        <v>349</v>
      </c>
      <c r="C16" s="1" t="s">
        <v>20</v>
      </c>
      <c r="D16" s="1" t="s">
        <v>105</v>
      </c>
      <c r="E16" s="1" t="s">
        <v>197</v>
      </c>
      <c r="F16" s="1" t="s">
        <v>516</v>
      </c>
      <c r="G16" s="1">
        <v>51.5</v>
      </c>
      <c r="H16" s="1" t="s">
        <v>60</v>
      </c>
      <c r="I16" s="1">
        <v>-115.0</v>
      </c>
      <c r="J16" s="1">
        <v>-0.0612902468396975</v>
      </c>
      <c r="K16" s="1" t="s">
        <v>61</v>
      </c>
      <c r="L16" s="1" t="s">
        <v>61</v>
      </c>
      <c r="M16" s="1" t="s">
        <v>62</v>
      </c>
      <c r="N16" s="1">
        <v>-111.0</v>
      </c>
      <c r="O16" s="1">
        <v>3.27694276919365E-4</v>
      </c>
      <c r="P16" s="1" t="s">
        <v>61</v>
      </c>
      <c r="Q16" s="1" t="s">
        <v>61</v>
      </c>
      <c r="R16" s="1">
        <f t="shared" si="1"/>
        <v>0.0003276942769</v>
      </c>
      <c r="S16" s="1">
        <f t="shared" si="2"/>
        <v>-111</v>
      </c>
      <c r="T16" s="1">
        <f t="shared" si="3"/>
        <v>1.900900901</v>
      </c>
      <c r="U16" s="1">
        <f t="shared" si="4"/>
        <v>0</v>
      </c>
      <c r="V16" s="3">
        <f t="shared" si="5"/>
        <v>1</v>
      </c>
      <c r="W16" s="3">
        <f t="shared" si="6"/>
        <v>2</v>
      </c>
      <c r="X16" s="3" t="str">
        <f>IFERROR(__xludf.DUMMYFUNCTION("split(B16,"" "")"),"T.")</f>
        <v>T.</v>
      </c>
      <c r="Y16" s="3" t="str">
        <f>IFERROR(__xludf.DUMMYFUNCTION("""COMPUTED_VALUE"""),"McBride")</f>
        <v>McBride</v>
      </c>
      <c r="AA16" s="3">
        <v>25.0</v>
      </c>
      <c r="AB16" s="3">
        <f t="shared" si="7"/>
        <v>0</v>
      </c>
      <c r="AC16" s="3">
        <f t="shared" si="8"/>
        <v>1</v>
      </c>
      <c r="AD16" s="3">
        <f t="shared" si="9"/>
        <v>0.9009009009</v>
      </c>
      <c r="AE16" s="3">
        <f t="shared" si="10"/>
        <v>0.9009009009</v>
      </c>
      <c r="AF16" s="3">
        <f t="shared" si="11"/>
        <v>1.801801802</v>
      </c>
      <c r="AG16" s="3">
        <f t="shared" si="12"/>
        <v>0.5145631068</v>
      </c>
      <c r="AH16" s="1" t="s">
        <v>219</v>
      </c>
      <c r="AI16" s="3">
        <f>COUNTIFS(AC:AC, "=1",V:V, "=2")/COUNTIF(V:V, "=2")</f>
        <v>0.4827586207</v>
      </c>
      <c r="AJ16" s="3">
        <f>SUMIF(V:V, "=2", AE:AE)</f>
        <v>-23.10344605</v>
      </c>
      <c r="AK16" s="3">
        <f>AVERAGEIF(V:V, "=2",T:T)</f>
        <v>1.919789943</v>
      </c>
      <c r="AL16" s="7">
        <f t="shared" si="17"/>
        <v>-108.7204755</v>
      </c>
    </row>
    <row r="17">
      <c r="A17" s="1" t="s">
        <v>10</v>
      </c>
      <c r="B17" s="1" t="s">
        <v>328</v>
      </c>
      <c r="C17" s="1" t="s">
        <v>21</v>
      </c>
      <c r="D17" s="1" t="s">
        <v>109</v>
      </c>
      <c r="E17" s="1" t="s">
        <v>76</v>
      </c>
      <c r="F17" s="1" t="s">
        <v>517</v>
      </c>
      <c r="G17" s="1">
        <v>0.5</v>
      </c>
      <c r="H17" s="1" t="s">
        <v>60</v>
      </c>
      <c r="I17" s="1">
        <v>116.0</v>
      </c>
      <c r="J17" s="1">
        <v>0.168716910928683</v>
      </c>
      <c r="K17" s="1" t="s">
        <v>61</v>
      </c>
      <c r="L17" s="1" t="s">
        <v>61</v>
      </c>
      <c r="M17" s="1" t="s">
        <v>62</v>
      </c>
      <c r="N17" s="1">
        <v>-151.0</v>
      </c>
      <c r="O17" s="1">
        <v>-0.233223014740003</v>
      </c>
      <c r="P17" s="1" t="s">
        <v>61</v>
      </c>
      <c r="Q17" s="1" t="s">
        <v>61</v>
      </c>
      <c r="R17" s="1">
        <f t="shared" si="1"/>
        <v>0.1687169109</v>
      </c>
      <c r="S17" s="1">
        <f t="shared" si="2"/>
        <v>116</v>
      </c>
      <c r="T17" s="1">
        <f t="shared" si="3"/>
        <v>2.16</v>
      </c>
      <c r="U17" s="1">
        <f t="shared" si="4"/>
        <v>1</v>
      </c>
      <c r="V17" s="3">
        <f t="shared" si="5"/>
        <v>3</v>
      </c>
      <c r="W17" s="3">
        <f t="shared" si="6"/>
        <v>1</v>
      </c>
      <c r="X17" s="3" t="str">
        <f>IFERROR(__xludf.DUMMYFUNCTION("split(B17,"" "")"),"K.")</f>
        <v>K.</v>
      </c>
      <c r="Y17" s="3" t="str">
        <f>IFERROR(__xludf.DUMMYFUNCTION("""COMPUTED_VALUE"""),"Cousins")</f>
        <v>Cousins</v>
      </c>
      <c r="AA17" s="3">
        <v>-1.0</v>
      </c>
      <c r="AB17" s="3">
        <f t="shared" si="7"/>
        <v>0</v>
      </c>
      <c r="AC17" s="3">
        <f t="shared" si="8"/>
        <v>0</v>
      </c>
      <c r="AD17" s="3">
        <f t="shared" si="9"/>
        <v>3.48</v>
      </c>
      <c r="AE17" s="3">
        <f t="shared" si="10"/>
        <v>-3</v>
      </c>
      <c r="AF17" s="3">
        <f t="shared" si="11"/>
        <v>-1</v>
      </c>
      <c r="AG17" s="3">
        <f t="shared" si="12"/>
        <v>-3</v>
      </c>
      <c r="AH17" s="1" t="s">
        <v>222</v>
      </c>
      <c r="AI17" s="3">
        <f>COUNTIFS(AC:AC, "=1",V:V, "=3")/COUNTIF(V:V, "=3")</f>
        <v>0.4967741935</v>
      </c>
      <c r="AJ17" s="3">
        <f>SUMIF(V:V, "=3", AE:AE)</f>
        <v>-8.229410574</v>
      </c>
      <c r="AK17" s="3">
        <f>AVERAGEIF(V:V, "=3",T:T)</f>
        <v>2.005376117</v>
      </c>
      <c r="AL17" s="7">
        <f>if(AK17&gt;2, (AK17-1)*100, (-100/(AK17-1)))</f>
        <v>100.5376117</v>
      </c>
    </row>
    <row r="18">
      <c r="A18" s="1" t="s">
        <v>11</v>
      </c>
      <c r="B18" s="1" t="s">
        <v>202</v>
      </c>
      <c r="C18" s="1" t="s">
        <v>19</v>
      </c>
      <c r="D18" s="1" t="s">
        <v>109</v>
      </c>
      <c r="E18" s="1" t="s">
        <v>76</v>
      </c>
      <c r="F18" s="1" t="s">
        <v>517</v>
      </c>
      <c r="G18" s="1">
        <v>1.5</v>
      </c>
      <c r="H18" s="1" t="s">
        <v>60</v>
      </c>
      <c r="I18" s="1">
        <v>-110.0</v>
      </c>
      <c r="J18" s="1">
        <v>0.168256508791181</v>
      </c>
      <c r="K18" s="1" t="s">
        <v>61</v>
      </c>
      <c r="L18" s="1" t="s">
        <v>61</v>
      </c>
      <c r="M18" s="1" t="s">
        <v>62</v>
      </c>
      <c r="N18" s="1">
        <v>-120.0</v>
      </c>
      <c r="O18" s="1">
        <v>-0.237472000978989</v>
      </c>
      <c r="P18" s="1" t="s">
        <v>61</v>
      </c>
      <c r="Q18" s="1" t="s">
        <v>61</v>
      </c>
      <c r="R18" s="1">
        <f t="shared" si="1"/>
        <v>0.1682565088</v>
      </c>
      <c r="S18" s="1">
        <f t="shared" si="2"/>
        <v>-110</v>
      </c>
      <c r="T18" s="1">
        <f t="shared" si="3"/>
        <v>1.909090909</v>
      </c>
      <c r="U18" s="1">
        <f t="shared" si="4"/>
        <v>1</v>
      </c>
      <c r="V18" s="3">
        <f t="shared" si="5"/>
        <v>3</v>
      </c>
      <c r="W18" s="3">
        <f t="shared" si="6"/>
        <v>2</v>
      </c>
      <c r="X18" s="3" t="str">
        <f>IFERROR(__xludf.DUMMYFUNCTION("split(B18,"" "")"),"T.")</f>
        <v>T.</v>
      </c>
      <c r="Y18" s="3" t="str">
        <f>IFERROR(__xludf.DUMMYFUNCTION("""COMPUTED_VALUE"""),"Allgeier")</f>
        <v>Allgeier</v>
      </c>
      <c r="AA18" s="3">
        <v>0.0</v>
      </c>
      <c r="AB18" s="3">
        <f t="shared" si="7"/>
        <v>0</v>
      </c>
      <c r="AC18" s="3">
        <f t="shared" si="8"/>
        <v>0</v>
      </c>
      <c r="AD18" s="3">
        <f t="shared" si="9"/>
        <v>2.727272727</v>
      </c>
      <c r="AE18" s="3">
        <f t="shared" si="10"/>
        <v>-3</v>
      </c>
      <c r="AF18" s="3">
        <f t="shared" si="11"/>
        <v>-2</v>
      </c>
      <c r="AG18" s="3">
        <f t="shared" si="12"/>
        <v>-1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</row>
    <row r="19">
      <c r="A19" s="1" t="s">
        <v>8</v>
      </c>
      <c r="B19" s="1" t="s">
        <v>202</v>
      </c>
      <c r="C19" s="1" t="s">
        <v>19</v>
      </c>
      <c r="D19" s="1" t="s">
        <v>109</v>
      </c>
      <c r="E19" s="1" t="s">
        <v>76</v>
      </c>
      <c r="F19" s="1" t="s">
        <v>517</v>
      </c>
      <c r="G19" s="1">
        <v>6.5</v>
      </c>
      <c r="H19" s="1" t="s">
        <v>60</v>
      </c>
      <c r="I19" s="1">
        <v>-106.0</v>
      </c>
      <c r="J19" s="1">
        <v>-0.206205623057064</v>
      </c>
      <c r="K19" s="1" t="s">
        <v>61</v>
      </c>
      <c r="L19" s="1" t="s">
        <v>61</v>
      </c>
      <c r="M19" s="1" t="s">
        <v>62</v>
      </c>
      <c r="N19" s="1">
        <v>-126.0</v>
      </c>
      <c r="O19" s="1">
        <v>0.134111856286246</v>
      </c>
      <c r="P19" s="1" t="s">
        <v>61</v>
      </c>
      <c r="Q19" s="1" t="s">
        <v>61</v>
      </c>
      <c r="R19" s="1">
        <f t="shared" si="1"/>
        <v>0.1341118563</v>
      </c>
      <c r="S19" s="1">
        <f t="shared" si="2"/>
        <v>-126</v>
      </c>
      <c r="T19" s="1">
        <f t="shared" si="3"/>
        <v>1.793650794</v>
      </c>
      <c r="U19" s="1">
        <f t="shared" si="4"/>
        <v>0</v>
      </c>
      <c r="V19" s="3">
        <f t="shared" si="5"/>
        <v>3</v>
      </c>
      <c r="W19" s="3">
        <f t="shared" si="6"/>
        <v>3</v>
      </c>
      <c r="X19" s="3" t="str">
        <f>IFERROR(__xludf.DUMMYFUNCTION("split(B19,"" "")"),"T.")</f>
        <v>T.</v>
      </c>
      <c r="Y19" s="3" t="str">
        <f>IFERROR(__xludf.DUMMYFUNCTION("""COMPUTED_VALUE"""),"Allgeier")</f>
        <v>Allgeier</v>
      </c>
      <c r="AA19" s="3">
        <v>7.0</v>
      </c>
      <c r="AB19" s="3">
        <f t="shared" si="7"/>
        <v>1</v>
      </c>
      <c r="AC19" s="3">
        <f t="shared" si="8"/>
        <v>0</v>
      </c>
      <c r="AD19" s="3">
        <f t="shared" si="9"/>
        <v>2.380952381</v>
      </c>
      <c r="AE19" s="3">
        <f t="shared" si="10"/>
        <v>-3</v>
      </c>
      <c r="AF19" s="3">
        <f t="shared" si="11"/>
        <v>-3</v>
      </c>
      <c r="AG19" s="3">
        <f t="shared" si="12"/>
        <v>-0.07692307692</v>
      </c>
      <c r="AH19" s="1" t="s">
        <v>8</v>
      </c>
      <c r="AI19" s="3">
        <f t="shared" ref="AI19:AI21" si="18">COUNTIFs(A:A, "=" &amp; AH19, AC:AC, "=1")</f>
        <v>38</v>
      </c>
      <c r="AJ19" s="3">
        <f t="shared" ref="AJ19:AJ21" si="19">countif(A:A, "=" &amp; AH19)</f>
        <v>63</v>
      </c>
      <c r="AK19" s="3">
        <f t="shared" ref="AK19:AK21" si="20">AI19/AJ19</f>
        <v>0.6031746032</v>
      </c>
      <c r="AL19" s="3">
        <f t="shared" ref="AL19:AL21" si="21">SUMIFS(AE:AE, A:A,"=" &amp; AH19,AC:AC, "=1")</f>
        <v>77.65828117</v>
      </c>
      <c r="AM19" s="3">
        <f t="shared" ref="AM19:AM21" si="22">SUMIFS(AE:AE, A:A,"=" &amp; AH19,AC:AC, "=0")</f>
        <v>-52</v>
      </c>
      <c r="AN19" s="3">
        <f t="shared" ref="AN19:AN21" si="23">AL19+AM19</f>
        <v>25.65828117</v>
      </c>
      <c r="AO19" s="4">
        <f t="shared" ref="AO19:AO21" si="24">IFERROR( countifs(A:A, "="&amp;AH19, U:U, "=1", AC:AC, "=1")/countifs(A:A, "="&amp;AH19, U:U, "=1"), 0)</f>
        <v>0.5</v>
      </c>
      <c r="AP19" s="4">
        <f t="shared" ref="AP19:AP21" si="25">IFERROR( countifs(A:A, "="&amp;AH19, U:U, "=0", AC:AC, "=1")/countifs(A:A, "="&amp;AH19, U:U, "=0"), 0)</f>
        <v>0.6140350877</v>
      </c>
      <c r="AQ19" s="5">
        <f t="shared" ref="AQ19:AQ21" si="26">iferror(IFS(AND(AP19 &gt; 0.5, AO19 &gt; 0.5), 1, AND(AP19 &lt;= 0.5, AO19 &lt;= 0.5), -1), 0)
</f>
        <v>0</v>
      </c>
      <c r="AR19" s="5">
        <f t="shared" ref="AR19:AR21" si="27">if(AN19&lt;0, -1, 1)</f>
        <v>1</v>
      </c>
    </row>
    <row r="20">
      <c r="A20" s="1" t="s">
        <v>8</v>
      </c>
      <c r="B20" s="1" t="s">
        <v>328</v>
      </c>
      <c r="C20" s="1" t="s">
        <v>21</v>
      </c>
      <c r="D20" s="1" t="s">
        <v>109</v>
      </c>
      <c r="E20" s="1" t="s">
        <v>76</v>
      </c>
      <c r="F20" s="1" t="s">
        <v>517</v>
      </c>
      <c r="G20" s="1">
        <v>1.5</v>
      </c>
      <c r="H20" s="1" t="s">
        <v>60</v>
      </c>
      <c r="I20" s="1">
        <v>134.0</v>
      </c>
      <c r="J20" s="1">
        <v>0.0850008565134343</v>
      </c>
      <c r="K20" s="1" t="s">
        <v>61</v>
      </c>
      <c r="L20" s="1" t="s">
        <v>61</v>
      </c>
      <c r="M20" s="1" t="s">
        <v>62</v>
      </c>
      <c r="N20" s="1">
        <v>-180.0</v>
      </c>
      <c r="O20" s="1">
        <v>-0.15520245406039</v>
      </c>
      <c r="P20" s="1" t="s">
        <v>61</v>
      </c>
      <c r="Q20" s="1" t="s">
        <v>61</v>
      </c>
      <c r="R20" s="1">
        <f t="shared" si="1"/>
        <v>0.08500085651</v>
      </c>
      <c r="S20" s="1">
        <f t="shared" si="2"/>
        <v>134</v>
      </c>
      <c r="T20" s="1">
        <f t="shared" si="3"/>
        <v>2.34</v>
      </c>
      <c r="U20" s="1">
        <f t="shared" si="4"/>
        <v>1</v>
      </c>
      <c r="V20" s="3">
        <f t="shared" si="5"/>
        <v>2</v>
      </c>
      <c r="W20" s="3">
        <f t="shared" si="6"/>
        <v>1</v>
      </c>
      <c r="X20" s="3" t="str">
        <f>IFERROR(__xludf.DUMMYFUNCTION("split(B20,"" "")"),"K.")</f>
        <v>K.</v>
      </c>
      <c r="Y20" s="3" t="str">
        <f>IFERROR(__xludf.DUMMYFUNCTION("""COMPUTED_VALUE"""),"Cousins")</f>
        <v>Cousins</v>
      </c>
      <c r="AA20" s="3">
        <v>1.0</v>
      </c>
      <c r="AB20" s="3">
        <f t="shared" si="7"/>
        <v>0</v>
      </c>
      <c r="AC20" s="3">
        <f t="shared" si="8"/>
        <v>0</v>
      </c>
      <c r="AD20" s="3">
        <f t="shared" si="9"/>
        <v>2.68</v>
      </c>
      <c r="AE20" s="3">
        <f t="shared" si="10"/>
        <v>-2</v>
      </c>
      <c r="AF20" s="3">
        <f t="shared" si="11"/>
        <v>-1</v>
      </c>
      <c r="AG20" s="3">
        <f t="shared" si="12"/>
        <v>-0.3333333333</v>
      </c>
      <c r="AH20" s="1" t="s">
        <v>9</v>
      </c>
      <c r="AI20" s="3">
        <f t="shared" si="18"/>
        <v>46</v>
      </c>
      <c r="AJ20" s="3">
        <f t="shared" si="19"/>
        <v>92</v>
      </c>
      <c r="AK20" s="3">
        <f t="shared" si="20"/>
        <v>0.5</v>
      </c>
      <c r="AL20" s="3">
        <f t="shared" si="21"/>
        <v>56.1891376</v>
      </c>
      <c r="AM20" s="3">
        <f t="shared" si="22"/>
        <v>-79</v>
      </c>
      <c r="AN20" s="3">
        <f t="shared" si="23"/>
        <v>-22.8108624</v>
      </c>
      <c r="AO20" s="4">
        <f t="shared" si="24"/>
        <v>0.4833333333</v>
      </c>
      <c r="AP20" s="4">
        <f t="shared" si="25"/>
        <v>0.53125</v>
      </c>
      <c r="AQ20" s="5">
        <f t="shared" si="26"/>
        <v>0</v>
      </c>
      <c r="AR20" s="5">
        <f t="shared" si="27"/>
        <v>-1</v>
      </c>
    </row>
    <row r="21">
      <c r="A21" s="1" t="s">
        <v>12</v>
      </c>
      <c r="B21" s="1" t="s">
        <v>501</v>
      </c>
      <c r="C21" s="1" t="s">
        <v>18</v>
      </c>
      <c r="D21" s="1" t="s">
        <v>109</v>
      </c>
      <c r="E21" s="1" t="s">
        <v>76</v>
      </c>
      <c r="F21" s="1" t="s">
        <v>517</v>
      </c>
      <c r="G21" s="1">
        <v>3.5</v>
      </c>
      <c r="H21" s="1" t="s">
        <v>60</v>
      </c>
      <c r="I21" s="1">
        <v>118.0</v>
      </c>
      <c r="J21" s="1">
        <v>-0.149623853211009</v>
      </c>
      <c r="K21" s="1" t="s">
        <v>61</v>
      </c>
      <c r="L21" s="1" t="s">
        <v>61</v>
      </c>
      <c r="M21" s="1" t="s">
        <v>62</v>
      </c>
      <c r="N21" s="1">
        <v>-156.0</v>
      </c>
      <c r="O21" s="1">
        <v>0.081546875</v>
      </c>
      <c r="P21" s="1" t="s">
        <v>61</v>
      </c>
      <c r="Q21" s="1" t="s">
        <v>61</v>
      </c>
      <c r="R21" s="1">
        <f t="shared" si="1"/>
        <v>0.081546875</v>
      </c>
      <c r="S21" s="1">
        <f t="shared" si="2"/>
        <v>-156</v>
      </c>
      <c r="T21" s="1">
        <f t="shared" si="3"/>
        <v>1.641025641</v>
      </c>
      <c r="U21" s="1">
        <f t="shared" si="4"/>
        <v>0</v>
      </c>
      <c r="V21" s="3">
        <f t="shared" si="5"/>
        <v>2</v>
      </c>
      <c r="W21" s="3">
        <f t="shared" si="6"/>
        <v>3</v>
      </c>
      <c r="X21" s="3" t="str">
        <f>IFERROR(__xludf.DUMMYFUNCTION("split(B21,"" "")"),"R.")</f>
        <v>R.</v>
      </c>
      <c r="Y21" s="3" t="str">
        <f>IFERROR(__xludf.DUMMYFUNCTION("""COMPUTED_VALUE"""),"McCloud")</f>
        <v>McCloud</v>
      </c>
      <c r="Z21" s="3" t="str">
        <f>IFERROR(__xludf.DUMMYFUNCTION("""COMPUTED_VALUE"""),"III")</f>
        <v>III</v>
      </c>
      <c r="AA21" s="3">
        <v>2.0</v>
      </c>
      <c r="AB21" s="3">
        <f t="shared" si="7"/>
        <v>0</v>
      </c>
      <c r="AC21" s="3">
        <f t="shared" si="8"/>
        <v>1</v>
      </c>
      <c r="AD21" s="3">
        <f t="shared" si="9"/>
        <v>1.282051282</v>
      </c>
      <c r="AE21" s="3">
        <f t="shared" si="10"/>
        <v>1.282051282</v>
      </c>
      <c r="AF21" s="3">
        <f t="shared" si="11"/>
        <v>1.923076923</v>
      </c>
      <c r="AG21" s="3">
        <f t="shared" si="12"/>
        <v>0.4285714286</v>
      </c>
      <c r="AH21" s="1" t="s">
        <v>10</v>
      </c>
      <c r="AI21" s="3">
        <f t="shared" si="18"/>
        <v>35</v>
      </c>
      <c r="AJ21" s="3">
        <f t="shared" si="19"/>
        <v>71</v>
      </c>
      <c r="AK21" s="3">
        <f t="shared" si="20"/>
        <v>0.4929577465</v>
      </c>
      <c r="AL21" s="3">
        <f t="shared" si="21"/>
        <v>44.7911715</v>
      </c>
      <c r="AM21" s="3">
        <f t="shared" si="22"/>
        <v>-53</v>
      </c>
      <c r="AN21" s="3">
        <f t="shared" si="23"/>
        <v>-8.208828504</v>
      </c>
      <c r="AO21" s="4">
        <f t="shared" si="24"/>
        <v>0.2941176471</v>
      </c>
      <c r="AP21" s="4">
        <f t="shared" si="25"/>
        <v>0.5555555556</v>
      </c>
      <c r="AQ21" s="5">
        <f t="shared" si="26"/>
        <v>0</v>
      </c>
      <c r="AR21" s="5">
        <f t="shared" si="27"/>
        <v>-1</v>
      </c>
    </row>
    <row r="22">
      <c r="A22" s="1" t="s">
        <v>12</v>
      </c>
      <c r="B22" s="1" t="s">
        <v>499</v>
      </c>
      <c r="C22" s="1" t="s">
        <v>18</v>
      </c>
      <c r="D22" s="1" t="s">
        <v>109</v>
      </c>
      <c r="E22" s="1" t="s">
        <v>76</v>
      </c>
      <c r="F22" s="1" t="s">
        <v>517</v>
      </c>
      <c r="G22" s="1">
        <v>5.5</v>
      </c>
      <c r="H22" s="1" t="s">
        <v>60</v>
      </c>
      <c r="I22" s="1">
        <v>108.0</v>
      </c>
      <c r="J22" s="1">
        <v>0.0635307692307692</v>
      </c>
      <c r="K22" s="1" t="s">
        <v>61</v>
      </c>
      <c r="L22" s="1" t="s">
        <v>61</v>
      </c>
      <c r="M22" s="1" t="s">
        <v>62</v>
      </c>
      <c r="N22" s="1">
        <v>-139.0</v>
      </c>
      <c r="O22" s="1">
        <v>-0.125889958158995</v>
      </c>
      <c r="P22" s="1" t="s">
        <v>61</v>
      </c>
      <c r="Q22" s="1" t="s">
        <v>61</v>
      </c>
      <c r="R22" s="1">
        <f t="shared" si="1"/>
        <v>0.06353076923</v>
      </c>
      <c r="S22" s="1">
        <f t="shared" si="2"/>
        <v>108</v>
      </c>
      <c r="T22" s="1">
        <f t="shared" si="3"/>
        <v>2.08</v>
      </c>
      <c r="U22" s="1">
        <f t="shared" si="4"/>
        <v>1</v>
      </c>
      <c r="V22" s="3">
        <f t="shared" si="5"/>
        <v>2</v>
      </c>
      <c r="W22" s="3">
        <f t="shared" si="6"/>
        <v>2</v>
      </c>
      <c r="X22" s="3" t="str">
        <f>IFERROR(__xludf.DUMMYFUNCTION("split(B22,"" "")"),"D.")</f>
        <v>D.</v>
      </c>
      <c r="Y22" s="3" t="str">
        <f>IFERROR(__xludf.DUMMYFUNCTION("""COMPUTED_VALUE"""),"London")</f>
        <v>London</v>
      </c>
      <c r="AA22" s="3">
        <v>6.0</v>
      </c>
      <c r="AB22" s="3">
        <f t="shared" si="7"/>
        <v>1</v>
      </c>
      <c r="AC22" s="3">
        <f t="shared" si="8"/>
        <v>1</v>
      </c>
      <c r="AD22" s="3">
        <f t="shared" si="9"/>
        <v>2.16</v>
      </c>
      <c r="AE22" s="3">
        <f t="shared" si="10"/>
        <v>2.16</v>
      </c>
      <c r="AF22" s="3">
        <f t="shared" si="11"/>
        <v>2.16</v>
      </c>
      <c r="AG22" s="3">
        <f t="shared" si="12"/>
        <v>0.09090909091</v>
      </c>
      <c r="AO22" s="4"/>
      <c r="AP22" s="4"/>
      <c r="AQ22" s="5"/>
      <c r="AR22" s="5"/>
    </row>
    <row r="23">
      <c r="A23" s="1" t="s">
        <v>12</v>
      </c>
      <c r="B23" s="1" t="s">
        <v>264</v>
      </c>
      <c r="C23" s="1" t="s">
        <v>19</v>
      </c>
      <c r="D23" s="1" t="s">
        <v>109</v>
      </c>
      <c r="E23" s="1" t="s">
        <v>76</v>
      </c>
      <c r="F23" s="1" t="s">
        <v>517</v>
      </c>
      <c r="G23" s="1">
        <v>4.5</v>
      </c>
      <c r="H23" s="1" t="s">
        <v>60</v>
      </c>
      <c r="I23" s="1">
        <v>-101.0</v>
      </c>
      <c r="J23" s="1">
        <v>-0.128387562189054</v>
      </c>
      <c r="K23" s="1" t="s">
        <v>61</v>
      </c>
      <c r="L23" s="1" t="s">
        <v>61</v>
      </c>
      <c r="M23" s="1" t="s">
        <v>62</v>
      </c>
      <c r="N23" s="1">
        <v>-130.0</v>
      </c>
      <c r="O23" s="1">
        <v>0.0606826086956521</v>
      </c>
      <c r="P23" s="1" t="s">
        <v>61</v>
      </c>
      <c r="Q23" s="1" t="s">
        <v>61</v>
      </c>
      <c r="R23" s="1">
        <f t="shared" si="1"/>
        <v>0.0606826087</v>
      </c>
      <c r="S23" s="1">
        <f t="shared" si="2"/>
        <v>-130</v>
      </c>
      <c r="T23" s="1">
        <f t="shared" si="3"/>
        <v>1.769230769</v>
      </c>
      <c r="U23" s="1">
        <f t="shared" si="4"/>
        <v>0</v>
      </c>
      <c r="V23" s="3">
        <f t="shared" si="5"/>
        <v>2</v>
      </c>
      <c r="W23" s="3">
        <f t="shared" si="6"/>
        <v>3</v>
      </c>
      <c r="X23" s="3" t="str">
        <f>IFERROR(__xludf.DUMMYFUNCTION("split(B23,"" "")"),"B.")</f>
        <v>B.</v>
      </c>
      <c r="Y23" s="3" t="str">
        <f>IFERROR(__xludf.DUMMYFUNCTION("""COMPUTED_VALUE"""),"Robinson")</f>
        <v>Robinson</v>
      </c>
      <c r="AA23" s="3">
        <v>2.0</v>
      </c>
      <c r="AB23" s="3">
        <f t="shared" si="7"/>
        <v>0</v>
      </c>
      <c r="AC23" s="3">
        <f t="shared" si="8"/>
        <v>1</v>
      </c>
      <c r="AD23" s="3">
        <f t="shared" si="9"/>
        <v>1.538461538</v>
      </c>
      <c r="AE23" s="3">
        <f t="shared" si="10"/>
        <v>1.538461538</v>
      </c>
      <c r="AF23" s="3">
        <f t="shared" si="11"/>
        <v>2.307692308</v>
      </c>
      <c r="AG23" s="3">
        <f t="shared" si="12"/>
        <v>0.5555555556</v>
      </c>
      <c r="AH23" s="1" t="s">
        <v>11</v>
      </c>
      <c r="AI23" s="3">
        <f t="shared" ref="AI23:AI24" si="28">COUNTIFs(A:A, "=" &amp; AH23, AC:AC, "=1")</f>
        <v>61</v>
      </c>
      <c r="AJ23" s="3">
        <f t="shared" ref="AJ23:AJ24" si="29">countif(A:A, "=" &amp; AH23)</f>
        <v>119</v>
      </c>
      <c r="AK23" s="3">
        <f t="shared" ref="AK23:AK24" si="30">AI23/AJ23</f>
        <v>0.512605042</v>
      </c>
      <c r="AL23" s="3">
        <f t="shared" ref="AL23:AL24" si="31">SUMIFS(AE:AE, A:A,"=" &amp; AH23,AC:AC, "=1")</f>
        <v>78.40752223</v>
      </c>
      <c r="AM23" s="3">
        <f t="shared" ref="AM23:AM24" si="32">SUMIFS(AE:AE, A:A,"=" &amp; AH23,AC:AC, "=0")</f>
        <v>-78</v>
      </c>
      <c r="AN23" s="3">
        <f t="shared" ref="AN23:AN24" si="33">AL23+AM23</f>
        <v>0.4075222334</v>
      </c>
      <c r="AO23" s="4">
        <f t="shared" ref="AO23:AO24" si="34">IFERROR( countifs(A:A, "="&amp;AH23, U:U, "=1", AC:AC, "=1")/countifs(A:A, "="&amp;AH23, U:U, "=1"), 0)</f>
        <v>0.5</v>
      </c>
      <c r="AP23" s="4">
        <f t="shared" ref="AP23:AP24" si="35">IFERROR( countifs(A:A, "="&amp;AH23, U:U, "=0", AC:AC, "=1")/countifs(A:A, "="&amp;AH23, U:U, "=0"), 0)</f>
        <v>0.5205479452</v>
      </c>
      <c r="AQ23" s="5">
        <f t="shared" ref="AQ23:AQ24" si="36">iferror(IFS(AND(AP23 &gt; 0.5, AO23 &gt; 0.5), 1, AND(AP23 &lt;= 0.5, AO23 &lt;= 0.5), -1), 0)
</f>
        <v>0</v>
      </c>
      <c r="AR23" s="5">
        <f t="shared" ref="AR23:AR24" si="37">if(AN23&lt;0, -1, 1)</f>
        <v>1</v>
      </c>
    </row>
    <row r="24">
      <c r="A24" s="1" t="s">
        <v>17</v>
      </c>
      <c r="B24" s="1" t="s">
        <v>328</v>
      </c>
      <c r="C24" s="1" t="s">
        <v>21</v>
      </c>
      <c r="D24" s="1" t="s">
        <v>109</v>
      </c>
      <c r="E24" s="1" t="s">
        <v>76</v>
      </c>
      <c r="F24" s="1" t="s">
        <v>517</v>
      </c>
      <c r="G24" s="1">
        <v>0.5</v>
      </c>
      <c r="H24" s="1" t="s">
        <v>60</v>
      </c>
      <c r="I24" s="1">
        <v>-135.0</v>
      </c>
      <c r="J24" s="1">
        <v>-0.119168085106383</v>
      </c>
      <c r="K24" s="1" t="s">
        <v>61</v>
      </c>
      <c r="L24" s="1" t="s">
        <v>61</v>
      </c>
      <c r="M24" s="1" t="s">
        <v>62</v>
      </c>
      <c r="N24" s="1">
        <v>103.0</v>
      </c>
      <c r="O24" s="1">
        <v>0.0520891625615763</v>
      </c>
      <c r="P24" s="1" t="s">
        <v>61</v>
      </c>
      <c r="Q24" s="1" t="s">
        <v>61</v>
      </c>
      <c r="R24" s="1">
        <f t="shared" si="1"/>
        <v>0.05208916256</v>
      </c>
      <c r="S24" s="1">
        <f t="shared" si="2"/>
        <v>103</v>
      </c>
      <c r="T24" s="1">
        <f t="shared" si="3"/>
        <v>2.03</v>
      </c>
      <c r="U24" s="1">
        <f t="shared" si="4"/>
        <v>0</v>
      </c>
      <c r="V24" s="3">
        <f t="shared" si="5"/>
        <v>2</v>
      </c>
      <c r="W24" s="3">
        <f t="shared" si="6"/>
        <v>2</v>
      </c>
      <c r="X24" s="3" t="str">
        <f>IFERROR(__xludf.DUMMYFUNCTION("split(B24,"" "")"),"K.")</f>
        <v>K.</v>
      </c>
      <c r="Y24" s="3" t="str">
        <f>IFERROR(__xludf.DUMMYFUNCTION("""COMPUTED_VALUE"""),"Cousins")</f>
        <v>Cousins</v>
      </c>
      <c r="AA24" s="3">
        <v>1.0</v>
      </c>
      <c r="AB24" s="3">
        <f t="shared" si="7"/>
        <v>1</v>
      </c>
      <c r="AC24" s="3">
        <f t="shared" si="8"/>
        <v>0</v>
      </c>
      <c r="AD24" s="3">
        <f t="shared" si="9"/>
        <v>2.06</v>
      </c>
      <c r="AE24" s="3">
        <f t="shared" si="10"/>
        <v>-2</v>
      </c>
      <c r="AF24" s="3">
        <f t="shared" si="11"/>
        <v>-2</v>
      </c>
      <c r="AG24" s="3">
        <f t="shared" si="12"/>
        <v>-1</v>
      </c>
      <c r="AH24" s="1" t="s">
        <v>12</v>
      </c>
      <c r="AI24" s="3">
        <f t="shared" si="28"/>
        <v>87</v>
      </c>
      <c r="AJ24" s="3">
        <f t="shared" si="29"/>
        <v>167</v>
      </c>
      <c r="AK24" s="3">
        <f t="shared" si="30"/>
        <v>0.5209580838</v>
      </c>
      <c r="AL24" s="3">
        <f t="shared" si="31"/>
        <v>166.681308</v>
      </c>
      <c r="AM24" s="3">
        <f t="shared" si="32"/>
        <v>-187</v>
      </c>
      <c r="AN24" s="3">
        <f t="shared" si="33"/>
        <v>-20.31869201</v>
      </c>
      <c r="AO24" s="4">
        <f t="shared" si="34"/>
        <v>0.4117647059</v>
      </c>
      <c r="AP24" s="4">
        <f t="shared" si="35"/>
        <v>0.5333333333</v>
      </c>
      <c r="AQ24" s="5">
        <f t="shared" si="36"/>
        <v>0</v>
      </c>
      <c r="AR24" s="5">
        <f t="shared" si="37"/>
        <v>-1</v>
      </c>
    </row>
    <row r="25">
      <c r="A25" s="1" t="s">
        <v>11</v>
      </c>
      <c r="B25" s="1" t="s">
        <v>264</v>
      </c>
      <c r="C25" s="1" t="s">
        <v>19</v>
      </c>
      <c r="D25" s="1" t="s">
        <v>109</v>
      </c>
      <c r="E25" s="1" t="s">
        <v>76</v>
      </c>
      <c r="F25" s="1" t="s">
        <v>517</v>
      </c>
      <c r="G25" s="1">
        <v>30.5</v>
      </c>
      <c r="H25" s="1" t="s">
        <v>60</v>
      </c>
      <c r="I25" s="1">
        <v>-114.0</v>
      </c>
      <c r="J25" s="1">
        <v>-0.116655741691355</v>
      </c>
      <c r="K25" s="1" t="s">
        <v>61</v>
      </c>
      <c r="L25" s="1" t="s">
        <v>61</v>
      </c>
      <c r="M25" s="1" t="s">
        <v>62</v>
      </c>
      <c r="N25" s="1">
        <v>-114.0</v>
      </c>
      <c r="O25" s="1">
        <v>0.0512695455281448</v>
      </c>
      <c r="P25" s="1" t="s">
        <v>61</v>
      </c>
      <c r="Q25" s="1" t="s">
        <v>61</v>
      </c>
      <c r="R25" s="1">
        <f t="shared" si="1"/>
        <v>0.05126954553</v>
      </c>
      <c r="S25" s="1">
        <f t="shared" si="2"/>
        <v>-114</v>
      </c>
      <c r="T25" s="1">
        <f t="shared" si="3"/>
        <v>1.877192982</v>
      </c>
      <c r="U25" s="1">
        <f t="shared" si="4"/>
        <v>0</v>
      </c>
      <c r="V25" s="3">
        <f t="shared" si="5"/>
        <v>2</v>
      </c>
      <c r="W25" s="3">
        <f t="shared" si="6"/>
        <v>2</v>
      </c>
      <c r="X25" s="3" t="str">
        <f>IFERROR(__xludf.DUMMYFUNCTION("split(B25,"" "")"),"B.")</f>
        <v>B.</v>
      </c>
      <c r="Y25" s="3" t="str">
        <f>IFERROR(__xludf.DUMMYFUNCTION("""COMPUTED_VALUE"""),"Robinson")</f>
        <v>Robinson</v>
      </c>
      <c r="AA25" s="3">
        <v>21.0</v>
      </c>
      <c r="AB25" s="3">
        <f t="shared" si="7"/>
        <v>0</v>
      </c>
      <c r="AC25" s="3">
        <f t="shared" si="8"/>
        <v>1</v>
      </c>
      <c r="AD25" s="3">
        <f t="shared" si="9"/>
        <v>1.754385965</v>
      </c>
      <c r="AE25" s="3">
        <f t="shared" si="10"/>
        <v>1.754385965</v>
      </c>
      <c r="AF25" s="3">
        <f t="shared" si="11"/>
        <v>1.754385965</v>
      </c>
      <c r="AG25" s="3">
        <f t="shared" si="12"/>
        <v>0.3114754098</v>
      </c>
      <c r="AO25" s="4"/>
      <c r="AP25" s="4"/>
      <c r="AQ25" s="5"/>
      <c r="AR25" s="5"/>
    </row>
    <row r="26">
      <c r="A26" s="1" t="s">
        <v>12</v>
      </c>
      <c r="B26" s="1" t="s">
        <v>108</v>
      </c>
      <c r="C26" s="1" t="s">
        <v>20</v>
      </c>
      <c r="D26" s="1" t="s">
        <v>109</v>
      </c>
      <c r="E26" s="1" t="s">
        <v>76</v>
      </c>
      <c r="F26" s="1" t="s">
        <v>517</v>
      </c>
      <c r="G26" s="1">
        <v>3.5</v>
      </c>
      <c r="H26" s="1" t="s">
        <v>60</v>
      </c>
      <c r="I26" s="1">
        <v>-118.0</v>
      </c>
      <c r="J26" s="1">
        <v>-0.104030275229357</v>
      </c>
      <c r="K26" s="1" t="s">
        <v>61</v>
      </c>
      <c r="L26" s="1" t="s">
        <v>61</v>
      </c>
      <c r="M26" s="1" t="s">
        <v>62</v>
      </c>
      <c r="N26" s="1">
        <v>-112.0</v>
      </c>
      <c r="O26" s="1">
        <v>0.0344509433962263</v>
      </c>
      <c r="P26" s="1" t="s">
        <v>61</v>
      </c>
      <c r="Q26" s="1" t="s">
        <v>61</v>
      </c>
      <c r="R26" s="1">
        <f t="shared" si="1"/>
        <v>0.0344509434</v>
      </c>
      <c r="S26" s="1">
        <f t="shared" si="2"/>
        <v>-112</v>
      </c>
      <c r="T26" s="1">
        <f t="shared" si="3"/>
        <v>1.892857143</v>
      </c>
      <c r="U26" s="1">
        <f t="shared" si="4"/>
        <v>0</v>
      </c>
      <c r="V26" s="3">
        <f t="shared" si="5"/>
        <v>1</v>
      </c>
      <c r="W26" s="3">
        <f t="shared" si="6"/>
        <v>2</v>
      </c>
      <c r="X26" s="3" t="str">
        <f>IFERROR(__xludf.DUMMYFUNCTION("split(B26,"" "")"),"K.")</f>
        <v>K.</v>
      </c>
      <c r="Y26" s="3" t="str">
        <f>IFERROR(__xludf.DUMMYFUNCTION("""COMPUTED_VALUE"""),"Pitts")</f>
        <v>Pitts</v>
      </c>
      <c r="AA26" s="3">
        <v>2.0</v>
      </c>
      <c r="AB26" s="3">
        <f t="shared" si="7"/>
        <v>0</v>
      </c>
      <c r="AC26" s="3">
        <f t="shared" si="8"/>
        <v>1</v>
      </c>
      <c r="AD26" s="3">
        <f t="shared" si="9"/>
        <v>0.8928571429</v>
      </c>
      <c r="AE26" s="3">
        <f t="shared" si="10"/>
        <v>0.8928571429</v>
      </c>
      <c r="AF26" s="3">
        <f t="shared" si="11"/>
        <v>1.785714286</v>
      </c>
      <c r="AG26" s="3">
        <f t="shared" si="12"/>
        <v>0.4285714286</v>
      </c>
      <c r="AH26" s="1" t="s">
        <v>13</v>
      </c>
      <c r="AI26" s="3">
        <f t="shared" ref="AI26:AI30" si="38">COUNTIFs(A:A, "=" &amp; AH26, AC:AC, "=1")</f>
        <v>6</v>
      </c>
      <c r="AJ26" s="3">
        <f t="shared" ref="AJ26:AJ30" si="39">countif(A:A, "=" &amp; AH26)</f>
        <v>9</v>
      </c>
      <c r="AK26" s="3">
        <f t="shared" ref="AK26:AK30" si="40">AI26/AJ26</f>
        <v>0.6666666667</v>
      </c>
      <c r="AL26" s="3">
        <f t="shared" ref="AL26:AL30" si="41">SUMIFS(AE:AE, A:A,"=" &amp; AH26,AC:AC, "=1")</f>
        <v>6.380165591</v>
      </c>
      <c r="AM26" s="3">
        <f t="shared" ref="AM26:AM30" si="42">SUMIFS(AE:AE, A:A,"=" &amp; AH26,AC:AC, "=0")</f>
        <v>-5</v>
      </c>
      <c r="AN26" s="3">
        <f t="shared" ref="AN26:AN30" si="43">AL26+AM26</f>
        <v>1.380165591</v>
      </c>
      <c r="AO26" s="4">
        <f t="shared" ref="AO26:AO30" si="44">IFERROR( countifs(A:A, "="&amp;AH26, U:U, "=1", AC:AC, "=1")/countifs(A:A, "="&amp;AH26, U:U, "=1"), 0)</f>
        <v>0.625</v>
      </c>
      <c r="AP26" s="4">
        <f t="shared" ref="AP26:AP30" si="45">IFERROR( countifs(A:A, "="&amp;AH26, U:U, "=0", AC:AC, "=1")/countifs(A:A, "="&amp;AH26, U:U, "=0"), 0)</f>
        <v>1</v>
      </c>
      <c r="AQ26" s="5">
        <f t="shared" ref="AQ26:AQ30" si="46">iferror(IFS(AND(AP26 &gt; 0.5, AO26 &gt; 0.5), 1, AND(AP26 &lt;= 0.5, AO26 &lt;= 0.5), -1), 0)
</f>
        <v>1</v>
      </c>
      <c r="AR26" s="5">
        <f t="shared" ref="AR26:AR30" si="47">if(AN26&lt;0, -1, 1)</f>
        <v>1</v>
      </c>
    </row>
    <row r="27">
      <c r="A27" s="1" t="s">
        <v>11</v>
      </c>
      <c r="B27" s="1" t="s">
        <v>501</v>
      </c>
      <c r="C27" s="1" t="s">
        <v>18</v>
      </c>
      <c r="D27" s="1" t="s">
        <v>109</v>
      </c>
      <c r="E27" s="1" t="s">
        <v>76</v>
      </c>
      <c r="F27" s="1" t="s">
        <v>517</v>
      </c>
      <c r="G27" s="1">
        <v>32.5</v>
      </c>
      <c r="H27" s="1" t="s">
        <v>60</v>
      </c>
      <c r="I27" s="1">
        <v>-110.0</v>
      </c>
      <c r="J27" s="1">
        <v>-0.0933272558070953</v>
      </c>
      <c r="K27" s="1" t="s">
        <v>61</v>
      </c>
      <c r="L27" s="1" t="s">
        <v>61</v>
      </c>
      <c r="M27" s="1" t="s">
        <v>62</v>
      </c>
      <c r="N27" s="1">
        <v>-119.0</v>
      </c>
      <c r="O27" s="1">
        <v>0.0261545842139869</v>
      </c>
      <c r="P27" s="1" t="s">
        <v>61</v>
      </c>
      <c r="Q27" s="1" t="s">
        <v>61</v>
      </c>
      <c r="R27" s="1">
        <f t="shared" si="1"/>
        <v>0.02615458421</v>
      </c>
      <c r="S27" s="1">
        <f t="shared" si="2"/>
        <v>-119</v>
      </c>
      <c r="T27" s="1">
        <f t="shared" si="3"/>
        <v>1.840336134</v>
      </c>
      <c r="U27" s="1">
        <f t="shared" si="4"/>
        <v>0</v>
      </c>
      <c r="V27" s="3">
        <f t="shared" si="5"/>
        <v>1</v>
      </c>
      <c r="W27" s="3">
        <f t="shared" si="6"/>
        <v>3</v>
      </c>
      <c r="X27" s="3" t="str">
        <f>IFERROR(__xludf.DUMMYFUNCTION("split(B27,"" "")"),"R.")</f>
        <v>R.</v>
      </c>
      <c r="Y27" s="3" t="str">
        <f>IFERROR(__xludf.DUMMYFUNCTION("""COMPUTED_VALUE"""),"McCloud")</f>
        <v>McCloud</v>
      </c>
      <c r="Z27" s="3" t="str">
        <f>IFERROR(__xludf.DUMMYFUNCTION("""COMPUTED_VALUE"""),"III")</f>
        <v>III</v>
      </c>
      <c r="AA27" s="3">
        <v>17.0</v>
      </c>
      <c r="AB27" s="3">
        <f t="shared" si="7"/>
        <v>0</v>
      </c>
      <c r="AC27" s="3">
        <f t="shared" si="8"/>
        <v>1</v>
      </c>
      <c r="AD27" s="3">
        <f t="shared" si="9"/>
        <v>0.8403361345</v>
      </c>
      <c r="AE27" s="3">
        <f t="shared" si="10"/>
        <v>0.8403361345</v>
      </c>
      <c r="AF27" s="3">
        <f t="shared" si="11"/>
        <v>2.521008403</v>
      </c>
      <c r="AG27" s="3">
        <f t="shared" si="12"/>
        <v>0.4769230769</v>
      </c>
      <c r="AH27" s="1" t="s">
        <v>14</v>
      </c>
      <c r="AI27" s="3">
        <f t="shared" si="38"/>
        <v>11</v>
      </c>
      <c r="AJ27" s="3">
        <f t="shared" si="39"/>
        <v>24</v>
      </c>
      <c r="AK27" s="3">
        <f t="shared" si="40"/>
        <v>0.4583333333</v>
      </c>
      <c r="AL27" s="3">
        <f t="shared" si="41"/>
        <v>28.50238095</v>
      </c>
      <c r="AM27" s="3">
        <f t="shared" si="42"/>
        <v>-21</v>
      </c>
      <c r="AN27" s="3">
        <f t="shared" si="43"/>
        <v>7.502380952</v>
      </c>
      <c r="AO27" s="4">
        <f t="shared" si="44"/>
        <v>0.6</v>
      </c>
      <c r="AP27" s="4">
        <f t="shared" si="45"/>
        <v>0.3571428571</v>
      </c>
      <c r="AQ27" s="5">
        <f t="shared" si="46"/>
        <v>0</v>
      </c>
      <c r="AR27" s="5">
        <f t="shared" si="47"/>
        <v>1</v>
      </c>
    </row>
    <row r="28">
      <c r="A28" s="1" t="s">
        <v>10</v>
      </c>
      <c r="B28" s="1" t="s">
        <v>202</v>
      </c>
      <c r="C28" s="1" t="s">
        <v>19</v>
      </c>
      <c r="D28" s="1" t="s">
        <v>109</v>
      </c>
      <c r="E28" s="1" t="s">
        <v>76</v>
      </c>
      <c r="F28" s="1" t="s">
        <v>517</v>
      </c>
      <c r="G28" s="1">
        <v>25.5</v>
      </c>
      <c r="H28" s="1" t="s">
        <v>60</v>
      </c>
      <c r="I28" s="1">
        <v>-117.0</v>
      </c>
      <c r="J28" s="1">
        <v>-0.0946166459691159</v>
      </c>
      <c r="K28" s="1" t="s">
        <v>61</v>
      </c>
      <c r="L28" s="1" t="s">
        <v>61</v>
      </c>
      <c r="M28" s="1" t="s">
        <v>62</v>
      </c>
      <c r="N28" s="1">
        <v>-113.0</v>
      </c>
      <c r="O28" s="1">
        <v>0.0249215622445397</v>
      </c>
      <c r="P28" s="1" t="s">
        <v>61</v>
      </c>
      <c r="Q28" s="1" t="s">
        <v>61</v>
      </c>
      <c r="R28" s="1">
        <f t="shared" si="1"/>
        <v>0.02492156224</v>
      </c>
      <c r="S28" s="1">
        <f t="shared" si="2"/>
        <v>-113</v>
      </c>
      <c r="T28" s="1">
        <f t="shared" si="3"/>
        <v>1.884955752</v>
      </c>
      <c r="U28" s="1">
        <f t="shared" si="4"/>
        <v>0</v>
      </c>
      <c r="V28" s="3">
        <f t="shared" si="5"/>
        <v>1</v>
      </c>
      <c r="W28" s="3">
        <f t="shared" si="6"/>
        <v>2</v>
      </c>
      <c r="X28" s="3" t="str">
        <f>IFERROR(__xludf.DUMMYFUNCTION("split(B28,"" "")"),"T.")</f>
        <v>T.</v>
      </c>
      <c r="Y28" s="3" t="str">
        <f>IFERROR(__xludf.DUMMYFUNCTION("""COMPUTED_VALUE"""),"Allgeier")</f>
        <v>Allgeier</v>
      </c>
      <c r="AA28" s="3">
        <v>32.0</v>
      </c>
      <c r="AB28" s="3">
        <f t="shared" si="7"/>
        <v>1</v>
      </c>
      <c r="AC28" s="3">
        <f t="shared" si="8"/>
        <v>0</v>
      </c>
      <c r="AD28" s="3">
        <f t="shared" si="9"/>
        <v>0.8849557522</v>
      </c>
      <c r="AE28" s="3">
        <f t="shared" si="10"/>
        <v>-1</v>
      </c>
      <c r="AF28" s="3">
        <f t="shared" si="11"/>
        <v>-2</v>
      </c>
      <c r="AG28" s="3">
        <f t="shared" si="12"/>
        <v>-0.2549019608</v>
      </c>
      <c r="AH28" s="1" t="s">
        <v>15</v>
      </c>
      <c r="AI28" s="3">
        <f t="shared" si="38"/>
        <v>6</v>
      </c>
      <c r="AJ28" s="3">
        <f t="shared" si="39"/>
        <v>19</v>
      </c>
      <c r="AK28" s="3">
        <f t="shared" si="40"/>
        <v>0.3157894737</v>
      </c>
      <c r="AL28" s="3">
        <f t="shared" si="41"/>
        <v>7.911757758</v>
      </c>
      <c r="AM28" s="3">
        <f t="shared" si="42"/>
        <v>-22</v>
      </c>
      <c r="AN28" s="3">
        <f t="shared" si="43"/>
        <v>-14.08824224</v>
      </c>
      <c r="AO28" s="4">
        <f t="shared" si="44"/>
        <v>0.2857142857</v>
      </c>
      <c r="AP28" s="4">
        <f t="shared" si="45"/>
        <v>0.3333333333</v>
      </c>
      <c r="AQ28" s="5">
        <f t="shared" si="46"/>
        <v>-1</v>
      </c>
      <c r="AR28" s="5">
        <f t="shared" si="47"/>
        <v>-1</v>
      </c>
    </row>
    <row r="29">
      <c r="A29" s="1" t="s">
        <v>9</v>
      </c>
      <c r="B29" s="1" t="s">
        <v>202</v>
      </c>
      <c r="C29" s="1" t="s">
        <v>19</v>
      </c>
      <c r="D29" s="1" t="s">
        <v>109</v>
      </c>
      <c r="E29" s="1" t="s">
        <v>76</v>
      </c>
      <c r="F29" s="1" t="s">
        <v>517</v>
      </c>
      <c r="G29" s="1">
        <v>31.5</v>
      </c>
      <c r="H29" s="1" t="s">
        <v>60</v>
      </c>
      <c r="I29" s="1">
        <v>-115.0</v>
      </c>
      <c r="J29" s="1">
        <v>0.0203658410586203</v>
      </c>
      <c r="K29" s="1" t="s">
        <v>61</v>
      </c>
      <c r="L29" s="1" t="s">
        <v>61</v>
      </c>
      <c r="M29" s="1" t="s">
        <v>62</v>
      </c>
      <c r="N29" s="1">
        <v>-115.0</v>
      </c>
      <c r="O29" s="1">
        <v>-0.0901407172174134</v>
      </c>
      <c r="P29" s="1" t="s">
        <v>61</v>
      </c>
      <c r="Q29" s="1" t="s">
        <v>61</v>
      </c>
      <c r="R29" s="1">
        <f t="shared" si="1"/>
        <v>0.02036584106</v>
      </c>
      <c r="S29" s="1">
        <f t="shared" si="2"/>
        <v>-115</v>
      </c>
      <c r="T29" s="1">
        <f t="shared" si="3"/>
        <v>1.869565217</v>
      </c>
      <c r="U29" s="1">
        <f t="shared" si="4"/>
        <v>1</v>
      </c>
      <c r="V29" s="3">
        <f t="shared" si="5"/>
        <v>1</v>
      </c>
      <c r="W29" s="3">
        <f t="shared" si="6"/>
        <v>2</v>
      </c>
      <c r="X29" s="3" t="str">
        <f>IFERROR(__xludf.DUMMYFUNCTION("split(B29,"" "")"),"T.")</f>
        <v>T.</v>
      </c>
      <c r="Y29" s="3" t="str">
        <f>IFERROR(__xludf.DUMMYFUNCTION("""COMPUTED_VALUE"""),"Allgeier")</f>
        <v>Allgeier</v>
      </c>
      <c r="AA29" s="3">
        <v>32.0</v>
      </c>
      <c r="AB29" s="3">
        <f t="shared" si="7"/>
        <v>1</v>
      </c>
      <c r="AC29" s="3">
        <f t="shared" si="8"/>
        <v>1</v>
      </c>
      <c r="AD29" s="3">
        <f t="shared" si="9"/>
        <v>0.8695652174</v>
      </c>
      <c r="AE29" s="3">
        <f t="shared" si="10"/>
        <v>0.8695652174</v>
      </c>
      <c r="AF29" s="3">
        <f t="shared" si="11"/>
        <v>1.739130435</v>
      </c>
      <c r="AG29" s="3">
        <f t="shared" si="12"/>
        <v>0.01587301587</v>
      </c>
      <c r="AH29" s="1" t="s">
        <v>16</v>
      </c>
      <c r="AI29" s="3">
        <f t="shared" si="38"/>
        <v>8</v>
      </c>
      <c r="AJ29" s="3">
        <f t="shared" si="39"/>
        <v>17</v>
      </c>
      <c r="AK29" s="3">
        <f t="shared" si="40"/>
        <v>0.4705882353</v>
      </c>
      <c r="AL29" s="3">
        <f t="shared" si="41"/>
        <v>8.23740665</v>
      </c>
      <c r="AM29" s="3">
        <f t="shared" si="42"/>
        <v>-12</v>
      </c>
      <c r="AN29" s="3">
        <f t="shared" si="43"/>
        <v>-3.76259335</v>
      </c>
      <c r="AO29" s="4">
        <f t="shared" si="44"/>
        <v>1</v>
      </c>
      <c r="AP29" s="4">
        <f t="shared" si="45"/>
        <v>0.3571428571</v>
      </c>
      <c r="AQ29" s="5">
        <f t="shared" si="46"/>
        <v>0</v>
      </c>
      <c r="AR29" s="5">
        <f t="shared" si="47"/>
        <v>-1</v>
      </c>
    </row>
    <row r="30">
      <c r="A30" s="1" t="s">
        <v>9</v>
      </c>
      <c r="B30" s="1" t="s">
        <v>264</v>
      </c>
      <c r="C30" s="1" t="s">
        <v>19</v>
      </c>
      <c r="D30" s="1" t="s">
        <v>109</v>
      </c>
      <c r="E30" s="1" t="s">
        <v>76</v>
      </c>
      <c r="F30" s="1" t="s">
        <v>517</v>
      </c>
      <c r="G30" s="1">
        <v>107.5</v>
      </c>
      <c r="H30" s="1" t="s">
        <v>60</v>
      </c>
      <c r="I30" s="1">
        <v>-116.0</v>
      </c>
      <c r="J30" s="1">
        <v>-0.0837112436315997</v>
      </c>
      <c r="K30" s="1" t="s">
        <v>61</v>
      </c>
      <c r="L30" s="1" t="s">
        <v>61</v>
      </c>
      <c r="M30" s="1" t="s">
        <v>62</v>
      </c>
      <c r="N30" s="1">
        <v>-116.0</v>
      </c>
      <c r="O30" s="1">
        <v>0.00968091200945564</v>
      </c>
      <c r="P30" s="1" t="s">
        <v>61</v>
      </c>
      <c r="Q30" s="1" t="s">
        <v>61</v>
      </c>
      <c r="R30" s="1">
        <f t="shared" si="1"/>
        <v>0.009680912009</v>
      </c>
      <c r="S30" s="1">
        <f t="shared" si="2"/>
        <v>-116</v>
      </c>
      <c r="T30" s="1">
        <f t="shared" si="3"/>
        <v>1.862068966</v>
      </c>
      <c r="U30" s="1">
        <f t="shared" si="4"/>
        <v>0</v>
      </c>
      <c r="V30" s="3">
        <f t="shared" si="5"/>
        <v>1</v>
      </c>
      <c r="W30" s="3">
        <f t="shared" si="6"/>
        <v>2</v>
      </c>
      <c r="X30" s="3" t="str">
        <f>IFERROR(__xludf.DUMMYFUNCTION("split(B30,"" "")"),"B.")</f>
        <v>B.</v>
      </c>
      <c r="Y30" s="3" t="str">
        <f>IFERROR(__xludf.DUMMYFUNCTION("""COMPUTED_VALUE"""),"Robinson")</f>
        <v>Robinson</v>
      </c>
      <c r="AA30" s="3">
        <v>52.0</v>
      </c>
      <c r="AB30" s="3">
        <f t="shared" si="7"/>
        <v>0</v>
      </c>
      <c r="AC30" s="3">
        <f t="shared" si="8"/>
        <v>1</v>
      </c>
      <c r="AD30" s="3">
        <f t="shared" si="9"/>
        <v>0.8620689655</v>
      </c>
      <c r="AE30" s="3">
        <f t="shared" si="10"/>
        <v>0.8620689655</v>
      </c>
      <c r="AF30" s="3">
        <f t="shared" si="11"/>
        <v>1.724137931</v>
      </c>
      <c r="AG30" s="3">
        <f t="shared" si="12"/>
        <v>0.5162790698</v>
      </c>
      <c r="AH30" s="1" t="s">
        <v>17</v>
      </c>
      <c r="AI30" s="3">
        <f t="shared" si="38"/>
        <v>11</v>
      </c>
      <c r="AJ30" s="3">
        <f t="shared" si="39"/>
        <v>24</v>
      </c>
      <c r="AK30" s="3">
        <f t="shared" si="40"/>
        <v>0.4583333333</v>
      </c>
      <c r="AL30" s="3">
        <f t="shared" si="41"/>
        <v>20.33134586</v>
      </c>
      <c r="AM30" s="3">
        <f t="shared" si="42"/>
        <v>-18</v>
      </c>
      <c r="AN30" s="3">
        <f t="shared" si="43"/>
        <v>2.331345859</v>
      </c>
      <c r="AO30" s="4">
        <f t="shared" si="44"/>
        <v>0</v>
      </c>
      <c r="AP30" s="4">
        <f t="shared" si="45"/>
        <v>0.4583333333</v>
      </c>
      <c r="AQ30" s="5">
        <f t="shared" si="46"/>
        <v>-1</v>
      </c>
      <c r="AR30" s="5">
        <f t="shared" si="47"/>
        <v>1</v>
      </c>
    </row>
    <row r="31">
      <c r="A31" s="1" t="s">
        <v>10</v>
      </c>
      <c r="B31" s="1" t="s">
        <v>264</v>
      </c>
      <c r="C31" s="1" t="s">
        <v>19</v>
      </c>
      <c r="D31" s="1" t="s">
        <v>109</v>
      </c>
      <c r="E31" s="1" t="s">
        <v>76</v>
      </c>
      <c r="F31" s="1" t="s">
        <v>517</v>
      </c>
      <c r="G31" s="1">
        <v>73.5</v>
      </c>
      <c r="H31" s="1" t="s">
        <v>60</v>
      </c>
      <c r="I31" s="1">
        <v>-109.0</v>
      </c>
      <c r="J31" s="1">
        <v>-0.0699224858622891</v>
      </c>
      <c r="K31" s="1" t="s">
        <v>61</v>
      </c>
      <c r="L31" s="1" t="s">
        <v>61</v>
      </c>
      <c r="M31" s="1" t="s">
        <v>62</v>
      </c>
      <c r="N31" s="1">
        <v>-118.0</v>
      </c>
      <c r="O31" s="1">
        <v>0.00713073551645626</v>
      </c>
      <c r="P31" s="1" t="s">
        <v>61</v>
      </c>
      <c r="Q31" s="1" t="s">
        <v>61</v>
      </c>
      <c r="R31" s="1">
        <f t="shared" si="1"/>
        <v>0.007130735516</v>
      </c>
      <c r="S31" s="1">
        <f t="shared" si="2"/>
        <v>-118</v>
      </c>
      <c r="T31" s="1">
        <f t="shared" si="3"/>
        <v>1.847457627</v>
      </c>
      <c r="U31" s="1">
        <f t="shared" si="4"/>
        <v>0</v>
      </c>
      <c r="V31" s="3">
        <f t="shared" si="5"/>
        <v>1</v>
      </c>
      <c r="W31" s="3">
        <f t="shared" si="6"/>
        <v>3</v>
      </c>
      <c r="X31" s="3" t="str">
        <f>IFERROR(__xludf.DUMMYFUNCTION("split(B31,"" "")"),"B.")</f>
        <v>B.</v>
      </c>
      <c r="Y31" s="3" t="str">
        <f>IFERROR(__xludf.DUMMYFUNCTION("""COMPUTED_VALUE"""),"Robinson")</f>
        <v>Robinson</v>
      </c>
      <c r="AA31" s="3">
        <v>31.0</v>
      </c>
      <c r="AB31" s="3">
        <f t="shared" si="7"/>
        <v>0</v>
      </c>
      <c r="AC31" s="3">
        <f t="shared" si="8"/>
        <v>1</v>
      </c>
      <c r="AD31" s="3">
        <f t="shared" si="9"/>
        <v>0.8474576271</v>
      </c>
      <c r="AE31" s="3">
        <f t="shared" si="10"/>
        <v>0.8474576271</v>
      </c>
      <c r="AF31" s="3">
        <f t="shared" si="11"/>
        <v>2.542372881</v>
      </c>
      <c r="AG31" s="3">
        <f t="shared" si="12"/>
        <v>0.5782312925</v>
      </c>
      <c r="AJ31" s="1" t="s">
        <v>512</v>
      </c>
      <c r="AK31" s="1" t="s">
        <v>513</v>
      </c>
    </row>
    <row r="32">
      <c r="A32" s="1" t="s">
        <v>11</v>
      </c>
      <c r="B32" s="1" t="s">
        <v>355</v>
      </c>
      <c r="C32" s="1" t="s">
        <v>18</v>
      </c>
      <c r="D32" s="1" t="s">
        <v>109</v>
      </c>
      <c r="E32" s="1" t="s">
        <v>76</v>
      </c>
      <c r="F32" s="1" t="s">
        <v>517</v>
      </c>
      <c r="G32" s="1">
        <v>36.5</v>
      </c>
      <c r="H32" s="1" t="s">
        <v>60</v>
      </c>
      <c r="I32" s="1">
        <v>-112.0</v>
      </c>
      <c r="J32" s="1">
        <v>-0.0703692603331134</v>
      </c>
      <c r="K32" s="1" t="s">
        <v>61</v>
      </c>
      <c r="L32" s="1" t="s">
        <v>61</v>
      </c>
      <c r="M32" s="1" t="s">
        <v>62</v>
      </c>
      <c r="N32" s="1">
        <v>-117.0</v>
      </c>
      <c r="O32" s="1">
        <v>0.00294862945298368</v>
      </c>
      <c r="P32" s="1" t="s">
        <v>61</v>
      </c>
      <c r="Q32" s="1" t="s">
        <v>61</v>
      </c>
      <c r="R32" s="1">
        <f t="shared" si="1"/>
        <v>0.002948629453</v>
      </c>
      <c r="S32" s="1">
        <f t="shared" si="2"/>
        <v>-117</v>
      </c>
      <c r="T32" s="1">
        <f t="shared" si="3"/>
        <v>1.854700855</v>
      </c>
      <c r="U32" s="1">
        <f t="shared" si="4"/>
        <v>0</v>
      </c>
      <c r="V32" s="3">
        <f t="shared" si="5"/>
        <v>1</v>
      </c>
      <c r="W32" s="3">
        <f t="shared" si="6"/>
        <v>2</v>
      </c>
      <c r="X32" s="3" t="str">
        <f>IFERROR(__xludf.DUMMYFUNCTION("split(B32,"" "")"),"D.")</f>
        <v>D.</v>
      </c>
      <c r="Y32" s="3" t="str">
        <f>IFERROR(__xludf.DUMMYFUNCTION("""COMPUTED_VALUE"""),"Mooney")</f>
        <v>Mooney</v>
      </c>
      <c r="AA32" s="3">
        <v>66.0</v>
      </c>
      <c r="AB32" s="3">
        <f t="shared" si="7"/>
        <v>1</v>
      </c>
      <c r="AC32" s="3">
        <f t="shared" si="8"/>
        <v>0</v>
      </c>
      <c r="AD32" s="3">
        <f t="shared" si="9"/>
        <v>0.8547008547</v>
      </c>
      <c r="AE32" s="3">
        <f t="shared" si="10"/>
        <v>-1</v>
      </c>
      <c r="AF32" s="3">
        <f t="shared" si="11"/>
        <v>-2</v>
      </c>
      <c r="AG32" s="3">
        <f t="shared" si="12"/>
        <v>-0.8082191781</v>
      </c>
      <c r="AH32" s="1" t="s">
        <v>514</v>
      </c>
      <c r="AI32" s="3">
        <f>COUNTIFS(AG2:AG999, "&gt;1.7", AC2:AC999,"=1", U2:U999, "=1") + countifs(U2:U999, "=0", AA2:AA999, "=0")</f>
        <v>62</v>
      </c>
      <c r="AJ32" s="3">
        <f>COUNTIFS(AG2:AG999, "&gt;1.7", AC2:AC999,"=1", U2:U999, "=1")</f>
        <v>16</v>
      </c>
      <c r="AK32" s="3">
        <f>AI32-AJ32</f>
        <v>46</v>
      </c>
    </row>
    <row r="33">
      <c r="A33" s="1" t="s">
        <v>12</v>
      </c>
      <c r="B33" s="1" t="s">
        <v>454</v>
      </c>
      <c r="C33" s="1" t="s">
        <v>20</v>
      </c>
      <c r="D33" s="1" t="s">
        <v>77</v>
      </c>
      <c r="E33" s="1" t="s">
        <v>88</v>
      </c>
      <c r="F33" s="1" t="s">
        <v>516</v>
      </c>
      <c r="G33" s="1">
        <v>2.5</v>
      </c>
      <c r="H33" s="1" t="s">
        <v>60</v>
      </c>
      <c r="I33" s="1">
        <v>-166.0</v>
      </c>
      <c r="J33" s="1">
        <v>-0.270896210300751</v>
      </c>
      <c r="K33" s="1" t="s">
        <v>61</v>
      </c>
      <c r="L33" s="1" t="s">
        <v>61</v>
      </c>
      <c r="M33" s="1" t="s">
        <v>62</v>
      </c>
      <c r="N33" s="1">
        <v>126.0</v>
      </c>
      <c r="O33" s="1">
        <v>0.204364566106194</v>
      </c>
      <c r="P33" s="1" t="s">
        <v>61</v>
      </c>
      <c r="Q33" s="1" t="s">
        <v>61</v>
      </c>
      <c r="R33" s="1">
        <f t="shared" si="1"/>
        <v>0.2043645661</v>
      </c>
      <c r="S33" s="1">
        <f t="shared" si="2"/>
        <v>126</v>
      </c>
      <c r="T33" s="1">
        <f t="shared" si="3"/>
        <v>2.26</v>
      </c>
      <c r="U33" s="1">
        <f t="shared" si="4"/>
        <v>0</v>
      </c>
      <c r="V33" s="3">
        <f t="shared" si="5"/>
        <v>3</v>
      </c>
      <c r="W33" s="3">
        <f t="shared" si="6"/>
        <v>1</v>
      </c>
      <c r="X33" s="3" t="str">
        <f>IFERROR(__xludf.DUMMYFUNCTION("split(B33,"" "")"),"I.")</f>
        <v>I.</v>
      </c>
      <c r="Y33" s="3" t="str">
        <f>IFERROR(__xludf.DUMMYFUNCTION("""COMPUTED_VALUE"""),"Likely")</f>
        <v>Likely</v>
      </c>
      <c r="AA33" s="3">
        <v>1.0</v>
      </c>
      <c r="AB33" s="3">
        <f t="shared" si="7"/>
        <v>0</v>
      </c>
      <c r="AC33" s="3">
        <f t="shared" si="8"/>
        <v>1</v>
      </c>
      <c r="AD33" s="3">
        <f t="shared" si="9"/>
        <v>3.78</v>
      </c>
      <c r="AE33" s="3">
        <f t="shared" si="10"/>
        <v>3.78</v>
      </c>
      <c r="AF33" s="3">
        <f t="shared" si="11"/>
        <v>1.26</v>
      </c>
      <c r="AG33" s="3">
        <f t="shared" si="12"/>
        <v>0.6</v>
      </c>
    </row>
    <row r="34">
      <c r="A34" s="1" t="s">
        <v>9</v>
      </c>
      <c r="B34" s="1" t="s">
        <v>138</v>
      </c>
      <c r="C34" s="1" t="s">
        <v>18</v>
      </c>
      <c r="D34" s="1" t="s">
        <v>77</v>
      </c>
      <c r="E34" s="1" t="s">
        <v>88</v>
      </c>
      <c r="F34" s="1" t="s">
        <v>516</v>
      </c>
      <c r="G34" s="1">
        <v>11.0</v>
      </c>
      <c r="H34" s="1" t="s">
        <v>60</v>
      </c>
      <c r="I34" s="1">
        <v>-115.0</v>
      </c>
      <c r="J34" s="1">
        <v>0.190601370241891</v>
      </c>
      <c r="K34" s="1" t="s">
        <v>61</v>
      </c>
      <c r="L34" s="1" t="s">
        <v>61</v>
      </c>
      <c r="M34" s="1" t="s">
        <v>62</v>
      </c>
      <c r="N34" s="1">
        <v>-118.0</v>
      </c>
      <c r="O34" s="1">
        <v>-0.264408888212696</v>
      </c>
      <c r="P34" s="1" t="s">
        <v>61</v>
      </c>
      <c r="Q34" s="1" t="s">
        <v>61</v>
      </c>
      <c r="R34" s="1">
        <f t="shared" si="1"/>
        <v>0.1906013702</v>
      </c>
      <c r="S34" s="1">
        <f t="shared" si="2"/>
        <v>-115</v>
      </c>
      <c r="T34" s="1">
        <f t="shared" si="3"/>
        <v>1.869565217</v>
      </c>
      <c r="U34" s="1">
        <f t="shared" si="4"/>
        <v>1</v>
      </c>
      <c r="V34" s="3">
        <f t="shared" si="5"/>
        <v>3</v>
      </c>
      <c r="W34" s="3">
        <f t="shared" si="6"/>
        <v>2</v>
      </c>
      <c r="X34" s="3" t="str">
        <f>IFERROR(__xludf.DUMMYFUNCTION("split(B34,"" "")"),"N.")</f>
        <v>N.</v>
      </c>
      <c r="Y34" s="3" t="str">
        <f>IFERROR(__xludf.DUMMYFUNCTION("""COMPUTED_VALUE"""),"Agholor")</f>
        <v>Agholor</v>
      </c>
      <c r="AA34" s="3">
        <v>56.0</v>
      </c>
      <c r="AB34" s="3">
        <f t="shared" si="7"/>
        <v>1</v>
      </c>
      <c r="AC34" s="3">
        <f t="shared" si="8"/>
        <v>1</v>
      </c>
      <c r="AD34" s="3">
        <f t="shared" si="9"/>
        <v>2.608695652</v>
      </c>
      <c r="AE34" s="3">
        <f t="shared" si="10"/>
        <v>2.608695652</v>
      </c>
      <c r="AF34" s="3">
        <f t="shared" si="11"/>
        <v>1.739130435</v>
      </c>
      <c r="AG34" s="3">
        <f t="shared" si="12"/>
        <v>4.090909091</v>
      </c>
    </row>
    <row r="35">
      <c r="A35" s="1" t="s">
        <v>12</v>
      </c>
      <c r="B35" s="1" t="s">
        <v>239</v>
      </c>
      <c r="C35" s="1" t="s">
        <v>18</v>
      </c>
      <c r="D35" s="1" t="s">
        <v>77</v>
      </c>
      <c r="E35" s="1" t="s">
        <v>88</v>
      </c>
      <c r="F35" s="1" t="s">
        <v>516</v>
      </c>
      <c r="G35" s="1">
        <v>2.5</v>
      </c>
      <c r="H35" s="1" t="s">
        <v>60</v>
      </c>
      <c r="I35" s="1">
        <v>104.0</v>
      </c>
      <c r="J35" s="1">
        <v>-0.17618975492549</v>
      </c>
      <c r="K35" s="1" t="s">
        <v>61</v>
      </c>
      <c r="L35" s="1" t="s">
        <v>61</v>
      </c>
      <c r="M35" s="1" t="s">
        <v>62</v>
      </c>
      <c r="N35" s="1">
        <v>-137.0</v>
      </c>
      <c r="O35" s="1">
        <v>0.107933758140928</v>
      </c>
      <c r="P35" s="1" t="s">
        <v>61</v>
      </c>
      <c r="Q35" s="1" t="s">
        <v>61</v>
      </c>
      <c r="R35" s="1">
        <f t="shared" si="1"/>
        <v>0.1079337581</v>
      </c>
      <c r="S35" s="1">
        <f t="shared" si="2"/>
        <v>-137</v>
      </c>
      <c r="T35" s="1">
        <f t="shared" si="3"/>
        <v>1.729927007</v>
      </c>
      <c r="U35" s="1">
        <f t="shared" si="4"/>
        <v>0</v>
      </c>
      <c r="V35" s="3">
        <f t="shared" si="5"/>
        <v>3</v>
      </c>
      <c r="W35" s="3">
        <f t="shared" si="6"/>
        <v>3</v>
      </c>
      <c r="X35" s="3" t="str">
        <f>IFERROR(__xludf.DUMMYFUNCTION("split(B35,"" "")"),"R.")</f>
        <v>R.</v>
      </c>
      <c r="Y35" s="3" t="str">
        <f>IFERROR(__xludf.DUMMYFUNCTION("""COMPUTED_VALUE"""),"Bateman")</f>
        <v>Bateman</v>
      </c>
      <c r="AA35" s="3">
        <v>3.0</v>
      </c>
      <c r="AB35" s="3">
        <f t="shared" si="7"/>
        <v>1</v>
      </c>
      <c r="AC35" s="3">
        <f t="shared" si="8"/>
        <v>0</v>
      </c>
      <c r="AD35" s="3">
        <f t="shared" si="9"/>
        <v>2.189781022</v>
      </c>
      <c r="AE35" s="3">
        <f t="shared" si="10"/>
        <v>-3</v>
      </c>
      <c r="AF35" s="3">
        <f t="shared" si="11"/>
        <v>-3</v>
      </c>
      <c r="AG35" s="3">
        <f t="shared" si="12"/>
        <v>-0.2</v>
      </c>
    </row>
    <row r="36">
      <c r="A36" s="1" t="s">
        <v>8</v>
      </c>
      <c r="B36" s="1" t="s">
        <v>347</v>
      </c>
      <c r="C36" s="1" t="s">
        <v>21</v>
      </c>
      <c r="D36" s="1" t="s">
        <v>77</v>
      </c>
      <c r="E36" s="1" t="s">
        <v>88</v>
      </c>
      <c r="F36" s="1" t="s">
        <v>516</v>
      </c>
      <c r="G36" s="1">
        <v>9.5</v>
      </c>
      <c r="H36" s="1" t="s">
        <v>60</v>
      </c>
      <c r="I36" s="1">
        <v>100.0</v>
      </c>
      <c r="J36" s="1">
        <v>-0.168547592237588</v>
      </c>
      <c r="K36" s="1" t="s">
        <v>61</v>
      </c>
      <c r="L36" s="1" t="s">
        <v>61</v>
      </c>
      <c r="M36" s="1" t="s">
        <v>62</v>
      </c>
      <c r="N36" s="1">
        <v>-135.0</v>
      </c>
      <c r="O36" s="1">
        <v>0.0940865953368037</v>
      </c>
      <c r="P36" s="1" t="s">
        <v>61</v>
      </c>
      <c r="Q36" s="1" t="s">
        <v>61</v>
      </c>
      <c r="R36" s="1">
        <f t="shared" si="1"/>
        <v>0.09408659534</v>
      </c>
      <c r="S36" s="1">
        <f t="shared" si="2"/>
        <v>-135</v>
      </c>
      <c r="T36" s="1">
        <f t="shared" si="3"/>
        <v>1.740740741</v>
      </c>
      <c r="U36" s="1">
        <f t="shared" si="4"/>
        <v>0</v>
      </c>
      <c r="V36" s="3">
        <f t="shared" si="5"/>
        <v>2</v>
      </c>
      <c r="W36" s="3">
        <f t="shared" si="6"/>
        <v>3</v>
      </c>
      <c r="X36" s="3" t="str">
        <f>IFERROR(__xludf.DUMMYFUNCTION("split(B36,"" "")"),"L.")</f>
        <v>L.</v>
      </c>
      <c r="Y36" s="3" t="str">
        <f>IFERROR(__xludf.DUMMYFUNCTION("""COMPUTED_VALUE"""),"Jackson")</f>
        <v>Jackson</v>
      </c>
      <c r="AA36" s="3">
        <v>14.0</v>
      </c>
      <c r="AB36" s="3">
        <f t="shared" si="7"/>
        <v>1</v>
      </c>
      <c r="AC36" s="3">
        <f t="shared" si="8"/>
        <v>0</v>
      </c>
      <c r="AD36" s="3">
        <f t="shared" si="9"/>
        <v>1.481481481</v>
      </c>
      <c r="AE36" s="3">
        <f t="shared" si="10"/>
        <v>-2</v>
      </c>
      <c r="AF36" s="3">
        <f t="shared" si="11"/>
        <v>-3</v>
      </c>
      <c r="AG36" s="3">
        <f t="shared" si="12"/>
        <v>-0.4736842105</v>
      </c>
    </row>
    <row r="37">
      <c r="A37" s="1" t="s">
        <v>12</v>
      </c>
      <c r="B37" s="1" t="s">
        <v>418</v>
      </c>
      <c r="C37" s="1" t="s">
        <v>20</v>
      </c>
      <c r="D37" s="1" t="s">
        <v>77</v>
      </c>
      <c r="E37" s="1" t="s">
        <v>88</v>
      </c>
      <c r="F37" s="1" t="s">
        <v>516</v>
      </c>
      <c r="G37" s="1">
        <v>3.5</v>
      </c>
      <c r="H37" s="1" t="s">
        <v>60</v>
      </c>
      <c r="I37" s="1">
        <v>-114.0</v>
      </c>
      <c r="J37" s="1">
        <v>-0.105910280373831</v>
      </c>
      <c r="K37" s="1" t="s">
        <v>61</v>
      </c>
      <c r="L37" s="1" t="s">
        <v>61</v>
      </c>
      <c r="M37" s="1" t="s">
        <v>62</v>
      </c>
      <c r="N37" s="1">
        <v>-115.0</v>
      </c>
      <c r="O37" s="1">
        <v>0.0383162790697674</v>
      </c>
      <c r="P37" s="1" t="s">
        <v>61</v>
      </c>
      <c r="Q37" s="1" t="s">
        <v>61</v>
      </c>
      <c r="R37" s="1">
        <f t="shared" si="1"/>
        <v>0.03831627907</v>
      </c>
      <c r="S37" s="1">
        <f t="shared" si="2"/>
        <v>-115</v>
      </c>
      <c r="T37" s="1">
        <f t="shared" si="3"/>
        <v>1.869565217</v>
      </c>
      <c r="U37" s="1">
        <f t="shared" si="4"/>
        <v>0</v>
      </c>
      <c r="V37" s="3">
        <f t="shared" si="5"/>
        <v>1</v>
      </c>
      <c r="W37" s="3">
        <f t="shared" si="6"/>
        <v>2</v>
      </c>
      <c r="X37" s="3" t="str">
        <f>IFERROR(__xludf.DUMMYFUNCTION("split(B37,"" "")"),"M.")</f>
        <v>M.</v>
      </c>
      <c r="Y37" s="3" t="str">
        <f>IFERROR(__xludf.DUMMYFUNCTION("""COMPUTED_VALUE"""),"Andrews")</f>
        <v>Andrews</v>
      </c>
      <c r="AA37" s="3">
        <v>0.0</v>
      </c>
      <c r="AB37" s="3">
        <f t="shared" si="7"/>
        <v>0</v>
      </c>
      <c r="AC37" s="3">
        <f t="shared" si="8"/>
        <v>1</v>
      </c>
      <c r="AD37" s="3">
        <f t="shared" si="9"/>
        <v>0.8695652174</v>
      </c>
      <c r="AE37" s="3">
        <f t="shared" si="10"/>
        <v>0.8695652174</v>
      </c>
      <c r="AF37" s="3">
        <f t="shared" si="11"/>
        <v>1.739130435</v>
      </c>
      <c r="AG37" s="3">
        <f t="shared" si="12"/>
        <v>1</v>
      </c>
    </row>
    <row r="38">
      <c r="A38" s="1" t="s">
        <v>15</v>
      </c>
      <c r="B38" s="1" t="s">
        <v>347</v>
      </c>
      <c r="C38" s="1" t="s">
        <v>21</v>
      </c>
      <c r="D38" s="1" t="s">
        <v>77</v>
      </c>
      <c r="E38" s="1" t="s">
        <v>88</v>
      </c>
      <c r="F38" s="1" t="s">
        <v>516</v>
      </c>
      <c r="G38" s="1">
        <v>19.5</v>
      </c>
      <c r="H38" s="1" t="s">
        <v>60</v>
      </c>
      <c r="I38" s="1">
        <v>-121.0</v>
      </c>
      <c r="J38" s="1">
        <v>-0.103481448461538</v>
      </c>
      <c r="K38" s="1" t="s">
        <v>61</v>
      </c>
      <c r="L38" s="1" t="s">
        <v>61</v>
      </c>
      <c r="M38" s="1" t="s">
        <v>62</v>
      </c>
      <c r="N38" s="1">
        <v>-108.0</v>
      </c>
      <c r="O38" s="1">
        <v>0.0367792121096154</v>
      </c>
      <c r="P38" s="1" t="s">
        <v>61</v>
      </c>
      <c r="Q38" s="1" t="s">
        <v>61</v>
      </c>
      <c r="R38" s="1">
        <f t="shared" si="1"/>
        <v>0.03677921211</v>
      </c>
      <c r="S38" s="1">
        <f t="shared" si="2"/>
        <v>-108</v>
      </c>
      <c r="T38" s="1">
        <f t="shared" si="3"/>
        <v>1.925925926</v>
      </c>
      <c r="U38" s="1">
        <f t="shared" si="4"/>
        <v>0</v>
      </c>
      <c r="V38" s="3">
        <f t="shared" si="5"/>
        <v>1</v>
      </c>
      <c r="W38" s="3">
        <f t="shared" si="6"/>
        <v>2</v>
      </c>
      <c r="X38" s="3" t="str">
        <f>IFERROR(__xludf.DUMMYFUNCTION("split(B38,"" "")"),"L.")</f>
        <v>L.</v>
      </c>
      <c r="Y38" s="3" t="str">
        <f>IFERROR(__xludf.DUMMYFUNCTION("""COMPUTED_VALUE"""),"Jackson")</f>
        <v>Jackson</v>
      </c>
      <c r="AA38" s="3">
        <v>12.0</v>
      </c>
      <c r="AB38" s="3">
        <f t="shared" si="7"/>
        <v>0</v>
      </c>
      <c r="AC38" s="3">
        <f t="shared" si="8"/>
        <v>1</v>
      </c>
      <c r="AD38" s="3">
        <f t="shared" si="9"/>
        <v>0.9259259259</v>
      </c>
      <c r="AE38" s="3">
        <f t="shared" si="10"/>
        <v>0.9259259259</v>
      </c>
      <c r="AF38" s="3">
        <f t="shared" si="11"/>
        <v>1.851851852</v>
      </c>
      <c r="AG38" s="3">
        <f t="shared" si="12"/>
        <v>0.3846153846</v>
      </c>
    </row>
    <row r="39">
      <c r="A39" s="1" t="s">
        <v>9</v>
      </c>
      <c r="B39" s="1" t="s">
        <v>239</v>
      </c>
      <c r="C39" s="1" t="s">
        <v>18</v>
      </c>
      <c r="D39" s="1" t="s">
        <v>77</v>
      </c>
      <c r="E39" s="1" t="s">
        <v>88</v>
      </c>
      <c r="F39" s="1" t="s">
        <v>516</v>
      </c>
      <c r="G39" s="1">
        <v>27.5</v>
      </c>
      <c r="H39" s="1" t="s">
        <v>60</v>
      </c>
      <c r="I39" s="1">
        <v>-120.0</v>
      </c>
      <c r="J39" s="1">
        <v>0.0320217298622511</v>
      </c>
      <c r="K39" s="1" t="s">
        <v>61</v>
      </c>
      <c r="L39" s="1" t="s">
        <v>61</v>
      </c>
      <c r="M39" s="1" t="s">
        <v>62</v>
      </c>
      <c r="N39" s="1">
        <v>-115.0</v>
      </c>
      <c r="O39" s="1">
        <v>-0.112320454209997</v>
      </c>
      <c r="P39" s="1" t="s">
        <v>61</v>
      </c>
      <c r="Q39" s="1" t="s">
        <v>61</v>
      </c>
      <c r="R39" s="1">
        <f t="shared" si="1"/>
        <v>0.03202172986</v>
      </c>
      <c r="S39" s="1">
        <f t="shared" si="2"/>
        <v>-120</v>
      </c>
      <c r="T39" s="1">
        <f t="shared" si="3"/>
        <v>1.833333333</v>
      </c>
      <c r="U39" s="1">
        <f t="shared" si="4"/>
        <v>1</v>
      </c>
      <c r="V39" s="3">
        <f t="shared" si="5"/>
        <v>1</v>
      </c>
      <c r="W39" s="3">
        <f t="shared" si="6"/>
        <v>3</v>
      </c>
      <c r="X39" s="3" t="str">
        <f>IFERROR(__xludf.DUMMYFUNCTION("split(B39,"" "")"),"R.")</f>
        <v>R.</v>
      </c>
      <c r="Y39" s="3" t="str">
        <f>IFERROR(__xludf.DUMMYFUNCTION("""COMPUTED_VALUE"""),"Bateman")</f>
        <v>Bateman</v>
      </c>
      <c r="AA39" s="3">
        <v>28.0</v>
      </c>
      <c r="AB39" s="3">
        <f t="shared" si="7"/>
        <v>1</v>
      </c>
      <c r="AC39" s="3">
        <f t="shared" si="8"/>
        <v>1</v>
      </c>
      <c r="AD39" s="3">
        <f t="shared" si="9"/>
        <v>0.8333333333</v>
      </c>
      <c r="AE39" s="3">
        <f t="shared" si="10"/>
        <v>0.8333333333</v>
      </c>
      <c r="AF39" s="3">
        <f t="shared" si="11"/>
        <v>2.5</v>
      </c>
      <c r="AG39" s="3">
        <f t="shared" si="12"/>
        <v>0.01818181818</v>
      </c>
    </row>
    <row r="40">
      <c r="A40" s="1" t="s">
        <v>12</v>
      </c>
      <c r="B40" s="1" t="s">
        <v>182</v>
      </c>
      <c r="C40" s="1" t="s">
        <v>19</v>
      </c>
      <c r="D40" s="1" t="s">
        <v>77</v>
      </c>
      <c r="E40" s="1" t="s">
        <v>88</v>
      </c>
      <c r="F40" s="1" t="s">
        <v>516</v>
      </c>
      <c r="G40" s="1">
        <v>2.5</v>
      </c>
      <c r="H40" s="1" t="s">
        <v>60</v>
      </c>
      <c r="I40" s="1">
        <v>143.0</v>
      </c>
      <c r="J40" s="1">
        <v>-0.0956622092419753</v>
      </c>
      <c r="K40" s="1" t="s">
        <v>61</v>
      </c>
      <c r="L40" s="1" t="s">
        <v>61</v>
      </c>
      <c r="M40" s="1" t="s">
        <v>62</v>
      </c>
      <c r="N40" s="1">
        <v>-188.0</v>
      </c>
      <c r="O40" s="1">
        <v>0.0313551953916666</v>
      </c>
      <c r="P40" s="1" t="s">
        <v>61</v>
      </c>
      <c r="Q40" s="1" t="s">
        <v>61</v>
      </c>
      <c r="R40" s="1">
        <f t="shared" si="1"/>
        <v>0.03135519539</v>
      </c>
      <c r="S40" s="1">
        <f t="shared" si="2"/>
        <v>-188</v>
      </c>
      <c r="T40" s="1">
        <f t="shared" si="3"/>
        <v>1.531914894</v>
      </c>
      <c r="U40" s="1">
        <f t="shared" si="4"/>
        <v>0</v>
      </c>
      <c r="V40" s="3">
        <f t="shared" si="5"/>
        <v>1</v>
      </c>
      <c r="W40" s="3">
        <f t="shared" si="6"/>
        <v>3</v>
      </c>
      <c r="X40" s="3" t="str">
        <f>IFERROR(__xludf.DUMMYFUNCTION("split(B40,"" "")"),"J.")</f>
        <v>J.</v>
      </c>
      <c r="Y40" s="3" t="str">
        <f>IFERROR(__xludf.DUMMYFUNCTION("""COMPUTED_VALUE"""),"Hill")</f>
        <v>Hill</v>
      </c>
      <c r="AA40" s="3">
        <v>2.0</v>
      </c>
      <c r="AB40" s="3">
        <f t="shared" si="7"/>
        <v>0</v>
      </c>
      <c r="AC40" s="3">
        <f t="shared" si="8"/>
        <v>1</v>
      </c>
      <c r="AD40" s="3">
        <f t="shared" si="9"/>
        <v>0.5319148936</v>
      </c>
      <c r="AE40" s="3">
        <f t="shared" si="10"/>
        <v>0.5319148936</v>
      </c>
      <c r="AF40" s="3">
        <f t="shared" si="11"/>
        <v>1.595744681</v>
      </c>
      <c r="AG40" s="3">
        <f t="shared" si="12"/>
        <v>0.2</v>
      </c>
    </row>
    <row r="41">
      <c r="A41" s="1" t="s">
        <v>11</v>
      </c>
      <c r="B41" s="1" t="s">
        <v>309</v>
      </c>
      <c r="C41" s="1" t="s">
        <v>19</v>
      </c>
      <c r="D41" s="1" t="s">
        <v>77</v>
      </c>
      <c r="E41" s="1" t="s">
        <v>88</v>
      </c>
      <c r="F41" s="1" t="s">
        <v>516</v>
      </c>
      <c r="G41" s="1">
        <v>6.5</v>
      </c>
      <c r="H41" s="1" t="s">
        <v>60</v>
      </c>
      <c r="I41" s="1">
        <v>-134.0</v>
      </c>
      <c r="J41" s="1">
        <v>0.0310342128610617</v>
      </c>
      <c r="K41" s="1" t="s">
        <v>61</v>
      </c>
      <c r="L41" s="1" t="s">
        <v>61</v>
      </c>
      <c r="M41" s="1" t="s">
        <v>62</v>
      </c>
      <c r="N41" s="1">
        <v>106.0</v>
      </c>
      <c r="O41" s="1">
        <v>-0.089118474803342</v>
      </c>
      <c r="P41" s="1" t="s">
        <v>61</v>
      </c>
      <c r="Q41" s="1" t="s">
        <v>61</v>
      </c>
      <c r="R41" s="1">
        <f t="shared" si="1"/>
        <v>0.03103421286</v>
      </c>
      <c r="S41" s="1">
        <f t="shared" si="2"/>
        <v>-134</v>
      </c>
      <c r="T41" s="1">
        <f t="shared" si="3"/>
        <v>1.746268657</v>
      </c>
      <c r="U41" s="1">
        <f t="shared" si="4"/>
        <v>1</v>
      </c>
      <c r="V41" s="3">
        <f t="shared" si="5"/>
        <v>1</v>
      </c>
      <c r="W41" s="3">
        <f t="shared" si="6"/>
        <v>3</v>
      </c>
      <c r="X41" s="3" t="str">
        <f>IFERROR(__xludf.DUMMYFUNCTION("split(B41,"" "")"),"D.")</f>
        <v>D.</v>
      </c>
      <c r="Y41" s="3" t="str">
        <f>IFERROR(__xludf.DUMMYFUNCTION("""COMPUTED_VALUE"""),"Henry")</f>
        <v>Henry</v>
      </c>
      <c r="AA41" s="3">
        <v>23.0</v>
      </c>
      <c r="AB41" s="3">
        <f t="shared" si="7"/>
        <v>1</v>
      </c>
      <c r="AC41" s="3">
        <f t="shared" si="8"/>
        <v>1</v>
      </c>
      <c r="AD41" s="3">
        <f t="shared" si="9"/>
        <v>0.7462686567</v>
      </c>
      <c r="AE41" s="3">
        <f t="shared" si="10"/>
        <v>0.7462686567</v>
      </c>
      <c r="AF41" s="3">
        <f t="shared" si="11"/>
        <v>2.23880597</v>
      </c>
      <c r="AG41" s="3">
        <f t="shared" si="12"/>
        <v>2.538461538</v>
      </c>
    </row>
    <row r="42">
      <c r="A42" s="1" t="s">
        <v>9</v>
      </c>
      <c r="B42" s="1" t="s">
        <v>182</v>
      </c>
      <c r="C42" s="1" t="s">
        <v>19</v>
      </c>
      <c r="D42" s="1" t="s">
        <v>77</v>
      </c>
      <c r="E42" s="1" t="s">
        <v>88</v>
      </c>
      <c r="F42" s="1" t="s">
        <v>516</v>
      </c>
      <c r="G42" s="1">
        <v>25.5</v>
      </c>
      <c r="H42" s="1" t="s">
        <v>60</v>
      </c>
      <c r="I42" s="1">
        <v>-116.0</v>
      </c>
      <c r="J42" s="1">
        <v>0.0295131346544458</v>
      </c>
      <c r="K42" s="1" t="s">
        <v>61</v>
      </c>
      <c r="L42" s="1" t="s">
        <v>61</v>
      </c>
      <c r="M42" s="1" t="s">
        <v>62</v>
      </c>
      <c r="N42" s="1">
        <v>-116.0</v>
      </c>
      <c r="O42" s="1">
        <v>-0.103563236199157</v>
      </c>
      <c r="P42" s="1" t="s">
        <v>61</v>
      </c>
      <c r="Q42" s="1" t="s">
        <v>61</v>
      </c>
      <c r="R42" s="1">
        <f t="shared" si="1"/>
        <v>0.02951313465</v>
      </c>
      <c r="S42" s="1">
        <f t="shared" si="2"/>
        <v>-116</v>
      </c>
      <c r="T42" s="1">
        <f t="shared" si="3"/>
        <v>1.862068966</v>
      </c>
      <c r="U42" s="1">
        <f t="shared" si="4"/>
        <v>1</v>
      </c>
      <c r="V42" s="3">
        <f t="shared" si="5"/>
        <v>1</v>
      </c>
      <c r="W42" s="3">
        <f t="shared" si="6"/>
        <v>2</v>
      </c>
      <c r="X42" s="3" t="str">
        <f>IFERROR(__xludf.DUMMYFUNCTION("split(B42,"" "")"),"J.")</f>
        <v>J.</v>
      </c>
      <c r="Y42" s="3" t="str">
        <f>IFERROR(__xludf.DUMMYFUNCTION("""COMPUTED_VALUE"""),"Hill")</f>
        <v>Hill</v>
      </c>
      <c r="AA42" s="3">
        <v>54.0</v>
      </c>
      <c r="AB42" s="3">
        <f t="shared" si="7"/>
        <v>1</v>
      </c>
      <c r="AC42" s="3">
        <f t="shared" si="8"/>
        <v>1</v>
      </c>
      <c r="AD42" s="3">
        <f t="shared" si="9"/>
        <v>0.8620689655</v>
      </c>
      <c r="AE42" s="3">
        <f t="shared" si="10"/>
        <v>0.8620689655</v>
      </c>
      <c r="AF42" s="3">
        <f t="shared" si="11"/>
        <v>1.724137931</v>
      </c>
      <c r="AG42" s="3">
        <f t="shared" si="12"/>
        <v>1.117647059</v>
      </c>
    </row>
    <row r="43">
      <c r="A43" s="1" t="s">
        <v>11</v>
      </c>
      <c r="B43" s="1" t="s">
        <v>454</v>
      </c>
      <c r="C43" s="1" t="s">
        <v>20</v>
      </c>
      <c r="D43" s="1" t="s">
        <v>77</v>
      </c>
      <c r="E43" s="1" t="s">
        <v>88</v>
      </c>
      <c r="F43" s="1" t="s">
        <v>516</v>
      </c>
      <c r="G43" s="1">
        <v>30.5</v>
      </c>
      <c r="H43" s="1" t="s">
        <v>60</v>
      </c>
      <c r="I43" s="1">
        <v>-115.0</v>
      </c>
      <c r="J43" s="1">
        <v>-0.0942408874481862</v>
      </c>
      <c r="K43" s="1" t="s">
        <v>61</v>
      </c>
      <c r="L43" s="1" t="s">
        <v>61</v>
      </c>
      <c r="M43" s="1" t="s">
        <v>62</v>
      </c>
      <c r="N43" s="1">
        <v>-113.0</v>
      </c>
      <c r="O43" s="1">
        <v>0.0288618323739288</v>
      </c>
      <c r="P43" s="1" t="s">
        <v>61</v>
      </c>
      <c r="Q43" s="1" t="s">
        <v>61</v>
      </c>
      <c r="R43" s="1">
        <f t="shared" si="1"/>
        <v>0.02886183237</v>
      </c>
      <c r="S43" s="1">
        <f t="shared" si="2"/>
        <v>-113</v>
      </c>
      <c r="T43" s="1">
        <f t="shared" si="3"/>
        <v>1.884955752</v>
      </c>
      <c r="U43" s="1">
        <f t="shared" si="4"/>
        <v>0</v>
      </c>
      <c r="V43" s="3">
        <f t="shared" si="5"/>
        <v>1</v>
      </c>
      <c r="W43" s="3">
        <f t="shared" si="6"/>
        <v>2</v>
      </c>
      <c r="X43" s="3" t="str">
        <f>IFERROR(__xludf.DUMMYFUNCTION("split(B43,"" "")"),"I.")</f>
        <v>I.</v>
      </c>
      <c r="Y43" s="3" t="str">
        <f>IFERROR(__xludf.DUMMYFUNCTION("""COMPUTED_VALUE"""),"Likely")</f>
        <v>Likely</v>
      </c>
      <c r="AA43" s="3">
        <v>4.0</v>
      </c>
      <c r="AB43" s="3">
        <f t="shared" si="7"/>
        <v>0</v>
      </c>
      <c r="AC43" s="3">
        <f t="shared" si="8"/>
        <v>1</v>
      </c>
      <c r="AD43" s="3">
        <f t="shared" si="9"/>
        <v>0.8849557522</v>
      </c>
      <c r="AE43" s="3">
        <f t="shared" si="10"/>
        <v>0.8849557522</v>
      </c>
      <c r="AF43" s="3">
        <f t="shared" si="11"/>
        <v>1.769911504</v>
      </c>
      <c r="AG43" s="3">
        <f t="shared" si="12"/>
        <v>0.868852459</v>
      </c>
    </row>
    <row r="44">
      <c r="A44" s="1" t="s">
        <v>11</v>
      </c>
      <c r="B44" s="1" t="s">
        <v>399</v>
      </c>
      <c r="C44" s="1" t="s">
        <v>18</v>
      </c>
      <c r="D44" s="1" t="s">
        <v>77</v>
      </c>
      <c r="E44" s="1" t="s">
        <v>88</v>
      </c>
      <c r="F44" s="1" t="s">
        <v>516</v>
      </c>
      <c r="G44" s="1">
        <v>54.5</v>
      </c>
      <c r="H44" s="1" t="s">
        <v>60</v>
      </c>
      <c r="I44" s="1">
        <v>-115.0</v>
      </c>
      <c r="J44" s="1">
        <v>-0.0915366222717907</v>
      </c>
      <c r="K44" s="1" t="s">
        <v>61</v>
      </c>
      <c r="L44" s="1" t="s">
        <v>61</v>
      </c>
      <c r="M44" s="1" t="s">
        <v>62</v>
      </c>
      <c r="N44" s="1">
        <v>-112.0</v>
      </c>
      <c r="O44" s="1">
        <v>0.0283443902465093</v>
      </c>
      <c r="P44" s="1" t="s">
        <v>61</v>
      </c>
      <c r="Q44" s="1" t="s">
        <v>61</v>
      </c>
      <c r="R44" s="1">
        <f t="shared" si="1"/>
        <v>0.02834439025</v>
      </c>
      <c r="S44" s="1">
        <f t="shared" si="2"/>
        <v>-112</v>
      </c>
      <c r="T44" s="1">
        <f t="shared" si="3"/>
        <v>1.892857143</v>
      </c>
      <c r="U44" s="1">
        <f t="shared" si="4"/>
        <v>0</v>
      </c>
      <c r="V44" s="3">
        <f t="shared" si="5"/>
        <v>1</v>
      </c>
      <c r="W44" s="3">
        <f t="shared" si="6"/>
        <v>2</v>
      </c>
      <c r="X44" s="3" t="str">
        <f>IFERROR(__xludf.DUMMYFUNCTION("split(B44,"" "")"),"Z.")</f>
        <v>Z.</v>
      </c>
      <c r="Y44" s="3" t="str">
        <f>IFERROR(__xludf.DUMMYFUNCTION("""COMPUTED_VALUE"""),"Flowers")</f>
        <v>Flowers</v>
      </c>
      <c r="AA44" s="3">
        <v>20.0</v>
      </c>
      <c r="AB44" s="3">
        <f t="shared" si="7"/>
        <v>0</v>
      </c>
      <c r="AC44" s="3">
        <f t="shared" si="8"/>
        <v>1</v>
      </c>
      <c r="AD44" s="3">
        <f t="shared" si="9"/>
        <v>0.8928571429</v>
      </c>
      <c r="AE44" s="3">
        <f t="shared" si="10"/>
        <v>0.8928571429</v>
      </c>
      <c r="AF44" s="3">
        <f t="shared" si="11"/>
        <v>1.785714286</v>
      </c>
      <c r="AG44" s="3">
        <f t="shared" si="12"/>
        <v>0.6330275229</v>
      </c>
    </row>
    <row r="45">
      <c r="A45" s="1" t="s">
        <v>17</v>
      </c>
      <c r="B45" s="1" t="s">
        <v>347</v>
      </c>
      <c r="C45" s="1" t="s">
        <v>21</v>
      </c>
      <c r="D45" s="1" t="s">
        <v>77</v>
      </c>
      <c r="E45" s="1" t="s">
        <v>88</v>
      </c>
      <c r="F45" s="1" t="s">
        <v>516</v>
      </c>
      <c r="G45" s="1">
        <v>0.5</v>
      </c>
      <c r="H45" s="1" t="s">
        <v>60</v>
      </c>
      <c r="I45" s="1">
        <v>-114.0</v>
      </c>
      <c r="J45" s="1">
        <v>-0.0924570093457942</v>
      </c>
      <c r="K45" s="1" t="s">
        <v>61</v>
      </c>
      <c r="L45" s="1" t="s">
        <v>61</v>
      </c>
      <c r="M45" s="1" t="s">
        <v>62</v>
      </c>
      <c r="N45" s="1">
        <v>-115.0</v>
      </c>
      <c r="O45" s="1">
        <v>0.0248697674418604</v>
      </c>
      <c r="P45" s="1" t="s">
        <v>61</v>
      </c>
      <c r="Q45" s="1" t="s">
        <v>61</v>
      </c>
      <c r="R45" s="1">
        <f t="shared" si="1"/>
        <v>0.02486976744</v>
      </c>
      <c r="S45" s="1">
        <f t="shared" si="2"/>
        <v>-115</v>
      </c>
      <c r="T45" s="1">
        <f t="shared" si="3"/>
        <v>1.869565217</v>
      </c>
      <c r="U45" s="1">
        <f t="shared" si="4"/>
        <v>0</v>
      </c>
      <c r="V45" s="3">
        <f t="shared" si="5"/>
        <v>1</v>
      </c>
      <c r="W45" s="3">
        <f t="shared" si="6"/>
        <v>2</v>
      </c>
      <c r="X45" s="3" t="str">
        <f>IFERROR(__xludf.DUMMYFUNCTION("split(B45,"" "")"),"L.")</f>
        <v>L.</v>
      </c>
      <c r="Y45" s="3" t="str">
        <f>IFERROR(__xludf.DUMMYFUNCTION("""COMPUTED_VALUE"""),"Jackson")</f>
        <v>Jackson</v>
      </c>
      <c r="AA45" s="3">
        <v>0.0</v>
      </c>
      <c r="AB45" s="3">
        <f t="shared" si="7"/>
        <v>0</v>
      </c>
      <c r="AC45" s="3">
        <f t="shared" si="8"/>
        <v>1</v>
      </c>
      <c r="AD45" s="3">
        <f t="shared" si="9"/>
        <v>0.8695652174</v>
      </c>
      <c r="AE45" s="3">
        <f t="shared" si="10"/>
        <v>0.8695652174</v>
      </c>
      <c r="AF45" s="3">
        <f t="shared" si="11"/>
        <v>1.739130435</v>
      </c>
      <c r="AG45" s="3">
        <f t="shared" si="12"/>
        <v>1</v>
      </c>
    </row>
    <row r="46">
      <c r="A46" s="1" t="s">
        <v>16</v>
      </c>
      <c r="B46" s="1" t="s">
        <v>347</v>
      </c>
      <c r="C46" s="1" t="s">
        <v>21</v>
      </c>
      <c r="D46" s="1" t="s">
        <v>77</v>
      </c>
      <c r="E46" s="1" t="s">
        <v>88</v>
      </c>
      <c r="F46" s="1" t="s">
        <v>516</v>
      </c>
      <c r="G46" s="1">
        <v>30.5</v>
      </c>
      <c r="H46" s="1" t="s">
        <v>60</v>
      </c>
      <c r="I46" s="1">
        <v>-107.0</v>
      </c>
      <c r="J46" s="1">
        <v>-0.0928573382125604</v>
      </c>
      <c r="K46" s="1" t="s">
        <v>61</v>
      </c>
      <c r="L46" s="1" t="s">
        <v>61</v>
      </c>
      <c r="M46" s="1" t="s">
        <v>62</v>
      </c>
      <c r="N46" s="1">
        <v>-123.0</v>
      </c>
      <c r="O46" s="1">
        <v>0.024372407543946</v>
      </c>
      <c r="P46" s="1" t="s">
        <v>61</v>
      </c>
      <c r="Q46" s="1" t="s">
        <v>61</v>
      </c>
      <c r="R46" s="1">
        <f t="shared" si="1"/>
        <v>0.02437240754</v>
      </c>
      <c r="S46" s="1">
        <f t="shared" si="2"/>
        <v>-123</v>
      </c>
      <c r="T46" s="1">
        <f t="shared" si="3"/>
        <v>1.81300813</v>
      </c>
      <c r="U46" s="1">
        <f t="shared" si="4"/>
        <v>0</v>
      </c>
      <c r="V46" s="3">
        <f t="shared" si="5"/>
        <v>1</v>
      </c>
      <c r="W46" s="3">
        <f t="shared" si="6"/>
        <v>3</v>
      </c>
      <c r="X46" s="3" t="str">
        <f>IFERROR(__xludf.DUMMYFUNCTION("split(B46,"" "")"),"L.")</f>
        <v>L.</v>
      </c>
      <c r="Y46" s="3" t="str">
        <f>IFERROR(__xludf.DUMMYFUNCTION("""COMPUTED_VALUE"""),"Jackson")</f>
        <v>Jackson</v>
      </c>
      <c r="AA46" s="3">
        <v>15.0</v>
      </c>
      <c r="AB46" s="3">
        <f t="shared" si="7"/>
        <v>0</v>
      </c>
      <c r="AC46" s="3">
        <f t="shared" si="8"/>
        <v>1</v>
      </c>
      <c r="AD46" s="3">
        <f t="shared" si="9"/>
        <v>0.8130081301</v>
      </c>
      <c r="AE46" s="3">
        <f t="shared" si="10"/>
        <v>0.8130081301</v>
      </c>
      <c r="AF46" s="3">
        <f t="shared" si="11"/>
        <v>2.43902439</v>
      </c>
      <c r="AG46" s="3">
        <f t="shared" si="12"/>
        <v>0.5081967213</v>
      </c>
    </row>
    <row r="47">
      <c r="A47" s="1" t="s">
        <v>10</v>
      </c>
      <c r="B47" s="1" t="s">
        <v>347</v>
      </c>
      <c r="C47" s="1" t="s">
        <v>21</v>
      </c>
      <c r="D47" s="1" t="s">
        <v>77</v>
      </c>
      <c r="E47" s="1" t="s">
        <v>88</v>
      </c>
      <c r="F47" s="1" t="s">
        <v>516</v>
      </c>
      <c r="G47" s="1">
        <v>55.5</v>
      </c>
      <c r="H47" s="1" t="s">
        <v>60</v>
      </c>
      <c r="I47" s="1">
        <v>-113.0</v>
      </c>
      <c r="J47" s="1">
        <v>-0.0852121181536322</v>
      </c>
      <c r="K47" s="1" t="s">
        <v>61</v>
      </c>
      <c r="L47" s="1" t="s">
        <v>61</v>
      </c>
      <c r="M47" s="1" t="s">
        <v>62</v>
      </c>
      <c r="N47" s="1">
        <v>-113.0</v>
      </c>
      <c r="O47" s="1">
        <v>0.0241901717363344</v>
      </c>
      <c r="P47" s="1" t="s">
        <v>61</v>
      </c>
      <c r="Q47" s="1" t="s">
        <v>61</v>
      </c>
      <c r="R47" s="1">
        <f t="shared" si="1"/>
        <v>0.02419017174</v>
      </c>
      <c r="S47" s="1">
        <f t="shared" si="2"/>
        <v>-113</v>
      </c>
      <c r="T47" s="1">
        <f t="shared" si="3"/>
        <v>1.884955752</v>
      </c>
      <c r="U47" s="1">
        <f t="shared" si="4"/>
        <v>0</v>
      </c>
      <c r="V47" s="3">
        <f t="shared" si="5"/>
        <v>1</v>
      </c>
      <c r="W47" s="3">
        <f t="shared" si="6"/>
        <v>2</v>
      </c>
      <c r="X47" s="3" t="str">
        <f>IFERROR(__xludf.DUMMYFUNCTION("split(B47,"" "")"),"L.")</f>
        <v>L.</v>
      </c>
      <c r="Y47" s="3" t="str">
        <f>IFERROR(__xludf.DUMMYFUNCTION("""COMPUTED_VALUE"""),"Jackson")</f>
        <v>Jackson</v>
      </c>
      <c r="AA47" s="3">
        <v>87.0</v>
      </c>
      <c r="AB47" s="3">
        <f t="shared" si="7"/>
        <v>1</v>
      </c>
      <c r="AC47" s="3">
        <f t="shared" si="8"/>
        <v>0</v>
      </c>
      <c r="AD47" s="3">
        <f t="shared" si="9"/>
        <v>0.8849557522</v>
      </c>
      <c r="AE47" s="3">
        <f t="shared" si="10"/>
        <v>-1</v>
      </c>
      <c r="AF47" s="3">
        <f t="shared" si="11"/>
        <v>-2</v>
      </c>
      <c r="AG47" s="3">
        <f t="shared" si="12"/>
        <v>-0.5675675676</v>
      </c>
    </row>
    <row r="48">
      <c r="A48" s="1" t="s">
        <v>12</v>
      </c>
      <c r="B48" s="1" t="s">
        <v>309</v>
      </c>
      <c r="C48" s="1" t="s">
        <v>19</v>
      </c>
      <c r="D48" s="1" t="s">
        <v>77</v>
      </c>
      <c r="E48" s="1" t="s">
        <v>88</v>
      </c>
      <c r="F48" s="1" t="s">
        <v>516</v>
      </c>
      <c r="G48" s="1">
        <v>1.5</v>
      </c>
      <c r="H48" s="1" t="s">
        <v>60</v>
      </c>
      <c r="I48" s="1">
        <v>136.0</v>
      </c>
      <c r="J48" s="1">
        <v>-0.0877209182349151</v>
      </c>
      <c r="K48" s="1" t="s">
        <v>61</v>
      </c>
      <c r="L48" s="1" t="s">
        <v>61</v>
      </c>
      <c r="M48" s="1" t="s">
        <v>62</v>
      </c>
      <c r="N48" s="1">
        <v>-180.0</v>
      </c>
      <c r="O48" s="1">
        <v>0.0211340495435715</v>
      </c>
      <c r="P48" s="1" t="s">
        <v>61</v>
      </c>
      <c r="Q48" s="1" t="s">
        <v>61</v>
      </c>
      <c r="R48" s="1">
        <f t="shared" si="1"/>
        <v>0.02113404954</v>
      </c>
      <c r="S48" s="1">
        <f t="shared" si="2"/>
        <v>-180</v>
      </c>
      <c r="T48" s="1">
        <f t="shared" si="3"/>
        <v>1.555555556</v>
      </c>
      <c r="U48" s="1">
        <f t="shared" si="4"/>
        <v>0</v>
      </c>
      <c r="V48" s="3">
        <f t="shared" si="5"/>
        <v>1</v>
      </c>
      <c r="W48" s="3">
        <f t="shared" si="6"/>
        <v>3</v>
      </c>
      <c r="X48" s="3" t="str">
        <f>IFERROR(__xludf.DUMMYFUNCTION("split(B48,"" "")"),"D.")</f>
        <v>D.</v>
      </c>
      <c r="Y48" s="3" t="str">
        <f>IFERROR(__xludf.DUMMYFUNCTION("""COMPUTED_VALUE"""),"Henry")</f>
        <v>Henry</v>
      </c>
      <c r="AA48" s="3">
        <v>1.0</v>
      </c>
      <c r="AB48" s="3">
        <f t="shared" si="7"/>
        <v>0</v>
      </c>
      <c r="AC48" s="3">
        <f t="shared" si="8"/>
        <v>1</v>
      </c>
      <c r="AD48" s="3">
        <f t="shared" si="9"/>
        <v>0.5555555556</v>
      </c>
      <c r="AE48" s="3">
        <f t="shared" si="10"/>
        <v>0.5555555556</v>
      </c>
      <c r="AF48" s="3">
        <f t="shared" si="11"/>
        <v>1.666666667</v>
      </c>
      <c r="AG48" s="3">
        <f t="shared" si="12"/>
        <v>0.3333333333</v>
      </c>
    </row>
    <row r="49">
      <c r="A49" s="1" t="s">
        <v>10</v>
      </c>
      <c r="B49" s="1" t="s">
        <v>182</v>
      </c>
      <c r="C49" s="1" t="s">
        <v>19</v>
      </c>
      <c r="D49" s="1" t="s">
        <v>77</v>
      </c>
      <c r="E49" s="1" t="s">
        <v>88</v>
      </c>
      <c r="F49" s="1" t="s">
        <v>516</v>
      </c>
      <c r="G49" s="1">
        <v>10.5</v>
      </c>
      <c r="H49" s="1" t="s">
        <v>60</v>
      </c>
      <c r="I49" s="1">
        <v>-122.0</v>
      </c>
      <c r="J49" s="1">
        <v>-0.0871471869471552</v>
      </c>
      <c r="K49" s="1" t="s">
        <v>61</v>
      </c>
      <c r="L49" s="1" t="s">
        <v>61</v>
      </c>
      <c r="M49" s="1" t="s">
        <v>62</v>
      </c>
      <c r="N49" s="1">
        <v>-107.0</v>
      </c>
      <c r="O49" s="1">
        <v>0.0206743226445762</v>
      </c>
      <c r="P49" s="1" t="s">
        <v>61</v>
      </c>
      <c r="Q49" s="1" t="s">
        <v>61</v>
      </c>
      <c r="R49" s="1">
        <f t="shared" si="1"/>
        <v>0.02067432264</v>
      </c>
      <c r="S49" s="1">
        <f t="shared" si="2"/>
        <v>-107</v>
      </c>
      <c r="T49" s="1">
        <f t="shared" si="3"/>
        <v>1.934579439</v>
      </c>
      <c r="U49" s="1">
        <f t="shared" si="4"/>
        <v>0</v>
      </c>
      <c r="V49" s="3">
        <f t="shared" si="5"/>
        <v>1</v>
      </c>
      <c r="W49" s="3">
        <f t="shared" si="6"/>
        <v>2</v>
      </c>
      <c r="X49" s="3" t="str">
        <f>IFERROR(__xludf.DUMMYFUNCTION("split(B49,"" "")"),"J.")</f>
        <v>J.</v>
      </c>
      <c r="Y49" s="3" t="str">
        <f>IFERROR(__xludf.DUMMYFUNCTION("""COMPUTED_VALUE"""),"Hill")</f>
        <v>Hill</v>
      </c>
      <c r="AA49" s="3">
        <v>33.0</v>
      </c>
      <c r="AB49" s="3">
        <f t="shared" si="7"/>
        <v>1</v>
      </c>
      <c r="AC49" s="3">
        <f t="shared" si="8"/>
        <v>0</v>
      </c>
      <c r="AD49" s="3">
        <f t="shared" si="9"/>
        <v>0.9345794393</v>
      </c>
      <c r="AE49" s="3">
        <f t="shared" si="10"/>
        <v>-1</v>
      </c>
      <c r="AF49" s="3">
        <f t="shared" si="11"/>
        <v>-2</v>
      </c>
      <c r="AG49" s="3">
        <f t="shared" si="12"/>
        <v>-2.142857143</v>
      </c>
    </row>
    <row r="50">
      <c r="A50" s="1" t="s">
        <v>8</v>
      </c>
      <c r="B50" s="1" t="s">
        <v>309</v>
      </c>
      <c r="C50" s="1" t="s">
        <v>19</v>
      </c>
      <c r="D50" s="1" t="s">
        <v>77</v>
      </c>
      <c r="E50" s="1" t="s">
        <v>88</v>
      </c>
      <c r="F50" s="1" t="s">
        <v>516</v>
      </c>
      <c r="G50" s="1">
        <v>16.5</v>
      </c>
      <c r="H50" s="1" t="s">
        <v>60</v>
      </c>
      <c r="I50" s="1">
        <v>-118.0</v>
      </c>
      <c r="J50" s="1">
        <v>0.0170809377522935</v>
      </c>
      <c r="K50" s="1" t="s">
        <v>61</v>
      </c>
      <c r="L50" s="1" t="s">
        <v>61</v>
      </c>
      <c r="M50" s="1" t="s">
        <v>62</v>
      </c>
      <c r="N50" s="1">
        <v>-114.0</v>
      </c>
      <c r="O50" s="1">
        <v>-0.0910539002345794</v>
      </c>
      <c r="P50" s="1" t="s">
        <v>61</v>
      </c>
      <c r="Q50" s="1" t="s">
        <v>61</v>
      </c>
      <c r="R50" s="1">
        <f t="shared" si="1"/>
        <v>0.01708093775</v>
      </c>
      <c r="S50" s="1">
        <f t="shared" si="2"/>
        <v>-118</v>
      </c>
      <c r="T50" s="1">
        <f t="shared" si="3"/>
        <v>1.847457627</v>
      </c>
      <c r="U50" s="1">
        <f t="shared" si="4"/>
        <v>1</v>
      </c>
      <c r="V50" s="3">
        <f t="shared" si="5"/>
        <v>1</v>
      </c>
      <c r="W50" s="3">
        <f t="shared" si="6"/>
        <v>3</v>
      </c>
      <c r="X50" s="3" t="str">
        <f>IFERROR(__xludf.DUMMYFUNCTION("split(B50,"" "")"),"D.")</f>
        <v>D.</v>
      </c>
      <c r="Y50" s="3" t="str">
        <f>IFERROR(__xludf.DUMMYFUNCTION("""COMPUTED_VALUE"""),"Henry")</f>
        <v>Henry</v>
      </c>
      <c r="AA50" s="3">
        <v>25.0</v>
      </c>
      <c r="AB50" s="3">
        <f t="shared" si="7"/>
        <v>1</v>
      </c>
      <c r="AC50" s="3">
        <f t="shared" si="8"/>
        <v>1</v>
      </c>
      <c r="AD50" s="3">
        <f t="shared" si="9"/>
        <v>0.8474576271</v>
      </c>
      <c r="AE50" s="3">
        <f t="shared" si="10"/>
        <v>0.8474576271</v>
      </c>
      <c r="AF50" s="3">
        <f t="shared" si="11"/>
        <v>2.542372881</v>
      </c>
      <c r="AG50" s="3">
        <f t="shared" si="12"/>
        <v>0.5151515152</v>
      </c>
    </row>
    <row r="51">
      <c r="A51" s="1" t="s">
        <v>11</v>
      </c>
      <c r="B51" s="1" t="s">
        <v>239</v>
      </c>
      <c r="C51" s="1" t="s">
        <v>18</v>
      </c>
      <c r="D51" s="1" t="s">
        <v>77</v>
      </c>
      <c r="E51" s="1" t="s">
        <v>88</v>
      </c>
      <c r="F51" s="1" t="s">
        <v>516</v>
      </c>
      <c r="G51" s="1">
        <v>27.5</v>
      </c>
      <c r="H51" s="1" t="s">
        <v>60</v>
      </c>
      <c r="I51" s="1">
        <v>-115.0</v>
      </c>
      <c r="J51" s="1">
        <v>-0.0802168037013955</v>
      </c>
      <c r="K51" s="1" t="s">
        <v>61</v>
      </c>
      <c r="L51" s="1" t="s">
        <v>61</v>
      </c>
      <c r="M51" s="1" t="s">
        <v>62</v>
      </c>
      <c r="N51" s="1">
        <v>-113.0</v>
      </c>
      <c r="O51" s="1">
        <v>0.0148775467570611</v>
      </c>
      <c r="P51" s="1" t="s">
        <v>61</v>
      </c>
      <c r="Q51" s="1" t="s">
        <v>61</v>
      </c>
      <c r="R51" s="1">
        <f t="shared" si="1"/>
        <v>0.01487754676</v>
      </c>
      <c r="S51" s="1">
        <f t="shared" si="2"/>
        <v>-113</v>
      </c>
      <c r="T51" s="1">
        <f t="shared" si="3"/>
        <v>1.884955752</v>
      </c>
      <c r="U51" s="1">
        <f t="shared" si="4"/>
        <v>0</v>
      </c>
      <c r="V51" s="3">
        <f t="shared" si="5"/>
        <v>1</v>
      </c>
      <c r="W51" s="3">
        <f t="shared" si="6"/>
        <v>2</v>
      </c>
      <c r="X51" s="3" t="str">
        <f>IFERROR(__xludf.DUMMYFUNCTION("split(B51,"" "")"),"R.")</f>
        <v>R.</v>
      </c>
      <c r="Y51" s="3" t="str">
        <f>IFERROR(__xludf.DUMMYFUNCTION("""COMPUTED_VALUE"""),"Bateman")</f>
        <v>Bateman</v>
      </c>
      <c r="AA51" s="3">
        <v>28.0</v>
      </c>
      <c r="AB51" s="3">
        <f t="shared" si="7"/>
        <v>1</v>
      </c>
      <c r="AC51" s="3">
        <f t="shared" si="8"/>
        <v>0</v>
      </c>
      <c r="AD51" s="3">
        <f t="shared" si="9"/>
        <v>0.8849557522</v>
      </c>
      <c r="AE51" s="3">
        <f t="shared" si="10"/>
        <v>-1</v>
      </c>
      <c r="AF51" s="3">
        <f t="shared" si="11"/>
        <v>-2</v>
      </c>
      <c r="AG51" s="3">
        <f t="shared" si="12"/>
        <v>-0.01818181818</v>
      </c>
    </row>
    <row r="52">
      <c r="A52" s="1" t="s">
        <v>11</v>
      </c>
      <c r="B52" s="1" t="s">
        <v>138</v>
      </c>
      <c r="C52" s="1" t="s">
        <v>18</v>
      </c>
      <c r="D52" s="1" t="s">
        <v>77</v>
      </c>
      <c r="E52" s="1" t="s">
        <v>88</v>
      </c>
      <c r="F52" s="1" t="s">
        <v>516</v>
      </c>
      <c r="G52" s="1">
        <v>11.5</v>
      </c>
      <c r="H52" s="1" t="s">
        <v>60</v>
      </c>
      <c r="I52" s="1">
        <v>-110.0</v>
      </c>
      <c r="J52" s="1">
        <v>0.0112474578323936</v>
      </c>
      <c r="K52" s="1" t="s">
        <v>61</v>
      </c>
      <c r="L52" s="1" t="s">
        <v>61</v>
      </c>
      <c r="M52" s="1" t="s">
        <v>62</v>
      </c>
      <c r="N52" s="1">
        <v>-117.0</v>
      </c>
      <c r="O52" s="1">
        <v>-0.0741821216102264</v>
      </c>
      <c r="P52" s="1" t="s">
        <v>61</v>
      </c>
      <c r="Q52" s="1" t="s">
        <v>61</v>
      </c>
      <c r="R52" s="1">
        <f t="shared" si="1"/>
        <v>0.01124745783</v>
      </c>
      <c r="S52" s="1">
        <f t="shared" si="2"/>
        <v>-110</v>
      </c>
      <c r="T52" s="1">
        <f t="shared" si="3"/>
        <v>1.909090909</v>
      </c>
      <c r="U52" s="1">
        <f t="shared" si="4"/>
        <v>1</v>
      </c>
      <c r="V52" s="3">
        <f t="shared" si="5"/>
        <v>1</v>
      </c>
      <c r="W52" s="3">
        <f t="shared" si="6"/>
        <v>2</v>
      </c>
      <c r="X52" s="3" t="str">
        <f>IFERROR(__xludf.DUMMYFUNCTION("split(B52,"" "")"),"N.")</f>
        <v>N.</v>
      </c>
      <c r="Y52" s="3" t="str">
        <f>IFERROR(__xludf.DUMMYFUNCTION("""COMPUTED_VALUE"""),"Agholor")</f>
        <v>Agholor</v>
      </c>
      <c r="AA52" s="3">
        <v>56.0</v>
      </c>
      <c r="AB52" s="3">
        <f t="shared" si="7"/>
        <v>1</v>
      </c>
      <c r="AC52" s="3">
        <f t="shared" si="8"/>
        <v>1</v>
      </c>
      <c r="AD52" s="3">
        <f t="shared" si="9"/>
        <v>0.9090909091</v>
      </c>
      <c r="AE52" s="3">
        <f t="shared" si="10"/>
        <v>0.9090909091</v>
      </c>
      <c r="AF52" s="3">
        <f t="shared" si="11"/>
        <v>1.818181818</v>
      </c>
      <c r="AG52" s="3">
        <f t="shared" si="12"/>
        <v>3.869565217</v>
      </c>
    </row>
    <row r="53">
      <c r="A53" s="1" t="s">
        <v>10</v>
      </c>
      <c r="B53" s="1" t="s">
        <v>309</v>
      </c>
      <c r="C53" s="1" t="s">
        <v>19</v>
      </c>
      <c r="D53" s="1" t="s">
        <v>77</v>
      </c>
      <c r="E53" s="1" t="s">
        <v>88</v>
      </c>
      <c r="F53" s="1" t="s">
        <v>516</v>
      </c>
      <c r="G53" s="1">
        <v>67.5</v>
      </c>
      <c r="H53" s="1" t="s">
        <v>60</v>
      </c>
      <c r="I53" s="1">
        <v>-125.0</v>
      </c>
      <c r="J53" s="1">
        <v>-0.0790242230263056</v>
      </c>
      <c r="K53" s="1" t="s">
        <v>61</v>
      </c>
      <c r="L53" s="1" t="s">
        <v>61</v>
      </c>
      <c r="M53" s="1" t="s">
        <v>62</v>
      </c>
      <c r="N53" s="1">
        <v>-107.0</v>
      </c>
      <c r="O53" s="1">
        <v>0.00647098414366509</v>
      </c>
      <c r="P53" s="1" t="s">
        <v>61</v>
      </c>
      <c r="Q53" s="1" t="s">
        <v>61</v>
      </c>
      <c r="R53" s="1">
        <f t="shared" si="1"/>
        <v>0.006470984144</v>
      </c>
      <c r="S53" s="1">
        <f t="shared" si="2"/>
        <v>-107</v>
      </c>
      <c r="T53" s="1">
        <f t="shared" si="3"/>
        <v>1.934579439</v>
      </c>
      <c r="U53" s="1">
        <f t="shared" si="4"/>
        <v>0</v>
      </c>
      <c r="V53" s="3">
        <f t="shared" si="5"/>
        <v>1</v>
      </c>
      <c r="W53" s="3">
        <f t="shared" si="6"/>
        <v>2</v>
      </c>
      <c r="X53" s="3" t="str">
        <f>IFERROR(__xludf.DUMMYFUNCTION("split(B53,"" "")"),"D.")</f>
        <v>D.</v>
      </c>
      <c r="Y53" s="3" t="str">
        <f>IFERROR(__xludf.DUMMYFUNCTION("""COMPUTED_VALUE"""),"Henry")</f>
        <v>Henry</v>
      </c>
      <c r="AA53" s="3">
        <v>151.0</v>
      </c>
      <c r="AB53" s="3">
        <f t="shared" si="7"/>
        <v>1</v>
      </c>
      <c r="AC53" s="3">
        <f t="shared" si="8"/>
        <v>0</v>
      </c>
      <c r="AD53" s="3">
        <f t="shared" si="9"/>
        <v>0.9345794393</v>
      </c>
      <c r="AE53" s="3">
        <f t="shared" si="10"/>
        <v>-1</v>
      </c>
      <c r="AF53" s="3">
        <f t="shared" si="11"/>
        <v>-2</v>
      </c>
      <c r="AG53" s="3">
        <f t="shared" si="12"/>
        <v>-1.237037037</v>
      </c>
    </row>
    <row r="54">
      <c r="A54" s="1" t="s">
        <v>8</v>
      </c>
      <c r="B54" s="1" t="s">
        <v>434</v>
      </c>
      <c r="C54" s="1" t="s">
        <v>21</v>
      </c>
      <c r="D54" s="1" t="s">
        <v>104</v>
      </c>
      <c r="E54" s="1" t="s">
        <v>93</v>
      </c>
      <c r="F54" s="1" t="s">
        <v>518</v>
      </c>
      <c r="G54" s="1">
        <v>6.5</v>
      </c>
      <c r="H54" s="1" t="s">
        <v>60</v>
      </c>
      <c r="I54" s="1">
        <v>-125.0</v>
      </c>
      <c r="J54" s="1">
        <v>-0.235134913099121</v>
      </c>
      <c r="K54" s="1" t="s">
        <v>61</v>
      </c>
      <c r="L54" s="1" t="s">
        <v>61</v>
      </c>
      <c r="M54" s="1" t="s">
        <v>62</v>
      </c>
      <c r="N54" s="1">
        <v>-108.0</v>
      </c>
      <c r="O54" s="1">
        <v>0.160361941745608</v>
      </c>
      <c r="P54" s="1" t="s">
        <v>61</v>
      </c>
      <c r="Q54" s="1" t="s">
        <v>61</v>
      </c>
      <c r="R54" s="1">
        <f t="shared" si="1"/>
        <v>0.1603619417</v>
      </c>
      <c r="S54" s="1">
        <f t="shared" si="2"/>
        <v>-108</v>
      </c>
      <c r="T54" s="1">
        <f t="shared" si="3"/>
        <v>1.925925926</v>
      </c>
      <c r="U54" s="1">
        <f t="shared" si="4"/>
        <v>0</v>
      </c>
      <c r="V54" s="3">
        <f t="shared" si="5"/>
        <v>3</v>
      </c>
      <c r="W54" s="3">
        <f t="shared" si="6"/>
        <v>2</v>
      </c>
      <c r="X54" s="3" t="str">
        <f>IFERROR(__xludf.DUMMYFUNCTION("split(B54,"" "")"),"J.")</f>
        <v>J.</v>
      </c>
      <c r="Y54" s="3" t="str">
        <f>IFERROR(__xludf.DUMMYFUNCTION("""COMPUTED_VALUE"""),"Allen")</f>
        <v>Allen</v>
      </c>
      <c r="AA54" s="3">
        <v>6.0</v>
      </c>
      <c r="AB54" s="3">
        <f t="shared" si="7"/>
        <v>0</v>
      </c>
      <c r="AC54" s="3">
        <f t="shared" si="8"/>
        <v>1</v>
      </c>
      <c r="AD54" s="3">
        <f t="shared" si="9"/>
        <v>2.777777778</v>
      </c>
      <c r="AE54" s="3">
        <f t="shared" si="10"/>
        <v>2.777777778</v>
      </c>
      <c r="AF54" s="3">
        <f t="shared" si="11"/>
        <v>1.851851852</v>
      </c>
      <c r="AG54" s="3">
        <f t="shared" si="12"/>
        <v>0.07692307692</v>
      </c>
    </row>
    <row r="55">
      <c r="A55" s="1" t="s">
        <v>12</v>
      </c>
      <c r="B55" s="1" t="s">
        <v>189</v>
      </c>
      <c r="C55" s="1" t="s">
        <v>18</v>
      </c>
      <c r="D55" s="1" t="s">
        <v>104</v>
      </c>
      <c r="E55" s="1" t="s">
        <v>93</v>
      </c>
      <c r="F55" s="1" t="s">
        <v>518</v>
      </c>
      <c r="G55" s="1">
        <v>3.5</v>
      </c>
      <c r="H55" s="1" t="s">
        <v>60</v>
      </c>
      <c r="I55" s="1">
        <v>-123.0</v>
      </c>
      <c r="J55" s="1">
        <v>-0.21352466367713</v>
      </c>
      <c r="K55" s="1" t="s">
        <v>61</v>
      </c>
      <c r="L55" s="1" t="s">
        <v>61</v>
      </c>
      <c r="M55" s="1" t="s">
        <v>62</v>
      </c>
      <c r="N55" s="1">
        <v>-107.0</v>
      </c>
      <c r="O55" s="1">
        <v>0.145040096618357</v>
      </c>
      <c r="P55" s="1" t="s">
        <v>61</v>
      </c>
      <c r="Q55" s="1" t="s">
        <v>61</v>
      </c>
      <c r="R55" s="1">
        <f t="shared" si="1"/>
        <v>0.1450400966</v>
      </c>
      <c r="S55" s="1">
        <f t="shared" si="2"/>
        <v>-107</v>
      </c>
      <c r="T55" s="1">
        <f t="shared" si="3"/>
        <v>1.934579439</v>
      </c>
      <c r="U55" s="1">
        <f t="shared" si="4"/>
        <v>0</v>
      </c>
      <c r="V55" s="3">
        <f t="shared" si="5"/>
        <v>3</v>
      </c>
      <c r="W55" s="3">
        <f t="shared" si="6"/>
        <v>2</v>
      </c>
      <c r="X55" s="3" t="str">
        <f>IFERROR(__xludf.DUMMYFUNCTION("split(B55,"" "")"),"K.")</f>
        <v>K.</v>
      </c>
      <c r="Y55" s="3" t="str">
        <f>IFERROR(__xludf.DUMMYFUNCTION("""COMPUTED_VALUE"""),"Shakir")</f>
        <v>Shakir</v>
      </c>
      <c r="AA55" s="3">
        <v>6.0</v>
      </c>
      <c r="AB55" s="3">
        <f t="shared" si="7"/>
        <v>1</v>
      </c>
      <c r="AC55" s="3">
        <f t="shared" si="8"/>
        <v>0</v>
      </c>
      <c r="AD55" s="3">
        <f t="shared" si="9"/>
        <v>2.803738318</v>
      </c>
      <c r="AE55" s="3">
        <f t="shared" si="10"/>
        <v>-3</v>
      </c>
      <c r="AF55" s="3">
        <f t="shared" si="11"/>
        <v>-2</v>
      </c>
      <c r="AG55" s="3">
        <f t="shared" si="12"/>
        <v>-0.7142857143</v>
      </c>
    </row>
    <row r="56">
      <c r="A56" s="1" t="s">
        <v>12</v>
      </c>
      <c r="B56" s="1" t="s">
        <v>426</v>
      </c>
      <c r="C56" s="1" t="s">
        <v>18</v>
      </c>
      <c r="D56" s="1" t="s">
        <v>104</v>
      </c>
      <c r="E56" s="1" t="s">
        <v>93</v>
      </c>
      <c r="F56" s="1" t="s">
        <v>518</v>
      </c>
      <c r="G56" s="1">
        <v>2.5</v>
      </c>
      <c r="H56" s="1" t="s">
        <v>60</v>
      </c>
      <c r="I56" s="1">
        <v>-146.0</v>
      </c>
      <c r="J56" s="1">
        <v>-0.188274393292682</v>
      </c>
      <c r="K56" s="1" t="s">
        <v>61</v>
      </c>
      <c r="L56" s="1" t="s">
        <v>61</v>
      </c>
      <c r="M56" s="1" t="s">
        <v>62</v>
      </c>
      <c r="N56" s="1">
        <v>113.0</v>
      </c>
      <c r="O56" s="1">
        <v>0.125307045774647</v>
      </c>
      <c r="P56" s="1" t="s">
        <v>61</v>
      </c>
      <c r="Q56" s="1" t="s">
        <v>61</v>
      </c>
      <c r="R56" s="1">
        <f t="shared" si="1"/>
        <v>0.1253070458</v>
      </c>
      <c r="S56" s="1">
        <f t="shared" si="2"/>
        <v>113</v>
      </c>
      <c r="T56" s="1">
        <f t="shared" si="3"/>
        <v>2.13</v>
      </c>
      <c r="U56" s="1">
        <f t="shared" si="4"/>
        <v>0</v>
      </c>
      <c r="V56" s="3">
        <f t="shared" si="5"/>
        <v>3</v>
      </c>
      <c r="W56" s="3">
        <f t="shared" si="6"/>
        <v>1</v>
      </c>
      <c r="X56" s="3" t="str">
        <f>IFERROR(__xludf.DUMMYFUNCTION("split(B56,"" "")"),"K.")</f>
        <v>K.</v>
      </c>
      <c r="Y56" s="3" t="str">
        <f>IFERROR(__xludf.DUMMYFUNCTION("""COMPUTED_VALUE"""),"Coleman")</f>
        <v>Coleman</v>
      </c>
      <c r="AA56" s="3">
        <v>1.0</v>
      </c>
      <c r="AB56" s="3">
        <f t="shared" si="7"/>
        <v>0</v>
      </c>
      <c r="AC56" s="3">
        <f t="shared" si="8"/>
        <v>1</v>
      </c>
      <c r="AD56" s="3">
        <f t="shared" si="9"/>
        <v>3.39</v>
      </c>
      <c r="AE56" s="3">
        <f t="shared" si="10"/>
        <v>3.39</v>
      </c>
      <c r="AF56" s="3">
        <f t="shared" si="11"/>
        <v>1.13</v>
      </c>
      <c r="AG56" s="3">
        <f t="shared" si="12"/>
        <v>0.6</v>
      </c>
    </row>
    <row r="57">
      <c r="A57" s="1" t="s">
        <v>12</v>
      </c>
      <c r="B57" s="1" t="s">
        <v>458</v>
      </c>
      <c r="C57" s="1" t="s">
        <v>19</v>
      </c>
      <c r="D57" s="1" t="s">
        <v>104</v>
      </c>
      <c r="E57" s="1" t="s">
        <v>93</v>
      </c>
      <c r="F57" s="1" t="s">
        <v>518</v>
      </c>
      <c r="G57" s="1">
        <v>2.5</v>
      </c>
      <c r="H57" s="1" t="s">
        <v>60</v>
      </c>
      <c r="I57" s="1">
        <v>-103.0</v>
      </c>
      <c r="J57" s="1">
        <v>-0.158637986502463</v>
      </c>
      <c r="K57" s="1" t="s">
        <v>61</v>
      </c>
      <c r="L57" s="1" t="s">
        <v>61</v>
      </c>
      <c r="M57" s="1" t="s">
        <v>62</v>
      </c>
      <c r="N57" s="1">
        <v>-128.0</v>
      </c>
      <c r="O57" s="1">
        <v>0.089838168477193</v>
      </c>
      <c r="P57" s="1" t="s">
        <v>61</v>
      </c>
      <c r="Q57" s="1" t="s">
        <v>61</v>
      </c>
      <c r="R57" s="1">
        <f t="shared" si="1"/>
        <v>0.08983816848</v>
      </c>
      <c r="S57" s="1">
        <f t="shared" si="2"/>
        <v>-128</v>
      </c>
      <c r="T57" s="1">
        <f t="shared" si="3"/>
        <v>1.78125</v>
      </c>
      <c r="U57" s="1">
        <f t="shared" si="4"/>
        <v>0</v>
      </c>
      <c r="V57" s="3">
        <f t="shared" si="5"/>
        <v>2</v>
      </c>
      <c r="W57" s="3">
        <f t="shared" si="6"/>
        <v>3</v>
      </c>
      <c r="X57" s="3" t="str">
        <f>IFERROR(__xludf.DUMMYFUNCTION("split(B57,"" "")"),"J.")</f>
        <v>J.</v>
      </c>
      <c r="Y57" s="3" t="str">
        <f>IFERROR(__xludf.DUMMYFUNCTION("""COMPUTED_VALUE"""),"Cook")</f>
        <v>Cook</v>
      </c>
      <c r="AA57" s="3">
        <v>4.0</v>
      </c>
      <c r="AB57" s="3">
        <f t="shared" si="7"/>
        <v>1</v>
      </c>
      <c r="AC57" s="3">
        <f t="shared" si="8"/>
        <v>0</v>
      </c>
      <c r="AD57" s="3">
        <f t="shared" si="9"/>
        <v>1.5625</v>
      </c>
      <c r="AE57" s="3">
        <f t="shared" si="10"/>
        <v>-2</v>
      </c>
      <c r="AF57" s="3">
        <f t="shared" si="11"/>
        <v>-3</v>
      </c>
      <c r="AG57" s="3">
        <f t="shared" si="12"/>
        <v>-0.6</v>
      </c>
    </row>
    <row r="58">
      <c r="A58" s="1" t="s">
        <v>12</v>
      </c>
      <c r="B58" s="1" t="s">
        <v>235</v>
      </c>
      <c r="C58" s="1" t="s">
        <v>20</v>
      </c>
      <c r="D58" s="1" t="s">
        <v>104</v>
      </c>
      <c r="E58" s="1" t="s">
        <v>93</v>
      </c>
      <c r="F58" s="1" t="s">
        <v>518</v>
      </c>
      <c r="G58" s="1">
        <v>3.5</v>
      </c>
      <c r="H58" s="1" t="s">
        <v>60</v>
      </c>
      <c r="I58" s="1">
        <v>-138.0</v>
      </c>
      <c r="J58" s="1">
        <v>-0.117831932773109</v>
      </c>
      <c r="K58" s="1" t="s">
        <v>61</v>
      </c>
      <c r="L58" s="1" t="s">
        <v>61</v>
      </c>
      <c r="M58" s="1" t="s">
        <v>62</v>
      </c>
      <c r="N58" s="1">
        <v>110.0</v>
      </c>
      <c r="O58" s="1">
        <v>0.0618095238095238</v>
      </c>
      <c r="P58" s="1" t="s">
        <v>61</v>
      </c>
      <c r="Q58" s="1" t="s">
        <v>61</v>
      </c>
      <c r="R58" s="1">
        <f t="shared" si="1"/>
        <v>0.06180952381</v>
      </c>
      <c r="S58" s="1">
        <f t="shared" si="2"/>
        <v>110</v>
      </c>
      <c r="T58" s="1">
        <f t="shared" si="3"/>
        <v>2.1</v>
      </c>
      <c r="U58" s="1">
        <f t="shared" si="4"/>
        <v>0</v>
      </c>
      <c r="V58" s="3">
        <f t="shared" si="5"/>
        <v>2</v>
      </c>
      <c r="W58" s="3">
        <f t="shared" si="6"/>
        <v>2</v>
      </c>
      <c r="X58" s="3" t="str">
        <f>IFERROR(__xludf.DUMMYFUNCTION("split(B58,"" "")"),"D.")</f>
        <v>D.</v>
      </c>
      <c r="Y58" s="3" t="str">
        <f>IFERROR(__xludf.DUMMYFUNCTION("""COMPUTED_VALUE"""),"Kincaid")</f>
        <v>Kincaid</v>
      </c>
      <c r="AA58" s="3">
        <v>3.0</v>
      </c>
      <c r="AB58" s="3">
        <f t="shared" si="7"/>
        <v>0</v>
      </c>
      <c r="AC58" s="3">
        <f t="shared" si="8"/>
        <v>1</v>
      </c>
      <c r="AD58" s="3">
        <f t="shared" si="9"/>
        <v>2.2</v>
      </c>
      <c r="AE58" s="3">
        <f t="shared" si="10"/>
        <v>2.2</v>
      </c>
      <c r="AF58" s="3">
        <f t="shared" si="11"/>
        <v>2.2</v>
      </c>
      <c r="AG58" s="3">
        <f t="shared" si="12"/>
        <v>0.1428571429</v>
      </c>
    </row>
    <row r="59">
      <c r="A59" s="1" t="s">
        <v>11</v>
      </c>
      <c r="B59" s="1" t="s">
        <v>189</v>
      </c>
      <c r="C59" s="1" t="s">
        <v>18</v>
      </c>
      <c r="D59" s="1" t="s">
        <v>104</v>
      </c>
      <c r="E59" s="1" t="s">
        <v>93</v>
      </c>
      <c r="F59" s="1" t="s">
        <v>518</v>
      </c>
      <c r="G59" s="1">
        <v>44.5</v>
      </c>
      <c r="H59" s="1" t="s">
        <v>60</v>
      </c>
      <c r="I59" s="1">
        <v>-116.0</v>
      </c>
      <c r="J59" s="1">
        <v>-0.120031475714907</v>
      </c>
      <c r="K59" s="1" t="s">
        <v>61</v>
      </c>
      <c r="L59" s="1" t="s">
        <v>61</v>
      </c>
      <c r="M59" s="1" t="s">
        <v>62</v>
      </c>
      <c r="N59" s="1">
        <v>-113.0</v>
      </c>
      <c r="O59" s="1">
        <v>0.0524902969096855</v>
      </c>
      <c r="P59" s="1" t="s">
        <v>61</v>
      </c>
      <c r="Q59" s="1" t="s">
        <v>61</v>
      </c>
      <c r="R59" s="1">
        <f t="shared" si="1"/>
        <v>0.05249029691</v>
      </c>
      <c r="S59" s="1">
        <f t="shared" si="2"/>
        <v>-113</v>
      </c>
      <c r="T59" s="1">
        <f t="shared" si="3"/>
        <v>1.884955752</v>
      </c>
      <c r="U59" s="1">
        <f t="shared" si="4"/>
        <v>0</v>
      </c>
      <c r="V59" s="3">
        <f t="shared" si="5"/>
        <v>2</v>
      </c>
      <c r="W59" s="3">
        <f t="shared" si="6"/>
        <v>2</v>
      </c>
      <c r="X59" s="3" t="str">
        <f>IFERROR(__xludf.DUMMYFUNCTION("split(B59,"" "")"),"K.")</f>
        <v>K.</v>
      </c>
      <c r="Y59" s="3" t="str">
        <f>IFERROR(__xludf.DUMMYFUNCTION("""COMPUTED_VALUE"""),"Shakir")</f>
        <v>Shakir</v>
      </c>
      <c r="AA59" s="3">
        <v>72.0</v>
      </c>
      <c r="AB59" s="3">
        <f t="shared" si="7"/>
        <v>1</v>
      </c>
      <c r="AC59" s="3">
        <f t="shared" si="8"/>
        <v>0</v>
      </c>
      <c r="AD59" s="3">
        <f t="shared" si="9"/>
        <v>1.769911504</v>
      </c>
      <c r="AE59" s="3">
        <f t="shared" si="10"/>
        <v>-2</v>
      </c>
      <c r="AF59" s="3">
        <f t="shared" si="11"/>
        <v>-2</v>
      </c>
      <c r="AG59" s="3">
        <f t="shared" si="12"/>
        <v>-0.6179775281</v>
      </c>
    </row>
    <row r="60">
      <c r="A60" s="1" t="s">
        <v>8</v>
      </c>
      <c r="B60" s="1" t="s">
        <v>458</v>
      </c>
      <c r="C60" s="1" t="s">
        <v>19</v>
      </c>
      <c r="D60" s="1" t="s">
        <v>104</v>
      </c>
      <c r="E60" s="1" t="s">
        <v>93</v>
      </c>
      <c r="F60" s="1" t="s">
        <v>518</v>
      </c>
      <c r="G60" s="1">
        <v>14.5</v>
      </c>
      <c r="H60" s="1" t="s">
        <v>60</v>
      </c>
      <c r="I60" s="1">
        <v>-121.0</v>
      </c>
      <c r="J60" s="1">
        <v>-0.123320730895927</v>
      </c>
      <c r="K60" s="1" t="s">
        <v>61</v>
      </c>
      <c r="L60" s="1" t="s">
        <v>61</v>
      </c>
      <c r="M60" s="1" t="s">
        <v>62</v>
      </c>
      <c r="N60" s="1">
        <v>-111.0</v>
      </c>
      <c r="O60" s="1">
        <v>0.0497283388439809</v>
      </c>
      <c r="P60" s="1" t="s">
        <v>61</v>
      </c>
      <c r="Q60" s="1" t="s">
        <v>61</v>
      </c>
      <c r="R60" s="1">
        <f t="shared" si="1"/>
        <v>0.04972833884</v>
      </c>
      <c r="S60" s="1">
        <f t="shared" si="2"/>
        <v>-111</v>
      </c>
      <c r="T60" s="1">
        <f t="shared" si="3"/>
        <v>1.900900901</v>
      </c>
      <c r="U60" s="1">
        <f t="shared" si="4"/>
        <v>0</v>
      </c>
      <c r="V60" s="3">
        <f t="shared" si="5"/>
        <v>1</v>
      </c>
      <c r="W60" s="3">
        <f t="shared" si="6"/>
        <v>2</v>
      </c>
      <c r="X60" s="3" t="str">
        <f>IFERROR(__xludf.DUMMYFUNCTION("split(B60,"" "")"),"J.")</f>
        <v>J.</v>
      </c>
      <c r="Y60" s="3" t="str">
        <f>IFERROR(__xludf.DUMMYFUNCTION("""COMPUTED_VALUE"""),"Cook")</f>
        <v>Cook</v>
      </c>
      <c r="AA60" s="3">
        <v>11.0</v>
      </c>
      <c r="AB60" s="3">
        <f t="shared" si="7"/>
        <v>0</v>
      </c>
      <c r="AC60" s="3">
        <f t="shared" si="8"/>
        <v>1</v>
      </c>
      <c r="AD60" s="3">
        <f t="shared" si="9"/>
        <v>0.9009009009</v>
      </c>
      <c r="AE60" s="3">
        <f t="shared" si="10"/>
        <v>0.9009009009</v>
      </c>
      <c r="AF60" s="3">
        <f t="shared" si="11"/>
        <v>1.801801802</v>
      </c>
      <c r="AG60" s="3">
        <f t="shared" si="12"/>
        <v>0.2413793103</v>
      </c>
    </row>
    <row r="61">
      <c r="A61" s="1" t="s">
        <v>9</v>
      </c>
      <c r="B61" s="1" t="s">
        <v>458</v>
      </c>
      <c r="C61" s="1" t="s">
        <v>19</v>
      </c>
      <c r="D61" s="1" t="s">
        <v>104</v>
      </c>
      <c r="E61" s="1" t="s">
        <v>93</v>
      </c>
      <c r="F61" s="1" t="s">
        <v>518</v>
      </c>
      <c r="G61" s="1">
        <v>83.5</v>
      </c>
      <c r="H61" s="1" t="s">
        <v>60</v>
      </c>
      <c r="I61" s="1">
        <v>-116.0</v>
      </c>
      <c r="J61" s="1">
        <v>-0.0965582798580643</v>
      </c>
      <c r="K61" s="1" t="s">
        <v>61</v>
      </c>
      <c r="L61" s="1" t="s">
        <v>61</v>
      </c>
      <c r="M61" s="1" t="s">
        <v>62</v>
      </c>
      <c r="N61" s="1">
        <v>-115.0</v>
      </c>
      <c r="O61" s="1">
        <v>0.0246718917057819</v>
      </c>
      <c r="P61" s="1" t="s">
        <v>61</v>
      </c>
      <c r="Q61" s="1" t="s">
        <v>61</v>
      </c>
      <c r="R61" s="1">
        <f t="shared" si="1"/>
        <v>0.02467189171</v>
      </c>
      <c r="S61" s="1">
        <f t="shared" si="2"/>
        <v>-115</v>
      </c>
      <c r="T61" s="1">
        <f t="shared" si="3"/>
        <v>1.869565217</v>
      </c>
      <c r="U61" s="1">
        <f t="shared" si="4"/>
        <v>0</v>
      </c>
      <c r="V61" s="3">
        <f t="shared" si="5"/>
        <v>1</v>
      </c>
      <c r="W61" s="3">
        <f t="shared" si="6"/>
        <v>2</v>
      </c>
      <c r="X61" s="3" t="str">
        <f>IFERROR(__xludf.DUMMYFUNCTION("split(B61,"" "")"),"J.")</f>
        <v>J.</v>
      </c>
      <c r="Y61" s="3" t="str">
        <f>IFERROR(__xludf.DUMMYFUNCTION("""COMPUTED_VALUE"""),"Cook")</f>
        <v>Cook</v>
      </c>
      <c r="AA61" s="3">
        <v>87.0</v>
      </c>
      <c r="AB61" s="3">
        <f t="shared" si="7"/>
        <v>1</v>
      </c>
      <c r="AC61" s="3">
        <f t="shared" si="8"/>
        <v>0</v>
      </c>
      <c r="AD61" s="3">
        <f t="shared" si="9"/>
        <v>0.8695652174</v>
      </c>
      <c r="AE61" s="3">
        <f t="shared" si="10"/>
        <v>-1</v>
      </c>
      <c r="AF61" s="3">
        <f t="shared" si="11"/>
        <v>-2</v>
      </c>
      <c r="AG61" s="3">
        <f t="shared" si="12"/>
        <v>-0.04191616766</v>
      </c>
    </row>
    <row r="62">
      <c r="A62" s="1" t="s">
        <v>10</v>
      </c>
      <c r="B62" s="1" t="s">
        <v>458</v>
      </c>
      <c r="C62" s="1" t="s">
        <v>19</v>
      </c>
      <c r="D62" s="1" t="s">
        <v>104</v>
      </c>
      <c r="E62" s="1" t="s">
        <v>93</v>
      </c>
      <c r="F62" s="1" t="s">
        <v>518</v>
      </c>
      <c r="G62" s="1">
        <v>62.5</v>
      </c>
      <c r="H62" s="1" t="s">
        <v>60</v>
      </c>
      <c r="I62" s="1">
        <v>-116.0</v>
      </c>
      <c r="J62" s="1">
        <v>-0.0887644609785512</v>
      </c>
      <c r="K62" s="1" t="s">
        <v>61</v>
      </c>
      <c r="L62" s="1" t="s">
        <v>61</v>
      </c>
      <c r="M62" s="1" t="s">
        <v>62</v>
      </c>
      <c r="N62" s="1">
        <v>-112.0</v>
      </c>
      <c r="O62" s="1">
        <v>0.0234571401576019</v>
      </c>
      <c r="P62" s="1" t="s">
        <v>61</v>
      </c>
      <c r="Q62" s="1" t="s">
        <v>61</v>
      </c>
      <c r="R62" s="1">
        <f t="shared" si="1"/>
        <v>0.02345714016</v>
      </c>
      <c r="S62" s="1">
        <f t="shared" si="2"/>
        <v>-112</v>
      </c>
      <c r="T62" s="1">
        <f t="shared" si="3"/>
        <v>1.892857143</v>
      </c>
      <c r="U62" s="1">
        <f t="shared" si="4"/>
        <v>0</v>
      </c>
      <c r="V62" s="3">
        <f t="shared" si="5"/>
        <v>1</v>
      </c>
      <c r="W62" s="3">
        <f t="shared" si="6"/>
        <v>2</v>
      </c>
      <c r="X62" s="3" t="str">
        <f>IFERROR(__xludf.DUMMYFUNCTION("split(B62,"" "")"),"J.")</f>
        <v>J.</v>
      </c>
      <c r="Y62" s="3" t="str">
        <f>IFERROR(__xludf.DUMMYFUNCTION("""COMPUTED_VALUE"""),"Cook")</f>
        <v>Cook</v>
      </c>
      <c r="AA62" s="3">
        <v>39.0</v>
      </c>
      <c r="AB62" s="3">
        <f t="shared" si="7"/>
        <v>0</v>
      </c>
      <c r="AC62" s="3">
        <f t="shared" si="8"/>
        <v>1</v>
      </c>
      <c r="AD62" s="3">
        <f t="shared" si="9"/>
        <v>0.8928571429</v>
      </c>
      <c r="AE62" s="3">
        <f t="shared" si="10"/>
        <v>0.8928571429</v>
      </c>
      <c r="AF62" s="3">
        <f t="shared" si="11"/>
        <v>1.785714286</v>
      </c>
      <c r="AG62" s="3">
        <f t="shared" si="12"/>
        <v>0.376</v>
      </c>
    </row>
    <row r="63">
      <c r="A63" s="1" t="s">
        <v>11</v>
      </c>
      <c r="B63" s="1" t="s">
        <v>426</v>
      </c>
      <c r="C63" s="1" t="s">
        <v>18</v>
      </c>
      <c r="D63" s="1" t="s">
        <v>104</v>
      </c>
      <c r="E63" s="1" t="s">
        <v>93</v>
      </c>
      <c r="F63" s="1" t="s">
        <v>518</v>
      </c>
      <c r="G63" s="1">
        <v>36.5</v>
      </c>
      <c r="H63" s="1" t="s">
        <v>60</v>
      </c>
      <c r="I63" s="1">
        <v>-117.0</v>
      </c>
      <c r="J63" s="1">
        <v>-0.0695719336009216</v>
      </c>
      <c r="K63" s="1" t="s">
        <v>61</v>
      </c>
      <c r="L63" s="1" t="s">
        <v>61</v>
      </c>
      <c r="M63" s="1" t="s">
        <v>62</v>
      </c>
      <c r="N63" s="1">
        <v>-109.0</v>
      </c>
      <c r="O63" s="1">
        <v>0.00885673351467974</v>
      </c>
      <c r="P63" s="1" t="s">
        <v>61</v>
      </c>
      <c r="Q63" s="1" t="s">
        <v>61</v>
      </c>
      <c r="R63" s="1">
        <f t="shared" si="1"/>
        <v>0.008856733515</v>
      </c>
      <c r="S63" s="1">
        <f t="shared" si="2"/>
        <v>-109</v>
      </c>
      <c r="T63" s="1">
        <f t="shared" si="3"/>
        <v>1.917431193</v>
      </c>
      <c r="U63" s="1">
        <f t="shared" si="4"/>
        <v>0</v>
      </c>
      <c r="V63" s="3">
        <f t="shared" si="5"/>
        <v>1</v>
      </c>
      <c r="W63" s="3">
        <f t="shared" si="6"/>
        <v>2</v>
      </c>
      <c r="X63" s="3" t="str">
        <f>IFERROR(__xludf.DUMMYFUNCTION("split(B63,"" "")"),"K.")</f>
        <v>K.</v>
      </c>
      <c r="Y63" s="3" t="str">
        <f>IFERROR(__xludf.DUMMYFUNCTION("""COMPUTED_VALUE"""),"Coleman")</f>
        <v>Coleman</v>
      </c>
      <c r="AA63" s="3">
        <v>24.0</v>
      </c>
      <c r="AB63" s="3">
        <f t="shared" si="7"/>
        <v>0</v>
      </c>
      <c r="AC63" s="3">
        <f t="shared" si="8"/>
        <v>1</v>
      </c>
      <c r="AD63" s="3">
        <f t="shared" si="9"/>
        <v>0.9174311927</v>
      </c>
      <c r="AE63" s="3">
        <f t="shared" si="10"/>
        <v>0.9174311927</v>
      </c>
      <c r="AF63" s="3">
        <f t="shared" si="11"/>
        <v>1.834862385</v>
      </c>
      <c r="AG63" s="3">
        <f t="shared" si="12"/>
        <v>0.3424657534</v>
      </c>
    </row>
    <row r="64">
      <c r="A64" s="1" t="s">
        <v>9</v>
      </c>
      <c r="B64" s="1" t="s">
        <v>426</v>
      </c>
      <c r="C64" s="1" t="s">
        <v>18</v>
      </c>
      <c r="D64" s="1" t="s">
        <v>104</v>
      </c>
      <c r="E64" s="1" t="s">
        <v>93</v>
      </c>
      <c r="F64" s="1" t="s">
        <v>518</v>
      </c>
      <c r="G64" s="1">
        <v>38.5</v>
      </c>
      <c r="H64" s="1" t="s">
        <v>60</v>
      </c>
      <c r="I64" s="1">
        <v>-118.0</v>
      </c>
      <c r="J64" s="1">
        <v>0.00463818075250066</v>
      </c>
      <c r="K64" s="1" t="s">
        <v>61</v>
      </c>
      <c r="L64" s="1" t="s">
        <v>61</v>
      </c>
      <c r="M64" s="1" t="s">
        <v>62</v>
      </c>
      <c r="N64" s="1">
        <v>-117.0</v>
      </c>
      <c r="O64" s="1">
        <v>-0.0851145916254968</v>
      </c>
      <c r="P64" s="1" t="s">
        <v>61</v>
      </c>
      <c r="Q64" s="1" t="s">
        <v>61</v>
      </c>
      <c r="R64" s="1">
        <f t="shared" si="1"/>
        <v>0.004638180753</v>
      </c>
      <c r="S64" s="1">
        <f t="shared" si="2"/>
        <v>-118</v>
      </c>
      <c r="T64" s="1">
        <f t="shared" si="3"/>
        <v>1.847457627</v>
      </c>
      <c r="U64" s="1">
        <f t="shared" si="4"/>
        <v>1</v>
      </c>
      <c r="V64" s="3">
        <f t="shared" si="5"/>
        <v>1</v>
      </c>
      <c r="W64" s="3">
        <f t="shared" si="6"/>
        <v>3</v>
      </c>
      <c r="X64" s="3" t="str">
        <f>IFERROR(__xludf.DUMMYFUNCTION("split(B64,"" "")"),"K.")</f>
        <v>K.</v>
      </c>
      <c r="Y64" s="3" t="str">
        <f>IFERROR(__xludf.DUMMYFUNCTION("""COMPUTED_VALUE"""),"Coleman")</f>
        <v>Coleman</v>
      </c>
      <c r="AA64" s="3">
        <v>24.0</v>
      </c>
      <c r="AB64" s="3">
        <f t="shared" si="7"/>
        <v>0</v>
      </c>
      <c r="AC64" s="3">
        <f t="shared" si="8"/>
        <v>0</v>
      </c>
      <c r="AD64" s="3">
        <f t="shared" si="9"/>
        <v>0.8474576271</v>
      </c>
      <c r="AE64" s="3">
        <f t="shared" si="10"/>
        <v>-1</v>
      </c>
      <c r="AF64" s="3">
        <f t="shared" si="11"/>
        <v>-3</v>
      </c>
      <c r="AG64" s="3">
        <f t="shared" si="12"/>
        <v>-0.3766233766</v>
      </c>
    </row>
    <row r="65">
      <c r="A65" s="1" t="s">
        <v>12</v>
      </c>
      <c r="B65" s="1" t="s">
        <v>207</v>
      </c>
      <c r="C65" s="1" t="s">
        <v>18</v>
      </c>
      <c r="D65" s="1" t="s">
        <v>57</v>
      </c>
      <c r="E65" s="1" t="s">
        <v>134</v>
      </c>
      <c r="F65" s="1" t="s">
        <v>519</v>
      </c>
      <c r="G65" s="1">
        <v>1.5</v>
      </c>
      <c r="H65" s="1" t="s">
        <v>60</v>
      </c>
      <c r="I65" s="1">
        <v>-183.0</v>
      </c>
      <c r="J65" s="1">
        <v>-0.294537137558303</v>
      </c>
      <c r="K65" s="1" t="s">
        <v>61</v>
      </c>
      <c r="L65" s="1" t="s">
        <v>61</v>
      </c>
      <c r="M65" s="1" t="s">
        <v>62</v>
      </c>
      <c r="N65" s="1">
        <v>138.0</v>
      </c>
      <c r="O65" s="1">
        <v>0.227724831634453</v>
      </c>
      <c r="P65" s="1" t="s">
        <v>61</v>
      </c>
      <c r="Q65" s="1" t="s">
        <v>61</v>
      </c>
      <c r="R65" s="1">
        <f t="shared" si="1"/>
        <v>0.2277248316</v>
      </c>
      <c r="S65" s="1">
        <f t="shared" si="2"/>
        <v>138</v>
      </c>
      <c r="T65" s="1">
        <f t="shared" si="3"/>
        <v>2.38</v>
      </c>
      <c r="U65" s="1">
        <f t="shared" si="4"/>
        <v>0</v>
      </c>
      <c r="V65" s="3">
        <f t="shared" si="5"/>
        <v>3</v>
      </c>
      <c r="W65" s="3">
        <f t="shared" si="6"/>
        <v>1</v>
      </c>
      <c r="X65" s="3" t="str">
        <f>IFERROR(__xludf.DUMMYFUNCTION("split(B65,"" "")"),"J.")</f>
        <v>J.</v>
      </c>
      <c r="Y65" s="3" t="str">
        <f>IFERROR(__xludf.DUMMYFUNCTION("""COMPUTED_VALUE"""),"Mingo")</f>
        <v>Mingo</v>
      </c>
      <c r="AA65" s="3">
        <v>3.0</v>
      </c>
      <c r="AB65" s="3">
        <f t="shared" si="7"/>
        <v>1</v>
      </c>
      <c r="AC65" s="3">
        <f t="shared" si="8"/>
        <v>0</v>
      </c>
      <c r="AD65" s="3">
        <f t="shared" si="9"/>
        <v>4.14</v>
      </c>
      <c r="AE65" s="3">
        <f t="shared" si="10"/>
        <v>-3</v>
      </c>
      <c r="AF65" s="3">
        <f t="shared" si="11"/>
        <v>-1</v>
      </c>
      <c r="AG65" s="3">
        <f t="shared" si="12"/>
        <v>-1</v>
      </c>
    </row>
    <row r="66">
      <c r="A66" s="1" t="s">
        <v>9</v>
      </c>
      <c r="B66" s="1" t="s">
        <v>357</v>
      </c>
      <c r="C66" s="1" t="s">
        <v>18</v>
      </c>
      <c r="D66" s="1" t="s">
        <v>57</v>
      </c>
      <c r="E66" s="1" t="s">
        <v>134</v>
      </c>
      <c r="F66" s="1" t="s">
        <v>519</v>
      </c>
      <c r="G66" s="1">
        <v>16.5</v>
      </c>
      <c r="H66" s="1" t="s">
        <v>60</v>
      </c>
      <c r="I66" s="1">
        <v>-115.0</v>
      </c>
      <c r="J66" s="1">
        <v>0.18308336897754</v>
      </c>
      <c r="K66" s="1" t="s">
        <v>61</v>
      </c>
      <c r="L66" s="1" t="s">
        <v>61</v>
      </c>
      <c r="M66" s="1" t="s">
        <v>62</v>
      </c>
      <c r="N66" s="1">
        <v>-115.0</v>
      </c>
      <c r="O66" s="1">
        <v>-0.252815874324171</v>
      </c>
      <c r="P66" s="1" t="s">
        <v>61</v>
      </c>
      <c r="Q66" s="1" t="s">
        <v>61</v>
      </c>
      <c r="R66" s="1">
        <f t="shared" si="1"/>
        <v>0.183083369</v>
      </c>
      <c r="S66" s="1">
        <f t="shared" si="2"/>
        <v>-115</v>
      </c>
      <c r="T66" s="1">
        <f t="shared" si="3"/>
        <v>1.869565217</v>
      </c>
      <c r="U66" s="1">
        <f t="shared" si="4"/>
        <v>1</v>
      </c>
      <c r="V66" s="3">
        <f t="shared" si="5"/>
        <v>3</v>
      </c>
      <c r="W66" s="3">
        <f t="shared" si="6"/>
        <v>2</v>
      </c>
      <c r="X66" s="3" t="str">
        <f>IFERROR(__xludf.DUMMYFUNCTION("split(B66,"" "")"),"X.")</f>
        <v>X.</v>
      </c>
      <c r="Y66" s="3" t="str">
        <f>IFERROR(__xludf.DUMMYFUNCTION("""COMPUTED_VALUE"""),"Legette")</f>
        <v>Legette</v>
      </c>
      <c r="AA66" s="3">
        <v>42.0</v>
      </c>
      <c r="AB66" s="3">
        <f t="shared" si="7"/>
        <v>1</v>
      </c>
      <c r="AC66" s="3">
        <f t="shared" si="8"/>
        <v>1</v>
      </c>
      <c r="AD66" s="3">
        <f t="shared" si="9"/>
        <v>2.608695652</v>
      </c>
      <c r="AE66" s="3">
        <f t="shared" si="10"/>
        <v>2.608695652</v>
      </c>
      <c r="AF66" s="3">
        <f t="shared" si="11"/>
        <v>1.739130435</v>
      </c>
      <c r="AG66" s="3">
        <f t="shared" si="12"/>
        <v>1.545454545</v>
      </c>
    </row>
    <row r="67">
      <c r="A67" s="1" t="s">
        <v>12</v>
      </c>
      <c r="B67" s="1" t="s">
        <v>520</v>
      </c>
      <c r="C67" s="1" t="s">
        <v>20</v>
      </c>
      <c r="D67" s="1" t="s">
        <v>57</v>
      </c>
      <c r="E67" s="1" t="s">
        <v>134</v>
      </c>
      <c r="F67" s="1" t="s">
        <v>519</v>
      </c>
      <c r="G67" s="1">
        <v>1.5</v>
      </c>
      <c r="H67" s="1" t="s">
        <v>60</v>
      </c>
      <c r="I67" s="1">
        <v>-131.0</v>
      </c>
      <c r="J67" s="1">
        <v>-0.243343554541125</v>
      </c>
      <c r="K67" s="1" t="s">
        <v>61</v>
      </c>
      <c r="L67" s="1" t="s">
        <v>61</v>
      </c>
      <c r="M67" s="1" t="s">
        <v>62</v>
      </c>
      <c r="N67" s="1">
        <v>-101.0</v>
      </c>
      <c r="O67" s="1">
        <v>0.173747421442736</v>
      </c>
      <c r="P67" s="1" t="s">
        <v>61</v>
      </c>
      <c r="Q67" s="1" t="s">
        <v>61</v>
      </c>
      <c r="R67" s="1">
        <f t="shared" si="1"/>
        <v>0.1737474214</v>
      </c>
      <c r="S67" s="1">
        <f t="shared" si="2"/>
        <v>-101</v>
      </c>
      <c r="T67" s="1">
        <f t="shared" si="3"/>
        <v>1.99009901</v>
      </c>
      <c r="U67" s="1">
        <f t="shared" si="4"/>
        <v>0</v>
      </c>
      <c r="V67" s="3">
        <f t="shared" si="5"/>
        <v>3</v>
      </c>
      <c r="W67" s="3">
        <f t="shared" si="6"/>
        <v>2</v>
      </c>
      <c r="X67" s="3" t="str">
        <f>IFERROR(__xludf.DUMMYFUNCTION("split(B67,"" "")"),"T.")</f>
        <v>T.</v>
      </c>
      <c r="Y67" s="3" t="str">
        <f>IFERROR(__xludf.DUMMYFUNCTION("""COMPUTED_VALUE"""),"Tremble")</f>
        <v>Tremble</v>
      </c>
      <c r="AA67" s="3">
        <v>3.0</v>
      </c>
      <c r="AB67" s="3">
        <f t="shared" si="7"/>
        <v>1</v>
      </c>
      <c r="AC67" s="3">
        <f t="shared" si="8"/>
        <v>0</v>
      </c>
      <c r="AD67" s="3">
        <f t="shared" si="9"/>
        <v>2.97029703</v>
      </c>
      <c r="AE67" s="3">
        <f t="shared" si="10"/>
        <v>-3</v>
      </c>
      <c r="AF67" s="3">
        <f t="shared" si="11"/>
        <v>-2</v>
      </c>
      <c r="AG67" s="3">
        <f t="shared" si="12"/>
        <v>-1</v>
      </c>
    </row>
    <row r="68">
      <c r="A68" s="1" t="s">
        <v>12</v>
      </c>
      <c r="B68" s="1" t="s">
        <v>266</v>
      </c>
      <c r="C68" s="1" t="s">
        <v>19</v>
      </c>
      <c r="D68" s="1" t="s">
        <v>57</v>
      </c>
      <c r="E68" s="1" t="s">
        <v>134</v>
      </c>
      <c r="F68" s="1" t="s">
        <v>519</v>
      </c>
      <c r="G68" s="1">
        <v>2.5</v>
      </c>
      <c r="H68" s="1" t="s">
        <v>60</v>
      </c>
      <c r="I68" s="1">
        <v>-104.0</v>
      </c>
      <c r="J68" s="1">
        <v>-0.20744765112745</v>
      </c>
      <c r="K68" s="1" t="s">
        <v>61</v>
      </c>
      <c r="L68" s="1" t="s">
        <v>61</v>
      </c>
      <c r="M68" s="1" t="s">
        <v>62</v>
      </c>
      <c r="N68" s="1">
        <v>-128.0</v>
      </c>
      <c r="O68" s="1">
        <v>0.136246573080701</v>
      </c>
      <c r="P68" s="1" t="s">
        <v>61</v>
      </c>
      <c r="Q68" s="1" t="s">
        <v>61</v>
      </c>
      <c r="R68" s="1">
        <f t="shared" si="1"/>
        <v>0.1362465731</v>
      </c>
      <c r="S68" s="1">
        <f t="shared" si="2"/>
        <v>-128</v>
      </c>
      <c r="T68" s="1">
        <f t="shared" si="3"/>
        <v>1.78125</v>
      </c>
      <c r="U68" s="1">
        <f t="shared" si="4"/>
        <v>0</v>
      </c>
      <c r="V68" s="3">
        <f t="shared" si="5"/>
        <v>3</v>
      </c>
      <c r="W68" s="3">
        <f t="shared" si="6"/>
        <v>3</v>
      </c>
      <c r="X68" s="3" t="str">
        <f>IFERROR(__xludf.DUMMYFUNCTION("split(B68,"" "")"),"C.")</f>
        <v>C.</v>
      </c>
      <c r="Y68" s="3" t="str">
        <f>IFERROR(__xludf.DUMMYFUNCTION("""COMPUTED_VALUE"""),"Hubbard")</f>
        <v>Hubbard</v>
      </c>
      <c r="AA68" s="3">
        <v>5.0</v>
      </c>
      <c r="AB68" s="3">
        <f t="shared" si="7"/>
        <v>1</v>
      </c>
      <c r="AC68" s="3">
        <f t="shared" si="8"/>
        <v>0</v>
      </c>
      <c r="AD68" s="3">
        <f t="shared" si="9"/>
        <v>2.34375</v>
      </c>
      <c r="AE68" s="3">
        <f t="shared" si="10"/>
        <v>-3</v>
      </c>
      <c r="AF68" s="3">
        <f t="shared" si="11"/>
        <v>-3</v>
      </c>
      <c r="AG68" s="3">
        <f t="shared" si="12"/>
        <v>-1</v>
      </c>
    </row>
    <row r="69">
      <c r="A69" s="1" t="s">
        <v>8</v>
      </c>
      <c r="B69" s="1" t="s">
        <v>521</v>
      </c>
      <c r="C69" s="1" t="s">
        <v>19</v>
      </c>
      <c r="D69" s="1" t="s">
        <v>57</v>
      </c>
      <c r="E69" s="1" t="s">
        <v>134</v>
      </c>
      <c r="F69" s="1" t="s">
        <v>519</v>
      </c>
      <c r="G69" s="1">
        <v>6.5</v>
      </c>
      <c r="H69" s="1" t="s">
        <v>60</v>
      </c>
      <c r="I69" s="1">
        <v>-128.0</v>
      </c>
      <c r="J69" s="1">
        <v>-0.211433984946139</v>
      </c>
      <c r="K69" s="1" t="s">
        <v>61</v>
      </c>
      <c r="L69" s="1" t="s">
        <v>61</v>
      </c>
      <c r="M69" s="1" t="s">
        <v>62</v>
      </c>
      <c r="N69" s="1">
        <v>-107.0</v>
      </c>
      <c r="O69" s="1">
        <v>0.133127705156812</v>
      </c>
      <c r="P69" s="1" t="s">
        <v>61</v>
      </c>
      <c r="Q69" s="1" t="s">
        <v>61</v>
      </c>
      <c r="R69" s="1">
        <f t="shared" si="1"/>
        <v>0.1331277052</v>
      </c>
      <c r="S69" s="1">
        <f t="shared" si="2"/>
        <v>-107</v>
      </c>
      <c r="T69" s="1">
        <f t="shared" si="3"/>
        <v>1.934579439</v>
      </c>
      <c r="U69" s="1">
        <f t="shared" si="4"/>
        <v>0</v>
      </c>
      <c r="V69" s="3">
        <f t="shared" si="5"/>
        <v>3</v>
      </c>
      <c r="W69" s="3">
        <f t="shared" si="6"/>
        <v>2</v>
      </c>
      <c r="X69" s="3" t="str">
        <f>IFERROR(__xludf.DUMMYFUNCTION("split(B69,"" "")"),"M.")</f>
        <v>M.</v>
      </c>
      <c r="Y69" s="3" t="str">
        <f>IFERROR(__xludf.DUMMYFUNCTION("""COMPUTED_VALUE"""),"Sanders")</f>
        <v>Sanders</v>
      </c>
      <c r="AA69" s="3">
        <v>7.0</v>
      </c>
      <c r="AB69" s="3">
        <f t="shared" si="7"/>
        <v>1</v>
      </c>
      <c r="AC69" s="3">
        <f t="shared" si="8"/>
        <v>0</v>
      </c>
      <c r="AD69" s="3">
        <f t="shared" si="9"/>
        <v>2.803738318</v>
      </c>
      <c r="AE69" s="3">
        <f t="shared" si="10"/>
        <v>-3</v>
      </c>
      <c r="AF69" s="3">
        <f t="shared" si="11"/>
        <v>-2</v>
      </c>
      <c r="AG69" s="3">
        <f t="shared" si="12"/>
        <v>-0.07692307692</v>
      </c>
    </row>
    <row r="70">
      <c r="A70" s="1" t="s">
        <v>12</v>
      </c>
      <c r="B70" s="1" t="s">
        <v>521</v>
      </c>
      <c r="C70" s="1" t="s">
        <v>19</v>
      </c>
      <c r="D70" s="1" t="s">
        <v>57</v>
      </c>
      <c r="E70" s="1" t="s">
        <v>134</v>
      </c>
      <c r="F70" s="1" t="s">
        <v>519</v>
      </c>
      <c r="G70" s="1">
        <v>1.5</v>
      </c>
      <c r="H70" s="1" t="s">
        <v>60</v>
      </c>
      <c r="I70" s="1">
        <v>-106.0</v>
      </c>
      <c r="J70" s="1">
        <v>-0.170455708334951</v>
      </c>
      <c r="K70" s="1" t="s">
        <v>61</v>
      </c>
      <c r="L70" s="1" t="s">
        <v>61</v>
      </c>
      <c r="M70" s="1" t="s">
        <v>62</v>
      </c>
      <c r="N70" s="1">
        <v>-124.0</v>
      </c>
      <c r="O70" s="1">
        <v>0.102320134540535</v>
      </c>
      <c r="P70" s="1" t="s">
        <v>61</v>
      </c>
      <c r="Q70" s="1" t="s">
        <v>61</v>
      </c>
      <c r="R70" s="1">
        <f t="shared" si="1"/>
        <v>0.1023201345</v>
      </c>
      <c r="S70" s="1">
        <f t="shared" si="2"/>
        <v>-124</v>
      </c>
      <c r="T70" s="1">
        <f t="shared" si="3"/>
        <v>1.806451613</v>
      </c>
      <c r="U70" s="1">
        <f t="shared" si="4"/>
        <v>0</v>
      </c>
      <c r="V70" s="3">
        <f t="shared" si="5"/>
        <v>3</v>
      </c>
      <c r="W70" s="3">
        <f t="shared" si="6"/>
        <v>3</v>
      </c>
      <c r="X70" s="3" t="str">
        <f>IFERROR(__xludf.DUMMYFUNCTION("split(B70,"" "")"),"M.")</f>
        <v>M.</v>
      </c>
      <c r="Y70" s="3" t="str">
        <f>IFERROR(__xludf.DUMMYFUNCTION("""COMPUTED_VALUE"""),"Sanders")</f>
        <v>Sanders</v>
      </c>
      <c r="AA70" s="3">
        <v>2.0</v>
      </c>
      <c r="AB70" s="3">
        <f t="shared" si="7"/>
        <v>1</v>
      </c>
      <c r="AC70" s="3">
        <f t="shared" si="8"/>
        <v>0</v>
      </c>
      <c r="AD70" s="3">
        <f t="shared" si="9"/>
        <v>2.419354839</v>
      </c>
      <c r="AE70" s="3">
        <f t="shared" si="10"/>
        <v>-3</v>
      </c>
      <c r="AF70" s="3">
        <f t="shared" si="11"/>
        <v>-3</v>
      </c>
      <c r="AG70" s="3">
        <f t="shared" si="12"/>
        <v>-0.3333333333</v>
      </c>
    </row>
    <row r="71">
      <c r="A71" s="1" t="s">
        <v>9</v>
      </c>
      <c r="B71" s="1" t="s">
        <v>207</v>
      </c>
      <c r="C71" s="1" t="s">
        <v>18</v>
      </c>
      <c r="D71" s="1" t="s">
        <v>57</v>
      </c>
      <c r="E71" s="1" t="s">
        <v>134</v>
      </c>
      <c r="F71" s="1" t="s">
        <v>519</v>
      </c>
      <c r="G71" s="1">
        <v>20.0</v>
      </c>
      <c r="H71" s="1" t="s">
        <v>60</v>
      </c>
      <c r="I71" s="1">
        <v>-114.0</v>
      </c>
      <c r="J71" s="1">
        <v>0.0917572056997189</v>
      </c>
      <c r="K71" s="1" t="s">
        <v>61</v>
      </c>
      <c r="L71" s="1" t="s">
        <v>61</v>
      </c>
      <c r="M71" s="1" t="s">
        <v>62</v>
      </c>
      <c r="N71" s="1">
        <v>-119.0</v>
      </c>
      <c r="O71" s="1">
        <v>-0.165936063942878</v>
      </c>
      <c r="P71" s="1" t="s">
        <v>61</v>
      </c>
      <c r="Q71" s="1" t="s">
        <v>61</v>
      </c>
      <c r="R71" s="1">
        <f t="shared" si="1"/>
        <v>0.0917572057</v>
      </c>
      <c r="S71" s="1">
        <f t="shared" si="2"/>
        <v>-114</v>
      </c>
      <c r="T71" s="1">
        <f t="shared" si="3"/>
        <v>1.877192982</v>
      </c>
      <c r="U71" s="1">
        <f t="shared" si="4"/>
        <v>1</v>
      </c>
      <c r="V71" s="3">
        <f t="shared" si="5"/>
        <v>2</v>
      </c>
      <c r="W71" s="3">
        <f t="shared" si="6"/>
        <v>2</v>
      </c>
      <c r="X71" s="3" t="str">
        <f>IFERROR(__xludf.DUMMYFUNCTION("split(B71,"" "")"),"J.")</f>
        <v>J.</v>
      </c>
      <c r="Y71" s="3" t="str">
        <f>IFERROR(__xludf.DUMMYFUNCTION("""COMPUTED_VALUE"""),"Mingo")</f>
        <v>Mingo</v>
      </c>
      <c r="AA71" s="3">
        <v>20.0</v>
      </c>
      <c r="AB71" s="3">
        <f t="shared" si="7"/>
        <v>1</v>
      </c>
      <c r="AC71" s="3">
        <f t="shared" si="8"/>
        <v>1</v>
      </c>
      <c r="AD71" s="3">
        <f t="shared" si="9"/>
        <v>1.754385965</v>
      </c>
      <c r="AE71" s="3">
        <f t="shared" si="10"/>
        <v>1.754385965</v>
      </c>
      <c r="AF71" s="3">
        <f t="shared" si="11"/>
        <v>1.754385965</v>
      </c>
      <c r="AG71" s="3">
        <f t="shared" si="12"/>
        <v>0</v>
      </c>
    </row>
    <row r="72">
      <c r="A72" s="1" t="s">
        <v>11</v>
      </c>
      <c r="B72" s="1" t="s">
        <v>521</v>
      </c>
      <c r="C72" s="1" t="s">
        <v>19</v>
      </c>
      <c r="D72" s="1" t="s">
        <v>57</v>
      </c>
      <c r="E72" s="1" t="s">
        <v>134</v>
      </c>
      <c r="F72" s="1" t="s">
        <v>519</v>
      </c>
      <c r="G72" s="1">
        <v>6.5</v>
      </c>
      <c r="H72" s="1" t="s">
        <v>60</v>
      </c>
      <c r="I72" s="1">
        <v>-109.0</v>
      </c>
      <c r="J72" s="1">
        <v>0.0828034726623697</v>
      </c>
      <c r="K72" s="1" t="s">
        <v>61</v>
      </c>
      <c r="L72" s="1" t="s">
        <v>61</v>
      </c>
      <c r="M72" s="1" t="s">
        <v>62</v>
      </c>
      <c r="N72" s="1">
        <v>-117.0</v>
      </c>
      <c r="O72" s="1">
        <v>-0.143496779585849</v>
      </c>
      <c r="P72" s="1" t="s">
        <v>61</v>
      </c>
      <c r="Q72" s="1" t="s">
        <v>61</v>
      </c>
      <c r="R72" s="1">
        <f t="shared" si="1"/>
        <v>0.08280347266</v>
      </c>
      <c r="S72" s="1">
        <f t="shared" si="2"/>
        <v>-109</v>
      </c>
      <c r="T72" s="1">
        <f t="shared" si="3"/>
        <v>1.917431193</v>
      </c>
      <c r="U72" s="1">
        <f t="shared" si="4"/>
        <v>1</v>
      </c>
      <c r="V72" s="3">
        <f t="shared" si="5"/>
        <v>2</v>
      </c>
      <c r="W72" s="3">
        <f t="shared" si="6"/>
        <v>2</v>
      </c>
      <c r="X72" s="3" t="str">
        <f>IFERROR(__xludf.DUMMYFUNCTION("split(B72,"" "")"),"M.")</f>
        <v>M.</v>
      </c>
      <c r="Y72" s="3" t="str">
        <f>IFERROR(__xludf.DUMMYFUNCTION("""COMPUTED_VALUE"""),"Sanders")</f>
        <v>Sanders</v>
      </c>
      <c r="AA72" s="3">
        <v>13.0</v>
      </c>
      <c r="AB72" s="3">
        <f t="shared" si="7"/>
        <v>1</v>
      </c>
      <c r="AC72" s="3">
        <f t="shared" si="8"/>
        <v>1</v>
      </c>
      <c r="AD72" s="3">
        <f t="shared" si="9"/>
        <v>1.834862385</v>
      </c>
      <c r="AE72" s="3">
        <f t="shared" si="10"/>
        <v>1.834862385</v>
      </c>
      <c r="AF72" s="3">
        <f t="shared" si="11"/>
        <v>1.834862385</v>
      </c>
      <c r="AG72" s="3">
        <f t="shared" si="12"/>
        <v>1</v>
      </c>
    </row>
    <row r="73">
      <c r="A73" s="1" t="s">
        <v>10</v>
      </c>
      <c r="B73" s="1" t="s">
        <v>522</v>
      </c>
      <c r="C73" s="1" t="s">
        <v>21</v>
      </c>
      <c r="D73" s="1" t="s">
        <v>57</v>
      </c>
      <c r="E73" s="1" t="s">
        <v>134</v>
      </c>
      <c r="F73" s="1" t="s">
        <v>519</v>
      </c>
      <c r="G73" s="1">
        <v>3.5</v>
      </c>
      <c r="H73" s="1" t="s">
        <v>60</v>
      </c>
      <c r="I73" s="1">
        <v>-111.0</v>
      </c>
      <c r="J73" s="1">
        <v>0.0803479467479739</v>
      </c>
      <c r="K73" s="1" t="s">
        <v>61</v>
      </c>
      <c r="L73" s="1" t="s">
        <v>61</v>
      </c>
      <c r="M73" s="1" t="s">
        <v>62</v>
      </c>
      <c r="N73" s="1">
        <v>-118.0</v>
      </c>
      <c r="O73" s="1">
        <v>-0.147658099914268</v>
      </c>
      <c r="P73" s="1" t="s">
        <v>61</v>
      </c>
      <c r="Q73" s="1" t="s">
        <v>61</v>
      </c>
      <c r="R73" s="1">
        <f t="shared" si="1"/>
        <v>0.08034794675</v>
      </c>
      <c r="S73" s="1">
        <f t="shared" si="2"/>
        <v>-111</v>
      </c>
      <c r="T73" s="1">
        <f t="shared" si="3"/>
        <v>1.900900901</v>
      </c>
      <c r="U73" s="1">
        <f t="shared" si="4"/>
        <v>1</v>
      </c>
      <c r="V73" s="3">
        <f t="shared" si="5"/>
        <v>2</v>
      </c>
      <c r="W73" s="3">
        <f t="shared" si="6"/>
        <v>2</v>
      </c>
      <c r="X73" s="3" t="str">
        <f>IFERROR(__xludf.DUMMYFUNCTION("split(B73,"" "")"),"A.")</f>
        <v>A.</v>
      </c>
      <c r="Y73" s="3" t="str">
        <f>IFERROR(__xludf.DUMMYFUNCTION("""COMPUTED_VALUE"""),"Dalton")</f>
        <v>Dalton</v>
      </c>
      <c r="AA73" s="3">
        <v>-2.0</v>
      </c>
      <c r="AB73" s="3">
        <f t="shared" si="7"/>
        <v>0</v>
      </c>
      <c r="AC73" s="3">
        <f t="shared" si="8"/>
        <v>0</v>
      </c>
      <c r="AD73" s="3">
        <f t="shared" si="9"/>
        <v>1.801801802</v>
      </c>
      <c r="AE73" s="3">
        <f t="shared" si="10"/>
        <v>-2</v>
      </c>
      <c r="AF73" s="3">
        <f t="shared" si="11"/>
        <v>-2</v>
      </c>
      <c r="AG73" s="3">
        <f t="shared" si="12"/>
        <v>-1.571428571</v>
      </c>
    </row>
    <row r="74">
      <c r="A74" s="1" t="s">
        <v>12</v>
      </c>
      <c r="B74" s="1" t="s">
        <v>353</v>
      </c>
      <c r="C74" s="1" t="s">
        <v>18</v>
      </c>
      <c r="D74" s="1" t="s">
        <v>57</v>
      </c>
      <c r="E74" s="1" t="s">
        <v>134</v>
      </c>
      <c r="F74" s="1" t="s">
        <v>519</v>
      </c>
      <c r="G74" s="1">
        <v>3.5</v>
      </c>
      <c r="H74" s="1" t="s">
        <v>60</v>
      </c>
      <c r="I74" s="1">
        <v>-165.0</v>
      </c>
      <c r="J74" s="1">
        <v>-0.144841509433962</v>
      </c>
      <c r="K74" s="1" t="s">
        <v>61</v>
      </c>
      <c r="L74" s="1" t="s">
        <v>61</v>
      </c>
      <c r="M74" s="1" t="s">
        <v>62</v>
      </c>
      <c r="N74" s="1">
        <v>126.0</v>
      </c>
      <c r="O74" s="1">
        <v>0.0797221238938052</v>
      </c>
      <c r="P74" s="1" t="s">
        <v>61</v>
      </c>
      <c r="Q74" s="1" t="s">
        <v>61</v>
      </c>
      <c r="R74" s="1">
        <f t="shared" si="1"/>
        <v>0.07972212389</v>
      </c>
      <c r="S74" s="1">
        <f t="shared" si="2"/>
        <v>126</v>
      </c>
      <c r="T74" s="1">
        <f t="shared" si="3"/>
        <v>2.26</v>
      </c>
      <c r="U74" s="1">
        <f t="shared" si="4"/>
        <v>0</v>
      </c>
      <c r="V74" s="3">
        <f t="shared" si="5"/>
        <v>2</v>
      </c>
      <c r="W74" s="3">
        <f t="shared" si="6"/>
        <v>1</v>
      </c>
      <c r="X74" s="3" t="str">
        <f>IFERROR(__xludf.DUMMYFUNCTION("split(B74,"" "")"),"D.")</f>
        <v>D.</v>
      </c>
      <c r="Y74" s="3" t="str">
        <f>IFERROR(__xludf.DUMMYFUNCTION("""COMPUTED_VALUE"""),"Johnson")</f>
        <v>Johnson</v>
      </c>
      <c r="AA74" s="3">
        <v>8.0</v>
      </c>
      <c r="AB74" s="3">
        <f t="shared" si="7"/>
        <v>1</v>
      </c>
      <c r="AC74" s="3">
        <f t="shared" si="8"/>
        <v>0</v>
      </c>
      <c r="AD74" s="3">
        <f t="shared" si="9"/>
        <v>2.52</v>
      </c>
      <c r="AE74" s="3">
        <f t="shared" si="10"/>
        <v>-2</v>
      </c>
      <c r="AF74" s="3">
        <f t="shared" si="11"/>
        <v>-1</v>
      </c>
      <c r="AG74" s="3">
        <f t="shared" si="12"/>
        <v>-1.285714286</v>
      </c>
    </row>
    <row r="75">
      <c r="A75" s="1" t="s">
        <v>8</v>
      </c>
      <c r="B75" s="1" t="s">
        <v>266</v>
      </c>
      <c r="C75" s="1" t="s">
        <v>19</v>
      </c>
      <c r="D75" s="1" t="s">
        <v>57</v>
      </c>
      <c r="E75" s="1" t="s">
        <v>134</v>
      </c>
      <c r="F75" s="1" t="s">
        <v>519</v>
      </c>
      <c r="G75" s="1">
        <v>13.5</v>
      </c>
      <c r="H75" s="1" t="s">
        <v>60</v>
      </c>
      <c r="I75" s="1">
        <v>-132.0</v>
      </c>
      <c r="J75" s="1">
        <v>-0.1438063181625</v>
      </c>
      <c r="K75" s="1" t="s">
        <v>61</v>
      </c>
      <c r="L75" s="1" t="s">
        <v>61</v>
      </c>
      <c r="M75" s="1" t="s">
        <v>62</v>
      </c>
      <c r="N75" s="1">
        <v>100.0</v>
      </c>
      <c r="O75" s="1">
        <v>0.0748473290685</v>
      </c>
      <c r="P75" s="1" t="s">
        <v>61</v>
      </c>
      <c r="Q75" s="1" t="s">
        <v>61</v>
      </c>
      <c r="R75" s="1">
        <f t="shared" si="1"/>
        <v>0.07484732907</v>
      </c>
      <c r="S75" s="1">
        <f t="shared" si="2"/>
        <v>100</v>
      </c>
      <c r="T75" s="1">
        <f t="shared" si="3"/>
        <v>2</v>
      </c>
      <c r="U75" s="1">
        <f t="shared" si="4"/>
        <v>0</v>
      </c>
      <c r="V75" s="3">
        <f t="shared" si="5"/>
        <v>2</v>
      </c>
      <c r="W75" s="3">
        <f t="shared" si="6"/>
        <v>2</v>
      </c>
      <c r="X75" s="3" t="str">
        <f>IFERROR(__xludf.DUMMYFUNCTION("split(B75,"" "")"),"C.")</f>
        <v>C.</v>
      </c>
      <c r="Y75" s="3" t="str">
        <f>IFERROR(__xludf.DUMMYFUNCTION("""COMPUTED_VALUE"""),"Hubbard")</f>
        <v>Hubbard</v>
      </c>
      <c r="AA75" s="3">
        <v>21.0</v>
      </c>
      <c r="AB75" s="3">
        <f t="shared" si="7"/>
        <v>1</v>
      </c>
      <c r="AC75" s="3">
        <f t="shared" si="8"/>
        <v>0</v>
      </c>
      <c r="AD75" s="3">
        <f t="shared" si="9"/>
        <v>2</v>
      </c>
      <c r="AE75" s="3">
        <f t="shared" si="10"/>
        <v>-2</v>
      </c>
      <c r="AF75" s="3">
        <f t="shared" si="11"/>
        <v>-2</v>
      </c>
      <c r="AG75" s="3">
        <f t="shared" si="12"/>
        <v>-0.5555555556</v>
      </c>
    </row>
    <row r="76">
      <c r="A76" s="1" t="s">
        <v>12</v>
      </c>
      <c r="B76" s="1" t="s">
        <v>523</v>
      </c>
      <c r="C76" s="1" t="s">
        <v>20</v>
      </c>
      <c r="D76" s="1" t="s">
        <v>57</v>
      </c>
      <c r="E76" s="1" t="s">
        <v>134</v>
      </c>
      <c r="F76" s="1" t="s">
        <v>519</v>
      </c>
      <c r="G76" s="1">
        <v>1.5</v>
      </c>
      <c r="H76" s="1" t="s">
        <v>60</v>
      </c>
      <c r="I76" s="1">
        <v>-104.0</v>
      </c>
      <c r="J76" s="1">
        <v>-0.138444370965686</v>
      </c>
      <c r="K76" s="1" t="s">
        <v>61</v>
      </c>
      <c r="L76" s="1" t="s">
        <v>61</v>
      </c>
      <c r="M76" s="1" t="s">
        <v>62</v>
      </c>
      <c r="N76" s="1">
        <v>-126.0</v>
      </c>
      <c r="O76" s="1">
        <v>0.0711101465177875</v>
      </c>
      <c r="P76" s="1" t="s">
        <v>61</v>
      </c>
      <c r="Q76" s="1" t="s">
        <v>61</v>
      </c>
      <c r="R76" s="1">
        <f t="shared" si="1"/>
        <v>0.07111014652</v>
      </c>
      <c r="S76" s="1">
        <f t="shared" si="2"/>
        <v>-126</v>
      </c>
      <c r="T76" s="1">
        <f t="shared" si="3"/>
        <v>1.793650794</v>
      </c>
      <c r="U76" s="1">
        <f t="shared" si="4"/>
        <v>0</v>
      </c>
      <c r="V76" s="3">
        <f t="shared" si="5"/>
        <v>2</v>
      </c>
      <c r="W76" s="3">
        <f t="shared" si="6"/>
        <v>3</v>
      </c>
      <c r="X76" s="3" t="str">
        <f>IFERROR(__xludf.DUMMYFUNCTION("split(B76,"" "")"),"J.")</f>
        <v>J.</v>
      </c>
      <c r="Y76" s="3" t="str">
        <f>IFERROR(__xludf.DUMMYFUNCTION("""COMPUTED_VALUE"""),"Sanders")</f>
        <v>Sanders</v>
      </c>
      <c r="AA76" s="3">
        <v>2.0</v>
      </c>
      <c r="AB76" s="3">
        <f t="shared" si="7"/>
        <v>1</v>
      </c>
      <c r="AC76" s="3">
        <f t="shared" si="8"/>
        <v>0</v>
      </c>
      <c r="AD76" s="3">
        <f t="shared" si="9"/>
        <v>1.587301587</v>
      </c>
      <c r="AE76" s="3">
        <f t="shared" si="10"/>
        <v>-2</v>
      </c>
      <c r="AF76" s="3">
        <f t="shared" si="11"/>
        <v>-3</v>
      </c>
      <c r="AG76" s="3">
        <f t="shared" si="12"/>
        <v>-0.3333333333</v>
      </c>
    </row>
    <row r="77">
      <c r="A77" s="1" t="s">
        <v>14</v>
      </c>
      <c r="B77" s="1" t="s">
        <v>522</v>
      </c>
      <c r="C77" s="1" t="s">
        <v>21</v>
      </c>
      <c r="D77" s="1" t="s">
        <v>57</v>
      </c>
      <c r="E77" s="1" t="s">
        <v>134</v>
      </c>
      <c r="F77" s="1" t="s">
        <v>519</v>
      </c>
      <c r="G77" s="1">
        <v>1.5</v>
      </c>
      <c r="H77" s="1" t="s">
        <v>60</v>
      </c>
      <c r="I77" s="1">
        <v>199.0</v>
      </c>
      <c r="J77" s="1">
        <v>0.0700183946488294</v>
      </c>
      <c r="K77" s="1" t="s">
        <v>61</v>
      </c>
      <c r="L77" s="1" t="s">
        <v>61</v>
      </c>
      <c r="M77" s="1" t="s">
        <v>62</v>
      </c>
      <c r="N77" s="1">
        <v>-265.0</v>
      </c>
      <c r="O77" s="1">
        <v>-0.130499999999999</v>
      </c>
      <c r="P77" s="1" t="s">
        <v>61</v>
      </c>
      <c r="Q77" s="1" t="s">
        <v>61</v>
      </c>
      <c r="R77" s="1">
        <f t="shared" si="1"/>
        <v>0.07001839465</v>
      </c>
      <c r="S77" s="1">
        <f t="shared" si="2"/>
        <v>199</v>
      </c>
      <c r="T77" s="1">
        <f t="shared" si="3"/>
        <v>2.99</v>
      </c>
      <c r="U77" s="1">
        <f t="shared" si="4"/>
        <v>1</v>
      </c>
      <c r="V77" s="3">
        <f t="shared" si="5"/>
        <v>2</v>
      </c>
      <c r="W77" s="3">
        <f t="shared" si="6"/>
        <v>1</v>
      </c>
      <c r="X77" s="3" t="str">
        <f>IFERROR(__xludf.DUMMYFUNCTION("split(B77,"" "")"),"A.")</f>
        <v>A.</v>
      </c>
      <c r="Y77" s="3" t="str">
        <f>IFERROR(__xludf.DUMMYFUNCTION("""COMPUTED_VALUE"""),"Dalton")</f>
        <v>Dalton</v>
      </c>
      <c r="AA77" s="3">
        <v>3.0</v>
      </c>
      <c r="AB77" s="3">
        <f t="shared" si="7"/>
        <v>1</v>
      </c>
      <c r="AC77" s="3">
        <f t="shared" si="8"/>
        <v>1</v>
      </c>
      <c r="AD77" s="3">
        <f t="shared" si="9"/>
        <v>3.98</v>
      </c>
      <c r="AE77" s="3">
        <f t="shared" si="10"/>
        <v>3.98</v>
      </c>
      <c r="AF77" s="3">
        <f t="shared" si="11"/>
        <v>1.99</v>
      </c>
      <c r="AG77" s="3">
        <f t="shared" si="12"/>
        <v>1</v>
      </c>
    </row>
    <row r="78">
      <c r="A78" s="1" t="s">
        <v>11</v>
      </c>
      <c r="B78" s="1" t="s">
        <v>116</v>
      </c>
      <c r="C78" s="1" t="s">
        <v>18</v>
      </c>
      <c r="D78" s="1" t="s">
        <v>57</v>
      </c>
      <c r="E78" s="1" t="s">
        <v>134</v>
      </c>
      <c r="F78" s="1" t="s">
        <v>519</v>
      </c>
      <c r="G78" s="1">
        <v>44.5</v>
      </c>
      <c r="H78" s="1" t="s">
        <v>60</v>
      </c>
      <c r="I78" s="1">
        <v>-111.0</v>
      </c>
      <c r="J78" s="1">
        <v>-0.136309201750947</v>
      </c>
      <c r="K78" s="1" t="s">
        <v>61</v>
      </c>
      <c r="L78" s="1" t="s">
        <v>61</v>
      </c>
      <c r="M78" s="1" t="s">
        <v>62</v>
      </c>
      <c r="N78" s="1">
        <v>-118.0</v>
      </c>
      <c r="O78" s="1">
        <v>0.068949879523055</v>
      </c>
      <c r="P78" s="1" t="s">
        <v>61</v>
      </c>
      <c r="Q78" s="1" t="s">
        <v>61</v>
      </c>
      <c r="R78" s="1">
        <f t="shared" si="1"/>
        <v>0.06894987952</v>
      </c>
      <c r="S78" s="1">
        <f t="shared" si="2"/>
        <v>-118</v>
      </c>
      <c r="T78" s="1">
        <f t="shared" si="3"/>
        <v>1.847457627</v>
      </c>
      <c r="U78" s="1">
        <f t="shared" si="4"/>
        <v>0</v>
      </c>
      <c r="V78" s="3">
        <f t="shared" si="5"/>
        <v>2</v>
      </c>
      <c r="W78" s="3">
        <f t="shared" si="6"/>
        <v>3</v>
      </c>
      <c r="X78" s="3" t="str">
        <f>IFERROR(__xludf.DUMMYFUNCTION("split(B78,"" "")"),"A.")</f>
        <v>A.</v>
      </c>
      <c r="Y78" s="3" t="str">
        <f>IFERROR(__xludf.DUMMYFUNCTION("""COMPUTED_VALUE"""),"Thielen")</f>
        <v>Thielen</v>
      </c>
      <c r="AA78" s="3">
        <v>40.0</v>
      </c>
      <c r="AB78" s="3">
        <f t="shared" si="7"/>
        <v>0</v>
      </c>
      <c r="AC78" s="3">
        <f t="shared" si="8"/>
        <v>1</v>
      </c>
      <c r="AD78" s="3">
        <f t="shared" si="9"/>
        <v>1.694915254</v>
      </c>
      <c r="AE78" s="3">
        <f t="shared" si="10"/>
        <v>1.694915254</v>
      </c>
      <c r="AF78" s="3">
        <f t="shared" si="11"/>
        <v>2.542372881</v>
      </c>
      <c r="AG78" s="3">
        <f t="shared" si="12"/>
        <v>0.1011235955</v>
      </c>
    </row>
    <row r="79">
      <c r="A79" s="1" t="s">
        <v>12</v>
      </c>
      <c r="B79" s="1" t="s">
        <v>357</v>
      </c>
      <c r="C79" s="1" t="s">
        <v>18</v>
      </c>
      <c r="D79" s="1" t="s">
        <v>57</v>
      </c>
      <c r="E79" s="1" t="s">
        <v>134</v>
      </c>
      <c r="F79" s="1" t="s">
        <v>519</v>
      </c>
      <c r="G79" s="1">
        <v>1.5</v>
      </c>
      <c r="H79" s="1" t="s">
        <v>60</v>
      </c>
      <c r="I79" s="1">
        <v>-121.0</v>
      </c>
      <c r="J79" s="1">
        <v>-0.137955133117647</v>
      </c>
      <c r="K79" s="1" t="s">
        <v>61</v>
      </c>
      <c r="L79" s="1" t="s">
        <v>61</v>
      </c>
      <c r="M79" s="1" t="s">
        <v>62</v>
      </c>
      <c r="N79" s="1">
        <v>-109.0</v>
      </c>
      <c r="O79" s="1">
        <v>0.0689194067785168</v>
      </c>
      <c r="P79" s="1" t="s">
        <v>61</v>
      </c>
      <c r="Q79" s="1" t="s">
        <v>61</v>
      </c>
      <c r="R79" s="1">
        <f t="shared" si="1"/>
        <v>0.06891940678</v>
      </c>
      <c r="S79" s="1">
        <f t="shared" si="2"/>
        <v>-109</v>
      </c>
      <c r="T79" s="1">
        <f t="shared" si="3"/>
        <v>1.917431193</v>
      </c>
      <c r="U79" s="1">
        <f t="shared" si="4"/>
        <v>0</v>
      </c>
      <c r="V79" s="3">
        <f t="shared" si="5"/>
        <v>2</v>
      </c>
      <c r="W79" s="3">
        <f t="shared" si="6"/>
        <v>2</v>
      </c>
      <c r="X79" s="3" t="str">
        <f>IFERROR(__xludf.DUMMYFUNCTION("split(B79,"" "")"),"X.")</f>
        <v>X.</v>
      </c>
      <c r="Y79" s="3" t="str">
        <f>IFERROR(__xludf.DUMMYFUNCTION("""COMPUTED_VALUE"""),"Legette")</f>
        <v>Legette</v>
      </c>
      <c r="AA79" s="3">
        <v>2.0</v>
      </c>
      <c r="AB79" s="3">
        <f t="shared" si="7"/>
        <v>1</v>
      </c>
      <c r="AC79" s="3">
        <f t="shared" si="8"/>
        <v>0</v>
      </c>
      <c r="AD79" s="3">
        <f t="shared" si="9"/>
        <v>1.834862385</v>
      </c>
      <c r="AE79" s="3">
        <f t="shared" si="10"/>
        <v>-2</v>
      </c>
      <c r="AF79" s="3">
        <f t="shared" si="11"/>
        <v>-2</v>
      </c>
      <c r="AG79" s="3">
        <f t="shared" si="12"/>
        <v>-0.3333333333</v>
      </c>
    </row>
    <row r="80">
      <c r="A80" s="1" t="s">
        <v>17</v>
      </c>
      <c r="B80" s="1" t="s">
        <v>522</v>
      </c>
      <c r="C80" s="1" t="s">
        <v>21</v>
      </c>
      <c r="D80" s="1" t="s">
        <v>57</v>
      </c>
      <c r="E80" s="1" t="s">
        <v>134</v>
      </c>
      <c r="F80" s="1" t="s">
        <v>519</v>
      </c>
      <c r="G80" s="1">
        <v>0.5</v>
      </c>
      <c r="H80" s="1" t="s">
        <v>60</v>
      </c>
      <c r="I80" s="1">
        <v>-135.0</v>
      </c>
      <c r="J80" s="1">
        <v>-0.126168085106382</v>
      </c>
      <c r="K80" s="1" t="s">
        <v>61</v>
      </c>
      <c r="L80" s="1" t="s">
        <v>61</v>
      </c>
      <c r="M80" s="1" t="s">
        <v>62</v>
      </c>
      <c r="N80" s="1">
        <v>103.0</v>
      </c>
      <c r="O80" s="1">
        <v>0.0590891625615764</v>
      </c>
      <c r="P80" s="1" t="s">
        <v>61</v>
      </c>
      <c r="Q80" s="1" t="s">
        <v>61</v>
      </c>
      <c r="R80" s="1">
        <f t="shared" si="1"/>
        <v>0.05908916256</v>
      </c>
      <c r="S80" s="1">
        <f t="shared" si="2"/>
        <v>103</v>
      </c>
      <c r="T80" s="1">
        <f t="shared" si="3"/>
        <v>2.03</v>
      </c>
      <c r="U80" s="1">
        <f t="shared" si="4"/>
        <v>0</v>
      </c>
      <c r="V80" s="3">
        <f t="shared" si="5"/>
        <v>2</v>
      </c>
      <c r="W80" s="3">
        <f t="shared" si="6"/>
        <v>2</v>
      </c>
      <c r="X80" s="3" t="str">
        <f>IFERROR(__xludf.DUMMYFUNCTION("split(B80,"" "")"),"A.")</f>
        <v>A.</v>
      </c>
      <c r="Y80" s="3" t="str">
        <f>IFERROR(__xludf.DUMMYFUNCTION("""COMPUTED_VALUE"""),"Dalton")</f>
        <v>Dalton</v>
      </c>
      <c r="AA80" s="3">
        <v>0.0</v>
      </c>
      <c r="AB80" s="3">
        <f t="shared" si="7"/>
        <v>0</v>
      </c>
      <c r="AC80" s="3">
        <f t="shared" si="8"/>
        <v>1</v>
      </c>
      <c r="AD80" s="3">
        <f t="shared" si="9"/>
        <v>2.06</v>
      </c>
      <c r="AE80" s="3">
        <f t="shared" si="10"/>
        <v>2.06</v>
      </c>
      <c r="AF80" s="3">
        <f t="shared" si="11"/>
        <v>2.06</v>
      </c>
      <c r="AG80" s="3">
        <f t="shared" si="12"/>
        <v>1</v>
      </c>
    </row>
    <row r="81">
      <c r="A81" s="1" t="s">
        <v>15</v>
      </c>
      <c r="B81" s="1" t="s">
        <v>522</v>
      </c>
      <c r="C81" s="1" t="s">
        <v>21</v>
      </c>
      <c r="D81" s="1" t="s">
        <v>57</v>
      </c>
      <c r="E81" s="1" t="s">
        <v>134</v>
      </c>
      <c r="F81" s="1" t="s">
        <v>519</v>
      </c>
      <c r="G81" s="1">
        <v>19.5</v>
      </c>
      <c r="H81" s="1" t="s">
        <v>60</v>
      </c>
      <c r="I81" s="1">
        <v>-123.0</v>
      </c>
      <c r="J81" s="1">
        <v>-0.111668212600896</v>
      </c>
      <c r="K81" s="1" t="s">
        <v>61</v>
      </c>
      <c r="L81" s="1" t="s">
        <v>61</v>
      </c>
      <c r="M81" s="1" t="s">
        <v>62</v>
      </c>
      <c r="N81" s="1">
        <v>-107.0</v>
      </c>
      <c r="O81" s="1">
        <v>0.043190295694203</v>
      </c>
      <c r="P81" s="1" t="s">
        <v>61</v>
      </c>
      <c r="Q81" s="1" t="s">
        <v>61</v>
      </c>
      <c r="R81" s="1">
        <f t="shared" si="1"/>
        <v>0.04319029569</v>
      </c>
      <c r="S81" s="1">
        <f t="shared" si="2"/>
        <v>-107</v>
      </c>
      <c r="T81" s="1">
        <f t="shared" si="3"/>
        <v>1.934579439</v>
      </c>
      <c r="U81" s="1">
        <f t="shared" si="4"/>
        <v>0</v>
      </c>
      <c r="V81" s="3">
        <f t="shared" si="5"/>
        <v>1</v>
      </c>
      <c r="W81" s="3">
        <f t="shared" si="6"/>
        <v>2</v>
      </c>
      <c r="X81" s="3" t="str">
        <f>IFERROR(__xludf.DUMMYFUNCTION("split(B81,"" "")"),"A.")</f>
        <v>A.</v>
      </c>
      <c r="Y81" s="3" t="str">
        <f>IFERROR(__xludf.DUMMYFUNCTION("""COMPUTED_VALUE"""),"Dalton")</f>
        <v>Dalton</v>
      </c>
      <c r="AA81" s="3">
        <v>26.0</v>
      </c>
      <c r="AB81" s="3">
        <f t="shared" si="7"/>
        <v>1</v>
      </c>
      <c r="AC81" s="3">
        <f t="shared" si="8"/>
        <v>0</v>
      </c>
      <c r="AD81" s="3">
        <f t="shared" si="9"/>
        <v>0.9345794393</v>
      </c>
      <c r="AE81" s="3">
        <f t="shared" si="10"/>
        <v>-1</v>
      </c>
      <c r="AF81" s="3">
        <f t="shared" si="11"/>
        <v>-2</v>
      </c>
      <c r="AG81" s="3">
        <f t="shared" si="12"/>
        <v>-0.3333333333</v>
      </c>
    </row>
    <row r="82">
      <c r="A82" s="1" t="s">
        <v>16</v>
      </c>
      <c r="B82" s="1" t="s">
        <v>522</v>
      </c>
      <c r="C82" s="1" t="s">
        <v>21</v>
      </c>
      <c r="D82" s="1" t="s">
        <v>57</v>
      </c>
      <c r="E82" s="1" t="s">
        <v>134</v>
      </c>
      <c r="F82" s="1" t="s">
        <v>519</v>
      </c>
      <c r="G82" s="1">
        <v>31.5</v>
      </c>
      <c r="H82" s="1" t="s">
        <v>60</v>
      </c>
      <c r="I82" s="1">
        <v>-128.0</v>
      </c>
      <c r="J82" s="1">
        <v>-0.0989719298245613</v>
      </c>
      <c r="K82" s="1" t="s">
        <v>61</v>
      </c>
      <c r="L82" s="1" t="s">
        <v>61</v>
      </c>
      <c r="M82" s="1" t="s">
        <v>62</v>
      </c>
      <c r="N82" s="1">
        <v>-103.0</v>
      </c>
      <c r="O82" s="1">
        <v>0.0301586206896551</v>
      </c>
      <c r="P82" s="1" t="s">
        <v>61</v>
      </c>
      <c r="Q82" s="1" t="s">
        <v>61</v>
      </c>
      <c r="R82" s="1">
        <f t="shared" si="1"/>
        <v>0.03015862069</v>
      </c>
      <c r="S82" s="1">
        <f t="shared" si="2"/>
        <v>-103</v>
      </c>
      <c r="T82" s="1">
        <f t="shared" si="3"/>
        <v>1.970873786</v>
      </c>
      <c r="U82" s="1">
        <f t="shared" si="4"/>
        <v>0</v>
      </c>
      <c r="V82" s="3">
        <f t="shared" si="5"/>
        <v>1</v>
      </c>
      <c r="W82" s="3">
        <f t="shared" si="6"/>
        <v>2</v>
      </c>
      <c r="X82" s="3" t="str">
        <f>IFERROR(__xludf.DUMMYFUNCTION("split(B82,"" "")"),"A.")</f>
        <v>A.</v>
      </c>
      <c r="Y82" s="3" t="str">
        <f>IFERROR(__xludf.DUMMYFUNCTION("""COMPUTED_VALUE"""),"Dalton")</f>
        <v>Dalton</v>
      </c>
      <c r="AA82" s="3">
        <v>37.0</v>
      </c>
      <c r="AB82" s="3">
        <f t="shared" si="7"/>
        <v>1</v>
      </c>
      <c r="AC82" s="3">
        <f t="shared" si="8"/>
        <v>0</v>
      </c>
      <c r="AD82" s="3">
        <f t="shared" si="9"/>
        <v>0.9708737864</v>
      </c>
      <c r="AE82" s="3">
        <f t="shared" si="10"/>
        <v>-1</v>
      </c>
      <c r="AF82" s="3">
        <f t="shared" si="11"/>
        <v>-2</v>
      </c>
      <c r="AG82" s="3">
        <f t="shared" si="12"/>
        <v>-0.1746031746</v>
      </c>
    </row>
    <row r="83">
      <c r="A83" s="1" t="s">
        <v>9</v>
      </c>
      <c r="B83" s="1" t="s">
        <v>266</v>
      </c>
      <c r="C83" s="1" t="s">
        <v>19</v>
      </c>
      <c r="D83" s="1" t="s">
        <v>57</v>
      </c>
      <c r="E83" s="1" t="s">
        <v>134</v>
      </c>
      <c r="F83" s="1" t="s">
        <v>519</v>
      </c>
      <c r="G83" s="1">
        <v>71.5</v>
      </c>
      <c r="H83" s="1" t="s">
        <v>60</v>
      </c>
      <c r="I83" s="1">
        <v>-116.0</v>
      </c>
      <c r="J83" s="1">
        <v>-0.103206517560997</v>
      </c>
      <c r="K83" s="1" t="s">
        <v>61</v>
      </c>
      <c r="L83" s="1" t="s">
        <v>61</v>
      </c>
      <c r="M83" s="1" t="s">
        <v>62</v>
      </c>
      <c r="N83" s="1">
        <v>-116.0</v>
      </c>
      <c r="O83" s="1">
        <v>0.0291275603707567</v>
      </c>
      <c r="P83" s="1" t="s">
        <v>61</v>
      </c>
      <c r="Q83" s="1" t="s">
        <v>61</v>
      </c>
      <c r="R83" s="1">
        <f t="shared" si="1"/>
        <v>0.02912756037</v>
      </c>
      <c r="S83" s="1">
        <f t="shared" si="2"/>
        <v>-116</v>
      </c>
      <c r="T83" s="1">
        <f t="shared" si="3"/>
        <v>1.862068966</v>
      </c>
      <c r="U83" s="1">
        <f t="shared" si="4"/>
        <v>0</v>
      </c>
      <c r="V83" s="3">
        <f t="shared" si="5"/>
        <v>1</v>
      </c>
      <c r="W83" s="3">
        <f t="shared" si="6"/>
        <v>2</v>
      </c>
      <c r="X83" s="3" t="str">
        <f>IFERROR(__xludf.DUMMYFUNCTION("split(B83,"" "")"),"C.")</f>
        <v>C.</v>
      </c>
      <c r="Y83" s="3" t="str">
        <f>IFERROR(__xludf.DUMMYFUNCTION("""COMPUTED_VALUE"""),"Hubbard")</f>
        <v>Hubbard</v>
      </c>
      <c r="AA83" s="3">
        <v>169.0</v>
      </c>
      <c r="AB83" s="3">
        <f t="shared" si="7"/>
        <v>1</v>
      </c>
      <c r="AC83" s="3">
        <f t="shared" si="8"/>
        <v>0</v>
      </c>
      <c r="AD83" s="3">
        <f t="shared" si="9"/>
        <v>0.8620689655</v>
      </c>
      <c r="AE83" s="3">
        <f t="shared" si="10"/>
        <v>-1</v>
      </c>
      <c r="AF83" s="3">
        <f t="shared" si="11"/>
        <v>-2</v>
      </c>
      <c r="AG83" s="3">
        <f t="shared" si="12"/>
        <v>-1.363636364</v>
      </c>
    </row>
    <row r="84">
      <c r="A84" s="1" t="s">
        <v>10</v>
      </c>
      <c r="B84" s="1" t="s">
        <v>266</v>
      </c>
      <c r="C84" s="1" t="s">
        <v>19</v>
      </c>
      <c r="D84" s="1" t="s">
        <v>57</v>
      </c>
      <c r="E84" s="1" t="s">
        <v>134</v>
      </c>
      <c r="F84" s="1" t="s">
        <v>519</v>
      </c>
      <c r="G84" s="1">
        <v>53.5</v>
      </c>
      <c r="H84" s="1" t="s">
        <v>60</v>
      </c>
      <c r="I84" s="1">
        <v>-114.0</v>
      </c>
      <c r="J84" s="1">
        <v>-0.0899197733114873</v>
      </c>
      <c r="K84" s="1" t="s">
        <v>61</v>
      </c>
      <c r="L84" s="1" t="s">
        <v>61</v>
      </c>
      <c r="M84" s="1" t="s">
        <v>62</v>
      </c>
      <c r="N84" s="1">
        <v>-113.0</v>
      </c>
      <c r="O84" s="1">
        <v>0.026665028221961</v>
      </c>
      <c r="P84" s="1" t="s">
        <v>61</v>
      </c>
      <c r="Q84" s="1" t="s">
        <v>61</v>
      </c>
      <c r="R84" s="1">
        <f t="shared" si="1"/>
        <v>0.02666502822</v>
      </c>
      <c r="S84" s="1">
        <f t="shared" si="2"/>
        <v>-113</v>
      </c>
      <c r="T84" s="1">
        <f t="shared" si="3"/>
        <v>1.884955752</v>
      </c>
      <c r="U84" s="1">
        <f t="shared" si="4"/>
        <v>0</v>
      </c>
      <c r="V84" s="3">
        <f t="shared" si="5"/>
        <v>1</v>
      </c>
      <c r="W84" s="3">
        <f t="shared" si="6"/>
        <v>2</v>
      </c>
      <c r="X84" s="3" t="str">
        <f>IFERROR(__xludf.DUMMYFUNCTION("split(B84,"" "")"),"C.")</f>
        <v>C.</v>
      </c>
      <c r="Y84" s="3" t="str">
        <f>IFERROR(__xludf.DUMMYFUNCTION("""COMPUTED_VALUE"""),"Hubbard")</f>
        <v>Hubbard</v>
      </c>
      <c r="AA84" s="3">
        <v>114.0</v>
      </c>
      <c r="AB84" s="3">
        <f t="shared" si="7"/>
        <v>1</v>
      </c>
      <c r="AC84" s="3">
        <f t="shared" si="8"/>
        <v>0</v>
      </c>
      <c r="AD84" s="3">
        <f t="shared" si="9"/>
        <v>0.8849557522</v>
      </c>
      <c r="AE84" s="3">
        <f t="shared" si="10"/>
        <v>-1</v>
      </c>
      <c r="AF84" s="3">
        <f t="shared" si="11"/>
        <v>-2</v>
      </c>
      <c r="AG84" s="3">
        <f t="shared" si="12"/>
        <v>-1.130841121</v>
      </c>
    </row>
    <row r="85">
      <c r="A85" s="1" t="s">
        <v>9</v>
      </c>
      <c r="B85" s="1" t="s">
        <v>521</v>
      </c>
      <c r="C85" s="1" t="s">
        <v>19</v>
      </c>
      <c r="D85" s="1" t="s">
        <v>57</v>
      </c>
      <c r="E85" s="1" t="s">
        <v>134</v>
      </c>
      <c r="F85" s="1" t="s">
        <v>519</v>
      </c>
      <c r="G85" s="1">
        <v>31.5</v>
      </c>
      <c r="H85" s="1" t="s">
        <v>60</v>
      </c>
      <c r="I85" s="1">
        <v>-120.0</v>
      </c>
      <c r="J85" s="1">
        <v>0.0250015192501358</v>
      </c>
      <c r="K85" s="1" t="s">
        <v>61</v>
      </c>
      <c r="L85" s="1" t="s">
        <v>61</v>
      </c>
      <c r="M85" s="1" t="s">
        <v>62</v>
      </c>
      <c r="N85" s="1">
        <v>-113.0</v>
      </c>
      <c r="O85" s="1">
        <v>-0.100965153453444</v>
      </c>
      <c r="P85" s="1" t="s">
        <v>61</v>
      </c>
      <c r="Q85" s="1" t="s">
        <v>61</v>
      </c>
      <c r="R85" s="1">
        <f t="shared" si="1"/>
        <v>0.02500151925</v>
      </c>
      <c r="S85" s="1">
        <f t="shared" si="2"/>
        <v>-120</v>
      </c>
      <c r="T85" s="1">
        <f t="shared" si="3"/>
        <v>1.833333333</v>
      </c>
      <c r="U85" s="1">
        <f t="shared" si="4"/>
        <v>1</v>
      </c>
      <c r="V85" s="3">
        <f t="shared" si="5"/>
        <v>1</v>
      </c>
      <c r="W85" s="3">
        <f t="shared" si="6"/>
        <v>3</v>
      </c>
      <c r="X85" s="3" t="str">
        <f>IFERROR(__xludf.DUMMYFUNCTION("split(B85,"" "")"),"M.")</f>
        <v>M.</v>
      </c>
      <c r="Y85" s="3" t="str">
        <f>IFERROR(__xludf.DUMMYFUNCTION("""COMPUTED_VALUE"""),"Sanders")</f>
        <v>Sanders</v>
      </c>
      <c r="AA85" s="3">
        <v>30.0</v>
      </c>
      <c r="AB85" s="3">
        <f t="shared" si="7"/>
        <v>0</v>
      </c>
      <c r="AC85" s="3">
        <f t="shared" si="8"/>
        <v>0</v>
      </c>
      <c r="AD85" s="3">
        <f t="shared" si="9"/>
        <v>0.8333333333</v>
      </c>
      <c r="AE85" s="3">
        <f t="shared" si="10"/>
        <v>-1</v>
      </c>
      <c r="AF85" s="3">
        <f t="shared" si="11"/>
        <v>-3</v>
      </c>
      <c r="AG85" s="3">
        <f t="shared" si="12"/>
        <v>-0.04761904762</v>
      </c>
    </row>
    <row r="86">
      <c r="A86" s="1" t="s">
        <v>12</v>
      </c>
      <c r="B86" s="1" t="s">
        <v>116</v>
      </c>
      <c r="C86" s="1" t="s">
        <v>18</v>
      </c>
      <c r="D86" s="1" t="s">
        <v>57</v>
      </c>
      <c r="E86" s="1" t="s">
        <v>134</v>
      </c>
      <c r="F86" s="1" t="s">
        <v>519</v>
      </c>
      <c r="G86" s="1">
        <v>4.5</v>
      </c>
      <c r="H86" s="1" t="s">
        <v>60</v>
      </c>
      <c r="I86" s="1">
        <v>127.0</v>
      </c>
      <c r="J86" s="1">
        <v>-0.0876167400881057</v>
      </c>
      <c r="K86" s="1" t="s">
        <v>61</v>
      </c>
      <c r="L86" s="1" t="s">
        <v>61</v>
      </c>
      <c r="M86" s="1" t="s">
        <v>62</v>
      </c>
      <c r="N86" s="1">
        <v>-166.0</v>
      </c>
      <c r="O86" s="1">
        <v>0.0230150375939849</v>
      </c>
      <c r="P86" s="1" t="s">
        <v>61</v>
      </c>
      <c r="Q86" s="1" t="s">
        <v>61</v>
      </c>
      <c r="R86" s="1">
        <f t="shared" si="1"/>
        <v>0.02301503759</v>
      </c>
      <c r="S86" s="1">
        <f t="shared" si="2"/>
        <v>-166</v>
      </c>
      <c r="T86" s="1">
        <f t="shared" si="3"/>
        <v>1.602409639</v>
      </c>
      <c r="U86" s="1">
        <f t="shared" si="4"/>
        <v>0</v>
      </c>
      <c r="V86" s="3">
        <f t="shared" si="5"/>
        <v>1</v>
      </c>
      <c r="W86" s="3">
        <f t="shared" si="6"/>
        <v>3</v>
      </c>
      <c r="X86" s="3" t="str">
        <f>IFERROR(__xludf.DUMMYFUNCTION("split(B86,"" "")"),"A.")</f>
        <v>A.</v>
      </c>
      <c r="Y86" s="3" t="str">
        <f>IFERROR(__xludf.DUMMYFUNCTION("""COMPUTED_VALUE"""),"Thielen")</f>
        <v>Thielen</v>
      </c>
      <c r="AA86" s="3">
        <v>3.0</v>
      </c>
      <c r="AB86" s="3">
        <f t="shared" si="7"/>
        <v>0</v>
      </c>
      <c r="AC86" s="3">
        <f t="shared" si="8"/>
        <v>1</v>
      </c>
      <c r="AD86" s="3">
        <f t="shared" si="9"/>
        <v>0.6024096386</v>
      </c>
      <c r="AE86" s="3">
        <f t="shared" si="10"/>
        <v>0.6024096386</v>
      </c>
      <c r="AF86" s="3">
        <f t="shared" si="11"/>
        <v>1.807228916</v>
      </c>
      <c r="AG86" s="3">
        <f t="shared" si="12"/>
        <v>0.3333333333</v>
      </c>
    </row>
    <row r="87">
      <c r="A87" s="1" t="s">
        <v>10</v>
      </c>
      <c r="B87" s="1" t="s">
        <v>521</v>
      </c>
      <c r="C87" s="1" t="s">
        <v>19</v>
      </c>
      <c r="D87" s="1" t="s">
        <v>57</v>
      </c>
      <c r="E87" s="1" t="s">
        <v>134</v>
      </c>
      <c r="F87" s="1" t="s">
        <v>519</v>
      </c>
      <c r="G87" s="1">
        <v>22.5</v>
      </c>
      <c r="H87" s="1" t="s">
        <v>60</v>
      </c>
      <c r="I87" s="1">
        <v>-123.0</v>
      </c>
      <c r="J87" s="1">
        <v>-0.0853183423488008</v>
      </c>
      <c r="K87" s="1" t="s">
        <v>61</v>
      </c>
      <c r="L87" s="1" t="s">
        <v>61</v>
      </c>
      <c r="M87" s="1" t="s">
        <v>62</v>
      </c>
      <c r="N87" s="1">
        <v>-107.0</v>
      </c>
      <c r="O87" s="1">
        <v>0.0168938921152046</v>
      </c>
      <c r="P87" s="1" t="s">
        <v>61</v>
      </c>
      <c r="Q87" s="1" t="s">
        <v>61</v>
      </c>
      <c r="R87" s="1">
        <f t="shared" si="1"/>
        <v>0.01689389212</v>
      </c>
      <c r="S87" s="1">
        <f t="shared" si="2"/>
        <v>-107</v>
      </c>
      <c r="T87" s="1">
        <f t="shared" si="3"/>
        <v>1.934579439</v>
      </c>
      <c r="U87" s="1">
        <f t="shared" si="4"/>
        <v>0</v>
      </c>
      <c r="V87" s="3">
        <f t="shared" si="5"/>
        <v>1</v>
      </c>
      <c r="W87" s="3">
        <f t="shared" si="6"/>
        <v>2</v>
      </c>
      <c r="X87" s="3" t="str">
        <f>IFERROR(__xludf.DUMMYFUNCTION("split(B87,"" "")"),"M.")</f>
        <v>M.</v>
      </c>
      <c r="Y87" s="3" t="str">
        <f>IFERROR(__xludf.DUMMYFUNCTION("""COMPUTED_VALUE"""),"Sanders")</f>
        <v>Sanders</v>
      </c>
      <c r="AA87" s="3">
        <v>17.0</v>
      </c>
      <c r="AB87" s="3">
        <f t="shared" si="7"/>
        <v>0</v>
      </c>
      <c r="AC87" s="3">
        <f t="shared" si="8"/>
        <v>1</v>
      </c>
      <c r="AD87" s="3">
        <f t="shared" si="9"/>
        <v>0.9345794393</v>
      </c>
      <c r="AE87" s="3">
        <f t="shared" si="10"/>
        <v>0.9345794393</v>
      </c>
      <c r="AF87" s="3">
        <f t="shared" si="11"/>
        <v>1.869158879</v>
      </c>
      <c r="AG87" s="3">
        <f t="shared" si="12"/>
        <v>0.2444444444</v>
      </c>
    </row>
    <row r="88">
      <c r="A88" s="1" t="s">
        <v>11</v>
      </c>
      <c r="B88" s="1" t="s">
        <v>523</v>
      </c>
      <c r="C88" s="1" t="s">
        <v>20</v>
      </c>
      <c r="D88" s="1" t="s">
        <v>57</v>
      </c>
      <c r="E88" s="1" t="s">
        <v>134</v>
      </c>
      <c r="F88" s="1" t="s">
        <v>519</v>
      </c>
      <c r="G88" s="1">
        <v>11.5</v>
      </c>
      <c r="H88" s="1" t="s">
        <v>60</v>
      </c>
      <c r="I88" s="1">
        <v>-115.0</v>
      </c>
      <c r="J88" s="1">
        <v>0.0157542376780644</v>
      </c>
      <c r="K88" s="1" t="s">
        <v>61</v>
      </c>
      <c r="L88" s="1" t="s">
        <v>61</v>
      </c>
      <c r="M88" s="1" t="s">
        <v>62</v>
      </c>
      <c r="N88" s="1">
        <v>-115.0</v>
      </c>
      <c r="O88" s="1">
        <v>-0.0855123733297744</v>
      </c>
      <c r="P88" s="1" t="s">
        <v>61</v>
      </c>
      <c r="Q88" s="1" t="s">
        <v>61</v>
      </c>
      <c r="R88" s="1">
        <f t="shared" si="1"/>
        <v>0.01575423768</v>
      </c>
      <c r="S88" s="1">
        <f t="shared" si="2"/>
        <v>-115</v>
      </c>
      <c r="T88" s="1">
        <f t="shared" si="3"/>
        <v>1.869565217</v>
      </c>
      <c r="U88" s="1">
        <f t="shared" si="4"/>
        <v>1</v>
      </c>
      <c r="V88" s="3">
        <f t="shared" si="5"/>
        <v>1</v>
      </c>
      <c r="W88" s="3">
        <f t="shared" si="6"/>
        <v>2</v>
      </c>
      <c r="X88" s="3" t="str">
        <f>IFERROR(__xludf.DUMMYFUNCTION("split(B88,"" "")"),"J.")</f>
        <v>J.</v>
      </c>
      <c r="Y88" s="3" t="str">
        <f>IFERROR(__xludf.DUMMYFUNCTION("""COMPUTED_VALUE"""),"Sanders")</f>
        <v>Sanders</v>
      </c>
      <c r="AA88" s="3">
        <v>13.0</v>
      </c>
      <c r="AB88" s="3">
        <f t="shared" si="7"/>
        <v>1</v>
      </c>
      <c r="AC88" s="3">
        <f t="shared" si="8"/>
        <v>1</v>
      </c>
      <c r="AD88" s="3">
        <f t="shared" si="9"/>
        <v>0.8695652174</v>
      </c>
      <c r="AE88" s="3">
        <f t="shared" si="10"/>
        <v>0.8695652174</v>
      </c>
      <c r="AF88" s="3">
        <f t="shared" si="11"/>
        <v>1.739130435</v>
      </c>
      <c r="AG88" s="3">
        <f t="shared" si="12"/>
        <v>0.1304347826</v>
      </c>
    </row>
    <row r="89">
      <c r="A89" s="1" t="s">
        <v>11</v>
      </c>
      <c r="B89" s="1" t="s">
        <v>207</v>
      </c>
      <c r="C89" s="1" t="s">
        <v>18</v>
      </c>
      <c r="D89" s="1" t="s">
        <v>57</v>
      </c>
      <c r="E89" s="1" t="s">
        <v>134</v>
      </c>
      <c r="F89" s="1" t="s">
        <v>519</v>
      </c>
      <c r="G89" s="1">
        <v>18.5</v>
      </c>
      <c r="H89" s="1" t="s">
        <v>60</v>
      </c>
      <c r="I89" s="1">
        <v>-115.0</v>
      </c>
      <c r="J89" s="1">
        <v>-0.0755024309428885</v>
      </c>
      <c r="K89" s="1" t="s">
        <v>61</v>
      </c>
      <c r="L89" s="1" t="s">
        <v>61</v>
      </c>
      <c r="M89" s="1" t="s">
        <v>62</v>
      </c>
      <c r="N89" s="1">
        <v>-113.0</v>
      </c>
      <c r="O89" s="1">
        <v>0.0101470920073931</v>
      </c>
      <c r="P89" s="1" t="s">
        <v>61</v>
      </c>
      <c r="Q89" s="1" t="s">
        <v>61</v>
      </c>
      <c r="R89" s="1">
        <f t="shared" si="1"/>
        <v>0.01014709201</v>
      </c>
      <c r="S89" s="1">
        <f t="shared" si="2"/>
        <v>-113</v>
      </c>
      <c r="T89" s="1">
        <f t="shared" si="3"/>
        <v>1.884955752</v>
      </c>
      <c r="U89" s="1">
        <f t="shared" si="4"/>
        <v>0</v>
      </c>
      <c r="V89" s="3">
        <f t="shared" si="5"/>
        <v>1</v>
      </c>
      <c r="W89" s="3">
        <f t="shared" si="6"/>
        <v>2</v>
      </c>
      <c r="X89" s="3" t="str">
        <f>IFERROR(__xludf.DUMMYFUNCTION("split(B89,"" "")"),"J.")</f>
        <v>J.</v>
      </c>
      <c r="Y89" s="3" t="str">
        <f>IFERROR(__xludf.DUMMYFUNCTION("""COMPUTED_VALUE"""),"Mingo")</f>
        <v>Mingo</v>
      </c>
      <c r="AA89" s="3">
        <v>18.0</v>
      </c>
      <c r="AB89" s="3">
        <f t="shared" si="7"/>
        <v>0</v>
      </c>
      <c r="AC89" s="3">
        <f t="shared" si="8"/>
        <v>1</v>
      </c>
      <c r="AD89" s="3">
        <f t="shared" si="9"/>
        <v>0.8849557522</v>
      </c>
      <c r="AE89" s="3">
        <f t="shared" si="10"/>
        <v>0.8849557522</v>
      </c>
      <c r="AF89" s="3">
        <f t="shared" si="11"/>
        <v>1.769911504</v>
      </c>
      <c r="AG89" s="3">
        <f t="shared" si="12"/>
        <v>0.02702702703</v>
      </c>
    </row>
    <row r="90">
      <c r="A90" s="1" t="s">
        <v>8</v>
      </c>
      <c r="B90" s="1" t="s">
        <v>522</v>
      </c>
      <c r="C90" s="1" t="s">
        <v>21</v>
      </c>
      <c r="D90" s="1" t="s">
        <v>57</v>
      </c>
      <c r="E90" s="1" t="s">
        <v>134</v>
      </c>
      <c r="F90" s="1" t="s">
        <v>519</v>
      </c>
      <c r="G90" s="1">
        <v>1.5</v>
      </c>
      <c r="H90" s="1" t="s">
        <v>60</v>
      </c>
      <c r="I90" s="1">
        <v>-138.0</v>
      </c>
      <c r="J90" s="1">
        <v>-0.0743641209904395</v>
      </c>
      <c r="K90" s="1" t="s">
        <v>61</v>
      </c>
      <c r="L90" s="1" t="s">
        <v>61</v>
      </c>
      <c r="M90" s="1" t="s">
        <v>62</v>
      </c>
      <c r="N90" s="1">
        <v>105.0</v>
      </c>
      <c r="O90" s="1">
        <v>0.00673249168646167</v>
      </c>
      <c r="P90" s="1" t="s">
        <v>61</v>
      </c>
      <c r="Q90" s="1" t="s">
        <v>61</v>
      </c>
      <c r="R90" s="1">
        <f t="shared" si="1"/>
        <v>0.006732491686</v>
      </c>
      <c r="S90" s="1">
        <f t="shared" si="2"/>
        <v>105</v>
      </c>
      <c r="T90" s="1">
        <f t="shared" si="3"/>
        <v>2.05</v>
      </c>
      <c r="U90" s="1">
        <f t="shared" si="4"/>
        <v>0</v>
      </c>
      <c r="V90" s="3">
        <f t="shared" si="5"/>
        <v>1</v>
      </c>
      <c r="W90" s="3">
        <f t="shared" si="6"/>
        <v>2</v>
      </c>
      <c r="X90" s="3" t="str">
        <f>IFERROR(__xludf.DUMMYFUNCTION("split(B90,"" "")"),"A.")</f>
        <v>A.</v>
      </c>
      <c r="Y90" s="3" t="str">
        <f>IFERROR(__xludf.DUMMYFUNCTION("""COMPUTED_VALUE"""),"Dalton")</f>
        <v>Dalton</v>
      </c>
      <c r="AA90" s="3">
        <v>2.0</v>
      </c>
      <c r="AB90" s="3">
        <f t="shared" si="7"/>
        <v>1</v>
      </c>
      <c r="AC90" s="3">
        <f t="shared" si="8"/>
        <v>0</v>
      </c>
      <c r="AD90" s="3">
        <f t="shared" si="9"/>
        <v>1.05</v>
      </c>
      <c r="AE90" s="3">
        <f t="shared" si="10"/>
        <v>-1</v>
      </c>
      <c r="AF90" s="3">
        <f t="shared" si="11"/>
        <v>-2</v>
      </c>
      <c r="AG90" s="3">
        <f t="shared" si="12"/>
        <v>-0.3333333333</v>
      </c>
    </row>
    <row r="91">
      <c r="A91" s="1" t="s">
        <v>9</v>
      </c>
      <c r="B91" s="1" t="s">
        <v>353</v>
      </c>
      <c r="C91" s="1" t="s">
        <v>18</v>
      </c>
      <c r="D91" s="1" t="s">
        <v>57</v>
      </c>
      <c r="E91" s="1" t="s">
        <v>134</v>
      </c>
      <c r="F91" s="1" t="s">
        <v>519</v>
      </c>
      <c r="G91" s="1">
        <v>48.5</v>
      </c>
      <c r="H91" s="1" t="s">
        <v>60</v>
      </c>
      <c r="I91" s="1">
        <v>-115.0</v>
      </c>
      <c r="J91" s="1">
        <v>0.00554129913516465</v>
      </c>
      <c r="K91" s="1" t="s">
        <v>61</v>
      </c>
      <c r="L91" s="1" t="s">
        <v>61</v>
      </c>
      <c r="M91" s="1" t="s">
        <v>62</v>
      </c>
      <c r="N91" s="1">
        <v>-117.0</v>
      </c>
      <c r="O91" s="1">
        <v>-0.0795835889283441</v>
      </c>
      <c r="P91" s="1" t="s">
        <v>61</v>
      </c>
      <c r="Q91" s="1" t="s">
        <v>61</v>
      </c>
      <c r="R91" s="1">
        <f t="shared" si="1"/>
        <v>0.005541299135</v>
      </c>
      <c r="S91" s="1">
        <f t="shared" si="2"/>
        <v>-115</v>
      </c>
      <c r="T91" s="1">
        <f t="shared" si="3"/>
        <v>1.869565217</v>
      </c>
      <c r="U91" s="1">
        <f t="shared" si="4"/>
        <v>1</v>
      </c>
      <c r="V91" s="3">
        <f t="shared" si="5"/>
        <v>1</v>
      </c>
      <c r="W91" s="3">
        <f t="shared" si="6"/>
        <v>2</v>
      </c>
      <c r="X91" s="3" t="str">
        <f>IFERROR(__xludf.DUMMYFUNCTION("split(B91,"" "")"),"D.")</f>
        <v>D.</v>
      </c>
      <c r="Y91" s="3" t="str">
        <f>IFERROR(__xludf.DUMMYFUNCTION("""COMPUTED_VALUE"""),"Johnson")</f>
        <v>Johnson</v>
      </c>
      <c r="AA91" s="3">
        <v>122.0</v>
      </c>
      <c r="AB91" s="3">
        <f t="shared" si="7"/>
        <v>1</v>
      </c>
      <c r="AC91" s="3">
        <f t="shared" si="8"/>
        <v>1</v>
      </c>
      <c r="AD91" s="3">
        <f t="shared" si="9"/>
        <v>0.8695652174</v>
      </c>
      <c r="AE91" s="3">
        <f t="shared" si="10"/>
        <v>0.8695652174</v>
      </c>
      <c r="AF91" s="3">
        <f t="shared" si="11"/>
        <v>1.739130435</v>
      </c>
      <c r="AG91" s="3">
        <f t="shared" si="12"/>
        <v>1.515463918</v>
      </c>
    </row>
    <row r="92">
      <c r="A92" s="1" t="s">
        <v>11</v>
      </c>
      <c r="B92" s="1" t="s">
        <v>357</v>
      </c>
      <c r="C92" s="1" t="s">
        <v>18</v>
      </c>
      <c r="D92" s="1" t="s">
        <v>57</v>
      </c>
      <c r="E92" s="1" t="s">
        <v>134</v>
      </c>
      <c r="F92" s="1" t="s">
        <v>519</v>
      </c>
      <c r="G92" s="1">
        <v>16.5</v>
      </c>
      <c r="H92" s="1" t="s">
        <v>60</v>
      </c>
      <c r="I92" s="1">
        <v>-118.0</v>
      </c>
      <c r="J92" s="1">
        <v>0.00279730441996328</v>
      </c>
      <c r="K92" s="1" t="s">
        <v>61</v>
      </c>
      <c r="L92" s="1" t="s">
        <v>61</v>
      </c>
      <c r="M92" s="1" t="s">
        <v>62</v>
      </c>
      <c r="N92" s="1">
        <v>-111.0</v>
      </c>
      <c r="O92" s="1">
        <v>-0.0700572783106289</v>
      </c>
      <c r="P92" s="1" t="s">
        <v>61</v>
      </c>
      <c r="Q92" s="1" t="s">
        <v>61</v>
      </c>
      <c r="R92" s="1">
        <f t="shared" si="1"/>
        <v>0.00279730442</v>
      </c>
      <c r="S92" s="1">
        <f t="shared" si="2"/>
        <v>-118</v>
      </c>
      <c r="T92" s="1">
        <f t="shared" si="3"/>
        <v>1.847457627</v>
      </c>
      <c r="U92" s="1">
        <f t="shared" si="4"/>
        <v>1</v>
      </c>
      <c r="V92" s="3">
        <f t="shared" si="5"/>
        <v>1</v>
      </c>
      <c r="W92" s="3">
        <f t="shared" si="6"/>
        <v>3</v>
      </c>
      <c r="X92" s="3" t="str">
        <f>IFERROR(__xludf.DUMMYFUNCTION("split(B92,"" "")"),"X.")</f>
        <v>X.</v>
      </c>
      <c r="Y92" s="3" t="str">
        <f>IFERROR(__xludf.DUMMYFUNCTION("""COMPUTED_VALUE"""),"Legette")</f>
        <v>Legette</v>
      </c>
      <c r="AA92" s="3">
        <v>42.0</v>
      </c>
      <c r="AB92" s="3">
        <f t="shared" si="7"/>
        <v>1</v>
      </c>
      <c r="AC92" s="3">
        <f t="shared" si="8"/>
        <v>1</v>
      </c>
      <c r="AD92" s="3">
        <f t="shared" si="9"/>
        <v>0.8474576271</v>
      </c>
      <c r="AE92" s="3">
        <f t="shared" si="10"/>
        <v>0.8474576271</v>
      </c>
      <c r="AF92" s="3">
        <f t="shared" si="11"/>
        <v>2.542372881</v>
      </c>
      <c r="AG92" s="3">
        <f t="shared" si="12"/>
        <v>1.545454545</v>
      </c>
    </row>
    <row r="93">
      <c r="A93" s="1" t="s">
        <v>11</v>
      </c>
      <c r="B93" s="1" t="s">
        <v>520</v>
      </c>
      <c r="C93" s="1" t="s">
        <v>20</v>
      </c>
      <c r="D93" s="1" t="s">
        <v>57</v>
      </c>
      <c r="E93" s="1" t="s">
        <v>134</v>
      </c>
      <c r="F93" s="1" t="s">
        <v>519</v>
      </c>
      <c r="G93" s="1">
        <v>16.5</v>
      </c>
      <c r="H93" s="1" t="s">
        <v>60</v>
      </c>
      <c r="I93" s="1">
        <v>-107.0</v>
      </c>
      <c r="J93" s="1">
        <v>-0.069016149734542</v>
      </c>
      <c r="K93" s="1" t="s">
        <v>61</v>
      </c>
      <c r="L93" s="1" t="s">
        <v>61</v>
      </c>
      <c r="M93" s="1" t="s">
        <v>62</v>
      </c>
      <c r="N93" s="1">
        <v>-122.0</v>
      </c>
      <c r="O93" s="1">
        <v>0.00260074979261837</v>
      </c>
      <c r="P93" s="1" t="s">
        <v>61</v>
      </c>
      <c r="Q93" s="1" t="s">
        <v>61</v>
      </c>
      <c r="R93" s="1">
        <f t="shared" si="1"/>
        <v>0.002600749793</v>
      </c>
      <c r="S93" s="1">
        <f t="shared" si="2"/>
        <v>-122</v>
      </c>
      <c r="T93" s="1">
        <f t="shared" si="3"/>
        <v>1.819672131</v>
      </c>
      <c r="U93" s="1">
        <f t="shared" si="4"/>
        <v>0</v>
      </c>
      <c r="V93" s="3">
        <f t="shared" si="5"/>
        <v>1</v>
      </c>
      <c r="W93" s="3">
        <f t="shared" si="6"/>
        <v>3</v>
      </c>
      <c r="X93" s="3" t="str">
        <f>IFERROR(__xludf.DUMMYFUNCTION("split(B93,"" "")"),"T.")</f>
        <v>T.</v>
      </c>
      <c r="Y93" s="3" t="str">
        <f>IFERROR(__xludf.DUMMYFUNCTION("""COMPUTED_VALUE"""),"Tremble")</f>
        <v>Tremble</v>
      </c>
      <c r="AA93" s="3">
        <v>29.0</v>
      </c>
      <c r="AB93" s="3">
        <f t="shared" si="7"/>
        <v>1</v>
      </c>
      <c r="AC93" s="3">
        <f t="shared" si="8"/>
        <v>0</v>
      </c>
      <c r="AD93" s="3">
        <f t="shared" si="9"/>
        <v>0.8196721311</v>
      </c>
      <c r="AE93" s="3">
        <f t="shared" si="10"/>
        <v>-1</v>
      </c>
      <c r="AF93" s="3">
        <f t="shared" si="11"/>
        <v>-3</v>
      </c>
      <c r="AG93" s="3">
        <f t="shared" si="12"/>
        <v>-0.7575757576</v>
      </c>
    </row>
    <row r="94">
      <c r="A94" s="1" t="s">
        <v>11</v>
      </c>
      <c r="B94" s="1" t="s">
        <v>524</v>
      </c>
      <c r="C94" s="1" t="s">
        <v>19</v>
      </c>
      <c r="D94" s="1" t="s">
        <v>99</v>
      </c>
      <c r="E94" s="1" t="s">
        <v>71</v>
      </c>
      <c r="F94" s="1" t="s">
        <v>525</v>
      </c>
      <c r="G94" s="1">
        <v>0.5</v>
      </c>
      <c r="H94" s="1" t="s">
        <v>60</v>
      </c>
      <c r="I94" s="1">
        <v>297.0</v>
      </c>
      <c r="J94" s="1">
        <v>0.431960250816943</v>
      </c>
      <c r="K94" s="1" t="s">
        <v>61</v>
      </c>
      <c r="L94" s="1" t="s">
        <v>61</v>
      </c>
      <c r="M94" s="1" t="s">
        <v>62</v>
      </c>
      <c r="N94" s="1">
        <v>-426.0</v>
      </c>
      <c r="O94" s="1">
        <v>-0.49373943195365</v>
      </c>
      <c r="P94" s="1" t="s">
        <v>61</v>
      </c>
      <c r="Q94" s="1" t="s">
        <v>61</v>
      </c>
      <c r="R94" s="1">
        <f t="shared" si="1"/>
        <v>0.4319602508</v>
      </c>
      <c r="S94" s="1">
        <f t="shared" si="2"/>
        <v>297</v>
      </c>
      <c r="T94" s="1">
        <f t="shared" si="3"/>
        <v>3.97</v>
      </c>
      <c r="U94" s="1">
        <f t="shared" si="4"/>
        <v>1</v>
      </c>
      <c r="V94" s="3">
        <f t="shared" si="5"/>
        <v>3</v>
      </c>
      <c r="W94" s="3">
        <f t="shared" si="6"/>
        <v>1</v>
      </c>
      <c r="X94" s="3" t="str">
        <f>IFERROR(__xludf.DUMMYFUNCTION("split(B94,"" "")"),"V.")</f>
        <v>V.</v>
      </c>
      <c r="Y94" s="3" t="str">
        <f>IFERROR(__xludf.DUMMYFUNCTION("""COMPUTED_VALUE"""),"Jones")</f>
        <v>Jones</v>
      </c>
      <c r="Z94" s="3" t="str">
        <f>IFERROR(__xludf.DUMMYFUNCTION("""COMPUTED_VALUE"""),"Jr.")</f>
        <v>Jr.</v>
      </c>
      <c r="AA94" s="3">
        <v>0.0</v>
      </c>
      <c r="AB94" s="3">
        <f t="shared" si="7"/>
        <v>0</v>
      </c>
      <c r="AC94" s="3">
        <f t="shared" si="8"/>
        <v>0</v>
      </c>
      <c r="AD94" s="3">
        <f t="shared" si="9"/>
        <v>8.91</v>
      </c>
      <c r="AE94" s="3">
        <f t="shared" si="10"/>
        <v>-3</v>
      </c>
      <c r="AF94" s="3">
        <f t="shared" si="11"/>
        <v>-1</v>
      </c>
      <c r="AG94" s="3">
        <f t="shared" si="12"/>
        <v>-1</v>
      </c>
    </row>
    <row r="95">
      <c r="A95" s="1" t="s">
        <v>12</v>
      </c>
      <c r="B95" s="1" t="s">
        <v>98</v>
      </c>
      <c r="C95" s="1" t="s">
        <v>19</v>
      </c>
      <c r="D95" s="1" t="s">
        <v>99</v>
      </c>
      <c r="E95" s="1" t="s">
        <v>71</v>
      </c>
      <c r="F95" s="1" t="s">
        <v>525</v>
      </c>
      <c r="G95" s="1">
        <v>2.5</v>
      </c>
      <c r="H95" s="1" t="s">
        <v>60</v>
      </c>
      <c r="I95" s="1">
        <v>-118.0</v>
      </c>
      <c r="J95" s="1">
        <v>-0.262226586100917</v>
      </c>
      <c r="K95" s="1" t="s">
        <v>61</v>
      </c>
      <c r="L95" s="1" t="s">
        <v>61</v>
      </c>
      <c r="M95" s="1" t="s">
        <v>62</v>
      </c>
      <c r="N95" s="1">
        <v>-112.0</v>
      </c>
      <c r="O95" s="1">
        <v>0.192646694633962</v>
      </c>
      <c r="P95" s="1" t="s">
        <v>61</v>
      </c>
      <c r="Q95" s="1" t="s">
        <v>61</v>
      </c>
      <c r="R95" s="1">
        <f t="shared" si="1"/>
        <v>0.1926466946</v>
      </c>
      <c r="S95" s="1">
        <f t="shared" si="2"/>
        <v>-112</v>
      </c>
      <c r="T95" s="1">
        <f t="shared" si="3"/>
        <v>1.892857143</v>
      </c>
      <c r="U95" s="1">
        <f t="shared" si="4"/>
        <v>0</v>
      </c>
      <c r="V95" s="3">
        <f t="shared" si="5"/>
        <v>3</v>
      </c>
      <c r="W95" s="3">
        <f t="shared" si="6"/>
        <v>2</v>
      </c>
      <c r="X95" s="3" t="str">
        <f>IFERROR(__xludf.DUMMYFUNCTION("split(B95,"" "")"),"D.")</f>
        <v>D.</v>
      </c>
      <c r="Y95" s="3" t="str">
        <f>IFERROR(__xludf.DUMMYFUNCTION("""COMPUTED_VALUE"""),"Swift")</f>
        <v>Swift</v>
      </c>
      <c r="AA95" s="3">
        <v>2.0</v>
      </c>
      <c r="AB95" s="3">
        <f t="shared" si="7"/>
        <v>0</v>
      </c>
      <c r="AC95" s="3">
        <f t="shared" si="8"/>
        <v>1</v>
      </c>
      <c r="AD95" s="3">
        <f t="shared" si="9"/>
        <v>2.678571429</v>
      </c>
      <c r="AE95" s="3">
        <f t="shared" si="10"/>
        <v>2.678571429</v>
      </c>
      <c r="AF95" s="3">
        <f t="shared" si="11"/>
        <v>1.785714286</v>
      </c>
      <c r="AG95" s="3">
        <f t="shared" si="12"/>
        <v>0.2</v>
      </c>
    </row>
    <row r="96">
      <c r="A96" s="1" t="s">
        <v>12</v>
      </c>
      <c r="B96" s="1" t="s">
        <v>231</v>
      </c>
      <c r="C96" s="1" t="s">
        <v>20</v>
      </c>
      <c r="D96" s="1" t="s">
        <v>99</v>
      </c>
      <c r="E96" s="1" t="s">
        <v>71</v>
      </c>
      <c r="F96" s="1" t="s">
        <v>525</v>
      </c>
      <c r="G96" s="1">
        <v>2.5</v>
      </c>
      <c r="H96" s="1" t="s">
        <v>60</v>
      </c>
      <c r="I96" s="1">
        <v>-113.0</v>
      </c>
      <c r="J96" s="1">
        <v>-0.235464862769953</v>
      </c>
      <c r="K96" s="1" t="s">
        <v>61</v>
      </c>
      <c r="L96" s="1" t="s">
        <v>61</v>
      </c>
      <c r="M96" s="1" t="s">
        <v>62</v>
      </c>
      <c r="N96" s="1">
        <v>-116.0</v>
      </c>
      <c r="O96" s="1">
        <v>0.167903973579629</v>
      </c>
      <c r="P96" s="1" t="s">
        <v>61</v>
      </c>
      <c r="Q96" s="1" t="s">
        <v>61</v>
      </c>
      <c r="R96" s="1">
        <f t="shared" si="1"/>
        <v>0.1679039736</v>
      </c>
      <c r="S96" s="1">
        <f t="shared" si="2"/>
        <v>-116</v>
      </c>
      <c r="T96" s="1">
        <f t="shared" si="3"/>
        <v>1.862068966</v>
      </c>
      <c r="U96" s="1">
        <f t="shared" si="4"/>
        <v>0</v>
      </c>
      <c r="V96" s="3">
        <f t="shared" si="5"/>
        <v>3</v>
      </c>
      <c r="W96" s="3">
        <f t="shared" si="6"/>
        <v>2</v>
      </c>
      <c r="X96" s="3" t="str">
        <f>IFERROR(__xludf.DUMMYFUNCTION("split(B96,"" "")"),"C.")</f>
        <v>C.</v>
      </c>
      <c r="Y96" s="3" t="str">
        <f>IFERROR(__xludf.DUMMYFUNCTION("""COMPUTED_VALUE"""),"Kmet")</f>
        <v>Kmet</v>
      </c>
      <c r="AA96" s="3">
        <v>10.0</v>
      </c>
      <c r="AB96" s="3">
        <f t="shared" si="7"/>
        <v>1</v>
      </c>
      <c r="AC96" s="3">
        <f t="shared" si="8"/>
        <v>0</v>
      </c>
      <c r="AD96" s="3">
        <f t="shared" si="9"/>
        <v>2.586206897</v>
      </c>
      <c r="AE96" s="3">
        <f t="shared" si="10"/>
        <v>-3</v>
      </c>
      <c r="AF96" s="3">
        <f t="shared" si="11"/>
        <v>-2</v>
      </c>
      <c r="AG96" s="3">
        <f t="shared" si="12"/>
        <v>-3</v>
      </c>
    </row>
    <row r="97">
      <c r="A97" s="1" t="s">
        <v>15</v>
      </c>
      <c r="B97" s="1" t="s">
        <v>274</v>
      </c>
      <c r="C97" s="1" t="s">
        <v>21</v>
      </c>
      <c r="D97" s="1" t="s">
        <v>99</v>
      </c>
      <c r="E97" s="1" t="s">
        <v>71</v>
      </c>
      <c r="F97" s="1" t="s">
        <v>525</v>
      </c>
      <c r="G97" s="1">
        <v>19.5</v>
      </c>
      <c r="H97" s="1" t="s">
        <v>60</v>
      </c>
      <c r="I97" s="1">
        <v>-138.0</v>
      </c>
      <c r="J97" s="1">
        <v>-0.220373401134453</v>
      </c>
      <c r="K97" s="1" t="s">
        <v>61</v>
      </c>
      <c r="L97" s="1" t="s">
        <v>61</v>
      </c>
      <c r="M97" s="1" t="s">
        <v>62</v>
      </c>
      <c r="N97" s="1">
        <v>105.0</v>
      </c>
      <c r="O97" s="1">
        <v>0.152743265707317</v>
      </c>
      <c r="P97" s="1" t="s">
        <v>61</v>
      </c>
      <c r="Q97" s="1" t="s">
        <v>61</v>
      </c>
      <c r="R97" s="1">
        <f t="shared" si="1"/>
        <v>0.1527432657</v>
      </c>
      <c r="S97" s="1">
        <f t="shared" si="2"/>
        <v>105</v>
      </c>
      <c r="T97" s="1">
        <f t="shared" si="3"/>
        <v>2.05</v>
      </c>
      <c r="U97" s="1">
        <f t="shared" si="4"/>
        <v>0</v>
      </c>
      <c r="V97" s="3">
        <f t="shared" si="5"/>
        <v>3</v>
      </c>
      <c r="W97" s="3">
        <f t="shared" si="6"/>
        <v>2</v>
      </c>
      <c r="X97" s="3" t="str">
        <f>IFERROR(__xludf.DUMMYFUNCTION("split(B97,"" "")"),"C.")</f>
        <v>C.</v>
      </c>
      <c r="Y97" s="3" t="str">
        <f>IFERROR(__xludf.DUMMYFUNCTION("""COMPUTED_VALUE"""),"Williams")</f>
        <v>Williams</v>
      </c>
      <c r="AA97" s="3">
        <v>33.0</v>
      </c>
      <c r="AB97" s="3">
        <f t="shared" si="7"/>
        <v>1</v>
      </c>
      <c r="AC97" s="3">
        <f t="shared" si="8"/>
        <v>0</v>
      </c>
      <c r="AD97" s="3">
        <f t="shared" si="9"/>
        <v>3.15</v>
      </c>
      <c r="AE97" s="3">
        <f t="shared" si="10"/>
        <v>-3</v>
      </c>
      <c r="AF97" s="3">
        <f t="shared" si="11"/>
        <v>-2</v>
      </c>
      <c r="AG97" s="3">
        <f t="shared" si="12"/>
        <v>-0.6923076923</v>
      </c>
    </row>
    <row r="98">
      <c r="A98" s="1" t="s">
        <v>12</v>
      </c>
      <c r="B98" s="1" t="s">
        <v>143</v>
      </c>
      <c r="C98" s="1" t="s">
        <v>19</v>
      </c>
      <c r="D98" s="1" t="s">
        <v>99</v>
      </c>
      <c r="E98" s="1" t="s">
        <v>71</v>
      </c>
      <c r="F98" s="1" t="s">
        <v>525</v>
      </c>
      <c r="G98" s="1">
        <v>1.5</v>
      </c>
      <c r="H98" s="1" t="s">
        <v>60</v>
      </c>
      <c r="I98" s="1">
        <v>105.0</v>
      </c>
      <c r="J98" s="1">
        <v>-0.199195837871463</v>
      </c>
      <c r="K98" s="1" t="s">
        <v>61</v>
      </c>
      <c r="L98" s="1" t="s">
        <v>61</v>
      </c>
      <c r="M98" s="1" t="s">
        <v>62</v>
      </c>
      <c r="N98" s="1">
        <v>-140.0</v>
      </c>
      <c r="O98" s="1">
        <v>0.128056370909166</v>
      </c>
      <c r="P98" s="1" t="s">
        <v>61</v>
      </c>
      <c r="Q98" s="1" t="s">
        <v>61</v>
      </c>
      <c r="R98" s="1">
        <f t="shared" si="1"/>
        <v>0.1280563709</v>
      </c>
      <c r="S98" s="1">
        <f t="shared" si="2"/>
        <v>-140</v>
      </c>
      <c r="T98" s="1">
        <f t="shared" si="3"/>
        <v>1.714285714</v>
      </c>
      <c r="U98" s="1">
        <f t="shared" si="4"/>
        <v>0</v>
      </c>
      <c r="V98" s="3">
        <f t="shared" si="5"/>
        <v>3</v>
      </c>
      <c r="W98" s="3">
        <f t="shared" si="6"/>
        <v>3</v>
      </c>
      <c r="X98" s="3" t="str">
        <f>IFERROR(__xludf.DUMMYFUNCTION("split(B98,"" "")"),"K.")</f>
        <v>K.</v>
      </c>
      <c r="Y98" s="3" t="str">
        <f>IFERROR(__xludf.DUMMYFUNCTION("""COMPUTED_VALUE"""),"Herbert")</f>
        <v>Herbert</v>
      </c>
      <c r="AA98" s="3">
        <v>0.0</v>
      </c>
      <c r="AB98" s="3">
        <f t="shared" si="7"/>
        <v>0</v>
      </c>
      <c r="AC98" s="3">
        <f t="shared" si="8"/>
        <v>1</v>
      </c>
      <c r="AD98" s="3">
        <f t="shared" si="9"/>
        <v>2.142857143</v>
      </c>
      <c r="AE98" s="3">
        <f t="shared" si="10"/>
        <v>2.142857143</v>
      </c>
      <c r="AF98" s="3">
        <f t="shared" si="11"/>
        <v>2.142857143</v>
      </c>
      <c r="AG98" s="3">
        <f t="shared" si="12"/>
        <v>1</v>
      </c>
    </row>
    <row r="99">
      <c r="A99" s="1" t="s">
        <v>12</v>
      </c>
      <c r="B99" s="1" t="s">
        <v>160</v>
      </c>
      <c r="C99" s="1" t="s">
        <v>20</v>
      </c>
      <c r="D99" s="1" t="s">
        <v>99</v>
      </c>
      <c r="E99" s="1" t="s">
        <v>71</v>
      </c>
      <c r="F99" s="1" t="s">
        <v>525</v>
      </c>
      <c r="G99" s="1">
        <v>1.5</v>
      </c>
      <c r="H99" s="1" t="s">
        <v>60</v>
      </c>
      <c r="I99" s="1">
        <v>-128.0</v>
      </c>
      <c r="J99" s="1">
        <v>-0.186146482157894</v>
      </c>
      <c r="K99" s="1" t="s">
        <v>61</v>
      </c>
      <c r="L99" s="1" t="s">
        <v>61</v>
      </c>
      <c r="M99" s="1" t="s">
        <v>62</v>
      </c>
      <c r="N99" s="1">
        <v>-102.0</v>
      </c>
      <c r="O99" s="1">
        <v>0.119798979656633</v>
      </c>
      <c r="P99" s="1" t="s">
        <v>61</v>
      </c>
      <c r="Q99" s="1" t="s">
        <v>61</v>
      </c>
      <c r="R99" s="1">
        <f t="shared" si="1"/>
        <v>0.1197989797</v>
      </c>
      <c r="S99" s="1">
        <f t="shared" si="2"/>
        <v>-102</v>
      </c>
      <c r="T99" s="1">
        <f t="shared" si="3"/>
        <v>1.980392157</v>
      </c>
      <c r="U99" s="1">
        <f t="shared" si="4"/>
        <v>0</v>
      </c>
      <c r="V99" s="3">
        <f t="shared" si="5"/>
        <v>3</v>
      </c>
      <c r="W99" s="3">
        <f t="shared" si="6"/>
        <v>2</v>
      </c>
      <c r="X99" s="3" t="str">
        <f>IFERROR(__xludf.DUMMYFUNCTION("split(B99,"" "")"),"G.")</f>
        <v>G.</v>
      </c>
      <c r="Y99" s="3" t="str">
        <f>IFERROR(__xludf.DUMMYFUNCTION("""COMPUTED_VALUE"""),"Everett")</f>
        <v>Everett</v>
      </c>
      <c r="AA99" s="3">
        <v>0.0</v>
      </c>
      <c r="AB99" s="3">
        <f t="shared" si="7"/>
        <v>0</v>
      </c>
      <c r="AC99" s="3">
        <f t="shared" si="8"/>
        <v>1</v>
      </c>
      <c r="AD99" s="3">
        <f t="shared" si="9"/>
        <v>2.941176471</v>
      </c>
      <c r="AE99" s="3">
        <f t="shared" si="10"/>
        <v>2.941176471</v>
      </c>
      <c r="AF99" s="3">
        <f t="shared" si="11"/>
        <v>1.960784314</v>
      </c>
      <c r="AG99" s="3">
        <f t="shared" si="12"/>
        <v>1</v>
      </c>
    </row>
    <row r="100">
      <c r="A100" s="1" t="s">
        <v>8</v>
      </c>
      <c r="B100" s="1" t="s">
        <v>274</v>
      </c>
      <c r="C100" s="1" t="s">
        <v>21</v>
      </c>
      <c r="D100" s="1" t="s">
        <v>99</v>
      </c>
      <c r="E100" s="1" t="s">
        <v>71</v>
      </c>
      <c r="F100" s="1" t="s">
        <v>525</v>
      </c>
      <c r="G100" s="1">
        <v>4.5</v>
      </c>
      <c r="H100" s="1" t="s">
        <v>60</v>
      </c>
      <c r="I100" s="1">
        <v>-119.0</v>
      </c>
      <c r="J100" s="1">
        <v>-0.179960864174373</v>
      </c>
      <c r="K100" s="1" t="s">
        <v>61</v>
      </c>
      <c r="L100" s="1" t="s">
        <v>61</v>
      </c>
      <c r="M100" s="1" t="s">
        <v>62</v>
      </c>
      <c r="N100" s="1">
        <v>-113.0</v>
      </c>
      <c r="O100" s="1">
        <v>0.106078685714705</v>
      </c>
      <c r="P100" s="1" t="s">
        <v>61</v>
      </c>
      <c r="Q100" s="1" t="s">
        <v>61</v>
      </c>
      <c r="R100" s="1">
        <f t="shared" si="1"/>
        <v>0.1060786857</v>
      </c>
      <c r="S100" s="1">
        <f t="shared" si="2"/>
        <v>-113</v>
      </c>
      <c r="T100" s="1">
        <f t="shared" si="3"/>
        <v>1.884955752</v>
      </c>
      <c r="U100" s="1">
        <f t="shared" si="4"/>
        <v>0</v>
      </c>
      <c r="V100" s="3">
        <f t="shared" si="5"/>
        <v>3</v>
      </c>
      <c r="W100" s="3">
        <f t="shared" si="6"/>
        <v>2</v>
      </c>
      <c r="X100" s="3" t="str">
        <f>IFERROR(__xludf.DUMMYFUNCTION("split(B100,"" "")"),"C.")</f>
        <v>C.</v>
      </c>
      <c r="Y100" s="3" t="str">
        <f>IFERROR(__xludf.DUMMYFUNCTION("""COMPUTED_VALUE"""),"Williams")</f>
        <v>Williams</v>
      </c>
      <c r="AA100" s="3">
        <v>1.0</v>
      </c>
      <c r="AB100" s="3">
        <f t="shared" si="7"/>
        <v>0</v>
      </c>
      <c r="AC100" s="3">
        <f t="shared" si="8"/>
        <v>1</v>
      </c>
      <c r="AD100" s="3">
        <f t="shared" si="9"/>
        <v>2.654867257</v>
      </c>
      <c r="AE100" s="3">
        <f t="shared" si="10"/>
        <v>2.654867257</v>
      </c>
      <c r="AF100" s="3">
        <f t="shared" si="11"/>
        <v>1.769911504</v>
      </c>
      <c r="AG100" s="3">
        <f t="shared" si="12"/>
        <v>0.7777777778</v>
      </c>
    </row>
    <row r="101">
      <c r="A101" s="1" t="s">
        <v>11</v>
      </c>
      <c r="B101" s="1" t="s">
        <v>268</v>
      </c>
      <c r="C101" s="1" t="s">
        <v>18</v>
      </c>
      <c r="D101" s="1" t="s">
        <v>99</v>
      </c>
      <c r="E101" s="1" t="s">
        <v>71</v>
      </c>
      <c r="F101" s="1" t="s">
        <v>525</v>
      </c>
      <c r="G101" s="1">
        <v>65.5</v>
      </c>
      <c r="H101" s="1" t="s">
        <v>60</v>
      </c>
      <c r="I101" s="1">
        <v>-120.0</v>
      </c>
      <c r="J101" s="1">
        <v>-0.163674862794217</v>
      </c>
      <c r="K101" s="1" t="s">
        <v>61</v>
      </c>
      <c r="L101" s="1" t="s">
        <v>61</v>
      </c>
      <c r="M101" s="1" t="s">
        <v>62</v>
      </c>
      <c r="N101" s="1">
        <v>-110.0</v>
      </c>
      <c r="O101" s="1">
        <v>0.0943820598235228</v>
      </c>
      <c r="P101" s="1" t="s">
        <v>61</v>
      </c>
      <c r="Q101" s="1" t="s">
        <v>61</v>
      </c>
      <c r="R101" s="1">
        <f t="shared" si="1"/>
        <v>0.09438205982</v>
      </c>
      <c r="S101" s="1">
        <f t="shared" si="2"/>
        <v>-110</v>
      </c>
      <c r="T101" s="1">
        <f t="shared" si="3"/>
        <v>1.909090909</v>
      </c>
      <c r="U101" s="1">
        <f t="shared" si="4"/>
        <v>0</v>
      </c>
      <c r="V101" s="3">
        <f t="shared" si="5"/>
        <v>2</v>
      </c>
      <c r="W101" s="3">
        <f t="shared" si="6"/>
        <v>2</v>
      </c>
      <c r="X101" s="3" t="str">
        <f>IFERROR(__xludf.DUMMYFUNCTION("split(B101,"" "")"),"K.")</f>
        <v>K.</v>
      </c>
      <c r="Y101" s="3" t="str">
        <f>IFERROR(__xludf.DUMMYFUNCTION("""COMPUTED_VALUE"""),"Allen")</f>
        <v>Allen</v>
      </c>
      <c r="AA101" s="3">
        <v>0.0</v>
      </c>
      <c r="AB101" s="3">
        <f t="shared" si="7"/>
        <v>0</v>
      </c>
      <c r="AC101" s="3">
        <f t="shared" si="8"/>
        <v>1</v>
      </c>
      <c r="AD101" s="3">
        <f t="shared" si="9"/>
        <v>1.818181818</v>
      </c>
      <c r="AE101" s="3">
        <f t="shared" si="10"/>
        <v>1.818181818</v>
      </c>
      <c r="AF101" s="3">
        <f t="shared" si="11"/>
        <v>1.818181818</v>
      </c>
      <c r="AG101" s="3">
        <f t="shared" si="12"/>
        <v>1</v>
      </c>
    </row>
    <row r="102">
      <c r="A102" s="1" t="s">
        <v>16</v>
      </c>
      <c r="B102" s="1" t="s">
        <v>274</v>
      </c>
      <c r="C102" s="1" t="s">
        <v>21</v>
      </c>
      <c r="D102" s="1" t="s">
        <v>99</v>
      </c>
      <c r="E102" s="1" t="s">
        <v>71</v>
      </c>
      <c r="F102" s="1" t="s">
        <v>525</v>
      </c>
      <c r="G102" s="1">
        <v>31.5</v>
      </c>
      <c r="H102" s="1" t="s">
        <v>60</v>
      </c>
      <c r="I102" s="1">
        <v>-128.0</v>
      </c>
      <c r="J102" s="1">
        <v>-0.162256791798245</v>
      </c>
      <c r="K102" s="1" t="s">
        <v>61</v>
      </c>
      <c r="L102" s="1" t="s">
        <v>61</v>
      </c>
      <c r="M102" s="1" t="s">
        <v>62</v>
      </c>
      <c r="N102" s="1">
        <v>-104.0</v>
      </c>
      <c r="O102" s="1">
        <v>0.0910417768196079</v>
      </c>
      <c r="P102" s="1" t="s">
        <v>61</v>
      </c>
      <c r="Q102" s="1" t="s">
        <v>61</v>
      </c>
      <c r="R102" s="1">
        <f t="shared" si="1"/>
        <v>0.09104177682</v>
      </c>
      <c r="S102" s="1">
        <f t="shared" si="2"/>
        <v>-104</v>
      </c>
      <c r="T102" s="1">
        <f t="shared" si="3"/>
        <v>1.961538462</v>
      </c>
      <c r="U102" s="1">
        <f t="shared" si="4"/>
        <v>0</v>
      </c>
      <c r="V102" s="3">
        <f t="shared" si="5"/>
        <v>2</v>
      </c>
      <c r="W102" s="3">
        <f t="shared" si="6"/>
        <v>2</v>
      </c>
      <c r="X102" s="3" t="str">
        <f>IFERROR(__xludf.DUMMYFUNCTION("split(B102,"" "")"),"C.")</f>
        <v>C.</v>
      </c>
      <c r="Y102" s="3" t="str">
        <f>IFERROR(__xludf.DUMMYFUNCTION("""COMPUTED_VALUE"""),"Williams")</f>
        <v>Williams</v>
      </c>
      <c r="AA102" s="3">
        <v>52.0</v>
      </c>
      <c r="AB102" s="3">
        <f t="shared" si="7"/>
        <v>1</v>
      </c>
      <c r="AC102" s="3">
        <f t="shared" si="8"/>
        <v>0</v>
      </c>
      <c r="AD102" s="3">
        <f t="shared" si="9"/>
        <v>1.923076923</v>
      </c>
      <c r="AE102" s="3">
        <f t="shared" si="10"/>
        <v>-2</v>
      </c>
      <c r="AF102" s="3">
        <f t="shared" si="11"/>
        <v>-2</v>
      </c>
      <c r="AG102" s="3">
        <f t="shared" si="12"/>
        <v>-0.6507936508</v>
      </c>
    </row>
    <row r="103">
      <c r="A103" s="1" t="s">
        <v>9</v>
      </c>
      <c r="B103" s="1" t="s">
        <v>143</v>
      </c>
      <c r="C103" s="1" t="s">
        <v>19</v>
      </c>
      <c r="D103" s="1" t="s">
        <v>99</v>
      </c>
      <c r="E103" s="1" t="s">
        <v>71</v>
      </c>
      <c r="F103" s="1" t="s">
        <v>525</v>
      </c>
      <c r="G103" s="1">
        <v>23.5</v>
      </c>
      <c r="H103" s="1" t="s">
        <v>60</v>
      </c>
      <c r="I103" s="1">
        <v>-118.0</v>
      </c>
      <c r="J103" s="1">
        <v>0.0851342269319239</v>
      </c>
      <c r="K103" s="1" t="s">
        <v>61</v>
      </c>
      <c r="L103" s="1" t="s">
        <v>61</v>
      </c>
      <c r="M103" s="1" t="s">
        <v>62</v>
      </c>
      <c r="N103" s="1">
        <v>-114.0</v>
      </c>
      <c r="O103" s="1">
        <v>-0.159083523724867</v>
      </c>
      <c r="P103" s="1" t="s">
        <v>61</v>
      </c>
      <c r="Q103" s="1" t="s">
        <v>61</v>
      </c>
      <c r="R103" s="1">
        <f t="shared" si="1"/>
        <v>0.08513422693</v>
      </c>
      <c r="S103" s="1">
        <f t="shared" si="2"/>
        <v>-118</v>
      </c>
      <c r="T103" s="1">
        <f t="shared" si="3"/>
        <v>1.847457627</v>
      </c>
      <c r="U103" s="1">
        <f t="shared" si="4"/>
        <v>1</v>
      </c>
      <c r="V103" s="3">
        <f t="shared" si="5"/>
        <v>2</v>
      </c>
      <c r="W103" s="3">
        <f t="shared" si="6"/>
        <v>3</v>
      </c>
      <c r="X103" s="3" t="str">
        <f>IFERROR(__xludf.DUMMYFUNCTION("split(B103,"" "")"),"K.")</f>
        <v>K.</v>
      </c>
      <c r="Y103" s="3" t="str">
        <f>IFERROR(__xludf.DUMMYFUNCTION("""COMPUTED_VALUE"""),"Herbert")</f>
        <v>Herbert</v>
      </c>
      <c r="AA103" s="3">
        <v>9.0</v>
      </c>
      <c r="AB103" s="3">
        <f t="shared" si="7"/>
        <v>0</v>
      </c>
      <c r="AC103" s="3">
        <f t="shared" si="8"/>
        <v>0</v>
      </c>
      <c r="AD103" s="3">
        <f t="shared" si="9"/>
        <v>1.694915254</v>
      </c>
      <c r="AE103" s="3">
        <f t="shared" si="10"/>
        <v>-2</v>
      </c>
      <c r="AF103" s="3">
        <f t="shared" si="11"/>
        <v>-3</v>
      </c>
      <c r="AG103" s="3">
        <f t="shared" si="12"/>
        <v>-0.6170212766</v>
      </c>
    </row>
    <row r="104">
      <c r="A104" s="1" t="s">
        <v>17</v>
      </c>
      <c r="B104" s="1" t="s">
        <v>274</v>
      </c>
      <c r="C104" s="1" t="s">
        <v>21</v>
      </c>
      <c r="D104" s="1" t="s">
        <v>99</v>
      </c>
      <c r="E104" s="1" t="s">
        <v>71</v>
      </c>
      <c r="F104" s="1" t="s">
        <v>525</v>
      </c>
      <c r="G104" s="1">
        <v>0.5</v>
      </c>
      <c r="H104" s="1" t="s">
        <v>60</v>
      </c>
      <c r="I104" s="1">
        <v>-134.0</v>
      </c>
      <c r="J104" s="1">
        <v>-0.141049572649572</v>
      </c>
      <c r="K104" s="1" t="s">
        <v>61</v>
      </c>
      <c r="L104" s="1" t="s">
        <v>61</v>
      </c>
      <c r="M104" s="1" t="s">
        <v>62</v>
      </c>
      <c r="N104" s="1">
        <v>103.0</v>
      </c>
      <c r="O104" s="1">
        <v>0.0757891625615764</v>
      </c>
      <c r="P104" s="1" t="s">
        <v>61</v>
      </c>
      <c r="Q104" s="1" t="s">
        <v>61</v>
      </c>
      <c r="R104" s="1">
        <f t="shared" si="1"/>
        <v>0.07578916256</v>
      </c>
      <c r="S104" s="1">
        <f t="shared" si="2"/>
        <v>103</v>
      </c>
      <c r="T104" s="1">
        <f t="shared" si="3"/>
        <v>2.03</v>
      </c>
      <c r="U104" s="1">
        <f t="shared" si="4"/>
        <v>0</v>
      </c>
      <c r="V104" s="3">
        <f t="shared" si="5"/>
        <v>2</v>
      </c>
      <c r="W104" s="3">
        <f t="shared" si="6"/>
        <v>2</v>
      </c>
      <c r="X104" s="3" t="str">
        <f>IFERROR(__xludf.DUMMYFUNCTION("split(B104,"" "")"),"C.")</f>
        <v>C.</v>
      </c>
      <c r="Y104" s="3" t="str">
        <f>IFERROR(__xludf.DUMMYFUNCTION("""COMPUTED_VALUE"""),"Williams")</f>
        <v>Williams</v>
      </c>
      <c r="AA104" s="3">
        <v>2.0</v>
      </c>
      <c r="AB104" s="3">
        <f t="shared" si="7"/>
        <v>1</v>
      </c>
      <c r="AC104" s="3">
        <f t="shared" si="8"/>
        <v>0</v>
      </c>
      <c r="AD104" s="3">
        <f t="shared" si="9"/>
        <v>2.06</v>
      </c>
      <c r="AE104" s="3">
        <f t="shared" si="10"/>
        <v>-2</v>
      </c>
      <c r="AF104" s="3">
        <f t="shared" si="11"/>
        <v>-2</v>
      </c>
      <c r="AG104" s="3">
        <f t="shared" si="12"/>
        <v>-3</v>
      </c>
    </row>
    <row r="105">
      <c r="A105" s="1" t="s">
        <v>10</v>
      </c>
      <c r="B105" s="1" t="s">
        <v>274</v>
      </c>
      <c r="C105" s="1" t="s">
        <v>21</v>
      </c>
      <c r="D105" s="1" t="s">
        <v>99</v>
      </c>
      <c r="E105" s="1" t="s">
        <v>71</v>
      </c>
      <c r="F105" s="1" t="s">
        <v>525</v>
      </c>
      <c r="G105" s="1">
        <v>22.5</v>
      </c>
      <c r="H105" s="1" t="s">
        <v>60</v>
      </c>
      <c r="I105" s="1">
        <v>-116.0</v>
      </c>
      <c r="J105" s="1">
        <v>-0.136448665400173</v>
      </c>
      <c r="K105" s="1" t="s">
        <v>61</v>
      </c>
      <c r="L105" s="1" t="s">
        <v>61</v>
      </c>
      <c r="M105" s="1" t="s">
        <v>62</v>
      </c>
      <c r="N105" s="1">
        <v>-113.0</v>
      </c>
      <c r="O105" s="1">
        <v>0.0689260762951842</v>
      </c>
      <c r="P105" s="1" t="s">
        <v>61</v>
      </c>
      <c r="Q105" s="1" t="s">
        <v>61</v>
      </c>
      <c r="R105" s="1">
        <f t="shared" si="1"/>
        <v>0.0689260763</v>
      </c>
      <c r="S105" s="1">
        <f t="shared" si="2"/>
        <v>-113</v>
      </c>
      <c r="T105" s="1">
        <f t="shared" si="3"/>
        <v>1.884955752</v>
      </c>
      <c r="U105" s="1">
        <f t="shared" si="4"/>
        <v>0</v>
      </c>
      <c r="V105" s="3">
        <f t="shared" si="5"/>
        <v>2</v>
      </c>
      <c r="W105" s="3">
        <f t="shared" si="6"/>
        <v>2</v>
      </c>
      <c r="X105" s="3" t="str">
        <f>IFERROR(__xludf.DUMMYFUNCTION("split(B105,"" "")"),"C.")</f>
        <v>C.</v>
      </c>
      <c r="Y105" s="3" t="str">
        <f>IFERROR(__xludf.DUMMYFUNCTION("""COMPUTED_VALUE"""),"Williams")</f>
        <v>Williams</v>
      </c>
      <c r="AA105" s="3">
        <v>8.0</v>
      </c>
      <c r="AB105" s="3">
        <f t="shared" si="7"/>
        <v>0</v>
      </c>
      <c r="AC105" s="3">
        <f t="shared" si="8"/>
        <v>1</v>
      </c>
      <c r="AD105" s="3">
        <f t="shared" si="9"/>
        <v>1.769911504</v>
      </c>
      <c r="AE105" s="3">
        <f t="shared" si="10"/>
        <v>1.769911504</v>
      </c>
      <c r="AF105" s="3">
        <f t="shared" si="11"/>
        <v>1.769911504</v>
      </c>
      <c r="AG105" s="3">
        <f t="shared" si="12"/>
        <v>0.6444444444</v>
      </c>
    </row>
    <row r="106">
      <c r="A106" s="1" t="s">
        <v>9</v>
      </c>
      <c r="B106" s="1" t="s">
        <v>526</v>
      </c>
      <c r="C106" s="1" t="s">
        <v>18</v>
      </c>
      <c r="D106" s="1" t="s">
        <v>99</v>
      </c>
      <c r="E106" s="1" t="s">
        <v>71</v>
      </c>
      <c r="F106" s="1" t="s">
        <v>525</v>
      </c>
      <c r="G106" s="1">
        <v>24.5</v>
      </c>
      <c r="H106" s="1" t="s">
        <v>60</v>
      </c>
      <c r="I106" s="1">
        <v>-117.0</v>
      </c>
      <c r="J106" s="1">
        <v>0.0642936838120054</v>
      </c>
      <c r="K106" s="1" t="s">
        <v>61</v>
      </c>
      <c r="L106" s="1" t="s">
        <v>61</v>
      </c>
      <c r="M106" s="1" t="s">
        <v>62</v>
      </c>
      <c r="N106" s="1">
        <v>-115.0</v>
      </c>
      <c r="O106" s="1">
        <v>-0.138310017652492</v>
      </c>
      <c r="P106" s="1" t="s">
        <v>61</v>
      </c>
      <c r="Q106" s="1" t="s">
        <v>61</v>
      </c>
      <c r="R106" s="1">
        <f t="shared" si="1"/>
        <v>0.06429368381</v>
      </c>
      <c r="S106" s="1">
        <f t="shared" si="2"/>
        <v>-117</v>
      </c>
      <c r="T106" s="1">
        <f t="shared" si="3"/>
        <v>1.854700855</v>
      </c>
      <c r="U106" s="1">
        <f t="shared" si="4"/>
        <v>1</v>
      </c>
      <c r="V106" s="3">
        <f t="shared" si="5"/>
        <v>2</v>
      </c>
      <c r="W106" s="3">
        <f t="shared" si="6"/>
        <v>2</v>
      </c>
      <c r="X106" s="3" t="str">
        <f>IFERROR(__xludf.DUMMYFUNCTION("split(B106,"" "")"),"D.")</f>
        <v>D.</v>
      </c>
      <c r="Y106" s="3" t="str">
        <f>IFERROR(__xludf.DUMMYFUNCTION("""COMPUTED_VALUE"""),"Carter")</f>
        <v>Carter</v>
      </c>
      <c r="AA106" s="3">
        <v>22.0</v>
      </c>
      <c r="AB106" s="3">
        <f t="shared" si="7"/>
        <v>0</v>
      </c>
      <c r="AC106" s="3">
        <f t="shared" si="8"/>
        <v>0</v>
      </c>
      <c r="AD106" s="3">
        <f t="shared" si="9"/>
        <v>1.709401709</v>
      </c>
      <c r="AE106" s="3">
        <f t="shared" si="10"/>
        <v>-2</v>
      </c>
      <c r="AF106" s="3">
        <f t="shared" si="11"/>
        <v>-2</v>
      </c>
      <c r="AG106" s="3">
        <f t="shared" si="12"/>
        <v>-0.1020408163</v>
      </c>
    </row>
    <row r="107">
      <c r="A107" s="1" t="s">
        <v>11</v>
      </c>
      <c r="B107" s="1" t="s">
        <v>143</v>
      </c>
      <c r="C107" s="1" t="s">
        <v>19</v>
      </c>
      <c r="D107" s="1" t="s">
        <v>99</v>
      </c>
      <c r="E107" s="1" t="s">
        <v>71</v>
      </c>
      <c r="F107" s="1" t="s">
        <v>525</v>
      </c>
      <c r="G107" s="1">
        <v>10.5</v>
      </c>
      <c r="H107" s="1" t="s">
        <v>60</v>
      </c>
      <c r="I107" s="1">
        <v>120.0</v>
      </c>
      <c r="J107" s="1">
        <v>0.0492086624173074</v>
      </c>
      <c r="K107" s="1" t="s">
        <v>61</v>
      </c>
      <c r="L107" s="1" t="s">
        <v>61</v>
      </c>
      <c r="M107" s="1" t="s">
        <v>62</v>
      </c>
      <c r="N107" s="1">
        <v>-160.0</v>
      </c>
      <c r="O107" s="1">
        <v>-0.119094388368244</v>
      </c>
      <c r="P107" s="1" t="s">
        <v>61</v>
      </c>
      <c r="Q107" s="1" t="s">
        <v>61</v>
      </c>
      <c r="R107" s="1">
        <f t="shared" si="1"/>
        <v>0.04920866242</v>
      </c>
      <c r="S107" s="1">
        <f t="shared" si="2"/>
        <v>120</v>
      </c>
      <c r="T107" s="1">
        <f t="shared" si="3"/>
        <v>2.2</v>
      </c>
      <c r="U107" s="1">
        <f t="shared" si="4"/>
        <v>1</v>
      </c>
      <c r="V107" s="3">
        <f t="shared" si="5"/>
        <v>1</v>
      </c>
      <c r="W107" s="3">
        <f t="shared" si="6"/>
        <v>1</v>
      </c>
      <c r="X107" s="3" t="str">
        <f>IFERROR(__xludf.DUMMYFUNCTION("split(B107,"" "")"),"K.")</f>
        <v>K.</v>
      </c>
      <c r="Y107" s="3" t="str">
        <f>IFERROR(__xludf.DUMMYFUNCTION("""COMPUTED_VALUE"""),"Herbert")</f>
        <v>Herbert</v>
      </c>
      <c r="AA107" s="3">
        <v>0.0</v>
      </c>
      <c r="AB107" s="3">
        <f t="shared" si="7"/>
        <v>0</v>
      </c>
      <c r="AC107" s="3">
        <f t="shared" si="8"/>
        <v>0</v>
      </c>
      <c r="AD107" s="3">
        <f t="shared" si="9"/>
        <v>1.2</v>
      </c>
      <c r="AE107" s="3">
        <f t="shared" si="10"/>
        <v>-1</v>
      </c>
      <c r="AF107" s="3">
        <f t="shared" si="11"/>
        <v>-1</v>
      </c>
      <c r="AG107" s="3">
        <f t="shared" si="12"/>
        <v>-1</v>
      </c>
    </row>
    <row r="108">
      <c r="A108" s="1" t="s">
        <v>11</v>
      </c>
      <c r="B108" s="1" t="s">
        <v>351</v>
      </c>
      <c r="C108" s="1" t="s">
        <v>18</v>
      </c>
      <c r="D108" s="1" t="s">
        <v>99</v>
      </c>
      <c r="E108" s="1" t="s">
        <v>71</v>
      </c>
      <c r="F108" s="1" t="s">
        <v>525</v>
      </c>
      <c r="G108" s="1">
        <v>60.5</v>
      </c>
      <c r="H108" s="1" t="s">
        <v>60</v>
      </c>
      <c r="I108" s="1">
        <v>-120.0</v>
      </c>
      <c r="J108" s="1">
        <v>-0.0968284317258897</v>
      </c>
      <c r="K108" s="1" t="s">
        <v>61</v>
      </c>
      <c r="L108" s="1" t="s">
        <v>61</v>
      </c>
      <c r="M108" s="1" t="s">
        <v>62</v>
      </c>
      <c r="N108" s="1">
        <v>-105.0</v>
      </c>
      <c r="O108" s="1">
        <v>0.0392125063199012</v>
      </c>
      <c r="P108" s="1" t="s">
        <v>61</v>
      </c>
      <c r="Q108" s="1" t="s">
        <v>61</v>
      </c>
      <c r="R108" s="1">
        <f t="shared" si="1"/>
        <v>0.03921250632</v>
      </c>
      <c r="S108" s="1">
        <f t="shared" si="2"/>
        <v>-105</v>
      </c>
      <c r="T108" s="1">
        <f t="shared" si="3"/>
        <v>1.952380952</v>
      </c>
      <c r="U108" s="1">
        <f t="shared" si="4"/>
        <v>0</v>
      </c>
      <c r="V108" s="3">
        <f t="shared" si="5"/>
        <v>1</v>
      </c>
      <c r="W108" s="3">
        <f t="shared" si="6"/>
        <v>2</v>
      </c>
      <c r="X108" s="3" t="str">
        <f>IFERROR(__xludf.DUMMYFUNCTION("split(B108,"" "")"),"D.")</f>
        <v>D.</v>
      </c>
      <c r="Y108" s="3" t="str">
        <f>IFERROR(__xludf.DUMMYFUNCTION("""COMPUTED_VALUE"""),"Moore")</f>
        <v>Moore</v>
      </c>
      <c r="AA108" s="3">
        <v>78.0</v>
      </c>
      <c r="AB108" s="3">
        <f t="shared" si="7"/>
        <v>1</v>
      </c>
      <c r="AC108" s="3">
        <f t="shared" si="8"/>
        <v>0</v>
      </c>
      <c r="AD108" s="3">
        <f t="shared" si="9"/>
        <v>0.9523809524</v>
      </c>
      <c r="AE108" s="3">
        <f t="shared" si="10"/>
        <v>-1</v>
      </c>
      <c r="AF108" s="3">
        <f t="shared" si="11"/>
        <v>-2</v>
      </c>
      <c r="AG108" s="3">
        <f t="shared" si="12"/>
        <v>-0.2892561983</v>
      </c>
    </row>
    <row r="109">
      <c r="A109" s="1" t="s">
        <v>12</v>
      </c>
      <c r="B109" s="1" t="s">
        <v>191</v>
      </c>
      <c r="C109" s="1" t="s">
        <v>18</v>
      </c>
      <c r="D109" s="1" t="s">
        <v>99</v>
      </c>
      <c r="E109" s="1" t="s">
        <v>71</v>
      </c>
      <c r="F109" s="1" t="s">
        <v>525</v>
      </c>
      <c r="G109" s="1">
        <v>3.5</v>
      </c>
      <c r="H109" s="1" t="s">
        <v>60</v>
      </c>
      <c r="I109" s="1">
        <v>119.0</v>
      </c>
      <c r="J109" s="1">
        <v>-0.0979666666666668</v>
      </c>
      <c r="K109" s="1" t="s">
        <v>61</v>
      </c>
      <c r="L109" s="1" t="s">
        <v>61</v>
      </c>
      <c r="M109" s="1" t="s">
        <v>62</v>
      </c>
      <c r="N109" s="1">
        <v>-157.0</v>
      </c>
      <c r="O109" s="1">
        <v>0.0304439688715952</v>
      </c>
      <c r="P109" s="1" t="s">
        <v>61</v>
      </c>
      <c r="Q109" s="1" t="s">
        <v>61</v>
      </c>
      <c r="R109" s="1">
        <f t="shared" si="1"/>
        <v>0.03044396887</v>
      </c>
      <c r="S109" s="1">
        <f t="shared" si="2"/>
        <v>-157</v>
      </c>
      <c r="T109" s="1">
        <f t="shared" si="3"/>
        <v>1.636942675</v>
      </c>
      <c r="U109" s="1">
        <f t="shared" si="4"/>
        <v>0</v>
      </c>
      <c r="V109" s="3">
        <f t="shared" si="5"/>
        <v>1</v>
      </c>
      <c r="W109" s="3">
        <f t="shared" si="6"/>
        <v>3</v>
      </c>
      <c r="X109" s="3" t="str">
        <f>IFERROR(__xludf.DUMMYFUNCTION("split(B109,"" "")"),"R.")</f>
        <v>R.</v>
      </c>
      <c r="Y109" s="3" t="str">
        <f>IFERROR(__xludf.DUMMYFUNCTION("""COMPUTED_VALUE"""),"Odunze")</f>
        <v>Odunze</v>
      </c>
      <c r="AA109" s="3">
        <v>6.0</v>
      </c>
      <c r="AB109" s="3">
        <f t="shared" si="7"/>
        <v>1</v>
      </c>
      <c r="AC109" s="3">
        <f t="shared" si="8"/>
        <v>0</v>
      </c>
      <c r="AD109" s="3">
        <f t="shared" si="9"/>
        <v>0.6369426752</v>
      </c>
      <c r="AE109" s="3">
        <f t="shared" si="10"/>
        <v>-1</v>
      </c>
      <c r="AF109" s="3">
        <f t="shared" si="11"/>
        <v>-3</v>
      </c>
      <c r="AG109" s="3">
        <f t="shared" si="12"/>
        <v>-0.7142857143</v>
      </c>
    </row>
    <row r="110">
      <c r="A110" s="1" t="s">
        <v>11</v>
      </c>
      <c r="B110" s="1" t="s">
        <v>231</v>
      </c>
      <c r="C110" s="1" t="s">
        <v>20</v>
      </c>
      <c r="D110" s="1" t="s">
        <v>99</v>
      </c>
      <c r="E110" s="1" t="s">
        <v>71</v>
      </c>
      <c r="F110" s="1" t="s">
        <v>525</v>
      </c>
      <c r="G110" s="1">
        <v>21.5</v>
      </c>
      <c r="H110" s="1" t="s">
        <v>60</v>
      </c>
      <c r="I110" s="1">
        <v>-113.0</v>
      </c>
      <c r="J110" s="1">
        <v>-0.0882758518155541</v>
      </c>
      <c r="K110" s="1" t="s">
        <v>61</v>
      </c>
      <c r="L110" s="1" t="s">
        <v>61</v>
      </c>
      <c r="M110" s="1" t="s">
        <v>62</v>
      </c>
      <c r="N110" s="1">
        <v>-116.0</v>
      </c>
      <c r="O110" s="1">
        <v>0.0207309327156809</v>
      </c>
      <c r="P110" s="1" t="s">
        <v>61</v>
      </c>
      <c r="Q110" s="1" t="s">
        <v>61</v>
      </c>
      <c r="R110" s="1">
        <f t="shared" si="1"/>
        <v>0.02073093272</v>
      </c>
      <c r="S110" s="1">
        <f t="shared" si="2"/>
        <v>-116</v>
      </c>
      <c r="T110" s="1">
        <f t="shared" si="3"/>
        <v>1.862068966</v>
      </c>
      <c r="U110" s="1">
        <f t="shared" si="4"/>
        <v>0</v>
      </c>
      <c r="V110" s="3">
        <f t="shared" si="5"/>
        <v>1</v>
      </c>
      <c r="W110" s="3">
        <f t="shared" si="6"/>
        <v>2</v>
      </c>
      <c r="X110" s="3" t="str">
        <f>IFERROR(__xludf.DUMMYFUNCTION("split(B110,"" "")"),"C.")</f>
        <v>C.</v>
      </c>
      <c r="Y110" s="3" t="str">
        <f>IFERROR(__xludf.DUMMYFUNCTION("""COMPUTED_VALUE"""),"Kmet")</f>
        <v>Kmet</v>
      </c>
      <c r="AA110" s="3">
        <v>97.0</v>
      </c>
      <c r="AB110" s="3">
        <f t="shared" si="7"/>
        <v>1</v>
      </c>
      <c r="AC110" s="3">
        <f t="shared" si="8"/>
        <v>0</v>
      </c>
      <c r="AD110" s="3">
        <f t="shared" si="9"/>
        <v>0.8620689655</v>
      </c>
      <c r="AE110" s="3">
        <f t="shared" si="10"/>
        <v>-1</v>
      </c>
      <c r="AF110" s="3">
        <f t="shared" si="11"/>
        <v>-2</v>
      </c>
      <c r="AG110" s="3">
        <f t="shared" si="12"/>
        <v>-3.511627907</v>
      </c>
    </row>
    <row r="111">
      <c r="A111" s="1" t="s">
        <v>9</v>
      </c>
      <c r="B111" s="1" t="s">
        <v>98</v>
      </c>
      <c r="C111" s="1" t="s">
        <v>19</v>
      </c>
      <c r="D111" s="1" t="s">
        <v>99</v>
      </c>
      <c r="E111" s="1" t="s">
        <v>71</v>
      </c>
      <c r="F111" s="1" t="s">
        <v>525</v>
      </c>
      <c r="G111" s="1">
        <v>73.5</v>
      </c>
      <c r="H111" s="1" t="s">
        <v>60</v>
      </c>
      <c r="I111" s="1">
        <v>-113.0</v>
      </c>
      <c r="J111" s="1">
        <v>-0.0932885598324942</v>
      </c>
      <c r="K111" s="1" t="s">
        <v>61</v>
      </c>
      <c r="L111" s="1" t="s">
        <v>61</v>
      </c>
      <c r="M111" s="1" t="s">
        <v>62</v>
      </c>
      <c r="N111" s="1">
        <v>-119.0</v>
      </c>
      <c r="O111" s="1">
        <v>0.0194044852088689</v>
      </c>
      <c r="P111" s="1" t="s">
        <v>61</v>
      </c>
      <c r="Q111" s="1" t="s">
        <v>61</v>
      </c>
      <c r="R111" s="1">
        <f t="shared" si="1"/>
        <v>0.01940448521</v>
      </c>
      <c r="S111" s="1">
        <f t="shared" si="2"/>
        <v>-119</v>
      </c>
      <c r="T111" s="1">
        <f t="shared" si="3"/>
        <v>1.840336134</v>
      </c>
      <c r="U111" s="1">
        <f t="shared" si="4"/>
        <v>0</v>
      </c>
      <c r="V111" s="3">
        <f t="shared" si="5"/>
        <v>1</v>
      </c>
      <c r="W111" s="3">
        <f t="shared" si="6"/>
        <v>3</v>
      </c>
      <c r="X111" s="3" t="str">
        <f>IFERROR(__xludf.DUMMYFUNCTION("split(B111,"" "")"),"D.")</f>
        <v>D.</v>
      </c>
      <c r="Y111" s="3" t="str">
        <f>IFERROR(__xludf.DUMMYFUNCTION("""COMPUTED_VALUE"""),"Swift")</f>
        <v>Swift</v>
      </c>
      <c r="AA111" s="3">
        <v>42.0</v>
      </c>
      <c r="AB111" s="3">
        <f t="shared" si="7"/>
        <v>0</v>
      </c>
      <c r="AC111" s="3">
        <f t="shared" si="8"/>
        <v>1</v>
      </c>
      <c r="AD111" s="3">
        <f t="shared" si="9"/>
        <v>0.8403361345</v>
      </c>
      <c r="AE111" s="3">
        <f t="shared" si="10"/>
        <v>0.8403361345</v>
      </c>
      <c r="AF111" s="3">
        <f t="shared" si="11"/>
        <v>2.521008403</v>
      </c>
      <c r="AG111" s="3">
        <f t="shared" si="12"/>
        <v>0.4285714286</v>
      </c>
    </row>
    <row r="112">
      <c r="A112" s="1" t="s">
        <v>14</v>
      </c>
      <c r="B112" s="1" t="s">
        <v>274</v>
      </c>
      <c r="C112" s="1" t="s">
        <v>21</v>
      </c>
      <c r="D112" s="1" t="s">
        <v>99</v>
      </c>
      <c r="E112" s="1" t="s">
        <v>71</v>
      </c>
      <c r="F112" s="1" t="s">
        <v>525</v>
      </c>
      <c r="G112" s="1">
        <v>1.5</v>
      </c>
      <c r="H112" s="1" t="s">
        <v>60</v>
      </c>
      <c r="I112" s="1">
        <v>166.0</v>
      </c>
      <c r="J112" s="1">
        <v>0.0140977443609022</v>
      </c>
      <c r="K112" s="1" t="s">
        <v>61</v>
      </c>
      <c r="L112" s="1" t="s">
        <v>61</v>
      </c>
      <c r="M112" s="1" t="s">
        <v>62</v>
      </c>
      <c r="N112" s="1">
        <v>-219.0</v>
      </c>
      <c r="O112" s="1">
        <v>-0.0765517241379311</v>
      </c>
      <c r="P112" s="1" t="s">
        <v>61</v>
      </c>
      <c r="Q112" s="1" t="s">
        <v>61</v>
      </c>
      <c r="R112" s="1">
        <f t="shared" si="1"/>
        <v>0.01409774436</v>
      </c>
      <c r="S112" s="1">
        <f t="shared" si="2"/>
        <v>166</v>
      </c>
      <c r="T112" s="1">
        <f t="shared" si="3"/>
        <v>2.66</v>
      </c>
      <c r="U112" s="1">
        <f t="shared" si="4"/>
        <v>1</v>
      </c>
      <c r="V112" s="3">
        <f t="shared" si="5"/>
        <v>1</v>
      </c>
      <c r="W112" s="3">
        <f t="shared" si="6"/>
        <v>1</v>
      </c>
      <c r="X112" s="3" t="str">
        <f>IFERROR(__xludf.DUMMYFUNCTION("split(B112,"" "")"),"C.")</f>
        <v>C.</v>
      </c>
      <c r="Y112" s="3" t="str">
        <f>IFERROR(__xludf.DUMMYFUNCTION("""COMPUTED_VALUE"""),"Williams")</f>
        <v>Williams</v>
      </c>
      <c r="AA112" s="3">
        <v>2.0</v>
      </c>
      <c r="AB112" s="3">
        <f t="shared" si="7"/>
        <v>1</v>
      </c>
      <c r="AC112" s="3">
        <f t="shared" si="8"/>
        <v>1</v>
      </c>
      <c r="AD112" s="3">
        <f t="shared" si="9"/>
        <v>1.66</v>
      </c>
      <c r="AE112" s="3">
        <f t="shared" si="10"/>
        <v>1.66</v>
      </c>
      <c r="AF112" s="3">
        <f t="shared" si="11"/>
        <v>1.66</v>
      </c>
      <c r="AG112" s="3">
        <f t="shared" si="12"/>
        <v>0.3333333333</v>
      </c>
    </row>
    <row r="113">
      <c r="A113" s="1" t="s">
        <v>9</v>
      </c>
      <c r="B113" s="1" t="s">
        <v>191</v>
      </c>
      <c r="C113" s="1" t="s">
        <v>18</v>
      </c>
      <c r="D113" s="1" t="s">
        <v>99</v>
      </c>
      <c r="E113" s="1" t="s">
        <v>71</v>
      </c>
      <c r="F113" s="1" t="s">
        <v>525</v>
      </c>
      <c r="G113" s="1">
        <v>37.5</v>
      </c>
      <c r="H113" s="1" t="s">
        <v>60</v>
      </c>
      <c r="I113" s="1">
        <v>-117.0</v>
      </c>
      <c r="J113" s="1">
        <v>0.00632836088046506</v>
      </c>
      <c r="K113" s="1" t="s">
        <v>61</v>
      </c>
      <c r="L113" s="1" t="s">
        <v>61</v>
      </c>
      <c r="M113" s="1" t="s">
        <v>62</v>
      </c>
      <c r="N113" s="1">
        <v>-115.0</v>
      </c>
      <c r="O113" s="1">
        <v>-0.0803502672452095</v>
      </c>
      <c r="P113" s="1" t="s">
        <v>61</v>
      </c>
      <c r="Q113" s="1" t="s">
        <v>61</v>
      </c>
      <c r="R113" s="1">
        <f t="shared" si="1"/>
        <v>0.00632836088</v>
      </c>
      <c r="S113" s="1">
        <f t="shared" si="2"/>
        <v>-117</v>
      </c>
      <c r="T113" s="1">
        <f t="shared" si="3"/>
        <v>1.854700855</v>
      </c>
      <c r="U113" s="1">
        <f t="shared" si="4"/>
        <v>1</v>
      </c>
      <c r="V113" s="3">
        <f t="shared" si="5"/>
        <v>1</v>
      </c>
      <c r="W113" s="3">
        <f t="shared" si="6"/>
        <v>2</v>
      </c>
      <c r="X113" s="3" t="str">
        <f>IFERROR(__xludf.DUMMYFUNCTION("split(B113,"" "")"),"R.")</f>
        <v>R.</v>
      </c>
      <c r="Y113" s="3" t="str">
        <f>IFERROR(__xludf.DUMMYFUNCTION("""COMPUTED_VALUE"""),"Odunze")</f>
        <v>Odunze</v>
      </c>
      <c r="AA113" s="3">
        <v>114.0</v>
      </c>
      <c r="AB113" s="3">
        <f t="shared" si="7"/>
        <v>1</v>
      </c>
      <c r="AC113" s="3">
        <f t="shared" si="8"/>
        <v>1</v>
      </c>
      <c r="AD113" s="3">
        <f t="shared" si="9"/>
        <v>0.8547008547</v>
      </c>
      <c r="AE113" s="3">
        <f t="shared" si="10"/>
        <v>0.8547008547</v>
      </c>
      <c r="AF113" s="3">
        <f t="shared" si="11"/>
        <v>1.709401709</v>
      </c>
      <c r="AG113" s="3">
        <f t="shared" si="12"/>
        <v>2.04</v>
      </c>
    </row>
    <row r="114">
      <c r="A114" s="1" t="s">
        <v>9</v>
      </c>
      <c r="B114" s="1" t="s">
        <v>351</v>
      </c>
      <c r="C114" s="1" t="s">
        <v>18</v>
      </c>
      <c r="D114" s="1" t="s">
        <v>99</v>
      </c>
      <c r="E114" s="1" t="s">
        <v>71</v>
      </c>
      <c r="F114" s="1" t="s">
        <v>525</v>
      </c>
      <c r="G114" s="1">
        <v>63.5</v>
      </c>
      <c r="H114" s="1" t="s">
        <v>60</v>
      </c>
      <c r="I114" s="1">
        <v>-115.0</v>
      </c>
      <c r="J114" s="1">
        <v>-0.0731089463791179</v>
      </c>
      <c r="K114" s="1" t="s">
        <v>61</v>
      </c>
      <c r="L114" s="1" t="s">
        <v>61</v>
      </c>
      <c r="M114" s="1" t="s">
        <v>62</v>
      </c>
      <c r="N114" s="1">
        <v>-115.0</v>
      </c>
      <c r="O114" s="1">
        <v>0.00334528833598557</v>
      </c>
      <c r="P114" s="1" t="s">
        <v>61</v>
      </c>
      <c r="Q114" s="1" t="s">
        <v>61</v>
      </c>
      <c r="R114" s="1">
        <f t="shared" si="1"/>
        <v>0.003345288336</v>
      </c>
      <c r="S114" s="1">
        <f t="shared" si="2"/>
        <v>-115</v>
      </c>
      <c r="T114" s="1">
        <f t="shared" si="3"/>
        <v>1.869565217</v>
      </c>
      <c r="U114" s="1">
        <f t="shared" si="4"/>
        <v>0</v>
      </c>
      <c r="V114" s="3">
        <f t="shared" si="5"/>
        <v>1</v>
      </c>
      <c r="W114" s="3">
        <f t="shared" si="6"/>
        <v>2</v>
      </c>
      <c r="X114" s="3" t="str">
        <f>IFERROR(__xludf.DUMMYFUNCTION("split(B114,"" "")"),"D.")</f>
        <v>D.</v>
      </c>
      <c r="Y114" s="3" t="str">
        <f>IFERROR(__xludf.DUMMYFUNCTION("""COMPUTED_VALUE"""),"Moore")</f>
        <v>Moore</v>
      </c>
      <c r="AA114" s="3">
        <v>72.0</v>
      </c>
      <c r="AB114" s="3">
        <f t="shared" si="7"/>
        <v>1</v>
      </c>
      <c r="AC114" s="3">
        <f t="shared" si="8"/>
        <v>0</v>
      </c>
      <c r="AD114" s="3">
        <f t="shared" si="9"/>
        <v>0.8695652174</v>
      </c>
      <c r="AE114" s="3">
        <f t="shared" si="10"/>
        <v>-1</v>
      </c>
      <c r="AF114" s="3">
        <f t="shared" si="11"/>
        <v>-2</v>
      </c>
      <c r="AG114" s="3">
        <f t="shared" si="12"/>
        <v>-0.1338582677</v>
      </c>
    </row>
    <row r="115">
      <c r="A115" s="1" t="s">
        <v>12</v>
      </c>
      <c r="B115" s="1" t="s">
        <v>527</v>
      </c>
      <c r="C115" s="1" t="s">
        <v>18</v>
      </c>
      <c r="D115" s="1" t="s">
        <v>67</v>
      </c>
      <c r="E115" s="1" t="s">
        <v>114</v>
      </c>
      <c r="F115" s="1" t="s">
        <v>528</v>
      </c>
      <c r="G115" s="1">
        <v>2.5</v>
      </c>
      <c r="H115" s="1" t="s">
        <v>60</v>
      </c>
      <c r="I115" s="1">
        <v>-105.0</v>
      </c>
      <c r="J115" s="1">
        <v>-0.245091776439024</v>
      </c>
      <c r="K115" s="1" t="s">
        <v>61</v>
      </c>
      <c r="L115" s="1" t="s">
        <v>61</v>
      </c>
      <c r="M115" s="1" t="s">
        <v>62</v>
      </c>
      <c r="N115" s="1">
        <v>-125.0</v>
      </c>
      <c r="O115" s="1">
        <v>0.177340634277777</v>
      </c>
      <c r="P115" s="1" t="s">
        <v>61</v>
      </c>
      <c r="Q115" s="1" t="s">
        <v>61</v>
      </c>
      <c r="R115" s="1">
        <f t="shared" si="1"/>
        <v>0.1773406343</v>
      </c>
      <c r="S115" s="1">
        <f t="shared" si="2"/>
        <v>-125</v>
      </c>
      <c r="T115" s="1">
        <f t="shared" si="3"/>
        <v>1.8</v>
      </c>
      <c r="U115" s="1">
        <f t="shared" si="4"/>
        <v>0</v>
      </c>
      <c r="V115" s="3">
        <f t="shared" si="5"/>
        <v>3</v>
      </c>
      <c r="W115" s="3">
        <f t="shared" si="6"/>
        <v>3</v>
      </c>
      <c r="X115" s="3" t="str">
        <f>IFERROR(__xludf.DUMMYFUNCTION("split(B115,"" "")"),"A.")</f>
        <v>A.</v>
      </c>
      <c r="Y115" s="3" t="str">
        <f>IFERROR(__xludf.DUMMYFUNCTION("""COMPUTED_VALUE"""),"Iosivas")</f>
        <v>Iosivas</v>
      </c>
      <c r="AA115" s="3">
        <v>5.0</v>
      </c>
      <c r="AB115" s="3">
        <f t="shared" si="7"/>
        <v>1</v>
      </c>
      <c r="AC115" s="3">
        <f t="shared" si="8"/>
        <v>0</v>
      </c>
      <c r="AD115" s="3">
        <f t="shared" si="9"/>
        <v>2.4</v>
      </c>
      <c r="AE115" s="3">
        <f t="shared" si="10"/>
        <v>-3</v>
      </c>
      <c r="AF115" s="3">
        <f t="shared" si="11"/>
        <v>-3</v>
      </c>
      <c r="AG115" s="3">
        <f t="shared" si="12"/>
        <v>-1</v>
      </c>
    </row>
    <row r="116">
      <c r="A116" s="1" t="s">
        <v>8</v>
      </c>
      <c r="B116" s="1" t="s">
        <v>318</v>
      </c>
      <c r="C116" s="1" t="s">
        <v>21</v>
      </c>
      <c r="D116" s="1" t="s">
        <v>67</v>
      </c>
      <c r="E116" s="1" t="s">
        <v>114</v>
      </c>
      <c r="F116" s="1" t="s">
        <v>528</v>
      </c>
      <c r="G116" s="1">
        <v>3.5</v>
      </c>
      <c r="H116" s="1" t="s">
        <v>60</v>
      </c>
      <c r="I116" s="1">
        <v>-132.0</v>
      </c>
      <c r="J116" s="1">
        <v>-0.244760649149004</v>
      </c>
      <c r="K116" s="1" t="s">
        <v>61</v>
      </c>
      <c r="L116" s="1" t="s">
        <v>61</v>
      </c>
      <c r="M116" s="1" t="s">
        <v>62</v>
      </c>
      <c r="N116" s="1">
        <v>-102.0</v>
      </c>
      <c r="O116" s="1">
        <v>0.170843802052576</v>
      </c>
      <c r="P116" s="1" t="s">
        <v>61</v>
      </c>
      <c r="Q116" s="1" t="s">
        <v>61</v>
      </c>
      <c r="R116" s="1">
        <f t="shared" si="1"/>
        <v>0.1708438021</v>
      </c>
      <c r="S116" s="1">
        <f t="shared" si="2"/>
        <v>-102</v>
      </c>
      <c r="T116" s="1">
        <f t="shared" si="3"/>
        <v>1.980392157</v>
      </c>
      <c r="U116" s="1">
        <f t="shared" si="4"/>
        <v>0</v>
      </c>
      <c r="V116" s="3">
        <f t="shared" si="5"/>
        <v>3</v>
      </c>
      <c r="W116" s="3">
        <f t="shared" si="6"/>
        <v>2</v>
      </c>
      <c r="X116" s="3" t="str">
        <f>IFERROR(__xludf.DUMMYFUNCTION("split(B116,"" "")"),"J.")</f>
        <v>J.</v>
      </c>
      <c r="Y116" s="3" t="str">
        <f>IFERROR(__xludf.DUMMYFUNCTION("""COMPUTED_VALUE"""),"Burrow")</f>
        <v>Burrow</v>
      </c>
      <c r="AA116" s="3">
        <v>1.0</v>
      </c>
      <c r="AB116" s="3">
        <f t="shared" si="7"/>
        <v>0</v>
      </c>
      <c r="AC116" s="3">
        <f t="shared" si="8"/>
        <v>1</v>
      </c>
      <c r="AD116" s="3">
        <f t="shared" si="9"/>
        <v>2.941176471</v>
      </c>
      <c r="AE116" s="3">
        <f t="shared" si="10"/>
        <v>2.941176471</v>
      </c>
      <c r="AF116" s="3">
        <f t="shared" si="11"/>
        <v>1.960784314</v>
      </c>
      <c r="AG116" s="3">
        <f t="shared" si="12"/>
        <v>0.7142857143</v>
      </c>
    </row>
    <row r="117">
      <c r="A117" s="1" t="s">
        <v>12</v>
      </c>
      <c r="B117" s="1" t="s">
        <v>389</v>
      </c>
      <c r="C117" s="1" t="s">
        <v>18</v>
      </c>
      <c r="D117" s="1" t="s">
        <v>67</v>
      </c>
      <c r="E117" s="1" t="s">
        <v>114</v>
      </c>
      <c r="F117" s="1" t="s">
        <v>528</v>
      </c>
      <c r="G117" s="1">
        <v>6.5</v>
      </c>
      <c r="H117" s="1" t="s">
        <v>60</v>
      </c>
      <c r="I117" s="1">
        <v>-114.0</v>
      </c>
      <c r="J117" s="1">
        <v>0.144883177570093</v>
      </c>
      <c r="K117" s="1" t="s">
        <v>61</v>
      </c>
      <c r="L117" s="1" t="s">
        <v>61</v>
      </c>
      <c r="M117" s="1" t="s">
        <v>62</v>
      </c>
      <c r="N117" s="1">
        <v>-115.0</v>
      </c>
      <c r="O117" s="1">
        <v>-0.212490697674418</v>
      </c>
      <c r="P117" s="1" t="s">
        <v>61</v>
      </c>
      <c r="Q117" s="1" t="s">
        <v>61</v>
      </c>
      <c r="R117" s="1">
        <f t="shared" si="1"/>
        <v>0.1448831776</v>
      </c>
      <c r="S117" s="1">
        <f t="shared" si="2"/>
        <v>-114</v>
      </c>
      <c r="T117" s="1">
        <f t="shared" si="3"/>
        <v>1.877192982</v>
      </c>
      <c r="U117" s="1">
        <f t="shared" si="4"/>
        <v>1</v>
      </c>
      <c r="V117" s="3">
        <f t="shared" si="5"/>
        <v>3</v>
      </c>
      <c r="W117" s="3">
        <f t="shared" si="6"/>
        <v>2</v>
      </c>
      <c r="X117" s="3" t="str">
        <f>IFERROR(__xludf.DUMMYFUNCTION("split(B117,"" "")"),"J.")</f>
        <v>J.</v>
      </c>
      <c r="Y117" s="3" t="str">
        <f>IFERROR(__xludf.DUMMYFUNCTION("""COMPUTED_VALUE"""),"Chase")</f>
        <v>Chase</v>
      </c>
      <c r="AA117" s="3">
        <v>6.0</v>
      </c>
      <c r="AB117" s="3">
        <f t="shared" si="7"/>
        <v>0</v>
      </c>
      <c r="AC117" s="3">
        <f t="shared" si="8"/>
        <v>0</v>
      </c>
      <c r="AD117" s="3">
        <f t="shared" si="9"/>
        <v>2.631578947</v>
      </c>
      <c r="AE117" s="3">
        <f t="shared" si="10"/>
        <v>-3</v>
      </c>
      <c r="AF117" s="3">
        <f t="shared" si="11"/>
        <v>-2</v>
      </c>
      <c r="AG117" s="3">
        <f t="shared" si="12"/>
        <v>-0.07692307692</v>
      </c>
    </row>
    <row r="118">
      <c r="A118" s="1" t="s">
        <v>12</v>
      </c>
      <c r="B118" s="1" t="s">
        <v>504</v>
      </c>
      <c r="C118" s="1" t="s">
        <v>20</v>
      </c>
      <c r="D118" s="1" t="s">
        <v>67</v>
      </c>
      <c r="E118" s="1" t="s">
        <v>114</v>
      </c>
      <c r="F118" s="1" t="s">
        <v>528</v>
      </c>
      <c r="G118" s="1">
        <v>2.5</v>
      </c>
      <c r="H118" s="1" t="s">
        <v>60</v>
      </c>
      <c r="I118" s="1">
        <v>-133.0</v>
      </c>
      <c r="J118" s="1">
        <v>-0.202956318412017</v>
      </c>
      <c r="K118" s="1" t="s">
        <v>61</v>
      </c>
      <c r="L118" s="1" t="s">
        <v>61</v>
      </c>
      <c r="M118" s="1" t="s">
        <v>62</v>
      </c>
      <c r="N118" s="1">
        <v>102.0</v>
      </c>
      <c r="O118" s="1">
        <v>0.13709763460396</v>
      </c>
      <c r="P118" s="1" t="s">
        <v>61</v>
      </c>
      <c r="Q118" s="1" t="s">
        <v>61</v>
      </c>
      <c r="R118" s="1">
        <f t="shared" si="1"/>
        <v>0.1370976346</v>
      </c>
      <c r="S118" s="1">
        <f t="shared" si="2"/>
        <v>102</v>
      </c>
      <c r="T118" s="1">
        <f t="shared" si="3"/>
        <v>2.02</v>
      </c>
      <c r="U118" s="1">
        <f t="shared" si="4"/>
        <v>0</v>
      </c>
      <c r="V118" s="3">
        <f t="shared" si="5"/>
        <v>3</v>
      </c>
      <c r="W118" s="3">
        <f t="shared" si="6"/>
        <v>2</v>
      </c>
      <c r="X118" s="3" t="str">
        <f>IFERROR(__xludf.DUMMYFUNCTION("split(B118,"" "")"),"M.")</f>
        <v>M.</v>
      </c>
      <c r="Y118" s="3" t="str">
        <f>IFERROR(__xludf.DUMMYFUNCTION("""COMPUTED_VALUE"""),"Gesicki")</f>
        <v>Gesicki</v>
      </c>
      <c r="AA118" s="3">
        <v>4.0</v>
      </c>
      <c r="AB118" s="3">
        <f t="shared" si="7"/>
        <v>1</v>
      </c>
      <c r="AC118" s="3">
        <f t="shared" si="8"/>
        <v>0</v>
      </c>
      <c r="AD118" s="3">
        <f t="shared" si="9"/>
        <v>3.06</v>
      </c>
      <c r="AE118" s="3">
        <f t="shared" si="10"/>
        <v>-3</v>
      </c>
      <c r="AF118" s="3">
        <f t="shared" si="11"/>
        <v>-2</v>
      </c>
      <c r="AG118" s="3">
        <f t="shared" si="12"/>
        <v>-0.6</v>
      </c>
    </row>
    <row r="119">
      <c r="A119" s="1" t="s">
        <v>8</v>
      </c>
      <c r="B119" s="1" t="s">
        <v>168</v>
      </c>
      <c r="C119" s="1" t="s">
        <v>19</v>
      </c>
      <c r="D119" s="1" t="s">
        <v>67</v>
      </c>
      <c r="E119" s="1" t="s">
        <v>114</v>
      </c>
      <c r="F119" s="1" t="s">
        <v>528</v>
      </c>
      <c r="G119" s="1">
        <v>13.5</v>
      </c>
      <c r="H119" s="1" t="s">
        <v>60</v>
      </c>
      <c r="I119" s="1">
        <v>-109.0</v>
      </c>
      <c r="J119" s="1">
        <v>-0.191182468232535</v>
      </c>
      <c r="K119" s="1" t="s">
        <v>61</v>
      </c>
      <c r="L119" s="1" t="s">
        <v>61</v>
      </c>
      <c r="M119" s="1" t="s">
        <v>62</v>
      </c>
      <c r="N119" s="1">
        <v>-124.0</v>
      </c>
      <c r="O119" s="1">
        <v>0.116072305656892</v>
      </c>
      <c r="P119" s="1" t="s">
        <v>61</v>
      </c>
      <c r="Q119" s="1" t="s">
        <v>61</v>
      </c>
      <c r="R119" s="1">
        <f t="shared" si="1"/>
        <v>0.1160723057</v>
      </c>
      <c r="S119" s="1">
        <f t="shared" si="2"/>
        <v>-124</v>
      </c>
      <c r="T119" s="1">
        <f t="shared" si="3"/>
        <v>1.806451613</v>
      </c>
      <c r="U119" s="1">
        <f t="shared" si="4"/>
        <v>0</v>
      </c>
      <c r="V119" s="3">
        <f t="shared" si="5"/>
        <v>3</v>
      </c>
      <c r="W119" s="3">
        <f t="shared" si="6"/>
        <v>3</v>
      </c>
      <c r="X119" s="3" t="str">
        <f>IFERROR(__xludf.DUMMYFUNCTION("split(B119,"" "")"),"Z.")</f>
        <v>Z.</v>
      </c>
      <c r="Y119" s="3" t="str">
        <f>IFERROR(__xludf.DUMMYFUNCTION("""COMPUTED_VALUE"""),"Moss")</f>
        <v>Moss</v>
      </c>
      <c r="AA119" s="3">
        <v>12.0</v>
      </c>
      <c r="AB119" s="3">
        <f t="shared" si="7"/>
        <v>0</v>
      </c>
      <c r="AC119" s="3">
        <f t="shared" si="8"/>
        <v>1</v>
      </c>
      <c r="AD119" s="3">
        <f t="shared" si="9"/>
        <v>2.419354839</v>
      </c>
      <c r="AE119" s="3">
        <f t="shared" si="10"/>
        <v>2.419354839</v>
      </c>
      <c r="AF119" s="3">
        <f t="shared" si="11"/>
        <v>2.419354839</v>
      </c>
      <c r="AG119" s="3">
        <f t="shared" si="12"/>
        <v>0.1111111111</v>
      </c>
    </row>
    <row r="120">
      <c r="A120" s="1" t="s">
        <v>12</v>
      </c>
      <c r="B120" s="1" t="s">
        <v>168</v>
      </c>
      <c r="C120" s="1" t="s">
        <v>19</v>
      </c>
      <c r="D120" s="1" t="s">
        <v>67</v>
      </c>
      <c r="E120" s="1" t="s">
        <v>114</v>
      </c>
      <c r="F120" s="1" t="s">
        <v>528</v>
      </c>
      <c r="G120" s="1">
        <v>2.5</v>
      </c>
      <c r="H120" s="1" t="s">
        <v>60</v>
      </c>
      <c r="I120" s="1">
        <v>123.0</v>
      </c>
      <c r="J120" s="1">
        <v>-0.134178794821973</v>
      </c>
      <c r="K120" s="1" t="s">
        <v>61</v>
      </c>
      <c r="L120" s="1" t="s">
        <v>61</v>
      </c>
      <c r="M120" s="1" t="s">
        <v>62</v>
      </c>
      <c r="N120" s="1">
        <v>-161.0</v>
      </c>
      <c r="O120" s="1">
        <v>0.0688957814065133</v>
      </c>
      <c r="P120" s="1" t="s">
        <v>61</v>
      </c>
      <c r="Q120" s="1" t="s">
        <v>61</v>
      </c>
      <c r="R120" s="1">
        <f t="shared" si="1"/>
        <v>0.06889578141</v>
      </c>
      <c r="S120" s="1">
        <f t="shared" si="2"/>
        <v>-161</v>
      </c>
      <c r="T120" s="1">
        <f t="shared" si="3"/>
        <v>1.621118012</v>
      </c>
      <c r="U120" s="1">
        <f t="shared" si="4"/>
        <v>0</v>
      </c>
      <c r="V120" s="3">
        <f t="shared" si="5"/>
        <v>2</v>
      </c>
      <c r="W120" s="3">
        <f t="shared" si="6"/>
        <v>3</v>
      </c>
      <c r="X120" s="3" t="str">
        <f>IFERROR(__xludf.DUMMYFUNCTION("split(B120,"" "")"),"Z.")</f>
        <v>Z.</v>
      </c>
      <c r="Y120" s="3" t="str">
        <f>IFERROR(__xludf.DUMMYFUNCTION("""COMPUTED_VALUE"""),"Moss")</f>
        <v>Moss</v>
      </c>
      <c r="AA120" s="3">
        <v>5.0</v>
      </c>
      <c r="AB120" s="3">
        <f t="shared" si="7"/>
        <v>1</v>
      </c>
      <c r="AC120" s="3">
        <f t="shared" si="8"/>
        <v>0</v>
      </c>
      <c r="AD120" s="3">
        <f t="shared" si="9"/>
        <v>1.242236025</v>
      </c>
      <c r="AE120" s="3">
        <f t="shared" si="10"/>
        <v>-2</v>
      </c>
      <c r="AF120" s="3">
        <f t="shared" si="11"/>
        <v>-3</v>
      </c>
      <c r="AG120" s="3">
        <f t="shared" si="12"/>
        <v>-1</v>
      </c>
    </row>
    <row r="121">
      <c r="A121" s="1" t="s">
        <v>9</v>
      </c>
      <c r="B121" s="1" t="s">
        <v>293</v>
      </c>
      <c r="C121" s="1" t="s">
        <v>19</v>
      </c>
      <c r="D121" s="1" t="s">
        <v>67</v>
      </c>
      <c r="E121" s="1" t="s">
        <v>114</v>
      </c>
      <c r="F121" s="1" t="s">
        <v>528</v>
      </c>
      <c r="G121" s="1">
        <v>38.5</v>
      </c>
      <c r="H121" s="1" t="s">
        <v>60</v>
      </c>
      <c r="I121" s="1">
        <v>-114.0</v>
      </c>
      <c r="J121" s="1">
        <v>0.0586637160307863</v>
      </c>
      <c r="K121" s="1" t="s">
        <v>61</v>
      </c>
      <c r="L121" s="1" t="s">
        <v>61</v>
      </c>
      <c r="M121" s="1" t="s">
        <v>62</v>
      </c>
      <c r="N121" s="1">
        <v>-114.0</v>
      </c>
      <c r="O121" s="1">
        <v>-0.124094636275096</v>
      </c>
      <c r="P121" s="1" t="s">
        <v>61</v>
      </c>
      <c r="Q121" s="1" t="s">
        <v>61</v>
      </c>
      <c r="R121" s="1">
        <f t="shared" si="1"/>
        <v>0.05866371603</v>
      </c>
      <c r="S121" s="1">
        <f t="shared" si="2"/>
        <v>-114</v>
      </c>
      <c r="T121" s="1">
        <f t="shared" si="3"/>
        <v>1.877192982</v>
      </c>
      <c r="U121" s="1">
        <f t="shared" si="4"/>
        <v>1</v>
      </c>
      <c r="V121" s="3">
        <f t="shared" si="5"/>
        <v>2</v>
      </c>
      <c r="W121" s="3">
        <f t="shared" si="6"/>
        <v>2</v>
      </c>
      <c r="X121" s="3" t="str">
        <f>IFERROR(__xludf.DUMMYFUNCTION("split(B121,"" "")"),"C.")</f>
        <v>C.</v>
      </c>
      <c r="Y121" s="3" t="str">
        <f>IFERROR(__xludf.DUMMYFUNCTION("""COMPUTED_VALUE"""),"Brown")</f>
        <v>Brown</v>
      </c>
      <c r="AA121" s="3">
        <v>29.0</v>
      </c>
      <c r="AB121" s="3">
        <f t="shared" si="7"/>
        <v>0</v>
      </c>
      <c r="AC121" s="3">
        <f t="shared" si="8"/>
        <v>0</v>
      </c>
      <c r="AD121" s="3">
        <f t="shared" si="9"/>
        <v>1.754385965</v>
      </c>
      <c r="AE121" s="3">
        <f t="shared" si="10"/>
        <v>-2</v>
      </c>
      <c r="AF121" s="3">
        <f t="shared" si="11"/>
        <v>-2</v>
      </c>
      <c r="AG121" s="3">
        <f t="shared" si="12"/>
        <v>-0.2467532468</v>
      </c>
    </row>
    <row r="122">
      <c r="A122" s="1" t="s">
        <v>11</v>
      </c>
      <c r="B122" s="1" t="s">
        <v>527</v>
      </c>
      <c r="C122" s="1" t="s">
        <v>18</v>
      </c>
      <c r="D122" s="1" t="s">
        <v>67</v>
      </c>
      <c r="E122" s="1" t="s">
        <v>114</v>
      </c>
      <c r="F122" s="1" t="s">
        <v>528</v>
      </c>
      <c r="G122" s="1">
        <v>26.5</v>
      </c>
      <c r="H122" s="1" t="s">
        <v>60</v>
      </c>
      <c r="I122" s="1">
        <v>-112.0</v>
      </c>
      <c r="J122" s="1">
        <v>-0.12391959017199</v>
      </c>
      <c r="K122" s="1" t="s">
        <v>61</v>
      </c>
      <c r="L122" s="1" t="s">
        <v>61</v>
      </c>
      <c r="M122" s="1" t="s">
        <v>62</v>
      </c>
      <c r="N122" s="1">
        <v>-117.0</v>
      </c>
      <c r="O122" s="1">
        <v>0.0564783370795417</v>
      </c>
      <c r="P122" s="1" t="s">
        <v>61</v>
      </c>
      <c r="Q122" s="1" t="s">
        <v>61</v>
      </c>
      <c r="R122" s="1">
        <f t="shared" si="1"/>
        <v>0.05647833708</v>
      </c>
      <c r="S122" s="1">
        <f t="shared" si="2"/>
        <v>-117</v>
      </c>
      <c r="T122" s="1">
        <f t="shared" si="3"/>
        <v>1.854700855</v>
      </c>
      <c r="U122" s="1">
        <f t="shared" si="4"/>
        <v>0</v>
      </c>
      <c r="V122" s="3">
        <f t="shared" si="5"/>
        <v>2</v>
      </c>
      <c r="W122" s="3">
        <f t="shared" si="6"/>
        <v>2</v>
      </c>
      <c r="X122" s="3" t="str">
        <f>IFERROR(__xludf.DUMMYFUNCTION("split(B122,"" "")"),"A.")</f>
        <v>A.</v>
      </c>
      <c r="Y122" s="3" t="str">
        <f>IFERROR(__xludf.DUMMYFUNCTION("""COMPUTED_VALUE"""),"Iosivas")</f>
        <v>Iosivas</v>
      </c>
      <c r="AA122" s="3">
        <v>52.0</v>
      </c>
      <c r="AB122" s="3">
        <f t="shared" si="7"/>
        <v>1</v>
      </c>
      <c r="AC122" s="3">
        <f t="shared" si="8"/>
        <v>0</v>
      </c>
      <c r="AD122" s="3">
        <f t="shared" si="9"/>
        <v>1.709401709</v>
      </c>
      <c r="AE122" s="3">
        <f t="shared" si="10"/>
        <v>-2</v>
      </c>
      <c r="AF122" s="3">
        <f t="shared" si="11"/>
        <v>-2</v>
      </c>
      <c r="AG122" s="3">
        <f t="shared" si="12"/>
        <v>-0.9622641509</v>
      </c>
    </row>
    <row r="123">
      <c r="A123" s="1" t="s">
        <v>10</v>
      </c>
      <c r="B123" s="1" t="s">
        <v>168</v>
      </c>
      <c r="C123" s="1" t="s">
        <v>19</v>
      </c>
      <c r="D123" s="1" t="s">
        <v>67</v>
      </c>
      <c r="E123" s="1" t="s">
        <v>114</v>
      </c>
      <c r="F123" s="1" t="s">
        <v>528</v>
      </c>
      <c r="G123" s="1">
        <v>51.5</v>
      </c>
      <c r="H123" s="1" t="s">
        <v>60</v>
      </c>
      <c r="I123" s="1">
        <v>-113.0</v>
      </c>
      <c r="J123" s="1">
        <v>-0.10587008903788</v>
      </c>
      <c r="K123" s="1" t="s">
        <v>61</v>
      </c>
      <c r="L123" s="1" t="s">
        <v>61</v>
      </c>
      <c r="M123" s="1" t="s">
        <v>62</v>
      </c>
      <c r="N123" s="1">
        <v>-116.0</v>
      </c>
      <c r="O123" s="1">
        <v>0.0383818385066693</v>
      </c>
      <c r="P123" s="1" t="s">
        <v>61</v>
      </c>
      <c r="Q123" s="1" t="s">
        <v>61</v>
      </c>
      <c r="R123" s="1">
        <f t="shared" si="1"/>
        <v>0.03838183851</v>
      </c>
      <c r="S123" s="1">
        <f t="shared" si="2"/>
        <v>-116</v>
      </c>
      <c r="T123" s="1">
        <f t="shared" si="3"/>
        <v>1.862068966</v>
      </c>
      <c r="U123" s="1">
        <f t="shared" si="4"/>
        <v>0</v>
      </c>
      <c r="V123" s="3">
        <f t="shared" si="5"/>
        <v>1</v>
      </c>
      <c r="W123" s="3">
        <f t="shared" si="6"/>
        <v>2</v>
      </c>
      <c r="X123" s="3" t="str">
        <f>IFERROR(__xludf.DUMMYFUNCTION("split(B123,"" "")"),"Z.")</f>
        <v>Z.</v>
      </c>
      <c r="Y123" s="3" t="str">
        <f>IFERROR(__xludf.DUMMYFUNCTION("""COMPUTED_VALUE"""),"Moss")</f>
        <v>Moss</v>
      </c>
      <c r="AA123" s="3">
        <v>58.0</v>
      </c>
      <c r="AB123" s="3">
        <f t="shared" si="7"/>
        <v>1</v>
      </c>
      <c r="AC123" s="3">
        <f t="shared" si="8"/>
        <v>0</v>
      </c>
      <c r="AD123" s="3">
        <f t="shared" si="9"/>
        <v>0.8620689655</v>
      </c>
      <c r="AE123" s="3">
        <f t="shared" si="10"/>
        <v>-1</v>
      </c>
      <c r="AF123" s="3">
        <f t="shared" si="11"/>
        <v>-2</v>
      </c>
      <c r="AG123" s="3">
        <f t="shared" si="12"/>
        <v>-0.1262135922</v>
      </c>
    </row>
    <row r="124">
      <c r="A124" s="1" t="s">
        <v>11</v>
      </c>
      <c r="B124" s="1" t="s">
        <v>293</v>
      </c>
      <c r="C124" s="1" t="s">
        <v>19</v>
      </c>
      <c r="D124" s="1" t="s">
        <v>67</v>
      </c>
      <c r="E124" s="1" t="s">
        <v>114</v>
      </c>
      <c r="F124" s="1" t="s">
        <v>528</v>
      </c>
      <c r="G124" s="1">
        <v>9.5</v>
      </c>
      <c r="H124" s="1" t="s">
        <v>60</v>
      </c>
      <c r="I124" s="1">
        <v>-114.0</v>
      </c>
      <c r="J124" s="1">
        <v>0.0317222668866359</v>
      </c>
      <c r="K124" s="1" t="s">
        <v>61</v>
      </c>
      <c r="L124" s="1" t="s">
        <v>61</v>
      </c>
      <c r="M124" s="1" t="s">
        <v>62</v>
      </c>
      <c r="N124" s="1">
        <v>-114.0</v>
      </c>
      <c r="O124" s="1">
        <v>-0.0971613842507648</v>
      </c>
      <c r="P124" s="1" t="s">
        <v>61</v>
      </c>
      <c r="Q124" s="1" t="s">
        <v>61</v>
      </c>
      <c r="R124" s="1">
        <f t="shared" si="1"/>
        <v>0.03172226689</v>
      </c>
      <c r="S124" s="1">
        <f t="shared" si="2"/>
        <v>-114</v>
      </c>
      <c r="T124" s="1">
        <f t="shared" si="3"/>
        <v>1.877192982</v>
      </c>
      <c r="U124" s="1">
        <f t="shared" si="4"/>
        <v>1</v>
      </c>
      <c r="V124" s="3">
        <f t="shared" si="5"/>
        <v>1</v>
      </c>
      <c r="W124" s="3">
        <f t="shared" si="6"/>
        <v>2</v>
      </c>
      <c r="X124" s="3" t="str">
        <f>IFERROR(__xludf.DUMMYFUNCTION("split(B124,"" "")"),"C.")</f>
        <v>C.</v>
      </c>
      <c r="Y124" s="3" t="str">
        <f>IFERROR(__xludf.DUMMYFUNCTION("""COMPUTED_VALUE"""),"Brown")</f>
        <v>Brown</v>
      </c>
      <c r="AA124" s="3">
        <v>29.0</v>
      </c>
      <c r="AB124" s="3">
        <f t="shared" si="7"/>
        <v>1</v>
      </c>
      <c r="AC124" s="3">
        <f t="shared" si="8"/>
        <v>1</v>
      </c>
      <c r="AD124" s="3">
        <f t="shared" si="9"/>
        <v>0.8771929825</v>
      </c>
      <c r="AE124" s="3">
        <f t="shared" si="10"/>
        <v>0.8771929825</v>
      </c>
      <c r="AF124" s="3">
        <f t="shared" si="11"/>
        <v>1.754385965</v>
      </c>
      <c r="AG124" s="3">
        <f t="shared" si="12"/>
        <v>2.052631579</v>
      </c>
    </row>
    <row r="125">
      <c r="A125" s="1" t="s">
        <v>9</v>
      </c>
      <c r="B125" s="1" t="s">
        <v>168</v>
      </c>
      <c r="C125" s="1" t="s">
        <v>19</v>
      </c>
      <c r="D125" s="1" t="s">
        <v>67</v>
      </c>
      <c r="E125" s="1" t="s">
        <v>114</v>
      </c>
      <c r="F125" s="1" t="s">
        <v>528</v>
      </c>
      <c r="G125" s="1">
        <v>68.5</v>
      </c>
      <c r="H125" s="1" t="s">
        <v>60</v>
      </c>
      <c r="I125" s="1">
        <v>-115.0</v>
      </c>
      <c r="J125" s="1">
        <v>-0.102304699485872</v>
      </c>
      <c r="K125" s="1" t="s">
        <v>61</v>
      </c>
      <c r="L125" s="1" t="s">
        <v>61</v>
      </c>
      <c r="M125" s="1" t="s">
        <v>62</v>
      </c>
      <c r="N125" s="1">
        <v>-117.0</v>
      </c>
      <c r="O125" s="1">
        <v>0.0282538117772869</v>
      </c>
      <c r="P125" s="1" t="s">
        <v>61</v>
      </c>
      <c r="Q125" s="1" t="s">
        <v>61</v>
      </c>
      <c r="R125" s="1">
        <f t="shared" si="1"/>
        <v>0.02825381178</v>
      </c>
      <c r="S125" s="1">
        <f t="shared" si="2"/>
        <v>-117</v>
      </c>
      <c r="T125" s="1">
        <f t="shared" si="3"/>
        <v>1.854700855</v>
      </c>
      <c r="U125" s="1">
        <f t="shared" si="4"/>
        <v>0</v>
      </c>
      <c r="V125" s="3">
        <f t="shared" si="5"/>
        <v>1</v>
      </c>
      <c r="W125" s="3">
        <f t="shared" si="6"/>
        <v>2</v>
      </c>
      <c r="X125" s="3" t="str">
        <f>IFERROR(__xludf.DUMMYFUNCTION("split(B125,"" "")"),"Z.")</f>
        <v>Z.</v>
      </c>
      <c r="Y125" s="3" t="str">
        <f>IFERROR(__xludf.DUMMYFUNCTION("""COMPUTED_VALUE"""),"Moss")</f>
        <v>Moss</v>
      </c>
      <c r="AA125" s="3">
        <v>97.0</v>
      </c>
      <c r="AB125" s="3">
        <f t="shared" si="7"/>
        <v>1</v>
      </c>
      <c r="AC125" s="3">
        <f t="shared" si="8"/>
        <v>0</v>
      </c>
      <c r="AD125" s="3">
        <f t="shared" si="9"/>
        <v>0.8547008547</v>
      </c>
      <c r="AE125" s="3">
        <f t="shared" si="10"/>
        <v>-1</v>
      </c>
      <c r="AF125" s="3">
        <f t="shared" si="11"/>
        <v>-2</v>
      </c>
      <c r="AG125" s="3">
        <f t="shared" si="12"/>
        <v>-0.4160583942</v>
      </c>
    </row>
    <row r="126">
      <c r="A126" s="1" t="s">
        <v>14</v>
      </c>
      <c r="B126" s="1" t="s">
        <v>318</v>
      </c>
      <c r="C126" s="1" t="s">
        <v>21</v>
      </c>
      <c r="D126" s="1" t="s">
        <v>67</v>
      </c>
      <c r="E126" s="1" t="s">
        <v>114</v>
      </c>
      <c r="F126" s="1" t="s">
        <v>528</v>
      </c>
      <c r="G126" s="1">
        <v>1.5</v>
      </c>
      <c r="H126" s="1" t="s">
        <v>60</v>
      </c>
      <c r="I126" s="1">
        <v>-157.0</v>
      </c>
      <c r="J126" s="1">
        <v>-0.0835949416342413</v>
      </c>
      <c r="K126" s="1" t="s">
        <v>61</v>
      </c>
      <c r="L126" s="1" t="s">
        <v>61</v>
      </c>
      <c r="M126" s="1" t="s">
        <v>62</v>
      </c>
      <c r="N126" s="1">
        <v>122.0</v>
      </c>
      <c r="O126" s="1">
        <v>0.0222495495495494</v>
      </c>
      <c r="P126" s="1" t="s">
        <v>61</v>
      </c>
      <c r="Q126" s="1" t="s">
        <v>61</v>
      </c>
      <c r="R126" s="1">
        <f t="shared" si="1"/>
        <v>0.02224954955</v>
      </c>
      <c r="S126" s="1">
        <f t="shared" si="2"/>
        <v>122</v>
      </c>
      <c r="T126" s="1">
        <f t="shared" si="3"/>
        <v>2.22</v>
      </c>
      <c r="U126" s="1">
        <f t="shared" si="4"/>
        <v>0</v>
      </c>
      <c r="V126" s="3">
        <f t="shared" si="5"/>
        <v>1</v>
      </c>
      <c r="W126" s="3">
        <f t="shared" si="6"/>
        <v>1</v>
      </c>
      <c r="X126" s="3" t="str">
        <f>IFERROR(__xludf.DUMMYFUNCTION("split(B126,"" "")"),"J.")</f>
        <v>J.</v>
      </c>
      <c r="Y126" s="3" t="str">
        <f>IFERROR(__xludf.DUMMYFUNCTION("""COMPUTED_VALUE"""),"Burrow")</f>
        <v>Burrow</v>
      </c>
      <c r="AA126" s="3">
        <v>3.0</v>
      </c>
      <c r="AB126" s="3">
        <f t="shared" si="7"/>
        <v>1</v>
      </c>
      <c r="AC126" s="3">
        <f t="shared" si="8"/>
        <v>0</v>
      </c>
      <c r="AD126" s="3">
        <f t="shared" si="9"/>
        <v>1.22</v>
      </c>
      <c r="AE126" s="3">
        <f t="shared" si="10"/>
        <v>-1</v>
      </c>
      <c r="AF126" s="3">
        <f t="shared" si="11"/>
        <v>-1</v>
      </c>
      <c r="AG126" s="3">
        <f t="shared" si="12"/>
        <v>-1</v>
      </c>
    </row>
    <row r="127">
      <c r="A127" s="1" t="s">
        <v>12</v>
      </c>
      <c r="B127" s="1" t="s">
        <v>529</v>
      </c>
      <c r="C127" s="1" t="s">
        <v>18</v>
      </c>
      <c r="D127" s="1" t="s">
        <v>67</v>
      </c>
      <c r="E127" s="1" t="s">
        <v>114</v>
      </c>
      <c r="F127" s="1" t="s">
        <v>528</v>
      </c>
      <c r="G127" s="1">
        <v>3.5</v>
      </c>
      <c r="H127" s="1" t="s">
        <v>60</v>
      </c>
      <c r="I127" s="1">
        <v>-113.0</v>
      </c>
      <c r="J127" s="1">
        <v>-0.0911164319248826</v>
      </c>
      <c r="K127" s="1" t="s">
        <v>61</v>
      </c>
      <c r="L127" s="1" t="s">
        <v>61</v>
      </c>
      <c r="M127" s="1" t="s">
        <v>62</v>
      </c>
      <c r="N127" s="1">
        <v>-117.0</v>
      </c>
      <c r="O127" s="1">
        <v>0.0214294930875575</v>
      </c>
      <c r="P127" s="1" t="s">
        <v>61</v>
      </c>
      <c r="Q127" s="1" t="s">
        <v>61</v>
      </c>
      <c r="R127" s="1">
        <f t="shared" si="1"/>
        <v>0.02142949309</v>
      </c>
      <c r="S127" s="1">
        <f t="shared" si="2"/>
        <v>-117</v>
      </c>
      <c r="T127" s="1">
        <f t="shared" si="3"/>
        <v>1.854700855</v>
      </c>
      <c r="U127" s="1">
        <f t="shared" si="4"/>
        <v>0</v>
      </c>
      <c r="V127" s="3">
        <f t="shared" si="5"/>
        <v>1</v>
      </c>
      <c r="W127" s="3">
        <f t="shared" si="6"/>
        <v>2</v>
      </c>
      <c r="X127" s="3" t="str">
        <f>IFERROR(__xludf.DUMMYFUNCTION("split(B127,"" "")"),"T.")</f>
        <v>T.</v>
      </c>
      <c r="Y127" s="3" t="str">
        <f>IFERROR(__xludf.DUMMYFUNCTION("""COMPUTED_VALUE"""),"Higgins")</f>
        <v>Higgins</v>
      </c>
      <c r="AA127" s="3">
        <v>3.0</v>
      </c>
      <c r="AB127" s="3">
        <f t="shared" si="7"/>
        <v>0</v>
      </c>
      <c r="AC127" s="3">
        <f t="shared" si="8"/>
        <v>1</v>
      </c>
      <c r="AD127" s="3">
        <f t="shared" si="9"/>
        <v>0.8547008547</v>
      </c>
      <c r="AE127" s="3">
        <f t="shared" si="10"/>
        <v>0.8547008547</v>
      </c>
      <c r="AF127" s="3">
        <f t="shared" si="11"/>
        <v>1.709401709</v>
      </c>
      <c r="AG127" s="3">
        <f t="shared" si="12"/>
        <v>0.1428571429</v>
      </c>
    </row>
    <row r="128">
      <c r="A128" s="1" t="s">
        <v>11</v>
      </c>
      <c r="B128" s="1" t="s">
        <v>504</v>
      </c>
      <c r="C128" s="1" t="s">
        <v>20</v>
      </c>
      <c r="D128" s="1" t="s">
        <v>67</v>
      </c>
      <c r="E128" s="1" t="s">
        <v>114</v>
      </c>
      <c r="F128" s="1" t="s">
        <v>528</v>
      </c>
      <c r="G128" s="1">
        <v>27.5</v>
      </c>
      <c r="H128" s="1" t="s">
        <v>60</v>
      </c>
      <c r="I128" s="1">
        <v>-111.0</v>
      </c>
      <c r="J128" s="1">
        <v>-0.0751613329545972</v>
      </c>
      <c r="K128" s="1" t="s">
        <v>61</v>
      </c>
      <c r="L128" s="1" t="s">
        <v>61</v>
      </c>
      <c r="M128" s="1" t="s">
        <v>62</v>
      </c>
      <c r="N128" s="1">
        <v>-113.0</v>
      </c>
      <c r="O128" s="1">
        <v>0.0186257071190827</v>
      </c>
      <c r="P128" s="1" t="s">
        <v>61</v>
      </c>
      <c r="Q128" s="1" t="s">
        <v>61</v>
      </c>
      <c r="R128" s="1">
        <f t="shared" si="1"/>
        <v>0.01862570712</v>
      </c>
      <c r="S128" s="1">
        <f t="shared" si="2"/>
        <v>-113</v>
      </c>
      <c r="T128" s="1">
        <f t="shared" si="3"/>
        <v>1.884955752</v>
      </c>
      <c r="U128" s="1">
        <f t="shared" si="4"/>
        <v>0</v>
      </c>
      <c r="V128" s="3">
        <f t="shared" si="5"/>
        <v>1</v>
      </c>
      <c r="W128" s="3">
        <f t="shared" si="6"/>
        <v>2</v>
      </c>
      <c r="X128" s="3" t="str">
        <f>IFERROR(__xludf.DUMMYFUNCTION("split(B128,"" "")"),"M.")</f>
        <v>M.</v>
      </c>
      <c r="Y128" s="3" t="str">
        <f>IFERROR(__xludf.DUMMYFUNCTION("""COMPUTED_VALUE"""),"Gesicki")</f>
        <v>Gesicki</v>
      </c>
      <c r="AA128" s="3">
        <v>47.0</v>
      </c>
      <c r="AB128" s="3">
        <f t="shared" si="7"/>
        <v>1</v>
      </c>
      <c r="AC128" s="3">
        <f t="shared" si="8"/>
        <v>0</v>
      </c>
      <c r="AD128" s="3">
        <f t="shared" si="9"/>
        <v>0.8849557522</v>
      </c>
      <c r="AE128" s="3">
        <f t="shared" si="10"/>
        <v>-1</v>
      </c>
      <c r="AF128" s="3">
        <f t="shared" si="11"/>
        <v>-2</v>
      </c>
      <c r="AG128" s="3">
        <f t="shared" si="12"/>
        <v>-0.7090909091</v>
      </c>
    </row>
    <row r="129">
      <c r="A129" s="1" t="s">
        <v>15</v>
      </c>
      <c r="B129" s="1" t="s">
        <v>318</v>
      </c>
      <c r="C129" s="1" t="s">
        <v>21</v>
      </c>
      <c r="D129" s="1" t="s">
        <v>67</v>
      </c>
      <c r="E129" s="1" t="s">
        <v>114</v>
      </c>
      <c r="F129" s="1" t="s">
        <v>528</v>
      </c>
      <c r="G129" s="1">
        <v>23.5</v>
      </c>
      <c r="H129" s="1" t="s">
        <v>60</v>
      </c>
      <c r="I129" s="1">
        <v>-112.0</v>
      </c>
      <c r="J129" s="1">
        <v>0.00640943396226412</v>
      </c>
      <c r="K129" s="1" t="s">
        <v>61</v>
      </c>
      <c r="L129" s="1" t="s">
        <v>61</v>
      </c>
      <c r="M129" s="1" t="s">
        <v>62</v>
      </c>
      <c r="N129" s="1">
        <v>-117.0</v>
      </c>
      <c r="O129" s="1">
        <v>-0.0738548387096774</v>
      </c>
      <c r="P129" s="1" t="s">
        <v>61</v>
      </c>
      <c r="Q129" s="1" t="s">
        <v>61</v>
      </c>
      <c r="R129" s="1">
        <f t="shared" si="1"/>
        <v>0.006409433962</v>
      </c>
      <c r="S129" s="1">
        <f t="shared" si="2"/>
        <v>-112</v>
      </c>
      <c r="T129" s="1">
        <f t="shared" si="3"/>
        <v>1.892857143</v>
      </c>
      <c r="U129" s="1">
        <f t="shared" si="4"/>
        <v>1</v>
      </c>
      <c r="V129" s="3">
        <f t="shared" si="5"/>
        <v>1</v>
      </c>
      <c r="W129" s="3">
        <f t="shared" si="6"/>
        <v>2</v>
      </c>
      <c r="X129" s="3" t="str">
        <f>IFERROR(__xludf.DUMMYFUNCTION("split(B129,"" "")"),"J.")</f>
        <v>J.</v>
      </c>
      <c r="Y129" s="3" t="str">
        <f>IFERROR(__xludf.DUMMYFUNCTION("""COMPUTED_VALUE"""),"Burrow")</f>
        <v>Burrow</v>
      </c>
      <c r="AA129" s="3">
        <v>29.0</v>
      </c>
      <c r="AB129" s="3">
        <f t="shared" si="7"/>
        <v>1</v>
      </c>
      <c r="AC129" s="3">
        <f t="shared" si="8"/>
        <v>1</v>
      </c>
      <c r="AD129" s="3">
        <f t="shared" si="9"/>
        <v>0.8928571429</v>
      </c>
      <c r="AE129" s="3">
        <f t="shared" si="10"/>
        <v>0.8928571429</v>
      </c>
      <c r="AF129" s="3">
        <f t="shared" si="11"/>
        <v>1.785714286</v>
      </c>
      <c r="AG129" s="3">
        <f t="shared" si="12"/>
        <v>0.2340425532</v>
      </c>
    </row>
    <row r="130">
      <c r="A130" s="1" t="s">
        <v>16</v>
      </c>
      <c r="B130" s="1" t="s">
        <v>318</v>
      </c>
      <c r="C130" s="1" t="s">
        <v>21</v>
      </c>
      <c r="D130" s="1" t="s">
        <v>67</v>
      </c>
      <c r="E130" s="1" t="s">
        <v>114</v>
      </c>
      <c r="F130" s="1" t="s">
        <v>528</v>
      </c>
      <c r="G130" s="1">
        <v>34.5</v>
      </c>
      <c r="H130" s="1" t="s">
        <v>60</v>
      </c>
      <c r="I130" s="1">
        <v>-110.0</v>
      </c>
      <c r="J130" s="1">
        <v>0.00638535975571408</v>
      </c>
      <c r="K130" s="1" t="s">
        <v>61</v>
      </c>
      <c r="L130" s="1" t="s">
        <v>61</v>
      </c>
      <c r="M130" s="1" t="s">
        <v>62</v>
      </c>
      <c r="N130" s="1">
        <v>-122.0</v>
      </c>
      <c r="O130" s="1">
        <v>-0.0797591545810809</v>
      </c>
      <c r="P130" s="1" t="s">
        <v>61</v>
      </c>
      <c r="Q130" s="1" t="s">
        <v>61</v>
      </c>
      <c r="R130" s="1">
        <f t="shared" si="1"/>
        <v>0.006385359756</v>
      </c>
      <c r="S130" s="1">
        <f t="shared" si="2"/>
        <v>-110</v>
      </c>
      <c r="T130" s="1">
        <f t="shared" si="3"/>
        <v>1.909090909</v>
      </c>
      <c r="U130" s="1">
        <f t="shared" si="4"/>
        <v>1</v>
      </c>
      <c r="V130" s="3">
        <f t="shared" si="5"/>
        <v>1</v>
      </c>
      <c r="W130" s="3">
        <f t="shared" si="6"/>
        <v>2</v>
      </c>
      <c r="X130" s="3" t="str">
        <f>IFERROR(__xludf.DUMMYFUNCTION("split(B130,"" "")"),"J.")</f>
        <v>J.</v>
      </c>
      <c r="Y130" s="3" t="str">
        <f>IFERROR(__xludf.DUMMYFUNCTION("""COMPUTED_VALUE"""),"Burrow")</f>
        <v>Burrow</v>
      </c>
      <c r="AA130" s="3">
        <v>38.0</v>
      </c>
      <c r="AB130" s="3">
        <f t="shared" si="7"/>
        <v>1</v>
      </c>
      <c r="AC130" s="3">
        <f t="shared" si="8"/>
        <v>1</v>
      </c>
      <c r="AD130" s="3">
        <f t="shared" si="9"/>
        <v>0.9090909091</v>
      </c>
      <c r="AE130" s="3">
        <f t="shared" si="10"/>
        <v>0.9090909091</v>
      </c>
      <c r="AF130" s="3">
        <f t="shared" si="11"/>
        <v>1.818181818</v>
      </c>
      <c r="AG130" s="3">
        <f t="shared" si="12"/>
        <v>0.1014492754</v>
      </c>
    </row>
    <row r="131">
      <c r="A131" s="1" t="s">
        <v>10</v>
      </c>
      <c r="B131" s="1" t="s">
        <v>318</v>
      </c>
      <c r="C131" s="1" t="s">
        <v>21</v>
      </c>
      <c r="D131" s="1" t="s">
        <v>67</v>
      </c>
      <c r="E131" s="1" t="s">
        <v>114</v>
      </c>
      <c r="F131" s="1" t="s">
        <v>528</v>
      </c>
      <c r="G131" s="1">
        <v>12.5</v>
      </c>
      <c r="H131" s="1" t="s">
        <v>60</v>
      </c>
      <c r="I131" s="1">
        <v>-105.0</v>
      </c>
      <c r="J131" s="1">
        <v>-0.0732903831126435</v>
      </c>
      <c r="K131" s="1" t="s">
        <v>61</v>
      </c>
      <c r="L131" s="1" t="s">
        <v>61</v>
      </c>
      <c r="M131" s="1" t="s">
        <v>62</v>
      </c>
      <c r="N131" s="1">
        <v>-125.0</v>
      </c>
      <c r="O131" s="1">
        <v>0.00553904743384392</v>
      </c>
      <c r="P131" s="1" t="s">
        <v>61</v>
      </c>
      <c r="Q131" s="1" t="s">
        <v>61</v>
      </c>
      <c r="R131" s="1">
        <f t="shared" si="1"/>
        <v>0.005539047434</v>
      </c>
      <c r="S131" s="1">
        <f t="shared" si="2"/>
        <v>-125</v>
      </c>
      <c r="T131" s="1">
        <f t="shared" si="3"/>
        <v>1.8</v>
      </c>
      <c r="U131" s="1">
        <f t="shared" si="4"/>
        <v>0</v>
      </c>
      <c r="V131" s="3">
        <f t="shared" si="5"/>
        <v>1</v>
      </c>
      <c r="W131" s="3">
        <f t="shared" si="6"/>
        <v>3</v>
      </c>
      <c r="X131" s="3" t="str">
        <f>IFERROR(__xludf.DUMMYFUNCTION("split(B131,"" "")"),"J.")</f>
        <v>J.</v>
      </c>
      <c r="Y131" s="3" t="str">
        <f>IFERROR(__xludf.DUMMYFUNCTION("""COMPUTED_VALUE"""),"Burrow")</f>
        <v>Burrow</v>
      </c>
      <c r="AA131" s="3">
        <v>4.0</v>
      </c>
      <c r="AB131" s="3">
        <f t="shared" si="7"/>
        <v>0</v>
      </c>
      <c r="AC131" s="3">
        <f t="shared" si="8"/>
        <v>1</v>
      </c>
      <c r="AD131" s="3">
        <f t="shared" si="9"/>
        <v>0.8</v>
      </c>
      <c r="AE131" s="3">
        <f t="shared" si="10"/>
        <v>0.8</v>
      </c>
      <c r="AF131" s="3">
        <f t="shared" si="11"/>
        <v>2.4</v>
      </c>
      <c r="AG131" s="3">
        <f t="shared" si="12"/>
        <v>0.68</v>
      </c>
    </row>
    <row r="132">
      <c r="A132" s="1" t="s">
        <v>10</v>
      </c>
      <c r="B132" s="1" t="s">
        <v>293</v>
      </c>
      <c r="C132" s="1" t="s">
        <v>19</v>
      </c>
      <c r="D132" s="1" t="s">
        <v>67</v>
      </c>
      <c r="E132" s="1" t="s">
        <v>114</v>
      </c>
      <c r="F132" s="1" t="s">
        <v>528</v>
      </c>
      <c r="G132" s="1">
        <v>25.5</v>
      </c>
      <c r="H132" s="1" t="s">
        <v>60</v>
      </c>
      <c r="I132" s="1">
        <v>-105.0</v>
      </c>
      <c r="J132" s="1">
        <v>0.00492012055097812</v>
      </c>
      <c r="K132" s="1" t="s">
        <v>61</v>
      </c>
      <c r="L132" s="1" t="s">
        <v>61</v>
      </c>
      <c r="M132" s="1" t="s">
        <v>62</v>
      </c>
      <c r="N132" s="1">
        <v>-125.0</v>
      </c>
      <c r="O132" s="1">
        <v>-0.0726173595163918</v>
      </c>
      <c r="P132" s="1" t="s">
        <v>61</v>
      </c>
      <c r="Q132" s="1" t="s">
        <v>61</v>
      </c>
      <c r="R132" s="1">
        <f t="shared" si="1"/>
        <v>0.004920120551</v>
      </c>
      <c r="S132" s="1">
        <f t="shared" si="2"/>
        <v>-105</v>
      </c>
      <c r="T132" s="1">
        <f t="shared" si="3"/>
        <v>1.952380952</v>
      </c>
      <c r="U132" s="1">
        <f t="shared" si="4"/>
        <v>1</v>
      </c>
      <c r="V132" s="3">
        <f t="shared" si="5"/>
        <v>1</v>
      </c>
      <c r="W132" s="3">
        <f t="shared" si="6"/>
        <v>2</v>
      </c>
      <c r="X132" s="3" t="str">
        <f>IFERROR(__xludf.DUMMYFUNCTION("split(B132,"" "")"),"C.")</f>
        <v>C.</v>
      </c>
      <c r="Y132" s="3" t="str">
        <f>IFERROR(__xludf.DUMMYFUNCTION("""COMPUTED_VALUE"""),"Brown")</f>
        <v>Brown</v>
      </c>
      <c r="AA132" s="3">
        <v>0.0</v>
      </c>
      <c r="AB132" s="3">
        <f t="shared" si="7"/>
        <v>0</v>
      </c>
      <c r="AC132" s="3">
        <f t="shared" si="8"/>
        <v>0</v>
      </c>
      <c r="AD132" s="3">
        <f t="shared" si="9"/>
        <v>0.9523809524</v>
      </c>
      <c r="AE132" s="3">
        <f t="shared" si="10"/>
        <v>-1</v>
      </c>
      <c r="AF132" s="3">
        <f t="shared" si="11"/>
        <v>-2</v>
      </c>
      <c r="AG132" s="3">
        <f t="shared" si="12"/>
        <v>-1</v>
      </c>
    </row>
    <row r="133">
      <c r="A133" s="1" t="s">
        <v>8</v>
      </c>
      <c r="B133" s="1" t="s">
        <v>530</v>
      </c>
      <c r="C133" s="1" t="s">
        <v>19</v>
      </c>
      <c r="D133" s="1" t="s">
        <v>89</v>
      </c>
      <c r="E133" s="1" t="s">
        <v>147</v>
      </c>
      <c r="F133" s="1" t="s">
        <v>525</v>
      </c>
      <c r="G133" s="1">
        <v>11.5</v>
      </c>
      <c r="H133" s="1" t="s">
        <v>60</v>
      </c>
      <c r="I133" s="1">
        <v>-109.0</v>
      </c>
      <c r="J133" s="1">
        <v>-0.319377120634404</v>
      </c>
      <c r="K133" s="1" t="s">
        <v>61</v>
      </c>
      <c r="L133" s="1" t="s">
        <v>61</v>
      </c>
      <c r="M133" s="1" t="s">
        <v>62</v>
      </c>
      <c r="N133" s="1">
        <v>-120.0</v>
      </c>
      <c r="O133" s="1">
        <v>0.252397917523221</v>
      </c>
      <c r="P133" s="1" t="s">
        <v>61</v>
      </c>
      <c r="Q133" s="1" t="s">
        <v>61</v>
      </c>
      <c r="R133" s="1">
        <f t="shared" si="1"/>
        <v>0.2523979175</v>
      </c>
      <c r="S133" s="1">
        <f t="shared" si="2"/>
        <v>-120</v>
      </c>
      <c r="T133" s="1">
        <f t="shared" si="3"/>
        <v>1.833333333</v>
      </c>
      <c r="U133" s="1">
        <f t="shared" si="4"/>
        <v>0</v>
      </c>
      <c r="V133" s="3">
        <f t="shared" si="5"/>
        <v>3</v>
      </c>
      <c r="W133" s="3">
        <f t="shared" si="6"/>
        <v>3</v>
      </c>
      <c r="X133" s="3" t="str">
        <f>IFERROR(__xludf.DUMMYFUNCTION("split(B133,"" "")"),"D.")</f>
        <v>D.</v>
      </c>
      <c r="Y133" s="3" t="str">
        <f>IFERROR(__xludf.DUMMYFUNCTION("""COMPUTED_VALUE"""),"Foreman")</f>
        <v>Foreman</v>
      </c>
      <c r="AA133" s="3">
        <v>2.0</v>
      </c>
      <c r="AB133" s="3">
        <f t="shared" si="7"/>
        <v>0</v>
      </c>
      <c r="AC133" s="3">
        <f t="shared" si="8"/>
        <v>1</v>
      </c>
      <c r="AD133" s="3">
        <f t="shared" si="9"/>
        <v>2.5</v>
      </c>
      <c r="AE133" s="3">
        <f t="shared" si="10"/>
        <v>2.5</v>
      </c>
      <c r="AF133" s="3">
        <f t="shared" si="11"/>
        <v>2.5</v>
      </c>
      <c r="AG133" s="3">
        <f t="shared" si="12"/>
        <v>0.8260869565</v>
      </c>
    </row>
    <row r="134">
      <c r="A134" s="1" t="s">
        <v>12</v>
      </c>
      <c r="B134" s="1" t="s">
        <v>324</v>
      </c>
      <c r="C134" s="1" t="s">
        <v>19</v>
      </c>
      <c r="D134" s="1" t="s">
        <v>89</v>
      </c>
      <c r="E134" s="1" t="s">
        <v>147</v>
      </c>
      <c r="F134" s="1" t="s">
        <v>525</v>
      </c>
      <c r="G134" s="1">
        <v>2.5</v>
      </c>
      <c r="H134" s="1" t="s">
        <v>60</v>
      </c>
      <c r="I134" s="1">
        <v>-122.0</v>
      </c>
      <c r="J134" s="1">
        <v>-0.269590932612612</v>
      </c>
      <c r="K134" s="1" t="s">
        <v>61</v>
      </c>
      <c r="L134" s="1" t="s">
        <v>61</v>
      </c>
      <c r="M134" s="1" t="s">
        <v>62</v>
      </c>
      <c r="N134" s="1">
        <v>-108.0</v>
      </c>
      <c r="O134" s="1">
        <v>0.200816932707692</v>
      </c>
      <c r="P134" s="1" t="s">
        <v>61</v>
      </c>
      <c r="Q134" s="1" t="s">
        <v>61</v>
      </c>
      <c r="R134" s="1">
        <f t="shared" si="1"/>
        <v>0.2008169327</v>
      </c>
      <c r="S134" s="1">
        <f t="shared" si="2"/>
        <v>-108</v>
      </c>
      <c r="T134" s="1">
        <f t="shared" si="3"/>
        <v>1.925925926</v>
      </c>
      <c r="U134" s="1">
        <f t="shared" si="4"/>
        <v>0</v>
      </c>
      <c r="V134" s="3">
        <f t="shared" si="5"/>
        <v>3</v>
      </c>
      <c r="W134" s="3">
        <f t="shared" si="6"/>
        <v>2</v>
      </c>
      <c r="X134" s="3" t="str">
        <f>IFERROR(__xludf.DUMMYFUNCTION("split(B134,"" "")"),"J.")</f>
        <v>J.</v>
      </c>
      <c r="Y134" s="3" t="str">
        <f>IFERROR(__xludf.DUMMYFUNCTION("""COMPUTED_VALUE"""),"Ford")</f>
        <v>Ford</v>
      </c>
      <c r="AA134" s="3">
        <v>3.0</v>
      </c>
      <c r="AB134" s="3">
        <f t="shared" si="7"/>
        <v>1</v>
      </c>
      <c r="AC134" s="3">
        <f t="shared" si="8"/>
        <v>0</v>
      </c>
      <c r="AD134" s="3">
        <f t="shared" si="9"/>
        <v>2.777777778</v>
      </c>
      <c r="AE134" s="3">
        <f t="shared" si="10"/>
        <v>-3</v>
      </c>
      <c r="AF134" s="3">
        <f t="shared" si="11"/>
        <v>-2</v>
      </c>
      <c r="AG134" s="3">
        <f t="shared" si="12"/>
        <v>-0.2</v>
      </c>
    </row>
    <row r="135">
      <c r="A135" s="1" t="s">
        <v>12</v>
      </c>
      <c r="B135" s="1" t="s">
        <v>414</v>
      </c>
      <c r="C135" s="1" t="s">
        <v>18</v>
      </c>
      <c r="D135" s="1" t="s">
        <v>89</v>
      </c>
      <c r="E135" s="1" t="s">
        <v>147</v>
      </c>
      <c r="F135" s="1" t="s">
        <v>525</v>
      </c>
      <c r="G135" s="1">
        <v>3.5</v>
      </c>
      <c r="H135" s="1" t="s">
        <v>60</v>
      </c>
      <c r="I135" s="1">
        <v>101.0</v>
      </c>
      <c r="J135" s="1">
        <v>-0.244607848943781</v>
      </c>
      <c r="K135" s="1" t="s">
        <v>61</v>
      </c>
      <c r="L135" s="1" t="s">
        <v>61</v>
      </c>
      <c r="M135" s="1" t="s">
        <v>62</v>
      </c>
      <c r="N135" s="1">
        <v>-133.0</v>
      </c>
      <c r="O135" s="1">
        <v>0.176279336498283</v>
      </c>
      <c r="P135" s="1" t="s">
        <v>61</v>
      </c>
      <c r="Q135" s="1" t="s">
        <v>61</v>
      </c>
      <c r="R135" s="1">
        <f t="shared" si="1"/>
        <v>0.1762793365</v>
      </c>
      <c r="S135" s="1">
        <f t="shared" si="2"/>
        <v>-133</v>
      </c>
      <c r="T135" s="1">
        <f t="shared" si="3"/>
        <v>1.751879699</v>
      </c>
      <c r="U135" s="1">
        <f t="shared" si="4"/>
        <v>0</v>
      </c>
      <c r="V135" s="3">
        <f t="shared" si="5"/>
        <v>3</v>
      </c>
      <c r="W135" s="3">
        <f t="shared" si="6"/>
        <v>3</v>
      </c>
      <c r="X135" s="3" t="str">
        <f>IFERROR(__xludf.DUMMYFUNCTION("split(B135,"" "")"),"E.")</f>
        <v>E.</v>
      </c>
      <c r="Y135" s="3" t="str">
        <f>IFERROR(__xludf.DUMMYFUNCTION("""COMPUTED_VALUE"""),"Moore")</f>
        <v>Moore</v>
      </c>
      <c r="AA135" s="3">
        <v>2.0</v>
      </c>
      <c r="AB135" s="3">
        <f t="shared" si="7"/>
        <v>0</v>
      </c>
      <c r="AC135" s="3">
        <f t="shared" si="8"/>
        <v>1</v>
      </c>
      <c r="AD135" s="3">
        <f t="shared" si="9"/>
        <v>2.255639098</v>
      </c>
      <c r="AE135" s="3">
        <f t="shared" si="10"/>
        <v>2.255639098</v>
      </c>
      <c r="AF135" s="3">
        <f t="shared" si="11"/>
        <v>2.255639098</v>
      </c>
      <c r="AG135" s="3">
        <f t="shared" si="12"/>
        <v>0.4285714286</v>
      </c>
    </row>
    <row r="136">
      <c r="A136" s="1" t="s">
        <v>9</v>
      </c>
      <c r="B136" s="1" t="s">
        <v>502</v>
      </c>
      <c r="C136" s="1" t="s">
        <v>18</v>
      </c>
      <c r="D136" s="1" t="s">
        <v>89</v>
      </c>
      <c r="E136" s="1" t="s">
        <v>147</v>
      </c>
      <c r="F136" s="1" t="s">
        <v>525</v>
      </c>
      <c r="G136" s="1">
        <v>11.5</v>
      </c>
      <c r="H136" s="1" t="s">
        <v>60</v>
      </c>
      <c r="I136" s="1">
        <v>-112.0</v>
      </c>
      <c r="J136" s="1">
        <v>0.171028189438629</v>
      </c>
      <c r="K136" s="1" t="s">
        <v>61</v>
      </c>
      <c r="L136" s="1" t="s">
        <v>61</v>
      </c>
      <c r="M136" s="1" t="s">
        <v>62</v>
      </c>
      <c r="N136" s="1">
        <v>-121.0</v>
      </c>
      <c r="O136" s="1">
        <v>-0.246765860428947</v>
      </c>
      <c r="P136" s="1" t="s">
        <v>61</v>
      </c>
      <c r="Q136" s="1" t="s">
        <v>61</v>
      </c>
      <c r="R136" s="1">
        <f t="shared" si="1"/>
        <v>0.1710281894</v>
      </c>
      <c r="S136" s="1">
        <f t="shared" si="2"/>
        <v>-112</v>
      </c>
      <c r="T136" s="1">
        <f t="shared" si="3"/>
        <v>1.892857143</v>
      </c>
      <c r="U136" s="1">
        <f t="shared" si="4"/>
        <v>1</v>
      </c>
      <c r="V136" s="3">
        <f t="shared" si="5"/>
        <v>3</v>
      </c>
      <c r="W136" s="3">
        <f t="shared" si="6"/>
        <v>2</v>
      </c>
      <c r="X136" s="3" t="str">
        <f>IFERROR(__xludf.DUMMYFUNCTION("split(B136,"" "")"),"C.")</f>
        <v>C.</v>
      </c>
      <c r="Y136" s="3" t="str">
        <f>IFERROR(__xludf.DUMMYFUNCTION("""COMPUTED_VALUE"""),"Tillman")</f>
        <v>Tillman</v>
      </c>
      <c r="AA136" s="3">
        <v>4.0</v>
      </c>
      <c r="AB136" s="3">
        <f t="shared" si="7"/>
        <v>0</v>
      </c>
      <c r="AC136" s="3">
        <f t="shared" si="8"/>
        <v>0</v>
      </c>
      <c r="AD136" s="3">
        <f t="shared" si="9"/>
        <v>2.678571429</v>
      </c>
      <c r="AE136" s="3">
        <f t="shared" si="10"/>
        <v>-3</v>
      </c>
      <c r="AF136" s="3">
        <f t="shared" si="11"/>
        <v>-2</v>
      </c>
      <c r="AG136" s="3">
        <f t="shared" si="12"/>
        <v>-0.652173913</v>
      </c>
    </row>
    <row r="137">
      <c r="A137" s="1" t="s">
        <v>10</v>
      </c>
      <c r="B137" s="1" t="s">
        <v>530</v>
      </c>
      <c r="C137" s="1" t="s">
        <v>19</v>
      </c>
      <c r="D137" s="1" t="s">
        <v>89</v>
      </c>
      <c r="E137" s="1" t="s">
        <v>147</v>
      </c>
      <c r="F137" s="1" t="s">
        <v>525</v>
      </c>
      <c r="G137" s="1">
        <v>43.5</v>
      </c>
      <c r="H137" s="1" t="s">
        <v>60</v>
      </c>
      <c r="I137" s="1">
        <v>-123.0</v>
      </c>
      <c r="J137" s="1">
        <v>-0.223435756592782</v>
      </c>
      <c r="K137" s="1" t="s">
        <v>61</v>
      </c>
      <c r="L137" s="1" t="s">
        <v>61</v>
      </c>
      <c r="M137" s="1" t="s">
        <v>62</v>
      </c>
      <c r="N137" s="1">
        <v>-105.0</v>
      </c>
      <c r="O137" s="1">
        <v>0.159723206859511</v>
      </c>
      <c r="P137" s="1" t="s">
        <v>61</v>
      </c>
      <c r="Q137" s="1" t="s">
        <v>61</v>
      </c>
      <c r="R137" s="1">
        <f t="shared" si="1"/>
        <v>0.1597232069</v>
      </c>
      <c r="S137" s="1">
        <f t="shared" si="2"/>
        <v>-105</v>
      </c>
      <c r="T137" s="1">
        <f t="shared" si="3"/>
        <v>1.952380952</v>
      </c>
      <c r="U137" s="1">
        <f t="shared" si="4"/>
        <v>0</v>
      </c>
      <c r="V137" s="3">
        <f t="shared" si="5"/>
        <v>3</v>
      </c>
      <c r="W137" s="3">
        <f t="shared" si="6"/>
        <v>2</v>
      </c>
      <c r="X137" s="3" t="str">
        <f>IFERROR(__xludf.DUMMYFUNCTION("split(B137,"" "")"),"D.")</f>
        <v>D.</v>
      </c>
      <c r="Y137" s="3" t="str">
        <f>IFERROR(__xludf.DUMMYFUNCTION("""COMPUTED_VALUE"""),"Foreman")</f>
        <v>Foreman</v>
      </c>
      <c r="AA137" s="3">
        <v>5.0</v>
      </c>
      <c r="AB137" s="3">
        <f t="shared" si="7"/>
        <v>0</v>
      </c>
      <c r="AC137" s="3">
        <f t="shared" si="8"/>
        <v>1</v>
      </c>
      <c r="AD137" s="3">
        <f t="shared" si="9"/>
        <v>2.857142857</v>
      </c>
      <c r="AE137" s="3">
        <f t="shared" si="10"/>
        <v>2.857142857</v>
      </c>
      <c r="AF137" s="3">
        <f t="shared" si="11"/>
        <v>1.904761905</v>
      </c>
      <c r="AG137" s="3">
        <f t="shared" si="12"/>
        <v>0.8850574713</v>
      </c>
    </row>
    <row r="138">
      <c r="A138" s="1" t="s">
        <v>12</v>
      </c>
      <c r="B138" s="1" t="s">
        <v>299</v>
      </c>
      <c r="C138" s="1" t="s">
        <v>18</v>
      </c>
      <c r="D138" s="1" t="s">
        <v>89</v>
      </c>
      <c r="E138" s="1" t="s">
        <v>147</v>
      </c>
      <c r="F138" s="1" t="s">
        <v>525</v>
      </c>
      <c r="G138" s="1">
        <v>3.5</v>
      </c>
      <c r="H138" s="1" t="s">
        <v>60</v>
      </c>
      <c r="I138" s="1">
        <v>-113.0</v>
      </c>
      <c r="J138" s="1">
        <v>-0.185116431924882</v>
      </c>
      <c r="K138" s="1" t="s">
        <v>61</v>
      </c>
      <c r="L138" s="1" t="s">
        <v>61</v>
      </c>
      <c r="M138" s="1" t="s">
        <v>62</v>
      </c>
      <c r="N138" s="1">
        <v>-116.0</v>
      </c>
      <c r="O138" s="1">
        <v>0.117562962962962</v>
      </c>
      <c r="P138" s="1" t="s">
        <v>61</v>
      </c>
      <c r="Q138" s="1" t="s">
        <v>61</v>
      </c>
      <c r="R138" s="1">
        <f t="shared" si="1"/>
        <v>0.117562963</v>
      </c>
      <c r="S138" s="1">
        <f t="shared" si="2"/>
        <v>-116</v>
      </c>
      <c r="T138" s="1">
        <f t="shared" si="3"/>
        <v>1.862068966</v>
      </c>
      <c r="U138" s="1">
        <f t="shared" si="4"/>
        <v>0</v>
      </c>
      <c r="V138" s="3">
        <f t="shared" si="5"/>
        <v>3</v>
      </c>
      <c r="W138" s="3">
        <f t="shared" si="6"/>
        <v>2</v>
      </c>
      <c r="X138" s="3" t="str">
        <f>IFERROR(__xludf.DUMMYFUNCTION("split(B138,"" "")"),"J.")</f>
        <v>J.</v>
      </c>
      <c r="Y138" s="3" t="str">
        <f>IFERROR(__xludf.DUMMYFUNCTION("""COMPUTED_VALUE"""),"Jeudy")</f>
        <v>Jeudy</v>
      </c>
      <c r="AA138" s="3">
        <v>4.0</v>
      </c>
      <c r="AB138" s="3">
        <f t="shared" si="7"/>
        <v>1</v>
      </c>
      <c r="AC138" s="3">
        <f t="shared" si="8"/>
        <v>0</v>
      </c>
      <c r="AD138" s="3">
        <f t="shared" si="9"/>
        <v>2.586206897</v>
      </c>
      <c r="AE138" s="3">
        <f t="shared" si="10"/>
        <v>-3</v>
      </c>
      <c r="AF138" s="3">
        <f t="shared" si="11"/>
        <v>-2</v>
      </c>
      <c r="AG138" s="3">
        <f t="shared" si="12"/>
        <v>-0.1428571429</v>
      </c>
    </row>
    <row r="139">
      <c r="A139" s="1" t="s">
        <v>8</v>
      </c>
      <c r="B139" s="1" t="s">
        <v>462</v>
      </c>
      <c r="C139" s="1" t="s">
        <v>21</v>
      </c>
      <c r="D139" s="1" t="s">
        <v>89</v>
      </c>
      <c r="E139" s="1" t="s">
        <v>147</v>
      </c>
      <c r="F139" s="1" t="s">
        <v>525</v>
      </c>
      <c r="G139" s="1">
        <v>4.5</v>
      </c>
      <c r="H139" s="1" t="s">
        <v>60</v>
      </c>
      <c r="I139" s="1">
        <v>-120.0</v>
      </c>
      <c r="J139" s="1">
        <v>-0.190591582884535</v>
      </c>
      <c r="K139" s="1" t="s">
        <v>61</v>
      </c>
      <c r="L139" s="1" t="s">
        <v>61</v>
      </c>
      <c r="M139" s="1" t="s">
        <v>62</v>
      </c>
      <c r="N139" s="1">
        <v>-114.0</v>
      </c>
      <c r="O139" s="1">
        <v>0.112433126109539</v>
      </c>
      <c r="P139" s="1" t="s">
        <v>61</v>
      </c>
      <c r="Q139" s="1" t="s">
        <v>61</v>
      </c>
      <c r="R139" s="1">
        <f t="shared" si="1"/>
        <v>0.1124331261</v>
      </c>
      <c r="S139" s="1">
        <f t="shared" si="2"/>
        <v>-114</v>
      </c>
      <c r="T139" s="1">
        <f t="shared" si="3"/>
        <v>1.877192982</v>
      </c>
      <c r="U139" s="1">
        <f t="shared" si="4"/>
        <v>0</v>
      </c>
      <c r="V139" s="3">
        <f t="shared" si="5"/>
        <v>3</v>
      </c>
      <c r="W139" s="3">
        <f t="shared" si="6"/>
        <v>2</v>
      </c>
      <c r="X139" s="3" t="str">
        <f>IFERROR(__xludf.DUMMYFUNCTION("split(B139,"" "")"),"D.")</f>
        <v>D.</v>
      </c>
      <c r="Y139" s="3" t="str">
        <f>IFERROR(__xludf.DUMMYFUNCTION("""COMPUTED_VALUE"""),"Watson")</f>
        <v>Watson</v>
      </c>
      <c r="AA139" s="3">
        <v>4.0</v>
      </c>
      <c r="AB139" s="3">
        <f t="shared" si="7"/>
        <v>0</v>
      </c>
      <c r="AC139" s="3">
        <f t="shared" si="8"/>
        <v>1</v>
      </c>
      <c r="AD139" s="3">
        <f t="shared" si="9"/>
        <v>2.631578947</v>
      </c>
      <c r="AE139" s="3">
        <f t="shared" si="10"/>
        <v>2.631578947</v>
      </c>
      <c r="AF139" s="3">
        <f t="shared" si="11"/>
        <v>1.754385965</v>
      </c>
      <c r="AG139" s="3">
        <f t="shared" si="12"/>
        <v>0.1111111111</v>
      </c>
    </row>
    <row r="140">
      <c r="A140" s="1" t="s">
        <v>8</v>
      </c>
      <c r="B140" s="1" t="s">
        <v>324</v>
      </c>
      <c r="C140" s="1" t="s">
        <v>19</v>
      </c>
      <c r="D140" s="1" t="s">
        <v>89</v>
      </c>
      <c r="E140" s="1" t="s">
        <v>147</v>
      </c>
      <c r="F140" s="1" t="s">
        <v>525</v>
      </c>
      <c r="G140" s="1">
        <v>12.5</v>
      </c>
      <c r="H140" s="1" t="s">
        <v>60</v>
      </c>
      <c r="I140" s="1">
        <v>-103.0</v>
      </c>
      <c r="J140" s="1">
        <v>-0.156187321421428</v>
      </c>
      <c r="K140" s="1" t="s">
        <v>61</v>
      </c>
      <c r="L140" s="1" t="s">
        <v>61</v>
      </c>
      <c r="M140" s="1" t="s">
        <v>62</v>
      </c>
      <c r="N140" s="1">
        <v>-129.0</v>
      </c>
      <c r="O140" s="1">
        <v>0.0854934710071158</v>
      </c>
      <c r="P140" s="1" t="s">
        <v>61</v>
      </c>
      <c r="Q140" s="1" t="s">
        <v>61</v>
      </c>
      <c r="R140" s="1">
        <f t="shared" si="1"/>
        <v>0.08549347101</v>
      </c>
      <c r="S140" s="1">
        <f t="shared" si="2"/>
        <v>-129</v>
      </c>
      <c r="T140" s="1">
        <f t="shared" si="3"/>
        <v>1.775193798</v>
      </c>
      <c r="U140" s="1">
        <f t="shared" si="4"/>
        <v>0</v>
      </c>
      <c r="V140" s="3">
        <f t="shared" si="5"/>
        <v>2</v>
      </c>
      <c r="W140" s="3">
        <f t="shared" si="6"/>
        <v>3</v>
      </c>
      <c r="X140" s="3" t="str">
        <f>IFERROR(__xludf.DUMMYFUNCTION("split(B140,"" "")"),"J.")</f>
        <v>J.</v>
      </c>
      <c r="Y140" s="3" t="str">
        <f>IFERROR(__xludf.DUMMYFUNCTION("""COMPUTED_VALUE"""),"Ford")</f>
        <v>Ford</v>
      </c>
      <c r="AA140" s="3">
        <v>10.0</v>
      </c>
      <c r="AB140" s="3">
        <f t="shared" si="7"/>
        <v>0</v>
      </c>
      <c r="AC140" s="3">
        <f t="shared" si="8"/>
        <v>1</v>
      </c>
      <c r="AD140" s="3">
        <f t="shared" si="9"/>
        <v>1.550387597</v>
      </c>
      <c r="AE140" s="3">
        <f t="shared" si="10"/>
        <v>1.550387597</v>
      </c>
      <c r="AF140" s="3">
        <f t="shared" si="11"/>
        <v>2.325581395</v>
      </c>
      <c r="AG140" s="3">
        <f t="shared" si="12"/>
        <v>0.2</v>
      </c>
    </row>
    <row r="141">
      <c r="A141" s="1" t="s">
        <v>11</v>
      </c>
      <c r="B141" s="1" t="s">
        <v>414</v>
      </c>
      <c r="C141" s="1" t="s">
        <v>18</v>
      </c>
      <c r="D141" s="1" t="s">
        <v>89</v>
      </c>
      <c r="E141" s="1" t="s">
        <v>147</v>
      </c>
      <c r="F141" s="1" t="s">
        <v>525</v>
      </c>
      <c r="G141" s="1">
        <v>31.5</v>
      </c>
      <c r="H141" s="1" t="s">
        <v>60</v>
      </c>
      <c r="I141" s="1">
        <v>-112.0</v>
      </c>
      <c r="J141" s="1">
        <v>-0.138295480334717</v>
      </c>
      <c r="K141" s="1" t="s">
        <v>61</v>
      </c>
      <c r="L141" s="1" t="s">
        <v>61</v>
      </c>
      <c r="M141" s="1" t="s">
        <v>62</v>
      </c>
      <c r="N141" s="1">
        <v>-115.0</v>
      </c>
      <c r="O141" s="1">
        <v>0.0751625958400187</v>
      </c>
      <c r="P141" s="1" t="s">
        <v>61</v>
      </c>
      <c r="Q141" s="1" t="s">
        <v>61</v>
      </c>
      <c r="R141" s="1">
        <f t="shared" si="1"/>
        <v>0.07516259584</v>
      </c>
      <c r="S141" s="1">
        <f t="shared" si="2"/>
        <v>-115</v>
      </c>
      <c r="T141" s="1">
        <f t="shared" si="3"/>
        <v>1.869565217</v>
      </c>
      <c r="U141" s="1">
        <f t="shared" si="4"/>
        <v>0</v>
      </c>
      <c r="V141" s="3">
        <f t="shared" si="5"/>
        <v>2</v>
      </c>
      <c r="W141" s="3">
        <f t="shared" si="6"/>
        <v>2</v>
      </c>
      <c r="X141" s="3" t="str">
        <f>IFERROR(__xludf.DUMMYFUNCTION("split(B141,"" "")"),"E.")</f>
        <v>E.</v>
      </c>
      <c r="Y141" s="3" t="str">
        <f>IFERROR(__xludf.DUMMYFUNCTION("""COMPUTED_VALUE"""),"Moore")</f>
        <v>Moore</v>
      </c>
      <c r="AA141" s="3">
        <v>17.0</v>
      </c>
      <c r="AB141" s="3">
        <f t="shared" si="7"/>
        <v>0</v>
      </c>
      <c r="AC141" s="3">
        <f t="shared" si="8"/>
        <v>1</v>
      </c>
      <c r="AD141" s="3">
        <f t="shared" si="9"/>
        <v>1.739130435</v>
      </c>
      <c r="AE141" s="3">
        <f t="shared" si="10"/>
        <v>1.739130435</v>
      </c>
      <c r="AF141" s="3">
        <f t="shared" si="11"/>
        <v>1.739130435</v>
      </c>
      <c r="AG141" s="3">
        <f t="shared" si="12"/>
        <v>0.4603174603</v>
      </c>
    </row>
    <row r="142">
      <c r="A142" s="1" t="s">
        <v>9</v>
      </c>
      <c r="B142" s="1" t="s">
        <v>530</v>
      </c>
      <c r="C142" s="1" t="s">
        <v>19</v>
      </c>
      <c r="D142" s="1" t="s">
        <v>89</v>
      </c>
      <c r="E142" s="1" t="s">
        <v>147</v>
      </c>
      <c r="F142" s="1" t="s">
        <v>525</v>
      </c>
      <c r="G142" s="1">
        <v>50.5</v>
      </c>
      <c r="H142" s="1" t="s">
        <v>60</v>
      </c>
      <c r="I142" s="1">
        <v>-121.0</v>
      </c>
      <c r="J142" s="1">
        <v>-0.146319277550457</v>
      </c>
      <c r="K142" s="1" t="s">
        <v>61</v>
      </c>
      <c r="L142" s="1" t="s">
        <v>61</v>
      </c>
      <c r="M142" s="1" t="s">
        <v>62</v>
      </c>
      <c r="N142" s="1">
        <v>-112.0</v>
      </c>
      <c r="O142" s="1">
        <v>0.070524167826836</v>
      </c>
      <c r="P142" s="1" t="s">
        <v>61</v>
      </c>
      <c r="Q142" s="1" t="s">
        <v>61</v>
      </c>
      <c r="R142" s="1">
        <f t="shared" si="1"/>
        <v>0.07052416783</v>
      </c>
      <c r="S142" s="1">
        <f t="shared" si="2"/>
        <v>-112</v>
      </c>
      <c r="T142" s="1">
        <f t="shared" si="3"/>
        <v>1.892857143</v>
      </c>
      <c r="U142" s="1">
        <f t="shared" si="4"/>
        <v>0</v>
      </c>
      <c r="V142" s="3">
        <f t="shared" si="5"/>
        <v>2</v>
      </c>
      <c r="W142" s="3">
        <f t="shared" si="6"/>
        <v>2</v>
      </c>
      <c r="X142" s="3" t="str">
        <f>IFERROR(__xludf.DUMMYFUNCTION("split(B142,"" "")"),"D.")</f>
        <v>D.</v>
      </c>
      <c r="Y142" s="3" t="str">
        <f>IFERROR(__xludf.DUMMYFUNCTION("""COMPUTED_VALUE"""),"Foreman")</f>
        <v>Foreman</v>
      </c>
      <c r="AA142" s="3">
        <v>5.0</v>
      </c>
      <c r="AB142" s="3">
        <f t="shared" si="7"/>
        <v>0</v>
      </c>
      <c r="AC142" s="3">
        <f t="shared" si="8"/>
        <v>1</v>
      </c>
      <c r="AD142" s="3">
        <f t="shared" si="9"/>
        <v>1.785714286</v>
      </c>
      <c r="AE142" s="3">
        <f t="shared" si="10"/>
        <v>1.785714286</v>
      </c>
      <c r="AF142" s="3">
        <f t="shared" si="11"/>
        <v>1.785714286</v>
      </c>
      <c r="AG142" s="3">
        <f t="shared" si="12"/>
        <v>0.900990099</v>
      </c>
    </row>
    <row r="143">
      <c r="A143" s="1" t="s">
        <v>15</v>
      </c>
      <c r="B143" s="1" t="s">
        <v>462</v>
      </c>
      <c r="C143" s="1" t="s">
        <v>21</v>
      </c>
      <c r="D143" s="1" t="s">
        <v>89</v>
      </c>
      <c r="E143" s="1" t="s">
        <v>147</v>
      </c>
      <c r="F143" s="1" t="s">
        <v>525</v>
      </c>
      <c r="G143" s="1">
        <v>19.5</v>
      </c>
      <c r="H143" s="1" t="s">
        <v>60</v>
      </c>
      <c r="I143" s="1">
        <v>-102.0</v>
      </c>
      <c r="J143" s="1">
        <v>-0.122950671336633</v>
      </c>
      <c r="K143" s="1" t="s">
        <v>61</v>
      </c>
      <c r="L143" s="1" t="s">
        <v>61</v>
      </c>
      <c r="M143" s="1" t="s">
        <v>62</v>
      </c>
      <c r="N143" s="1">
        <v>-128.0</v>
      </c>
      <c r="O143" s="1">
        <v>0.0565832876350878</v>
      </c>
      <c r="P143" s="1" t="s">
        <v>61</v>
      </c>
      <c r="Q143" s="1" t="s">
        <v>61</v>
      </c>
      <c r="R143" s="1">
        <f t="shared" si="1"/>
        <v>0.05658328764</v>
      </c>
      <c r="S143" s="1">
        <f t="shared" si="2"/>
        <v>-128</v>
      </c>
      <c r="T143" s="1">
        <f t="shared" si="3"/>
        <v>1.78125</v>
      </c>
      <c r="U143" s="1">
        <f t="shared" si="4"/>
        <v>0</v>
      </c>
      <c r="V143" s="3">
        <f t="shared" si="5"/>
        <v>2</v>
      </c>
      <c r="W143" s="3">
        <f t="shared" si="6"/>
        <v>3</v>
      </c>
      <c r="X143" s="3" t="str">
        <f>IFERROR(__xludf.DUMMYFUNCTION("split(B143,"" "")"),"D.")</f>
        <v>D.</v>
      </c>
      <c r="Y143" s="3" t="str">
        <f>IFERROR(__xludf.DUMMYFUNCTION("""COMPUTED_VALUE"""),"Watson")</f>
        <v>Watson</v>
      </c>
      <c r="AA143" s="3">
        <v>21.0</v>
      </c>
      <c r="AB143" s="3">
        <f t="shared" si="7"/>
        <v>1</v>
      </c>
      <c r="AC143" s="3">
        <f t="shared" si="8"/>
        <v>0</v>
      </c>
      <c r="AD143" s="3">
        <f t="shared" si="9"/>
        <v>1.5625</v>
      </c>
      <c r="AE143" s="3">
        <f t="shared" si="10"/>
        <v>-2</v>
      </c>
      <c r="AF143" s="3">
        <f t="shared" si="11"/>
        <v>-3</v>
      </c>
      <c r="AG143" s="3">
        <f t="shared" si="12"/>
        <v>-0.07692307692</v>
      </c>
    </row>
    <row r="144">
      <c r="A144" s="1" t="s">
        <v>11</v>
      </c>
      <c r="B144" s="1" t="s">
        <v>299</v>
      </c>
      <c r="C144" s="1" t="s">
        <v>18</v>
      </c>
      <c r="D144" s="1" t="s">
        <v>89</v>
      </c>
      <c r="E144" s="1" t="s">
        <v>147</v>
      </c>
      <c r="F144" s="1" t="s">
        <v>525</v>
      </c>
      <c r="G144" s="1">
        <v>40.5</v>
      </c>
      <c r="H144" s="1" t="s">
        <v>60</v>
      </c>
      <c r="I144" s="1">
        <v>-119.0</v>
      </c>
      <c r="J144" s="1">
        <v>-0.11072511662589</v>
      </c>
      <c r="K144" s="1" t="s">
        <v>61</v>
      </c>
      <c r="L144" s="1" t="s">
        <v>61</v>
      </c>
      <c r="M144" s="1" t="s">
        <v>62</v>
      </c>
      <c r="N144" s="1">
        <v>-111.0</v>
      </c>
      <c r="O144" s="1">
        <v>0.0412710287944314</v>
      </c>
      <c r="P144" s="1" t="s">
        <v>61</v>
      </c>
      <c r="Q144" s="1" t="s">
        <v>61</v>
      </c>
      <c r="R144" s="1">
        <f t="shared" si="1"/>
        <v>0.04127102879</v>
      </c>
      <c r="S144" s="1">
        <f t="shared" si="2"/>
        <v>-111</v>
      </c>
      <c r="T144" s="1">
        <f t="shared" si="3"/>
        <v>1.900900901</v>
      </c>
      <c r="U144" s="1">
        <f t="shared" si="4"/>
        <v>0</v>
      </c>
      <c r="V144" s="3">
        <f t="shared" si="5"/>
        <v>1</v>
      </c>
      <c r="W144" s="3">
        <f t="shared" si="6"/>
        <v>2</v>
      </c>
      <c r="X144" s="3" t="str">
        <f>IFERROR(__xludf.DUMMYFUNCTION("split(B144,"" "")"),"J.")</f>
        <v>J.</v>
      </c>
      <c r="Y144" s="3" t="str">
        <f>IFERROR(__xludf.DUMMYFUNCTION("""COMPUTED_VALUE"""),"Jeudy")</f>
        <v>Jeudy</v>
      </c>
      <c r="AA144" s="3">
        <v>27.0</v>
      </c>
      <c r="AB144" s="3">
        <f t="shared" si="7"/>
        <v>0</v>
      </c>
      <c r="AC144" s="3">
        <f t="shared" si="8"/>
        <v>1</v>
      </c>
      <c r="AD144" s="3">
        <f t="shared" si="9"/>
        <v>0.9009009009</v>
      </c>
      <c r="AE144" s="3">
        <f t="shared" si="10"/>
        <v>0.9009009009</v>
      </c>
      <c r="AF144" s="3">
        <f t="shared" si="11"/>
        <v>1.801801802</v>
      </c>
      <c r="AG144" s="3">
        <f t="shared" si="12"/>
        <v>0.3333333333</v>
      </c>
    </row>
    <row r="145">
      <c r="A145" s="1" t="s">
        <v>10</v>
      </c>
      <c r="B145" s="1" t="s">
        <v>462</v>
      </c>
      <c r="C145" s="1" t="s">
        <v>21</v>
      </c>
      <c r="D145" s="1" t="s">
        <v>89</v>
      </c>
      <c r="E145" s="1" t="s">
        <v>147</v>
      </c>
      <c r="F145" s="1" t="s">
        <v>525</v>
      </c>
      <c r="G145" s="1">
        <v>22.5</v>
      </c>
      <c r="H145" s="1" t="s">
        <v>60</v>
      </c>
      <c r="I145" s="1">
        <v>-106.0</v>
      </c>
      <c r="J145" s="1">
        <v>-0.102075414775982</v>
      </c>
      <c r="K145" s="1" t="s">
        <v>61</v>
      </c>
      <c r="L145" s="1" t="s">
        <v>61</v>
      </c>
      <c r="M145" s="1" t="s">
        <v>62</v>
      </c>
      <c r="N145" s="1">
        <v>-121.0</v>
      </c>
      <c r="O145" s="1">
        <v>0.0400409316156619</v>
      </c>
      <c r="P145" s="1" t="s">
        <v>61</v>
      </c>
      <c r="Q145" s="1" t="s">
        <v>61</v>
      </c>
      <c r="R145" s="1">
        <f t="shared" si="1"/>
        <v>0.04004093162</v>
      </c>
      <c r="S145" s="1">
        <f t="shared" si="2"/>
        <v>-121</v>
      </c>
      <c r="T145" s="1">
        <f t="shared" si="3"/>
        <v>1.826446281</v>
      </c>
      <c r="U145" s="1">
        <f t="shared" si="4"/>
        <v>0</v>
      </c>
      <c r="V145" s="3">
        <f t="shared" si="5"/>
        <v>1</v>
      </c>
      <c r="W145" s="3">
        <f t="shared" si="6"/>
        <v>3</v>
      </c>
      <c r="X145" s="3" t="str">
        <f>IFERROR(__xludf.DUMMYFUNCTION("split(B145,"" "")"),"D.")</f>
        <v>D.</v>
      </c>
      <c r="Y145" s="3" t="str">
        <f>IFERROR(__xludf.DUMMYFUNCTION("""COMPUTED_VALUE"""),"Watson")</f>
        <v>Watson</v>
      </c>
      <c r="AA145" s="3">
        <v>26.0</v>
      </c>
      <c r="AB145" s="3">
        <f t="shared" si="7"/>
        <v>1</v>
      </c>
      <c r="AC145" s="3">
        <f t="shared" si="8"/>
        <v>0</v>
      </c>
      <c r="AD145" s="3">
        <f t="shared" si="9"/>
        <v>0.826446281</v>
      </c>
      <c r="AE145" s="3">
        <f t="shared" si="10"/>
        <v>-1</v>
      </c>
      <c r="AF145" s="3">
        <f t="shared" si="11"/>
        <v>-3</v>
      </c>
      <c r="AG145" s="3">
        <f t="shared" si="12"/>
        <v>-0.1555555556</v>
      </c>
    </row>
    <row r="146">
      <c r="A146" s="1" t="s">
        <v>16</v>
      </c>
      <c r="B146" s="1" t="s">
        <v>462</v>
      </c>
      <c r="C146" s="1" t="s">
        <v>21</v>
      </c>
      <c r="D146" s="1" t="s">
        <v>89</v>
      </c>
      <c r="E146" s="1" t="s">
        <v>147</v>
      </c>
      <c r="F146" s="1" t="s">
        <v>525</v>
      </c>
      <c r="G146" s="1">
        <v>30.5</v>
      </c>
      <c r="H146" s="1" t="s">
        <v>60</v>
      </c>
      <c r="I146" s="1">
        <v>-107.0</v>
      </c>
      <c r="J146" s="1">
        <v>-0.10691275937198</v>
      </c>
      <c r="K146" s="1" t="s">
        <v>61</v>
      </c>
      <c r="L146" s="1" t="s">
        <v>61</v>
      </c>
      <c r="M146" s="1" t="s">
        <v>62</v>
      </c>
      <c r="N146" s="1">
        <v>-123.0</v>
      </c>
      <c r="O146" s="1">
        <v>0.0384073348147981</v>
      </c>
      <c r="P146" s="1" t="s">
        <v>61</v>
      </c>
      <c r="Q146" s="1" t="s">
        <v>61</v>
      </c>
      <c r="R146" s="1">
        <f t="shared" si="1"/>
        <v>0.03840733481</v>
      </c>
      <c r="S146" s="1">
        <f t="shared" si="2"/>
        <v>-123</v>
      </c>
      <c r="T146" s="1">
        <f t="shared" si="3"/>
        <v>1.81300813</v>
      </c>
      <c r="U146" s="1">
        <f t="shared" si="4"/>
        <v>0</v>
      </c>
      <c r="V146" s="3">
        <f t="shared" si="5"/>
        <v>1</v>
      </c>
      <c r="W146" s="3">
        <f t="shared" si="6"/>
        <v>3</v>
      </c>
      <c r="X146" s="3" t="str">
        <f>IFERROR(__xludf.DUMMYFUNCTION("split(B146,"" "")"),"D.")</f>
        <v>D.</v>
      </c>
      <c r="Y146" s="3" t="str">
        <f>IFERROR(__xludf.DUMMYFUNCTION("""COMPUTED_VALUE"""),"Watson")</f>
        <v>Watson</v>
      </c>
      <c r="AA146" s="3">
        <v>37.0</v>
      </c>
      <c r="AB146" s="3">
        <f t="shared" si="7"/>
        <v>1</v>
      </c>
      <c r="AC146" s="3">
        <f t="shared" si="8"/>
        <v>0</v>
      </c>
      <c r="AD146" s="3">
        <f t="shared" si="9"/>
        <v>0.8130081301</v>
      </c>
      <c r="AE146" s="3">
        <f t="shared" si="10"/>
        <v>-1</v>
      </c>
      <c r="AF146" s="3">
        <f t="shared" si="11"/>
        <v>-3</v>
      </c>
      <c r="AG146" s="3">
        <f t="shared" si="12"/>
        <v>-0.2131147541</v>
      </c>
    </row>
    <row r="147">
      <c r="A147" s="1" t="s">
        <v>9</v>
      </c>
      <c r="B147" s="1" t="s">
        <v>442</v>
      </c>
      <c r="C147" s="1" t="s">
        <v>18</v>
      </c>
      <c r="D147" s="1" t="s">
        <v>89</v>
      </c>
      <c r="E147" s="1" t="s">
        <v>147</v>
      </c>
      <c r="F147" s="1" t="s">
        <v>525</v>
      </c>
      <c r="G147" s="1">
        <v>48.5</v>
      </c>
      <c r="H147" s="1" t="s">
        <v>60</v>
      </c>
      <c r="I147" s="1">
        <v>-110.0</v>
      </c>
      <c r="J147" s="1">
        <v>0.0297643062934886</v>
      </c>
      <c r="K147" s="1" t="s">
        <v>61</v>
      </c>
      <c r="L147" s="1" t="s">
        <v>61</v>
      </c>
      <c r="M147" s="1" t="s">
        <v>62</v>
      </c>
      <c r="N147" s="1">
        <v>-120.0</v>
      </c>
      <c r="O147" s="1">
        <v>-0.0990100235725416</v>
      </c>
      <c r="P147" s="1" t="s">
        <v>61</v>
      </c>
      <c r="Q147" s="1" t="s">
        <v>61</v>
      </c>
      <c r="R147" s="1">
        <f t="shared" si="1"/>
        <v>0.02976430629</v>
      </c>
      <c r="S147" s="1">
        <f t="shared" si="2"/>
        <v>-110</v>
      </c>
      <c r="T147" s="1">
        <f t="shared" si="3"/>
        <v>1.909090909</v>
      </c>
      <c r="U147" s="1">
        <f t="shared" si="4"/>
        <v>1</v>
      </c>
      <c r="V147" s="3">
        <f t="shared" si="5"/>
        <v>1</v>
      </c>
      <c r="W147" s="3">
        <f t="shared" si="6"/>
        <v>2</v>
      </c>
      <c r="X147" s="3" t="str">
        <f>IFERROR(__xludf.DUMMYFUNCTION("split(B147,"" "")"),"A.")</f>
        <v>A.</v>
      </c>
      <c r="Y147" s="3" t="str">
        <f>IFERROR(__xludf.DUMMYFUNCTION("""COMPUTED_VALUE"""),"Cooper")</f>
        <v>Cooper</v>
      </c>
      <c r="AA147" s="3">
        <v>86.0</v>
      </c>
      <c r="AB147" s="3">
        <f t="shared" si="7"/>
        <v>1</v>
      </c>
      <c r="AC147" s="3">
        <f t="shared" si="8"/>
        <v>1</v>
      </c>
      <c r="AD147" s="3">
        <f t="shared" si="9"/>
        <v>0.9090909091</v>
      </c>
      <c r="AE147" s="3">
        <f t="shared" si="10"/>
        <v>0.9090909091</v>
      </c>
      <c r="AF147" s="3">
        <f t="shared" si="11"/>
        <v>1.818181818</v>
      </c>
      <c r="AG147" s="3">
        <f t="shared" si="12"/>
        <v>0.7731958763</v>
      </c>
    </row>
    <row r="148">
      <c r="A148" s="1" t="s">
        <v>10</v>
      </c>
      <c r="B148" s="1" t="s">
        <v>324</v>
      </c>
      <c r="C148" s="1" t="s">
        <v>19</v>
      </c>
      <c r="D148" s="1" t="s">
        <v>89</v>
      </c>
      <c r="E148" s="1" t="s">
        <v>147</v>
      </c>
      <c r="F148" s="1" t="s">
        <v>525</v>
      </c>
      <c r="G148" s="1">
        <v>48.5</v>
      </c>
      <c r="H148" s="1" t="s">
        <v>60</v>
      </c>
      <c r="I148" s="1">
        <v>-112.0</v>
      </c>
      <c r="J148" s="1">
        <v>-0.0899828814491728</v>
      </c>
      <c r="K148" s="1" t="s">
        <v>61</v>
      </c>
      <c r="L148" s="1" t="s">
        <v>61</v>
      </c>
      <c r="M148" s="1" t="s">
        <v>62</v>
      </c>
      <c r="N148" s="1">
        <v>-115.0</v>
      </c>
      <c r="O148" s="1">
        <v>0.0268080468469411</v>
      </c>
      <c r="P148" s="1" t="s">
        <v>61</v>
      </c>
      <c r="Q148" s="1" t="s">
        <v>61</v>
      </c>
      <c r="R148" s="1">
        <f t="shared" si="1"/>
        <v>0.02680804685</v>
      </c>
      <c r="S148" s="1">
        <f t="shared" si="2"/>
        <v>-115</v>
      </c>
      <c r="T148" s="1">
        <f t="shared" si="3"/>
        <v>1.869565217</v>
      </c>
      <c r="U148" s="1">
        <f t="shared" si="4"/>
        <v>0</v>
      </c>
      <c r="V148" s="3">
        <f t="shared" si="5"/>
        <v>1</v>
      </c>
      <c r="W148" s="3">
        <f t="shared" si="6"/>
        <v>2</v>
      </c>
      <c r="X148" s="3" t="str">
        <f>IFERROR(__xludf.DUMMYFUNCTION("split(B148,"" "")"),"J.")</f>
        <v>J.</v>
      </c>
      <c r="Y148" s="3" t="str">
        <f>IFERROR(__xludf.DUMMYFUNCTION("""COMPUTED_VALUE"""),"Ford")</f>
        <v>Ford</v>
      </c>
      <c r="AA148" s="3">
        <v>37.0</v>
      </c>
      <c r="AB148" s="3">
        <f t="shared" si="7"/>
        <v>0</v>
      </c>
      <c r="AC148" s="3">
        <f t="shared" si="8"/>
        <v>1</v>
      </c>
      <c r="AD148" s="3">
        <f t="shared" si="9"/>
        <v>0.8695652174</v>
      </c>
      <c r="AE148" s="3">
        <f t="shared" si="10"/>
        <v>0.8695652174</v>
      </c>
      <c r="AF148" s="3">
        <f t="shared" si="11"/>
        <v>1.739130435</v>
      </c>
      <c r="AG148" s="3">
        <f t="shared" si="12"/>
        <v>0.2371134021</v>
      </c>
    </row>
    <row r="149">
      <c r="A149" s="1" t="s">
        <v>14</v>
      </c>
      <c r="B149" s="1" t="s">
        <v>462</v>
      </c>
      <c r="C149" s="1" t="s">
        <v>21</v>
      </c>
      <c r="D149" s="1" t="s">
        <v>89</v>
      </c>
      <c r="E149" s="1" t="s">
        <v>147</v>
      </c>
      <c r="F149" s="1" t="s">
        <v>525</v>
      </c>
      <c r="G149" s="1">
        <v>1.5</v>
      </c>
      <c r="H149" s="1" t="s">
        <v>60</v>
      </c>
      <c r="I149" s="1">
        <v>173.0</v>
      </c>
      <c r="J149" s="1">
        <v>0.0264996336996337</v>
      </c>
      <c r="K149" s="1" t="s">
        <v>61</v>
      </c>
      <c r="L149" s="1" t="s">
        <v>61</v>
      </c>
      <c r="M149" s="1" t="s">
        <v>62</v>
      </c>
      <c r="N149" s="1">
        <v>-227.0</v>
      </c>
      <c r="O149" s="1">
        <v>-0.0869896024464832</v>
      </c>
      <c r="P149" s="1" t="s">
        <v>61</v>
      </c>
      <c r="Q149" s="1" t="s">
        <v>61</v>
      </c>
      <c r="R149" s="1">
        <f t="shared" si="1"/>
        <v>0.0264996337</v>
      </c>
      <c r="S149" s="1">
        <f t="shared" si="2"/>
        <v>173</v>
      </c>
      <c r="T149" s="1">
        <f t="shared" si="3"/>
        <v>2.73</v>
      </c>
      <c r="U149" s="1">
        <f t="shared" si="4"/>
        <v>1</v>
      </c>
      <c r="V149" s="3">
        <f t="shared" si="5"/>
        <v>1</v>
      </c>
      <c r="W149" s="3">
        <f t="shared" si="6"/>
        <v>1</v>
      </c>
      <c r="X149" s="3" t="str">
        <f>IFERROR(__xludf.DUMMYFUNCTION("split(B149,"" "")"),"D.")</f>
        <v>D.</v>
      </c>
      <c r="Y149" s="3" t="str">
        <f>IFERROR(__xludf.DUMMYFUNCTION("""COMPUTED_VALUE"""),"Watson")</f>
        <v>Watson</v>
      </c>
      <c r="AA149" s="3">
        <v>2.0</v>
      </c>
      <c r="AB149" s="3">
        <f t="shared" si="7"/>
        <v>1</v>
      </c>
      <c r="AC149" s="3">
        <f t="shared" si="8"/>
        <v>1</v>
      </c>
      <c r="AD149" s="3">
        <f t="shared" si="9"/>
        <v>1.73</v>
      </c>
      <c r="AE149" s="3">
        <f t="shared" si="10"/>
        <v>1.73</v>
      </c>
      <c r="AF149" s="3">
        <f t="shared" si="11"/>
        <v>1.73</v>
      </c>
      <c r="AG149" s="3">
        <f t="shared" si="12"/>
        <v>0.3333333333</v>
      </c>
    </row>
    <row r="150">
      <c r="A150" s="1" t="s">
        <v>9</v>
      </c>
      <c r="B150" s="1" t="s">
        <v>324</v>
      </c>
      <c r="C150" s="1" t="s">
        <v>19</v>
      </c>
      <c r="D150" s="1" t="s">
        <v>89</v>
      </c>
      <c r="E150" s="1" t="s">
        <v>147</v>
      </c>
      <c r="F150" s="1" t="s">
        <v>525</v>
      </c>
      <c r="G150" s="1">
        <v>69.5</v>
      </c>
      <c r="H150" s="1" t="s">
        <v>60</v>
      </c>
      <c r="I150" s="1">
        <v>-109.0</v>
      </c>
      <c r="J150" s="1">
        <v>-0.0995049803480689</v>
      </c>
      <c r="K150" s="1" t="s">
        <v>61</v>
      </c>
      <c r="L150" s="1" t="s">
        <v>61</v>
      </c>
      <c r="M150" s="1" t="s">
        <v>62</v>
      </c>
      <c r="N150" s="1">
        <v>-123.0</v>
      </c>
      <c r="O150" s="1">
        <v>0.0264003825025924</v>
      </c>
      <c r="P150" s="1" t="s">
        <v>61</v>
      </c>
      <c r="Q150" s="1" t="s">
        <v>61</v>
      </c>
      <c r="R150" s="1">
        <f t="shared" si="1"/>
        <v>0.0264003825</v>
      </c>
      <c r="S150" s="1">
        <f t="shared" si="2"/>
        <v>-123</v>
      </c>
      <c r="T150" s="1">
        <f t="shared" si="3"/>
        <v>1.81300813</v>
      </c>
      <c r="U150" s="1">
        <f t="shared" si="4"/>
        <v>0</v>
      </c>
      <c r="V150" s="3">
        <f t="shared" si="5"/>
        <v>1</v>
      </c>
      <c r="W150" s="3">
        <f t="shared" si="6"/>
        <v>3</v>
      </c>
      <c r="X150" s="3" t="str">
        <f>IFERROR(__xludf.DUMMYFUNCTION("split(B150,"" "")"),"J.")</f>
        <v>J.</v>
      </c>
      <c r="Y150" s="3" t="str">
        <f>IFERROR(__xludf.DUMMYFUNCTION("""COMPUTED_VALUE"""),"Ford")</f>
        <v>Ford</v>
      </c>
      <c r="AA150" s="3">
        <v>70.0</v>
      </c>
      <c r="AB150" s="3">
        <f t="shared" si="7"/>
        <v>1</v>
      </c>
      <c r="AC150" s="3">
        <f t="shared" si="8"/>
        <v>0</v>
      </c>
      <c r="AD150" s="3">
        <f t="shared" si="9"/>
        <v>0.8130081301</v>
      </c>
      <c r="AE150" s="3">
        <f t="shared" si="10"/>
        <v>-1</v>
      </c>
      <c r="AF150" s="3">
        <f t="shared" si="11"/>
        <v>-3</v>
      </c>
      <c r="AG150" s="3">
        <f t="shared" si="12"/>
        <v>-0.007194244604</v>
      </c>
    </row>
    <row r="151">
      <c r="A151" s="1" t="s">
        <v>11</v>
      </c>
      <c r="B151" s="1" t="s">
        <v>531</v>
      </c>
      <c r="C151" s="1" t="s">
        <v>20</v>
      </c>
      <c r="D151" s="1" t="s">
        <v>89</v>
      </c>
      <c r="E151" s="1" t="s">
        <v>147</v>
      </c>
      <c r="F151" s="1" t="s">
        <v>525</v>
      </c>
      <c r="G151" s="1">
        <v>19.5</v>
      </c>
      <c r="H151" s="1" t="s">
        <v>60</v>
      </c>
      <c r="I151" s="1">
        <v>-110.0</v>
      </c>
      <c r="J151" s="1">
        <v>0.0106421542499285</v>
      </c>
      <c r="K151" s="1" t="s">
        <v>61</v>
      </c>
      <c r="L151" s="1" t="s">
        <v>61</v>
      </c>
      <c r="M151" s="1" t="s">
        <v>62</v>
      </c>
      <c r="N151" s="1">
        <v>-119.0</v>
      </c>
      <c r="O151" s="1">
        <v>-0.0777533075208087</v>
      </c>
      <c r="P151" s="1" t="s">
        <v>61</v>
      </c>
      <c r="Q151" s="1" t="s">
        <v>61</v>
      </c>
      <c r="R151" s="1">
        <f t="shared" si="1"/>
        <v>0.01064215425</v>
      </c>
      <c r="S151" s="1">
        <f t="shared" si="2"/>
        <v>-110</v>
      </c>
      <c r="T151" s="1">
        <f t="shared" si="3"/>
        <v>1.909090909</v>
      </c>
      <c r="U151" s="1">
        <f t="shared" si="4"/>
        <v>1</v>
      </c>
      <c r="V151" s="3">
        <f t="shared" si="5"/>
        <v>1</v>
      </c>
      <c r="W151" s="3">
        <f t="shared" si="6"/>
        <v>2</v>
      </c>
      <c r="X151" s="3" t="str">
        <f>IFERROR(__xludf.DUMMYFUNCTION("split(B151,"" "")"),"J.")</f>
        <v>J.</v>
      </c>
      <c r="Y151" s="3" t="str">
        <f>IFERROR(__xludf.DUMMYFUNCTION("""COMPUTED_VALUE"""),"Akins")</f>
        <v>Akins</v>
      </c>
      <c r="AA151" s="3">
        <v>29.0</v>
      </c>
      <c r="AB151" s="3">
        <f t="shared" si="7"/>
        <v>1</v>
      </c>
      <c r="AC151" s="3">
        <f t="shared" si="8"/>
        <v>1</v>
      </c>
      <c r="AD151" s="3">
        <f t="shared" si="9"/>
        <v>0.9090909091</v>
      </c>
      <c r="AE151" s="3">
        <f t="shared" si="10"/>
        <v>0.9090909091</v>
      </c>
      <c r="AF151" s="3">
        <f t="shared" si="11"/>
        <v>1.818181818</v>
      </c>
      <c r="AG151" s="3">
        <f t="shared" si="12"/>
        <v>0.4871794872</v>
      </c>
    </row>
    <row r="152">
      <c r="A152" s="1" t="s">
        <v>12</v>
      </c>
      <c r="B152" s="1" t="s">
        <v>531</v>
      </c>
      <c r="C152" s="1" t="s">
        <v>20</v>
      </c>
      <c r="D152" s="1" t="s">
        <v>89</v>
      </c>
      <c r="E152" s="1" t="s">
        <v>147</v>
      </c>
      <c r="F152" s="1" t="s">
        <v>525</v>
      </c>
      <c r="G152" s="1">
        <v>2.5</v>
      </c>
      <c r="H152" s="1" t="s">
        <v>60</v>
      </c>
      <c r="I152" s="1">
        <v>137.0</v>
      </c>
      <c r="J152" s="1">
        <v>0.00906426218016892</v>
      </c>
      <c r="K152" s="1" t="s">
        <v>61</v>
      </c>
      <c r="L152" s="1" t="s">
        <v>61</v>
      </c>
      <c r="M152" s="1" t="s">
        <v>62</v>
      </c>
      <c r="N152" s="1">
        <v>-182.0</v>
      </c>
      <c r="O152" s="1">
        <v>-0.0763958659439716</v>
      </c>
      <c r="P152" s="1" t="s">
        <v>61</v>
      </c>
      <c r="Q152" s="1" t="s">
        <v>61</v>
      </c>
      <c r="R152" s="1">
        <f t="shared" si="1"/>
        <v>0.00906426218</v>
      </c>
      <c r="S152" s="1">
        <f t="shared" si="2"/>
        <v>137</v>
      </c>
      <c r="T152" s="1">
        <f t="shared" si="3"/>
        <v>2.37</v>
      </c>
      <c r="U152" s="1">
        <f t="shared" si="4"/>
        <v>1</v>
      </c>
      <c r="V152" s="3">
        <f t="shared" si="5"/>
        <v>1</v>
      </c>
      <c r="W152" s="3">
        <f t="shared" si="6"/>
        <v>1</v>
      </c>
      <c r="X152" s="3" t="str">
        <f>IFERROR(__xludf.DUMMYFUNCTION("split(B152,"" "")"),"J.")</f>
        <v>J.</v>
      </c>
      <c r="Y152" s="3" t="str">
        <f>IFERROR(__xludf.DUMMYFUNCTION("""COMPUTED_VALUE"""),"Akins")</f>
        <v>Akins</v>
      </c>
      <c r="AA152" s="3">
        <v>4.0</v>
      </c>
      <c r="AB152" s="3">
        <f t="shared" si="7"/>
        <v>1</v>
      </c>
      <c r="AC152" s="3">
        <f t="shared" si="8"/>
        <v>1</v>
      </c>
      <c r="AD152" s="3">
        <f t="shared" si="9"/>
        <v>1.37</v>
      </c>
      <c r="AE152" s="3">
        <f t="shared" si="10"/>
        <v>1.37</v>
      </c>
      <c r="AF152" s="3">
        <f t="shared" si="11"/>
        <v>1.37</v>
      </c>
      <c r="AG152" s="3">
        <f t="shared" si="12"/>
        <v>0.6</v>
      </c>
    </row>
    <row r="153">
      <c r="A153" s="1" t="s">
        <v>17</v>
      </c>
      <c r="B153" s="1" t="s">
        <v>462</v>
      </c>
      <c r="C153" s="1" t="s">
        <v>21</v>
      </c>
      <c r="D153" s="1" t="s">
        <v>89</v>
      </c>
      <c r="E153" s="1" t="s">
        <v>147</v>
      </c>
      <c r="F153" s="1" t="s">
        <v>525</v>
      </c>
      <c r="G153" s="1">
        <v>0.5</v>
      </c>
      <c r="H153" s="1" t="s">
        <v>60</v>
      </c>
      <c r="I153" s="1">
        <v>-103.0</v>
      </c>
      <c r="J153" s="1">
        <v>-0.0761891625615763</v>
      </c>
      <c r="K153" s="1" t="s">
        <v>61</v>
      </c>
      <c r="L153" s="1" t="s">
        <v>61</v>
      </c>
      <c r="M153" s="1" t="s">
        <v>62</v>
      </c>
      <c r="N153" s="1">
        <v>-128.0</v>
      </c>
      <c r="O153" s="1">
        <v>0.00739649122807017</v>
      </c>
      <c r="P153" s="1" t="s">
        <v>61</v>
      </c>
      <c r="Q153" s="1" t="s">
        <v>61</v>
      </c>
      <c r="R153" s="1">
        <f t="shared" si="1"/>
        <v>0.007396491228</v>
      </c>
      <c r="S153" s="1">
        <f t="shared" si="2"/>
        <v>-128</v>
      </c>
      <c r="T153" s="1">
        <f t="shared" si="3"/>
        <v>1.78125</v>
      </c>
      <c r="U153" s="1">
        <f t="shared" si="4"/>
        <v>0</v>
      </c>
      <c r="V153" s="3">
        <f t="shared" si="5"/>
        <v>1</v>
      </c>
      <c r="W153" s="3">
        <f t="shared" si="6"/>
        <v>3</v>
      </c>
      <c r="X153" s="3" t="str">
        <f>IFERROR(__xludf.DUMMYFUNCTION("split(B153,"" "")"),"D.")</f>
        <v>D.</v>
      </c>
      <c r="Y153" s="3" t="str">
        <f>IFERROR(__xludf.DUMMYFUNCTION("""COMPUTED_VALUE"""),"Watson")</f>
        <v>Watson</v>
      </c>
      <c r="AA153" s="3">
        <v>0.0</v>
      </c>
      <c r="AB153" s="3">
        <f t="shared" si="7"/>
        <v>0</v>
      </c>
      <c r="AC153" s="3">
        <f t="shared" si="8"/>
        <v>1</v>
      </c>
      <c r="AD153" s="3">
        <f t="shared" si="9"/>
        <v>0.78125</v>
      </c>
      <c r="AE153" s="3">
        <f t="shared" si="10"/>
        <v>0.78125</v>
      </c>
      <c r="AF153" s="3">
        <f t="shared" si="11"/>
        <v>2.34375</v>
      </c>
      <c r="AG153" s="3">
        <f t="shared" si="12"/>
        <v>1</v>
      </c>
    </row>
    <row r="154">
      <c r="A154" s="1" t="s">
        <v>12</v>
      </c>
      <c r="B154" s="1" t="s">
        <v>375</v>
      </c>
      <c r="C154" s="1" t="s">
        <v>19</v>
      </c>
      <c r="D154" s="1" t="s">
        <v>88</v>
      </c>
      <c r="E154" s="1" t="s">
        <v>77</v>
      </c>
      <c r="F154" s="1" t="s">
        <v>516</v>
      </c>
      <c r="G154" s="1">
        <v>1.5</v>
      </c>
      <c r="H154" s="1" t="s">
        <v>60</v>
      </c>
      <c r="I154" s="1">
        <v>-186.0</v>
      </c>
      <c r="J154" s="1">
        <v>-0.283742567800699</v>
      </c>
      <c r="K154" s="1" t="s">
        <v>61</v>
      </c>
      <c r="L154" s="1" t="s">
        <v>61</v>
      </c>
      <c r="M154" s="1" t="s">
        <v>62</v>
      </c>
      <c r="N154" s="1">
        <v>141.0</v>
      </c>
      <c r="O154" s="1">
        <v>0.218453835647302</v>
      </c>
      <c r="P154" s="1" t="s">
        <v>61</v>
      </c>
      <c r="Q154" s="1" t="s">
        <v>61</v>
      </c>
      <c r="R154" s="1">
        <f t="shared" si="1"/>
        <v>0.2184538356</v>
      </c>
      <c r="S154" s="1">
        <f t="shared" si="2"/>
        <v>141</v>
      </c>
      <c r="T154" s="1">
        <f t="shared" si="3"/>
        <v>2.41</v>
      </c>
      <c r="U154" s="1">
        <f t="shared" si="4"/>
        <v>0</v>
      </c>
      <c r="V154" s="3">
        <f t="shared" si="5"/>
        <v>3</v>
      </c>
      <c r="W154" s="3">
        <f t="shared" si="6"/>
        <v>1</v>
      </c>
      <c r="X154" s="3" t="str">
        <f>IFERROR(__xludf.DUMMYFUNCTION("split(B154,"" "")"),"E.")</f>
        <v>E.</v>
      </c>
      <c r="Y154" s="3" t="str">
        <f>IFERROR(__xludf.DUMMYFUNCTION("""COMPUTED_VALUE"""),"Elliott")</f>
        <v>Elliott</v>
      </c>
      <c r="AA154" s="3">
        <v>1.0</v>
      </c>
      <c r="AB154" s="3">
        <f t="shared" si="7"/>
        <v>0</v>
      </c>
      <c r="AC154" s="3">
        <f t="shared" si="8"/>
        <v>1</v>
      </c>
      <c r="AD154" s="3">
        <f t="shared" si="9"/>
        <v>4.23</v>
      </c>
      <c r="AE154" s="3">
        <f t="shared" si="10"/>
        <v>4.23</v>
      </c>
      <c r="AF154" s="3">
        <f t="shared" si="11"/>
        <v>1.41</v>
      </c>
      <c r="AG154" s="3">
        <f t="shared" si="12"/>
        <v>0.3333333333</v>
      </c>
    </row>
    <row r="155">
      <c r="A155" s="1" t="s">
        <v>12</v>
      </c>
      <c r="B155" s="1" t="s">
        <v>87</v>
      </c>
      <c r="C155" s="1" t="s">
        <v>18</v>
      </c>
      <c r="D155" s="1" t="s">
        <v>88</v>
      </c>
      <c r="E155" s="1" t="s">
        <v>77</v>
      </c>
      <c r="F155" s="1" t="s">
        <v>516</v>
      </c>
      <c r="G155" s="1">
        <v>2.5</v>
      </c>
      <c r="H155" s="1" t="s">
        <v>60</v>
      </c>
      <c r="I155" s="1">
        <v>-127.0</v>
      </c>
      <c r="J155" s="1">
        <v>-0.224325839074889</v>
      </c>
      <c r="K155" s="1" t="s">
        <v>61</v>
      </c>
      <c r="L155" s="1" t="s">
        <v>61</v>
      </c>
      <c r="M155" s="1" t="s">
        <v>62</v>
      </c>
      <c r="N155" s="1">
        <v>-104.0</v>
      </c>
      <c r="O155" s="1">
        <v>0.155043392592156</v>
      </c>
      <c r="P155" s="1" t="s">
        <v>61</v>
      </c>
      <c r="Q155" s="1" t="s">
        <v>61</v>
      </c>
      <c r="R155" s="1">
        <f t="shared" si="1"/>
        <v>0.1550433926</v>
      </c>
      <c r="S155" s="1">
        <f t="shared" si="2"/>
        <v>-104</v>
      </c>
      <c r="T155" s="1">
        <f t="shared" si="3"/>
        <v>1.961538462</v>
      </c>
      <c r="U155" s="1">
        <f t="shared" si="4"/>
        <v>0</v>
      </c>
      <c r="V155" s="3">
        <f t="shared" si="5"/>
        <v>3</v>
      </c>
      <c r="W155" s="3">
        <f t="shared" si="6"/>
        <v>2</v>
      </c>
      <c r="X155" s="3" t="str">
        <f>IFERROR(__xludf.DUMMYFUNCTION("split(B155,"" "")"),"J.")</f>
        <v>J.</v>
      </c>
      <c r="Y155" s="3" t="str">
        <f>IFERROR(__xludf.DUMMYFUNCTION("""COMPUTED_VALUE"""),"Tolbert")</f>
        <v>Tolbert</v>
      </c>
      <c r="AA155" s="3">
        <v>3.0</v>
      </c>
      <c r="AB155" s="3">
        <f t="shared" si="7"/>
        <v>1</v>
      </c>
      <c r="AC155" s="3">
        <f t="shared" si="8"/>
        <v>0</v>
      </c>
      <c r="AD155" s="3">
        <f t="shared" si="9"/>
        <v>2.884615385</v>
      </c>
      <c r="AE155" s="3">
        <f t="shared" si="10"/>
        <v>-3</v>
      </c>
      <c r="AF155" s="3">
        <f t="shared" si="11"/>
        <v>-2</v>
      </c>
      <c r="AG155" s="3">
        <f t="shared" si="12"/>
        <v>-0.2</v>
      </c>
    </row>
    <row r="156">
      <c r="A156" s="1" t="s">
        <v>8</v>
      </c>
      <c r="B156" s="1" t="s">
        <v>251</v>
      </c>
      <c r="C156" s="1" t="s">
        <v>21</v>
      </c>
      <c r="D156" s="1" t="s">
        <v>88</v>
      </c>
      <c r="E156" s="1" t="s">
        <v>77</v>
      </c>
      <c r="F156" s="1" t="s">
        <v>516</v>
      </c>
      <c r="G156" s="1">
        <v>2.5</v>
      </c>
      <c r="H156" s="1" t="s">
        <v>60</v>
      </c>
      <c r="I156" s="1">
        <v>-149.0</v>
      </c>
      <c r="J156" s="1">
        <v>-0.210688022398486</v>
      </c>
      <c r="K156" s="1" t="s">
        <v>61</v>
      </c>
      <c r="L156" s="1" t="s">
        <v>61</v>
      </c>
      <c r="M156" s="1" t="s">
        <v>62</v>
      </c>
      <c r="N156" s="1">
        <v>113.0</v>
      </c>
      <c r="O156" s="1">
        <v>0.142809941677103</v>
      </c>
      <c r="P156" s="1" t="s">
        <v>61</v>
      </c>
      <c r="Q156" s="1" t="s">
        <v>61</v>
      </c>
      <c r="R156" s="1">
        <f t="shared" si="1"/>
        <v>0.1428099417</v>
      </c>
      <c r="S156" s="1">
        <f t="shared" si="2"/>
        <v>113</v>
      </c>
      <c r="T156" s="1">
        <f t="shared" si="3"/>
        <v>2.13</v>
      </c>
      <c r="U156" s="1">
        <f t="shared" si="4"/>
        <v>0</v>
      </c>
      <c r="V156" s="3">
        <f t="shared" si="5"/>
        <v>3</v>
      </c>
      <c r="W156" s="3">
        <f t="shared" si="6"/>
        <v>1</v>
      </c>
      <c r="X156" s="3" t="str">
        <f>IFERROR(__xludf.DUMMYFUNCTION("split(B156,"" "")"),"D.")</f>
        <v>D.</v>
      </c>
      <c r="Y156" s="3" t="str">
        <f>IFERROR(__xludf.DUMMYFUNCTION("""COMPUTED_VALUE"""),"Prescott")</f>
        <v>Prescott</v>
      </c>
      <c r="AA156" s="3">
        <v>2.0</v>
      </c>
      <c r="AB156" s="3">
        <f t="shared" si="7"/>
        <v>0</v>
      </c>
      <c r="AC156" s="3">
        <f t="shared" si="8"/>
        <v>1</v>
      </c>
      <c r="AD156" s="3">
        <f t="shared" si="9"/>
        <v>3.39</v>
      </c>
      <c r="AE156" s="3">
        <f t="shared" si="10"/>
        <v>3.39</v>
      </c>
      <c r="AF156" s="3">
        <f t="shared" si="11"/>
        <v>1.13</v>
      </c>
      <c r="AG156" s="3">
        <f t="shared" si="12"/>
        <v>0.2</v>
      </c>
    </row>
    <row r="157">
      <c r="A157" s="1" t="s">
        <v>8</v>
      </c>
      <c r="B157" s="1" t="s">
        <v>152</v>
      </c>
      <c r="C157" s="1" t="s">
        <v>19</v>
      </c>
      <c r="D157" s="1" t="s">
        <v>88</v>
      </c>
      <c r="E157" s="1" t="s">
        <v>77</v>
      </c>
      <c r="F157" s="1" t="s">
        <v>516</v>
      </c>
      <c r="G157" s="1">
        <v>7.5</v>
      </c>
      <c r="H157" s="1" t="s">
        <v>60</v>
      </c>
      <c r="I157" s="1">
        <v>-113.0</v>
      </c>
      <c r="J157" s="1">
        <v>-0.195310987933812</v>
      </c>
      <c r="K157" s="1" t="s">
        <v>61</v>
      </c>
      <c r="L157" s="1" t="s">
        <v>61</v>
      </c>
      <c r="M157" s="1" t="s">
        <v>62</v>
      </c>
      <c r="N157" s="1">
        <v>-118.0</v>
      </c>
      <c r="O157" s="1">
        <v>0.123509319758185</v>
      </c>
      <c r="P157" s="1" t="s">
        <v>61</v>
      </c>
      <c r="Q157" s="1" t="s">
        <v>61</v>
      </c>
      <c r="R157" s="1">
        <f t="shared" si="1"/>
        <v>0.1235093198</v>
      </c>
      <c r="S157" s="1">
        <f t="shared" si="2"/>
        <v>-118</v>
      </c>
      <c r="T157" s="1">
        <f t="shared" si="3"/>
        <v>1.847457627</v>
      </c>
      <c r="U157" s="1">
        <f t="shared" si="4"/>
        <v>0</v>
      </c>
      <c r="V157" s="3">
        <f t="shared" si="5"/>
        <v>3</v>
      </c>
      <c r="W157" s="3">
        <f t="shared" si="6"/>
        <v>3</v>
      </c>
      <c r="X157" s="3" t="str">
        <f>IFERROR(__xludf.DUMMYFUNCTION("split(B157,"" "")"),"R.")</f>
        <v>R.</v>
      </c>
      <c r="Y157" s="3" t="str">
        <f>IFERROR(__xludf.DUMMYFUNCTION("""COMPUTED_VALUE"""),"Dowdle")</f>
        <v>Dowdle</v>
      </c>
      <c r="AA157" s="3">
        <v>8.0</v>
      </c>
      <c r="AB157" s="3">
        <f t="shared" si="7"/>
        <v>1</v>
      </c>
      <c r="AC157" s="3">
        <f t="shared" si="8"/>
        <v>0</v>
      </c>
      <c r="AD157" s="3">
        <f t="shared" si="9"/>
        <v>2.542372881</v>
      </c>
      <c r="AE157" s="3">
        <f t="shared" si="10"/>
        <v>-3</v>
      </c>
      <c r="AF157" s="3">
        <f t="shared" si="11"/>
        <v>-3</v>
      </c>
      <c r="AG157" s="3">
        <f t="shared" si="12"/>
        <v>-0.06666666667</v>
      </c>
    </row>
    <row r="158">
      <c r="A158" s="1" t="s">
        <v>8</v>
      </c>
      <c r="B158" s="1" t="s">
        <v>375</v>
      </c>
      <c r="C158" s="1" t="s">
        <v>19</v>
      </c>
      <c r="D158" s="1" t="s">
        <v>88</v>
      </c>
      <c r="E158" s="1" t="s">
        <v>77</v>
      </c>
      <c r="F158" s="1" t="s">
        <v>516</v>
      </c>
      <c r="G158" s="1">
        <v>8.5</v>
      </c>
      <c r="H158" s="1" t="s">
        <v>60</v>
      </c>
      <c r="I158" s="1">
        <v>-127.0</v>
      </c>
      <c r="J158" s="1">
        <v>-0.187181635745797</v>
      </c>
      <c r="K158" s="1" t="s">
        <v>61</v>
      </c>
      <c r="L158" s="1" t="s">
        <v>61</v>
      </c>
      <c r="M158" s="1" t="s">
        <v>62</v>
      </c>
      <c r="N158" s="1">
        <v>-105.0</v>
      </c>
      <c r="O158" s="1">
        <v>0.115500550634198</v>
      </c>
      <c r="P158" s="1" t="s">
        <v>61</v>
      </c>
      <c r="Q158" s="1" t="s">
        <v>61</v>
      </c>
      <c r="R158" s="1">
        <f t="shared" si="1"/>
        <v>0.1155005506</v>
      </c>
      <c r="S158" s="1">
        <f t="shared" si="2"/>
        <v>-105</v>
      </c>
      <c r="T158" s="1">
        <f t="shared" si="3"/>
        <v>1.952380952</v>
      </c>
      <c r="U158" s="1">
        <f t="shared" si="4"/>
        <v>0</v>
      </c>
      <c r="V158" s="3">
        <f t="shared" si="5"/>
        <v>3</v>
      </c>
      <c r="W158" s="3">
        <f t="shared" si="6"/>
        <v>2</v>
      </c>
      <c r="X158" s="3" t="str">
        <f>IFERROR(__xludf.DUMMYFUNCTION("split(B158,"" "")"),"E.")</f>
        <v>E.</v>
      </c>
      <c r="Y158" s="3" t="str">
        <f>IFERROR(__xludf.DUMMYFUNCTION("""COMPUTED_VALUE"""),"Elliott")</f>
        <v>Elliott</v>
      </c>
      <c r="AA158" s="3">
        <v>3.0</v>
      </c>
      <c r="AB158" s="3">
        <f t="shared" si="7"/>
        <v>0</v>
      </c>
      <c r="AC158" s="3">
        <f t="shared" si="8"/>
        <v>1</v>
      </c>
      <c r="AD158" s="3">
        <f t="shared" si="9"/>
        <v>2.857142857</v>
      </c>
      <c r="AE158" s="3">
        <f t="shared" si="10"/>
        <v>2.857142857</v>
      </c>
      <c r="AF158" s="3">
        <f t="shared" si="11"/>
        <v>1.904761905</v>
      </c>
      <c r="AG158" s="3">
        <f t="shared" si="12"/>
        <v>0.6470588235</v>
      </c>
    </row>
    <row r="159">
      <c r="A159" s="1" t="s">
        <v>12</v>
      </c>
      <c r="B159" s="1" t="s">
        <v>412</v>
      </c>
      <c r="C159" s="1" t="s">
        <v>20</v>
      </c>
      <c r="D159" s="1" t="s">
        <v>88</v>
      </c>
      <c r="E159" s="1" t="s">
        <v>77</v>
      </c>
      <c r="F159" s="1" t="s">
        <v>516</v>
      </c>
      <c r="G159" s="1">
        <v>3.5</v>
      </c>
      <c r="H159" s="1" t="s">
        <v>60</v>
      </c>
      <c r="I159" s="1">
        <v>-172.0</v>
      </c>
      <c r="J159" s="1">
        <v>-0.175779411764705</v>
      </c>
      <c r="K159" s="1" t="s">
        <v>61</v>
      </c>
      <c r="L159" s="1" t="s">
        <v>61</v>
      </c>
      <c r="M159" s="1" t="s">
        <v>62</v>
      </c>
      <c r="N159" s="1">
        <v>130.0</v>
      </c>
      <c r="O159" s="1">
        <v>0.108630434782608</v>
      </c>
      <c r="P159" s="1" t="s">
        <v>61</v>
      </c>
      <c r="Q159" s="1" t="s">
        <v>61</v>
      </c>
      <c r="R159" s="1">
        <f t="shared" si="1"/>
        <v>0.1086304348</v>
      </c>
      <c r="S159" s="1">
        <f t="shared" si="2"/>
        <v>130</v>
      </c>
      <c r="T159" s="1">
        <f t="shared" si="3"/>
        <v>2.3</v>
      </c>
      <c r="U159" s="1">
        <f t="shared" si="4"/>
        <v>0</v>
      </c>
      <c r="V159" s="3">
        <f t="shared" si="5"/>
        <v>3</v>
      </c>
      <c r="W159" s="3">
        <f t="shared" si="6"/>
        <v>1</v>
      </c>
      <c r="X159" s="3" t="str">
        <f>IFERROR(__xludf.DUMMYFUNCTION("split(B159,"" "")"),"J.")</f>
        <v>J.</v>
      </c>
      <c r="Y159" s="3" t="str">
        <f>IFERROR(__xludf.DUMMYFUNCTION("""COMPUTED_VALUE"""),"Ferguson")</f>
        <v>Ferguson</v>
      </c>
      <c r="AA159" s="3">
        <v>6.0</v>
      </c>
      <c r="AB159" s="3">
        <f t="shared" si="7"/>
        <v>1</v>
      </c>
      <c r="AC159" s="3">
        <f t="shared" si="8"/>
        <v>0</v>
      </c>
      <c r="AD159" s="3">
        <f t="shared" si="9"/>
        <v>3.9</v>
      </c>
      <c r="AE159" s="3">
        <f t="shared" si="10"/>
        <v>-3</v>
      </c>
      <c r="AF159" s="3">
        <f t="shared" si="11"/>
        <v>-1</v>
      </c>
      <c r="AG159" s="3">
        <f t="shared" si="12"/>
        <v>-0.7142857143</v>
      </c>
    </row>
    <row r="160">
      <c r="A160" s="1" t="s">
        <v>17</v>
      </c>
      <c r="B160" s="1" t="s">
        <v>251</v>
      </c>
      <c r="C160" s="1" t="s">
        <v>21</v>
      </c>
      <c r="D160" s="1" t="s">
        <v>88</v>
      </c>
      <c r="E160" s="1" t="s">
        <v>77</v>
      </c>
      <c r="F160" s="1" t="s">
        <v>516</v>
      </c>
      <c r="G160" s="1">
        <v>0.5</v>
      </c>
      <c r="H160" s="1" t="s">
        <v>60</v>
      </c>
      <c r="I160" s="1">
        <v>-145.0</v>
      </c>
      <c r="J160" s="1">
        <v>-0.156336734693877</v>
      </c>
      <c r="K160" s="1" t="s">
        <v>61</v>
      </c>
      <c r="L160" s="1" t="s">
        <v>61</v>
      </c>
      <c r="M160" s="1" t="s">
        <v>62</v>
      </c>
      <c r="N160" s="1">
        <v>110.0</v>
      </c>
      <c r="O160" s="1">
        <v>0.0883095238095238</v>
      </c>
      <c r="P160" s="1" t="s">
        <v>61</v>
      </c>
      <c r="Q160" s="1" t="s">
        <v>61</v>
      </c>
      <c r="R160" s="1">
        <f t="shared" si="1"/>
        <v>0.08830952381</v>
      </c>
      <c r="S160" s="1">
        <f t="shared" si="2"/>
        <v>110</v>
      </c>
      <c r="T160" s="1">
        <f t="shared" si="3"/>
        <v>2.1</v>
      </c>
      <c r="U160" s="1">
        <f t="shared" si="4"/>
        <v>0</v>
      </c>
      <c r="V160" s="3">
        <f t="shared" si="5"/>
        <v>2</v>
      </c>
      <c r="W160" s="3">
        <f t="shared" si="6"/>
        <v>2</v>
      </c>
      <c r="X160" s="3" t="str">
        <f>IFERROR(__xludf.DUMMYFUNCTION("split(B160,"" "")"),"D.")</f>
        <v>D.</v>
      </c>
      <c r="Y160" s="3" t="str">
        <f>IFERROR(__xludf.DUMMYFUNCTION("""COMPUTED_VALUE"""),"Prescott")</f>
        <v>Prescott</v>
      </c>
      <c r="AA160" s="3">
        <v>0.0</v>
      </c>
      <c r="AB160" s="3">
        <f t="shared" si="7"/>
        <v>0</v>
      </c>
      <c r="AC160" s="3">
        <f t="shared" si="8"/>
        <v>1</v>
      </c>
      <c r="AD160" s="3">
        <f t="shared" si="9"/>
        <v>2.2</v>
      </c>
      <c r="AE160" s="3">
        <f t="shared" si="10"/>
        <v>2.2</v>
      </c>
      <c r="AF160" s="3">
        <f t="shared" si="11"/>
        <v>2.2</v>
      </c>
      <c r="AG160" s="3">
        <f t="shared" si="12"/>
        <v>1</v>
      </c>
    </row>
    <row r="161">
      <c r="A161" s="1" t="s">
        <v>12</v>
      </c>
      <c r="B161" s="1" t="s">
        <v>152</v>
      </c>
      <c r="C161" s="1" t="s">
        <v>19</v>
      </c>
      <c r="D161" s="1" t="s">
        <v>88</v>
      </c>
      <c r="E161" s="1" t="s">
        <v>77</v>
      </c>
      <c r="F161" s="1" t="s">
        <v>516</v>
      </c>
      <c r="G161" s="1">
        <v>2.5</v>
      </c>
      <c r="H161" s="1" t="s">
        <v>60</v>
      </c>
      <c r="I161" s="1">
        <v>149.0</v>
      </c>
      <c r="J161" s="1">
        <v>-0.133442422244176</v>
      </c>
      <c r="K161" s="1" t="s">
        <v>61</v>
      </c>
      <c r="L161" s="1" t="s">
        <v>61</v>
      </c>
      <c r="M161" s="1" t="s">
        <v>62</v>
      </c>
      <c r="N161" s="1">
        <v>-198.0</v>
      </c>
      <c r="O161" s="1">
        <v>0.0673994032134228</v>
      </c>
      <c r="P161" s="1" t="s">
        <v>61</v>
      </c>
      <c r="Q161" s="1" t="s">
        <v>61</v>
      </c>
      <c r="R161" s="1">
        <f t="shared" si="1"/>
        <v>0.06739940321</v>
      </c>
      <c r="S161" s="1">
        <f t="shared" si="2"/>
        <v>-198</v>
      </c>
      <c r="T161" s="1">
        <f t="shared" si="3"/>
        <v>1.505050505</v>
      </c>
      <c r="U161" s="1">
        <f t="shared" si="4"/>
        <v>0</v>
      </c>
      <c r="V161" s="3">
        <f t="shared" si="5"/>
        <v>2</v>
      </c>
      <c r="W161" s="3">
        <f t="shared" si="6"/>
        <v>3</v>
      </c>
      <c r="X161" s="3" t="str">
        <f>IFERROR(__xludf.DUMMYFUNCTION("split(B161,"" "")"),"R.")</f>
        <v>R.</v>
      </c>
      <c r="Y161" s="3" t="str">
        <f>IFERROR(__xludf.DUMMYFUNCTION("""COMPUTED_VALUE"""),"Dowdle")</f>
        <v>Dowdle</v>
      </c>
      <c r="AA161" s="3">
        <v>3.0</v>
      </c>
      <c r="AB161" s="3">
        <f t="shared" si="7"/>
        <v>1</v>
      </c>
      <c r="AC161" s="3">
        <f t="shared" si="8"/>
        <v>0</v>
      </c>
      <c r="AD161" s="3">
        <f t="shared" si="9"/>
        <v>1.01010101</v>
      </c>
      <c r="AE161" s="3">
        <f t="shared" si="10"/>
        <v>-2</v>
      </c>
      <c r="AF161" s="3">
        <f t="shared" si="11"/>
        <v>-3</v>
      </c>
      <c r="AG161" s="3">
        <f t="shared" si="12"/>
        <v>-0.2</v>
      </c>
    </row>
    <row r="162">
      <c r="A162" s="1" t="s">
        <v>12</v>
      </c>
      <c r="B162" s="1" t="s">
        <v>395</v>
      </c>
      <c r="C162" s="1" t="s">
        <v>18</v>
      </c>
      <c r="D162" s="1" t="s">
        <v>88</v>
      </c>
      <c r="E162" s="1" t="s">
        <v>77</v>
      </c>
      <c r="F162" s="1" t="s">
        <v>516</v>
      </c>
      <c r="G162" s="1">
        <v>6.5</v>
      </c>
      <c r="H162" s="1" t="s">
        <v>60</v>
      </c>
      <c r="I162" s="1">
        <v>-135.0</v>
      </c>
      <c r="J162" s="1">
        <v>0.0643893617021276</v>
      </c>
      <c r="K162" s="1" t="s">
        <v>61</v>
      </c>
      <c r="L162" s="1" t="s">
        <v>61</v>
      </c>
      <c r="M162" s="1" t="s">
        <v>62</v>
      </c>
      <c r="N162" s="1">
        <v>103.0</v>
      </c>
      <c r="O162" s="1">
        <v>-0.131461576354679</v>
      </c>
      <c r="P162" s="1" t="s">
        <v>61</v>
      </c>
      <c r="Q162" s="1" t="s">
        <v>61</v>
      </c>
      <c r="R162" s="1">
        <f t="shared" si="1"/>
        <v>0.0643893617</v>
      </c>
      <c r="S162" s="1">
        <f t="shared" si="2"/>
        <v>-135</v>
      </c>
      <c r="T162" s="1">
        <f t="shared" si="3"/>
        <v>1.740740741</v>
      </c>
      <c r="U162" s="1">
        <f t="shared" si="4"/>
        <v>1</v>
      </c>
      <c r="V162" s="3">
        <f t="shared" si="5"/>
        <v>2</v>
      </c>
      <c r="W162" s="3">
        <f t="shared" si="6"/>
        <v>3</v>
      </c>
      <c r="X162" s="3" t="str">
        <f>IFERROR(__xludf.DUMMYFUNCTION("split(B162,"" "")"),"C.")</f>
        <v>C.</v>
      </c>
      <c r="Y162" s="3" t="str">
        <f>IFERROR(__xludf.DUMMYFUNCTION("""COMPUTED_VALUE"""),"Lamb")</f>
        <v>Lamb</v>
      </c>
      <c r="AA162" s="3">
        <v>4.0</v>
      </c>
      <c r="AB162" s="3">
        <f t="shared" si="7"/>
        <v>0</v>
      </c>
      <c r="AC162" s="3">
        <f t="shared" si="8"/>
        <v>0</v>
      </c>
      <c r="AD162" s="3">
        <f t="shared" si="9"/>
        <v>1.481481481</v>
      </c>
      <c r="AE162" s="3">
        <f t="shared" si="10"/>
        <v>-2</v>
      </c>
      <c r="AF162" s="3">
        <f t="shared" si="11"/>
        <v>-3</v>
      </c>
      <c r="AG162" s="3">
        <f t="shared" si="12"/>
        <v>-0.3846153846</v>
      </c>
    </row>
    <row r="163">
      <c r="A163" s="1" t="s">
        <v>10</v>
      </c>
      <c r="B163" s="1" t="s">
        <v>395</v>
      </c>
      <c r="C163" s="1" t="s">
        <v>18</v>
      </c>
      <c r="D163" s="1" t="s">
        <v>88</v>
      </c>
      <c r="E163" s="1" t="s">
        <v>77</v>
      </c>
      <c r="F163" s="1" t="s">
        <v>516</v>
      </c>
      <c r="G163" s="1">
        <v>1.5</v>
      </c>
      <c r="H163" s="1" t="s">
        <v>60</v>
      </c>
      <c r="I163" s="1">
        <v>-121.0</v>
      </c>
      <c r="J163" s="1">
        <v>0.0636361470984449</v>
      </c>
      <c r="K163" s="1" t="s">
        <v>61</v>
      </c>
      <c r="L163" s="1" t="s">
        <v>61</v>
      </c>
      <c r="M163" s="1" t="s">
        <v>62</v>
      </c>
      <c r="N163" s="1">
        <v>-108.0</v>
      </c>
      <c r="O163" s="1">
        <v>-0.130385228796811</v>
      </c>
      <c r="P163" s="1" t="s">
        <v>61</v>
      </c>
      <c r="Q163" s="1" t="s">
        <v>61</v>
      </c>
      <c r="R163" s="1">
        <f t="shared" si="1"/>
        <v>0.0636361471</v>
      </c>
      <c r="S163" s="1">
        <f t="shared" si="2"/>
        <v>-121</v>
      </c>
      <c r="T163" s="1">
        <f t="shared" si="3"/>
        <v>1.826446281</v>
      </c>
      <c r="U163" s="1">
        <f t="shared" si="4"/>
        <v>1</v>
      </c>
      <c r="V163" s="3">
        <f t="shared" si="5"/>
        <v>2</v>
      </c>
      <c r="W163" s="3">
        <f t="shared" si="6"/>
        <v>3</v>
      </c>
      <c r="X163" s="3" t="str">
        <f>IFERROR(__xludf.DUMMYFUNCTION("split(B163,"" "")"),"C.")</f>
        <v>C.</v>
      </c>
      <c r="Y163" s="3" t="str">
        <f>IFERROR(__xludf.DUMMYFUNCTION("""COMPUTED_VALUE"""),"Lamb")</f>
        <v>Lamb</v>
      </c>
      <c r="AA163" s="3">
        <v>0.0</v>
      </c>
      <c r="AB163" s="3">
        <f t="shared" si="7"/>
        <v>0</v>
      </c>
      <c r="AC163" s="3">
        <f t="shared" si="8"/>
        <v>0</v>
      </c>
      <c r="AD163" s="3">
        <f t="shared" si="9"/>
        <v>1.652892562</v>
      </c>
      <c r="AE163" s="3">
        <f t="shared" si="10"/>
        <v>-2</v>
      </c>
      <c r="AF163" s="3">
        <f t="shared" si="11"/>
        <v>-3</v>
      </c>
      <c r="AG163" s="3">
        <f t="shared" si="12"/>
        <v>-1</v>
      </c>
    </row>
    <row r="164">
      <c r="A164" s="1" t="s">
        <v>12</v>
      </c>
      <c r="B164" s="1" t="s">
        <v>463</v>
      </c>
      <c r="C164" s="1" t="s">
        <v>18</v>
      </c>
      <c r="D164" s="1" t="s">
        <v>88</v>
      </c>
      <c r="E164" s="1" t="s">
        <v>77</v>
      </c>
      <c r="F164" s="1" t="s">
        <v>516</v>
      </c>
      <c r="G164" s="1">
        <v>3.5</v>
      </c>
      <c r="H164" s="1" t="s">
        <v>60</v>
      </c>
      <c r="I164" s="1">
        <v>-103.0</v>
      </c>
      <c r="J164" s="1">
        <v>-0.115639901477832</v>
      </c>
      <c r="K164" s="1" t="s">
        <v>61</v>
      </c>
      <c r="L164" s="1" t="s">
        <v>61</v>
      </c>
      <c r="M164" s="1" t="s">
        <v>62</v>
      </c>
      <c r="N164" s="1">
        <v>-127.0</v>
      </c>
      <c r="O164" s="1">
        <v>0.0487726872246696</v>
      </c>
      <c r="P164" s="1" t="s">
        <v>61</v>
      </c>
      <c r="Q164" s="1" t="s">
        <v>61</v>
      </c>
      <c r="R164" s="1">
        <f t="shared" si="1"/>
        <v>0.04877268722</v>
      </c>
      <c r="S164" s="1">
        <f t="shared" si="2"/>
        <v>-127</v>
      </c>
      <c r="T164" s="1">
        <f t="shared" si="3"/>
        <v>1.787401575</v>
      </c>
      <c r="U164" s="1">
        <f t="shared" si="4"/>
        <v>0</v>
      </c>
      <c r="V164" s="3">
        <f t="shared" si="5"/>
        <v>1</v>
      </c>
      <c r="W164" s="3">
        <f t="shared" si="6"/>
        <v>3</v>
      </c>
      <c r="X164" s="3" t="str">
        <f>IFERROR(__xludf.DUMMYFUNCTION("split(B164,"" "")"),"B.")</f>
        <v>B.</v>
      </c>
      <c r="Y164" s="3" t="str">
        <f>IFERROR(__xludf.DUMMYFUNCTION("""COMPUTED_VALUE"""),"Cooks")</f>
        <v>Cooks</v>
      </c>
      <c r="AA164" s="3">
        <v>2.0</v>
      </c>
      <c r="AB164" s="3">
        <f t="shared" si="7"/>
        <v>0</v>
      </c>
      <c r="AC164" s="3">
        <f t="shared" si="8"/>
        <v>1</v>
      </c>
      <c r="AD164" s="3">
        <f t="shared" si="9"/>
        <v>0.7874015748</v>
      </c>
      <c r="AE164" s="3">
        <f t="shared" si="10"/>
        <v>0.7874015748</v>
      </c>
      <c r="AF164" s="3">
        <f t="shared" si="11"/>
        <v>2.362204724</v>
      </c>
      <c r="AG164" s="3">
        <f t="shared" si="12"/>
        <v>0.4285714286</v>
      </c>
    </row>
    <row r="165">
      <c r="A165" s="1" t="s">
        <v>9</v>
      </c>
      <c r="B165" s="1" t="s">
        <v>87</v>
      </c>
      <c r="C165" s="1" t="s">
        <v>18</v>
      </c>
      <c r="D165" s="1" t="s">
        <v>88</v>
      </c>
      <c r="E165" s="1" t="s">
        <v>77</v>
      </c>
      <c r="F165" s="1" t="s">
        <v>516</v>
      </c>
      <c r="G165" s="1">
        <v>28.0</v>
      </c>
      <c r="H165" s="1" t="s">
        <v>60</v>
      </c>
      <c r="I165" s="1">
        <v>-119.0</v>
      </c>
      <c r="J165" s="1">
        <v>0.0407406338898476</v>
      </c>
      <c r="K165" s="1" t="s">
        <v>61</v>
      </c>
      <c r="L165" s="1" t="s">
        <v>61</v>
      </c>
      <c r="M165" s="1" t="s">
        <v>62</v>
      </c>
      <c r="N165" s="1">
        <v>-114.0</v>
      </c>
      <c r="O165" s="1">
        <v>-0.115483432976351</v>
      </c>
      <c r="P165" s="1" t="s">
        <v>61</v>
      </c>
      <c r="Q165" s="1" t="s">
        <v>61</v>
      </c>
      <c r="R165" s="1">
        <f t="shared" si="1"/>
        <v>0.04074063389</v>
      </c>
      <c r="S165" s="1">
        <f t="shared" si="2"/>
        <v>-119</v>
      </c>
      <c r="T165" s="1">
        <f t="shared" si="3"/>
        <v>1.840336134</v>
      </c>
      <c r="U165" s="1">
        <f t="shared" si="4"/>
        <v>1</v>
      </c>
      <c r="V165" s="3">
        <f t="shared" si="5"/>
        <v>1</v>
      </c>
      <c r="W165" s="3">
        <f t="shared" si="6"/>
        <v>3</v>
      </c>
      <c r="X165" s="3" t="str">
        <f>IFERROR(__xludf.DUMMYFUNCTION("split(B165,"" "")"),"J.")</f>
        <v>J.</v>
      </c>
      <c r="Y165" s="3" t="str">
        <f>IFERROR(__xludf.DUMMYFUNCTION("""COMPUTED_VALUE"""),"Tolbert")</f>
        <v>Tolbert</v>
      </c>
      <c r="AA165" s="3">
        <v>42.0</v>
      </c>
      <c r="AB165" s="3">
        <f t="shared" si="7"/>
        <v>1</v>
      </c>
      <c r="AC165" s="3">
        <f t="shared" si="8"/>
        <v>1</v>
      </c>
      <c r="AD165" s="3">
        <f t="shared" si="9"/>
        <v>0.8403361345</v>
      </c>
      <c r="AE165" s="3">
        <f t="shared" si="10"/>
        <v>0.8403361345</v>
      </c>
      <c r="AF165" s="3">
        <f t="shared" si="11"/>
        <v>2.521008403</v>
      </c>
      <c r="AG165" s="3">
        <f t="shared" si="12"/>
        <v>0.5</v>
      </c>
    </row>
    <row r="166">
      <c r="A166" s="1" t="s">
        <v>11</v>
      </c>
      <c r="B166" s="1" t="s">
        <v>375</v>
      </c>
      <c r="C166" s="1" t="s">
        <v>19</v>
      </c>
      <c r="D166" s="1" t="s">
        <v>88</v>
      </c>
      <c r="E166" s="1" t="s">
        <v>77</v>
      </c>
      <c r="F166" s="1" t="s">
        <v>516</v>
      </c>
      <c r="G166" s="1">
        <v>9.5</v>
      </c>
      <c r="H166" s="1" t="s">
        <v>60</v>
      </c>
      <c r="I166" s="1">
        <v>-108.0</v>
      </c>
      <c r="J166" s="1">
        <v>0.0300133905828361</v>
      </c>
      <c r="K166" s="1" t="s">
        <v>61</v>
      </c>
      <c r="L166" s="1" t="s">
        <v>61</v>
      </c>
      <c r="M166" s="1" t="s">
        <v>62</v>
      </c>
      <c r="N166" s="1">
        <v>-118.0</v>
      </c>
      <c r="O166" s="1">
        <v>-0.0904963604800517</v>
      </c>
      <c r="P166" s="1" t="s">
        <v>61</v>
      </c>
      <c r="Q166" s="1" t="s">
        <v>61</v>
      </c>
      <c r="R166" s="1">
        <f t="shared" si="1"/>
        <v>0.03001339058</v>
      </c>
      <c r="S166" s="1">
        <f t="shared" si="2"/>
        <v>-108</v>
      </c>
      <c r="T166" s="1">
        <f t="shared" si="3"/>
        <v>1.925925926</v>
      </c>
      <c r="U166" s="1">
        <f t="shared" si="4"/>
        <v>1</v>
      </c>
      <c r="V166" s="3">
        <f t="shared" si="5"/>
        <v>1</v>
      </c>
      <c r="W166" s="3">
        <f t="shared" si="6"/>
        <v>2</v>
      </c>
      <c r="X166" s="3" t="str">
        <f>IFERROR(__xludf.DUMMYFUNCTION("split(B166,"" "")"),"E.")</f>
        <v>E.</v>
      </c>
      <c r="Y166" s="3" t="str">
        <f>IFERROR(__xludf.DUMMYFUNCTION("""COMPUTED_VALUE"""),"Elliott")</f>
        <v>Elliott</v>
      </c>
      <c r="AA166" s="3">
        <v>6.0</v>
      </c>
      <c r="AB166" s="3">
        <f t="shared" si="7"/>
        <v>0</v>
      </c>
      <c r="AC166" s="3">
        <f t="shared" si="8"/>
        <v>0</v>
      </c>
      <c r="AD166" s="3">
        <f t="shared" si="9"/>
        <v>0.9259259259</v>
      </c>
      <c r="AE166" s="3">
        <f t="shared" si="10"/>
        <v>-1</v>
      </c>
      <c r="AF166" s="3">
        <f t="shared" si="11"/>
        <v>-2</v>
      </c>
      <c r="AG166" s="3">
        <f t="shared" si="12"/>
        <v>-0.3684210526</v>
      </c>
    </row>
    <row r="167">
      <c r="A167" s="1" t="s">
        <v>10</v>
      </c>
      <c r="B167" s="1" t="s">
        <v>152</v>
      </c>
      <c r="C167" s="1" t="s">
        <v>19</v>
      </c>
      <c r="D167" s="1" t="s">
        <v>88</v>
      </c>
      <c r="E167" s="1" t="s">
        <v>77</v>
      </c>
      <c r="F167" s="1" t="s">
        <v>516</v>
      </c>
      <c r="G167" s="1">
        <v>29.5</v>
      </c>
      <c r="H167" s="1" t="s">
        <v>60</v>
      </c>
      <c r="I167" s="1">
        <v>-113.0</v>
      </c>
      <c r="J167" s="1">
        <v>-0.0845525081863153</v>
      </c>
      <c r="K167" s="1" t="s">
        <v>61</v>
      </c>
      <c r="L167" s="1" t="s">
        <v>61</v>
      </c>
      <c r="M167" s="1" t="s">
        <v>62</v>
      </c>
      <c r="N167" s="1">
        <v>-116.0</v>
      </c>
      <c r="O167" s="1">
        <v>0.0170186190864574</v>
      </c>
      <c r="P167" s="1" t="s">
        <v>61</v>
      </c>
      <c r="Q167" s="1" t="s">
        <v>61</v>
      </c>
      <c r="R167" s="1">
        <f t="shared" si="1"/>
        <v>0.01701861909</v>
      </c>
      <c r="S167" s="1">
        <f t="shared" si="2"/>
        <v>-116</v>
      </c>
      <c r="T167" s="1">
        <f t="shared" si="3"/>
        <v>1.862068966</v>
      </c>
      <c r="U167" s="1">
        <f t="shared" si="4"/>
        <v>0</v>
      </c>
      <c r="V167" s="3">
        <f t="shared" si="5"/>
        <v>1</v>
      </c>
      <c r="W167" s="3">
        <f t="shared" si="6"/>
        <v>2</v>
      </c>
      <c r="X167" s="3" t="str">
        <f>IFERROR(__xludf.DUMMYFUNCTION("split(B167,"" "")"),"R.")</f>
        <v>R.</v>
      </c>
      <c r="Y167" s="3" t="str">
        <f>IFERROR(__xludf.DUMMYFUNCTION("""COMPUTED_VALUE"""),"Dowdle")</f>
        <v>Dowdle</v>
      </c>
      <c r="AA167" s="3">
        <v>32.0</v>
      </c>
      <c r="AB167" s="3">
        <f t="shared" si="7"/>
        <v>1</v>
      </c>
      <c r="AC167" s="3">
        <f t="shared" si="8"/>
        <v>0</v>
      </c>
      <c r="AD167" s="3">
        <f t="shared" si="9"/>
        <v>0.8620689655</v>
      </c>
      <c r="AE167" s="3">
        <f t="shared" si="10"/>
        <v>-1</v>
      </c>
      <c r="AF167" s="3">
        <f t="shared" si="11"/>
        <v>-2</v>
      </c>
      <c r="AG167" s="3">
        <f t="shared" si="12"/>
        <v>-0.08474576271</v>
      </c>
    </row>
    <row r="168">
      <c r="A168" s="1" t="s">
        <v>14</v>
      </c>
      <c r="B168" s="1" t="s">
        <v>251</v>
      </c>
      <c r="C168" s="1" t="s">
        <v>21</v>
      </c>
      <c r="D168" s="1" t="s">
        <v>88</v>
      </c>
      <c r="E168" s="1" t="s">
        <v>77</v>
      </c>
      <c r="F168" s="1" t="s">
        <v>516</v>
      </c>
      <c r="G168" s="1">
        <v>1.5</v>
      </c>
      <c r="H168" s="1" t="s">
        <v>60</v>
      </c>
      <c r="I168" s="1">
        <v>-120.0</v>
      </c>
      <c r="J168" s="1">
        <v>-0.0825090909090909</v>
      </c>
      <c r="K168" s="1" t="s">
        <v>61</v>
      </c>
      <c r="L168" s="1" t="s">
        <v>61</v>
      </c>
      <c r="M168" s="1" t="s">
        <v>62</v>
      </c>
      <c r="N168" s="1">
        <v>-109.0</v>
      </c>
      <c r="O168" s="1">
        <v>0.0155167464114832</v>
      </c>
      <c r="P168" s="1" t="s">
        <v>61</v>
      </c>
      <c r="Q168" s="1" t="s">
        <v>61</v>
      </c>
      <c r="R168" s="1">
        <f t="shared" si="1"/>
        <v>0.01551674641</v>
      </c>
      <c r="S168" s="1">
        <f t="shared" si="2"/>
        <v>-109</v>
      </c>
      <c r="T168" s="1">
        <f t="shared" si="3"/>
        <v>1.917431193</v>
      </c>
      <c r="U168" s="1">
        <f t="shared" si="4"/>
        <v>0</v>
      </c>
      <c r="V168" s="3">
        <f t="shared" si="5"/>
        <v>1</v>
      </c>
      <c r="W168" s="3">
        <f t="shared" si="6"/>
        <v>2</v>
      </c>
      <c r="X168" s="3" t="str">
        <f>IFERROR(__xludf.DUMMYFUNCTION("split(B168,"" "")"),"D.")</f>
        <v>D.</v>
      </c>
      <c r="Y168" s="3" t="str">
        <f>IFERROR(__xludf.DUMMYFUNCTION("""COMPUTED_VALUE"""),"Prescott")</f>
        <v>Prescott</v>
      </c>
      <c r="AA168" s="3">
        <v>2.0</v>
      </c>
      <c r="AB168" s="3">
        <f t="shared" si="7"/>
        <v>1</v>
      </c>
      <c r="AC168" s="3">
        <f t="shared" si="8"/>
        <v>0</v>
      </c>
      <c r="AD168" s="3">
        <f t="shared" si="9"/>
        <v>0.9174311927</v>
      </c>
      <c r="AE168" s="3">
        <f t="shared" si="10"/>
        <v>-1</v>
      </c>
      <c r="AF168" s="3">
        <f t="shared" si="11"/>
        <v>-2</v>
      </c>
      <c r="AG168" s="3">
        <f t="shared" si="12"/>
        <v>-0.3333333333</v>
      </c>
    </row>
    <row r="169">
      <c r="A169" s="1" t="s">
        <v>10</v>
      </c>
      <c r="B169" s="1" t="s">
        <v>375</v>
      </c>
      <c r="C169" s="1" t="s">
        <v>19</v>
      </c>
      <c r="D169" s="1" t="s">
        <v>88</v>
      </c>
      <c r="E169" s="1" t="s">
        <v>77</v>
      </c>
      <c r="F169" s="1" t="s">
        <v>516</v>
      </c>
      <c r="G169" s="1">
        <v>31.5</v>
      </c>
      <c r="H169" s="1" t="s">
        <v>60</v>
      </c>
      <c r="I169" s="1">
        <v>-114.0</v>
      </c>
      <c r="J169" s="1">
        <v>-0.0727062378204253</v>
      </c>
      <c r="K169" s="1" t="s">
        <v>61</v>
      </c>
      <c r="L169" s="1" t="s">
        <v>61</v>
      </c>
      <c r="M169" s="1" t="s">
        <v>62</v>
      </c>
      <c r="N169" s="1">
        <v>-116.0</v>
      </c>
      <c r="O169" s="1">
        <v>0.00298816887288144</v>
      </c>
      <c r="P169" s="1" t="s">
        <v>61</v>
      </c>
      <c r="Q169" s="1" t="s">
        <v>61</v>
      </c>
      <c r="R169" s="1">
        <f t="shared" si="1"/>
        <v>0.002988168873</v>
      </c>
      <c r="S169" s="1">
        <f t="shared" si="2"/>
        <v>-116</v>
      </c>
      <c r="T169" s="1">
        <f t="shared" si="3"/>
        <v>1.862068966</v>
      </c>
      <c r="U169" s="1">
        <f t="shared" si="4"/>
        <v>0</v>
      </c>
      <c r="V169" s="3">
        <f t="shared" si="5"/>
        <v>1</v>
      </c>
      <c r="W169" s="3">
        <f t="shared" si="6"/>
        <v>2</v>
      </c>
      <c r="X169" s="3" t="str">
        <f>IFERROR(__xludf.DUMMYFUNCTION("split(B169,"" "")"),"E.")</f>
        <v>E.</v>
      </c>
      <c r="Y169" s="3" t="str">
        <f>IFERROR(__xludf.DUMMYFUNCTION("""COMPUTED_VALUE"""),"Elliott")</f>
        <v>Elliott</v>
      </c>
      <c r="AA169" s="3">
        <v>6.0</v>
      </c>
      <c r="AB169" s="3">
        <f t="shared" si="7"/>
        <v>0</v>
      </c>
      <c r="AC169" s="3">
        <f t="shared" si="8"/>
        <v>1</v>
      </c>
      <c r="AD169" s="3">
        <f t="shared" si="9"/>
        <v>0.8620689655</v>
      </c>
      <c r="AE169" s="3">
        <f t="shared" si="10"/>
        <v>0.8620689655</v>
      </c>
      <c r="AF169" s="3">
        <f t="shared" si="11"/>
        <v>1.724137931</v>
      </c>
      <c r="AG169" s="3">
        <f t="shared" si="12"/>
        <v>0.8095238095</v>
      </c>
    </row>
    <row r="170">
      <c r="A170" s="1" t="s">
        <v>9</v>
      </c>
      <c r="B170" s="1" t="s">
        <v>395</v>
      </c>
      <c r="C170" s="1" t="s">
        <v>18</v>
      </c>
      <c r="D170" s="1" t="s">
        <v>88</v>
      </c>
      <c r="E170" s="1" t="s">
        <v>77</v>
      </c>
      <c r="F170" s="1" t="s">
        <v>516</v>
      </c>
      <c r="G170" s="1">
        <v>88.5</v>
      </c>
      <c r="H170" s="1" t="s">
        <v>60</v>
      </c>
      <c r="I170" s="1">
        <v>-117.0</v>
      </c>
      <c r="J170" s="1">
        <v>-0.0762758494128899</v>
      </c>
      <c r="K170" s="1" t="s">
        <v>61</v>
      </c>
      <c r="L170" s="1" t="s">
        <v>61</v>
      </c>
      <c r="M170" s="1" t="s">
        <v>62</v>
      </c>
      <c r="N170" s="1">
        <v>-115.0</v>
      </c>
      <c r="O170" s="1">
        <v>0.0021893883807984</v>
      </c>
      <c r="P170" s="1" t="s">
        <v>61</v>
      </c>
      <c r="Q170" s="1" t="s">
        <v>61</v>
      </c>
      <c r="R170" s="1">
        <f t="shared" si="1"/>
        <v>0.002189388381</v>
      </c>
      <c r="S170" s="1">
        <f t="shared" si="2"/>
        <v>-115</v>
      </c>
      <c r="T170" s="1">
        <f t="shared" si="3"/>
        <v>1.869565217</v>
      </c>
      <c r="U170" s="1">
        <f t="shared" si="4"/>
        <v>0</v>
      </c>
      <c r="V170" s="3">
        <f t="shared" si="5"/>
        <v>1</v>
      </c>
      <c r="W170" s="3">
        <f t="shared" si="6"/>
        <v>2</v>
      </c>
      <c r="X170" s="3" t="str">
        <f>IFERROR(__xludf.DUMMYFUNCTION("split(B170,"" "")"),"C.")</f>
        <v>C.</v>
      </c>
      <c r="Y170" s="3" t="str">
        <f>IFERROR(__xludf.DUMMYFUNCTION("""COMPUTED_VALUE"""),"Lamb")</f>
        <v>Lamb</v>
      </c>
      <c r="AA170" s="3">
        <v>67.0</v>
      </c>
      <c r="AB170" s="3">
        <f t="shared" si="7"/>
        <v>0</v>
      </c>
      <c r="AC170" s="3">
        <f t="shared" si="8"/>
        <v>1</v>
      </c>
      <c r="AD170" s="3">
        <f t="shared" si="9"/>
        <v>0.8695652174</v>
      </c>
      <c r="AE170" s="3">
        <f t="shared" si="10"/>
        <v>0.8695652174</v>
      </c>
      <c r="AF170" s="3">
        <f t="shared" si="11"/>
        <v>1.739130435</v>
      </c>
      <c r="AG170" s="3">
        <f t="shared" si="12"/>
        <v>0.2429378531</v>
      </c>
    </row>
    <row r="171">
      <c r="A171" s="1" t="s">
        <v>11</v>
      </c>
      <c r="B171" s="1" t="s">
        <v>87</v>
      </c>
      <c r="C171" s="1" t="s">
        <v>18</v>
      </c>
      <c r="D171" s="1" t="s">
        <v>88</v>
      </c>
      <c r="E171" s="1" t="s">
        <v>77</v>
      </c>
      <c r="F171" s="1" t="s">
        <v>516</v>
      </c>
      <c r="G171" s="1">
        <v>28.5</v>
      </c>
      <c r="H171" s="1" t="s">
        <v>60</v>
      </c>
      <c r="I171" s="1">
        <v>-111.0</v>
      </c>
      <c r="J171" s="1">
        <v>-0.0634253131365876</v>
      </c>
      <c r="K171" s="1" t="s">
        <v>61</v>
      </c>
      <c r="L171" s="1" t="s">
        <v>61</v>
      </c>
      <c r="M171" s="1" t="s">
        <v>62</v>
      </c>
      <c r="N171" s="1">
        <v>-116.0</v>
      </c>
      <c r="O171" s="1">
        <v>3.4196337616299E-4</v>
      </c>
      <c r="P171" s="1" t="s">
        <v>61</v>
      </c>
      <c r="Q171" s="1" t="s">
        <v>61</v>
      </c>
      <c r="R171" s="1">
        <f t="shared" si="1"/>
        <v>0.0003419633762</v>
      </c>
      <c r="S171" s="1">
        <f t="shared" si="2"/>
        <v>-116</v>
      </c>
      <c r="T171" s="1">
        <f t="shared" si="3"/>
        <v>1.862068966</v>
      </c>
      <c r="U171" s="1">
        <f t="shared" si="4"/>
        <v>0</v>
      </c>
      <c r="V171" s="3">
        <f t="shared" si="5"/>
        <v>1</v>
      </c>
      <c r="W171" s="3">
        <f t="shared" si="6"/>
        <v>2</v>
      </c>
      <c r="X171" s="3" t="str">
        <f>IFERROR(__xludf.DUMMYFUNCTION("split(B171,"" "")"),"J.")</f>
        <v>J.</v>
      </c>
      <c r="Y171" s="3" t="str">
        <f>IFERROR(__xludf.DUMMYFUNCTION("""COMPUTED_VALUE"""),"Tolbert")</f>
        <v>Tolbert</v>
      </c>
      <c r="AA171" s="3">
        <v>42.0</v>
      </c>
      <c r="AB171" s="3">
        <f t="shared" si="7"/>
        <v>1</v>
      </c>
      <c r="AC171" s="3">
        <f t="shared" si="8"/>
        <v>0</v>
      </c>
      <c r="AD171" s="3">
        <f t="shared" si="9"/>
        <v>0.8620689655</v>
      </c>
      <c r="AE171" s="3">
        <f t="shared" si="10"/>
        <v>-1</v>
      </c>
      <c r="AF171" s="3">
        <f t="shared" si="11"/>
        <v>-2</v>
      </c>
      <c r="AG171" s="3">
        <f t="shared" si="12"/>
        <v>-0.4736842105</v>
      </c>
    </row>
    <row r="172">
      <c r="A172" s="1" t="s">
        <v>11</v>
      </c>
      <c r="B172" s="1" t="s">
        <v>412</v>
      </c>
      <c r="C172" s="1" t="s">
        <v>20</v>
      </c>
      <c r="D172" s="1" t="s">
        <v>88</v>
      </c>
      <c r="E172" s="1" t="s">
        <v>77</v>
      </c>
      <c r="F172" s="1" t="s">
        <v>516</v>
      </c>
      <c r="G172" s="1">
        <v>38.5</v>
      </c>
      <c r="H172" s="1" t="s">
        <v>60</v>
      </c>
      <c r="I172" s="1">
        <v>-114.0</v>
      </c>
      <c r="J172" s="1">
        <v>-0.0676545033474767</v>
      </c>
      <c r="K172" s="1" t="s">
        <v>61</v>
      </c>
      <c r="L172" s="1" t="s">
        <v>61</v>
      </c>
      <c r="M172" s="1" t="s">
        <v>62</v>
      </c>
      <c r="N172" s="1">
        <v>-115.0</v>
      </c>
      <c r="O172" s="1">
        <v>5.19484489304167E-5</v>
      </c>
      <c r="P172" s="1" t="s">
        <v>61</v>
      </c>
      <c r="Q172" s="1" t="s">
        <v>61</v>
      </c>
      <c r="R172" s="1">
        <f t="shared" si="1"/>
        <v>0.00005194844893</v>
      </c>
      <c r="S172" s="1">
        <f t="shared" si="2"/>
        <v>-115</v>
      </c>
      <c r="T172" s="1">
        <f t="shared" si="3"/>
        <v>1.869565217</v>
      </c>
      <c r="U172" s="1">
        <f t="shared" si="4"/>
        <v>0</v>
      </c>
      <c r="V172" s="3">
        <f t="shared" si="5"/>
        <v>1</v>
      </c>
      <c r="W172" s="3">
        <f t="shared" si="6"/>
        <v>2</v>
      </c>
      <c r="X172" s="3" t="str">
        <f>IFERROR(__xludf.DUMMYFUNCTION("split(B172,"" "")"),"J.")</f>
        <v>J.</v>
      </c>
      <c r="Y172" s="3" t="str">
        <f>IFERROR(__xludf.DUMMYFUNCTION("""COMPUTED_VALUE"""),"Ferguson")</f>
        <v>Ferguson</v>
      </c>
      <c r="AA172" s="3">
        <v>95.0</v>
      </c>
      <c r="AB172" s="3">
        <f t="shared" si="7"/>
        <v>1</v>
      </c>
      <c r="AC172" s="3">
        <f t="shared" si="8"/>
        <v>0</v>
      </c>
      <c r="AD172" s="3">
        <f t="shared" si="9"/>
        <v>0.8695652174</v>
      </c>
      <c r="AE172" s="3">
        <f t="shared" si="10"/>
        <v>-1</v>
      </c>
      <c r="AF172" s="3">
        <f t="shared" si="11"/>
        <v>-2</v>
      </c>
      <c r="AG172" s="3">
        <f t="shared" si="12"/>
        <v>-1.467532468</v>
      </c>
    </row>
    <row r="173">
      <c r="A173" s="1" t="s">
        <v>12</v>
      </c>
      <c r="B173" s="1" t="s">
        <v>532</v>
      </c>
      <c r="C173" s="1" t="s">
        <v>18</v>
      </c>
      <c r="D173" s="1" t="s">
        <v>83</v>
      </c>
      <c r="E173" s="1" t="s">
        <v>113</v>
      </c>
      <c r="F173" s="1" t="s">
        <v>525</v>
      </c>
      <c r="G173" s="1">
        <v>1.5</v>
      </c>
      <c r="H173" s="1" t="s">
        <v>60</v>
      </c>
      <c r="I173" s="1">
        <v>-155.0</v>
      </c>
      <c r="J173" s="1">
        <v>-0.282231329690196</v>
      </c>
      <c r="K173" s="1" t="s">
        <v>61</v>
      </c>
      <c r="L173" s="1" t="s">
        <v>61</v>
      </c>
      <c r="M173" s="1" t="s">
        <v>62</v>
      </c>
      <c r="N173" s="1">
        <v>118.0</v>
      </c>
      <c r="O173" s="1">
        <v>0.215670592068807</v>
      </c>
      <c r="P173" s="1" t="s">
        <v>61</v>
      </c>
      <c r="Q173" s="1" t="s">
        <v>61</v>
      </c>
      <c r="R173" s="1">
        <f t="shared" si="1"/>
        <v>0.2156705921</v>
      </c>
      <c r="S173" s="1">
        <f t="shared" si="2"/>
        <v>118</v>
      </c>
      <c r="T173" s="1">
        <f t="shared" si="3"/>
        <v>2.18</v>
      </c>
      <c r="U173" s="1">
        <f t="shared" si="4"/>
        <v>0</v>
      </c>
      <c r="V173" s="3">
        <f t="shared" si="5"/>
        <v>3</v>
      </c>
      <c r="W173" s="3">
        <f t="shared" si="6"/>
        <v>1</v>
      </c>
      <c r="X173" s="3" t="str">
        <f>IFERROR(__xludf.DUMMYFUNCTION("split(B173,"" "")"),"L.")</f>
        <v>L.</v>
      </c>
      <c r="Y173" s="3" t="str">
        <f>IFERROR(__xludf.DUMMYFUNCTION("""COMPUTED_VALUE"""),"Humphrey")</f>
        <v>Humphrey</v>
      </c>
      <c r="AA173" s="3">
        <v>6.0</v>
      </c>
      <c r="AB173" s="3">
        <f t="shared" si="7"/>
        <v>1</v>
      </c>
      <c r="AC173" s="3">
        <f t="shared" si="8"/>
        <v>0</v>
      </c>
      <c r="AD173" s="3">
        <f t="shared" si="9"/>
        <v>3.54</v>
      </c>
      <c r="AE173" s="3">
        <f t="shared" si="10"/>
        <v>-3</v>
      </c>
      <c r="AF173" s="3">
        <f t="shared" si="11"/>
        <v>-1</v>
      </c>
      <c r="AG173" s="3">
        <f t="shared" si="12"/>
        <v>-3</v>
      </c>
    </row>
    <row r="174">
      <c r="A174" s="1" t="s">
        <v>12</v>
      </c>
      <c r="B174" s="1" t="s">
        <v>422</v>
      </c>
      <c r="C174" s="1" t="s">
        <v>18</v>
      </c>
      <c r="D174" s="1" t="s">
        <v>83</v>
      </c>
      <c r="E174" s="1" t="s">
        <v>113</v>
      </c>
      <c r="F174" s="1" t="s">
        <v>525</v>
      </c>
      <c r="G174" s="1">
        <v>2.5</v>
      </c>
      <c r="H174" s="1" t="s">
        <v>60</v>
      </c>
      <c r="I174" s="1">
        <v>-151.0</v>
      </c>
      <c r="J174" s="1">
        <v>-0.269392336932271</v>
      </c>
      <c r="K174" s="1" t="s">
        <v>61</v>
      </c>
      <c r="L174" s="1" t="s">
        <v>61</v>
      </c>
      <c r="M174" s="1" t="s">
        <v>62</v>
      </c>
      <c r="N174" s="1">
        <v>115.0</v>
      </c>
      <c r="O174" s="1">
        <v>0.202682216604651</v>
      </c>
      <c r="P174" s="1" t="s">
        <v>61</v>
      </c>
      <c r="Q174" s="1" t="s">
        <v>61</v>
      </c>
      <c r="R174" s="1">
        <f t="shared" si="1"/>
        <v>0.2026822166</v>
      </c>
      <c r="S174" s="1">
        <f t="shared" si="2"/>
        <v>115</v>
      </c>
      <c r="T174" s="1">
        <f t="shared" si="3"/>
        <v>2.15</v>
      </c>
      <c r="U174" s="1">
        <f t="shared" si="4"/>
        <v>0</v>
      </c>
      <c r="V174" s="3">
        <f t="shared" si="5"/>
        <v>3</v>
      </c>
      <c r="W174" s="3">
        <f t="shared" si="6"/>
        <v>1</v>
      </c>
      <c r="X174" s="3" t="str">
        <f>IFERROR(__xludf.DUMMYFUNCTION("split(B174,"" "")"),"J.")</f>
        <v>J.</v>
      </c>
      <c r="Y174" s="3" t="str">
        <f>IFERROR(__xludf.DUMMYFUNCTION("""COMPUTED_VALUE"""),"Reynolds")</f>
        <v>Reynolds</v>
      </c>
      <c r="AA174" s="3">
        <v>2.0</v>
      </c>
      <c r="AB174" s="3">
        <f t="shared" si="7"/>
        <v>0</v>
      </c>
      <c r="AC174" s="3">
        <f t="shared" si="8"/>
        <v>1</v>
      </c>
      <c r="AD174" s="3">
        <f t="shared" si="9"/>
        <v>3.45</v>
      </c>
      <c r="AE174" s="3">
        <f t="shared" si="10"/>
        <v>3.45</v>
      </c>
      <c r="AF174" s="3">
        <f t="shared" si="11"/>
        <v>1.15</v>
      </c>
      <c r="AG174" s="3">
        <f t="shared" si="12"/>
        <v>0.2</v>
      </c>
    </row>
    <row r="175">
      <c r="A175" s="1" t="s">
        <v>12</v>
      </c>
      <c r="B175" s="1" t="s">
        <v>127</v>
      </c>
      <c r="C175" s="1" t="s">
        <v>19</v>
      </c>
      <c r="D175" s="1" t="s">
        <v>83</v>
      </c>
      <c r="E175" s="1" t="s">
        <v>113</v>
      </c>
      <c r="F175" s="1" t="s">
        <v>525</v>
      </c>
      <c r="G175" s="1">
        <v>2.5</v>
      </c>
      <c r="H175" s="1" t="s">
        <v>60</v>
      </c>
      <c r="I175" s="1">
        <v>-131.0</v>
      </c>
      <c r="J175" s="1">
        <v>-0.241541558917748</v>
      </c>
      <c r="K175" s="1" t="s">
        <v>61</v>
      </c>
      <c r="L175" s="1" t="s">
        <v>61</v>
      </c>
      <c r="M175" s="1" t="s">
        <v>62</v>
      </c>
      <c r="N175" s="1">
        <v>100.0</v>
      </c>
      <c r="O175" s="1">
        <v>0.17444850055</v>
      </c>
      <c r="P175" s="1" t="s">
        <v>61</v>
      </c>
      <c r="Q175" s="1" t="s">
        <v>61</v>
      </c>
      <c r="R175" s="1">
        <f t="shared" si="1"/>
        <v>0.1744485006</v>
      </c>
      <c r="S175" s="1">
        <f t="shared" si="2"/>
        <v>100</v>
      </c>
      <c r="T175" s="1">
        <f t="shared" si="3"/>
        <v>2</v>
      </c>
      <c r="U175" s="1">
        <f t="shared" si="4"/>
        <v>0</v>
      </c>
      <c r="V175" s="3">
        <f t="shared" si="5"/>
        <v>3</v>
      </c>
      <c r="W175" s="3">
        <f t="shared" si="6"/>
        <v>2</v>
      </c>
      <c r="X175" s="3" t="str">
        <f>IFERROR(__xludf.DUMMYFUNCTION("split(B175,"" "")"),"J.")</f>
        <v>J.</v>
      </c>
      <c r="Y175" s="3" t="str">
        <f>IFERROR(__xludf.DUMMYFUNCTION("""COMPUTED_VALUE"""),"Williams")</f>
        <v>Williams</v>
      </c>
      <c r="AA175" s="3">
        <v>4.0</v>
      </c>
      <c r="AB175" s="3">
        <f t="shared" si="7"/>
        <v>1</v>
      </c>
      <c r="AC175" s="3">
        <f t="shared" si="8"/>
        <v>0</v>
      </c>
      <c r="AD175" s="3">
        <f t="shared" si="9"/>
        <v>3</v>
      </c>
      <c r="AE175" s="3">
        <f t="shared" si="10"/>
        <v>-3</v>
      </c>
      <c r="AF175" s="3">
        <f t="shared" si="11"/>
        <v>-2</v>
      </c>
      <c r="AG175" s="3">
        <f t="shared" si="12"/>
        <v>-0.6</v>
      </c>
    </row>
    <row r="176">
      <c r="A176" s="1" t="s">
        <v>12</v>
      </c>
      <c r="B176" s="1" t="s">
        <v>533</v>
      </c>
      <c r="C176" s="1" t="s">
        <v>18</v>
      </c>
      <c r="D176" s="1" t="s">
        <v>83</v>
      </c>
      <c r="E176" s="1" t="s">
        <v>113</v>
      </c>
      <c r="F176" s="1" t="s">
        <v>525</v>
      </c>
      <c r="G176" s="1">
        <v>2.5</v>
      </c>
      <c r="H176" s="1" t="s">
        <v>60</v>
      </c>
      <c r="I176" s="1">
        <v>110.0</v>
      </c>
      <c r="J176" s="1">
        <v>-0.220687410280952</v>
      </c>
      <c r="K176" s="1" t="s">
        <v>61</v>
      </c>
      <c r="L176" s="1" t="s">
        <v>61</v>
      </c>
      <c r="M176" s="1" t="s">
        <v>62</v>
      </c>
      <c r="N176" s="1">
        <v>-143.0</v>
      </c>
      <c r="O176" s="1">
        <v>0.156019189327983</v>
      </c>
      <c r="P176" s="1" t="s">
        <v>61</v>
      </c>
      <c r="Q176" s="1" t="s">
        <v>61</v>
      </c>
      <c r="R176" s="1">
        <f t="shared" si="1"/>
        <v>0.1560191893</v>
      </c>
      <c r="S176" s="1">
        <f t="shared" si="2"/>
        <v>-143</v>
      </c>
      <c r="T176" s="1">
        <f t="shared" si="3"/>
        <v>1.699300699</v>
      </c>
      <c r="U176" s="1">
        <f t="shared" si="4"/>
        <v>0</v>
      </c>
      <c r="V176" s="3">
        <f t="shared" si="5"/>
        <v>3</v>
      </c>
      <c r="W176" s="3">
        <f t="shared" si="6"/>
        <v>3</v>
      </c>
      <c r="X176" s="3" t="str">
        <f>IFERROR(__xludf.DUMMYFUNCTION("split(B176,"" "")"),"D.")</f>
        <v>D.</v>
      </c>
      <c r="Y176" s="3" t="str">
        <f>IFERROR(__xludf.DUMMYFUNCTION("""COMPUTED_VALUE"""),"Vele")</f>
        <v>Vele</v>
      </c>
      <c r="AA176" s="3">
        <v>0.0</v>
      </c>
      <c r="AB176" s="3">
        <f t="shared" si="7"/>
        <v>0</v>
      </c>
      <c r="AC176" s="3">
        <f t="shared" si="8"/>
        <v>1</v>
      </c>
      <c r="AD176" s="3">
        <f t="shared" si="9"/>
        <v>2.097902098</v>
      </c>
      <c r="AE176" s="3">
        <f t="shared" si="10"/>
        <v>2.097902098</v>
      </c>
      <c r="AF176" s="3">
        <f t="shared" si="11"/>
        <v>2.097902098</v>
      </c>
      <c r="AG176" s="3">
        <f t="shared" si="12"/>
        <v>1</v>
      </c>
    </row>
    <row r="177">
      <c r="A177" s="1" t="s">
        <v>8</v>
      </c>
      <c r="B177" s="1" t="s">
        <v>464</v>
      </c>
      <c r="C177" s="1" t="s">
        <v>21</v>
      </c>
      <c r="D177" s="1" t="s">
        <v>83</v>
      </c>
      <c r="E177" s="1" t="s">
        <v>113</v>
      </c>
      <c r="F177" s="1" t="s">
        <v>525</v>
      </c>
      <c r="G177" s="1">
        <v>4.5</v>
      </c>
      <c r="H177" s="1" t="s">
        <v>60</v>
      </c>
      <c r="I177" s="1">
        <v>-140.0</v>
      </c>
      <c r="J177" s="1">
        <v>-0.215940920095719</v>
      </c>
      <c r="K177" s="1" t="s">
        <v>61</v>
      </c>
      <c r="L177" s="1" t="s">
        <v>61</v>
      </c>
      <c r="M177" s="1" t="s">
        <v>62</v>
      </c>
      <c r="N177" s="1">
        <v>104.0</v>
      </c>
      <c r="O177" s="1">
        <v>0.14239520011261</v>
      </c>
      <c r="P177" s="1" t="s">
        <v>61</v>
      </c>
      <c r="Q177" s="1" t="s">
        <v>61</v>
      </c>
      <c r="R177" s="1">
        <f t="shared" si="1"/>
        <v>0.1423952001</v>
      </c>
      <c r="S177" s="1">
        <f t="shared" si="2"/>
        <v>104</v>
      </c>
      <c r="T177" s="1">
        <f t="shared" si="3"/>
        <v>2.04</v>
      </c>
      <c r="U177" s="1">
        <f t="shared" si="4"/>
        <v>0</v>
      </c>
      <c r="V177" s="3">
        <f t="shared" si="5"/>
        <v>3</v>
      </c>
      <c r="W177" s="3">
        <f t="shared" si="6"/>
        <v>2</v>
      </c>
      <c r="X177" s="3" t="str">
        <f>IFERROR(__xludf.DUMMYFUNCTION("split(B177,"" "")"),"B.")</f>
        <v>B.</v>
      </c>
      <c r="Y177" s="3" t="str">
        <f>IFERROR(__xludf.DUMMYFUNCTION("""COMPUTED_VALUE"""),"Nix")</f>
        <v>Nix</v>
      </c>
      <c r="AA177" s="3">
        <v>9.0</v>
      </c>
      <c r="AB177" s="3">
        <f t="shared" si="7"/>
        <v>1</v>
      </c>
      <c r="AC177" s="3">
        <f t="shared" si="8"/>
        <v>0</v>
      </c>
      <c r="AD177" s="3">
        <f t="shared" si="9"/>
        <v>3.12</v>
      </c>
      <c r="AE177" s="3">
        <f t="shared" si="10"/>
        <v>-3</v>
      </c>
      <c r="AF177" s="3">
        <f t="shared" si="11"/>
        <v>-2</v>
      </c>
      <c r="AG177" s="3">
        <f t="shared" si="12"/>
        <v>-1</v>
      </c>
    </row>
    <row r="178">
      <c r="A178" s="1" t="s">
        <v>12</v>
      </c>
      <c r="B178" s="1" t="s">
        <v>312</v>
      </c>
      <c r="C178" s="1" t="s">
        <v>20</v>
      </c>
      <c r="D178" s="1" t="s">
        <v>83</v>
      </c>
      <c r="E178" s="1" t="s">
        <v>113</v>
      </c>
      <c r="F178" s="1" t="s">
        <v>525</v>
      </c>
      <c r="G178" s="1">
        <v>2.5</v>
      </c>
      <c r="H178" s="1" t="s">
        <v>60</v>
      </c>
      <c r="I178" s="1">
        <v>-109.0</v>
      </c>
      <c r="J178" s="1">
        <v>-0.210425366650717</v>
      </c>
      <c r="K178" s="1" t="s">
        <v>61</v>
      </c>
      <c r="L178" s="1" t="s">
        <v>61</v>
      </c>
      <c r="M178" s="1" t="s">
        <v>62</v>
      </c>
      <c r="N178" s="1">
        <v>-121.0</v>
      </c>
      <c r="O178" s="1">
        <v>0.141382126571493</v>
      </c>
      <c r="P178" s="1" t="s">
        <v>61</v>
      </c>
      <c r="Q178" s="1" t="s">
        <v>61</v>
      </c>
      <c r="R178" s="1">
        <f t="shared" si="1"/>
        <v>0.1413821266</v>
      </c>
      <c r="S178" s="1">
        <f t="shared" si="2"/>
        <v>-121</v>
      </c>
      <c r="T178" s="1">
        <f t="shared" si="3"/>
        <v>1.826446281</v>
      </c>
      <c r="U178" s="1">
        <f t="shared" si="4"/>
        <v>0</v>
      </c>
      <c r="V178" s="3">
        <f t="shared" si="5"/>
        <v>3</v>
      </c>
      <c r="W178" s="3">
        <f t="shared" si="6"/>
        <v>3</v>
      </c>
      <c r="X178" s="3" t="str">
        <f>IFERROR(__xludf.DUMMYFUNCTION("split(B178,"" "")"),"G.")</f>
        <v>G.</v>
      </c>
      <c r="Y178" s="3" t="str">
        <f>IFERROR(__xludf.DUMMYFUNCTION("""COMPUTED_VALUE"""),"Dulcich")</f>
        <v>Dulcich</v>
      </c>
      <c r="AA178" s="3">
        <v>0.0</v>
      </c>
      <c r="AB178" s="3">
        <f t="shared" si="7"/>
        <v>0</v>
      </c>
      <c r="AC178" s="3">
        <f t="shared" si="8"/>
        <v>1</v>
      </c>
      <c r="AD178" s="3">
        <f t="shared" si="9"/>
        <v>2.479338843</v>
      </c>
      <c r="AE178" s="3">
        <f t="shared" si="10"/>
        <v>2.479338843</v>
      </c>
      <c r="AF178" s="3">
        <f t="shared" si="11"/>
        <v>2.479338843</v>
      </c>
      <c r="AG178" s="3">
        <f t="shared" si="12"/>
        <v>1</v>
      </c>
    </row>
    <row r="179">
      <c r="A179" s="1" t="s">
        <v>12</v>
      </c>
      <c r="B179" s="1" t="s">
        <v>465</v>
      </c>
      <c r="C179" s="1" t="s">
        <v>19</v>
      </c>
      <c r="D179" s="1" t="s">
        <v>83</v>
      </c>
      <c r="E179" s="1" t="s">
        <v>113</v>
      </c>
      <c r="F179" s="1" t="s">
        <v>525</v>
      </c>
      <c r="G179" s="1">
        <v>1.5</v>
      </c>
      <c r="H179" s="1" t="s">
        <v>60</v>
      </c>
      <c r="I179" s="1">
        <v>-151.0</v>
      </c>
      <c r="J179" s="1">
        <v>-0.205132402115537</v>
      </c>
      <c r="K179" s="1" t="s">
        <v>61</v>
      </c>
      <c r="L179" s="1" t="s">
        <v>61</v>
      </c>
      <c r="M179" s="1" t="s">
        <v>62</v>
      </c>
      <c r="N179" s="1">
        <v>115.0</v>
      </c>
      <c r="O179" s="1">
        <v>0.138428990376744</v>
      </c>
      <c r="P179" s="1" t="s">
        <v>61</v>
      </c>
      <c r="Q179" s="1" t="s">
        <v>61</v>
      </c>
      <c r="R179" s="1">
        <f t="shared" si="1"/>
        <v>0.1384289904</v>
      </c>
      <c r="S179" s="1">
        <f t="shared" si="2"/>
        <v>115</v>
      </c>
      <c r="T179" s="1">
        <f t="shared" si="3"/>
        <v>2.15</v>
      </c>
      <c r="U179" s="1">
        <f t="shared" si="4"/>
        <v>0</v>
      </c>
      <c r="V179" s="3">
        <f t="shared" si="5"/>
        <v>3</v>
      </c>
      <c r="W179" s="3">
        <f t="shared" si="6"/>
        <v>1</v>
      </c>
      <c r="X179" s="3" t="str">
        <f>IFERROR(__xludf.DUMMYFUNCTION("split(B179,"" "")"),"J.")</f>
        <v>J.</v>
      </c>
      <c r="Y179" s="3" t="str">
        <f>IFERROR(__xludf.DUMMYFUNCTION("""COMPUTED_VALUE"""),"McLaughlin")</f>
        <v>McLaughlin</v>
      </c>
      <c r="AA179" s="3">
        <v>1.0</v>
      </c>
      <c r="AB179" s="3">
        <f t="shared" si="7"/>
        <v>0</v>
      </c>
      <c r="AC179" s="3">
        <f t="shared" si="8"/>
        <v>1</v>
      </c>
      <c r="AD179" s="3">
        <f t="shared" si="9"/>
        <v>3.45</v>
      </c>
      <c r="AE179" s="3">
        <f t="shared" si="10"/>
        <v>3.45</v>
      </c>
      <c r="AF179" s="3">
        <f t="shared" si="11"/>
        <v>1.15</v>
      </c>
      <c r="AG179" s="3">
        <f t="shared" si="12"/>
        <v>0.3333333333</v>
      </c>
    </row>
    <row r="180">
      <c r="A180" s="1" t="s">
        <v>11</v>
      </c>
      <c r="B180" s="1" t="s">
        <v>448</v>
      </c>
      <c r="C180" s="1" t="s">
        <v>18</v>
      </c>
      <c r="D180" s="1" t="s">
        <v>83</v>
      </c>
      <c r="E180" s="1" t="s">
        <v>113</v>
      </c>
      <c r="F180" s="1" t="s">
        <v>525</v>
      </c>
      <c r="G180" s="1">
        <v>6.5</v>
      </c>
      <c r="H180" s="1" t="s">
        <v>60</v>
      </c>
      <c r="I180" s="1">
        <v>-117.0</v>
      </c>
      <c r="J180" s="1">
        <v>0.130662143483657</v>
      </c>
      <c r="K180" s="1" t="s">
        <v>61</v>
      </c>
      <c r="L180" s="1" t="s">
        <v>61</v>
      </c>
      <c r="M180" s="1" t="s">
        <v>62</v>
      </c>
      <c r="N180" s="1">
        <v>-110.0</v>
      </c>
      <c r="O180" s="1">
        <v>-0.193578303093091</v>
      </c>
      <c r="P180" s="1" t="s">
        <v>61</v>
      </c>
      <c r="Q180" s="1" t="s">
        <v>61</v>
      </c>
      <c r="R180" s="1">
        <f t="shared" si="1"/>
        <v>0.1306621435</v>
      </c>
      <c r="S180" s="1">
        <f t="shared" si="2"/>
        <v>-117</v>
      </c>
      <c r="T180" s="1">
        <f t="shared" si="3"/>
        <v>1.854700855</v>
      </c>
      <c r="U180" s="1">
        <f t="shared" si="4"/>
        <v>1</v>
      </c>
      <c r="V180" s="3">
        <f t="shared" si="5"/>
        <v>3</v>
      </c>
      <c r="W180" s="3">
        <f t="shared" si="6"/>
        <v>2</v>
      </c>
      <c r="X180" s="3" t="str">
        <f>IFERROR(__xludf.DUMMYFUNCTION("split(B180,"" "")"),"M.")</f>
        <v>M.</v>
      </c>
      <c r="Y180" s="3" t="str">
        <f>IFERROR(__xludf.DUMMYFUNCTION("""COMPUTED_VALUE"""),"Mims")</f>
        <v>Mims</v>
      </c>
      <c r="Z180" s="3" t="str">
        <f>IFERROR(__xludf.DUMMYFUNCTION("""COMPUTED_VALUE"""),"Jr.")</f>
        <v>Jr.</v>
      </c>
      <c r="AA180" s="3">
        <v>9.0</v>
      </c>
      <c r="AB180" s="3">
        <f t="shared" si="7"/>
        <v>1</v>
      </c>
      <c r="AC180" s="3">
        <f t="shared" si="8"/>
        <v>1</v>
      </c>
      <c r="AD180" s="3">
        <f t="shared" si="9"/>
        <v>2.564102564</v>
      </c>
      <c r="AE180" s="3">
        <f t="shared" si="10"/>
        <v>2.564102564</v>
      </c>
      <c r="AF180" s="3">
        <f t="shared" si="11"/>
        <v>1.709401709</v>
      </c>
      <c r="AG180" s="3">
        <f t="shared" si="12"/>
        <v>0.3846153846</v>
      </c>
    </row>
    <row r="181">
      <c r="A181" s="1" t="s">
        <v>17</v>
      </c>
      <c r="B181" s="1" t="s">
        <v>464</v>
      </c>
      <c r="C181" s="1" t="s">
        <v>21</v>
      </c>
      <c r="D181" s="1" t="s">
        <v>83</v>
      </c>
      <c r="E181" s="1" t="s">
        <v>113</v>
      </c>
      <c r="F181" s="1" t="s">
        <v>525</v>
      </c>
      <c r="G181" s="1">
        <v>0.5</v>
      </c>
      <c r="H181" s="1" t="s">
        <v>60</v>
      </c>
      <c r="I181" s="1">
        <v>-186.0</v>
      </c>
      <c r="J181" s="1">
        <v>-0.18814965034965</v>
      </c>
      <c r="K181" s="1" t="s">
        <v>61</v>
      </c>
      <c r="L181" s="1" t="s">
        <v>61</v>
      </c>
      <c r="M181" s="1" t="s">
        <v>62</v>
      </c>
      <c r="N181" s="1">
        <v>140.0</v>
      </c>
      <c r="O181" s="1">
        <v>0.121133333333333</v>
      </c>
      <c r="P181" s="1" t="s">
        <v>61</v>
      </c>
      <c r="Q181" s="1" t="s">
        <v>61</v>
      </c>
      <c r="R181" s="1">
        <f t="shared" si="1"/>
        <v>0.1211333333</v>
      </c>
      <c r="S181" s="1">
        <f t="shared" si="2"/>
        <v>140</v>
      </c>
      <c r="T181" s="1">
        <f t="shared" si="3"/>
        <v>2.4</v>
      </c>
      <c r="U181" s="1">
        <f t="shared" si="4"/>
        <v>0</v>
      </c>
      <c r="V181" s="3">
        <f t="shared" si="5"/>
        <v>3</v>
      </c>
      <c r="W181" s="3">
        <f t="shared" si="6"/>
        <v>1</v>
      </c>
      <c r="X181" s="3" t="str">
        <f>IFERROR(__xludf.DUMMYFUNCTION("split(B181,"" "")"),"B.")</f>
        <v>B.</v>
      </c>
      <c r="Y181" s="3" t="str">
        <f>IFERROR(__xludf.DUMMYFUNCTION("""COMPUTED_VALUE"""),"Nix")</f>
        <v>Nix</v>
      </c>
      <c r="AA181" s="3">
        <v>0.0</v>
      </c>
      <c r="AB181" s="3">
        <f t="shared" si="7"/>
        <v>0</v>
      </c>
      <c r="AC181" s="3">
        <f t="shared" si="8"/>
        <v>1</v>
      </c>
      <c r="AD181" s="3">
        <f t="shared" si="9"/>
        <v>4.2</v>
      </c>
      <c r="AE181" s="3">
        <f t="shared" si="10"/>
        <v>4.2</v>
      </c>
      <c r="AF181" s="3">
        <f t="shared" si="11"/>
        <v>1.4</v>
      </c>
      <c r="AG181" s="3">
        <f t="shared" si="12"/>
        <v>1</v>
      </c>
    </row>
    <row r="182">
      <c r="A182" s="1" t="s">
        <v>12</v>
      </c>
      <c r="B182" s="1" t="s">
        <v>401</v>
      </c>
      <c r="C182" s="1" t="s">
        <v>18</v>
      </c>
      <c r="D182" s="1" t="s">
        <v>83</v>
      </c>
      <c r="E182" s="1" t="s">
        <v>113</v>
      </c>
      <c r="F182" s="1" t="s">
        <v>525</v>
      </c>
      <c r="G182" s="1">
        <v>3.5</v>
      </c>
      <c r="H182" s="1" t="s">
        <v>60</v>
      </c>
      <c r="I182" s="1">
        <v>-120.0</v>
      </c>
      <c r="J182" s="1">
        <v>-0.176845454545454</v>
      </c>
      <c r="K182" s="1" t="s">
        <v>61</v>
      </c>
      <c r="L182" s="1" t="s">
        <v>61</v>
      </c>
      <c r="M182" s="1" t="s">
        <v>62</v>
      </c>
      <c r="N182" s="1">
        <v>-110.0</v>
      </c>
      <c r="O182" s="1">
        <v>0.107595238095238</v>
      </c>
      <c r="P182" s="1" t="s">
        <v>61</v>
      </c>
      <c r="Q182" s="1" t="s">
        <v>61</v>
      </c>
      <c r="R182" s="1">
        <f t="shared" si="1"/>
        <v>0.1075952381</v>
      </c>
      <c r="S182" s="1">
        <f t="shared" si="2"/>
        <v>-110</v>
      </c>
      <c r="T182" s="1">
        <f t="shared" si="3"/>
        <v>1.909090909</v>
      </c>
      <c r="U182" s="1">
        <f t="shared" si="4"/>
        <v>0</v>
      </c>
      <c r="V182" s="3">
        <f t="shared" si="5"/>
        <v>3</v>
      </c>
      <c r="W182" s="3">
        <f t="shared" si="6"/>
        <v>2</v>
      </c>
      <c r="X182" s="3" t="str">
        <f>IFERROR(__xludf.DUMMYFUNCTION("split(B182,"" "")"),"C.")</f>
        <v>C.</v>
      </c>
      <c r="Y182" s="3" t="str">
        <f>IFERROR(__xludf.DUMMYFUNCTION("""COMPUTED_VALUE"""),"Sutton")</f>
        <v>Sutton</v>
      </c>
      <c r="AA182" s="3">
        <v>7.0</v>
      </c>
      <c r="AB182" s="3">
        <f t="shared" si="7"/>
        <v>1</v>
      </c>
      <c r="AC182" s="3">
        <f t="shared" si="8"/>
        <v>0</v>
      </c>
      <c r="AD182" s="3">
        <f t="shared" si="9"/>
        <v>2.727272727</v>
      </c>
      <c r="AE182" s="3">
        <f t="shared" si="10"/>
        <v>-3</v>
      </c>
      <c r="AF182" s="3">
        <f t="shared" si="11"/>
        <v>-2</v>
      </c>
      <c r="AG182" s="3">
        <f t="shared" si="12"/>
        <v>-1</v>
      </c>
    </row>
    <row r="183">
      <c r="A183" s="1" t="s">
        <v>15</v>
      </c>
      <c r="B183" s="1" t="s">
        <v>464</v>
      </c>
      <c r="C183" s="1" t="s">
        <v>21</v>
      </c>
      <c r="D183" s="1" t="s">
        <v>83</v>
      </c>
      <c r="E183" s="1" t="s">
        <v>113</v>
      </c>
      <c r="F183" s="1" t="s">
        <v>525</v>
      </c>
      <c r="G183" s="1">
        <v>18.5</v>
      </c>
      <c r="H183" s="1" t="s">
        <v>60</v>
      </c>
      <c r="I183" s="1">
        <v>-119.0</v>
      </c>
      <c r="J183" s="1">
        <v>-0.164878579264839</v>
      </c>
      <c r="K183" s="1" t="s">
        <v>61</v>
      </c>
      <c r="L183" s="1" t="s">
        <v>61</v>
      </c>
      <c r="M183" s="1" t="s">
        <v>62</v>
      </c>
      <c r="N183" s="1">
        <v>-110.0</v>
      </c>
      <c r="O183" s="1">
        <v>0.0976899987852381</v>
      </c>
      <c r="P183" s="1" t="s">
        <v>61</v>
      </c>
      <c r="Q183" s="1" t="s">
        <v>61</v>
      </c>
      <c r="R183" s="1">
        <f t="shared" si="1"/>
        <v>0.09768999879</v>
      </c>
      <c r="S183" s="1">
        <f t="shared" si="2"/>
        <v>-110</v>
      </c>
      <c r="T183" s="1">
        <f t="shared" si="3"/>
        <v>1.909090909</v>
      </c>
      <c r="U183" s="1">
        <f t="shared" si="4"/>
        <v>0</v>
      </c>
      <c r="V183" s="3">
        <f t="shared" si="5"/>
        <v>2</v>
      </c>
      <c r="W183" s="3">
        <f t="shared" si="6"/>
        <v>2</v>
      </c>
      <c r="X183" s="3" t="str">
        <f>IFERROR(__xludf.DUMMYFUNCTION("split(B183,"" "")"),"B.")</f>
        <v>B.</v>
      </c>
      <c r="Y183" s="3" t="str">
        <f>IFERROR(__xludf.DUMMYFUNCTION("""COMPUTED_VALUE"""),"Nix")</f>
        <v>Nix</v>
      </c>
      <c r="AA183" s="3">
        <v>25.0</v>
      </c>
      <c r="AB183" s="3">
        <f t="shared" si="7"/>
        <v>1</v>
      </c>
      <c r="AC183" s="3">
        <f t="shared" si="8"/>
        <v>0</v>
      </c>
      <c r="AD183" s="3">
        <f t="shared" si="9"/>
        <v>1.818181818</v>
      </c>
      <c r="AE183" s="3">
        <f t="shared" si="10"/>
        <v>-2</v>
      </c>
      <c r="AF183" s="3">
        <f t="shared" si="11"/>
        <v>-2</v>
      </c>
      <c r="AG183" s="3">
        <f t="shared" si="12"/>
        <v>-0.3513513514</v>
      </c>
    </row>
    <row r="184">
      <c r="A184" s="1" t="s">
        <v>8</v>
      </c>
      <c r="B184" s="1" t="s">
        <v>127</v>
      </c>
      <c r="C184" s="1" t="s">
        <v>19</v>
      </c>
      <c r="D184" s="1" t="s">
        <v>83</v>
      </c>
      <c r="E184" s="1" t="s">
        <v>113</v>
      </c>
      <c r="F184" s="1" t="s">
        <v>525</v>
      </c>
      <c r="G184" s="1">
        <v>12.5</v>
      </c>
      <c r="H184" s="1" t="s">
        <v>60</v>
      </c>
      <c r="I184" s="1">
        <v>-112.0</v>
      </c>
      <c r="J184" s="1">
        <v>-0.160001452779056</v>
      </c>
      <c r="K184" s="1" t="s">
        <v>61</v>
      </c>
      <c r="L184" s="1" t="s">
        <v>61</v>
      </c>
      <c r="M184" s="1" t="s">
        <v>62</v>
      </c>
      <c r="N184" s="1">
        <v>-119.0</v>
      </c>
      <c r="O184" s="1">
        <v>0.088320504598632</v>
      </c>
      <c r="P184" s="1" t="s">
        <v>61</v>
      </c>
      <c r="Q184" s="1" t="s">
        <v>61</v>
      </c>
      <c r="R184" s="1">
        <f t="shared" si="1"/>
        <v>0.0883205046</v>
      </c>
      <c r="S184" s="1">
        <f t="shared" si="2"/>
        <v>-119</v>
      </c>
      <c r="T184" s="1">
        <f t="shared" si="3"/>
        <v>1.840336134</v>
      </c>
      <c r="U184" s="1">
        <f t="shared" si="4"/>
        <v>0</v>
      </c>
      <c r="V184" s="3">
        <f t="shared" si="5"/>
        <v>2</v>
      </c>
      <c r="W184" s="3">
        <f t="shared" si="6"/>
        <v>3</v>
      </c>
      <c r="X184" s="3" t="str">
        <f>IFERROR(__xludf.DUMMYFUNCTION("split(B184,"" "")"),"J.")</f>
        <v>J.</v>
      </c>
      <c r="Y184" s="3" t="str">
        <f>IFERROR(__xludf.DUMMYFUNCTION("""COMPUTED_VALUE"""),"Williams")</f>
        <v>Williams</v>
      </c>
      <c r="AA184" s="3">
        <v>5.0</v>
      </c>
      <c r="AB184" s="3">
        <f t="shared" si="7"/>
        <v>0</v>
      </c>
      <c r="AC184" s="3">
        <f t="shared" si="8"/>
        <v>1</v>
      </c>
      <c r="AD184" s="3">
        <f t="shared" si="9"/>
        <v>1.680672269</v>
      </c>
      <c r="AE184" s="3">
        <f t="shared" si="10"/>
        <v>1.680672269</v>
      </c>
      <c r="AF184" s="3">
        <f t="shared" si="11"/>
        <v>2.521008403</v>
      </c>
      <c r="AG184" s="3">
        <f t="shared" si="12"/>
        <v>0.6</v>
      </c>
    </row>
    <row r="185">
      <c r="A185" s="1" t="s">
        <v>14</v>
      </c>
      <c r="B185" s="1" t="s">
        <v>464</v>
      </c>
      <c r="C185" s="1" t="s">
        <v>21</v>
      </c>
      <c r="D185" s="1" t="s">
        <v>83</v>
      </c>
      <c r="E185" s="1" t="s">
        <v>113</v>
      </c>
      <c r="F185" s="1" t="s">
        <v>525</v>
      </c>
      <c r="G185" s="1">
        <v>0.5</v>
      </c>
      <c r="H185" s="1" t="s">
        <v>60</v>
      </c>
      <c r="I185" s="1">
        <v>-172.0</v>
      </c>
      <c r="J185" s="1">
        <v>-0.147888039338235</v>
      </c>
      <c r="K185" s="1" t="s">
        <v>61</v>
      </c>
      <c r="L185" s="1" t="s">
        <v>61</v>
      </c>
      <c r="M185" s="1" t="s">
        <v>62</v>
      </c>
      <c r="N185" s="1">
        <v>133.0</v>
      </c>
      <c r="O185" s="1">
        <v>0.0863564236051501</v>
      </c>
      <c r="P185" s="1" t="s">
        <v>61</v>
      </c>
      <c r="Q185" s="1" t="s">
        <v>61</v>
      </c>
      <c r="R185" s="1">
        <f t="shared" si="1"/>
        <v>0.08635642361</v>
      </c>
      <c r="S185" s="1">
        <f t="shared" si="2"/>
        <v>133</v>
      </c>
      <c r="T185" s="1">
        <f t="shared" si="3"/>
        <v>2.33</v>
      </c>
      <c r="U185" s="1">
        <f t="shared" si="4"/>
        <v>0</v>
      </c>
      <c r="V185" s="3">
        <f t="shared" si="5"/>
        <v>2</v>
      </c>
      <c r="W185" s="3">
        <f t="shared" si="6"/>
        <v>1</v>
      </c>
      <c r="X185" s="3" t="str">
        <f>IFERROR(__xludf.DUMMYFUNCTION("split(B185,"" "")"),"B.")</f>
        <v>B.</v>
      </c>
      <c r="Y185" s="3" t="str">
        <f>IFERROR(__xludf.DUMMYFUNCTION("""COMPUTED_VALUE"""),"Nix")</f>
        <v>Nix</v>
      </c>
      <c r="AA185" s="3">
        <v>0.0</v>
      </c>
      <c r="AB185" s="3">
        <f t="shared" si="7"/>
        <v>0</v>
      </c>
      <c r="AC185" s="3">
        <f t="shared" si="8"/>
        <v>1</v>
      </c>
      <c r="AD185" s="3">
        <f t="shared" si="9"/>
        <v>2.66</v>
      </c>
      <c r="AE185" s="3">
        <f t="shared" si="10"/>
        <v>2.66</v>
      </c>
      <c r="AF185" s="3">
        <f t="shared" si="11"/>
        <v>1.33</v>
      </c>
      <c r="AG185" s="3">
        <f t="shared" si="12"/>
        <v>1</v>
      </c>
    </row>
    <row r="186">
      <c r="A186" s="1" t="s">
        <v>9</v>
      </c>
      <c r="B186" s="1" t="s">
        <v>533</v>
      </c>
      <c r="C186" s="1" t="s">
        <v>18</v>
      </c>
      <c r="D186" s="1" t="s">
        <v>83</v>
      </c>
      <c r="E186" s="1" t="s">
        <v>113</v>
      </c>
      <c r="F186" s="1" t="s">
        <v>525</v>
      </c>
      <c r="G186" s="1">
        <v>20.5</v>
      </c>
      <c r="H186" s="1" t="s">
        <v>60</v>
      </c>
      <c r="I186" s="1">
        <v>-110.0</v>
      </c>
      <c r="J186" s="1">
        <v>0.079701967070652</v>
      </c>
      <c r="K186" s="1" t="s">
        <v>61</v>
      </c>
      <c r="L186" s="1" t="s">
        <v>61</v>
      </c>
      <c r="M186" s="1" t="s">
        <v>62</v>
      </c>
      <c r="N186" s="1">
        <v>-120.0</v>
      </c>
      <c r="O186" s="1">
        <v>-0.148938616826383</v>
      </c>
      <c r="P186" s="1" t="s">
        <v>61</v>
      </c>
      <c r="Q186" s="1" t="s">
        <v>61</v>
      </c>
      <c r="R186" s="1">
        <f t="shared" si="1"/>
        <v>0.07970196707</v>
      </c>
      <c r="S186" s="1">
        <f t="shared" si="2"/>
        <v>-110</v>
      </c>
      <c r="T186" s="1">
        <f t="shared" si="3"/>
        <v>1.909090909</v>
      </c>
      <c r="U186" s="1">
        <f t="shared" si="4"/>
        <v>1</v>
      </c>
      <c r="V186" s="3">
        <f t="shared" si="5"/>
        <v>2</v>
      </c>
      <c r="W186" s="3">
        <f t="shared" si="6"/>
        <v>2</v>
      </c>
      <c r="X186" s="3" t="str">
        <f>IFERROR(__xludf.DUMMYFUNCTION("split(B186,"" "")"),"D.")</f>
        <v>D.</v>
      </c>
      <c r="Y186" s="3" t="str">
        <f>IFERROR(__xludf.DUMMYFUNCTION("""COMPUTED_VALUE"""),"Vele")</f>
        <v>Vele</v>
      </c>
      <c r="AA186" s="3">
        <v>0.0</v>
      </c>
      <c r="AB186" s="3">
        <f t="shared" si="7"/>
        <v>0</v>
      </c>
      <c r="AC186" s="3">
        <f t="shared" si="8"/>
        <v>0</v>
      </c>
      <c r="AD186" s="3">
        <f t="shared" si="9"/>
        <v>1.818181818</v>
      </c>
      <c r="AE186" s="3">
        <f t="shared" si="10"/>
        <v>-2</v>
      </c>
      <c r="AF186" s="3">
        <f t="shared" si="11"/>
        <v>-2</v>
      </c>
      <c r="AG186" s="3">
        <f t="shared" si="12"/>
        <v>-1</v>
      </c>
    </row>
    <row r="187">
      <c r="A187" s="1" t="s">
        <v>8</v>
      </c>
      <c r="B187" s="1" t="s">
        <v>465</v>
      </c>
      <c r="C187" s="1" t="s">
        <v>19</v>
      </c>
      <c r="D187" s="1" t="s">
        <v>83</v>
      </c>
      <c r="E187" s="1" t="s">
        <v>113</v>
      </c>
      <c r="F187" s="1" t="s">
        <v>525</v>
      </c>
      <c r="G187" s="1">
        <v>5.5</v>
      </c>
      <c r="H187" s="1" t="s">
        <v>60</v>
      </c>
      <c r="I187" s="1">
        <v>-108.0</v>
      </c>
      <c r="J187" s="1">
        <v>-0.134420239485241</v>
      </c>
      <c r="K187" s="1" t="s">
        <v>61</v>
      </c>
      <c r="L187" s="1" t="s">
        <v>61</v>
      </c>
      <c r="M187" s="1" t="s">
        <v>62</v>
      </c>
      <c r="N187" s="1">
        <v>-123.0</v>
      </c>
      <c r="O187" s="1">
        <v>0.0636331393269251</v>
      </c>
      <c r="P187" s="1" t="s">
        <v>61</v>
      </c>
      <c r="Q187" s="1" t="s">
        <v>61</v>
      </c>
      <c r="R187" s="1">
        <f t="shared" si="1"/>
        <v>0.06363313933</v>
      </c>
      <c r="S187" s="1">
        <f t="shared" si="2"/>
        <v>-123</v>
      </c>
      <c r="T187" s="1">
        <f t="shared" si="3"/>
        <v>1.81300813</v>
      </c>
      <c r="U187" s="1">
        <f t="shared" si="4"/>
        <v>0</v>
      </c>
      <c r="V187" s="3">
        <f t="shared" si="5"/>
        <v>2</v>
      </c>
      <c r="W187" s="3">
        <f t="shared" si="6"/>
        <v>3</v>
      </c>
      <c r="X187" s="3" t="str">
        <f>IFERROR(__xludf.DUMMYFUNCTION("split(B187,"" "")"),"J.")</f>
        <v>J.</v>
      </c>
      <c r="Y187" s="3" t="str">
        <f>IFERROR(__xludf.DUMMYFUNCTION("""COMPUTED_VALUE"""),"McLaughlin")</f>
        <v>McLaughlin</v>
      </c>
      <c r="AA187" s="3">
        <v>5.0</v>
      </c>
      <c r="AB187" s="3">
        <f t="shared" si="7"/>
        <v>0</v>
      </c>
      <c r="AC187" s="3">
        <f t="shared" si="8"/>
        <v>1</v>
      </c>
      <c r="AD187" s="3">
        <f t="shared" si="9"/>
        <v>1.62601626</v>
      </c>
      <c r="AE187" s="3">
        <f t="shared" si="10"/>
        <v>1.62601626</v>
      </c>
      <c r="AF187" s="3">
        <f t="shared" si="11"/>
        <v>2.43902439</v>
      </c>
      <c r="AG187" s="3">
        <f t="shared" si="12"/>
        <v>0.09090909091</v>
      </c>
    </row>
    <row r="188">
      <c r="A188" s="1" t="s">
        <v>10</v>
      </c>
      <c r="B188" s="1" t="s">
        <v>464</v>
      </c>
      <c r="C188" s="1" t="s">
        <v>21</v>
      </c>
      <c r="D188" s="1" t="s">
        <v>83</v>
      </c>
      <c r="E188" s="1" t="s">
        <v>113</v>
      </c>
      <c r="F188" s="1" t="s">
        <v>525</v>
      </c>
      <c r="G188" s="1">
        <v>22.5</v>
      </c>
      <c r="H188" s="1" t="s">
        <v>60</v>
      </c>
      <c r="I188" s="1">
        <v>-109.0</v>
      </c>
      <c r="J188" s="1">
        <v>-0.105937640380682</v>
      </c>
      <c r="K188" s="1" t="s">
        <v>61</v>
      </c>
      <c r="L188" s="1" t="s">
        <v>61</v>
      </c>
      <c r="M188" s="1" t="s">
        <v>62</v>
      </c>
      <c r="N188" s="1">
        <v>-120.0</v>
      </c>
      <c r="O188" s="1">
        <v>0.0390089100339782</v>
      </c>
      <c r="P188" s="1" t="s">
        <v>61</v>
      </c>
      <c r="Q188" s="1" t="s">
        <v>61</v>
      </c>
      <c r="R188" s="1">
        <f t="shared" si="1"/>
        <v>0.03900891003</v>
      </c>
      <c r="S188" s="1">
        <f t="shared" si="2"/>
        <v>-120</v>
      </c>
      <c r="T188" s="1">
        <f t="shared" si="3"/>
        <v>1.833333333</v>
      </c>
      <c r="U188" s="1">
        <f t="shared" si="4"/>
        <v>0</v>
      </c>
      <c r="V188" s="3">
        <f t="shared" si="5"/>
        <v>1</v>
      </c>
      <c r="W188" s="3">
        <f t="shared" si="6"/>
        <v>3</v>
      </c>
      <c r="X188" s="3" t="str">
        <f>IFERROR(__xludf.DUMMYFUNCTION("split(B188,"" "")"),"B.")</f>
        <v>B.</v>
      </c>
      <c r="Y188" s="3" t="str">
        <f>IFERROR(__xludf.DUMMYFUNCTION("""COMPUTED_VALUE"""),"Nix")</f>
        <v>Nix</v>
      </c>
      <c r="AA188" s="3">
        <v>47.0</v>
      </c>
      <c r="AB188" s="3">
        <f t="shared" si="7"/>
        <v>1</v>
      </c>
      <c r="AC188" s="3">
        <f t="shared" si="8"/>
        <v>0</v>
      </c>
      <c r="AD188" s="3">
        <f t="shared" si="9"/>
        <v>0.8333333333</v>
      </c>
      <c r="AE188" s="3">
        <f t="shared" si="10"/>
        <v>-1</v>
      </c>
      <c r="AF188" s="3">
        <f t="shared" si="11"/>
        <v>-3</v>
      </c>
      <c r="AG188" s="3">
        <f t="shared" si="12"/>
        <v>-1.088888889</v>
      </c>
    </row>
    <row r="189">
      <c r="A189" s="1" t="s">
        <v>11</v>
      </c>
      <c r="B189" s="1" t="s">
        <v>422</v>
      </c>
      <c r="C189" s="1" t="s">
        <v>18</v>
      </c>
      <c r="D189" s="1" t="s">
        <v>83</v>
      </c>
      <c r="E189" s="1" t="s">
        <v>113</v>
      </c>
      <c r="F189" s="1" t="s">
        <v>525</v>
      </c>
      <c r="G189" s="1">
        <v>31.5</v>
      </c>
      <c r="H189" s="1" t="s">
        <v>60</v>
      </c>
      <c r="I189" s="1">
        <v>-120.0</v>
      </c>
      <c r="J189" s="1">
        <v>-0.0959524264155001</v>
      </c>
      <c r="K189" s="1" t="s">
        <v>61</v>
      </c>
      <c r="L189" s="1" t="s">
        <v>61</v>
      </c>
      <c r="M189" s="1" t="s">
        <v>62</v>
      </c>
      <c r="N189" s="1">
        <v>-107.0</v>
      </c>
      <c r="O189" s="1">
        <v>0.0336298465200421</v>
      </c>
      <c r="P189" s="1" t="s">
        <v>61</v>
      </c>
      <c r="Q189" s="1" t="s">
        <v>61</v>
      </c>
      <c r="R189" s="1">
        <f t="shared" si="1"/>
        <v>0.03362984652</v>
      </c>
      <c r="S189" s="1">
        <f t="shared" si="2"/>
        <v>-107</v>
      </c>
      <c r="T189" s="1">
        <f t="shared" si="3"/>
        <v>1.934579439</v>
      </c>
      <c r="U189" s="1">
        <f t="shared" si="4"/>
        <v>0</v>
      </c>
      <c r="V189" s="3">
        <f t="shared" si="5"/>
        <v>1</v>
      </c>
      <c r="W189" s="3">
        <f t="shared" si="6"/>
        <v>2</v>
      </c>
      <c r="X189" s="3" t="str">
        <f>IFERROR(__xludf.DUMMYFUNCTION("split(B189,"" "")"),"J.")</f>
        <v>J.</v>
      </c>
      <c r="Y189" s="3" t="str">
        <f>IFERROR(__xludf.DUMMYFUNCTION("""COMPUTED_VALUE"""),"Reynolds")</f>
        <v>Reynolds</v>
      </c>
      <c r="AA189" s="3">
        <v>36.0</v>
      </c>
      <c r="AB189" s="3">
        <f t="shared" si="7"/>
        <v>1</v>
      </c>
      <c r="AC189" s="3">
        <f t="shared" si="8"/>
        <v>0</v>
      </c>
      <c r="AD189" s="3">
        <f t="shared" si="9"/>
        <v>0.9345794393</v>
      </c>
      <c r="AE189" s="3">
        <f t="shared" si="10"/>
        <v>-1</v>
      </c>
      <c r="AF189" s="3">
        <f t="shared" si="11"/>
        <v>-2</v>
      </c>
      <c r="AG189" s="3">
        <f t="shared" si="12"/>
        <v>-0.1428571429</v>
      </c>
    </row>
    <row r="190">
      <c r="A190" s="1" t="s">
        <v>11</v>
      </c>
      <c r="B190" s="1" t="s">
        <v>533</v>
      </c>
      <c r="C190" s="1" t="s">
        <v>18</v>
      </c>
      <c r="D190" s="1" t="s">
        <v>83</v>
      </c>
      <c r="E190" s="1" t="s">
        <v>113</v>
      </c>
      <c r="F190" s="1" t="s">
        <v>525</v>
      </c>
      <c r="G190" s="1">
        <v>18.5</v>
      </c>
      <c r="H190" s="1" t="s">
        <v>60</v>
      </c>
      <c r="I190" s="1">
        <v>-120.0</v>
      </c>
      <c r="J190" s="1">
        <v>-0.101546907438863</v>
      </c>
      <c r="K190" s="1" t="s">
        <v>61</v>
      </c>
      <c r="L190" s="1" t="s">
        <v>61</v>
      </c>
      <c r="M190" s="1" t="s">
        <v>62</v>
      </c>
      <c r="N190" s="1">
        <v>-110.0</v>
      </c>
      <c r="O190" s="1">
        <v>0.0323273885724048</v>
      </c>
      <c r="P190" s="1" t="s">
        <v>61</v>
      </c>
      <c r="Q190" s="1" t="s">
        <v>61</v>
      </c>
      <c r="R190" s="1">
        <f t="shared" si="1"/>
        <v>0.03232738857</v>
      </c>
      <c r="S190" s="1">
        <f t="shared" si="2"/>
        <v>-110</v>
      </c>
      <c r="T190" s="1">
        <f t="shared" si="3"/>
        <v>1.909090909</v>
      </c>
      <c r="U190" s="1">
        <f t="shared" si="4"/>
        <v>0</v>
      </c>
      <c r="V190" s="3">
        <f t="shared" si="5"/>
        <v>1</v>
      </c>
      <c r="W190" s="3">
        <f t="shared" si="6"/>
        <v>2</v>
      </c>
      <c r="X190" s="3" t="str">
        <f>IFERROR(__xludf.DUMMYFUNCTION("split(B190,"" "")"),"D.")</f>
        <v>D.</v>
      </c>
      <c r="Y190" s="3" t="str">
        <f>IFERROR(__xludf.DUMMYFUNCTION("""COMPUTED_VALUE"""),"Vele")</f>
        <v>Vele</v>
      </c>
      <c r="AA190" s="3">
        <v>0.0</v>
      </c>
      <c r="AB190" s="3">
        <f t="shared" si="7"/>
        <v>0</v>
      </c>
      <c r="AC190" s="3">
        <f t="shared" si="8"/>
        <v>1</v>
      </c>
      <c r="AD190" s="3">
        <f t="shared" si="9"/>
        <v>0.9090909091</v>
      </c>
      <c r="AE190" s="3">
        <f t="shared" si="10"/>
        <v>0.9090909091</v>
      </c>
      <c r="AF190" s="3">
        <f t="shared" si="11"/>
        <v>1.818181818</v>
      </c>
      <c r="AG190" s="3">
        <f t="shared" si="12"/>
        <v>1</v>
      </c>
    </row>
    <row r="191">
      <c r="A191" s="1" t="s">
        <v>16</v>
      </c>
      <c r="B191" s="1" t="s">
        <v>464</v>
      </c>
      <c r="C191" s="1" t="s">
        <v>21</v>
      </c>
      <c r="D191" s="1" t="s">
        <v>83</v>
      </c>
      <c r="E191" s="1" t="s">
        <v>113</v>
      </c>
      <c r="F191" s="1" t="s">
        <v>525</v>
      </c>
      <c r="G191" s="1">
        <v>30.5</v>
      </c>
      <c r="H191" s="1" t="s">
        <v>60</v>
      </c>
      <c r="I191" s="1">
        <v>-121.0</v>
      </c>
      <c r="J191" s="1">
        <v>-0.0959081342986425</v>
      </c>
      <c r="K191" s="1" t="s">
        <v>61</v>
      </c>
      <c r="L191" s="1" t="s">
        <v>61</v>
      </c>
      <c r="M191" s="1" t="s">
        <v>62</v>
      </c>
      <c r="N191" s="1">
        <v>-109.0</v>
      </c>
      <c r="O191" s="1">
        <v>0.0268652367043062</v>
      </c>
      <c r="P191" s="1" t="s">
        <v>61</v>
      </c>
      <c r="Q191" s="1" t="s">
        <v>61</v>
      </c>
      <c r="R191" s="1">
        <f t="shared" si="1"/>
        <v>0.0268652367</v>
      </c>
      <c r="S191" s="1">
        <f t="shared" si="2"/>
        <v>-109</v>
      </c>
      <c r="T191" s="1">
        <f t="shared" si="3"/>
        <v>1.917431193</v>
      </c>
      <c r="U191" s="1">
        <f t="shared" si="4"/>
        <v>0</v>
      </c>
      <c r="V191" s="3">
        <f t="shared" si="5"/>
        <v>1</v>
      </c>
      <c r="W191" s="3">
        <f t="shared" si="6"/>
        <v>2</v>
      </c>
      <c r="X191" s="3" t="str">
        <f>IFERROR(__xludf.DUMMYFUNCTION("split(B191,"" "")"),"B.")</f>
        <v>B.</v>
      </c>
      <c r="Y191" s="3" t="str">
        <f>IFERROR(__xludf.DUMMYFUNCTION("""COMPUTED_VALUE"""),"Nix")</f>
        <v>Nix</v>
      </c>
      <c r="AA191" s="3">
        <v>36.0</v>
      </c>
      <c r="AB191" s="3">
        <f t="shared" si="7"/>
        <v>1</v>
      </c>
      <c r="AC191" s="3">
        <f t="shared" si="8"/>
        <v>0</v>
      </c>
      <c r="AD191" s="3">
        <f t="shared" si="9"/>
        <v>0.9174311927</v>
      </c>
      <c r="AE191" s="3">
        <f t="shared" si="10"/>
        <v>-1</v>
      </c>
      <c r="AF191" s="3">
        <f t="shared" si="11"/>
        <v>-2</v>
      </c>
      <c r="AG191" s="3">
        <f t="shared" si="12"/>
        <v>-0.1803278689</v>
      </c>
    </row>
    <row r="192">
      <c r="A192" s="1" t="s">
        <v>11</v>
      </c>
      <c r="B192" s="1" t="s">
        <v>401</v>
      </c>
      <c r="C192" s="1" t="s">
        <v>18</v>
      </c>
      <c r="D192" s="1" t="s">
        <v>83</v>
      </c>
      <c r="E192" s="1" t="s">
        <v>113</v>
      </c>
      <c r="F192" s="1" t="s">
        <v>525</v>
      </c>
      <c r="G192" s="1">
        <v>39.5</v>
      </c>
      <c r="H192" s="1" t="s">
        <v>60</v>
      </c>
      <c r="I192" s="1">
        <v>-126.0</v>
      </c>
      <c r="J192" s="1">
        <v>-0.0911315303890267</v>
      </c>
      <c r="K192" s="1" t="s">
        <v>61</v>
      </c>
      <c r="L192" s="1" t="s">
        <v>61</v>
      </c>
      <c r="M192" s="1" t="s">
        <v>62</v>
      </c>
      <c r="N192" s="1">
        <v>-104.0</v>
      </c>
      <c r="O192" s="1">
        <v>0.0238506642666668</v>
      </c>
      <c r="P192" s="1" t="s">
        <v>61</v>
      </c>
      <c r="Q192" s="1" t="s">
        <v>61</v>
      </c>
      <c r="R192" s="1">
        <f t="shared" si="1"/>
        <v>0.02385066427</v>
      </c>
      <c r="S192" s="1">
        <f t="shared" si="2"/>
        <v>-104</v>
      </c>
      <c r="T192" s="1">
        <f t="shared" si="3"/>
        <v>1.961538462</v>
      </c>
      <c r="U192" s="1">
        <f t="shared" si="4"/>
        <v>0</v>
      </c>
      <c r="V192" s="3">
        <f t="shared" si="5"/>
        <v>1</v>
      </c>
      <c r="W192" s="3">
        <f t="shared" si="6"/>
        <v>2</v>
      </c>
      <c r="X192" s="3" t="str">
        <f>IFERROR(__xludf.DUMMYFUNCTION("split(B192,"" "")"),"C.")</f>
        <v>C.</v>
      </c>
      <c r="Y192" s="3" t="str">
        <f>IFERROR(__xludf.DUMMYFUNCTION("""COMPUTED_VALUE"""),"Sutton")</f>
        <v>Sutton</v>
      </c>
      <c r="AA192" s="3">
        <v>68.0</v>
      </c>
      <c r="AB192" s="3">
        <f t="shared" si="7"/>
        <v>1</v>
      </c>
      <c r="AC192" s="3">
        <f t="shared" si="8"/>
        <v>0</v>
      </c>
      <c r="AD192" s="3">
        <f t="shared" si="9"/>
        <v>0.9615384615</v>
      </c>
      <c r="AE192" s="3">
        <f t="shared" si="10"/>
        <v>-1</v>
      </c>
      <c r="AF192" s="3">
        <f t="shared" si="11"/>
        <v>-2</v>
      </c>
      <c r="AG192" s="3">
        <f t="shared" si="12"/>
        <v>-0.7215189873</v>
      </c>
    </row>
    <row r="193">
      <c r="A193" s="1" t="s">
        <v>10</v>
      </c>
      <c r="B193" s="1" t="s">
        <v>127</v>
      </c>
      <c r="C193" s="1" t="s">
        <v>19</v>
      </c>
      <c r="D193" s="1" t="s">
        <v>83</v>
      </c>
      <c r="E193" s="1" t="s">
        <v>113</v>
      </c>
      <c r="F193" s="1" t="s">
        <v>525</v>
      </c>
      <c r="G193" s="1">
        <v>46.5</v>
      </c>
      <c r="H193" s="1" t="s">
        <v>60</v>
      </c>
      <c r="I193" s="1">
        <v>-111.0</v>
      </c>
      <c r="J193" s="1">
        <v>-0.0911560467616956</v>
      </c>
      <c r="K193" s="1" t="s">
        <v>61</v>
      </c>
      <c r="L193" s="1" t="s">
        <v>61</v>
      </c>
      <c r="M193" s="1" t="s">
        <v>62</v>
      </c>
      <c r="N193" s="1">
        <v>-120.0</v>
      </c>
      <c r="O193" s="1">
        <v>0.0196334549395699</v>
      </c>
      <c r="P193" s="1" t="s">
        <v>61</v>
      </c>
      <c r="Q193" s="1" t="s">
        <v>61</v>
      </c>
      <c r="R193" s="1">
        <f t="shared" si="1"/>
        <v>0.01963345494</v>
      </c>
      <c r="S193" s="1">
        <f t="shared" si="2"/>
        <v>-120</v>
      </c>
      <c r="T193" s="1">
        <f t="shared" si="3"/>
        <v>1.833333333</v>
      </c>
      <c r="U193" s="1">
        <f t="shared" si="4"/>
        <v>0</v>
      </c>
      <c r="V193" s="3">
        <f t="shared" si="5"/>
        <v>1</v>
      </c>
      <c r="W193" s="3">
        <f t="shared" si="6"/>
        <v>3</v>
      </c>
      <c r="X193" s="3" t="str">
        <f>IFERROR(__xludf.DUMMYFUNCTION("split(B193,"" "")"),"J.")</f>
        <v>J.</v>
      </c>
      <c r="Y193" s="3" t="str">
        <f>IFERROR(__xludf.DUMMYFUNCTION("""COMPUTED_VALUE"""),"Williams")</f>
        <v>Williams</v>
      </c>
      <c r="AA193" s="3">
        <v>12.0</v>
      </c>
      <c r="AB193" s="3">
        <f t="shared" si="7"/>
        <v>0</v>
      </c>
      <c r="AC193" s="3">
        <f t="shared" si="8"/>
        <v>1</v>
      </c>
      <c r="AD193" s="3">
        <f t="shared" si="9"/>
        <v>0.8333333333</v>
      </c>
      <c r="AE193" s="3">
        <f t="shared" si="10"/>
        <v>0.8333333333</v>
      </c>
      <c r="AF193" s="3">
        <f t="shared" si="11"/>
        <v>2.5</v>
      </c>
      <c r="AG193" s="3">
        <f t="shared" si="12"/>
        <v>0.7419354839</v>
      </c>
    </row>
    <row r="194">
      <c r="A194" s="1" t="s">
        <v>9</v>
      </c>
      <c r="B194" s="1" t="s">
        <v>127</v>
      </c>
      <c r="C194" s="1" t="s">
        <v>19</v>
      </c>
      <c r="D194" s="1" t="s">
        <v>83</v>
      </c>
      <c r="E194" s="1" t="s">
        <v>113</v>
      </c>
      <c r="F194" s="1" t="s">
        <v>525</v>
      </c>
      <c r="G194" s="1">
        <v>66.5</v>
      </c>
      <c r="H194" s="1" t="s">
        <v>60</v>
      </c>
      <c r="I194" s="1">
        <v>-116.0</v>
      </c>
      <c r="J194" s="1">
        <v>-0.0954779637903259</v>
      </c>
      <c r="K194" s="1" t="s">
        <v>61</v>
      </c>
      <c r="L194" s="1" t="s">
        <v>61</v>
      </c>
      <c r="M194" s="1" t="s">
        <v>62</v>
      </c>
      <c r="N194" s="1">
        <v>-117.0</v>
      </c>
      <c r="O194" s="1">
        <v>0.0192442350649362</v>
      </c>
      <c r="P194" s="1" t="s">
        <v>61</v>
      </c>
      <c r="Q194" s="1" t="s">
        <v>61</v>
      </c>
      <c r="R194" s="1">
        <f t="shared" si="1"/>
        <v>0.01924423506</v>
      </c>
      <c r="S194" s="1">
        <f t="shared" si="2"/>
        <v>-117</v>
      </c>
      <c r="T194" s="1">
        <f t="shared" si="3"/>
        <v>1.854700855</v>
      </c>
      <c r="U194" s="1">
        <f t="shared" si="4"/>
        <v>0</v>
      </c>
      <c r="V194" s="3">
        <f t="shared" si="5"/>
        <v>1</v>
      </c>
      <c r="W194" s="3">
        <f t="shared" si="6"/>
        <v>2</v>
      </c>
      <c r="X194" s="3" t="str">
        <f>IFERROR(__xludf.DUMMYFUNCTION("split(B194,"" "")"),"J.")</f>
        <v>J.</v>
      </c>
      <c r="Y194" s="3" t="str">
        <f>IFERROR(__xludf.DUMMYFUNCTION("""COMPUTED_VALUE"""),"Williams")</f>
        <v>Williams</v>
      </c>
      <c r="AA194" s="3">
        <v>41.0</v>
      </c>
      <c r="AB194" s="3">
        <f t="shared" si="7"/>
        <v>0</v>
      </c>
      <c r="AC194" s="3">
        <f t="shared" si="8"/>
        <v>1</v>
      </c>
      <c r="AD194" s="3">
        <f t="shared" si="9"/>
        <v>0.8547008547</v>
      </c>
      <c r="AE194" s="3">
        <f t="shared" si="10"/>
        <v>0.8547008547</v>
      </c>
      <c r="AF194" s="3">
        <f t="shared" si="11"/>
        <v>1.709401709</v>
      </c>
      <c r="AG194" s="3">
        <f t="shared" si="12"/>
        <v>0.3834586466</v>
      </c>
    </row>
    <row r="195">
      <c r="A195" s="1" t="s">
        <v>11</v>
      </c>
      <c r="B195" s="1" t="s">
        <v>532</v>
      </c>
      <c r="C195" s="1" t="s">
        <v>18</v>
      </c>
      <c r="D195" s="1" t="s">
        <v>83</v>
      </c>
      <c r="E195" s="1" t="s">
        <v>113</v>
      </c>
      <c r="F195" s="1" t="s">
        <v>525</v>
      </c>
      <c r="G195" s="1">
        <v>18.5</v>
      </c>
      <c r="H195" s="1" t="s">
        <v>60</v>
      </c>
      <c r="I195" s="1">
        <v>-110.0</v>
      </c>
      <c r="J195" s="1">
        <v>-0.0813262380549239</v>
      </c>
      <c r="K195" s="1" t="s">
        <v>61</v>
      </c>
      <c r="L195" s="1" t="s">
        <v>61</v>
      </c>
      <c r="M195" s="1" t="s">
        <v>62</v>
      </c>
      <c r="N195" s="1">
        <v>-117.0</v>
      </c>
      <c r="O195" s="1">
        <v>0.0183616437331557</v>
      </c>
      <c r="P195" s="1" t="s">
        <v>61</v>
      </c>
      <c r="Q195" s="1" t="s">
        <v>61</v>
      </c>
      <c r="R195" s="1">
        <f t="shared" si="1"/>
        <v>0.01836164373</v>
      </c>
      <c r="S195" s="1">
        <f t="shared" si="2"/>
        <v>-117</v>
      </c>
      <c r="T195" s="1">
        <f t="shared" si="3"/>
        <v>1.854700855</v>
      </c>
      <c r="U195" s="1">
        <f t="shared" si="4"/>
        <v>0</v>
      </c>
      <c r="V195" s="3">
        <f t="shared" si="5"/>
        <v>1</v>
      </c>
      <c r="W195" s="3">
        <f t="shared" si="6"/>
        <v>2</v>
      </c>
      <c r="X195" s="3" t="str">
        <f>IFERROR(__xludf.DUMMYFUNCTION("split(B195,"" "")"),"L.")</f>
        <v>L.</v>
      </c>
      <c r="Y195" s="3" t="str">
        <f>IFERROR(__xludf.DUMMYFUNCTION("""COMPUTED_VALUE"""),"Humphrey")</f>
        <v>Humphrey</v>
      </c>
      <c r="AA195" s="3">
        <v>37.0</v>
      </c>
      <c r="AB195" s="3">
        <f t="shared" si="7"/>
        <v>1</v>
      </c>
      <c r="AC195" s="3">
        <f t="shared" si="8"/>
        <v>0</v>
      </c>
      <c r="AD195" s="3">
        <f t="shared" si="9"/>
        <v>0.8547008547</v>
      </c>
      <c r="AE195" s="3">
        <f t="shared" si="10"/>
        <v>-1</v>
      </c>
      <c r="AF195" s="3">
        <f t="shared" si="11"/>
        <v>-2</v>
      </c>
      <c r="AG195" s="3">
        <f t="shared" si="12"/>
        <v>-1</v>
      </c>
    </row>
    <row r="196">
      <c r="A196" s="1" t="s">
        <v>11</v>
      </c>
      <c r="B196" s="1" t="s">
        <v>465</v>
      </c>
      <c r="C196" s="1" t="s">
        <v>19</v>
      </c>
      <c r="D196" s="1" t="s">
        <v>83</v>
      </c>
      <c r="E196" s="1" t="s">
        <v>113</v>
      </c>
      <c r="F196" s="1" t="s">
        <v>525</v>
      </c>
      <c r="G196" s="1">
        <v>10.5</v>
      </c>
      <c r="H196" s="1" t="s">
        <v>60</v>
      </c>
      <c r="I196" s="1">
        <v>-110.0</v>
      </c>
      <c r="J196" s="1">
        <v>0.0124849438579511</v>
      </c>
      <c r="K196" s="1" t="s">
        <v>61</v>
      </c>
      <c r="L196" s="1" t="s">
        <v>61</v>
      </c>
      <c r="M196" s="1" t="s">
        <v>62</v>
      </c>
      <c r="N196" s="1">
        <v>-119.0</v>
      </c>
      <c r="O196" s="1">
        <v>-0.0796444633337989</v>
      </c>
      <c r="P196" s="1" t="s">
        <v>61</v>
      </c>
      <c r="Q196" s="1" t="s">
        <v>61</v>
      </c>
      <c r="R196" s="1">
        <f t="shared" si="1"/>
        <v>0.01248494386</v>
      </c>
      <c r="S196" s="1">
        <f t="shared" si="2"/>
        <v>-110</v>
      </c>
      <c r="T196" s="1">
        <f t="shared" si="3"/>
        <v>1.909090909</v>
      </c>
      <c r="U196" s="1">
        <f t="shared" si="4"/>
        <v>1</v>
      </c>
      <c r="V196" s="3">
        <f t="shared" si="5"/>
        <v>1</v>
      </c>
      <c r="W196" s="3">
        <f t="shared" si="6"/>
        <v>2</v>
      </c>
      <c r="X196" s="3" t="str">
        <f>IFERROR(__xludf.DUMMYFUNCTION("split(B196,"" "")"),"J.")</f>
        <v>J.</v>
      </c>
      <c r="Y196" s="3" t="str">
        <f>IFERROR(__xludf.DUMMYFUNCTION("""COMPUTED_VALUE"""),"McLaughlin")</f>
        <v>McLaughlin</v>
      </c>
      <c r="AA196" s="3">
        <v>7.0</v>
      </c>
      <c r="AB196" s="3">
        <f t="shared" si="7"/>
        <v>0</v>
      </c>
      <c r="AC196" s="3">
        <f t="shared" si="8"/>
        <v>0</v>
      </c>
      <c r="AD196" s="3">
        <f t="shared" si="9"/>
        <v>0.9090909091</v>
      </c>
      <c r="AE196" s="3">
        <f t="shared" si="10"/>
        <v>-1</v>
      </c>
      <c r="AF196" s="3">
        <f t="shared" si="11"/>
        <v>-2</v>
      </c>
      <c r="AG196" s="3">
        <f t="shared" si="12"/>
        <v>-0.3333333333</v>
      </c>
    </row>
    <row r="197">
      <c r="A197" s="1" t="s">
        <v>9</v>
      </c>
      <c r="B197" s="1" t="s">
        <v>465</v>
      </c>
      <c r="C197" s="1" t="s">
        <v>19</v>
      </c>
      <c r="D197" s="1" t="s">
        <v>83</v>
      </c>
      <c r="E197" s="1" t="s">
        <v>113</v>
      </c>
      <c r="F197" s="1" t="s">
        <v>525</v>
      </c>
      <c r="G197" s="1">
        <v>37.5</v>
      </c>
      <c r="H197" s="1" t="s">
        <v>60</v>
      </c>
      <c r="I197" s="1">
        <v>-118.0</v>
      </c>
      <c r="J197" s="1">
        <v>0.0105301640741768</v>
      </c>
      <c r="K197" s="1" t="s">
        <v>61</v>
      </c>
      <c r="L197" s="1" t="s">
        <v>61</v>
      </c>
      <c r="M197" s="1" t="s">
        <v>62</v>
      </c>
      <c r="N197" s="1">
        <v>-117.0</v>
      </c>
      <c r="O197" s="1">
        <v>-0.0910227080587995</v>
      </c>
      <c r="P197" s="1" t="s">
        <v>61</v>
      </c>
      <c r="Q197" s="1" t="s">
        <v>61</v>
      </c>
      <c r="R197" s="1">
        <f t="shared" si="1"/>
        <v>0.01053016407</v>
      </c>
      <c r="S197" s="1">
        <f t="shared" si="2"/>
        <v>-118</v>
      </c>
      <c r="T197" s="1">
        <f t="shared" si="3"/>
        <v>1.847457627</v>
      </c>
      <c r="U197" s="1">
        <f t="shared" si="4"/>
        <v>1</v>
      </c>
      <c r="V197" s="3">
        <f t="shared" si="5"/>
        <v>1</v>
      </c>
      <c r="W197" s="3">
        <f t="shared" si="6"/>
        <v>3</v>
      </c>
      <c r="X197" s="3" t="str">
        <f>IFERROR(__xludf.DUMMYFUNCTION("split(B197,"" "")"),"J.")</f>
        <v>J.</v>
      </c>
      <c r="Y197" s="3" t="str">
        <f>IFERROR(__xludf.DUMMYFUNCTION("""COMPUTED_VALUE"""),"McLaughlin")</f>
        <v>McLaughlin</v>
      </c>
      <c r="AA197" s="3">
        <v>14.0</v>
      </c>
      <c r="AB197" s="3">
        <f t="shared" si="7"/>
        <v>0</v>
      </c>
      <c r="AC197" s="3">
        <f t="shared" si="8"/>
        <v>0</v>
      </c>
      <c r="AD197" s="3">
        <f t="shared" si="9"/>
        <v>0.8474576271</v>
      </c>
      <c r="AE197" s="3">
        <f t="shared" si="10"/>
        <v>-1</v>
      </c>
      <c r="AF197" s="3">
        <f t="shared" si="11"/>
        <v>-3</v>
      </c>
      <c r="AG197" s="3">
        <f t="shared" si="12"/>
        <v>-0.6266666667</v>
      </c>
    </row>
    <row r="198">
      <c r="A198" s="1" t="s">
        <v>13</v>
      </c>
      <c r="B198" s="1" t="s">
        <v>464</v>
      </c>
      <c r="C198" s="1" t="s">
        <v>21</v>
      </c>
      <c r="D198" s="1" t="s">
        <v>83</v>
      </c>
      <c r="E198" s="1" t="s">
        <v>113</v>
      </c>
      <c r="F198" s="1" t="s">
        <v>525</v>
      </c>
      <c r="G198" s="1">
        <v>187.5</v>
      </c>
      <c r="H198" s="1" t="s">
        <v>60</v>
      </c>
      <c r="I198" s="1">
        <v>-114.0</v>
      </c>
      <c r="J198" s="1">
        <v>0.0104210820560748</v>
      </c>
      <c r="K198" s="1" t="s">
        <v>61</v>
      </c>
      <c r="L198" s="1" t="s">
        <v>61</v>
      </c>
      <c r="M198" s="1" t="s">
        <v>62</v>
      </c>
      <c r="N198" s="1">
        <v>-115.0</v>
      </c>
      <c r="O198" s="1">
        <v>-0.0779183641581396</v>
      </c>
      <c r="P198" s="1" t="s">
        <v>61</v>
      </c>
      <c r="Q198" s="1" t="s">
        <v>61</v>
      </c>
      <c r="R198" s="1">
        <f t="shared" si="1"/>
        <v>0.01042108206</v>
      </c>
      <c r="S198" s="1">
        <f t="shared" si="2"/>
        <v>-114</v>
      </c>
      <c r="T198" s="1">
        <f t="shared" si="3"/>
        <v>1.877192982</v>
      </c>
      <c r="U198" s="1">
        <f t="shared" si="4"/>
        <v>1</v>
      </c>
      <c r="V198" s="3">
        <f t="shared" si="5"/>
        <v>1</v>
      </c>
      <c r="W198" s="3">
        <f t="shared" si="6"/>
        <v>2</v>
      </c>
      <c r="X198" s="3" t="str">
        <f>IFERROR(__xludf.DUMMYFUNCTION("split(B198,"" "")"),"B.")</f>
        <v>B.</v>
      </c>
      <c r="Y198" s="3" t="str">
        <f>IFERROR(__xludf.DUMMYFUNCTION("""COMPUTED_VALUE"""),"Nix")</f>
        <v>Nix</v>
      </c>
      <c r="AA198" s="3">
        <v>216.0</v>
      </c>
      <c r="AB198" s="3">
        <f t="shared" si="7"/>
        <v>1</v>
      </c>
      <c r="AC198" s="3">
        <f t="shared" si="8"/>
        <v>1</v>
      </c>
      <c r="AD198" s="3">
        <f t="shared" si="9"/>
        <v>0.8771929825</v>
      </c>
      <c r="AE198" s="3">
        <f t="shared" si="10"/>
        <v>0.8771929825</v>
      </c>
      <c r="AF198" s="3">
        <f t="shared" si="11"/>
        <v>1.754385965</v>
      </c>
      <c r="AG198" s="3">
        <f t="shared" si="12"/>
        <v>0.152</v>
      </c>
    </row>
    <row r="199">
      <c r="A199" s="1" t="s">
        <v>11</v>
      </c>
      <c r="B199" s="1" t="s">
        <v>312</v>
      </c>
      <c r="C199" s="1" t="s">
        <v>20</v>
      </c>
      <c r="D199" s="1" t="s">
        <v>83</v>
      </c>
      <c r="E199" s="1" t="s">
        <v>113</v>
      </c>
      <c r="F199" s="1" t="s">
        <v>525</v>
      </c>
      <c r="G199" s="1">
        <v>20.5</v>
      </c>
      <c r="H199" s="1" t="s">
        <v>60</v>
      </c>
      <c r="I199" s="1">
        <v>-119.0</v>
      </c>
      <c r="J199" s="1">
        <v>-0.0788891428795113</v>
      </c>
      <c r="K199" s="1" t="s">
        <v>61</v>
      </c>
      <c r="L199" s="1" t="s">
        <v>61</v>
      </c>
      <c r="M199" s="1" t="s">
        <v>62</v>
      </c>
      <c r="N199" s="1">
        <v>-111.0</v>
      </c>
      <c r="O199" s="1">
        <v>0.00946054854303535</v>
      </c>
      <c r="P199" s="1" t="s">
        <v>61</v>
      </c>
      <c r="Q199" s="1" t="s">
        <v>61</v>
      </c>
      <c r="R199" s="1">
        <f t="shared" si="1"/>
        <v>0.009460548543</v>
      </c>
      <c r="S199" s="1">
        <f t="shared" si="2"/>
        <v>-111</v>
      </c>
      <c r="T199" s="1">
        <f t="shared" si="3"/>
        <v>1.900900901</v>
      </c>
      <c r="U199" s="1">
        <f t="shared" si="4"/>
        <v>0</v>
      </c>
      <c r="V199" s="3">
        <f t="shared" si="5"/>
        <v>1</v>
      </c>
      <c r="W199" s="3">
        <f t="shared" si="6"/>
        <v>2</v>
      </c>
      <c r="X199" s="3" t="str">
        <f>IFERROR(__xludf.DUMMYFUNCTION("split(B199,"" "")"),"G.")</f>
        <v>G.</v>
      </c>
      <c r="Y199" s="3" t="str">
        <f>IFERROR(__xludf.DUMMYFUNCTION("""COMPUTED_VALUE"""),"Dulcich")</f>
        <v>Dulcich</v>
      </c>
      <c r="AA199" s="3">
        <v>0.0</v>
      </c>
      <c r="AB199" s="3">
        <f t="shared" si="7"/>
        <v>0</v>
      </c>
      <c r="AC199" s="3">
        <f t="shared" si="8"/>
        <v>1</v>
      </c>
      <c r="AD199" s="3">
        <f t="shared" si="9"/>
        <v>0.9009009009</v>
      </c>
      <c r="AE199" s="3">
        <f t="shared" si="10"/>
        <v>0.9009009009</v>
      </c>
      <c r="AF199" s="3">
        <f t="shared" si="11"/>
        <v>1.801801802</v>
      </c>
      <c r="AG199" s="3">
        <f t="shared" si="12"/>
        <v>1</v>
      </c>
    </row>
    <row r="200">
      <c r="A200" s="1" t="s">
        <v>9</v>
      </c>
      <c r="B200" s="1" t="s">
        <v>422</v>
      </c>
      <c r="C200" s="1" t="s">
        <v>18</v>
      </c>
      <c r="D200" s="1" t="s">
        <v>83</v>
      </c>
      <c r="E200" s="1" t="s">
        <v>113</v>
      </c>
      <c r="F200" s="1" t="s">
        <v>525</v>
      </c>
      <c r="G200" s="1">
        <v>32.0</v>
      </c>
      <c r="H200" s="1" t="s">
        <v>60</v>
      </c>
      <c r="I200" s="1">
        <v>-120.0</v>
      </c>
      <c r="J200" s="1">
        <v>0.00885920722233613</v>
      </c>
      <c r="K200" s="1" t="s">
        <v>61</v>
      </c>
      <c r="L200" s="1" t="s">
        <v>61</v>
      </c>
      <c r="M200" s="1" t="s">
        <v>62</v>
      </c>
      <c r="N200" s="1">
        <v>-115.0</v>
      </c>
      <c r="O200" s="1">
        <v>-0.0884752531500048</v>
      </c>
      <c r="P200" s="1" t="s">
        <v>61</v>
      </c>
      <c r="Q200" s="1" t="s">
        <v>61</v>
      </c>
      <c r="R200" s="1">
        <f t="shared" si="1"/>
        <v>0.008859207222</v>
      </c>
      <c r="S200" s="1">
        <f t="shared" si="2"/>
        <v>-120</v>
      </c>
      <c r="T200" s="1">
        <f t="shared" si="3"/>
        <v>1.833333333</v>
      </c>
      <c r="U200" s="1">
        <f t="shared" si="4"/>
        <v>1</v>
      </c>
      <c r="V200" s="3">
        <f t="shared" si="5"/>
        <v>1</v>
      </c>
      <c r="W200" s="3">
        <f t="shared" si="6"/>
        <v>3</v>
      </c>
      <c r="X200" s="3" t="str">
        <f>IFERROR(__xludf.DUMMYFUNCTION("split(B200,"" "")"),"J.")</f>
        <v>J.</v>
      </c>
      <c r="Y200" s="3" t="str">
        <f>IFERROR(__xludf.DUMMYFUNCTION("""COMPUTED_VALUE"""),"Reynolds")</f>
        <v>Reynolds</v>
      </c>
      <c r="AA200" s="3">
        <v>36.0</v>
      </c>
      <c r="AB200" s="3">
        <f t="shared" si="7"/>
        <v>1</v>
      </c>
      <c r="AC200" s="3">
        <f t="shared" si="8"/>
        <v>1</v>
      </c>
      <c r="AD200" s="3">
        <f t="shared" si="9"/>
        <v>0.8333333333</v>
      </c>
      <c r="AE200" s="3">
        <f t="shared" si="10"/>
        <v>0.8333333333</v>
      </c>
      <c r="AF200" s="3">
        <f t="shared" si="11"/>
        <v>2.5</v>
      </c>
      <c r="AG200" s="3">
        <f t="shared" si="12"/>
        <v>0.125</v>
      </c>
    </row>
    <row r="201">
      <c r="A201" s="1" t="s">
        <v>10</v>
      </c>
      <c r="B201" s="1" t="s">
        <v>465</v>
      </c>
      <c r="C201" s="1" t="s">
        <v>19</v>
      </c>
      <c r="D201" s="1" t="s">
        <v>83</v>
      </c>
      <c r="E201" s="1" t="s">
        <v>113</v>
      </c>
      <c r="F201" s="1" t="s">
        <v>525</v>
      </c>
      <c r="G201" s="1">
        <v>23.5</v>
      </c>
      <c r="H201" s="1" t="s">
        <v>60</v>
      </c>
      <c r="I201" s="1">
        <v>-125.0</v>
      </c>
      <c r="J201" s="1">
        <v>-0.067770397258695</v>
      </c>
      <c r="K201" s="1" t="s">
        <v>61</v>
      </c>
      <c r="L201" s="1" t="s">
        <v>61</v>
      </c>
      <c r="M201" s="1" t="s">
        <v>62</v>
      </c>
      <c r="N201" s="1">
        <v>-104.0</v>
      </c>
      <c r="O201" s="1">
        <v>0.00244251450262078</v>
      </c>
      <c r="P201" s="1" t="s">
        <v>61</v>
      </c>
      <c r="Q201" s="1" t="s">
        <v>61</v>
      </c>
      <c r="R201" s="1">
        <f t="shared" si="1"/>
        <v>0.002442514503</v>
      </c>
      <c r="S201" s="1">
        <f t="shared" si="2"/>
        <v>-104</v>
      </c>
      <c r="T201" s="1">
        <f t="shared" si="3"/>
        <v>1.961538462</v>
      </c>
      <c r="U201" s="1">
        <f t="shared" si="4"/>
        <v>0</v>
      </c>
      <c r="V201" s="3">
        <f t="shared" si="5"/>
        <v>1</v>
      </c>
      <c r="W201" s="3">
        <f t="shared" si="6"/>
        <v>2</v>
      </c>
      <c r="X201" s="3" t="str">
        <f>IFERROR(__xludf.DUMMYFUNCTION("split(B201,"" "")"),"J.")</f>
        <v>J.</v>
      </c>
      <c r="Y201" s="3" t="str">
        <f>IFERROR(__xludf.DUMMYFUNCTION("""COMPUTED_VALUE"""),"McLaughlin")</f>
        <v>McLaughlin</v>
      </c>
      <c r="AA201" s="3">
        <v>7.0</v>
      </c>
      <c r="AB201" s="3">
        <f t="shared" si="7"/>
        <v>0</v>
      </c>
      <c r="AC201" s="3">
        <f t="shared" si="8"/>
        <v>1</v>
      </c>
      <c r="AD201" s="3">
        <f t="shared" si="9"/>
        <v>0.9615384615</v>
      </c>
      <c r="AE201" s="3">
        <f t="shared" si="10"/>
        <v>0.9615384615</v>
      </c>
      <c r="AF201" s="3">
        <f t="shared" si="11"/>
        <v>1.923076923</v>
      </c>
      <c r="AG201" s="3">
        <f t="shared" si="12"/>
        <v>0.7021276596</v>
      </c>
    </row>
    <row r="202">
      <c r="A202" s="1" t="s">
        <v>12</v>
      </c>
      <c r="B202" s="1" t="s">
        <v>127</v>
      </c>
      <c r="C202" s="1" t="s">
        <v>18</v>
      </c>
      <c r="D202" s="1" t="s">
        <v>197</v>
      </c>
      <c r="E202" s="1" t="s">
        <v>105</v>
      </c>
      <c r="F202" s="1" t="s">
        <v>516</v>
      </c>
      <c r="G202" s="1">
        <v>3.5</v>
      </c>
      <c r="H202" s="1" t="s">
        <v>60</v>
      </c>
      <c r="I202" s="1">
        <v>-151.0</v>
      </c>
      <c r="J202" s="1">
        <v>-0.280453784860557</v>
      </c>
      <c r="K202" s="1" t="s">
        <v>61</v>
      </c>
      <c r="L202" s="1" t="s">
        <v>61</v>
      </c>
      <c r="M202" s="1" t="s">
        <v>62</v>
      </c>
      <c r="N202" s="1">
        <v>114.0</v>
      </c>
      <c r="O202" s="1">
        <v>0.211563551401869</v>
      </c>
      <c r="P202" s="1" t="s">
        <v>61</v>
      </c>
      <c r="Q202" s="1" t="s">
        <v>61</v>
      </c>
      <c r="R202" s="1">
        <f t="shared" si="1"/>
        <v>0.2115635514</v>
      </c>
      <c r="S202" s="1">
        <f t="shared" si="2"/>
        <v>114</v>
      </c>
      <c r="T202" s="1">
        <f t="shared" si="3"/>
        <v>2.14</v>
      </c>
      <c r="U202" s="1">
        <f t="shared" si="4"/>
        <v>0</v>
      </c>
      <c r="V202" s="3">
        <f t="shared" si="5"/>
        <v>3</v>
      </c>
      <c r="W202" s="3">
        <f t="shared" si="6"/>
        <v>1</v>
      </c>
      <c r="X202" s="3" t="str">
        <f>IFERROR(__xludf.DUMMYFUNCTION("split(B202,"" "")"),"J.")</f>
        <v>J.</v>
      </c>
      <c r="Y202" s="3" t="str">
        <f>IFERROR(__xludf.DUMMYFUNCTION("""COMPUTED_VALUE"""),"Williams")</f>
        <v>Williams</v>
      </c>
      <c r="AA202" s="3">
        <v>1.0</v>
      </c>
      <c r="AB202" s="3">
        <f t="shared" si="7"/>
        <v>0</v>
      </c>
      <c r="AC202" s="3">
        <f t="shared" si="8"/>
        <v>1</v>
      </c>
      <c r="AD202" s="3">
        <f t="shared" si="9"/>
        <v>3.42</v>
      </c>
      <c r="AE202" s="3">
        <f t="shared" si="10"/>
        <v>3.42</v>
      </c>
      <c r="AF202" s="3">
        <f t="shared" si="11"/>
        <v>1.14</v>
      </c>
      <c r="AG202" s="3">
        <f t="shared" si="12"/>
        <v>0.7142857143</v>
      </c>
    </row>
    <row r="203">
      <c r="A203" s="1" t="s">
        <v>10</v>
      </c>
      <c r="B203" s="1" t="s">
        <v>127</v>
      </c>
      <c r="C203" s="1" t="s">
        <v>18</v>
      </c>
      <c r="D203" s="1" t="s">
        <v>197</v>
      </c>
      <c r="E203" s="1" t="s">
        <v>105</v>
      </c>
      <c r="F203" s="1" t="s">
        <v>516</v>
      </c>
      <c r="G203" s="1">
        <v>0.5</v>
      </c>
      <c r="H203" s="1" t="s">
        <v>60</v>
      </c>
      <c r="I203" s="1">
        <v>131.0</v>
      </c>
      <c r="J203" s="1">
        <v>0.185713966860571</v>
      </c>
      <c r="K203" s="1" t="s">
        <v>61</v>
      </c>
      <c r="L203" s="1" t="s">
        <v>61</v>
      </c>
      <c r="M203" s="1" t="s">
        <v>62</v>
      </c>
      <c r="N203" s="1">
        <v>-172.0</v>
      </c>
      <c r="O203" s="1">
        <v>-0.250911465292552</v>
      </c>
      <c r="P203" s="1" t="s">
        <v>61</v>
      </c>
      <c r="Q203" s="1" t="s">
        <v>61</v>
      </c>
      <c r="R203" s="1">
        <f t="shared" si="1"/>
        <v>0.1857139669</v>
      </c>
      <c r="S203" s="1">
        <f t="shared" si="2"/>
        <v>131</v>
      </c>
      <c r="T203" s="1">
        <f t="shared" si="3"/>
        <v>2.31</v>
      </c>
      <c r="U203" s="1">
        <f t="shared" si="4"/>
        <v>1</v>
      </c>
      <c r="V203" s="3">
        <f t="shared" si="5"/>
        <v>3</v>
      </c>
      <c r="W203" s="3">
        <f t="shared" si="6"/>
        <v>1</v>
      </c>
      <c r="X203" s="3" t="str">
        <f>IFERROR(__xludf.DUMMYFUNCTION("split(B203,"" "")"),"J.")</f>
        <v>J.</v>
      </c>
      <c r="Y203" s="3" t="str">
        <f>IFERROR(__xludf.DUMMYFUNCTION("""COMPUTED_VALUE"""),"Williams")</f>
        <v>Williams</v>
      </c>
      <c r="AA203" s="3">
        <v>-7.0</v>
      </c>
      <c r="AB203" s="3">
        <f t="shared" si="7"/>
        <v>0</v>
      </c>
      <c r="AC203" s="3">
        <f t="shared" si="8"/>
        <v>0</v>
      </c>
      <c r="AD203" s="3">
        <f t="shared" si="9"/>
        <v>3.93</v>
      </c>
      <c r="AE203" s="3">
        <f t="shared" si="10"/>
        <v>-3</v>
      </c>
      <c r="AF203" s="3">
        <f t="shared" si="11"/>
        <v>-1</v>
      </c>
      <c r="AG203" s="3">
        <f t="shared" si="12"/>
        <v>-15</v>
      </c>
    </row>
    <row r="204">
      <c r="A204" s="1" t="s">
        <v>9</v>
      </c>
      <c r="B204" s="1" t="s">
        <v>272</v>
      </c>
      <c r="C204" s="1" t="s">
        <v>18</v>
      </c>
      <c r="D204" s="1" t="s">
        <v>197</v>
      </c>
      <c r="E204" s="1" t="s">
        <v>105</v>
      </c>
      <c r="F204" s="1" t="s">
        <v>516</v>
      </c>
      <c r="G204" s="1">
        <v>13.5</v>
      </c>
      <c r="H204" s="1" t="s">
        <v>60</v>
      </c>
      <c r="I204" s="1">
        <v>-115.0</v>
      </c>
      <c r="J204" s="1">
        <v>0.182327425462353</v>
      </c>
      <c r="K204" s="1" t="s">
        <v>61</v>
      </c>
      <c r="L204" s="1" t="s">
        <v>61</v>
      </c>
      <c r="M204" s="1" t="s">
        <v>62</v>
      </c>
      <c r="N204" s="1">
        <v>-115.0</v>
      </c>
      <c r="O204" s="1">
        <v>-0.252066539281706</v>
      </c>
      <c r="P204" s="1" t="s">
        <v>61</v>
      </c>
      <c r="Q204" s="1" t="s">
        <v>61</v>
      </c>
      <c r="R204" s="1">
        <f t="shared" si="1"/>
        <v>0.1823274255</v>
      </c>
      <c r="S204" s="1">
        <f t="shared" si="2"/>
        <v>-115</v>
      </c>
      <c r="T204" s="1">
        <f t="shared" si="3"/>
        <v>1.869565217</v>
      </c>
      <c r="U204" s="1">
        <f t="shared" si="4"/>
        <v>1</v>
      </c>
      <c r="V204" s="3">
        <f t="shared" si="5"/>
        <v>3</v>
      </c>
      <c r="W204" s="3">
        <f t="shared" si="6"/>
        <v>2</v>
      </c>
      <c r="X204" s="3" t="str">
        <f>IFERROR(__xludf.DUMMYFUNCTION("split(B204,"" "")"),"K.")</f>
        <v>K.</v>
      </c>
      <c r="Y204" s="3" t="str">
        <f>IFERROR(__xludf.DUMMYFUNCTION("""COMPUTED_VALUE"""),"Raymond")</f>
        <v>Raymond</v>
      </c>
      <c r="AA204" s="3">
        <v>0.0</v>
      </c>
      <c r="AB204" s="3">
        <f t="shared" si="7"/>
        <v>0</v>
      </c>
      <c r="AC204" s="3">
        <f t="shared" si="8"/>
        <v>0</v>
      </c>
      <c r="AD204" s="3">
        <f t="shared" si="9"/>
        <v>2.608695652</v>
      </c>
      <c r="AE204" s="3">
        <f t="shared" si="10"/>
        <v>-3</v>
      </c>
      <c r="AF204" s="3">
        <f t="shared" si="11"/>
        <v>-2</v>
      </c>
      <c r="AG204" s="3">
        <f t="shared" si="12"/>
        <v>-1</v>
      </c>
    </row>
    <row r="205">
      <c r="A205" s="1" t="s">
        <v>10</v>
      </c>
      <c r="B205" s="1" t="s">
        <v>241</v>
      </c>
      <c r="C205" s="1" t="s">
        <v>21</v>
      </c>
      <c r="D205" s="1" t="s">
        <v>197</v>
      </c>
      <c r="E205" s="1" t="s">
        <v>105</v>
      </c>
      <c r="F205" s="1" t="s">
        <v>516</v>
      </c>
      <c r="G205" s="1">
        <v>0.5</v>
      </c>
      <c r="H205" s="1" t="s">
        <v>60</v>
      </c>
      <c r="I205" s="1">
        <v>105.0</v>
      </c>
      <c r="J205" s="1">
        <v>0.140301997336365</v>
      </c>
      <c r="K205" s="1" t="s">
        <v>61</v>
      </c>
      <c r="L205" s="1" t="s">
        <v>61</v>
      </c>
      <c r="M205" s="1" t="s">
        <v>62</v>
      </c>
      <c r="N205" s="1">
        <v>-137.0</v>
      </c>
      <c r="O205" s="1">
        <v>-0.206141257914077</v>
      </c>
      <c r="P205" s="1" t="s">
        <v>61</v>
      </c>
      <c r="Q205" s="1" t="s">
        <v>61</v>
      </c>
      <c r="R205" s="1">
        <f t="shared" si="1"/>
        <v>0.1403019973</v>
      </c>
      <c r="S205" s="1">
        <f t="shared" si="2"/>
        <v>105</v>
      </c>
      <c r="T205" s="1">
        <f t="shared" si="3"/>
        <v>2.05</v>
      </c>
      <c r="U205" s="1">
        <f t="shared" si="4"/>
        <v>1</v>
      </c>
      <c r="V205" s="3">
        <f t="shared" si="5"/>
        <v>3</v>
      </c>
      <c r="W205" s="3">
        <f t="shared" si="6"/>
        <v>2</v>
      </c>
      <c r="X205" s="3" t="str">
        <f>IFERROR(__xludf.DUMMYFUNCTION("split(B205,"" "")"),"J.")</f>
        <v>J.</v>
      </c>
      <c r="Y205" s="3" t="str">
        <f>IFERROR(__xludf.DUMMYFUNCTION("""COMPUTED_VALUE"""),"Goff")</f>
        <v>Goff</v>
      </c>
      <c r="AA205" s="3">
        <v>6.0</v>
      </c>
      <c r="AB205" s="3">
        <f t="shared" si="7"/>
        <v>1</v>
      </c>
      <c r="AC205" s="3">
        <f t="shared" si="8"/>
        <v>1</v>
      </c>
      <c r="AD205" s="3">
        <f t="shared" si="9"/>
        <v>3.15</v>
      </c>
      <c r="AE205" s="3">
        <f t="shared" si="10"/>
        <v>3.15</v>
      </c>
      <c r="AF205" s="3">
        <f t="shared" si="11"/>
        <v>2.1</v>
      </c>
      <c r="AG205" s="3">
        <f t="shared" si="12"/>
        <v>11</v>
      </c>
    </row>
    <row r="206">
      <c r="A206" s="1" t="s">
        <v>9</v>
      </c>
      <c r="B206" s="1" t="s">
        <v>534</v>
      </c>
      <c r="C206" s="1" t="s">
        <v>18</v>
      </c>
      <c r="D206" s="1" t="s">
        <v>197</v>
      </c>
      <c r="E206" s="1" t="s">
        <v>105</v>
      </c>
      <c r="F206" s="1" t="s">
        <v>516</v>
      </c>
      <c r="G206" s="1">
        <v>13.5</v>
      </c>
      <c r="H206" s="1" t="s">
        <v>60</v>
      </c>
      <c r="I206" s="1">
        <v>-118.0</v>
      </c>
      <c r="J206" s="1">
        <v>0.121848051703556</v>
      </c>
      <c r="K206" s="1" t="s">
        <v>61</v>
      </c>
      <c r="L206" s="1" t="s">
        <v>61</v>
      </c>
      <c r="M206" s="1" t="s">
        <v>62</v>
      </c>
      <c r="N206" s="1">
        <v>-114.0</v>
      </c>
      <c r="O206" s="1">
        <v>-0.195799578548447</v>
      </c>
      <c r="P206" s="1" t="s">
        <v>61</v>
      </c>
      <c r="Q206" s="1" t="s">
        <v>61</v>
      </c>
      <c r="R206" s="1">
        <f t="shared" si="1"/>
        <v>0.1218480517</v>
      </c>
      <c r="S206" s="1">
        <f t="shared" si="2"/>
        <v>-118</v>
      </c>
      <c r="T206" s="1">
        <f t="shared" si="3"/>
        <v>1.847457627</v>
      </c>
      <c r="U206" s="1">
        <f t="shared" si="4"/>
        <v>1</v>
      </c>
      <c r="V206" s="3">
        <f t="shared" si="5"/>
        <v>3</v>
      </c>
      <c r="W206" s="3">
        <f t="shared" si="6"/>
        <v>3</v>
      </c>
      <c r="X206" s="3" t="str">
        <f>IFERROR(__xludf.DUMMYFUNCTION("split(B206,"" "")"),"T.")</f>
        <v>T.</v>
      </c>
      <c r="Y206" s="3" t="str">
        <f>IFERROR(__xludf.DUMMYFUNCTION("""COMPUTED_VALUE"""),"Patrick")</f>
        <v>Patrick</v>
      </c>
      <c r="AA206" s="3">
        <v>8.0</v>
      </c>
      <c r="AB206" s="3">
        <f t="shared" si="7"/>
        <v>0</v>
      </c>
      <c r="AC206" s="3">
        <f t="shared" si="8"/>
        <v>0</v>
      </c>
      <c r="AD206" s="3">
        <f t="shared" si="9"/>
        <v>2.542372881</v>
      </c>
      <c r="AE206" s="3">
        <f t="shared" si="10"/>
        <v>-3</v>
      </c>
      <c r="AF206" s="3">
        <f t="shared" si="11"/>
        <v>-3</v>
      </c>
      <c r="AG206" s="3">
        <f t="shared" si="12"/>
        <v>-0.4074074074</v>
      </c>
    </row>
    <row r="207">
      <c r="A207" s="1" t="s">
        <v>12</v>
      </c>
      <c r="B207" s="1" t="s">
        <v>385</v>
      </c>
      <c r="C207" s="1" t="s">
        <v>18</v>
      </c>
      <c r="D207" s="1" t="s">
        <v>197</v>
      </c>
      <c r="E207" s="1" t="s">
        <v>105</v>
      </c>
      <c r="F207" s="1" t="s">
        <v>516</v>
      </c>
      <c r="G207" s="1">
        <v>6.5</v>
      </c>
      <c r="H207" s="1" t="s">
        <v>60</v>
      </c>
      <c r="I207" s="1">
        <v>-122.0</v>
      </c>
      <c r="J207" s="1">
        <v>0.107495495495495</v>
      </c>
      <c r="K207" s="1" t="s">
        <v>61</v>
      </c>
      <c r="L207" s="1" t="s">
        <v>61</v>
      </c>
      <c r="M207" s="1" t="s">
        <v>62</v>
      </c>
      <c r="N207" s="1">
        <v>-108.0</v>
      </c>
      <c r="O207" s="1">
        <v>-0.176282692307692</v>
      </c>
      <c r="P207" s="1" t="s">
        <v>61</v>
      </c>
      <c r="Q207" s="1" t="s">
        <v>61</v>
      </c>
      <c r="R207" s="1">
        <f t="shared" si="1"/>
        <v>0.1074954955</v>
      </c>
      <c r="S207" s="1">
        <f t="shared" si="2"/>
        <v>-122</v>
      </c>
      <c r="T207" s="1">
        <f t="shared" si="3"/>
        <v>1.819672131</v>
      </c>
      <c r="U207" s="1">
        <f t="shared" si="4"/>
        <v>1</v>
      </c>
      <c r="V207" s="3">
        <f t="shared" si="5"/>
        <v>3</v>
      </c>
      <c r="W207" s="3">
        <f t="shared" si="6"/>
        <v>3</v>
      </c>
      <c r="X207" s="3" t="str">
        <f>IFERROR(__xludf.DUMMYFUNCTION("split(B207,"" "")"),"A.")</f>
        <v>A.</v>
      </c>
      <c r="Y207" s="3" t="str">
        <f>IFERROR(__xludf.DUMMYFUNCTION("""COMPUTED_VALUE"""),"St.")</f>
        <v>St.</v>
      </c>
      <c r="Z207" s="3" t="str">
        <f>IFERROR(__xludf.DUMMYFUNCTION("""COMPUTED_VALUE"""),"Brown")</f>
        <v>Brown</v>
      </c>
      <c r="AA207" s="3">
        <v>7.0</v>
      </c>
      <c r="AB207" s="3">
        <f t="shared" si="7"/>
        <v>1</v>
      </c>
      <c r="AC207" s="3">
        <f t="shared" si="8"/>
        <v>1</v>
      </c>
      <c r="AD207" s="3">
        <f t="shared" si="9"/>
        <v>2.459016393</v>
      </c>
      <c r="AE207" s="3">
        <f t="shared" si="10"/>
        <v>2.459016393</v>
      </c>
      <c r="AF207" s="3">
        <f t="shared" si="11"/>
        <v>2.459016393</v>
      </c>
      <c r="AG207" s="3">
        <f t="shared" si="12"/>
        <v>0.07692307692</v>
      </c>
    </row>
    <row r="208">
      <c r="A208" s="1" t="s">
        <v>12</v>
      </c>
      <c r="B208" s="1" t="s">
        <v>534</v>
      </c>
      <c r="C208" s="1" t="s">
        <v>18</v>
      </c>
      <c r="D208" s="1" t="s">
        <v>197</v>
      </c>
      <c r="E208" s="1" t="s">
        <v>105</v>
      </c>
      <c r="F208" s="1" t="s">
        <v>516</v>
      </c>
      <c r="G208" s="1">
        <v>1.5</v>
      </c>
      <c r="H208" s="1" t="s">
        <v>60</v>
      </c>
      <c r="I208" s="1">
        <v>119.0</v>
      </c>
      <c r="J208" s="1">
        <v>-0.170611789151872</v>
      </c>
      <c r="K208" s="1" t="s">
        <v>61</v>
      </c>
      <c r="L208" s="1" t="s">
        <v>61</v>
      </c>
      <c r="M208" s="1" t="s">
        <v>62</v>
      </c>
      <c r="N208" s="1">
        <v>-158.0</v>
      </c>
      <c r="O208" s="1">
        <v>0.101586513198914</v>
      </c>
      <c r="P208" s="1" t="s">
        <v>61</v>
      </c>
      <c r="Q208" s="1" t="s">
        <v>61</v>
      </c>
      <c r="R208" s="1">
        <f t="shared" si="1"/>
        <v>0.1015865132</v>
      </c>
      <c r="S208" s="1">
        <f t="shared" si="2"/>
        <v>-158</v>
      </c>
      <c r="T208" s="1">
        <f t="shared" si="3"/>
        <v>1.632911392</v>
      </c>
      <c r="U208" s="1">
        <f t="shared" si="4"/>
        <v>0</v>
      </c>
      <c r="V208" s="3">
        <f t="shared" si="5"/>
        <v>3</v>
      </c>
      <c r="W208" s="3">
        <f t="shared" si="6"/>
        <v>3</v>
      </c>
      <c r="X208" s="3" t="str">
        <f>IFERROR(__xludf.DUMMYFUNCTION("split(B208,"" "")"),"T.")</f>
        <v>T.</v>
      </c>
      <c r="Y208" s="3" t="str">
        <f>IFERROR(__xludf.DUMMYFUNCTION("""COMPUTED_VALUE"""),"Patrick")</f>
        <v>Patrick</v>
      </c>
      <c r="AA208" s="3">
        <v>1.0</v>
      </c>
      <c r="AB208" s="3">
        <f t="shared" si="7"/>
        <v>0</v>
      </c>
      <c r="AC208" s="3">
        <f t="shared" si="8"/>
        <v>1</v>
      </c>
      <c r="AD208" s="3">
        <f t="shared" si="9"/>
        <v>1.898734177</v>
      </c>
      <c r="AE208" s="3">
        <f t="shared" si="10"/>
        <v>1.898734177</v>
      </c>
      <c r="AF208" s="3">
        <f t="shared" si="11"/>
        <v>1.898734177</v>
      </c>
      <c r="AG208" s="3">
        <f t="shared" si="12"/>
        <v>0.3333333333</v>
      </c>
    </row>
    <row r="209">
      <c r="A209" s="1" t="s">
        <v>8</v>
      </c>
      <c r="B209" s="1" t="s">
        <v>446</v>
      </c>
      <c r="C209" s="1" t="s">
        <v>19</v>
      </c>
      <c r="D209" s="1" t="s">
        <v>197</v>
      </c>
      <c r="E209" s="1" t="s">
        <v>105</v>
      </c>
      <c r="F209" s="1" t="s">
        <v>516</v>
      </c>
      <c r="G209" s="1">
        <v>13.5</v>
      </c>
      <c r="H209" s="1" t="s">
        <v>60</v>
      </c>
      <c r="I209" s="1">
        <v>-123.0</v>
      </c>
      <c r="J209" s="1">
        <v>-0.162212787097757</v>
      </c>
      <c r="K209" s="1" t="s">
        <v>61</v>
      </c>
      <c r="L209" s="1" t="s">
        <v>61</v>
      </c>
      <c r="M209" s="1" t="s">
        <v>62</v>
      </c>
      <c r="N209" s="1">
        <v>-108.0</v>
      </c>
      <c r="O209" s="1">
        <v>0.0914193444453077</v>
      </c>
      <c r="P209" s="1" t="s">
        <v>61</v>
      </c>
      <c r="Q209" s="1" t="s">
        <v>61</v>
      </c>
      <c r="R209" s="1">
        <f t="shared" si="1"/>
        <v>0.09141934445</v>
      </c>
      <c r="S209" s="1">
        <f t="shared" si="2"/>
        <v>-108</v>
      </c>
      <c r="T209" s="1">
        <f t="shared" si="3"/>
        <v>1.925925926</v>
      </c>
      <c r="U209" s="1">
        <f t="shared" si="4"/>
        <v>0</v>
      </c>
      <c r="V209" s="3">
        <f t="shared" si="5"/>
        <v>2</v>
      </c>
      <c r="W209" s="3">
        <f t="shared" si="6"/>
        <v>2</v>
      </c>
      <c r="X209" s="3" t="str">
        <f>IFERROR(__xludf.DUMMYFUNCTION("split(B209,"" "")"),"D.")</f>
        <v>D.</v>
      </c>
      <c r="Y209" s="3" t="str">
        <f>IFERROR(__xludf.DUMMYFUNCTION("""COMPUTED_VALUE"""),"Montgomery")</f>
        <v>Montgomery</v>
      </c>
      <c r="AA209" s="3">
        <v>23.0</v>
      </c>
      <c r="AB209" s="3">
        <f t="shared" si="7"/>
        <v>1</v>
      </c>
      <c r="AC209" s="3">
        <f t="shared" si="8"/>
        <v>0</v>
      </c>
      <c r="AD209" s="3">
        <f t="shared" si="9"/>
        <v>1.851851852</v>
      </c>
      <c r="AE209" s="3">
        <f t="shared" si="10"/>
        <v>-2</v>
      </c>
      <c r="AF209" s="3">
        <f t="shared" si="11"/>
        <v>-2</v>
      </c>
      <c r="AG209" s="3">
        <f t="shared" si="12"/>
        <v>-0.7037037037</v>
      </c>
    </row>
    <row r="210">
      <c r="A210" s="1" t="s">
        <v>11</v>
      </c>
      <c r="B210" s="1" t="s">
        <v>446</v>
      </c>
      <c r="C210" s="1" t="s">
        <v>19</v>
      </c>
      <c r="D210" s="1" t="s">
        <v>197</v>
      </c>
      <c r="E210" s="1" t="s">
        <v>105</v>
      </c>
      <c r="F210" s="1" t="s">
        <v>516</v>
      </c>
      <c r="G210" s="1">
        <v>7.5</v>
      </c>
      <c r="H210" s="1" t="s">
        <v>60</v>
      </c>
      <c r="I210" s="1">
        <v>-113.0</v>
      </c>
      <c r="J210" s="1">
        <v>0.0711256518988089</v>
      </c>
      <c r="K210" s="1" t="s">
        <v>61</v>
      </c>
      <c r="L210" s="1" t="s">
        <v>61</v>
      </c>
      <c r="M210" s="1" t="s">
        <v>62</v>
      </c>
      <c r="N210" s="1">
        <v>-112.0</v>
      </c>
      <c r="O210" s="1">
        <v>-0.129911658098961</v>
      </c>
      <c r="P210" s="1" t="s">
        <v>61</v>
      </c>
      <c r="Q210" s="1" t="s">
        <v>61</v>
      </c>
      <c r="R210" s="1">
        <f t="shared" si="1"/>
        <v>0.0711256519</v>
      </c>
      <c r="S210" s="1">
        <f t="shared" si="2"/>
        <v>-113</v>
      </c>
      <c r="T210" s="1">
        <f t="shared" si="3"/>
        <v>1.884955752</v>
      </c>
      <c r="U210" s="1">
        <f t="shared" si="4"/>
        <v>1</v>
      </c>
      <c r="V210" s="3">
        <f t="shared" si="5"/>
        <v>2</v>
      </c>
      <c r="W210" s="3">
        <f t="shared" si="6"/>
        <v>2</v>
      </c>
      <c r="X210" s="3" t="str">
        <f>IFERROR(__xludf.DUMMYFUNCTION("split(B210,"" "")"),"D.")</f>
        <v>D.</v>
      </c>
      <c r="Y210" s="3" t="str">
        <f>IFERROR(__xludf.DUMMYFUNCTION("""COMPUTED_VALUE"""),"Montgomery")</f>
        <v>Montgomery</v>
      </c>
      <c r="AA210" s="3">
        <v>17.0</v>
      </c>
      <c r="AB210" s="3">
        <f t="shared" si="7"/>
        <v>1</v>
      </c>
      <c r="AC210" s="3">
        <f t="shared" si="8"/>
        <v>1</v>
      </c>
      <c r="AD210" s="3">
        <f t="shared" si="9"/>
        <v>1.769911504</v>
      </c>
      <c r="AE210" s="3">
        <f t="shared" si="10"/>
        <v>1.769911504</v>
      </c>
      <c r="AF210" s="3">
        <f t="shared" si="11"/>
        <v>1.769911504</v>
      </c>
      <c r="AG210" s="3">
        <f t="shared" si="12"/>
        <v>1.266666667</v>
      </c>
    </row>
    <row r="211">
      <c r="A211" s="1" t="s">
        <v>14</v>
      </c>
      <c r="B211" s="1" t="s">
        <v>241</v>
      </c>
      <c r="C211" s="1" t="s">
        <v>21</v>
      </c>
      <c r="D211" s="1" t="s">
        <v>197</v>
      </c>
      <c r="E211" s="1" t="s">
        <v>105</v>
      </c>
      <c r="F211" s="1" t="s">
        <v>516</v>
      </c>
      <c r="G211" s="1">
        <v>1.5</v>
      </c>
      <c r="H211" s="1" t="s">
        <v>60</v>
      </c>
      <c r="I211" s="1">
        <v>-141.0</v>
      </c>
      <c r="J211" s="1">
        <v>-0.124079253112033</v>
      </c>
      <c r="K211" s="1" t="s">
        <v>61</v>
      </c>
      <c r="L211" s="1" t="s">
        <v>61</v>
      </c>
      <c r="M211" s="1" t="s">
        <v>62</v>
      </c>
      <c r="N211" s="1">
        <v>110.0</v>
      </c>
      <c r="O211" s="1">
        <v>0.0628142857142857</v>
      </c>
      <c r="P211" s="1" t="s">
        <v>61</v>
      </c>
      <c r="Q211" s="1" t="s">
        <v>61</v>
      </c>
      <c r="R211" s="1">
        <f t="shared" si="1"/>
        <v>0.06281428571</v>
      </c>
      <c r="S211" s="1">
        <f t="shared" si="2"/>
        <v>110</v>
      </c>
      <c r="T211" s="1">
        <f t="shared" si="3"/>
        <v>2.1</v>
      </c>
      <c r="U211" s="1">
        <f t="shared" si="4"/>
        <v>0</v>
      </c>
      <c r="V211" s="3">
        <f t="shared" si="5"/>
        <v>2</v>
      </c>
      <c r="W211" s="3">
        <f t="shared" si="6"/>
        <v>2</v>
      </c>
      <c r="X211" s="3" t="str">
        <f>IFERROR(__xludf.DUMMYFUNCTION("split(B211,"" "")"),"J.")</f>
        <v>J.</v>
      </c>
      <c r="Y211" s="3" t="str">
        <f>IFERROR(__xludf.DUMMYFUNCTION("""COMPUTED_VALUE"""),"Goff")</f>
        <v>Goff</v>
      </c>
      <c r="AA211" s="3">
        <v>2.0</v>
      </c>
      <c r="AB211" s="3">
        <f t="shared" si="7"/>
        <v>1</v>
      </c>
      <c r="AC211" s="3">
        <f t="shared" si="8"/>
        <v>0</v>
      </c>
      <c r="AD211" s="3">
        <f t="shared" si="9"/>
        <v>2.2</v>
      </c>
      <c r="AE211" s="3">
        <f t="shared" si="10"/>
        <v>-2</v>
      </c>
      <c r="AF211" s="3">
        <f t="shared" si="11"/>
        <v>-2</v>
      </c>
      <c r="AG211" s="3">
        <f t="shared" si="12"/>
        <v>-0.3333333333</v>
      </c>
    </row>
    <row r="212">
      <c r="A212" s="1" t="s">
        <v>12</v>
      </c>
      <c r="B212" s="1" t="s">
        <v>446</v>
      </c>
      <c r="C212" s="1" t="s">
        <v>19</v>
      </c>
      <c r="D212" s="1" t="s">
        <v>197</v>
      </c>
      <c r="E212" s="1" t="s">
        <v>105</v>
      </c>
      <c r="F212" s="1" t="s">
        <v>516</v>
      </c>
      <c r="G212" s="1">
        <v>1.5</v>
      </c>
      <c r="H212" s="1" t="s">
        <v>60</v>
      </c>
      <c r="I212" s="1">
        <v>105.0</v>
      </c>
      <c r="J212" s="1">
        <v>-0.13009559077317</v>
      </c>
      <c r="K212" s="1" t="s">
        <v>61</v>
      </c>
      <c r="L212" s="1" t="s">
        <v>61</v>
      </c>
      <c r="M212" s="1" t="s">
        <v>62</v>
      </c>
      <c r="N212" s="1">
        <v>-138.0</v>
      </c>
      <c r="O212" s="1">
        <v>0.0624575535403362</v>
      </c>
      <c r="P212" s="1" t="s">
        <v>61</v>
      </c>
      <c r="Q212" s="1" t="s">
        <v>61</v>
      </c>
      <c r="R212" s="1">
        <f t="shared" si="1"/>
        <v>0.06245755354</v>
      </c>
      <c r="S212" s="1">
        <f t="shared" si="2"/>
        <v>-138</v>
      </c>
      <c r="T212" s="1">
        <f t="shared" si="3"/>
        <v>1.724637681</v>
      </c>
      <c r="U212" s="1">
        <f t="shared" si="4"/>
        <v>0</v>
      </c>
      <c r="V212" s="3">
        <f t="shared" si="5"/>
        <v>2</v>
      </c>
      <c r="W212" s="3">
        <f t="shared" si="6"/>
        <v>3</v>
      </c>
      <c r="X212" s="3" t="str">
        <f>IFERROR(__xludf.DUMMYFUNCTION("split(B212,"" "")"),"D.")</f>
        <v>D.</v>
      </c>
      <c r="Y212" s="3" t="str">
        <f>IFERROR(__xludf.DUMMYFUNCTION("""COMPUTED_VALUE"""),"Montgomery")</f>
        <v>Montgomery</v>
      </c>
      <c r="AA212" s="3">
        <v>3.0</v>
      </c>
      <c r="AB212" s="3">
        <f t="shared" si="7"/>
        <v>1</v>
      </c>
      <c r="AC212" s="3">
        <f t="shared" si="8"/>
        <v>0</v>
      </c>
      <c r="AD212" s="3">
        <f t="shared" si="9"/>
        <v>1.449275362</v>
      </c>
      <c r="AE212" s="3">
        <f t="shared" si="10"/>
        <v>-2</v>
      </c>
      <c r="AF212" s="3">
        <f t="shared" si="11"/>
        <v>-3</v>
      </c>
      <c r="AG212" s="3">
        <f t="shared" si="12"/>
        <v>-1</v>
      </c>
    </row>
    <row r="213">
      <c r="A213" s="1" t="s">
        <v>11</v>
      </c>
      <c r="B213" s="1" t="s">
        <v>127</v>
      </c>
      <c r="C213" s="1" t="s">
        <v>18</v>
      </c>
      <c r="D213" s="1" t="s">
        <v>197</v>
      </c>
      <c r="E213" s="1" t="s">
        <v>105</v>
      </c>
      <c r="F213" s="1" t="s">
        <v>516</v>
      </c>
      <c r="G213" s="1">
        <v>51.5</v>
      </c>
      <c r="H213" s="1" t="s">
        <v>60</v>
      </c>
      <c r="I213" s="1">
        <v>-118.0</v>
      </c>
      <c r="J213" s="1">
        <v>-0.124439878617348</v>
      </c>
      <c r="K213" s="1" t="s">
        <v>61</v>
      </c>
      <c r="L213" s="1" t="s">
        <v>61</v>
      </c>
      <c r="M213" s="1" t="s">
        <v>62</v>
      </c>
      <c r="N213" s="1">
        <v>-113.0</v>
      </c>
      <c r="O213" s="1">
        <v>0.0526314858541173</v>
      </c>
      <c r="P213" s="1" t="s">
        <v>61</v>
      </c>
      <c r="Q213" s="1" t="s">
        <v>61</v>
      </c>
      <c r="R213" s="1">
        <f t="shared" si="1"/>
        <v>0.05263148585</v>
      </c>
      <c r="S213" s="1">
        <f t="shared" si="2"/>
        <v>-113</v>
      </c>
      <c r="T213" s="1">
        <f t="shared" si="3"/>
        <v>1.884955752</v>
      </c>
      <c r="U213" s="1">
        <f t="shared" si="4"/>
        <v>0</v>
      </c>
      <c r="V213" s="3">
        <f t="shared" si="5"/>
        <v>2</v>
      </c>
      <c r="W213" s="3">
        <f t="shared" si="6"/>
        <v>2</v>
      </c>
      <c r="X213" s="3" t="str">
        <f>IFERROR(__xludf.DUMMYFUNCTION("split(B213,"" "")"),"J.")</f>
        <v>J.</v>
      </c>
      <c r="Y213" s="3" t="str">
        <f>IFERROR(__xludf.DUMMYFUNCTION("""COMPUTED_VALUE"""),"Williams")</f>
        <v>Williams</v>
      </c>
      <c r="AA213" s="3">
        <v>9.0</v>
      </c>
      <c r="AB213" s="3">
        <f t="shared" si="7"/>
        <v>0</v>
      </c>
      <c r="AC213" s="3">
        <f t="shared" si="8"/>
        <v>1</v>
      </c>
      <c r="AD213" s="3">
        <f t="shared" si="9"/>
        <v>1.769911504</v>
      </c>
      <c r="AE213" s="3">
        <f t="shared" si="10"/>
        <v>1.769911504</v>
      </c>
      <c r="AF213" s="3">
        <f t="shared" si="11"/>
        <v>1.769911504</v>
      </c>
      <c r="AG213" s="3">
        <f t="shared" si="12"/>
        <v>0.8252427184</v>
      </c>
    </row>
    <row r="214">
      <c r="A214" s="1" t="s">
        <v>12</v>
      </c>
      <c r="B214" s="1" t="s">
        <v>498</v>
      </c>
      <c r="C214" s="1" t="s">
        <v>20</v>
      </c>
      <c r="D214" s="1" t="s">
        <v>197</v>
      </c>
      <c r="E214" s="1" t="s">
        <v>105</v>
      </c>
      <c r="F214" s="1" t="s">
        <v>516</v>
      </c>
      <c r="G214" s="1">
        <v>4.5</v>
      </c>
      <c r="H214" s="1" t="s">
        <v>60</v>
      </c>
      <c r="I214" s="1">
        <v>102.0</v>
      </c>
      <c r="J214" s="1">
        <v>0.0372504950495049</v>
      </c>
      <c r="K214" s="1" t="s">
        <v>61</v>
      </c>
      <c r="L214" s="1" t="s">
        <v>61</v>
      </c>
      <c r="M214" s="1" t="s">
        <v>62</v>
      </c>
      <c r="N214" s="1">
        <v>-135.0</v>
      </c>
      <c r="O214" s="1">
        <v>-0.106768085106383</v>
      </c>
      <c r="P214" s="1" t="s">
        <v>61</v>
      </c>
      <c r="Q214" s="1" t="s">
        <v>61</v>
      </c>
      <c r="R214" s="1">
        <f t="shared" si="1"/>
        <v>0.03725049505</v>
      </c>
      <c r="S214" s="1">
        <f t="shared" si="2"/>
        <v>102</v>
      </c>
      <c r="T214" s="1">
        <f t="shared" si="3"/>
        <v>2.02</v>
      </c>
      <c r="U214" s="1">
        <f t="shared" si="4"/>
        <v>1</v>
      </c>
      <c r="V214" s="3">
        <f t="shared" si="5"/>
        <v>1</v>
      </c>
      <c r="W214" s="3">
        <f t="shared" si="6"/>
        <v>2</v>
      </c>
      <c r="X214" s="3" t="str">
        <f>IFERROR(__xludf.DUMMYFUNCTION("split(B214,"" "")"),"S.")</f>
        <v>S.</v>
      </c>
      <c r="Y214" s="3" t="str">
        <f>IFERROR(__xludf.DUMMYFUNCTION("""COMPUTED_VALUE"""),"LaPorta")</f>
        <v>LaPorta</v>
      </c>
      <c r="AA214" s="3">
        <v>2.0</v>
      </c>
      <c r="AB214" s="3">
        <f t="shared" si="7"/>
        <v>0</v>
      </c>
      <c r="AC214" s="3">
        <f t="shared" si="8"/>
        <v>0</v>
      </c>
      <c r="AD214" s="3">
        <f t="shared" si="9"/>
        <v>1.02</v>
      </c>
      <c r="AE214" s="3">
        <f t="shared" si="10"/>
        <v>-1</v>
      </c>
      <c r="AF214" s="3">
        <f t="shared" si="11"/>
        <v>-2</v>
      </c>
      <c r="AG214" s="3">
        <f t="shared" si="12"/>
        <v>-0.5555555556</v>
      </c>
    </row>
    <row r="215">
      <c r="A215" s="1" t="s">
        <v>8</v>
      </c>
      <c r="B215" s="1" t="s">
        <v>393</v>
      </c>
      <c r="C215" s="1" t="s">
        <v>19</v>
      </c>
      <c r="D215" s="1" t="s">
        <v>197</v>
      </c>
      <c r="E215" s="1" t="s">
        <v>105</v>
      </c>
      <c r="F215" s="1" t="s">
        <v>516</v>
      </c>
      <c r="G215" s="1">
        <v>11.5</v>
      </c>
      <c r="H215" s="1" t="s">
        <v>60</v>
      </c>
      <c r="I215" s="1">
        <v>-101.0</v>
      </c>
      <c r="J215" s="1">
        <v>-0.0974878002860199</v>
      </c>
      <c r="K215" s="1" t="s">
        <v>61</v>
      </c>
      <c r="L215" s="1" t="s">
        <v>61</v>
      </c>
      <c r="M215" s="1" t="s">
        <v>62</v>
      </c>
      <c r="N215" s="1">
        <v>-129.0</v>
      </c>
      <c r="O215" s="1">
        <v>0.0316682652234151</v>
      </c>
      <c r="P215" s="1" t="s">
        <v>61</v>
      </c>
      <c r="Q215" s="1" t="s">
        <v>61</v>
      </c>
      <c r="R215" s="1">
        <f t="shared" si="1"/>
        <v>0.03166826522</v>
      </c>
      <c r="S215" s="1">
        <f t="shared" si="2"/>
        <v>-129</v>
      </c>
      <c r="T215" s="1">
        <f t="shared" si="3"/>
        <v>1.775193798</v>
      </c>
      <c r="U215" s="1">
        <f t="shared" si="4"/>
        <v>0</v>
      </c>
      <c r="V215" s="3">
        <f t="shared" si="5"/>
        <v>1</v>
      </c>
      <c r="W215" s="3">
        <f t="shared" si="6"/>
        <v>3</v>
      </c>
      <c r="X215" s="3" t="str">
        <f>IFERROR(__xludf.DUMMYFUNCTION("split(B215,"" "")"),"J.")</f>
        <v>J.</v>
      </c>
      <c r="Y215" s="3" t="str">
        <f>IFERROR(__xludf.DUMMYFUNCTION("""COMPUTED_VALUE"""),"Gibbs")</f>
        <v>Gibbs</v>
      </c>
      <c r="AA215" s="3">
        <v>16.0</v>
      </c>
      <c r="AB215" s="3">
        <f t="shared" si="7"/>
        <v>1</v>
      </c>
      <c r="AC215" s="3">
        <f t="shared" si="8"/>
        <v>0</v>
      </c>
      <c r="AD215" s="3">
        <f t="shared" si="9"/>
        <v>0.7751937984</v>
      </c>
      <c r="AE215" s="3">
        <f t="shared" si="10"/>
        <v>-1</v>
      </c>
      <c r="AF215" s="3">
        <f t="shared" si="11"/>
        <v>-3</v>
      </c>
      <c r="AG215" s="3">
        <f t="shared" si="12"/>
        <v>-0.3913043478</v>
      </c>
    </row>
    <row r="216">
      <c r="A216" s="1" t="s">
        <v>11</v>
      </c>
      <c r="B216" s="1" t="s">
        <v>272</v>
      </c>
      <c r="C216" s="1" t="s">
        <v>18</v>
      </c>
      <c r="D216" s="1" t="s">
        <v>197</v>
      </c>
      <c r="E216" s="1" t="s">
        <v>105</v>
      </c>
      <c r="F216" s="1" t="s">
        <v>516</v>
      </c>
      <c r="G216" s="1">
        <v>13.5</v>
      </c>
      <c r="H216" s="1" t="s">
        <v>60</v>
      </c>
      <c r="I216" s="1">
        <v>-107.0</v>
      </c>
      <c r="J216" s="1">
        <v>0.0293735660006377</v>
      </c>
      <c r="K216" s="1" t="s">
        <v>61</v>
      </c>
      <c r="L216" s="1" t="s">
        <v>61</v>
      </c>
      <c r="M216" s="1" t="s">
        <v>62</v>
      </c>
      <c r="N216" s="1">
        <v>-126.0</v>
      </c>
      <c r="O216" s="1">
        <v>-0.103754873824275</v>
      </c>
      <c r="P216" s="1" t="s">
        <v>61</v>
      </c>
      <c r="Q216" s="1" t="s">
        <v>61</v>
      </c>
      <c r="R216" s="1">
        <f t="shared" si="1"/>
        <v>0.029373566</v>
      </c>
      <c r="S216" s="1">
        <f t="shared" si="2"/>
        <v>-107</v>
      </c>
      <c r="T216" s="1">
        <f t="shared" si="3"/>
        <v>1.934579439</v>
      </c>
      <c r="U216" s="1">
        <f t="shared" si="4"/>
        <v>1</v>
      </c>
      <c r="V216" s="3">
        <f t="shared" si="5"/>
        <v>1</v>
      </c>
      <c r="W216" s="3">
        <f t="shared" si="6"/>
        <v>2</v>
      </c>
      <c r="X216" s="3" t="str">
        <f>IFERROR(__xludf.DUMMYFUNCTION("split(B216,"" "")"),"K.")</f>
        <v>K.</v>
      </c>
      <c r="Y216" s="3" t="str">
        <f>IFERROR(__xludf.DUMMYFUNCTION("""COMPUTED_VALUE"""),"Raymond")</f>
        <v>Raymond</v>
      </c>
      <c r="AA216" s="3">
        <v>0.0</v>
      </c>
      <c r="AB216" s="3">
        <f t="shared" si="7"/>
        <v>0</v>
      </c>
      <c r="AC216" s="3">
        <f t="shared" si="8"/>
        <v>0</v>
      </c>
      <c r="AD216" s="3">
        <f t="shared" si="9"/>
        <v>0.9345794393</v>
      </c>
      <c r="AE216" s="3">
        <f t="shared" si="10"/>
        <v>-1</v>
      </c>
      <c r="AF216" s="3">
        <f t="shared" si="11"/>
        <v>-2</v>
      </c>
      <c r="AG216" s="3">
        <f t="shared" si="12"/>
        <v>-1</v>
      </c>
    </row>
    <row r="217">
      <c r="A217" s="1" t="s">
        <v>12</v>
      </c>
      <c r="B217" s="1" t="s">
        <v>393</v>
      </c>
      <c r="C217" s="1" t="s">
        <v>19</v>
      </c>
      <c r="D217" s="1" t="s">
        <v>197</v>
      </c>
      <c r="E217" s="1" t="s">
        <v>105</v>
      </c>
      <c r="F217" s="1" t="s">
        <v>516</v>
      </c>
      <c r="G217" s="1">
        <v>3.5</v>
      </c>
      <c r="H217" s="1" t="s">
        <v>60</v>
      </c>
      <c r="I217" s="1">
        <v>116.0</v>
      </c>
      <c r="J217" s="1">
        <v>-0.0904166666666666</v>
      </c>
      <c r="K217" s="1" t="s">
        <v>61</v>
      </c>
      <c r="L217" s="1" t="s">
        <v>61</v>
      </c>
      <c r="M217" s="1" t="s">
        <v>62</v>
      </c>
      <c r="N217" s="1">
        <v>-151.0</v>
      </c>
      <c r="O217" s="1">
        <v>0.0258665338645417</v>
      </c>
      <c r="P217" s="1" t="s">
        <v>61</v>
      </c>
      <c r="Q217" s="1" t="s">
        <v>61</v>
      </c>
      <c r="R217" s="1">
        <f t="shared" si="1"/>
        <v>0.02586653386</v>
      </c>
      <c r="S217" s="1">
        <f t="shared" si="2"/>
        <v>-151</v>
      </c>
      <c r="T217" s="1">
        <f t="shared" si="3"/>
        <v>1.662251656</v>
      </c>
      <c r="U217" s="1">
        <f t="shared" si="4"/>
        <v>0</v>
      </c>
      <c r="V217" s="3">
        <f t="shared" si="5"/>
        <v>1</v>
      </c>
      <c r="W217" s="3">
        <f t="shared" si="6"/>
        <v>3</v>
      </c>
      <c r="X217" s="3" t="str">
        <f>IFERROR(__xludf.DUMMYFUNCTION("split(B217,"" "")"),"J.")</f>
        <v>J.</v>
      </c>
      <c r="Y217" s="3" t="str">
        <f>IFERROR(__xludf.DUMMYFUNCTION("""COMPUTED_VALUE"""),"Gibbs")</f>
        <v>Gibbs</v>
      </c>
      <c r="AA217" s="3">
        <v>0.0</v>
      </c>
      <c r="AB217" s="3">
        <f t="shared" si="7"/>
        <v>0</v>
      </c>
      <c r="AC217" s="3">
        <f t="shared" si="8"/>
        <v>1</v>
      </c>
      <c r="AD217" s="3">
        <f t="shared" si="9"/>
        <v>0.6622516556</v>
      </c>
      <c r="AE217" s="3">
        <f t="shared" si="10"/>
        <v>0.6622516556</v>
      </c>
      <c r="AF217" s="3">
        <f t="shared" si="11"/>
        <v>1.986754967</v>
      </c>
      <c r="AG217" s="3">
        <f t="shared" si="12"/>
        <v>1</v>
      </c>
    </row>
    <row r="218">
      <c r="A218" s="1" t="s">
        <v>11</v>
      </c>
      <c r="B218" s="1" t="s">
        <v>534</v>
      </c>
      <c r="C218" s="1" t="s">
        <v>18</v>
      </c>
      <c r="D218" s="1" t="s">
        <v>197</v>
      </c>
      <c r="E218" s="1" t="s">
        <v>105</v>
      </c>
      <c r="F218" s="1" t="s">
        <v>516</v>
      </c>
      <c r="G218" s="1">
        <v>13.5</v>
      </c>
      <c r="H218" s="1" t="s">
        <v>60</v>
      </c>
      <c r="I218" s="1">
        <v>-124.0</v>
      </c>
      <c r="J218" s="1">
        <v>-0.0908544885821729</v>
      </c>
      <c r="K218" s="1" t="s">
        <v>61</v>
      </c>
      <c r="L218" s="1" t="s">
        <v>61</v>
      </c>
      <c r="M218" s="1" t="s">
        <v>62</v>
      </c>
      <c r="N218" s="1">
        <v>-106.0</v>
      </c>
      <c r="O218" s="1">
        <v>0.0227631542182094</v>
      </c>
      <c r="P218" s="1" t="s">
        <v>61</v>
      </c>
      <c r="Q218" s="1" t="s">
        <v>61</v>
      </c>
      <c r="R218" s="1">
        <f t="shared" si="1"/>
        <v>0.02276315422</v>
      </c>
      <c r="S218" s="1">
        <f t="shared" si="2"/>
        <v>-106</v>
      </c>
      <c r="T218" s="1">
        <f t="shared" si="3"/>
        <v>1.943396226</v>
      </c>
      <c r="U218" s="1">
        <f t="shared" si="4"/>
        <v>0</v>
      </c>
      <c r="V218" s="3">
        <f t="shared" si="5"/>
        <v>1</v>
      </c>
      <c r="W218" s="3">
        <f t="shared" si="6"/>
        <v>2</v>
      </c>
      <c r="X218" s="3" t="str">
        <f>IFERROR(__xludf.DUMMYFUNCTION("split(B218,"" "")"),"T.")</f>
        <v>T.</v>
      </c>
      <c r="Y218" s="3" t="str">
        <f>IFERROR(__xludf.DUMMYFUNCTION("""COMPUTED_VALUE"""),"Patrick")</f>
        <v>Patrick</v>
      </c>
      <c r="AA218" s="3">
        <v>8.0</v>
      </c>
      <c r="AB218" s="3">
        <f t="shared" si="7"/>
        <v>0</v>
      </c>
      <c r="AC218" s="3">
        <f t="shared" si="8"/>
        <v>1</v>
      </c>
      <c r="AD218" s="3">
        <f t="shared" si="9"/>
        <v>0.9433962264</v>
      </c>
      <c r="AE218" s="3">
        <f t="shared" si="10"/>
        <v>0.9433962264</v>
      </c>
      <c r="AF218" s="3">
        <f t="shared" si="11"/>
        <v>1.886792453</v>
      </c>
      <c r="AG218" s="3">
        <f t="shared" si="12"/>
        <v>0.4074074074</v>
      </c>
    </row>
    <row r="219">
      <c r="A219" s="1" t="s">
        <v>9</v>
      </c>
      <c r="B219" s="1" t="s">
        <v>446</v>
      </c>
      <c r="C219" s="1" t="s">
        <v>19</v>
      </c>
      <c r="D219" s="1" t="s">
        <v>197</v>
      </c>
      <c r="E219" s="1" t="s">
        <v>105</v>
      </c>
      <c r="F219" s="1" t="s">
        <v>516</v>
      </c>
      <c r="G219" s="1">
        <v>69.5</v>
      </c>
      <c r="H219" s="1" t="s">
        <v>60</v>
      </c>
      <c r="I219" s="1">
        <v>-118.0</v>
      </c>
      <c r="J219" s="1">
        <v>-0.094177364047169</v>
      </c>
      <c r="K219" s="1" t="s">
        <v>61</v>
      </c>
      <c r="L219" s="1" t="s">
        <v>61</v>
      </c>
      <c r="M219" s="1" t="s">
        <v>62</v>
      </c>
      <c r="N219" s="1">
        <v>-114.0</v>
      </c>
      <c r="O219" s="1">
        <v>0.0202299369766469</v>
      </c>
      <c r="P219" s="1" t="s">
        <v>61</v>
      </c>
      <c r="Q219" s="1" t="s">
        <v>61</v>
      </c>
      <c r="R219" s="1">
        <f t="shared" si="1"/>
        <v>0.02022993698</v>
      </c>
      <c r="S219" s="1">
        <f t="shared" si="2"/>
        <v>-114</v>
      </c>
      <c r="T219" s="1">
        <f t="shared" si="3"/>
        <v>1.877192982</v>
      </c>
      <c r="U219" s="1">
        <f t="shared" si="4"/>
        <v>0</v>
      </c>
      <c r="V219" s="3">
        <f t="shared" si="5"/>
        <v>1</v>
      </c>
      <c r="W219" s="3">
        <f t="shared" si="6"/>
        <v>2</v>
      </c>
      <c r="X219" s="3" t="str">
        <f>IFERROR(__xludf.DUMMYFUNCTION("split(B219,"" "")"),"D.")</f>
        <v>D.</v>
      </c>
      <c r="Y219" s="3" t="str">
        <f>IFERROR(__xludf.DUMMYFUNCTION("""COMPUTED_VALUE"""),"Montgomery")</f>
        <v>Montgomery</v>
      </c>
      <c r="AA219" s="3">
        <v>122.0</v>
      </c>
      <c r="AB219" s="3">
        <f t="shared" si="7"/>
        <v>1</v>
      </c>
      <c r="AC219" s="3">
        <f t="shared" si="8"/>
        <v>0</v>
      </c>
      <c r="AD219" s="3">
        <f t="shared" si="9"/>
        <v>0.8771929825</v>
      </c>
      <c r="AE219" s="3">
        <f t="shared" si="10"/>
        <v>-1</v>
      </c>
      <c r="AF219" s="3">
        <f t="shared" si="11"/>
        <v>-2</v>
      </c>
      <c r="AG219" s="3">
        <f t="shared" si="12"/>
        <v>-0.7553956835</v>
      </c>
    </row>
    <row r="220">
      <c r="A220" s="1" t="s">
        <v>15</v>
      </c>
      <c r="B220" s="1" t="s">
        <v>241</v>
      </c>
      <c r="C220" s="1" t="s">
        <v>21</v>
      </c>
      <c r="D220" s="1" t="s">
        <v>197</v>
      </c>
      <c r="E220" s="1" t="s">
        <v>105</v>
      </c>
      <c r="F220" s="1" t="s">
        <v>516</v>
      </c>
      <c r="G220" s="1">
        <v>23.5</v>
      </c>
      <c r="H220" s="1" t="s">
        <v>60</v>
      </c>
      <c r="I220" s="1">
        <v>-106.0</v>
      </c>
      <c r="J220" s="1">
        <v>0.0183912621359223</v>
      </c>
      <c r="K220" s="1" t="s">
        <v>61</v>
      </c>
      <c r="L220" s="1" t="s">
        <v>61</v>
      </c>
      <c r="M220" s="1" t="s">
        <v>62</v>
      </c>
      <c r="N220" s="1">
        <v>-123.0</v>
      </c>
      <c r="O220" s="1">
        <v>-0.0845040358744395</v>
      </c>
      <c r="P220" s="1" t="s">
        <v>61</v>
      </c>
      <c r="Q220" s="1" t="s">
        <v>61</v>
      </c>
      <c r="R220" s="1">
        <f t="shared" si="1"/>
        <v>0.01839126214</v>
      </c>
      <c r="S220" s="1">
        <f t="shared" si="2"/>
        <v>-106</v>
      </c>
      <c r="T220" s="1">
        <f t="shared" si="3"/>
        <v>1.943396226</v>
      </c>
      <c r="U220" s="1">
        <f t="shared" si="4"/>
        <v>1</v>
      </c>
      <c r="V220" s="3">
        <f t="shared" si="5"/>
        <v>1</v>
      </c>
      <c r="W220" s="3">
        <f t="shared" si="6"/>
        <v>2</v>
      </c>
      <c r="X220" s="3" t="str">
        <f>IFERROR(__xludf.DUMMYFUNCTION("split(B220,"" "")"),"J.")</f>
        <v>J.</v>
      </c>
      <c r="Y220" s="3" t="str">
        <f>IFERROR(__xludf.DUMMYFUNCTION("""COMPUTED_VALUE"""),"Goff")</f>
        <v>Goff</v>
      </c>
      <c r="AA220" s="3">
        <v>18.0</v>
      </c>
      <c r="AB220" s="3">
        <f t="shared" si="7"/>
        <v>0</v>
      </c>
      <c r="AC220" s="3">
        <f t="shared" si="8"/>
        <v>0</v>
      </c>
      <c r="AD220" s="3">
        <f t="shared" si="9"/>
        <v>0.9433962264</v>
      </c>
      <c r="AE220" s="3">
        <f t="shared" si="10"/>
        <v>-1</v>
      </c>
      <c r="AF220" s="3">
        <f t="shared" si="11"/>
        <v>-2</v>
      </c>
      <c r="AG220" s="3">
        <f t="shared" si="12"/>
        <v>-0.2340425532</v>
      </c>
    </row>
    <row r="221">
      <c r="A221" s="1" t="s">
        <v>11</v>
      </c>
      <c r="B221" s="1" t="s">
        <v>393</v>
      </c>
      <c r="C221" s="1" t="s">
        <v>19</v>
      </c>
      <c r="D221" s="1" t="s">
        <v>197</v>
      </c>
      <c r="E221" s="1" t="s">
        <v>105</v>
      </c>
      <c r="F221" s="1" t="s">
        <v>516</v>
      </c>
      <c r="G221" s="1">
        <v>22.5</v>
      </c>
      <c r="H221" s="1" t="s">
        <v>60</v>
      </c>
      <c r="I221" s="1">
        <v>-118.0</v>
      </c>
      <c r="J221" s="1">
        <v>-0.0848593270105642</v>
      </c>
      <c r="K221" s="1" t="s">
        <v>61</v>
      </c>
      <c r="L221" s="1" t="s">
        <v>61</v>
      </c>
      <c r="M221" s="1" t="s">
        <v>62</v>
      </c>
      <c r="N221" s="1">
        <v>-111.0</v>
      </c>
      <c r="O221" s="1">
        <v>0.0175195732228262</v>
      </c>
      <c r="P221" s="1" t="s">
        <v>61</v>
      </c>
      <c r="Q221" s="1" t="s">
        <v>61</v>
      </c>
      <c r="R221" s="1">
        <f t="shared" si="1"/>
        <v>0.01751957322</v>
      </c>
      <c r="S221" s="1">
        <f t="shared" si="2"/>
        <v>-111</v>
      </c>
      <c r="T221" s="1">
        <f t="shared" si="3"/>
        <v>1.900900901</v>
      </c>
      <c r="U221" s="1">
        <f t="shared" si="4"/>
        <v>0</v>
      </c>
      <c r="V221" s="3">
        <f t="shared" si="5"/>
        <v>1</v>
      </c>
      <c r="W221" s="3">
        <f t="shared" si="6"/>
        <v>2</v>
      </c>
      <c r="X221" s="3" t="str">
        <f>IFERROR(__xludf.DUMMYFUNCTION("split(B221,"" "")"),"J.")</f>
        <v>J.</v>
      </c>
      <c r="Y221" s="3" t="str">
        <f>IFERROR(__xludf.DUMMYFUNCTION("""COMPUTED_VALUE"""),"Gibbs")</f>
        <v>Gibbs</v>
      </c>
      <c r="AA221" s="3">
        <v>20.0</v>
      </c>
      <c r="AB221" s="3">
        <f t="shared" si="7"/>
        <v>0</v>
      </c>
      <c r="AC221" s="3">
        <f t="shared" si="8"/>
        <v>1</v>
      </c>
      <c r="AD221" s="3">
        <f t="shared" si="9"/>
        <v>0.9009009009</v>
      </c>
      <c r="AE221" s="3">
        <f t="shared" si="10"/>
        <v>0.9009009009</v>
      </c>
      <c r="AF221" s="3">
        <f t="shared" si="11"/>
        <v>1.801801802</v>
      </c>
      <c r="AG221" s="3">
        <f t="shared" si="12"/>
        <v>0.1111111111</v>
      </c>
    </row>
    <row r="222">
      <c r="A222" s="1" t="s">
        <v>9</v>
      </c>
      <c r="B222" s="1" t="s">
        <v>393</v>
      </c>
      <c r="C222" s="1" t="s">
        <v>19</v>
      </c>
      <c r="D222" s="1" t="s">
        <v>197</v>
      </c>
      <c r="E222" s="1" t="s">
        <v>105</v>
      </c>
      <c r="F222" s="1" t="s">
        <v>516</v>
      </c>
      <c r="G222" s="1">
        <v>79.5</v>
      </c>
      <c r="H222" s="1" t="s">
        <v>60</v>
      </c>
      <c r="I222" s="1">
        <v>-116.0</v>
      </c>
      <c r="J222" s="1">
        <v>-0.0888137921185772</v>
      </c>
      <c r="K222" s="1" t="s">
        <v>61</v>
      </c>
      <c r="L222" s="1" t="s">
        <v>61</v>
      </c>
      <c r="M222" s="1" t="s">
        <v>62</v>
      </c>
      <c r="N222" s="1">
        <v>-115.0</v>
      </c>
      <c r="O222" s="1">
        <v>0.0168894230802538</v>
      </c>
      <c r="P222" s="1" t="s">
        <v>61</v>
      </c>
      <c r="Q222" s="1" t="s">
        <v>61</v>
      </c>
      <c r="R222" s="1">
        <f t="shared" si="1"/>
        <v>0.01688942308</v>
      </c>
      <c r="S222" s="1">
        <f t="shared" si="2"/>
        <v>-115</v>
      </c>
      <c r="T222" s="1">
        <f t="shared" si="3"/>
        <v>1.869565217</v>
      </c>
      <c r="U222" s="1">
        <f t="shared" si="4"/>
        <v>0</v>
      </c>
      <c r="V222" s="3">
        <f t="shared" si="5"/>
        <v>1</v>
      </c>
      <c r="W222" s="3">
        <f t="shared" si="6"/>
        <v>2</v>
      </c>
      <c r="X222" s="3" t="str">
        <f>IFERROR(__xludf.DUMMYFUNCTION("split(B222,"" "")"),"J.")</f>
        <v>J.</v>
      </c>
      <c r="Y222" s="3" t="str">
        <f>IFERROR(__xludf.DUMMYFUNCTION("""COMPUTED_VALUE"""),"Gibbs")</f>
        <v>Gibbs</v>
      </c>
      <c r="AA222" s="3">
        <v>103.0</v>
      </c>
      <c r="AB222" s="3">
        <f t="shared" si="7"/>
        <v>1</v>
      </c>
      <c r="AC222" s="3">
        <f t="shared" si="8"/>
        <v>0</v>
      </c>
      <c r="AD222" s="3">
        <f t="shared" si="9"/>
        <v>0.8695652174</v>
      </c>
      <c r="AE222" s="3">
        <f t="shared" si="10"/>
        <v>-1</v>
      </c>
      <c r="AF222" s="3">
        <f t="shared" si="11"/>
        <v>-2</v>
      </c>
      <c r="AG222" s="3">
        <f t="shared" si="12"/>
        <v>-0.2955974843</v>
      </c>
    </row>
    <row r="223">
      <c r="A223" s="1" t="s">
        <v>10</v>
      </c>
      <c r="B223" s="1" t="s">
        <v>446</v>
      </c>
      <c r="C223" s="1" t="s">
        <v>19</v>
      </c>
      <c r="D223" s="1" t="s">
        <v>197</v>
      </c>
      <c r="E223" s="1" t="s">
        <v>105</v>
      </c>
      <c r="F223" s="1" t="s">
        <v>516</v>
      </c>
      <c r="G223" s="1">
        <v>58.5</v>
      </c>
      <c r="H223" s="1" t="s">
        <v>60</v>
      </c>
      <c r="I223" s="1">
        <v>-109.0</v>
      </c>
      <c r="J223" s="1">
        <v>-0.0832731199372191</v>
      </c>
      <c r="K223" s="1" t="s">
        <v>61</v>
      </c>
      <c r="L223" s="1" t="s">
        <v>61</v>
      </c>
      <c r="M223" s="1" t="s">
        <v>62</v>
      </c>
      <c r="N223" s="1">
        <v>-120.0</v>
      </c>
      <c r="O223" s="1">
        <v>0.01630618758633</v>
      </c>
      <c r="P223" s="1" t="s">
        <v>61</v>
      </c>
      <c r="Q223" s="1" t="s">
        <v>61</v>
      </c>
      <c r="R223" s="1">
        <f t="shared" si="1"/>
        <v>0.01630618759</v>
      </c>
      <c r="S223" s="1">
        <f t="shared" si="2"/>
        <v>-120</v>
      </c>
      <c r="T223" s="1">
        <f t="shared" si="3"/>
        <v>1.833333333</v>
      </c>
      <c r="U223" s="1">
        <f t="shared" si="4"/>
        <v>0</v>
      </c>
      <c r="V223" s="3">
        <f t="shared" si="5"/>
        <v>1</v>
      </c>
      <c r="W223" s="3">
        <f t="shared" si="6"/>
        <v>3</v>
      </c>
      <c r="X223" s="3" t="str">
        <f>IFERROR(__xludf.DUMMYFUNCTION("split(B223,"" "")"),"D.")</f>
        <v>D.</v>
      </c>
      <c r="Y223" s="3" t="str">
        <f>IFERROR(__xludf.DUMMYFUNCTION("""COMPUTED_VALUE"""),"Montgomery")</f>
        <v>Montgomery</v>
      </c>
      <c r="AA223" s="3">
        <v>105.0</v>
      </c>
      <c r="AB223" s="3">
        <f t="shared" si="7"/>
        <v>1</v>
      </c>
      <c r="AC223" s="3">
        <f t="shared" si="8"/>
        <v>0</v>
      </c>
      <c r="AD223" s="3">
        <f t="shared" si="9"/>
        <v>0.8333333333</v>
      </c>
      <c r="AE223" s="3">
        <f t="shared" si="10"/>
        <v>-1</v>
      </c>
      <c r="AF223" s="3">
        <f t="shared" si="11"/>
        <v>-3</v>
      </c>
      <c r="AG223" s="3">
        <f t="shared" si="12"/>
        <v>-0.7948717949</v>
      </c>
    </row>
    <row r="224">
      <c r="A224" s="1" t="s">
        <v>17</v>
      </c>
      <c r="B224" s="1" t="s">
        <v>241</v>
      </c>
      <c r="C224" s="1" t="s">
        <v>21</v>
      </c>
      <c r="D224" s="1" t="s">
        <v>197</v>
      </c>
      <c r="E224" s="1" t="s">
        <v>105</v>
      </c>
      <c r="F224" s="1" t="s">
        <v>516</v>
      </c>
      <c r="G224" s="1">
        <v>0.5</v>
      </c>
      <c r="H224" s="1" t="s">
        <v>60</v>
      </c>
      <c r="I224" s="1">
        <v>-109.0</v>
      </c>
      <c r="J224" s="1">
        <v>-0.0842311004784688</v>
      </c>
      <c r="K224" s="1" t="s">
        <v>61</v>
      </c>
      <c r="L224" s="1" t="s">
        <v>61</v>
      </c>
      <c r="M224" s="1" t="s">
        <v>62</v>
      </c>
      <c r="N224" s="1">
        <v>-121.0</v>
      </c>
      <c r="O224" s="1">
        <v>0.0151886877828053</v>
      </c>
      <c r="P224" s="1" t="s">
        <v>61</v>
      </c>
      <c r="Q224" s="1" t="s">
        <v>61</v>
      </c>
      <c r="R224" s="1">
        <f t="shared" si="1"/>
        <v>0.01518868778</v>
      </c>
      <c r="S224" s="1">
        <f t="shared" si="2"/>
        <v>-121</v>
      </c>
      <c r="T224" s="1">
        <f t="shared" si="3"/>
        <v>1.826446281</v>
      </c>
      <c r="U224" s="1">
        <f t="shared" si="4"/>
        <v>0</v>
      </c>
      <c r="V224" s="3">
        <f t="shared" si="5"/>
        <v>1</v>
      </c>
      <c r="W224" s="3">
        <f t="shared" si="6"/>
        <v>3</v>
      </c>
      <c r="X224" s="3" t="str">
        <f>IFERROR(__xludf.DUMMYFUNCTION("split(B224,"" "")"),"J.")</f>
        <v>J.</v>
      </c>
      <c r="Y224" s="3" t="str">
        <f>IFERROR(__xludf.DUMMYFUNCTION("""COMPUTED_VALUE"""),"Goff")</f>
        <v>Goff</v>
      </c>
      <c r="AA224" s="3">
        <v>1.0</v>
      </c>
      <c r="AB224" s="3">
        <f t="shared" si="7"/>
        <v>1</v>
      </c>
      <c r="AC224" s="3">
        <f t="shared" si="8"/>
        <v>0</v>
      </c>
      <c r="AD224" s="3">
        <f t="shared" si="9"/>
        <v>0.826446281</v>
      </c>
      <c r="AE224" s="3">
        <f t="shared" si="10"/>
        <v>-1</v>
      </c>
      <c r="AF224" s="3">
        <f t="shared" si="11"/>
        <v>-3</v>
      </c>
      <c r="AG224" s="3">
        <f t="shared" si="12"/>
        <v>-1</v>
      </c>
    </row>
    <row r="225">
      <c r="A225" s="1" t="s">
        <v>9</v>
      </c>
      <c r="B225" s="1" t="s">
        <v>385</v>
      </c>
      <c r="C225" s="1" t="s">
        <v>18</v>
      </c>
      <c r="D225" s="1" t="s">
        <v>197</v>
      </c>
      <c r="E225" s="1" t="s">
        <v>105</v>
      </c>
      <c r="F225" s="1" t="s">
        <v>516</v>
      </c>
      <c r="G225" s="1">
        <v>76.5</v>
      </c>
      <c r="H225" s="1" t="s">
        <v>60</v>
      </c>
      <c r="I225" s="1">
        <v>-119.0</v>
      </c>
      <c r="J225" s="1">
        <v>-0.0850968427322985</v>
      </c>
      <c r="K225" s="1" t="s">
        <v>61</v>
      </c>
      <c r="L225" s="1" t="s">
        <v>61</v>
      </c>
      <c r="M225" s="1" t="s">
        <v>62</v>
      </c>
      <c r="N225" s="1">
        <v>-116.0</v>
      </c>
      <c r="O225" s="1">
        <v>0.00470156448015346</v>
      </c>
      <c r="P225" s="1" t="s">
        <v>61</v>
      </c>
      <c r="Q225" s="1" t="s">
        <v>61</v>
      </c>
      <c r="R225" s="1">
        <f t="shared" si="1"/>
        <v>0.00470156448</v>
      </c>
      <c r="S225" s="1">
        <f t="shared" si="2"/>
        <v>-116</v>
      </c>
      <c r="T225" s="1">
        <f t="shared" si="3"/>
        <v>1.862068966</v>
      </c>
      <c r="U225" s="1">
        <f t="shared" si="4"/>
        <v>0</v>
      </c>
      <c r="V225" s="3">
        <f t="shared" si="5"/>
        <v>1</v>
      </c>
      <c r="W225" s="3">
        <f t="shared" si="6"/>
        <v>2</v>
      </c>
      <c r="X225" s="3" t="str">
        <f>IFERROR(__xludf.DUMMYFUNCTION("split(B225,"" "")"),"A.")</f>
        <v>A.</v>
      </c>
      <c r="Y225" s="3" t="str">
        <f>IFERROR(__xludf.DUMMYFUNCTION("""COMPUTED_VALUE"""),"St.")</f>
        <v>St.</v>
      </c>
      <c r="Z225" s="3" t="str">
        <f>IFERROR(__xludf.DUMMYFUNCTION("""COMPUTED_VALUE"""),"Brown")</f>
        <v>Brown</v>
      </c>
      <c r="AA225" s="3">
        <v>75.0</v>
      </c>
      <c r="AB225" s="3">
        <f t="shared" si="7"/>
        <v>0</v>
      </c>
      <c r="AC225" s="3">
        <f t="shared" si="8"/>
        <v>1</v>
      </c>
      <c r="AD225" s="3">
        <f t="shared" si="9"/>
        <v>0.8620689655</v>
      </c>
      <c r="AE225" s="3">
        <f t="shared" si="10"/>
        <v>0.8620689655</v>
      </c>
      <c r="AF225" s="3">
        <f t="shared" si="11"/>
        <v>1.724137931</v>
      </c>
      <c r="AG225" s="3">
        <f t="shared" si="12"/>
        <v>0.01960784314</v>
      </c>
    </row>
    <row r="226">
      <c r="A226" s="1" t="s">
        <v>9</v>
      </c>
      <c r="B226" s="1" t="s">
        <v>245</v>
      </c>
      <c r="C226" s="1" t="s">
        <v>18</v>
      </c>
      <c r="D226" s="1" t="s">
        <v>157</v>
      </c>
      <c r="E226" s="1" t="s">
        <v>100</v>
      </c>
      <c r="F226" s="1" t="s">
        <v>525</v>
      </c>
      <c r="G226" s="1">
        <v>13.5</v>
      </c>
      <c r="H226" s="1" t="s">
        <v>60</v>
      </c>
      <c r="I226" s="1">
        <v>-114.0</v>
      </c>
      <c r="J226" s="1">
        <v>0.172412547262704</v>
      </c>
      <c r="K226" s="1" t="s">
        <v>61</v>
      </c>
      <c r="L226" s="1" t="s">
        <v>61</v>
      </c>
      <c r="M226" s="1" t="s">
        <v>62</v>
      </c>
      <c r="N226" s="1">
        <v>-119.0</v>
      </c>
      <c r="O226" s="1">
        <v>-0.248456690803288</v>
      </c>
      <c r="P226" s="1" t="s">
        <v>61</v>
      </c>
      <c r="Q226" s="1" t="s">
        <v>61</v>
      </c>
      <c r="R226" s="1">
        <f t="shared" si="1"/>
        <v>0.1724125473</v>
      </c>
      <c r="S226" s="1">
        <f t="shared" si="2"/>
        <v>-114</v>
      </c>
      <c r="T226" s="1">
        <f t="shared" si="3"/>
        <v>1.877192982</v>
      </c>
      <c r="U226" s="1">
        <f t="shared" si="4"/>
        <v>1</v>
      </c>
      <c r="V226" s="3">
        <f t="shared" si="5"/>
        <v>3</v>
      </c>
      <c r="W226" s="3">
        <f t="shared" si="6"/>
        <v>2</v>
      </c>
      <c r="X226" s="3" t="str">
        <f>IFERROR(__xludf.DUMMYFUNCTION("split(B226,"" "")"),"D.")</f>
        <v>D.</v>
      </c>
      <c r="Y226" s="3" t="str">
        <f>IFERROR(__xludf.DUMMYFUNCTION("""COMPUTED_VALUE"""),"Wicks")</f>
        <v>Wicks</v>
      </c>
      <c r="AA226" s="3">
        <v>0.0</v>
      </c>
      <c r="AB226" s="3">
        <f t="shared" si="7"/>
        <v>0</v>
      </c>
      <c r="AC226" s="3">
        <f t="shared" si="8"/>
        <v>0</v>
      </c>
      <c r="AD226" s="3">
        <f t="shared" si="9"/>
        <v>2.631578947</v>
      </c>
      <c r="AE226" s="3">
        <f t="shared" si="10"/>
        <v>-3</v>
      </c>
      <c r="AF226" s="3">
        <f t="shared" si="11"/>
        <v>-2</v>
      </c>
      <c r="AG226" s="3">
        <f t="shared" si="12"/>
        <v>-1</v>
      </c>
    </row>
    <row r="227">
      <c r="A227" s="1" t="s">
        <v>9</v>
      </c>
      <c r="B227" s="1" t="s">
        <v>344</v>
      </c>
      <c r="C227" s="1" t="s">
        <v>18</v>
      </c>
      <c r="D227" s="1" t="s">
        <v>157</v>
      </c>
      <c r="E227" s="1" t="s">
        <v>100</v>
      </c>
      <c r="F227" s="1" t="s">
        <v>525</v>
      </c>
      <c r="G227" s="1">
        <v>17.5</v>
      </c>
      <c r="H227" s="1" t="s">
        <v>60</v>
      </c>
      <c r="I227" s="1">
        <v>-114.0</v>
      </c>
      <c r="J227" s="1">
        <v>0.168506053374075</v>
      </c>
      <c r="K227" s="1" t="s">
        <v>61</v>
      </c>
      <c r="L227" s="1" t="s">
        <v>61</v>
      </c>
      <c r="M227" s="1" t="s">
        <v>62</v>
      </c>
      <c r="N227" s="1">
        <v>-118.0</v>
      </c>
      <c r="O227" s="1">
        <v>-0.242455819256979</v>
      </c>
      <c r="P227" s="1" t="s">
        <v>61</v>
      </c>
      <c r="Q227" s="1" t="s">
        <v>61</v>
      </c>
      <c r="R227" s="1">
        <f t="shared" si="1"/>
        <v>0.1685060534</v>
      </c>
      <c r="S227" s="1">
        <f t="shared" si="2"/>
        <v>-114</v>
      </c>
      <c r="T227" s="1">
        <f t="shared" si="3"/>
        <v>1.877192982</v>
      </c>
      <c r="U227" s="1">
        <f t="shared" si="4"/>
        <v>1</v>
      </c>
      <c r="V227" s="3">
        <f t="shared" si="5"/>
        <v>3</v>
      </c>
      <c r="W227" s="3">
        <f t="shared" si="6"/>
        <v>2</v>
      </c>
      <c r="X227" s="3" t="str">
        <f>IFERROR(__xludf.DUMMYFUNCTION("split(B227,"" "")"),"C.")</f>
        <v>C.</v>
      </c>
      <c r="Y227" s="3" t="str">
        <f>IFERROR(__xludf.DUMMYFUNCTION("""COMPUTED_VALUE"""),"Watson")</f>
        <v>Watson</v>
      </c>
      <c r="AA227" s="3">
        <v>67.0</v>
      </c>
      <c r="AB227" s="3">
        <f t="shared" si="7"/>
        <v>1</v>
      </c>
      <c r="AC227" s="3">
        <f t="shared" si="8"/>
        <v>1</v>
      </c>
      <c r="AD227" s="3">
        <f t="shared" si="9"/>
        <v>2.631578947</v>
      </c>
      <c r="AE227" s="3">
        <f t="shared" si="10"/>
        <v>2.631578947</v>
      </c>
      <c r="AF227" s="3">
        <f t="shared" si="11"/>
        <v>1.754385965</v>
      </c>
      <c r="AG227" s="3">
        <f t="shared" si="12"/>
        <v>2.828571429</v>
      </c>
    </row>
    <row r="228">
      <c r="A228" s="1" t="s">
        <v>12</v>
      </c>
      <c r="B228" s="1" t="s">
        <v>535</v>
      </c>
      <c r="C228" s="1" t="s">
        <v>20</v>
      </c>
      <c r="D228" s="1" t="s">
        <v>157</v>
      </c>
      <c r="E228" s="1" t="s">
        <v>100</v>
      </c>
      <c r="F228" s="1" t="s">
        <v>525</v>
      </c>
      <c r="G228" s="1">
        <v>1.5</v>
      </c>
      <c r="H228" s="1" t="s">
        <v>60</v>
      </c>
      <c r="I228" s="1">
        <v>-138.0</v>
      </c>
      <c r="J228" s="1">
        <v>-0.229166976991596</v>
      </c>
      <c r="K228" s="1" t="s">
        <v>61</v>
      </c>
      <c r="L228" s="1" t="s">
        <v>61</v>
      </c>
      <c r="M228" s="1" t="s">
        <v>62</v>
      </c>
      <c r="N228" s="1">
        <v>105.0</v>
      </c>
      <c r="O228" s="1">
        <v>0.161535807434146</v>
      </c>
      <c r="P228" s="1" t="s">
        <v>61</v>
      </c>
      <c r="Q228" s="1" t="s">
        <v>61</v>
      </c>
      <c r="R228" s="1">
        <f t="shared" si="1"/>
        <v>0.1615358074</v>
      </c>
      <c r="S228" s="1">
        <f t="shared" si="2"/>
        <v>105</v>
      </c>
      <c r="T228" s="1">
        <f t="shared" si="3"/>
        <v>2.05</v>
      </c>
      <c r="U228" s="1">
        <f t="shared" si="4"/>
        <v>0</v>
      </c>
      <c r="V228" s="3">
        <f t="shared" si="5"/>
        <v>3</v>
      </c>
      <c r="W228" s="3">
        <f t="shared" si="6"/>
        <v>2</v>
      </c>
      <c r="X228" s="3" t="str">
        <f>IFERROR(__xludf.DUMMYFUNCTION("split(B228,"" "")"),"T.")</f>
        <v>T.</v>
      </c>
      <c r="Y228" s="3" t="str">
        <f>IFERROR(__xludf.DUMMYFUNCTION("""COMPUTED_VALUE"""),"Kraft")</f>
        <v>Kraft</v>
      </c>
      <c r="AA228" s="3">
        <v>2.0</v>
      </c>
      <c r="AB228" s="3">
        <f t="shared" si="7"/>
        <v>1</v>
      </c>
      <c r="AC228" s="3">
        <f t="shared" si="8"/>
        <v>0</v>
      </c>
      <c r="AD228" s="3">
        <f t="shared" si="9"/>
        <v>3.15</v>
      </c>
      <c r="AE228" s="3">
        <f t="shared" si="10"/>
        <v>-3</v>
      </c>
      <c r="AF228" s="3">
        <f t="shared" si="11"/>
        <v>-2</v>
      </c>
      <c r="AG228" s="3">
        <f t="shared" si="12"/>
        <v>-0.3333333333</v>
      </c>
    </row>
    <row r="229">
      <c r="A229" s="1" t="s">
        <v>12</v>
      </c>
      <c r="B229" s="1" t="s">
        <v>187</v>
      </c>
      <c r="C229" s="1" t="s">
        <v>19</v>
      </c>
      <c r="D229" s="1" t="s">
        <v>157</v>
      </c>
      <c r="E229" s="1" t="s">
        <v>100</v>
      </c>
      <c r="F229" s="1" t="s">
        <v>525</v>
      </c>
      <c r="G229" s="1">
        <v>1.5</v>
      </c>
      <c r="H229" s="1" t="s">
        <v>60</v>
      </c>
      <c r="I229" s="1">
        <v>-130.0</v>
      </c>
      <c r="J229" s="1">
        <v>-0.210296729143478</v>
      </c>
      <c r="K229" s="1" t="s">
        <v>61</v>
      </c>
      <c r="L229" s="1" t="s">
        <v>61</v>
      </c>
      <c r="M229" s="1" t="s">
        <v>62</v>
      </c>
      <c r="N229" s="1">
        <v>-101.0</v>
      </c>
      <c r="O229" s="1">
        <v>0.142604130248905</v>
      </c>
      <c r="P229" s="1" t="s">
        <v>61</v>
      </c>
      <c r="Q229" s="1" t="s">
        <v>61</v>
      </c>
      <c r="R229" s="1">
        <f t="shared" si="1"/>
        <v>0.1426041302</v>
      </c>
      <c r="S229" s="1">
        <f t="shared" si="2"/>
        <v>-101</v>
      </c>
      <c r="T229" s="1">
        <f t="shared" si="3"/>
        <v>1.99009901</v>
      </c>
      <c r="U229" s="1">
        <f t="shared" si="4"/>
        <v>0</v>
      </c>
      <c r="V229" s="3">
        <f t="shared" si="5"/>
        <v>3</v>
      </c>
      <c r="W229" s="3">
        <f t="shared" si="6"/>
        <v>2</v>
      </c>
      <c r="X229" s="3" t="str">
        <f>IFERROR(__xludf.DUMMYFUNCTION("split(B229,"" "")"),"J.")</f>
        <v>J.</v>
      </c>
      <c r="Y229" s="3" t="str">
        <f>IFERROR(__xludf.DUMMYFUNCTION("""COMPUTED_VALUE"""),"Jacobs")</f>
        <v>Jacobs</v>
      </c>
      <c r="AA229" s="3">
        <v>1.0</v>
      </c>
      <c r="AB229" s="3">
        <f t="shared" si="7"/>
        <v>0</v>
      </c>
      <c r="AC229" s="3">
        <f t="shared" si="8"/>
        <v>1</v>
      </c>
      <c r="AD229" s="3">
        <f t="shared" si="9"/>
        <v>2.97029703</v>
      </c>
      <c r="AE229" s="3">
        <f t="shared" si="10"/>
        <v>2.97029703</v>
      </c>
      <c r="AF229" s="3">
        <f t="shared" si="11"/>
        <v>1.98019802</v>
      </c>
      <c r="AG229" s="3">
        <f t="shared" si="12"/>
        <v>0.3333333333</v>
      </c>
    </row>
    <row r="230">
      <c r="A230" s="1" t="s">
        <v>8</v>
      </c>
      <c r="B230" s="1" t="s">
        <v>505</v>
      </c>
      <c r="C230" s="1" t="s">
        <v>21</v>
      </c>
      <c r="D230" s="1" t="s">
        <v>157</v>
      </c>
      <c r="E230" s="1" t="s">
        <v>100</v>
      </c>
      <c r="F230" s="1" t="s">
        <v>525</v>
      </c>
      <c r="G230" s="1">
        <v>6.5</v>
      </c>
      <c r="H230" s="1" t="s">
        <v>60</v>
      </c>
      <c r="I230" s="1">
        <v>-109.0</v>
      </c>
      <c r="J230" s="1">
        <v>-0.182914005318964</v>
      </c>
      <c r="K230" s="1" t="s">
        <v>61</v>
      </c>
      <c r="L230" s="1" t="s">
        <v>61</v>
      </c>
      <c r="M230" s="1" t="s">
        <v>62</v>
      </c>
      <c r="N230" s="1">
        <v>-121.0</v>
      </c>
      <c r="O230" s="1">
        <v>0.113883555679244</v>
      </c>
      <c r="P230" s="1" t="s">
        <v>61</v>
      </c>
      <c r="Q230" s="1" t="s">
        <v>61</v>
      </c>
      <c r="R230" s="1">
        <f t="shared" si="1"/>
        <v>0.1138835557</v>
      </c>
      <c r="S230" s="1">
        <f t="shared" si="2"/>
        <v>-121</v>
      </c>
      <c r="T230" s="1">
        <f t="shared" si="3"/>
        <v>1.826446281</v>
      </c>
      <c r="U230" s="1">
        <f t="shared" si="4"/>
        <v>0</v>
      </c>
      <c r="V230" s="3">
        <f t="shared" si="5"/>
        <v>3</v>
      </c>
      <c r="W230" s="3">
        <f t="shared" si="6"/>
        <v>3</v>
      </c>
      <c r="X230" s="3" t="str">
        <f>IFERROR(__xludf.DUMMYFUNCTION("split(B230,"" "")"),"M.")</f>
        <v>M.</v>
      </c>
      <c r="Y230" s="3" t="str">
        <f>IFERROR(__xludf.DUMMYFUNCTION("""COMPUTED_VALUE"""),"Willis")</f>
        <v>Willis</v>
      </c>
      <c r="AA230" s="3">
        <v>6.0</v>
      </c>
      <c r="AB230" s="3">
        <f t="shared" si="7"/>
        <v>0</v>
      </c>
      <c r="AC230" s="3">
        <f t="shared" si="8"/>
        <v>1</v>
      </c>
      <c r="AD230" s="3">
        <f t="shared" si="9"/>
        <v>2.479338843</v>
      </c>
      <c r="AE230" s="3">
        <f t="shared" si="10"/>
        <v>2.479338843</v>
      </c>
      <c r="AF230" s="3">
        <f t="shared" si="11"/>
        <v>2.479338843</v>
      </c>
      <c r="AG230" s="3">
        <f t="shared" si="12"/>
        <v>0.07692307692</v>
      </c>
    </row>
    <row r="231">
      <c r="A231" s="1" t="s">
        <v>12</v>
      </c>
      <c r="B231" s="1" t="s">
        <v>482</v>
      </c>
      <c r="C231" s="1" t="s">
        <v>18</v>
      </c>
      <c r="D231" s="1" t="s">
        <v>157</v>
      </c>
      <c r="E231" s="1" t="s">
        <v>100</v>
      </c>
      <c r="F231" s="1" t="s">
        <v>525</v>
      </c>
      <c r="G231" s="1">
        <v>2.5</v>
      </c>
      <c r="H231" s="1" t="s">
        <v>60</v>
      </c>
      <c r="I231" s="1">
        <v>105.0</v>
      </c>
      <c r="J231" s="1">
        <v>-0.171952286160975</v>
      </c>
      <c r="K231" s="1" t="s">
        <v>61</v>
      </c>
      <c r="L231" s="1" t="s">
        <v>61</v>
      </c>
      <c r="M231" s="1" t="s">
        <v>62</v>
      </c>
      <c r="N231" s="1">
        <v>-137.0</v>
      </c>
      <c r="O231" s="1">
        <v>0.106081573511392</v>
      </c>
      <c r="P231" s="1" t="s">
        <v>61</v>
      </c>
      <c r="Q231" s="1" t="s">
        <v>61</v>
      </c>
      <c r="R231" s="1">
        <f t="shared" si="1"/>
        <v>0.1060815735</v>
      </c>
      <c r="S231" s="1">
        <f t="shared" si="2"/>
        <v>-137</v>
      </c>
      <c r="T231" s="1">
        <f t="shared" si="3"/>
        <v>1.729927007</v>
      </c>
      <c r="U231" s="1">
        <f t="shared" si="4"/>
        <v>0</v>
      </c>
      <c r="V231" s="3">
        <f t="shared" si="5"/>
        <v>3</v>
      </c>
      <c r="W231" s="3">
        <f t="shared" si="6"/>
        <v>3</v>
      </c>
      <c r="X231" s="3" t="str">
        <f>IFERROR(__xludf.DUMMYFUNCTION("split(B231,"" "")"),"R.")</f>
        <v>R.</v>
      </c>
      <c r="Y231" s="3" t="str">
        <f>IFERROR(__xludf.DUMMYFUNCTION("""COMPUTED_VALUE"""),"Doubs")</f>
        <v>Doubs</v>
      </c>
      <c r="AA231" s="3">
        <v>1.0</v>
      </c>
      <c r="AB231" s="3">
        <f t="shared" si="7"/>
        <v>0</v>
      </c>
      <c r="AC231" s="3">
        <f t="shared" si="8"/>
        <v>1</v>
      </c>
      <c r="AD231" s="3">
        <f t="shared" si="9"/>
        <v>2.189781022</v>
      </c>
      <c r="AE231" s="3">
        <f t="shared" si="10"/>
        <v>2.189781022</v>
      </c>
      <c r="AF231" s="3">
        <f t="shared" si="11"/>
        <v>2.189781022</v>
      </c>
      <c r="AG231" s="3">
        <f t="shared" si="12"/>
        <v>0.6</v>
      </c>
    </row>
    <row r="232">
      <c r="A232" s="1" t="s">
        <v>11</v>
      </c>
      <c r="B232" s="1" t="s">
        <v>172</v>
      </c>
      <c r="C232" s="1" t="s">
        <v>20</v>
      </c>
      <c r="D232" s="1" t="s">
        <v>157</v>
      </c>
      <c r="E232" s="1" t="s">
        <v>100</v>
      </c>
      <c r="F232" s="1" t="s">
        <v>525</v>
      </c>
      <c r="G232" s="1">
        <v>7.5</v>
      </c>
      <c r="H232" s="1" t="s">
        <v>60</v>
      </c>
      <c r="I232" s="1">
        <v>-111.0</v>
      </c>
      <c r="J232" s="1">
        <v>0.100633057456542</v>
      </c>
      <c r="K232" s="1" t="s">
        <v>61</v>
      </c>
      <c r="L232" s="1" t="s">
        <v>61</v>
      </c>
      <c r="M232" s="1" t="s">
        <v>62</v>
      </c>
      <c r="N232" s="1">
        <v>-116.0</v>
      </c>
      <c r="O232" s="1">
        <v>-0.163696421958626</v>
      </c>
      <c r="P232" s="1" t="s">
        <v>61</v>
      </c>
      <c r="Q232" s="1" t="s">
        <v>61</v>
      </c>
      <c r="R232" s="1">
        <f t="shared" si="1"/>
        <v>0.1006330575</v>
      </c>
      <c r="S232" s="1">
        <f t="shared" si="2"/>
        <v>-111</v>
      </c>
      <c r="T232" s="1">
        <f t="shared" si="3"/>
        <v>1.900900901</v>
      </c>
      <c r="U232" s="1">
        <f t="shared" si="4"/>
        <v>1</v>
      </c>
      <c r="V232" s="3">
        <f t="shared" si="5"/>
        <v>3</v>
      </c>
      <c r="W232" s="3">
        <f t="shared" si="6"/>
        <v>2</v>
      </c>
      <c r="X232" s="3" t="str">
        <f>IFERROR(__xludf.DUMMYFUNCTION("split(B232,"" "")"),"L.")</f>
        <v>L.</v>
      </c>
      <c r="Y232" s="3" t="str">
        <f>IFERROR(__xludf.DUMMYFUNCTION("""COMPUTED_VALUE"""),"Musgrave")</f>
        <v>Musgrave</v>
      </c>
      <c r="AA232" s="3">
        <v>3.0</v>
      </c>
      <c r="AB232" s="3">
        <f t="shared" si="7"/>
        <v>0</v>
      </c>
      <c r="AC232" s="3">
        <f t="shared" si="8"/>
        <v>0</v>
      </c>
      <c r="AD232" s="3">
        <f t="shared" si="9"/>
        <v>2.702702703</v>
      </c>
      <c r="AE232" s="3">
        <f t="shared" si="10"/>
        <v>-3</v>
      </c>
      <c r="AF232" s="3">
        <f t="shared" si="11"/>
        <v>-2</v>
      </c>
      <c r="AG232" s="3">
        <f t="shared" si="12"/>
        <v>-0.6</v>
      </c>
    </row>
    <row r="233">
      <c r="A233" s="1" t="s">
        <v>15</v>
      </c>
      <c r="B233" s="1" t="s">
        <v>505</v>
      </c>
      <c r="C233" s="1" t="s">
        <v>21</v>
      </c>
      <c r="D233" s="1" t="s">
        <v>157</v>
      </c>
      <c r="E233" s="1" t="s">
        <v>100</v>
      </c>
      <c r="F233" s="1" t="s">
        <v>525</v>
      </c>
      <c r="G233" s="1">
        <v>13.5</v>
      </c>
      <c r="H233" s="1" t="s">
        <v>60</v>
      </c>
      <c r="I233" s="1">
        <v>-114.0</v>
      </c>
      <c r="J233" s="1">
        <v>-0.154608987837055</v>
      </c>
      <c r="K233" s="1" t="s">
        <v>61</v>
      </c>
      <c r="L233" s="1" t="s">
        <v>61</v>
      </c>
      <c r="M233" s="1" t="s">
        <v>62</v>
      </c>
      <c r="N233" s="1">
        <v>-113.0</v>
      </c>
      <c r="O233" s="1">
        <v>0.0913685701350088</v>
      </c>
      <c r="P233" s="1" t="s">
        <v>61</v>
      </c>
      <c r="Q233" s="1" t="s">
        <v>61</v>
      </c>
      <c r="R233" s="1">
        <f t="shared" si="1"/>
        <v>0.09136857014</v>
      </c>
      <c r="S233" s="1">
        <f t="shared" si="2"/>
        <v>-113</v>
      </c>
      <c r="T233" s="1">
        <f t="shared" si="3"/>
        <v>1.884955752</v>
      </c>
      <c r="U233" s="1">
        <f t="shared" si="4"/>
        <v>0</v>
      </c>
      <c r="V233" s="3">
        <f t="shared" si="5"/>
        <v>2</v>
      </c>
      <c r="W233" s="3">
        <f t="shared" si="6"/>
        <v>2</v>
      </c>
      <c r="X233" s="3" t="str">
        <f>IFERROR(__xludf.DUMMYFUNCTION("split(B233,"" "")"),"M.")</f>
        <v>M.</v>
      </c>
      <c r="Y233" s="3" t="str">
        <f>IFERROR(__xludf.DUMMYFUNCTION("""COMPUTED_VALUE"""),"Willis")</f>
        <v>Willis</v>
      </c>
      <c r="AA233" s="3">
        <v>13.0</v>
      </c>
      <c r="AB233" s="3">
        <f t="shared" si="7"/>
        <v>0</v>
      </c>
      <c r="AC233" s="3">
        <f t="shared" si="8"/>
        <v>1</v>
      </c>
      <c r="AD233" s="3">
        <f t="shared" si="9"/>
        <v>1.769911504</v>
      </c>
      <c r="AE233" s="3">
        <f t="shared" si="10"/>
        <v>1.769911504</v>
      </c>
      <c r="AF233" s="3">
        <f t="shared" si="11"/>
        <v>1.769911504</v>
      </c>
      <c r="AG233" s="3">
        <f t="shared" si="12"/>
        <v>0.03703703704</v>
      </c>
    </row>
    <row r="234">
      <c r="A234" s="1" t="s">
        <v>12</v>
      </c>
      <c r="B234" s="1" t="s">
        <v>344</v>
      </c>
      <c r="C234" s="1" t="s">
        <v>18</v>
      </c>
      <c r="D234" s="1" t="s">
        <v>157</v>
      </c>
      <c r="E234" s="1" t="s">
        <v>100</v>
      </c>
      <c r="F234" s="1" t="s">
        <v>525</v>
      </c>
      <c r="G234" s="1">
        <v>1.5</v>
      </c>
      <c r="H234" s="1" t="s">
        <v>60</v>
      </c>
      <c r="I234" s="1">
        <v>-116.0</v>
      </c>
      <c r="J234" s="1">
        <v>-0.156882335175925</v>
      </c>
      <c r="K234" s="1" t="s">
        <v>61</v>
      </c>
      <c r="L234" s="1" t="s">
        <v>61</v>
      </c>
      <c r="M234" s="1" t="s">
        <v>62</v>
      </c>
      <c r="N234" s="1">
        <v>-114.0</v>
      </c>
      <c r="O234" s="1">
        <v>0.0871418421201869</v>
      </c>
      <c r="P234" s="1" t="s">
        <v>61</v>
      </c>
      <c r="Q234" s="1" t="s">
        <v>61</v>
      </c>
      <c r="R234" s="1">
        <f t="shared" si="1"/>
        <v>0.08714184212</v>
      </c>
      <c r="S234" s="1">
        <f t="shared" si="2"/>
        <v>-114</v>
      </c>
      <c r="T234" s="1">
        <f t="shared" si="3"/>
        <v>1.877192982</v>
      </c>
      <c r="U234" s="1">
        <f t="shared" si="4"/>
        <v>0</v>
      </c>
      <c r="V234" s="3">
        <f t="shared" si="5"/>
        <v>2</v>
      </c>
      <c r="W234" s="3">
        <f t="shared" si="6"/>
        <v>2</v>
      </c>
      <c r="X234" s="3" t="str">
        <f>IFERROR(__xludf.DUMMYFUNCTION("split(B234,"" "")"),"C.")</f>
        <v>C.</v>
      </c>
      <c r="Y234" s="3" t="str">
        <f>IFERROR(__xludf.DUMMYFUNCTION("""COMPUTED_VALUE"""),"Watson")</f>
        <v>Watson</v>
      </c>
      <c r="AA234" s="3">
        <v>2.0</v>
      </c>
      <c r="AB234" s="3">
        <f t="shared" si="7"/>
        <v>1</v>
      </c>
      <c r="AC234" s="3">
        <f t="shared" si="8"/>
        <v>0</v>
      </c>
      <c r="AD234" s="3">
        <f t="shared" si="9"/>
        <v>1.754385965</v>
      </c>
      <c r="AE234" s="3">
        <f t="shared" si="10"/>
        <v>-2</v>
      </c>
      <c r="AF234" s="3">
        <f t="shared" si="11"/>
        <v>-2</v>
      </c>
      <c r="AG234" s="3">
        <f t="shared" si="12"/>
        <v>-0.3333333333</v>
      </c>
    </row>
    <row r="235">
      <c r="A235" s="1" t="s">
        <v>13</v>
      </c>
      <c r="B235" s="1" t="s">
        <v>505</v>
      </c>
      <c r="C235" s="1" t="s">
        <v>21</v>
      </c>
      <c r="D235" s="1" t="s">
        <v>157</v>
      </c>
      <c r="E235" s="1" t="s">
        <v>100</v>
      </c>
      <c r="F235" s="1" t="s">
        <v>525</v>
      </c>
      <c r="G235" s="1">
        <v>145.5</v>
      </c>
      <c r="H235" s="1" t="s">
        <v>60</v>
      </c>
      <c r="I235" s="1">
        <v>-111.0</v>
      </c>
      <c r="J235" s="1">
        <v>0.0848652429687202</v>
      </c>
      <c r="K235" s="1" t="s">
        <v>61</v>
      </c>
      <c r="L235" s="1" t="s">
        <v>61</v>
      </c>
      <c r="M235" s="1" t="s">
        <v>62</v>
      </c>
      <c r="N235" s="1">
        <v>-114.0</v>
      </c>
      <c r="O235" s="1">
        <v>-0.143645792260261</v>
      </c>
      <c r="P235" s="1" t="s">
        <v>61</v>
      </c>
      <c r="Q235" s="1" t="s">
        <v>61</v>
      </c>
      <c r="R235" s="1">
        <f t="shared" si="1"/>
        <v>0.08486524297</v>
      </c>
      <c r="S235" s="1">
        <f t="shared" si="2"/>
        <v>-111</v>
      </c>
      <c r="T235" s="1">
        <f t="shared" si="3"/>
        <v>1.900900901</v>
      </c>
      <c r="U235" s="1">
        <f t="shared" si="4"/>
        <v>1</v>
      </c>
      <c r="V235" s="3">
        <f t="shared" si="5"/>
        <v>2</v>
      </c>
      <c r="W235" s="3">
        <f t="shared" si="6"/>
        <v>2</v>
      </c>
      <c r="X235" s="3" t="str">
        <f>IFERROR(__xludf.DUMMYFUNCTION("split(B235,"" "")"),"M.")</f>
        <v>M.</v>
      </c>
      <c r="Y235" s="3" t="str">
        <f>IFERROR(__xludf.DUMMYFUNCTION("""COMPUTED_VALUE"""),"Willis")</f>
        <v>Willis</v>
      </c>
      <c r="AA235" s="3">
        <v>202.0</v>
      </c>
      <c r="AB235" s="3">
        <f t="shared" si="7"/>
        <v>1</v>
      </c>
      <c r="AC235" s="3">
        <f t="shared" si="8"/>
        <v>1</v>
      </c>
      <c r="AD235" s="3">
        <f t="shared" si="9"/>
        <v>1.801801802</v>
      </c>
      <c r="AE235" s="3">
        <f t="shared" si="10"/>
        <v>1.801801802</v>
      </c>
      <c r="AF235" s="3">
        <f t="shared" si="11"/>
        <v>1.801801802</v>
      </c>
      <c r="AG235" s="3">
        <f t="shared" si="12"/>
        <v>0.3883161512</v>
      </c>
    </row>
    <row r="236">
      <c r="A236" s="1" t="s">
        <v>10</v>
      </c>
      <c r="B236" s="1" t="s">
        <v>505</v>
      </c>
      <c r="C236" s="1" t="s">
        <v>21</v>
      </c>
      <c r="D236" s="1" t="s">
        <v>157</v>
      </c>
      <c r="E236" s="1" t="s">
        <v>100</v>
      </c>
      <c r="F236" s="1" t="s">
        <v>525</v>
      </c>
      <c r="G236" s="1">
        <v>32.5</v>
      </c>
      <c r="H236" s="1" t="s">
        <v>60</v>
      </c>
      <c r="I236" s="1">
        <v>100.0</v>
      </c>
      <c r="J236" s="1">
        <v>-0.128800541455392</v>
      </c>
      <c r="K236" s="1" t="s">
        <v>61</v>
      </c>
      <c r="L236" s="1" t="s">
        <v>61</v>
      </c>
      <c r="M236" s="1" t="s">
        <v>62</v>
      </c>
      <c r="N236" s="1">
        <v>-126.0</v>
      </c>
      <c r="O236" s="1">
        <v>0.0712899842776942</v>
      </c>
      <c r="P236" s="1" t="s">
        <v>61</v>
      </c>
      <c r="Q236" s="1" t="s">
        <v>61</v>
      </c>
      <c r="R236" s="1">
        <f t="shared" si="1"/>
        <v>0.07128998428</v>
      </c>
      <c r="S236" s="1">
        <f t="shared" si="2"/>
        <v>-126</v>
      </c>
      <c r="T236" s="1">
        <f t="shared" si="3"/>
        <v>1.793650794</v>
      </c>
      <c r="U236" s="1">
        <f t="shared" si="4"/>
        <v>0</v>
      </c>
      <c r="V236" s="3">
        <f t="shared" si="5"/>
        <v>2</v>
      </c>
      <c r="W236" s="3">
        <f t="shared" si="6"/>
        <v>3</v>
      </c>
      <c r="X236" s="3" t="str">
        <f>IFERROR(__xludf.DUMMYFUNCTION("split(B236,"" "")"),"M.")</f>
        <v>M.</v>
      </c>
      <c r="Y236" s="3" t="str">
        <f>IFERROR(__xludf.DUMMYFUNCTION("""COMPUTED_VALUE"""),"Willis")</f>
        <v>Willis</v>
      </c>
      <c r="AA236" s="3">
        <v>73.0</v>
      </c>
      <c r="AB236" s="3">
        <f t="shared" si="7"/>
        <v>1</v>
      </c>
      <c r="AC236" s="3">
        <f t="shared" si="8"/>
        <v>0</v>
      </c>
      <c r="AD236" s="3">
        <f t="shared" si="9"/>
        <v>1.587301587</v>
      </c>
      <c r="AE236" s="3">
        <f t="shared" si="10"/>
        <v>-2</v>
      </c>
      <c r="AF236" s="3">
        <f t="shared" si="11"/>
        <v>-3</v>
      </c>
      <c r="AG236" s="3">
        <f t="shared" si="12"/>
        <v>-1.246153846</v>
      </c>
    </row>
    <row r="237">
      <c r="A237" s="1" t="s">
        <v>12</v>
      </c>
      <c r="B237" s="1" t="s">
        <v>245</v>
      </c>
      <c r="C237" s="1" t="s">
        <v>18</v>
      </c>
      <c r="D237" s="1" t="s">
        <v>157</v>
      </c>
      <c r="E237" s="1" t="s">
        <v>100</v>
      </c>
      <c r="F237" s="1" t="s">
        <v>525</v>
      </c>
      <c r="G237" s="1">
        <v>1.5</v>
      </c>
      <c r="H237" s="1" t="s">
        <v>60</v>
      </c>
      <c r="I237" s="1">
        <v>108.0</v>
      </c>
      <c r="J237" s="1">
        <v>-0.135061149523846</v>
      </c>
      <c r="K237" s="1" t="s">
        <v>61</v>
      </c>
      <c r="L237" s="1" t="s">
        <v>61</v>
      </c>
      <c r="M237" s="1" t="s">
        <v>62</v>
      </c>
      <c r="N237" s="1">
        <v>-142.0</v>
      </c>
      <c r="O237" s="1">
        <v>0.0675140079712396</v>
      </c>
      <c r="P237" s="1" t="s">
        <v>61</v>
      </c>
      <c r="Q237" s="1" t="s">
        <v>61</v>
      </c>
      <c r="R237" s="1">
        <f t="shared" si="1"/>
        <v>0.06751400797</v>
      </c>
      <c r="S237" s="1">
        <f t="shared" si="2"/>
        <v>-142</v>
      </c>
      <c r="T237" s="1">
        <f t="shared" si="3"/>
        <v>1.704225352</v>
      </c>
      <c r="U237" s="1">
        <f t="shared" si="4"/>
        <v>0</v>
      </c>
      <c r="V237" s="3">
        <f t="shared" si="5"/>
        <v>2</v>
      </c>
      <c r="W237" s="3">
        <f t="shared" si="6"/>
        <v>3</v>
      </c>
      <c r="X237" s="3" t="str">
        <f>IFERROR(__xludf.DUMMYFUNCTION("split(B237,"" "")"),"D.")</f>
        <v>D.</v>
      </c>
      <c r="Y237" s="3" t="str">
        <f>IFERROR(__xludf.DUMMYFUNCTION("""COMPUTED_VALUE"""),"Wicks")</f>
        <v>Wicks</v>
      </c>
      <c r="AA237" s="3">
        <v>0.0</v>
      </c>
      <c r="AB237" s="3">
        <f t="shared" si="7"/>
        <v>0</v>
      </c>
      <c r="AC237" s="3">
        <f t="shared" si="8"/>
        <v>1</v>
      </c>
      <c r="AD237" s="3">
        <f t="shared" si="9"/>
        <v>1.408450704</v>
      </c>
      <c r="AE237" s="3">
        <f t="shared" si="10"/>
        <v>1.408450704</v>
      </c>
      <c r="AF237" s="3">
        <f t="shared" si="11"/>
        <v>2.112676056</v>
      </c>
      <c r="AG237" s="3">
        <f t="shared" si="12"/>
        <v>1</v>
      </c>
    </row>
    <row r="238">
      <c r="A238" s="1" t="s">
        <v>12</v>
      </c>
      <c r="B238" s="1" t="s">
        <v>487</v>
      </c>
      <c r="C238" s="1" t="s">
        <v>18</v>
      </c>
      <c r="D238" s="1" t="s">
        <v>157</v>
      </c>
      <c r="E238" s="1" t="s">
        <v>100</v>
      </c>
      <c r="F238" s="1" t="s">
        <v>525</v>
      </c>
      <c r="G238" s="1">
        <v>2.5</v>
      </c>
      <c r="H238" s="1" t="s">
        <v>60</v>
      </c>
      <c r="I238" s="1">
        <v>119.0</v>
      </c>
      <c r="J238" s="1">
        <v>-0.124010564578538</v>
      </c>
      <c r="K238" s="1" t="s">
        <v>61</v>
      </c>
      <c r="L238" s="1" t="s">
        <v>61</v>
      </c>
      <c r="M238" s="1" t="s">
        <v>62</v>
      </c>
      <c r="N238" s="1">
        <v>-156.0</v>
      </c>
      <c r="O238" s="1">
        <v>0.0580011465421874</v>
      </c>
      <c r="P238" s="1" t="s">
        <v>61</v>
      </c>
      <c r="Q238" s="1" t="s">
        <v>61</v>
      </c>
      <c r="R238" s="1">
        <f t="shared" si="1"/>
        <v>0.05800114654</v>
      </c>
      <c r="S238" s="1">
        <f t="shared" si="2"/>
        <v>-156</v>
      </c>
      <c r="T238" s="1">
        <f t="shared" si="3"/>
        <v>1.641025641</v>
      </c>
      <c r="U238" s="1">
        <f t="shared" si="4"/>
        <v>0</v>
      </c>
      <c r="V238" s="3">
        <f t="shared" si="5"/>
        <v>2</v>
      </c>
      <c r="W238" s="3">
        <f t="shared" si="6"/>
        <v>3</v>
      </c>
      <c r="X238" s="3" t="str">
        <f>IFERROR(__xludf.DUMMYFUNCTION("split(B238,"" "")"),"J.")</f>
        <v>J.</v>
      </c>
      <c r="Y238" s="3" t="str">
        <f>IFERROR(__xludf.DUMMYFUNCTION("""COMPUTED_VALUE"""),"Reed")</f>
        <v>Reed</v>
      </c>
      <c r="AA238" s="3">
        <v>4.0</v>
      </c>
      <c r="AB238" s="3">
        <f t="shared" si="7"/>
        <v>1</v>
      </c>
      <c r="AC238" s="3">
        <f t="shared" si="8"/>
        <v>0</v>
      </c>
      <c r="AD238" s="3">
        <f t="shared" si="9"/>
        <v>1.282051282</v>
      </c>
      <c r="AE238" s="3">
        <f t="shared" si="10"/>
        <v>-2</v>
      </c>
      <c r="AF238" s="3">
        <f t="shared" si="11"/>
        <v>-3</v>
      </c>
      <c r="AG238" s="3">
        <f t="shared" si="12"/>
        <v>-0.6</v>
      </c>
    </row>
    <row r="239">
      <c r="A239" s="1" t="s">
        <v>17</v>
      </c>
      <c r="B239" s="1" t="s">
        <v>505</v>
      </c>
      <c r="C239" s="1" t="s">
        <v>21</v>
      </c>
      <c r="D239" s="1" t="s">
        <v>157</v>
      </c>
      <c r="E239" s="1" t="s">
        <v>100</v>
      </c>
      <c r="F239" s="1" t="s">
        <v>525</v>
      </c>
      <c r="G239" s="1">
        <v>0.5</v>
      </c>
      <c r="H239" s="1" t="s">
        <v>60</v>
      </c>
      <c r="I239" s="1">
        <v>-123.0</v>
      </c>
      <c r="J239" s="1">
        <v>-0.11632466367713</v>
      </c>
      <c r="K239" s="1" t="s">
        <v>61</v>
      </c>
      <c r="L239" s="1" t="s">
        <v>61</v>
      </c>
      <c r="M239" s="1" t="s">
        <v>62</v>
      </c>
      <c r="N239" s="1">
        <v>-103.0</v>
      </c>
      <c r="O239" s="1">
        <v>0.0573600985221673</v>
      </c>
      <c r="P239" s="1" t="s">
        <v>61</v>
      </c>
      <c r="Q239" s="1" t="s">
        <v>61</v>
      </c>
      <c r="R239" s="1">
        <f t="shared" si="1"/>
        <v>0.05736009852</v>
      </c>
      <c r="S239" s="1">
        <f t="shared" si="2"/>
        <v>-103</v>
      </c>
      <c r="T239" s="1">
        <f t="shared" si="3"/>
        <v>1.970873786</v>
      </c>
      <c r="U239" s="1">
        <f t="shared" si="4"/>
        <v>0</v>
      </c>
      <c r="V239" s="3">
        <f t="shared" si="5"/>
        <v>2</v>
      </c>
      <c r="W239" s="3">
        <f t="shared" si="6"/>
        <v>2</v>
      </c>
      <c r="X239" s="3" t="str">
        <f>IFERROR(__xludf.DUMMYFUNCTION("split(B239,"" "")"),"M.")</f>
        <v>M.</v>
      </c>
      <c r="Y239" s="3" t="str">
        <f>IFERROR(__xludf.DUMMYFUNCTION("""COMPUTED_VALUE"""),"Willis")</f>
        <v>Willis</v>
      </c>
      <c r="AA239" s="3">
        <v>0.0</v>
      </c>
      <c r="AB239" s="3">
        <f t="shared" si="7"/>
        <v>0</v>
      </c>
      <c r="AC239" s="3">
        <f t="shared" si="8"/>
        <v>1</v>
      </c>
      <c r="AD239" s="3">
        <f t="shared" si="9"/>
        <v>1.941747573</v>
      </c>
      <c r="AE239" s="3">
        <f t="shared" si="10"/>
        <v>1.941747573</v>
      </c>
      <c r="AF239" s="3">
        <f t="shared" si="11"/>
        <v>1.941747573</v>
      </c>
      <c r="AG239" s="3">
        <f t="shared" si="12"/>
        <v>1</v>
      </c>
    </row>
    <row r="240">
      <c r="A240" s="1" t="s">
        <v>9</v>
      </c>
      <c r="B240" s="1" t="s">
        <v>187</v>
      </c>
      <c r="C240" s="1" t="s">
        <v>19</v>
      </c>
      <c r="D240" s="1" t="s">
        <v>157</v>
      </c>
      <c r="E240" s="1" t="s">
        <v>100</v>
      </c>
      <c r="F240" s="1" t="s">
        <v>525</v>
      </c>
      <c r="G240" s="1">
        <v>88.5</v>
      </c>
      <c r="H240" s="1" t="s">
        <v>60</v>
      </c>
      <c r="I240" s="1">
        <v>-113.0</v>
      </c>
      <c r="J240" s="1">
        <v>-0.103949159015885</v>
      </c>
      <c r="K240" s="1" t="s">
        <v>61</v>
      </c>
      <c r="L240" s="1" t="s">
        <v>61</v>
      </c>
      <c r="M240" s="1" t="s">
        <v>62</v>
      </c>
      <c r="N240" s="1">
        <v>-118.0</v>
      </c>
      <c r="O240" s="1">
        <v>0.0321672135121497</v>
      </c>
      <c r="P240" s="1" t="s">
        <v>61</v>
      </c>
      <c r="Q240" s="1" t="s">
        <v>61</v>
      </c>
      <c r="R240" s="1">
        <f t="shared" si="1"/>
        <v>0.03216721351</v>
      </c>
      <c r="S240" s="1">
        <f t="shared" si="2"/>
        <v>-118</v>
      </c>
      <c r="T240" s="1">
        <f t="shared" si="3"/>
        <v>1.847457627</v>
      </c>
      <c r="U240" s="1">
        <f t="shared" si="4"/>
        <v>0</v>
      </c>
      <c r="V240" s="3">
        <f t="shared" si="5"/>
        <v>1</v>
      </c>
      <c r="W240" s="3">
        <f t="shared" si="6"/>
        <v>3</v>
      </c>
      <c r="X240" s="3" t="str">
        <f>IFERROR(__xludf.DUMMYFUNCTION("split(B240,"" "")"),"J.")</f>
        <v>J.</v>
      </c>
      <c r="Y240" s="3" t="str">
        <f>IFERROR(__xludf.DUMMYFUNCTION("""COMPUTED_VALUE"""),"Jacobs")</f>
        <v>Jacobs</v>
      </c>
      <c r="AA240" s="3">
        <v>48.0</v>
      </c>
      <c r="AB240" s="3">
        <f t="shared" si="7"/>
        <v>0</v>
      </c>
      <c r="AC240" s="3">
        <f t="shared" si="8"/>
        <v>1</v>
      </c>
      <c r="AD240" s="3">
        <f t="shared" si="9"/>
        <v>0.8474576271</v>
      </c>
      <c r="AE240" s="3">
        <f t="shared" si="10"/>
        <v>0.8474576271</v>
      </c>
      <c r="AF240" s="3">
        <f t="shared" si="11"/>
        <v>2.542372881</v>
      </c>
      <c r="AG240" s="3">
        <f t="shared" si="12"/>
        <v>0.4576271186</v>
      </c>
    </row>
    <row r="241">
      <c r="A241" s="1" t="s">
        <v>10</v>
      </c>
      <c r="B241" s="1" t="s">
        <v>187</v>
      </c>
      <c r="C241" s="1" t="s">
        <v>19</v>
      </c>
      <c r="D241" s="1" t="s">
        <v>157</v>
      </c>
      <c r="E241" s="1" t="s">
        <v>100</v>
      </c>
      <c r="F241" s="1" t="s">
        <v>525</v>
      </c>
      <c r="G241" s="1">
        <v>74.5</v>
      </c>
      <c r="H241" s="1" t="s">
        <v>60</v>
      </c>
      <c r="I241" s="1">
        <v>-111.0</v>
      </c>
      <c r="J241" s="1">
        <v>-0.0939784395564057</v>
      </c>
      <c r="K241" s="1" t="s">
        <v>61</v>
      </c>
      <c r="L241" s="1" t="s">
        <v>61</v>
      </c>
      <c r="M241" s="1" t="s">
        <v>62</v>
      </c>
      <c r="N241" s="1">
        <v>-116.0</v>
      </c>
      <c r="O241" s="1">
        <v>0.0308484086732684</v>
      </c>
      <c r="P241" s="1" t="s">
        <v>61</v>
      </c>
      <c r="Q241" s="1" t="s">
        <v>61</v>
      </c>
      <c r="R241" s="1">
        <f t="shared" si="1"/>
        <v>0.03084840867</v>
      </c>
      <c r="S241" s="1">
        <f t="shared" si="2"/>
        <v>-116</v>
      </c>
      <c r="T241" s="1">
        <f t="shared" si="3"/>
        <v>1.862068966</v>
      </c>
      <c r="U241" s="1">
        <f t="shared" si="4"/>
        <v>0</v>
      </c>
      <c r="V241" s="3">
        <f t="shared" si="5"/>
        <v>1</v>
      </c>
      <c r="W241" s="3">
        <f t="shared" si="6"/>
        <v>2</v>
      </c>
      <c r="X241" s="3" t="str">
        <f>IFERROR(__xludf.DUMMYFUNCTION("split(B241,"" "")"),"J.")</f>
        <v>J.</v>
      </c>
      <c r="Y241" s="3" t="str">
        <f>IFERROR(__xludf.DUMMYFUNCTION("""COMPUTED_VALUE"""),"Jacobs")</f>
        <v>Jacobs</v>
      </c>
      <c r="AA241" s="3">
        <v>43.0</v>
      </c>
      <c r="AB241" s="3">
        <f t="shared" si="7"/>
        <v>0</v>
      </c>
      <c r="AC241" s="3">
        <f t="shared" si="8"/>
        <v>1</v>
      </c>
      <c r="AD241" s="3">
        <f t="shared" si="9"/>
        <v>0.8620689655</v>
      </c>
      <c r="AE241" s="3">
        <f t="shared" si="10"/>
        <v>0.8620689655</v>
      </c>
      <c r="AF241" s="3">
        <f t="shared" si="11"/>
        <v>1.724137931</v>
      </c>
      <c r="AG241" s="3">
        <f t="shared" si="12"/>
        <v>0.4228187919</v>
      </c>
    </row>
    <row r="242">
      <c r="A242" s="1" t="s">
        <v>9</v>
      </c>
      <c r="B242" s="1" t="s">
        <v>482</v>
      </c>
      <c r="C242" s="1" t="s">
        <v>18</v>
      </c>
      <c r="D242" s="1" t="s">
        <v>157</v>
      </c>
      <c r="E242" s="1" t="s">
        <v>100</v>
      </c>
      <c r="F242" s="1" t="s">
        <v>525</v>
      </c>
      <c r="G242" s="1">
        <v>26.5</v>
      </c>
      <c r="H242" s="1" t="s">
        <v>60</v>
      </c>
      <c r="I242" s="1">
        <v>-121.0</v>
      </c>
      <c r="J242" s="1">
        <v>0.020911655094674</v>
      </c>
      <c r="K242" s="1" t="s">
        <v>61</v>
      </c>
      <c r="L242" s="1" t="s">
        <v>61</v>
      </c>
      <c r="M242" s="1" t="s">
        <v>62</v>
      </c>
      <c r="N242" s="1">
        <v>-114.0</v>
      </c>
      <c r="O242" s="1">
        <v>-0.101084132638094</v>
      </c>
      <c r="P242" s="1" t="s">
        <v>61</v>
      </c>
      <c r="Q242" s="1" t="s">
        <v>61</v>
      </c>
      <c r="R242" s="1">
        <f t="shared" si="1"/>
        <v>0.02091165509</v>
      </c>
      <c r="S242" s="1">
        <f t="shared" si="2"/>
        <v>-121</v>
      </c>
      <c r="T242" s="1">
        <f t="shared" si="3"/>
        <v>1.826446281</v>
      </c>
      <c r="U242" s="1">
        <f t="shared" si="4"/>
        <v>1</v>
      </c>
      <c r="V242" s="3">
        <f t="shared" si="5"/>
        <v>1</v>
      </c>
      <c r="W242" s="3">
        <f t="shared" si="6"/>
        <v>3</v>
      </c>
      <c r="X242" s="3" t="str">
        <f>IFERROR(__xludf.DUMMYFUNCTION("split(B242,"" "")"),"R.")</f>
        <v>R.</v>
      </c>
      <c r="Y242" s="3" t="str">
        <f>IFERROR(__xludf.DUMMYFUNCTION("""COMPUTED_VALUE"""),"Doubs")</f>
        <v>Doubs</v>
      </c>
      <c r="AA242" s="3">
        <v>18.0</v>
      </c>
      <c r="AB242" s="3">
        <f t="shared" si="7"/>
        <v>0</v>
      </c>
      <c r="AC242" s="3">
        <f t="shared" si="8"/>
        <v>0</v>
      </c>
      <c r="AD242" s="3">
        <f t="shared" si="9"/>
        <v>0.826446281</v>
      </c>
      <c r="AE242" s="3">
        <f t="shared" si="10"/>
        <v>-1</v>
      </c>
      <c r="AF242" s="3">
        <f t="shared" si="11"/>
        <v>-3</v>
      </c>
      <c r="AG242" s="3">
        <f t="shared" si="12"/>
        <v>-0.320754717</v>
      </c>
    </row>
    <row r="243">
      <c r="A243" s="1" t="s">
        <v>12</v>
      </c>
      <c r="B243" s="1" t="s">
        <v>172</v>
      </c>
      <c r="C243" s="1" t="s">
        <v>20</v>
      </c>
      <c r="D243" s="1" t="s">
        <v>157</v>
      </c>
      <c r="E243" s="1" t="s">
        <v>100</v>
      </c>
      <c r="F243" s="1" t="s">
        <v>525</v>
      </c>
      <c r="G243" s="1">
        <v>1.5</v>
      </c>
      <c r="H243" s="1" t="s">
        <v>60</v>
      </c>
      <c r="I243" s="1">
        <v>181.0</v>
      </c>
      <c r="J243" s="1">
        <v>0.0206650253821352</v>
      </c>
      <c r="K243" s="1" t="s">
        <v>61</v>
      </c>
      <c r="L243" s="1" t="s">
        <v>61</v>
      </c>
      <c r="M243" s="1" t="s">
        <v>62</v>
      </c>
      <c r="N243" s="1">
        <v>-244.0</v>
      </c>
      <c r="O243" s="1">
        <v>-0.0858328536602326</v>
      </c>
      <c r="P243" s="1" t="s">
        <v>61</v>
      </c>
      <c r="Q243" s="1" t="s">
        <v>61</v>
      </c>
      <c r="R243" s="1">
        <f t="shared" si="1"/>
        <v>0.02066502538</v>
      </c>
      <c r="S243" s="1">
        <f t="shared" si="2"/>
        <v>181</v>
      </c>
      <c r="T243" s="1">
        <f t="shared" si="3"/>
        <v>2.81</v>
      </c>
      <c r="U243" s="1">
        <f t="shared" si="4"/>
        <v>1</v>
      </c>
      <c r="V243" s="3">
        <f t="shared" si="5"/>
        <v>1</v>
      </c>
      <c r="W243" s="3">
        <f t="shared" si="6"/>
        <v>1</v>
      </c>
      <c r="X243" s="3" t="str">
        <f>IFERROR(__xludf.DUMMYFUNCTION("split(B243,"" "")"),"L.")</f>
        <v>L.</v>
      </c>
      <c r="Y243" s="3" t="str">
        <f>IFERROR(__xludf.DUMMYFUNCTION("""COMPUTED_VALUE"""),"Musgrave")</f>
        <v>Musgrave</v>
      </c>
      <c r="AA243" s="3">
        <v>1.0</v>
      </c>
      <c r="AB243" s="3">
        <f t="shared" si="7"/>
        <v>0</v>
      </c>
      <c r="AC243" s="3">
        <f t="shared" si="8"/>
        <v>0</v>
      </c>
      <c r="AD243" s="3">
        <f t="shared" si="9"/>
        <v>1.81</v>
      </c>
      <c r="AE243" s="3">
        <f t="shared" si="10"/>
        <v>-1</v>
      </c>
      <c r="AF243" s="3">
        <f t="shared" si="11"/>
        <v>-1</v>
      </c>
      <c r="AG243" s="3">
        <f t="shared" si="12"/>
        <v>-0.3333333333</v>
      </c>
    </row>
    <row r="244">
      <c r="A244" s="1" t="s">
        <v>11</v>
      </c>
      <c r="B244" s="1" t="s">
        <v>187</v>
      </c>
      <c r="C244" s="1" t="s">
        <v>19</v>
      </c>
      <c r="D244" s="1" t="s">
        <v>157</v>
      </c>
      <c r="E244" s="1" t="s">
        <v>100</v>
      </c>
      <c r="F244" s="1" t="s">
        <v>525</v>
      </c>
      <c r="G244" s="1">
        <v>9.5</v>
      </c>
      <c r="H244" s="1" t="s">
        <v>60</v>
      </c>
      <c r="I244" s="1">
        <v>-112.0</v>
      </c>
      <c r="J244" s="1">
        <v>0.0205052885925111</v>
      </c>
      <c r="K244" s="1" t="s">
        <v>61</v>
      </c>
      <c r="L244" s="1" t="s">
        <v>61</v>
      </c>
      <c r="M244" s="1" t="s">
        <v>62</v>
      </c>
      <c r="N244" s="1">
        <v>-114.0</v>
      </c>
      <c r="O244" s="1">
        <v>-0.0814666455469068</v>
      </c>
      <c r="P244" s="1" t="s">
        <v>61</v>
      </c>
      <c r="Q244" s="1" t="s">
        <v>61</v>
      </c>
      <c r="R244" s="1">
        <f t="shared" si="1"/>
        <v>0.02050528859</v>
      </c>
      <c r="S244" s="1">
        <f t="shared" si="2"/>
        <v>-112</v>
      </c>
      <c r="T244" s="1">
        <f t="shared" si="3"/>
        <v>1.892857143</v>
      </c>
      <c r="U244" s="1">
        <f t="shared" si="4"/>
        <v>1</v>
      </c>
      <c r="V244" s="3">
        <f t="shared" si="5"/>
        <v>1</v>
      </c>
      <c r="W244" s="3">
        <f t="shared" si="6"/>
        <v>2</v>
      </c>
      <c r="X244" s="3" t="str">
        <f>IFERROR(__xludf.DUMMYFUNCTION("split(B244,"" "")"),"J.")</f>
        <v>J.</v>
      </c>
      <c r="Y244" s="3" t="str">
        <f>IFERROR(__xludf.DUMMYFUNCTION("""COMPUTED_VALUE"""),"Jacobs")</f>
        <v>Jacobs</v>
      </c>
      <c r="AA244" s="3">
        <v>5.0</v>
      </c>
      <c r="AB244" s="3">
        <f t="shared" si="7"/>
        <v>0</v>
      </c>
      <c r="AC244" s="3">
        <f t="shared" si="8"/>
        <v>0</v>
      </c>
      <c r="AD244" s="3">
        <f t="shared" si="9"/>
        <v>0.8928571429</v>
      </c>
      <c r="AE244" s="3">
        <f t="shared" si="10"/>
        <v>-1</v>
      </c>
      <c r="AF244" s="3">
        <f t="shared" si="11"/>
        <v>-2</v>
      </c>
      <c r="AG244" s="3">
        <f t="shared" si="12"/>
        <v>-0.4736842105</v>
      </c>
    </row>
    <row r="245">
      <c r="A245" s="1" t="s">
        <v>9</v>
      </c>
      <c r="B245" s="1" t="s">
        <v>487</v>
      </c>
      <c r="C245" s="1" t="s">
        <v>18</v>
      </c>
      <c r="D245" s="1" t="s">
        <v>157</v>
      </c>
      <c r="E245" s="1" t="s">
        <v>100</v>
      </c>
      <c r="F245" s="1" t="s">
        <v>525</v>
      </c>
      <c r="G245" s="1">
        <v>31.5</v>
      </c>
      <c r="H245" s="1" t="s">
        <v>60</v>
      </c>
      <c r="I245" s="1">
        <v>-113.0</v>
      </c>
      <c r="J245" s="1">
        <v>0.0194416186962191</v>
      </c>
      <c r="K245" s="1" t="s">
        <v>61</v>
      </c>
      <c r="L245" s="1" t="s">
        <v>61</v>
      </c>
      <c r="M245" s="1" t="s">
        <v>62</v>
      </c>
      <c r="N245" s="1">
        <v>-120.0</v>
      </c>
      <c r="O245" s="1">
        <v>-0.0954058079034254</v>
      </c>
      <c r="P245" s="1" t="s">
        <v>61</v>
      </c>
      <c r="Q245" s="1" t="s">
        <v>61</v>
      </c>
      <c r="R245" s="1">
        <f t="shared" si="1"/>
        <v>0.0194416187</v>
      </c>
      <c r="S245" s="1">
        <f t="shared" si="2"/>
        <v>-113</v>
      </c>
      <c r="T245" s="1">
        <f t="shared" si="3"/>
        <v>1.884955752</v>
      </c>
      <c r="U245" s="1">
        <f t="shared" si="4"/>
        <v>1</v>
      </c>
      <c r="V245" s="3">
        <f t="shared" si="5"/>
        <v>1</v>
      </c>
      <c r="W245" s="3">
        <f t="shared" si="6"/>
        <v>2</v>
      </c>
      <c r="X245" s="3" t="str">
        <f>IFERROR(__xludf.DUMMYFUNCTION("split(B245,"" "")"),"J.")</f>
        <v>J.</v>
      </c>
      <c r="Y245" s="3" t="str">
        <f>IFERROR(__xludf.DUMMYFUNCTION("""COMPUTED_VALUE"""),"Reed")</f>
        <v>Reed</v>
      </c>
      <c r="AA245" s="3">
        <v>69.0</v>
      </c>
      <c r="AB245" s="3">
        <f t="shared" si="7"/>
        <v>1</v>
      </c>
      <c r="AC245" s="3">
        <f t="shared" si="8"/>
        <v>1</v>
      </c>
      <c r="AD245" s="3">
        <f t="shared" si="9"/>
        <v>0.8849557522</v>
      </c>
      <c r="AE245" s="3">
        <f t="shared" si="10"/>
        <v>0.8849557522</v>
      </c>
      <c r="AF245" s="3">
        <f t="shared" si="11"/>
        <v>1.769911504</v>
      </c>
      <c r="AG245" s="3">
        <f t="shared" si="12"/>
        <v>1.19047619</v>
      </c>
    </row>
    <row r="246">
      <c r="A246" s="1" t="s">
        <v>11</v>
      </c>
      <c r="B246" s="1" t="s">
        <v>482</v>
      </c>
      <c r="C246" s="1" t="s">
        <v>18</v>
      </c>
      <c r="D246" s="1" t="s">
        <v>157</v>
      </c>
      <c r="E246" s="1" t="s">
        <v>100</v>
      </c>
      <c r="F246" s="1" t="s">
        <v>525</v>
      </c>
      <c r="G246" s="1">
        <v>26.5</v>
      </c>
      <c r="H246" s="1" t="s">
        <v>60</v>
      </c>
      <c r="I246" s="1">
        <v>-113.0</v>
      </c>
      <c r="J246" s="1">
        <v>-0.086906868525094</v>
      </c>
      <c r="K246" s="1" t="s">
        <v>61</v>
      </c>
      <c r="L246" s="1" t="s">
        <v>61</v>
      </c>
      <c r="M246" s="1" t="s">
        <v>62</v>
      </c>
      <c r="N246" s="1">
        <v>-116.0</v>
      </c>
      <c r="O246" s="1">
        <v>0.019423967940649</v>
      </c>
      <c r="P246" s="1" t="s">
        <v>61</v>
      </c>
      <c r="Q246" s="1" t="s">
        <v>61</v>
      </c>
      <c r="R246" s="1">
        <f t="shared" si="1"/>
        <v>0.01942396794</v>
      </c>
      <c r="S246" s="1">
        <f t="shared" si="2"/>
        <v>-116</v>
      </c>
      <c r="T246" s="1">
        <f t="shared" si="3"/>
        <v>1.862068966</v>
      </c>
      <c r="U246" s="1">
        <f t="shared" si="4"/>
        <v>0</v>
      </c>
      <c r="V246" s="3">
        <f t="shared" si="5"/>
        <v>1</v>
      </c>
      <c r="W246" s="3">
        <f t="shared" si="6"/>
        <v>2</v>
      </c>
      <c r="X246" s="3" t="str">
        <f>IFERROR(__xludf.DUMMYFUNCTION("split(B246,"" "")"),"R.")</f>
        <v>R.</v>
      </c>
      <c r="Y246" s="3" t="str">
        <f>IFERROR(__xludf.DUMMYFUNCTION("""COMPUTED_VALUE"""),"Doubs")</f>
        <v>Doubs</v>
      </c>
      <c r="AA246" s="3">
        <v>18.0</v>
      </c>
      <c r="AB246" s="3">
        <f t="shared" si="7"/>
        <v>0</v>
      </c>
      <c r="AC246" s="3">
        <f t="shared" si="8"/>
        <v>1</v>
      </c>
      <c r="AD246" s="3">
        <f t="shared" si="9"/>
        <v>0.8620689655</v>
      </c>
      <c r="AE246" s="3">
        <f t="shared" si="10"/>
        <v>0.8620689655</v>
      </c>
      <c r="AF246" s="3">
        <f t="shared" si="11"/>
        <v>1.724137931</v>
      </c>
      <c r="AG246" s="3">
        <f t="shared" si="12"/>
        <v>0.320754717</v>
      </c>
    </row>
    <row r="247">
      <c r="A247" s="1" t="s">
        <v>10</v>
      </c>
      <c r="B247" s="1" t="s">
        <v>536</v>
      </c>
      <c r="C247" s="1" t="s">
        <v>19</v>
      </c>
      <c r="D247" s="1" t="s">
        <v>157</v>
      </c>
      <c r="E247" s="1" t="s">
        <v>100</v>
      </c>
      <c r="F247" s="1" t="s">
        <v>525</v>
      </c>
      <c r="G247" s="1">
        <v>18.5</v>
      </c>
      <c r="H247" s="1" t="s">
        <v>60</v>
      </c>
      <c r="I247" s="1">
        <v>-109.0</v>
      </c>
      <c r="J247" s="1">
        <v>-0.0864161213125415</v>
      </c>
      <c r="K247" s="1" t="s">
        <v>61</v>
      </c>
      <c r="L247" s="1" t="s">
        <v>61</v>
      </c>
      <c r="M247" s="1" t="s">
        <v>62</v>
      </c>
      <c r="N247" s="1">
        <v>-121.0</v>
      </c>
      <c r="O247" s="1">
        <v>0.0174004068720753</v>
      </c>
      <c r="P247" s="1" t="s">
        <v>61</v>
      </c>
      <c r="Q247" s="1" t="s">
        <v>61</v>
      </c>
      <c r="R247" s="1">
        <f t="shared" si="1"/>
        <v>0.01740040687</v>
      </c>
      <c r="S247" s="1">
        <f t="shared" si="2"/>
        <v>-121</v>
      </c>
      <c r="T247" s="1">
        <f t="shared" si="3"/>
        <v>1.826446281</v>
      </c>
      <c r="U247" s="1">
        <f t="shared" si="4"/>
        <v>0</v>
      </c>
      <c r="V247" s="3">
        <f t="shared" si="5"/>
        <v>1</v>
      </c>
      <c r="W247" s="3">
        <f t="shared" si="6"/>
        <v>3</v>
      </c>
      <c r="X247" s="3" t="str">
        <f>IFERROR(__xludf.DUMMYFUNCTION("split(B247,"" "")"),"E.")</f>
        <v>E.</v>
      </c>
      <c r="Y247" s="3" t="str">
        <f>IFERROR(__xludf.DUMMYFUNCTION("""COMPUTED_VALUE"""),"Wilson")</f>
        <v>Wilson</v>
      </c>
      <c r="AA247" s="3">
        <v>50.0</v>
      </c>
      <c r="AB247" s="3">
        <f t="shared" si="7"/>
        <v>1</v>
      </c>
      <c r="AC247" s="3">
        <f t="shared" si="8"/>
        <v>0</v>
      </c>
      <c r="AD247" s="3">
        <f t="shared" si="9"/>
        <v>0.826446281</v>
      </c>
      <c r="AE247" s="3">
        <f t="shared" si="10"/>
        <v>-1</v>
      </c>
      <c r="AF247" s="3">
        <f t="shared" si="11"/>
        <v>-3</v>
      </c>
      <c r="AG247" s="3">
        <f t="shared" si="12"/>
        <v>-1.702702703</v>
      </c>
    </row>
    <row r="248">
      <c r="A248" s="1" t="s">
        <v>11</v>
      </c>
      <c r="B248" s="1" t="s">
        <v>344</v>
      </c>
      <c r="C248" s="1" t="s">
        <v>18</v>
      </c>
      <c r="D248" s="1" t="s">
        <v>157</v>
      </c>
      <c r="E248" s="1" t="s">
        <v>100</v>
      </c>
      <c r="F248" s="1" t="s">
        <v>525</v>
      </c>
      <c r="G248" s="1">
        <v>15.5</v>
      </c>
      <c r="H248" s="1" t="s">
        <v>60</v>
      </c>
      <c r="I248" s="1">
        <v>-111.0</v>
      </c>
      <c r="J248" s="1">
        <v>0.0111406132720143</v>
      </c>
      <c r="K248" s="1" t="s">
        <v>61</v>
      </c>
      <c r="L248" s="1" t="s">
        <v>61</v>
      </c>
      <c r="M248" s="1" t="s">
        <v>62</v>
      </c>
      <c r="N248" s="1">
        <v>-119.0</v>
      </c>
      <c r="O248" s="1">
        <v>-0.080557673910822</v>
      </c>
      <c r="P248" s="1" t="s">
        <v>61</v>
      </c>
      <c r="Q248" s="1" t="s">
        <v>61</v>
      </c>
      <c r="R248" s="1">
        <f t="shared" si="1"/>
        <v>0.01114061327</v>
      </c>
      <c r="S248" s="1">
        <f t="shared" si="2"/>
        <v>-111</v>
      </c>
      <c r="T248" s="1">
        <f t="shared" si="3"/>
        <v>1.900900901</v>
      </c>
      <c r="U248" s="1">
        <f t="shared" si="4"/>
        <v>1</v>
      </c>
      <c r="V248" s="3">
        <f t="shared" si="5"/>
        <v>1</v>
      </c>
      <c r="W248" s="3">
        <f t="shared" si="6"/>
        <v>2</v>
      </c>
      <c r="X248" s="3" t="str">
        <f>IFERROR(__xludf.DUMMYFUNCTION("split(B248,"" "")"),"C.")</f>
        <v>C.</v>
      </c>
      <c r="Y248" s="3" t="str">
        <f>IFERROR(__xludf.DUMMYFUNCTION("""COMPUTED_VALUE"""),"Watson")</f>
        <v>Watson</v>
      </c>
      <c r="AA248" s="3">
        <v>67.0</v>
      </c>
      <c r="AB248" s="3">
        <f t="shared" si="7"/>
        <v>1</v>
      </c>
      <c r="AC248" s="3">
        <f t="shared" si="8"/>
        <v>1</v>
      </c>
      <c r="AD248" s="3">
        <f t="shared" si="9"/>
        <v>0.9009009009</v>
      </c>
      <c r="AE248" s="3">
        <f t="shared" si="10"/>
        <v>0.9009009009</v>
      </c>
      <c r="AF248" s="3">
        <f t="shared" si="11"/>
        <v>1.801801802</v>
      </c>
      <c r="AG248" s="3">
        <f t="shared" si="12"/>
        <v>3.322580645</v>
      </c>
    </row>
    <row r="249">
      <c r="A249" s="1" t="s">
        <v>14</v>
      </c>
      <c r="B249" s="1" t="s">
        <v>505</v>
      </c>
      <c r="C249" s="1" t="s">
        <v>21</v>
      </c>
      <c r="D249" s="1" t="s">
        <v>157</v>
      </c>
      <c r="E249" s="1" t="s">
        <v>100</v>
      </c>
      <c r="F249" s="1" t="s">
        <v>525</v>
      </c>
      <c r="G249" s="1">
        <v>0.5</v>
      </c>
      <c r="H249" s="1" t="s">
        <v>60</v>
      </c>
      <c r="I249" s="1">
        <v>-131.0</v>
      </c>
      <c r="J249" s="1">
        <v>-0.0683537640259741</v>
      </c>
      <c r="K249" s="1" t="s">
        <v>61</v>
      </c>
      <c r="L249" s="1" t="s">
        <v>61</v>
      </c>
      <c r="M249" s="1" t="s">
        <v>62</v>
      </c>
      <c r="N249" s="1">
        <v>102.0</v>
      </c>
      <c r="O249" s="1">
        <v>0.00619811628712868</v>
      </c>
      <c r="P249" s="1" t="s">
        <v>61</v>
      </c>
      <c r="Q249" s="1" t="s">
        <v>61</v>
      </c>
      <c r="R249" s="1">
        <f t="shared" si="1"/>
        <v>0.006198116287</v>
      </c>
      <c r="S249" s="1">
        <f t="shared" si="2"/>
        <v>102</v>
      </c>
      <c r="T249" s="1">
        <f t="shared" si="3"/>
        <v>2.02</v>
      </c>
      <c r="U249" s="1">
        <f t="shared" si="4"/>
        <v>0</v>
      </c>
      <c r="V249" s="3">
        <f t="shared" si="5"/>
        <v>1</v>
      </c>
      <c r="W249" s="3">
        <f t="shared" si="6"/>
        <v>2</v>
      </c>
      <c r="X249" s="3" t="str">
        <f>IFERROR(__xludf.DUMMYFUNCTION("split(B249,"" "")"),"M.")</f>
        <v>M.</v>
      </c>
      <c r="Y249" s="3" t="str">
        <f>IFERROR(__xludf.DUMMYFUNCTION("""COMPUTED_VALUE"""),"Willis")</f>
        <v>Willis</v>
      </c>
      <c r="AA249" s="3">
        <v>1.0</v>
      </c>
      <c r="AB249" s="3">
        <f t="shared" si="7"/>
        <v>1</v>
      </c>
      <c r="AC249" s="3">
        <f t="shared" si="8"/>
        <v>0</v>
      </c>
      <c r="AD249" s="3">
        <f t="shared" si="9"/>
        <v>1.02</v>
      </c>
      <c r="AE249" s="3">
        <f t="shared" si="10"/>
        <v>-1</v>
      </c>
      <c r="AF249" s="3">
        <f t="shared" si="11"/>
        <v>-2</v>
      </c>
      <c r="AG249" s="3">
        <f t="shared" si="12"/>
        <v>-1</v>
      </c>
    </row>
    <row r="250">
      <c r="A250" s="1" t="s">
        <v>8</v>
      </c>
      <c r="B250" s="1" t="s">
        <v>187</v>
      </c>
      <c r="C250" s="1" t="s">
        <v>19</v>
      </c>
      <c r="D250" s="1" t="s">
        <v>157</v>
      </c>
      <c r="E250" s="1" t="s">
        <v>100</v>
      </c>
      <c r="F250" s="1" t="s">
        <v>525</v>
      </c>
      <c r="G250" s="1">
        <v>19.5</v>
      </c>
      <c r="H250" s="1" t="s">
        <v>60</v>
      </c>
      <c r="I250" s="1">
        <v>-116.0</v>
      </c>
      <c r="J250" s="1">
        <v>0.00356015554814803</v>
      </c>
      <c r="K250" s="1" t="s">
        <v>61</v>
      </c>
      <c r="L250" s="1" t="s">
        <v>61</v>
      </c>
      <c r="M250" s="1" t="s">
        <v>62</v>
      </c>
      <c r="N250" s="1">
        <v>-115.0</v>
      </c>
      <c r="O250" s="1">
        <v>-0.0754812894883723</v>
      </c>
      <c r="P250" s="1" t="s">
        <v>61</v>
      </c>
      <c r="Q250" s="1" t="s">
        <v>61</v>
      </c>
      <c r="R250" s="1">
        <f t="shared" si="1"/>
        <v>0.003560155548</v>
      </c>
      <c r="S250" s="1">
        <f t="shared" si="2"/>
        <v>-116</v>
      </c>
      <c r="T250" s="1">
        <f t="shared" si="3"/>
        <v>1.862068966</v>
      </c>
      <c r="U250" s="1">
        <f t="shared" si="4"/>
        <v>1</v>
      </c>
      <c r="V250" s="3">
        <f t="shared" si="5"/>
        <v>1</v>
      </c>
      <c r="W250" s="3">
        <f t="shared" si="6"/>
        <v>2</v>
      </c>
      <c r="X250" s="3" t="str">
        <f>IFERROR(__xludf.DUMMYFUNCTION("split(B250,"" "")"),"J.")</f>
        <v>J.</v>
      </c>
      <c r="Y250" s="3" t="str">
        <f>IFERROR(__xludf.DUMMYFUNCTION("""COMPUTED_VALUE"""),"Jacobs")</f>
        <v>Jacobs</v>
      </c>
      <c r="AA250" s="3">
        <v>14.0</v>
      </c>
      <c r="AB250" s="3">
        <f t="shared" si="7"/>
        <v>0</v>
      </c>
      <c r="AC250" s="3">
        <f t="shared" si="8"/>
        <v>0</v>
      </c>
      <c r="AD250" s="3">
        <f t="shared" si="9"/>
        <v>0.8620689655</v>
      </c>
      <c r="AE250" s="3">
        <f t="shared" si="10"/>
        <v>-1</v>
      </c>
      <c r="AF250" s="3">
        <f t="shared" si="11"/>
        <v>-2</v>
      </c>
      <c r="AG250" s="3">
        <f t="shared" si="12"/>
        <v>-0.2820512821</v>
      </c>
    </row>
    <row r="251">
      <c r="A251" s="1" t="s">
        <v>11</v>
      </c>
      <c r="B251" s="1" t="s">
        <v>245</v>
      </c>
      <c r="C251" s="1" t="s">
        <v>18</v>
      </c>
      <c r="D251" s="1" t="s">
        <v>157</v>
      </c>
      <c r="E251" s="1" t="s">
        <v>100</v>
      </c>
      <c r="F251" s="1" t="s">
        <v>525</v>
      </c>
      <c r="G251" s="1">
        <v>12.5</v>
      </c>
      <c r="H251" s="1" t="s">
        <v>60</v>
      </c>
      <c r="I251" s="1">
        <v>-115.0</v>
      </c>
      <c r="J251" s="1">
        <v>0.00136534868802362</v>
      </c>
      <c r="K251" s="1" t="s">
        <v>61</v>
      </c>
      <c r="L251" s="1" t="s">
        <v>61</v>
      </c>
      <c r="M251" s="1" t="s">
        <v>62</v>
      </c>
      <c r="N251" s="1">
        <v>-114.0</v>
      </c>
      <c r="O251" s="1">
        <v>-0.068937415716984</v>
      </c>
      <c r="P251" s="1" t="s">
        <v>61</v>
      </c>
      <c r="Q251" s="1" t="s">
        <v>61</v>
      </c>
      <c r="R251" s="1">
        <f t="shared" si="1"/>
        <v>0.001365348688</v>
      </c>
      <c r="S251" s="1">
        <f t="shared" si="2"/>
        <v>-115</v>
      </c>
      <c r="T251" s="1">
        <f t="shared" si="3"/>
        <v>1.869565217</v>
      </c>
      <c r="U251" s="1">
        <f t="shared" si="4"/>
        <v>1</v>
      </c>
      <c r="V251" s="3">
        <f t="shared" si="5"/>
        <v>1</v>
      </c>
      <c r="W251" s="3">
        <f t="shared" si="6"/>
        <v>2</v>
      </c>
      <c r="X251" s="3" t="str">
        <f>IFERROR(__xludf.DUMMYFUNCTION("split(B251,"" "")"),"D.")</f>
        <v>D.</v>
      </c>
      <c r="Y251" s="3" t="str">
        <f>IFERROR(__xludf.DUMMYFUNCTION("""COMPUTED_VALUE"""),"Wicks")</f>
        <v>Wicks</v>
      </c>
      <c r="AA251" s="3">
        <v>0.0</v>
      </c>
      <c r="AB251" s="3">
        <f t="shared" si="7"/>
        <v>0</v>
      </c>
      <c r="AC251" s="3">
        <f t="shared" si="8"/>
        <v>0</v>
      </c>
      <c r="AD251" s="3">
        <f t="shared" si="9"/>
        <v>0.8695652174</v>
      </c>
      <c r="AE251" s="3">
        <f t="shared" si="10"/>
        <v>-1</v>
      </c>
      <c r="AF251" s="3">
        <f t="shared" si="11"/>
        <v>-2</v>
      </c>
      <c r="AG251" s="3">
        <f t="shared" si="12"/>
        <v>-1</v>
      </c>
    </row>
    <row r="252">
      <c r="A252" s="1" t="s">
        <v>12</v>
      </c>
      <c r="B252" s="1" t="s">
        <v>129</v>
      </c>
      <c r="C252" s="1" t="s">
        <v>18</v>
      </c>
      <c r="D252" s="1" t="s">
        <v>72</v>
      </c>
      <c r="E252" s="1" t="s">
        <v>146</v>
      </c>
      <c r="F252" s="1" t="s">
        <v>525</v>
      </c>
      <c r="G252" s="1">
        <v>3.5</v>
      </c>
      <c r="H252" s="1" t="s">
        <v>60</v>
      </c>
      <c r="I252" s="1">
        <v>-149.0</v>
      </c>
      <c r="J252" s="1">
        <v>-0.214553413654618</v>
      </c>
      <c r="K252" s="1" t="s">
        <v>61</v>
      </c>
      <c r="L252" s="1" t="s">
        <v>61</v>
      </c>
      <c r="M252" s="1" t="s">
        <v>62</v>
      </c>
      <c r="N252" s="1">
        <v>114.0</v>
      </c>
      <c r="O252" s="1">
        <v>0.148863551401869</v>
      </c>
      <c r="P252" s="1" t="s">
        <v>61</v>
      </c>
      <c r="Q252" s="1" t="s">
        <v>61</v>
      </c>
      <c r="R252" s="1">
        <f t="shared" si="1"/>
        <v>0.1488635514</v>
      </c>
      <c r="S252" s="1">
        <f t="shared" si="2"/>
        <v>114</v>
      </c>
      <c r="T252" s="1">
        <f t="shared" si="3"/>
        <v>2.14</v>
      </c>
      <c r="U252" s="1">
        <f t="shared" si="4"/>
        <v>0</v>
      </c>
      <c r="V252" s="3">
        <f t="shared" si="5"/>
        <v>3</v>
      </c>
      <c r="W252" s="3">
        <f t="shared" si="6"/>
        <v>1</v>
      </c>
      <c r="X252" s="3" t="str">
        <f>IFERROR(__xludf.DUMMYFUNCTION("split(B252,"" "")"),"T.")</f>
        <v>T.</v>
      </c>
      <c r="Y252" s="3" t="str">
        <f>IFERROR(__xludf.DUMMYFUNCTION("""COMPUTED_VALUE"""),"Dell")</f>
        <v>Dell</v>
      </c>
      <c r="AA252" s="3">
        <v>5.0</v>
      </c>
      <c r="AB252" s="3">
        <f t="shared" si="7"/>
        <v>1</v>
      </c>
      <c r="AC252" s="3">
        <f t="shared" si="8"/>
        <v>0</v>
      </c>
      <c r="AD252" s="3">
        <f t="shared" si="9"/>
        <v>3.42</v>
      </c>
      <c r="AE252" s="3">
        <f t="shared" si="10"/>
        <v>-3</v>
      </c>
      <c r="AF252" s="3">
        <f t="shared" si="11"/>
        <v>-1</v>
      </c>
      <c r="AG252" s="3">
        <f t="shared" si="12"/>
        <v>-0.4285714286</v>
      </c>
    </row>
    <row r="253">
      <c r="A253" s="1" t="s">
        <v>12</v>
      </c>
      <c r="B253" s="1" t="s">
        <v>537</v>
      </c>
      <c r="C253" s="1" t="s">
        <v>19</v>
      </c>
      <c r="D253" s="1" t="s">
        <v>72</v>
      </c>
      <c r="E253" s="1" t="s">
        <v>146</v>
      </c>
      <c r="F253" s="1" t="s">
        <v>525</v>
      </c>
      <c r="G253" s="1">
        <v>1.5</v>
      </c>
      <c r="H253" s="1" t="s">
        <v>60</v>
      </c>
      <c r="I253" s="1">
        <v>112.0</v>
      </c>
      <c r="J253" s="1">
        <v>-0.194843170493735</v>
      </c>
      <c r="K253" s="1" t="s">
        <v>61</v>
      </c>
      <c r="L253" s="1" t="s">
        <v>61</v>
      </c>
      <c r="M253" s="1" t="s">
        <v>62</v>
      </c>
      <c r="N253" s="1">
        <v>-146.0</v>
      </c>
      <c r="O253" s="1">
        <v>0.129654682532016</v>
      </c>
      <c r="P253" s="1" t="s">
        <v>61</v>
      </c>
      <c r="Q253" s="1" t="s">
        <v>61</v>
      </c>
      <c r="R253" s="1">
        <f t="shared" si="1"/>
        <v>0.1296546825</v>
      </c>
      <c r="S253" s="1">
        <f t="shared" si="2"/>
        <v>-146</v>
      </c>
      <c r="T253" s="1">
        <f t="shared" si="3"/>
        <v>1.684931507</v>
      </c>
      <c r="U253" s="1">
        <f t="shared" si="4"/>
        <v>0</v>
      </c>
      <c r="V253" s="3">
        <f t="shared" si="5"/>
        <v>3</v>
      </c>
      <c r="W253" s="3">
        <f t="shared" si="6"/>
        <v>3</v>
      </c>
      <c r="X253" s="3" t="str">
        <f>IFERROR(__xludf.DUMMYFUNCTION("split(B253,"" "")"),"D.")</f>
        <v>D.</v>
      </c>
      <c r="Y253" s="3" t="str">
        <f>IFERROR(__xludf.DUMMYFUNCTION("""COMPUTED_VALUE"""),"Ogunbowale")</f>
        <v>Ogunbowale</v>
      </c>
      <c r="AA253" s="3">
        <v>2.0</v>
      </c>
      <c r="AB253" s="3">
        <f t="shared" si="7"/>
        <v>1</v>
      </c>
      <c r="AC253" s="3">
        <f t="shared" si="8"/>
        <v>0</v>
      </c>
      <c r="AD253" s="3">
        <f t="shared" si="9"/>
        <v>2.054794521</v>
      </c>
      <c r="AE253" s="3">
        <f t="shared" si="10"/>
        <v>-3</v>
      </c>
      <c r="AF253" s="3">
        <f t="shared" si="11"/>
        <v>-3</v>
      </c>
      <c r="AG253" s="3">
        <f t="shared" si="12"/>
        <v>-0.3333333333</v>
      </c>
    </row>
    <row r="254">
      <c r="A254" s="1" t="s">
        <v>8</v>
      </c>
      <c r="B254" s="1" t="s">
        <v>369</v>
      </c>
      <c r="C254" s="1" t="s">
        <v>21</v>
      </c>
      <c r="D254" s="1" t="s">
        <v>72</v>
      </c>
      <c r="E254" s="1" t="s">
        <v>146</v>
      </c>
      <c r="F254" s="1" t="s">
        <v>525</v>
      </c>
      <c r="G254" s="1">
        <v>2.5</v>
      </c>
      <c r="H254" s="1" t="s">
        <v>60</v>
      </c>
      <c r="I254" s="1">
        <v>-102.0</v>
      </c>
      <c r="J254" s="1">
        <v>-0.140240326300747</v>
      </c>
      <c r="K254" s="1" t="s">
        <v>61</v>
      </c>
      <c r="L254" s="1" t="s">
        <v>61</v>
      </c>
      <c r="M254" s="1" t="s">
        <v>62</v>
      </c>
      <c r="N254" s="1">
        <v>-132.0</v>
      </c>
      <c r="O254" s="1">
        <v>0.0663377267449626</v>
      </c>
      <c r="P254" s="1" t="s">
        <v>61</v>
      </c>
      <c r="Q254" s="1" t="s">
        <v>61</v>
      </c>
      <c r="R254" s="1">
        <f t="shared" si="1"/>
        <v>0.06633772674</v>
      </c>
      <c r="S254" s="1">
        <f t="shared" si="2"/>
        <v>-132</v>
      </c>
      <c r="T254" s="1">
        <f t="shared" si="3"/>
        <v>1.757575758</v>
      </c>
      <c r="U254" s="1">
        <f t="shared" si="4"/>
        <v>0</v>
      </c>
      <c r="V254" s="3">
        <f t="shared" si="5"/>
        <v>2</v>
      </c>
      <c r="W254" s="3">
        <f t="shared" si="6"/>
        <v>3</v>
      </c>
      <c r="X254" s="3" t="str">
        <f>IFERROR(__xludf.DUMMYFUNCTION("split(B254,"" "")"),"C.")</f>
        <v>C.</v>
      </c>
      <c r="Y254" s="3" t="str">
        <f>IFERROR(__xludf.DUMMYFUNCTION("""COMPUTED_VALUE"""),"Stroud")</f>
        <v>Stroud</v>
      </c>
      <c r="AA254" s="3">
        <v>3.0</v>
      </c>
      <c r="AB254" s="3">
        <f t="shared" si="7"/>
        <v>1</v>
      </c>
      <c r="AC254" s="3">
        <f t="shared" si="8"/>
        <v>0</v>
      </c>
      <c r="AD254" s="3">
        <f t="shared" si="9"/>
        <v>1.515151515</v>
      </c>
      <c r="AE254" s="3">
        <f t="shared" si="10"/>
        <v>-2</v>
      </c>
      <c r="AF254" s="3">
        <f t="shared" si="11"/>
        <v>-3</v>
      </c>
      <c r="AG254" s="3">
        <f t="shared" si="12"/>
        <v>-0.2</v>
      </c>
    </row>
    <row r="255">
      <c r="A255" s="1" t="s">
        <v>12</v>
      </c>
      <c r="B255" s="1" t="s">
        <v>538</v>
      </c>
      <c r="C255" s="1" t="s">
        <v>19</v>
      </c>
      <c r="D255" s="1" t="s">
        <v>72</v>
      </c>
      <c r="E255" s="1" t="s">
        <v>146</v>
      </c>
      <c r="F255" s="1" t="s">
        <v>525</v>
      </c>
      <c r="G255" s="1">
        <v>2.5</v>
      </c>
      <c r="H255" s="1" t="s">
        <v>60</v>
      </c>
      <c r="I255" s="1">
        <v>135.0</v>
      </c>
      <c r="J255" s="1">
        <v>-0.110324690785106</v>
      </c>
      <c r="K255" s="1" t="s">
        <v>61</v>
      </c>
      <c r="L255" s="1" t="s">
        <v>61</v>
      </c>
      <c r="M255" s="1" t="s">
        <v>62</v>
      </c>
      <c r="N255" s="1">
        <v>-179.0</v>
      </c>
      <c r="O255" s="1">
        <v>0.0432148710440861</v>
      </c>
      <c r="P255" s="1" t="s">
        <v>61</v>
      </c>
      <c r="Q255" s="1" t="s">
        <v>61</v>
      </c>
      <c r="R255" s="1">
        <f t="shared" si="1"/>
        <v>0.04321487104</v>
      </c>
      <c r="S255" s="1">
        <f t="shared" si="2"/>
        <v>-179</v>
      </c>
      <c r="T255" s="1">
        <f t="shared" si="3"/>
        <v>1.558659218</v>
      </c>
      <c r="U255" s="1">
        <f t="shared" si="4"/>
        <v>0</v>
      </c>
      <c r="V255" s="3">
        <f t="shared" si="5"/>
        <v>1</v>
      </c>
      <c r="W255" s="3">
        <f t="shared" si="6"/>
        <v>3</v>
      </c>
      <c r="X255" s="3" t="str">
        <f>IFERROR(__xludf.DUMMYFUNCTION("split(B255,"" "")"),"C.")</f>
        <v>C.</v>
      </c>
      <c r="Y255" s="3" t="str">
        <f>IFERROR(__xludf.DUMMYFUNCTION("""COMPUTED_VALUE"""),"Akers")</f>
        <v>Akers</v>
      </c>
      <c r="AA255" s="3">
        <v>1.0</v>
      </c>
      <c r="AB255" s="3">
        <f t="shared" si="7"/>
        <v>0</v>
      </c>
      <c r="AC255" s="3">
        <f t="shared" si="8"/>
        <v>1</v>
      </c>
      <c r="AD255" s="3">
        <f t="shared" si="9"/>
        <v>0.5586592179</v>
      </c>
      <c r="AE255" s="3">
        <f t="shared" si="10"/>
        <v>0.5586592179</v>
      </c>
      <c r="AF255" s="3">
        <f t="shared" si="11"/>
        <v>1.675977654</v>
      </c>
      <c r="AG255" s="3">
        <f t="shared" si="12"/>
        <v>0.6</v>
      </c>
    </row>
    <row r="256">
      <c r="A256" s="1" t="s">
        <v>14</v>
      </c>
      <c r="B256" s="1" t="s">
        <v>369</v>
      </c>
      <c r="C256" s="1" t="s">
        <v>21</v>
      </c>
      <c r="D256" s="1" t="s">
        <v>72</v>
      </c>
      <c r="E256" s="1" t="s">
        <v>146</v>
      </c>
      <c r="F256" s="1" t="s">
        <v>525</v>
      </c>
      <c r="G256" s="1">
        <v>1.5</v>
      </c>
      <c r="H256" s="1" t="s">
        <v>60</v>
      </c>
      <c r="I256" s="1">
        <v>-123.0</v>
      </c>
      <c r="J256" s="1">
        <v>-0.100569506726457</v>
      </c>
      <c r="K256" s="1" t="s">
        <v>61</v>
      </c>
      <c r="L256" s="1" t="s">
        <v>61</v>
      </c>
      <c r="M256" s="1" t="s">
        <v>62</v>
      </c>
      <c r="N256" s="1">
        <v>-105.0</v>
      </c>
      <c r="O256" s="1">
        <v>0.0368048780487804</v>
      </c>
      <c r="P256" s="1" t="s">
        <v>61</v>
      </c>
      <c r="Q256" s="1" t="s">
        <v>61</v>
      </c>
      <c r="R256" s="1">
        <f t="shared" si="1"/>
        <v>0.03680487805</v>
      </c>
      <c r="S256" s="1">
        <f t="shared" si="2"/>
        <v>-105</v>
      </c>
      <c r="T256" s="1">
        <f t="shared" si="3"/>
        <v>1.952380952</v>
      </c>
      <c r="U256" s="1">
        <f t="shared" si="4"/>
        <v>0</v>
      </c>
      <c r="V256" s="3">
        <f t="shared" si="5"/>
        <v>1</v>
      </c>
      <c r="W256" s="3">
        <f t="shared" si="6"/>
        <v>2</v>
      </c>
      <c r="X256" s="3" t="str">
        <f>IFERROR(__xludf.DUMMYFUNCTION("split(B256,"" "")"),"C.")</f>
        <v>C.</v>
      </c>
      <c r="Y256" s="3" t="str">
        <f>IFERROR(__xludf.DUMMYFUNCTION("""COMPUTED_VALUE"""),"Stroud")</f>
        <v>Stroud</v>
      </c>
      <c r="AA256" s="3">
        <v>1.0</v>
      </c>
      <c r="AB256" s="3">
        <f t="shared" si="7"/>
        <v>0</v>
      </c>
      <c r="AC256" s="3">
        <f t="shared" si="8"/>
        <v>1</v>
      </c>
      <c r="AD256" s="3">
        <f t="shared" si="9"/>
        <v>0.9523809524</v>
      </c>
      <c r="AE256" s="3">
        <f t="shared" si="10"/>
        <v>0.9523809524</v>
      </c>
      <c r="AF256" s="3">
        <f t="shared" si="11"/>
        <v>1.904761905</v>
      </c>
      <c r="AG256" s="3">
        <f t="shared" si="12"/>
        <v>0.3333333333</v>
      </c>
    </row>
    <row r="257">
      <c r="A257" s="1" t="s">
        <v>11</v>
      </c>
      <c r="B257" s="1" t="s">
        <v>537</v>
      </c>
      <c r="C257" s="1" t="s">
        <v>19</v>
      </c>
      <c r="D257" s="1" t="s">
        <v>72</v>
      </c>
      <c r="E257" s="1" t="s">
        <v>146</v>
      </c>
      <c r="F257" s="1" t="s">
        <v>525</v>
      </c>
      <c r="G257" s="1">
        <v>6.5</v>
      </c>
      <c r="H257" s="1" t="s">
        <v>60</v>
      </c>
      <c r="I257" s="1">
        <v>-119.0</v>
      </c>
      <c r="J257" s="1">
        <v>0.0334272641429188</v>
      </c>
      <c r="K257" s="1" t="s">
        <v>61</v>
      </c>
      <c r="L257" s="1" t="s">
        <v>61</v>
      </c>
      <c r="M257" s="1" t="s">
        <v>62</v>
      </c>
      <c r="N257" s="1">
        <v>-107.0</v>
      </c>
      <c r="O257" s="1">
        <v>-0.0936756898870056</v>
      </c>
      <c r="P257" s="1" t="s">
        <v>61</v>
      </c>
      <c r="Q257" s="1" t="s">
        <v>61</v>
      </c>
      <c r="R257" s="1">
        <f t="shared" si="1"/>
        <v>0.03342726414</v>
      </c>
      <c r="S257" s="1">
        <f t="shared" si="2"/>
        <v>-119</v>
      </c>
      <c r="T257" s="1">
        <f t="shared" si="3"/>
        <v>1.840336134</v>
      </c>
      <c r="U257" s="1">
        <f t="shared" si="4"/>
        <v>1</v>
      </c>
      <c r="V257" s="3">
        <f t="shared" si="5"/>
        <v>1</v>
      </c>
      <c r="W257" s="3">
        <f t="shared" si="6"/>
        <v>3</v>
      </c>
      <c r="X257" s="3" t="str">
        <f>IFERROR(__xludf.DUMMYFUNCTION("split(B257,"" "")"),"D.")</f>
        <v>D.</v>
      </c>
      <c r="Y257" s="3" t="str">
        <f>IFERROR(__xludf.DUMMYFUNCTION("""COMPUTED_VALUE"""),"Ogunbowale")</f>
        <v>Ogunbowale</v>
      </c>
      <c r="AA257" s="3">
        <v>28.0</v>
      </c>
      <c r="AB257" s="3">
        <f t="shared" si="7"/>
        <v>1</v>
      </c>
      <c r="AC257" s="3">
        <f t="shared" si="8"/>
        <v>1</v>
      </c>
      <c r="AD257" s="3">
        <f t="shared" si="9"/>
        <v>0.8403361345</v>
      </c>
      <c r="AE257" s="3">
        <f t="shared" si="10"/>
        <v>0.8403361345</v>
      </c>
      <c r="AF257" s="3">
        <f t="shared" si="11"/>
        <v>2.521008403</v>
      </c>
      <c r="AG257" s="3">
        <f t="shared" si="12"/>
        <v>3.307692308</v>
      </c>
    </row>
    <row r="258">
      <c r="A258" s="1" t="s">
        <v>12</v>
      </c>
      <c r="B258" s="1" t="s">
        <v>310</v>
      </c>
      <c r="C258" s="1" t="s">
        <v>18</v>
      </c>
      <c r="D258" s="1" t="s">
        <v>72</v>
      </c>
      <c r="E258" s="1" t="s">
        <v>146</v>
      </c>
      <c r="F258" s="1" t="s">
        <v>525</v>
      </c>
      <c r="G258" s="1">
        <v>4.5</v>
      </c>
      <c r="H258" s="1" t="s">
        <v>60</v>
      </c>
      <c r="I258" s="1">
        <v>-124.0</v>
      </c>
      <c r="J258" s="1">
        <v>-0.100816071428571</v>
      </c>
      <c r="K258" s="1" t="s">
        <v>61</v>
      </c>
      <c r="L258" s="1" t="s">
        <v>61</v>
      </c>
      <c r="M258" s="1" t="s">
        <v>62</v>
      </c>
      <c r="N258" s="1">
        <v>-108.0</v>
      </c>
      <c r="O258" s="1">
        <v>0.0280211538461538</v>
      </c>
      <c r="P258" s="1" t="s">
        <v>61</v>
      </c>
      <c r="Q258" s="1" t="s">
        <v>61</v>
      </c>
      <c r="R258" s="1">
        <f t="shared" si="1"/>
        <v>0.02802115385</v>
      </c>
      <c r="S258" s="1">
        <f t="shared" si="2"/>
        <v>-108</v>
      </c>
      <c r="T258" s="1">
        <f t="shared" si="3"/>
        <v>1.925925926</v>
      </c>
      <c r="U258" s="1">
        <f t="shared" si="4"/>
        <v>0</v>
      </c>
      <c r="V258" s="3">
        <f t="shared" si="5"/>
        <v>1</v>
      </c>
      <c r="W258" s="3">
        <f t="shared" si="6"/>
        <v>2</v>
      </c>
      <c r="X258" s="3" t="str">
        <f>IFERROR(__xludf.DUMMYFUNCTION("split(B258,"" "")"),"S.")</f>
        <v>S.</v>
      </c>
      <c r="Y258" s="3" t="str">
        <f>IFERROR(__xludf.DUMMYFUNCTION("""COMPUTED_VALUE"""),"Diggs")</f>
        <v>Diggs</v>
      </c>
      <c r="AA258" s="3">
        <v>10.0</v>
      </c>
      <c r="AB258" s="3">
        <f t="shared" si="7"/>
        <v>1</v>
      </c>
      <c r="AC258" s="3">
        <f t="shared" si="8"/>
        <v>0</v>
      </c>
      <c r="AD258" s="3">
        <f t="shared" si="9"/>
        <v>0.9259259259</v>
      </c>
      <c r="AE258" s="3">
        <f t="shared" si="10"/>
        <v>-1</v>
      </c>
      <c r="AF258" s="3">
        <f t="shared" si="11"/>
        <v>-2</v>
      </c>
      <c r="AG258" s="3">
        <f t="shared" si="12"/>
        <v>-1.222222222</v>
      </c>
    </row>
    <row r="259">
      <c r="A259" s="1" t="s">
        <v>9</v>
      </c>
      <c r="B259" s="1" t="s">
        <v>495</v>
      </c>
      <c r="C259" s="1" t="s">
        <v>18</v>
      </c>
      <c r="D259" s="1" t="s">
        <v>72</v>
      </c>
      <c r="E259" s="1" t="s">
        <v>146</v>
      </c>
      <c r="F259" s="1" t="s">
        <v>525</v>
      </c>
      <c r="G259" s="1">
        <v>70.5</v>
      </c>
      <c r="H259" s="1" t="s">
        <v>60</v>
      </c>
      <c r="I259" s="1">
        <v>-120.0</v>
      </c>
      <c r="J259" s="1">
        <v>-0.0965087423941571</v>
      </c>
      <c r="K259" s="1" t="s">
        <v>61</v>
      </c>
      <c r="L259" s="1" t="s">
        <v>61</v>
      </c>
      <c r="M259" s="1" t="s">
        <v>62</v>
      </c>
      <c r="N259" s="1">
        <v>-110.0</v>
      </c>
      <c r="O259" s="1">
        <v>0.0272681698066</v>
      </c>
      <c r="P259" s="1" t="s">
        <v>61</v>
      </c>
      <c r="Q259" s="1" t="s">
        <v>61</v>
      </c>
      <c r="R259" s="1">
        <f t="shared" si="1"/>
        <v>0.02726816981</v>
      </c>
      <c r="S259" s="1">
        <f t="shared" si="2"/>
        <v>-110</v>
      </c>
      <c r="T259" s="1">
        <f t="shared" si="3"/>
        <v>1.909090909</v>
      </c>
      <c r="U259" s="1">
        <f t="shared" si="4"/>
        <v>0</v>
      </c>
      <c r="V259" s="3">
        <f t="shared" si="5"/>
        <v>1</v>
      </c>
      <c r="W259" s="3">
        <f t="shared" si="6"/>
        <v>2</v>
      </c>
      <c r="X259" s="3" t="str">
        <f>IFERROR(__xludf.DUMMYFUNCTION("split(B259,"" "")"),"N.")</f>
        <v>N.</v>
      </c>
      <c r="Y259" s="3" t="str">
        <f>IFERROR(__xludf.DUMMYFUNCTION("""COMPUTED_VALUE"""),"Collins")</f>
        <v>Collins</v>
      </c>
      <c r="AA259" s="3">
        <v>86.0</v>
      </c>
      <c r="AB259" s="3">
        <f t="shared" si="7"/>
        <v>1</v>
      </c>
      <c r="AC259" s="3">
        <f t="shared" si="8"/>
        <v>0</v>
      </c>
      <c r="AD259" s="3">
        <f t="shared" si="9"/>
        <v>0.9090909091</v>
      </c>
      <c r="AE259" s="3">
        <f t="shared" si="10"/>
        <v>-1</v>
      </c>
      <c r="AF259" s="3">
        <f t="shared" si="11"/>
        <v>-2</v>
      </c>
      <c r="AG259" s="3">
        <f t="shared" si="12"/>
        <v>-0.219858156</v>
      </c>
    </row>
    <row r="260">
      <c r="A260" s="1" t="s">
        <v>12</v>
      </c>
      <c r="B260" s="1" t="s">
        <v>410</v>
      </c>
      <c r="C260" s="1" t="s">
        <v>20</v>
      </c>
      <c r="D260" s="1" t="s">
        <v>72</v>
      </c>
      <c r="E260" s="1" t="s">
        <v>146</v>
      </c>
      <c r="F260" s="1" t="s">
        <v>525</v>
      </c>
      <c r="G260" s="1">
        <v>3.5</v>
      </c>
      <c r="H260" s="1" t="s">
        <v>60</v>
      </c>
      <c r="I260" s="1">
        <v>128.0</v>
      </c>
      <c r="J260" s="1">
        <v>-0.0886403508771929</v>
      </c>
      <c r="K260" s="1" t="s">
        <v>61</v>
      </c>
      <c r="L260" s="1" t="s">
        <v>61</v>
      </c>
      <c r="M260" s="1" t="s">
        <v>62</v>
      </c>
      <c r="N260" s="1">
        <v>-169.0</v>
      </c>
      <c r="O260" s="1">
        <v>0.0217843866171003</v>
      </c>
      <c r="P260" s="1" t="s">
        <v>61</v>
      </c>
      <c r="Q260" s="1" t="s">
        <v>61</v>
      </c>
      <c r="R260" s="1">
        <f t="shared" si="1"/>
        <v>0.02178438662</v>
      </c>
      <c r="S260" s="1">
        <f t="shared" si="2"/>
        <v>-169</v>
      </c>
      <c r="T260" s="1">
        <f t="shared" si="3"/>
        <v>1.591715976</v>
      </c>
      <c r="U260" s="1">
        <f t="shared" si="4"/>
        <v>0</v>
      </c>
      <c r="V260" s="3">
        <f t="shared" si="5"/>
        <v>1</v>
      </c>
      <c r="W260" s="3">
        <f t="shared" si="6"/>
        <v>3</v>
      </c>
      <c r="X260" s="3" t="str">
        <f>IFERROR(__xludf.DUMMYFUNCTION("split(B260,"" "")"),"D.")</f>
        <v>D.</v>
      </c>
      <c r="Y260" s="3" t="str">
        <f>IFERROR(__xludf.DUMMYFUNCTION("""COMPUTED_VALUE"""),"Schultz")</f>
        <v>Schultz</v>
      </c>
      <c r="AA260" s="3">
        <v>2.0</v>
      </c>
      <c r="AB260" s="3">
        <f t="shared" si="7"/>
        <v>0</v>
      </c>
      <c r="AC260" s="3">
        <f t="shared" si="8"/>
        <v>1</v>
      </c>
      <c r="AD260" s="3">
        <f t="shared" si="9"/>
        <v>0.5917159763</v>
      </c>
      <c r="AE260" s="3">
        <f t="shared" si="10"/>
        <v>0.5917159763</v>
      </c>
      <c r="AF260" s="3">
        <f t="shared" si="11"/>
        <v>1.775147929</v>
      </c>
      <c r="AG260" s="3">
        <f t="shared" si="12"/>
        <v>0.4285714286</v>
      </c>
    </row>
    <row r="261">
      <c r="A261" s="1" t="s">
        <v>10</v>
      </c>
      <c r="B261" s="1" t="s">
        <v>369</v>
      </c>
      <c r="C261" s="1" t="s">
        <v>21</v>
      </c>
      <c r="D261" s="1" t="s">
        <v>72</v>
      </c>
      <c r="E261" s="1" t="s">
        <v>146</v>
      </c>
      <c r="F261" s="1" t="s">
        <v>525</v>
      </c>
      <c r="G261" s="1">
        <v>6.5</v>
      </c>
      <c r="H261" s="1" t="s">
        <v>60</v>
      </c>
      <c r="I261" s="1">
        <v>-111.0</v>
      </c>
      <c r="J261" s="1">
        <v>0.0199115324075193</v>
      </c>
      <c r="K261" s="1" t="s">
        <v>61</v>
      </c>
      <c r="L261" s="1" t="s">
        <v>61</v>
      </c>
      <c r="M261" s="1" t="s">
        <v>62</v>
      </c>
      <c r="N261" s="1">
        <v>-116.0</v>
      </c>
      <c r="O261" s="1">
        <v>-0.0829720308891871</v>
      </c>
      <c r="P261" s="1" t="s">
        <v>61</v>
      </c>
      <c r="Q261" s="1" t="s">
        <v>61</v>
      </c>
      <c r="R261" s="1">
        <f t="shared" si="1"/>
        <v>0.01991153241</v>
      </c>
      <c r="S261" s="1">
        <f t="shared" si="2"/>
        <v>-111</v>
      </c>
      <c r="T261" s="1">
        <f t="shared" si="3"/>
        <v>1.900900901</v>
      </c>
      <c r="U261" s="1">
        <f t="shared" si="4"/>
        <v>1</v>
      </c>
      <c r="V261" s="3">
        <f t="shared" si="5"/>
        <v>1</v>
      </c>
      <c r="W261" s="3">
        <f t="shared" si="6"/>
        <v>2</v>
      </c>
      <c r="X261" s="3" t="str">
        <f>IFERROR(__xludf.DUMMYFUNCTION("split(B261,"" "")"),"C.")</f>
        <v>C.</v>
      </c>
      <c r="Y261" s="3" t="str">
        <f>IFERROR(__xludf.DUMMYFUNCTION("""COMPUTED_VALUE"""),"Stroud")</f>
        <v>Stroud</v>
      </c>
      <c r="AA261" s="3">
        <v>12.0</v>
      </c>
      <c r="AB261" s="3">
        <f t="shared" si="7"/>
        <v>1</v>
      </c>
      <c r="AC261" s="3">
        <f t="shared" si="8"/>
        <v>1</v>
      </c>
      <c r="AD261" s="3">
        <f t="shared" si="9"/>
        <v>0.9009009009</v>
      </c>
      <c r="AE261" s="3">
        <f t="shared" si="10"/>
        <v>0.9009009009</v>
      </c>
      <c r="AF261" s="3">
        <f t="shared" si="11"/>
        <v>1.801801802</v>
      </c>
      <c r="AG261" s="3">
        <f t="shared" si="12"/>
        <v>0.8461538462</v>
      </c>
    </row>
    <row r="262">
      <c r="A262" s="1" t="s">
        <v>17</v>
      </c>
      <c r="B262" s="1" t="s">
        <v>369</v>
      </c>
      <c r="C262" s="1" t="s">
        <v>21</v>
      </c>
      <c r="D262" s="1" t="s">
        <v>72</v>
      </c>
      <c r="E262" s="1" t="s">
        <v>146</v>
      </c>
      <c r="F262" s="1" t="s">
        <v>525</v>
      </c>
      <c r="G262" s="1">
        <v>0.5</v>
      </c>
      <c r="H262" s="1" t="s">
        <v>60</v>
      </c>
      <c r="I262" s="1">
        <v>-101.0</v>
      </c>
      <c r="J262" s="1">
        <v>-0.0788373134328357</v>
      </c>
      <c r="K262" s="1" t="s">
        <v>61</v>
      </c>
      <c r="L262" s="1" t="s">
        <v>61</v>
      </c>
      <c r="M262" s="1" t="s">
        <v>62</v>
      </c>
      <c r="N262" s="1">
        <v>-131.0</v>
      </c>
      <c r="O262" s="1">
        <v>0.00925714285714285</v>
      </c>
      <c r="P262" s="1" t="s">
        <v>61</v>
      </c>
      <c r="Q262" s="1" t="s">
        <v>61</v>
      </c>
      <c r="R262" s="1">
        <f t="shared" si="1"/>
        <v>0.009257142857</v>
      </c>
      <c r="S262" s="1">
        <f t="shared" si="2"/>
        <v>-131</v>
      </c>
      <c r="T262" s="1">
        <f t="shared" si="3"/>
        <v>1.763358779</v>
      </c>
      <c r="U262" s="1">
        <f t="shared" si="4"/>
        <v>0</v>
      </c>
      <c r="V262" s="3">
        <f t="shared" si="5"/>
        <v>1</v>
      </c>
      <c r="W262" s="3">
        <f t="shared" si="6"/>
        <v>3</v>
      </c>
      <c r="X262" s="3" t="str">
        <f>IFERROR(__xludf.DUMMYFUNCTION("split(B262,"" "")"),"C.")</f>
        <v>C.</v>
      </c>
      <c r="Y262" s="3" t="str">
        <f>IFERROR(__xludf.DUMMYFUNCTION("""COMPUTED_VALUE"""),"Stroud")</f>
        <v>Stroud</v>
      </c>
      <c r="AA262" s="3">
        <v>2.0</v>
      </c>
      <c r="AB262" s="3">
        <f t="shared" si="7"/>
        <v>1</v>
      </c>
      <c r="AC262" s="3">
        <f t="shared" si="8"/>
        <v>0</v>
      </c>
      <c r="AD262" s="3">
        <f t="shared" si="9"/>
        <v>0.7633587786</v>
      </c>
      <c r="AE262" s="3">
        <f t="shared" si="10"/>
        <v>-1</v>
      </c>
      <c r="AF262" s="3">
        <f t="shared" si="11"/>
        <v>-3</v>
      </c>
      <c r="AG262" s="3">
        <f t="shared" si="12"/>
        <v>-3</v>
      </c>
    </row>
    <row r="263">
      <c r="A263" s="1" t="s">
        <v>11</v>
      </c>
      <c r="B263" s="1" t="s">
        <v>410</v>
      </c>
      <c r="C263" s="1" t="s">
        <v>20</v>
      </c>
      <c r="D263" s="1" t="s">
        <v>72</v>
      </c>
      <c r="E263" s="1" t="s">
        <v>146</v>
      </c>
      <c r="F263" s="1" t="s">
        <v>525</v>
      </c>
      <c r="G263" s="1">
        <v>29.5</v>
      </c>
      <c r="H263" s="1" t="s">
        <v>60</v>
      </c>
      <c r="I263" s="1">
        <v>-111.0</v>
      </c>
      <c r="J263" s="1">
        <v>-0.0735696787023699</v>
      </c>
      <c r="K263" s="1" t="s">
        <v>61</v>
      </c>
      <c r="L263" s="1" t="s">
        <v>61</v>
      </c>
      <c r="M263" s="1" t="s">
        <v>62</v>
      </c>
      <c r="N263" s="1">
        <v>-118.0</v>
      </c>
      <c r="O263" s="1">
        <v>0.00626096081252314</v>
      </c>
      <c r="P263" s="1" t="s">
        <v>61</v>
      </c>
      <c r="Q263" s="1" t="s">
        <v>61</v>
      </c>
      <c r="R263" s="1">
        <f t="shared" si="1"/>
        <v>0.006260960813</v>
      </c>
      <c r="S263" s="1">
        <f t="shared" si="2"/>
        <v>-118</v>
      </c>
      <c r="T263" s="1">
        <f t="shared" si="3"/>
        <v>1.847457627</v>
      </c>
      <c r="U263" s="1">
        <f t="shared" si="4"/>
        <v>0</v>
      </c>
      <c r="V263" s="3">
        <f t="shared" si="5"/>
        <v>1</v>
      </c>
      <c r="W263" s="3">
        <f t="shared" si="6"/>
        <v>3</v>
      </c>
      <c r="X263" s="3" t="str">
        <f>IFERROR(__xludf.DUMMYFUNCTION("split(B263,"" "")"),"D.")</f>
        <v>D.</v>
      </c>
      <c r="Y263" s="3" t="str">
        <f>IFERROR(__xludf.DUMMYFUNCTION("""COMPUTED_VALUE"""),"Schultz")</f>
        <v>Schultz</v>
      </c>
      <c r="AA263" s="3">
        <v>11.0</v>
      </c>
      <c r="AB263" s="3">
        <f t="shared" si="7"/>
        <v>0</v>
      </c>
      <c r="AC263" s="3">
        <f t="shared" si="8"/>
        <v>1</v>
      </c>
      <c r="AD263" s="3">
        <f t="shared" si="9"/>
        <v>0.8474576271</v>
      </c>
      <c r="AE263" s="3">
        <f t="shared" si="10"/>
        <v>0.8474576271</v>
      </c>
      <c r="AF263" s="3">
        <f t="shared" si="11"/>
        <v>2.542372881</v>
      </c>
      <c r="AG263" s="3">
        <f t="shared" si="12"/>
        <v>0.6271186441</v>
      </c>
    </row>
    <row r="264">
      <c r="A264" s="1" t="s">
        <v>11</v>
      </c>
      <c r="B264" s="1" t="s">
        <v>310</v>
      </c>
      <c r="C264" s="1" t="s">
        <v>18</v>
      </c>
      <c r="D264" s="1" t="s">
        <v>72</v>
      </c>
      <c r="E264" s="1" t="s">
        <v>146</v>
      </c>
      <c r="F264" s="1" t="s">
        <v>525</v>
      </c>
      <c r="G264" s="1">
        <v>51.5</v>
      </c>
      <c r="H264" s="1" t="s">
        <v>60</v>
      </c>
      <c r="I264" s="1">
        <v>-114.0</v>
      </c>
      <c r="J264" s="1">
        <v>-0.0726840476715887</v>
      </c>
      <c r="K264" s="1" t="s">
        <v>61</v>
      </c>
      <c r="L264" s="1" t="s">
        <v>61</v>
      </c>
      <c r="M264" s="1" t="s">
        <v>62</v>
      </c>
      <c r="N264" s="1">
        <v>-115.0</v>
      </c>
      <c r="O264" s="1">
        <v>0.00514380601813946</v>
      </c>
      <c r="P264" s="1" t="s">
        <v>61</v>
      </c>
      <c r="Q264" s="1" t="s">
        <v>61</v>
      </c>
      <c r="R264" s="1">
        <f t="shared" si="1"/>
        <v>0.005143806018</v>
      </c>
      <c r="S264" s="1">
        <f t="shared" si="2"/>
        <v>-115</v>
      </c>
      <c r="T264" s="1">
        <f t="shared" si="3"/>
        <v>1.869565217</v>
      </c>
      <c r="U264" s="1">
        <f t="shared" si="4"/>
        <v>0</v>
      </c>
      <c r="V264" s="3">
        <f t="shared" si="5"/>
        <v>1</v>
      </c>
      <c r="W264" s="3">
        <f t="shared" si="6"/>
        <v>2</v>
      </c>
      <c r="X264" s="3" t="str">
        <f>IFERROR(__xludf.DUMMYFUNCTION("split(B264,"" "")"),"S.")</f>
        <v>S.</v>
      </c>
      <c r="Y264" s="3" t="str">
        <f>IFERROR(__xludf.DUMMYFUNCTION("""COMPUTED_VALUE"""),"Diggs")</f>
        <v>Diggs</v>
      </c>
      <c r="AA264" s="3">
        <v>94.0</v>
      </c>
      <c r="AB264" s="3">
        <f t="shared" si="7"/>
        <v>1</v>
      </c>
      <c r="AC264" s="3">
        <f t="shared" si="8"/>
        <v>0</v>
      </c>
      <c r="AD264" s="3">
        <f t="shared" si="9"/>
        <v>0.8695652174</v>
      </c>
      <c r="AE264" s="3">
        <f t="shared" si="10"/>
        <v>-1</v>
      </c>
      <c r="AF264" s="3">
        <f t="shared" si="11"/>
        <v>-2</v>
      </c>
      <c r="AG264" s="3">
        <f t="shared" si="12"/>
        <v>-0.8252427184</v>
      </c>
    </row>
    <row r="265">
      <c r="A265" s="1" t="s">
        <v>9</v>
      </c>
      <c r="B265" s="1" t="s">
        <v>125</v>
      </c>
      <c r="C265" s="1" t="s">
        <v>18</v>
      </c>
      <c r="D265" s="1" t="s">
        <v>71</v>
      </c>
      <c r="E265" s="1" t="s">
        <v>99</v>
      </c>
      <c r="F265" s="1" t="s">
        <v>525</v>
      </c>
      <c r="G265" s="1">
        <v>16.5</v>
      </c>
      <c r="H265" s="1" t="s">
        <v>60</v>
      </c>
      <c r="I265" s="1">
        <v>-116.0</v>
      </c>
      <c r="J265" s="1">
        <v>0.166327452350417</v>
      </c>
      <c r="K265" s="1" t="s">
        <v>61</v>
      </c>
      <c r="L265" s="1" t="s">
        <v>61</v>
      </c>
      <c r="M265" s="1" t="s">
        <v>62</v>
      </c>
      <c r="N265" s="1">
        <v>-117.0</v>
      </c>
      <c r="O265" s="1">
        <v>-0.242496229299528</v>
      </c>
      <c r="P265" s="1" t="s">
        <v>61</v>
      </c>
      <c r="Q265" s="1" t="s">
        <v>61</v>
      </c>
      <c r="R265" s="1">
        <f t="shared" si="1"/>
        <v>0.1663274524</v>
      </c>
      <c r="S265" s="1">
        <f t="shared" si="2"/>
        <v>-116</v>
      </c>
      <c r="T265" s="1">
        <f t="shared" si="3"/>
        <v>1.862068966</v>
      </c>
      <c r="U265" s="1">
        <f t="shared" si="4"/>
        <v>1</v>
      </c>
      <c r="V265" s="3">
        <f t="shared" si="5"/>
        <v>3</v>
      </c>
      <c r="W265" s="3">
        <f t="shared" si="6"/>
        <v>2</v>
      </c>
      <c r="X265" s="3" t="str">
        <f>IFERROR(__xludf.DUMMYFUNCTION("split(B265,"" "")"),"A.")</f>
        <v>A.</v>
      </c>
      <c r="Y265" s="3" t="str">
        <f>IFERROR(__xludf.DUMMYFUNCTION("""COMPUTED_VALUE"""),"Mitchell")</f>
        <v>Mitchell</v>
      </c>
      <c r="AA265" s="3">
        <v>0.0</v>
      </c>
      <c r="AB265" s="3">
        <f t="shared" si="7"/>
        <v>0</v>
      </c>
      <c r="AC265" s="3">
        <f t="shared" si="8"/>
        <v>0</v>
      </c>
      <c r="AD265" s="3">
        <f t="shared" si="9"/>
        <v>2.586206897</v>
      </c>
      <c r="AE265" s="3">
        <f t="shared" si="10"/>
        <v>-3</v>
      </c>
      <c r="AF265" s="3">
        <f t="shared" si="11"/>
        <v>-2</v>
      </c>
      <c r="AG265" s="3">
        <f t="shared" si="12"/>
        <v>-1</v>
      </c>
    </row>
    <row r="266">
      <c r="A266" s="1" t="s">
        <v>14</v>
      </c>
      <c r="B266" s="1" t="s">
        <v>200</v>
      </c>
      <c r="C266" s="1" t="s">
        <v>21</v>
      </c>
      <c r="D266" s="1" t="s">
        <v>71</v>
      </c>
      <c r="E266" s="1" t="s">
        <v>99</v>
      </c>
      <c r="F266" s="1" t="s">
        <v>525</v>
      </c>
      <c r="G266" s="1">
        <v>0.5</v>
      </c>
      <c r="H266" s="1" t="s">
        <v>60</v>
      </c>
      <c r="I266" s="1">
        <v>-246.0</v>
      </c>
      <c r="J266" s="1">
        <v>-0.225481323872832</v>
      </c>
      <c r="K266" s="1" t="s">
        <v>61</v>
      </c>
      <c r="L266" s="1" t="s">
        <v>61</v>
      </c>
      <c r="M266" s="1" t="s">
        <v>62</v>
      </c>
      <c r="N266" s="1">
        <v>187.0</v>
      </c>
      <c r="O266" s="1">
        <v>0.166066334703832</v>
      </c>
      <c r="P266" s="1" t="s">
        <v>61</v>
      </c>
      <c r="Q266" s="1" t="s">
        <v>61</v>
      </c>
      <c r="R266" s="1">
        <f t="shared" si="1"/>
        <v>0.1660663347</v>
      </c>
      <c r="S266" s="1">
        <f t="shared" si="2"/>
        <v>187</v>
      </c>
      <c r="T266" s="1">
        <f t="shared" si="3"/>
        <v>2.87</v>
      </c>
      <c r="U266" s="1">
        <f t="shared" si="4"/>
        <v>0</v>
      </c>
      <c r="V266" s="3">
        <f t="shared" si="5"/>
        <v>3</v>
      </c>
      <c r="W266" s="3">
        <f t="shared" si="6"/>
        <v>1</v>
      </c>
      <c r="X266" s="3" t="str">
        <f>IFERROR(__xludf.DUMMYFUNCTION("split(B266,"" "")"),"A.")</f>
        <v>A.</v>
      </c>
      <c r="Y266" s="3" t="str">
        <f>IFERROR(__xludf.DUMMYFUNCTION("""COMPUTED_VALUE"""),"Richardson")</f>
        <v>Richardson</v>
      </c>
      <c r="AA266" s="3">
        <v>0.0</v>
      </c>
      <c r="AB266" s="3">
        <f t="shared" si="7"/>
        <v>0</v>
      </c>
      <c r="AC266" s="3">
        <f t="shared" si="8"/>
        <v>1</v>
      </c>
      <c r="AD266" s="3">
        <f t="shared" si="9"/>
        <v>5.61</v>
      </c>
      <c r="AE266" s="3">
        <f t="shared" si="10"/>
        <v>5.61</v>
      </c>
      <c r="AF266" s="3">
        <f t="shared" si="11"/>
        <v>1.87</v>
      </c>
      <c r="AG266" s="3">
        <f t="shared" si="12"/>
        <v>1</v>
      </c>
    </row>
    <row r="267">
      <c r="A267" s="1" t="s">
        <v>12</v>
      </c>
      <c r="B267" s="1" t="s">
        <v>217</v>
      </c>
      <c r="C267" s="1" t="s">
        <v>18</v>
      </c>
      <c r="D267" s="1" t="s">
        <v>71</v>
      </c>
      <c r="E267" s="1" t="s">
        <v>99</v>
      </c>
      <c r="F267" s="1" t="s">
        <v>525</v>
      </c>
      <c r="G267" s="1">
        <v>2.5</v>
      </c>
      <c r="H267" s="1" t="s">
        <v>60</v>
      </c>
      <c r="I267" s="1">
        <v>119.0</v>
      </c>
      <c r="J267" s="1">
        <v>-0.222918683517397</v>
      </c>
      <c r="K267" s="1" t="s">
        <v>61</v>
      </c>
      <c r="L267" s="1" t="s">
        <v>61</v>
      </c>
      <c r="M267" s="1" t="s">
        <v>62</v>
      </c>
      <c r="N267" s="1">
        <v>-156.0</v>
      </c>
      <c r="O267" s="1">
        <v>0.156922397048593</v>
      </c>
      <c r="P267" s="1" t="s">
        <v>61</v>
      </c>
      <c r="Q267" s="1" t="s">
        <v>61</v>
      </c>
      <c r="R267" s="1">
        <f t="shared" si="1"/>
        <v>0.156922397</v>
      </c>
      <c r="S267" s="1">
        <f t="shared" si="2"/>
        <v>-156</v>
      </c>
      <c r="T267" s="1">
        <f t="shared" si="3"/>
        <v>1.641025641</v>
      </c>
      <c r="U267" s="1">
        <f t="shared" si="4"/>
        <v>0</v>
      </c>
      <c r="V267" s="3">
        <f t="shared" si="5"/>
        <v>3</v>
      </c>
      <c r="W267" s="3">
        <f t="shared" si="6"/>
        <v>3</v>
      </c>
      <c r="X267" s="3" t="str">
        <f>IFERROR(__xludf.DUMMYFUNCTION("split(B267,"" "")"),"A.")</f>
        <v>A.</v>
      </c>
      <c r="Y267" s="3" t="str">
        <f>IFERROR(__xludf.DUMMYFUNCTION("""COMPUTED_VALUE"""),"Pierce")</f>
        <v>Pierce</v>
      </c>
      <c r="AA267" s="3">
        <v>1.0</v>
      </c>
      <c r="AB267" s="3">
        <f t="shared" si="7"/>
        <v>0</v>
      </c>
      <c r="AC267" s="3">
        <f t="shared" si="8"/>
        <v>1</v>
      </c>
      <c r="AD267" s="3">
        <f t="shared" si="9"/>
        <v>1.923076923</v>
      </c>
      <c r="AE267" s="3">
        <f t="shared" si="10"/>
        <v>1.923076923</v>
      </c>
      <c r="AF267" s="3">
        <f t="shared" si="11"/>
        <v>1.923076923</v>
      </c>
      <c r="AG267" s="3">
        <f t="shared" si="12"/>
        <v>0.6</v>
      </c>
    </row>
    <row r="268">
      <c r="A268" s="1" t="s">
        <v>8</v>
      </c>
      <c r="B268" s="1" t="s">
        <v>200</v>
      </c>
      <c r="C268" s="1" t="s">
        <v>21</v>
      </c>
      <c r="D268" s="1" t="s">
        <v>71</v>
      </c>
      <c r="E268" s="1" t="s">
        <v>99</v>
      </c>
      <c r="F268" s="1" t="s">
        <v>525</v>
      </c>
      <c r="G268" s="1">
        <v>7.5</v>
      </c>
      <c r="H268" s="1" t="s">
        <v>60</v>
      </c>
      <c r="I268" s="1">
        <v>-117.0</v>
      </c>
      <c r="J268" s="1">
        <v>-0.222704181966771</v>
      </c>
      <c r="K268" s="1" t="s">
        <v>61</v>
      </c>
      <c r="L268" s="1" t="s">
        <v>61</v>
      </c>
      <c r="M268" s="1" t="s">
        <v>62</v>
      </c>
      <c r="N268" s="1">
        <v>-115.0</v>
      </c>
      <c r="O268" s="1">
        <v>0.148655365627012</v>
      </c>
      <c r="P268" s="1" t="s">
        <v>61</v>
      </c>
      <c r="Q268" s="1" t="s">
        <v>61</v>
      </c>
      <c r="R268" s="1">
        <f t="shared" si="1"/>
        <v>0.1486553656</v>
      </c>
      <c r="S268" s="1">
        <f t="shared" si="2"/>
        <v>-115</v>
      </c>
      <c r="T268" s="1">
        <f t="shared" si="3"/>
        <v>1.869565217</v>
      </c>
      <c r="U268" s="1">
        <f t="shared" si="4"/>
        <v>0</v>
      </c>
      <c r="V268" s="3">
        <f t="shared" si="5"/>
        <v>3</v>
      </c>
      <c r="W268" s="3">
        <f t="shared" si="6"/>
        <v>2</v>
      </c>
      <c r="X268" s="3" t="str">
        <f>IFERROR(__xludf.DUMMYFUNCTION("split(B268,"" "")"),"A.")</f>
        <v>A.</v>
      </c>
      <c r="Y268" s="3" t="str">
        <f>IFERROR(__xludf.DUMMYFUNCTION("""COMPUTED_VALUE"""),"Richardson")</f>
        <v>Richardson</v>
      </c>
      <c r="AA268" s="3">
        <v>8.0</v>
      </c>
      <c r="AB268" s="3">
        <f t="shared" si="7"/>
        <v>1</v>
      </c>
      <c r="AC268" s="3">
        <f t="shared" si="8"/>
        <v>0</v>
      </c>
      <c r="AD268" s="3">
        <f t="shared" si="9"/>
        <v>2.608695652</v>
      </c>
      <c r="AE268" s="3">
        <f t="shared" si="10"/>
        <v>-3</v>
      </c>
      <c r="AF268" s="3">
        <f t="shared" si="11"/>
        <v>-2</v>
      </c>
      <c r="AG268" s="3">
        <f t="shared" si="12"/>
        <v>-0.06666666667</v>
      </c>
    </row>
    <row r="269">
      <c r="A269" s="1" t="s">
        <v>12</v>
      </c>
      <c r="B269" s="1" t="s">
        <v>444</v>
      </c>
      <c r="C269" s="1" t="s">
        <v>19</v>
      </c>
      <c r="D269" s="1" t="s">
        <v>71</v>
      </c>
      <c r="E269" s="1" t="s">
        <v>99</v>
      </c>
      <c r="F269" s="1" t="s">
        <v>525</v>
      </c>
      <c r="G269" s="1">
        <v>1.5</v>
      </c>
      <c r="H269" s="1" t="s">
        <v>60</v>
      </c>
      <c r="I269" s="1">
        <v>-173.0</v>
      </c>
      <c r="J269" s="1">
        <v>-0.208734863076923</v>
      </c>
      <c r="K269" s="1" t="s">
        <v>61</v>
      </c>
      <c r="L269" s="1" t="s">
        <v>61</v>
      </c>
      <c r="M269" s="1" t="s">
        <v>62</v>
      </c>
      <c r="N269" s="1">
        <v>131.0</v>
      </c>
      <c r="O269" s="1">
        <v>0.142141201818181</v>
      </c>
      <c r="P269" s="1" t="s">
        <v>61</v>
      </c>
      <c r="Q269" s="1" t="s">
        <v>61</v>
      </c>
      <c r="R269" s="1">
        <f t="shared" si="1"/>
        <v>0.1421412018</v>
      </c>
      <c r="S269" s="1">
        <f t="shared" si="2"/>
        <v>131</v>
      </c>
      <c r="T269" s="1">
        <f t="shared" si="3"/>
        <v>2.31</v>
      </c>
      <c r="U269" s="1">
        <f t="shared" si="4"/>
        <v>0</v>
      </c>
      <c r="V269" s="3">
        <f t="shared" si="5"/>
        <v>3</v>
      </c>
      <c r="W269" s="3">
        <f t="shared" si="6"/>
        <v>1</v>
      </c>
      <c r="X269" s="3" t="str">
        <f>IFERROR(__xludf.DUMMYFUNCTION("split(B269,"" "")"),"J.")</f>
        <v>J.</v>
      </c>
      <c r="Y269" s="3" t="str">
        <f>IFERROR(__xludf.DUMMYFUNCTION("""COMPUTED_VALUE"""),"Taylor")</f>
        <v>Taylor</v>
      </c>
      <c r="AA269" s="3">
        <v>1.0</v>
      </c>
      <c r="AB269" s="3">
        <f t="shared" si="7"/>
        <v>0</v>
      </c>
      <c r="AC269" s="3">
        <f t="shared" si="8"/>
        <v>1</v>
      </c>
      <c r="AD269" s="3">
        <f t="shared" si="9"/>
        <v>3.93</v>
      </c>
      <c r="AE269" s="3">
        <f t="shared" si="10"/>
        <v>3.93</v>
      </c>
      <c r="AF269" s="3">
        <f t="shared" si="11"/>
        <v>1.31</v>
      </c>
      <c r="AG269" s="3">
        <f t="shared" si="12"/>
        <v>0.3333333333</v>
      </c>
    </row>
    <row r="270">
      <c r="A270" s="1" t="s">
        <v>12</v>
      </c>
      <c r="B270" s="1" t="s">
        <v>539</v>
      </c>
      <c r="C270" s="1" t="s">
        <v>18</v>
      </c>
      <c r="D270" s="1" t="s">
        <v>71</v>
      </c>
      <c r="E270" s="1" t="s">
        <v>99</v>
      </c>
      <c r="F270" s="1" t="s">
        <v>525</v>
      </c>
      <c r="G270" s="1">
        <v>2.5</v>
      </c>
      <c r="H270" s="1" t="s">
        <v>60</v>
      </c>
      <c r="I270" s="1">
        <v>-128.0</v>
      </c>
      <c r="J270" s="1">
        <v>-0.170588570701754</v>
      </c>
      <c r="K270" s="1" t="s">
        <v>61</v>
      </c>
      <c r="L270" s="1" t="s">
        <v>61</v>
      </c>
      <c r="M270" s="1" t="s">
        <v>62</v>
      </c>
      <c r="N270" s="1">
        <v>-102.0</v>
      </c>
      <c r="O270" s="1">
        <v>0.104247435655445</v>
      </c>
      <c r="P270" s="1" t="s">
        <v>61</v>
      </c>
      <c r="Q270" s="1" t="s">
        <v>61</v>
      </c>
      <c r="R270" s="1">
        <f t="shared" si="1"/>
        <v>0.1042474357</v>
      </c>
      <c r="S270" s="1">
        <f t="shared" si="2"/>
        <v>-102</v>
      </c>
      <c r="T270" s="1">
        <f t="shared" si="3"/>
        <v>1.980392157</v>
      </c>
      <c r="U270" s="1">
        <f t="shared" si="4"/>
        <v>0</v>
      </c>
      <c r="V270" s="3">
        <f t="shared" si="5"/>
        <v>3</v>
      </c>
      <c r="W270" s="3">
        <f t="shared" si="6"/>
        <v>2</v>
      </c>
      <c r="X270" s="3" t="str">
        <f>IFERROR(__xludf.DUMMYFUNCTION("split(B270,"" "")"),"J.")</f>
        <v>J.</v>
      </c>
      <c r="Y270" s="3" t="str">
        <f>IFERROR(__xludf.DUMMYFUNCTION("""COMPUTED_VALUE"""),"Downs")</f>
        <v>Downs</v>
      </c>
      <c r="AA270" s="3">
        <v>3.0</v>
      </c>
      <c r="AB270" s="3">
        <f t="shared" si="7"/>
        <v>1</v>
      </c>
      <c r="AC270" s="3">
        <f t="shared" si="8"/>
        <v>0</v>
      </c>
      <c r="AD270" s="3">
        <f t="shared" si="9"/>
        <v>2.941176471</v>
      </c>
      <c r="AE270" s="3">
        <f t="shared" si="10"/>
        <v>-3</v>
      </c>
      <c r="AF270" s="3">
        <f t="shared" si="11"/>
        <v>-2</v>
      </c>
      <c r="AG270" s="3">
        <f t="shared" si="12"/>
        <v>-0.2</v>
      </c>
    </row>
    <row r="271">
      <c r="A271" s="1" t="s">
        <v>12</v>
      </c>
      <c r="B271" s="1" t="s">
        <v>70</v>
      </c>
      <c r="C271" s="1" t="s">
        <v>20</v>
      </c>
      <c r="D271" s="1" t="s">
        <v>71</v>
      </c>
      <c r="E271" s="1" t="s">
        <v>99</v>
      </c>
      <c r="F271" s="1" t="s">
        <v>525</v>
      </c>
      <c r="G271" s="1">
        <v>1.5</v>
      </c>
      <c r="H271" s="1" t="s">
        <v>60</v>
      </c>
      <c r="I271" s="1">
        <v>-113.0</v>
      </c>
      <c r="J271" s="1">
        <v>-0.170654635356807</v>
      </c>
      <c r="K271" s="1" t="s">
        <v>61</v>
      </c>
      <c r="L271" s="1" t="s">
        <v>61</v>
      </c>
      <c r="M271" s="1" t="s">
        <v>62</v>
      </c>
      <c r="N271" s="1">
        <v>-116.0</v>
      </c>
      <c r="O271" s="1">
        <v>0.103106663444259</v>
      </c>
      <c r="P271" s="1" t="s">
        <v>61</v>
      </c>
      <c r="Q271" s="1" t="s">
        <v>61</v>
      </c>
      <c r="R271" s="1">
        <f t="shared" si="1"/>
        <v>0.1031066634</v>
      </c>
      <c r="S271" s="1">
        <f t="shared" si="2"/>
        <v>-116</v>
      </c>
      <c r="T271" s="1">
        <f t="shared" si="3"/>
        <v>1.862068966</v>
      </c>
      <c r="U271" s="1">
        <f t="shared" si="4"/>
        <v>0</v>
      </c>
      <c r="V271" s="3">
        <f t="shared" si="5"/>
        <v>3</v>
      </c>
      <c r="W271" s="3">
        <f t="shared" si="6"/>
        <v>2</v>
      </c>
      <c r="X271" s="3" t="str">
        <f>IFERROR(__xludf.DUMMYFUNCTION("split(B271,"" "")"),"K.")</f>
        <v>K.</v>
      </c>
      <c r="Y271" s="3" t="str">
        <f>IFERROR(__xludf.DUMMYFUNCTION("""COMPUTED_VALUE"""),"Granson")</f>
        <v>Granson</v>
      </c>
      <c r="AA271" s="3">
        <v>1.0</v>
      </c>
      <c r="AB271" s="3">
        <f t="shared" si="7"/>
        <v>0</v>
      </c>
      <c r="AC271" s="3">
        <f t="shared" si="8"/>
        <v>1</v>
      </c>
      <c r="AD271" s="3">
        <f t="shared" si="9"/>
        <v>2.586206897</v>
      </c>
      <c r="AE271" s="3">
        <f t="shared" si="10"/>
        <v>2.586206897</v>
      </c>
      <c r="AF271" s="3">
        <f t="shared" si="11"/>
        <v>1.724137931</v>
      </c>
      <c r="AG271" s="3">
        <f t="shared" si="12"/>
        <v>0.3333333333</v>
      </c>
    </row>
    <row r="272">
      <c r="A272" s="1" t="s">
        <v>11</v>
      </c>
      <c r="B272" s="1" t="s">
        <v>217</v>
      </c>
      <c r="C272" s="1" t="s">
        <v>18</v>
      </c>
      <c r="D272" s="1" t="s">
        <v>71</v>
      </c>
      <c r="E272" s="1" t="s">
        <v>99</v>
      </c>
      <c r="F272" s="1" t="s">
        <v>525</v>
      </c>
      <c r="G272" s="1">
        <v>28.5</v>
      </c>
      <c r="H272" s="1" t="s">
        <v>60</v>
      </c>
      <c r="I272" s="1">
        <v>-120.0</v>
      </c>
      <c r="J272" s="1">
        <v>-0.169018783312777</v>
      </c>
      <c r="K272" s="1" t="s">
        <v>61</v>
      </c>
      <c r="L272" s="1" t="s">
        <v>61</v>
      </c>
      <c r="M272" s="1" t="s">
        <v>62</v>
      </c>
      <c r="N272" s="1">
        <v>-110.0</v>
      </c>
      <c r="O272" s="1">
        <v>0.0997797407699625</v>
      </c>
      <c r="P272" s="1" t="s">
        <v>61</v>
      </c>
      <c r="Q272" s="1" t="s">
        <v>61</v>
      </c>
      <c r="R272" s="1">
        <f t="shared" si="1"/>
        <v>0.09977974077</v>
      </c>
      <c r="S272" s="1">
        <f t="shared" si="2"/>
        <v>-110</v>
      </c>
      <c r="T272" s="1">
        <f t="shared" si="3"/>
        <v>1.909090909</v>
      </c>
      <c r="U272" s="1">
        <f t="shared" si="4"/>
        <v>0</v>
      </c>
      <c r="V272" s="3">
        <f t="shared" si="5"/>
        <v>2</v>
      </c>
      <c r="W272" s="3">
        <f t="shared" si="6"/>
        <v>2</v>
      </c>
      <c r="X272" s="3" t="str">
        <f>IFERROR(__xludf.DUMMYFUNCTION("split(B272,"" "")"),"A.")</f>
        <v>A.</v>
      </c>
      <c r="Y272" s="3" t="str">
        <f>IFERROR(__xludf.DUMMYFUNCTION("""COMPUTED_VALUE"""),"Pierce")</f>
        <v>Pierce</v>
      </c>
      <c r="AA272" s="3">
        <v>44.0</v>
      </c>
      <c r="AB272" s="3">
        <f t="shared" si="7"/>
        <v>1</v>
      </c>
      <c r="AC272" s="3">
        <f t="shared" si="8"/>
        <v>0</v>
      </c>
      <c r="AD272" s="3">
        <f t="shared" si="9"/>
        <v>1.818181818</v>
      </c>
      <c r="AE272" s="3">
        <f t="shared" si="10"/>
        <v>-2</v>
      </c>
      <c r="AF272" s="3">
        <f t="shared" si="11"/>
        <v>-2</v>
      </c>
      <c r="AG272" s="3">
        <f t="shared" si="12"/>
        <v>-0.5438596491</v>
      </c>
    </row>
    <row r="273">
      <c r="A273" s="1" t="s">
        <v>15</v>
      </c>
      <c r="B273" s="1" t="s">
        <v>200</v>
      </c>
      <c r="C273" s="1" t="s">
        <v>21</v>
      </c>
      <c r="D273" s="1" t="s">
        <v>71</v>
      </c>
      <c r="E273" s="1" t="s">
        <v>99</v>
      </c>
      <c r="F273" s="1" t="s">
        <v>525</v>
      </c>
      <c r="G273" s="1">
        <v>17.5</v>
      </c>
      <c r="H273" s="1" t="s">
        <v>60</v>
      </c>
      <c r="I273" s="1">
        <v>-118.0</v>
      </c>
      <c r="J273" s="1">
        <v>-0.157667603362385</v>
      </c>
      <c r="K273" s="1" t="s">
        <v>61</v>
      </c>
      <c r="L273" s="1" t="s">
        <v>61</v>
      </c>
      <c r="M273" s="1" t="s">
        <v>62</v>
      </c>
      <c r="N273" s="1">
        <v>-111.0</v>
      </c>
      <c r="O273" s="1">
        <v>0.0903437472115166</v>
      </c>
      <c r="P273" s="1" t="s">
        <v>61</v>
      </c>
      <c r="Q273" s="1" t="s">
        <v>61</v>
      </c>
      <c r="R273" s="1">
        <f t="shared" si="1"/>
        <v>0.09034374721</v>
      </c>
      <c r="S273" s="1">
        <f t="shared" si="2"/>
        <v>-111</v>
      </c>
      <c r="T273" s="1">
        <f t="shared" si="3"/>
        <v>1.900900901</v>
      </c>
      <c r="U273" s="1">
        <f t="shared" si="4"/>
        <v>0</v>
      </c>
      <c r="V273" s="3">
        <f t="shared" si="5"/>
        <v>2</v>
      </c>
      <c r="W273" s="3">
        <f t="shared" si="6"/>
        <v>2</v>
      </c>
      <c r="X273" s="3" t="str">
        <f>IFERROR(__xludf.DUMMYFUNCTION("split(B273,"" "")"),"A.")</f>
        <v>A.</v>
      </c>
      <c r="Y273" s="3" t="str">
        <f>IFERROR(__xludf.DUMMYFUNCTION("""COMPUTED_VALUE"""),"Richardson")</f>
        <v>Richardson</v>
      </c>
      <c r="AA273" s="3">
        <v>10.0</v>
      </c>
      <c r="AB273" s="3">
        <f t="shared" si="7"/>
        <v>0</v>
      </c>
      <c r="AC273" s="3">
        <f t="shared" si="8"/>
        <v>1</v>
      </c>
      <c r="AD273" s="3">
        <f t="shared" si="9"/>
        <v>1.801801802</v>
      </c>
      <c r="AE273" s="3">
        <f t="shared" si="10"/>
        <v>1.801801802</v>
      </c>
      <c r="AF273" s="3">
        <f t="shared" si="11"/>
        <v>1.801801802</v>
      </c>
      <c r="AG273" s="3">
        <f t="shared" si="12"/>
        <v>0.4285714286</v>
      </c>
    </row>
    <row r="274">
      <c r="A274" s="1" t="s">
        <v>8</v>
      </c>
      <c r="B274" s="1" t="s">
        <v>444</v>
      </c>
      <c r="C274" s="1" t="s">
        <v>19</v>
      </c>
      <c r="D274" s="1" t="s">
        <v>71</v>
      </c>
      <c r="E274" s="1" t="s">
        <v>99</v>
      </c>
      <c r="F274" s="1" t="s">
        <v>525</v>
      </c>
      <c r="G274" s="1">
        <v>18.5</v>
      </c>
      <c r="H274" s="1" t="s">
        <v>60</v>
      </c>
      <c r="I274" s="1">
        <v>-104.0</v>
      </c>
      <c r="J274" s="1">
        <v>0.0671949985921569</v>
      </c>
      <c r="K274" s="1" t="s">
        <v>61</v>
      </c>
      <c r="L274" s="1" t="s">
        <v>61</v>
      </c>
      <c r="M274" s="1" t="s">
        <v>62</v>
      </c>
      <c r="N274" s="1">
        <v>-125.0</v>
      </c>
      <c r="O274" s="1">
        <v>-0.132541793644444</v>
      </c>
      <c r="P274" s="1" t="s">
        <v>61</v>
      </c>
      <c r="Q274" s="1" t="s">
        <v>61</v>
      </c>
      <c r="R274" s="1">
        <f t="shared" si="1"/>
        <v>0.06719499859</v>
      </c>
      <c r="S274" s="1">
        <f t="shared" si="2"/>
        <v>-104</v>
      </c>
      <c r="T274" s="1">
        <f t="shared" si="3"/>
        <v>1.961538462</v>
      </c>
      <c r="U274" s="1">
        <f t="shared" si="4"/>
        <v>1</v>
      </c>
      <c r="V274" s="3">
        <f t="shared" si="5"/>
        <v>2</v>
      </c>
      <c r="W274" s="3">
        <f t="shared" si="6"/>
        <v>2</v>
      </c>
      <c r="X274" s="3" t="str">
        <f>IFERROR(__xludf.DUMMYFUNCTION("split(B274,"" "")"),"J.")</f>
        <v>J.</v>
      </c>
      <c r="Y274" s="3" t="str">
        <f>IFERROR(__xludf.DUMMYFUNCTION("""COMPUTED_VALUE"""),"Taylor")</f>
        <v>Taylor</v>
      </c>
      <c r="AA274" s="3">
        <v>23.0</v>
      </c>
      <c r="AB274" s="3">
        <f t="shared" si="7"/>
        <v>1</v>
      </c>
      <c r="AC274" s="3">
        <f t="shared" si="8"/>
        <v>1</v>
      </c>
      <c r="AD274" s="3">
        <f t="shared" si="9"/>
        <v>1.923076923</v>
      </c>
      <c r="AE274" s="3">
        <f t="shared" si="10"/>
        <v>1.923076923</v>
      </c>
      <c r="AF274" s="3">
        <f t="shared" si="11"/>
        <v>1.923076923</v>
      </c>
      <c r="AG274" s="3">
        <f t="shared" si="12"/>
        <v>0.2432432432</v>
      </c>
    </row>
    <row r="275">
      <c r="A275" s="1" t="s">
        <v>12</v>
      </c>
      <c r="B275" s="1" t="s">
        <v>125</v>
      </c>
      <c r="C275" s="1" t="s">
        <v>18</v>
      </c>
      <c r="D275" s="1" t="s">
        <v>71</v>
      </c>
      <c r="E275" s="1" t="s">
        <v>99</v>
      </c>
      <c r="F275" s="1" t="s">
        <v>525</v>
      </c>
      <c r="G275" s="1">
        <v>1.5</v>
      </c>
      <c r="H275" s="1" t="s">
        <v>60</v>
      </c>
      <c r="I275" s="1">
        <v>-105.0</v>
      </c>
      <c r="J275" s="1">
        <v>-0.134442883609756</v>
      </c>
      <c r="K275" s="1" t="s">
        <v>61</v>
      </c>
      <c r="L275" s="1" t="s">
        <v>61</v>
      </c>
      <c r="M275" s="1" t="s">
        <v>62</v>
      </c>
      <c r="N275" s="1">
        <v>-125.0</v>
      </c>
      <c r="O275" s="1">
        <v>0.0666988396666666</v>
      </c>
      <c r="P275" s="1" t="s">
        <v>61</v>
      </c>
      <c r="Q275" s="1" t="s">
        <v>61</v>
      </c>
      <c r="R275" s="1">
        <f t="shared" si="1"/>
        <v>0.06669883967</v>
      </c>
      <c r="S275" s="1">
        <f t="shared" si="2"/>
        <v>-125</v>
      </c>
      <c r="T275" s="1">
        <f t="shared" si="3"/>
        <v>1.8</v>
      </c>
      <c r="U275" s="1">
        <f t="shared" si="4"/>
        <v>0</v>
      </c>
      <c r="V275" s="3">
        <f t="shared" si="5"/>
        <v>2</v>
      </c>
      <c r="W275" s="3">
        <f t="shared" si="6"/>
        <v>3</v>
      </c>
      <c r="X275" s="3" t="str">
        <f>IFERROR(__xludf.DUMMYFUNCTION("split(B275,"" "")"),"A.")</f>
        <v>A.</v>
      </c>
      <c r="Y275" s="3" t="str">
        <f>IFERROR(__xludf.DUMMYFUNCTION("""COMPUTED_VALUE"""),"Mitchell")</f>
        <v>Mitchell</v>
      </c>
      <c r="AA275" s="3">
        <v>0.0</v>
      </c>
      <c r="AB275" s="3">
        <f t="shared" si="7"/>
        <v>0</v>
      </c>
      <c r="AC275" s="3">
        <f t="shared" si="8"/>
        <v>1</v>
      </c>
      <c r="AD275" s="3">
        <f t="shared" si="9"/>
        <v>1.6</v>
      </c>
      <c r="AE275" s="3">
        <f t="shared" si="10"/>
        <v>1.6</v>
      </c>
      <c r="AF275" s="3">
        <f t="shared" si="11"/>
        <v>2.4</v>
      </c>
      <c r="AG275" s="3">
        <f t="shared" si="12"/>
        <v>1</v>
      </c>
    </row>
    <row r="276">
      <c r="A276" s="1" t="s">
        <v>10</v>
      </c>
      <c r="B276" s="1" t="s">
        <v>200</v>
      </c>
      <c r="C276" s="1" t="s">
        <v>21</v>
      </c>
      <c r="D276" s="1" t="s">
        <v>71</v>
      </c>
      <c r="E276" s="1" t="s">
        <v>99</v>
      </c>
      <c r="F276" s="1" t="s">
        <v>525</v>
      </c>
      <c r="G276" s="1">
        <v>42.5</v>
      </c>
      <c r="H276" s="1" t="s">
        <v>60</v>
      </c>
      <c r="I276" s="1">
        <v>-114.0</v>
      </c>
      <c r="J276" s="1">
        <v>-0.120817392247911</v>
      </c>
      <c r="K276" s="1" t="s">
        <v>61</v>
      </c>
      <c r="L276" s="1" t="s">
        <v>61</v>
      </c>
      <c r="M276" s="1" t="s">
        <v>62</v>
      </c>
      <c r="N276" s="1">
        <v>-115.0</v>
      </c>
      <c r="O276" s="1">
        <v>0.0531949383890741</v>
      </c>
      <c r="P276" s="1" t="s">
        <v>61</v>
      </c>
      <c r="Q276" s="1" t="s">
        <v>61</v>
      </c>
      <c r="R276" s="1">
        <f t="shared" si="1"/>
        <v>0.05319493839</v>
      </c>
      <c r="S276" s="1">
        <f t="shared" si="2"/>
        <v>-115</v>
      </c>
      <c r="T276" s="1">
        <f t="shared" si="3"/>
        <v>1.869565217</v>
      </c>
      <c r="U276" s="1">
        <f t="shared" si="4"/>
        <v>0</v>
      </c>
      <c r="V276" s="3">
        <f t="shared" si="5"/>
        <v>2</v>
      </c>
      <c r="W276" s="3">
        <f t="shared" si="6"/>
        <v>2</v>
      </c>
      <c r="X276" s="3" t="str">
        <f>IFERROR(__xludf.DUMMYFUNCTION("split(B276,"" "")"),"A.")</f>
        <v>A.</v>
      </c>
      <c r="Y276" s="3" t="str">
        <f>IFERROR(__xludf.DUMMYFUNCTION("""COMPUTED_VALUE"""),"Richardson")</f>
        <v>Richardson</v>
      </c>
      <c r="AA276" s="3">
        <v>24.0</v>
      </c>
      <c r="AB276" s="3">
        <f t="shared" si="7"/>
        <v>0</v>
      </c>
      <c r="AC276" s="3">
        <f t="shared" si="8"/>
        <v>1</v>
      </c>
      <c r="AD276" s="3">
        <f t="shared" si="9"/>
        <v>1.739130435</v>
      </c>
      <c r="AE276" s="3">
        <f t="shared" si="10"/>
        <v>1.739130435</v>
      </c>
      <c r="AF276" s="3">
        <f t="shared" si="11"/>
        <v>1.739130435</v>
      </c>
      <c r="AG276" s="3">
        <f t="shared" si="12"/>
        <v>0.4352941176</v>
      </c>
    </row>
    <row r="277">
      <c r="A277" s="1" t="s">
        <v>9</v>
      </c>
      <c r="B277" s="1" t="s">
        <v>539</v>
      </c>
      <c r="C277" s="1" t="s">
        <v>18</v>
      </c>
      <c r="D277" s="1" t="s">
        <v>71</v>
      </c>
      <c r="E277" s="1" t="s">
        <v>99</v>
      </c>
      <c r="F277" s="1" t="s">
        <v>525</v>
      </c>
      <c r="G277" s="1">
        <v>29.5</v>
      </c>
      <c r="H277" s="1" t="s">
        <v>60</v>
      </c>
      <c r="I277" s="1">
        <v>-117.0</v>
      </c>
      <c r="J277" s="1">
        <v>0.0383819564317527</v>
      </c>
      <c r="K277" s="1" t="s">
        <v>61</v>
      </c>
      <c r="L277" s="1" t="s">
        <v>61</v>
      </c>
      <c r="M277" s="1" t="s">
        <v>62</v>
      </c>
      <c r="N277" s="1">
        <v>-115.0</v>
      </c>
      <c r="O277" s="1">
        <v>-0.112444615011832</v>
      </c>
      <c r="P277" s="1" t="s">
        <v>61</v>
      </c>
      <c r="Q277" s="1" t="s">
        <v>61</v>
      </c>
      <c r="R277" s="1">
        <f t="shared" si="1"/>
        <v>0.03838195643</v>
      </c>
      <c r="S277" s="1">
        <f t="shared" si="2"/>
        <v>-117</v>
      </c>
      <c r="T277" s="1">
        <f t="shared" si="3"/>
        <v>1.854700855</v>
      </c>
      <c r="U277" s="1">
        <f t="shared" si="4"/>
        <v>1</v>
      </c>
      <c r="V277" s="3">
        <f t="shared" si="5"/>
        <v>1</v>
      </c>
      <c r="W277" s="3">
        <f t="shared" si="6"/>
        <v>2</v>
      </c>
      <c r="X277" s="3" t="str">
        <f>IFERROR(__xludf.DUMMYFUNCTION("split(B277,"" "")"),"J.")</f>
        <v>J.</v>
      </c>
      <c r="Y277" s="3" t="str">
        <f>IFERROR(__xludf.DUMMYFUNCTION("""COMPUTED_VALUE"""),"Downs")</f>
        <v>Downs</v>
      </c>
      <c r="AA277" s="3">
        <v>22.0</v>
      </c>
      <c r="AB277" s="3">
        <f t="shared" si="7"/>
        <v>0</v>
      </c>
      <c r="AC277" s="3">
        <f t="shared" si="8"/>
        <v>0</v>
      </c>
      <c r="AD277" s="3">
        <f t="shared" si="9"/>
        <v>0.8547008547</v>
      </c>
      <c r="AE277" s="3">
        <f t="shared" si="10"/>
        <v>-1</v>
      </c>
      <c r="AF277" s="3">
        <f t="shared" si="11"/>
        <v>-2</v>
      </c>
      <c r="AG277" s="3">
        <f t="shared" si="12"/>
        <v>-0.2542372881</v>
      </c>
    </row>
    <row r="278">
      <c r="A278" s="1" t="s">
        <v>17</v>
      </c>
      <c r="B278" s="1" t="s">
        <v>200</v>
      </c>
      <c r="C278" s="1" t="s">
        <v>21</v>
      </c>
      <c r="D278" s="1" t="s">
        <v>71</v>
      </c>
      <c r="E278" s="1" t="s">
        <v>99</v>
      </c>
      <c r="F278" s="1" t="s">
        <v>525</v>
      </c>
      <c r="G278" s="1">
        <v>0.5</v>
      </c>
      <c r="H278" s="1" t="s">
        <v>60</v>
      </c>
      <c r="I278" s="1">
        <v>-125.0</v>
      </c>
      <c r="J278" s="1">
        <v>-0.0939555555555555</v>
      </c>
      <c r="K278" s="1" t="s">
        <v>61</v>
      </c>
      <c r="L278" s="1" t="s">
        <v>61</v>
      </c>
      <c r="M278" s="1" t="s">
        <v>62</v>
      </c>
      <c r="N278" s="1">
        <v>-104.0</v>
      </c>
      <c r="O278" s="1">
        <v>0.0285960784313725</v>
      </c>
      <c r="P278" s="1" t="s">
        <v>61</v>
      </c>
      <c r="Q278" s="1" t="s">
        <v>61</v>
      </c>
      <c r="R278" s="1">
        <f t="shared" si="1"/>
        <v>0.02859607843</v>
      </c>
      <c r="S278" s="1">
        <f t="shared" si="2"/>
        <v>-104</v>
      </c>
      <c r="T278" s="1">
        <f t="shared" si="3"/>
        <v>1.961538462</v>
      </c>
      <c r="U278" s="1">
        <f t="shared" si="4"/>
        <v>0</v>
      </c>
      <c r="V278" s="3">
        <f t="shared" si="5"/>
        <v>1</v>
      </c>
      <c r="W278" s="3">
        <f t="shared" si="6"/>
        <v>2</v>
      </c>
      <c r="X278" s="3" t="str">
        <f>IFERROR(__xludf.DUMMYFUNCTION("split(B278,"" "")"),"A.")</f>
        <v>A.</v>
      </c>
      <c r="Y278" s="3" t="str">
        <f>IFERROR(__xludf.DUMMYFUNCTION("""COMPUTED_VALUE"""),"Richardson")</f>
        <v>Richardson</v>
      </c>
      <c r="AA278" s="3">
        <v>2.0</v>
      </c>
      <c r="AB278" s="3">
        <f t="shared" si="7"/>
        <v>1</v>
      </c>
      <c r="AC278" s="3">
        <f t="shared" si="8"/>
        <v>0</v>
      </c>
      <c r="AD278" s="3">
        <f t="shared" si="9"/>
        <v>0.9615384615</v>
      </c>
      <c r="AE278" s="3">
        <f t="shared" si="10"/>
        <v>-1</v>
      </c>
      <c r="AF278" s="3">
        <f t="shared" si="11"/>
        <v>-2</v>
      </c>
      <c r="AG278" s="3">
        <f t="shared" si="12"/>
        <v>-3</v>
      </c>
    </row>
    <row r="279">
      <c r="A279" s="1" t="s">
        <v>12</v>
      </c>
      <c r="B279" s="1" t="s">
        <v>391</v>
      </c>
      <c r="C279" s="1" t="s">
        <v>18</v>
      </c>
      <c r="D279" s="1" t="s">
        <v>71</v>
      </c>
      <c r="E279" s="1" t="s">
        <v>99</v>
      </c>
      <c r="F279" s="1" t="s">
        <v>525</v>
      </c>
      <c r="G279" s="1">
        <v>4.5</v>
      </c>
      <c r="H279" s="1" t="s">
        <v>60</v>
      </c>
      <c r="I279" s="1">
        <v>-111.0</v>
      </c>
      <c r="J279" s="1">
        <v>0.0213810426540284</v>
      </c>
      <c r="K279" s="1" t="s">
        <v>61</v>
      </c>
      <c r="L279" s="1" t="s">
        <v>61</v>
      </c>
      <c r="M279" s="1" t="s">
        <v>62</v>
      </c>
      <c r="N279" s="1">
        <v>-119.0</v>
      </c>
      <c r="O279" s="1">
        <v>-0.0908333333333332</v>
      </c>
      <c r="P279" s="1" t="s">
        <v>61</v>
      </c>
      <c r="Q279" s="1" t="s">
        <v>61</v>
      </c>
      <c r="R279" s="1">
        <f t="shared" si="1"/>
        <v>0.02138104265</v>
      </c>
      <c r="S279" s="1">
        <f t="shared" si="2"/>
        <v>-111</v>
      </c>
      <c r="T279" s="1">
        <f t="shared" si="3"/>
        <v>1.900900901</v>
      </c>
      <c r="U279" s="1">
        <f t="shared" si="4"/>
        <v>1</v>
      </c>
      <c r="V279" s="3">
        <f t="shared" si="5"/>
        <v>1</v>
      </c>
      <c r="W279" s="3">
        <f t="shared" si="6"/>
        <v>2</v>
      </c>
      <c r="X279" s="3" t="str">
        <f>IFERROR(__xludf.DUMMYFUNCTION("split(B279,"" "")"),"M.")</f>
        <v>M.</v>
      </c>
      <c r="Y279" s="3" t="str">
        <f>IFERROR(__xludf.DUMMYFUNCTION("""COMPUTED_VALUE"""),"Pittman")</f>
        <v>Pittman</v>
      </c>
      <c r="Z279" s="3" t="str">
        <f>IFERROR(__xludf.DUMMYFUNCTION("""COMPUTED_VALUE"""),"Jr.")</f>
        <v>Jr.</v>
      </c>
      <c r="AA279" s="3">
        <v>4.0</v>
      </c>
      <c r="AB279" s="3">
        <f t="shared" si="7"/>
        <v>0</v>
      </c>
      <c r="AC279" s="3">
        <f t="shared" si="8"/>
        <v>0</v>
      </c>
      <c r="AD279" s="3">
        <f t="shared" si="9"/>
        <v>0.9009009009</v>
      </c>
      <c r="AE279" s="3">
        <f t="shared" si="10"/>
        <v>-1</v>
      </c>
      <c r="AF279" s="3">
        <f t="shared" si="11"/>
        <v>-2</v>
      </c>
      <c r="AG279" s="3">
        <f t="shared" si="12"/>
        <v>-0.1111111111</v>
      </c>
    </row>
    <row r="280">
      <c r="A280" s="1" t="s">
        <v>16</v>
      </c>
      <c r="B280" s="1" t="s">
        <v>200</v>
      </c>
      <c r="C280" s="1" t="s">
        <v>21</v>
      </c>
      <c r="D280" s="1" t="s">
        <v>71</v>
      </c>
      <c r="E280" s="1" t="s">
        <v>99</v>
      </c>
      <c r="F280" s="1" t="s">
        <v>525</v>
      </c>
      <c r="G280" s="1">
        <v>28.5</v>
      </c>
      <c r="H280" s="1" t="s">
        <v>60</v>
      </c>
      <c r="I280" s="1">
        <v>-116.0</v>
      </c>
      <c r="J280" s="1">
        <v>-0.0795357383333334</v>
      </c>
      <c r="K280" s="1" t="s">
        <v>61</v>
      </c>
      <c r="L280" s="1" t="s">
        <v>61</v>
      </c>
      <c r="M280" s="1" t="s">
        <v>62</v>
      </c>
      <c r="N280" s="1">
        <v>-113.0</v>
      </c>
      <c r="O280" s="1">
        <v>0.0119820798704226</v>
      </c>
      <c r="P280" s="1" t="s">
        <v>61</v>
      </c>
      <c r="Q280" s="1" t="s">
        <v>61</v>
      </c>
      <c r="R280" s="1">
        <f t="shared" si="1"/>
        <v>0.01198207987</v>
      </c>
      <c r="S280" s="1">
        <f t="shared" si="2"/>
        <v>-113</v>
      </c>
      <c r="T280" s="1">
        <f t="shared" si="3"/>
        <v>1.884955752</v>
      </c>
      <c r="U280" s="1">
        <f t="shared" si="4"/>
        <v>0</v>
      </c>
      <c r="V280" s="3">
        <f t="shared" si="5"/>
        <v>1</v>
      </c>
      <c r="W280" s="3">
        <f t="shared" si="6"/>
        <v>2</v>
      </c>
      <c r="X280" s="3" t="str">
        <f>IFERROR(__xludf.DUMMYFUNCTION("split(B280,"" "")"),"A.")</f>
        <v>A.</v>
      </c>
      <c r="Y280" s="3" t="str">
        <f>IFERROR(__xludf.DUMMYFUNCTION("""COMPUTED_VALUE"""),"Richardson")</f>
        <v>Richardson</v>
      </c>
      <c r="AA280" s="3">
        <v>20.0</v>
      </c>
      <c r="AB280" s="3">
        <f t="shared" si="7"/>
        <v>0</v>
      </c>
      <c r="AC280" s="3">
        <f t="shared" si="8"/>
        <v>1</v>
      </c>
      <c r="AD280" s="3">
        <f t="shared" si="9"/>
        <v>0.8849557522</v>
      </c>
      <c r="AE280" s="3">
        <f t="shared" si="10"/>
        <v>0.8849557522</v>
      </c>
      <c r="AF280" s="3">
        <f t="shared" si="11"/>
        <v>1.769911504</v>
      </c>
      <c r="AG280" s="3">
        <f t="shared" si="12"/>
        <v>0.298245614</v>
      </c>
    </row>
    <row r="281">
      <c r="A281" s="1" t="s">
        <v>11</v>
      </c>
      <c r="B281" s="1" t="s">
        <v>444</v>
      </c>
      <c r="C281" s="1" t="s">
        <v>19</v>
      </c>
      <c r="D281" s="1" t="s">
        <v>71</v>
      </c>
      <c r="E281" s="1" t="s">
        <v>99</v>
      </c>
      <c r="F281" s="1" t="s">
        <v>525</v>
      </c>
      <c r="G281" s="1">
        <v>11.5</v>
      </c>
      <c r="H281" s="1" t="s">
        <v>60</v>
      </c>
      <c r="I281" s="1">
        <v>-113.0</v>
      </c>
      <c r="J281" s="1">
        <v>0.00875530521794421</v>
      </c>
      <c r="K281" s="1" t="s">
        <v>61</v>
      </c>
      <c r="L281" s="1" t="s">
        <v>61</v>
      </c>
      <c r="M281" s="1" t="s">
        <v>62</v>
      </c>
      <c r="N281" s="1">
        <v>-115.0</v>
      </c>
      <c r="O281" s="1">
        <v>-0.074095800061095</v>
      </c>
      <c r="P281" s="1" t="s">
        <v>61</v>
      </c>
      <c r="Q281" s="1" t="s">
        <v>61</v>
      </c>
      <c r="R281" s="1">
        <f t="shared" si="1"/>
        <v>0.008755305218</v>
      </c>
      <c r="S281" s="1">
        <f t="shared" si="2"/>
        <v>-113</v>
      </c>
      <c r="T281" s="1">
        <f t="shared" si="3"/>
        <v>1.884955752</v>
      </c>
      <c r="U281" s="1">
        <f t="shared" si="4"/>
        <v>1</v>
      </c>
      <c r="V281" s="3">
        <f t="shared" si="5"/>
        <v>1</v>
      </c>
      <c r="W281" s="3">
        <f t="shared" si="6"/>
        <v>2</v>
      </c>
      <c r="X281" s="3" t="str">
        <f>IFERROR(__xludf.DUMMYFUNCTION("split(B281,"" "")"),"J.")</f>
        <v>J.</v>
      </c>
      <c r="Y281" s="3" t="str">
        <f>IFERROR(__xludf.DUMMYFUNCTION("""COMPUTED_VALUE"""),"Taylor")</f>
        <v>Taylor</v>
      </c>
      <c r="AA281" s="3">
        <v>25.0</v>
      </c>
      <c r="AB281" s="3">
        <f t="shared" si="7"/>
        <v>1</v>
      </c>
      <c r="AC281" s="3">
        <f t="shared" si="8"/>
        <v>1</v>
      </c>
      <c r="AD281" s="3">
        <f t="shared" si="9"/>
        <v>0.8849557522</v>
      </c>
      <c r="AE281" s="3">
        <f t="shared" si="10"/>
        <v>0.8849557522</v>
      </c>
      <c r="AF281" s="3">
        <f t="shared" si="11"/>
        <v>1.769911504</v>
      </c>
      <c r="AG281" s="3">
        <f t="shared" si="12"/>
        <v>1.173913043</v>
      </c>
    </row>
    <row r="282">
      <c r="A282" s="1" t="s">
        <v>11</v>
      </c>
      <c r="B282" s="1" t="s">
        <v>539</v>
      </c>
      <c r="C282" s="1" t="s">
        <v>18</v>
      </c>
      <c r="D282" s="1" t="s">
        <v>71</v>
      </c>
      <c r="E282" s="1" t="s">
        <v>99</v>
      </c>
      <c r="F282" s="1" t="s">
        <v>525</v>
      </c>
      <c r="G282" s="1">
        <v>29.5</v>
      </c>
      <c r="H282" s="1" t="s">
        <v>60</v>
      </c>
      <c r="I282" s="1">
        <v>-115.0</v>
      </c>
      <c r="J282" s="1">
        <v>-0.0726898671413954</v>
      </c>
      <c r="K282" s="1" t="s">
        <v>61</v>
      </c>
      <c r="L282" s="1" t="s">
        <v>61</v>
      </c>
      <c r="M282" s="1" t="s">
        <v>62</v>
      </c>
      <c r="N282" s="1">
        <v>-115.0</v>
      </c>
      <c r="O282" s="1">
        <v>0.00295239570260474</v>
      </c>
      <c r="P282" s="1" t="s">
        <v>61</v>
      </c>
      <c r="Q282" s="1" t="s">
        <v>61</v>
      </c>
      <c r="R282" s="1">
        <f t="shared" si="1"/>
        <v>0.002952395703</v>
      </c>
      <c r="S282" s="1">
        <f t="shared" si="2"/>
        <v>-115</v>
      </c>
      <c r="T282" s="1">
        <f t="shared" si="3"/>
        <v>1.869565217</v>
      </c>
      <c r="U282" s="1">
        <f t="shared" si="4"/>
        <v>0</v>
      </c>
      <c r="V282" s="3">
        <f t="shared" si="5"/>
        <v>1</v>
      </c>
      <c r="W282" s="3">
        <f t="shared" si="6"/>
        <v>2</v>
      </c>
      <c r="X282" s="3" t="str">
        <f>IFERROR(__xludf.DUMMYFUNCTION("split(B282,"" "")"),"J.")</f>
        <v>J.</v>
      </c>
      <c r="Y282" s="3" t="str">
        <f>IFERROR(__xludf.DUMMYFUNCTION("""COMPUTED_VALUE"""),"Downs")</f>
        <v>Downs</v>
      </c>
      <c r="AA282" s="3">
        <v>22.0</v>
      </c>
      <c r="AB282" s="3">
        <f t="shared" si="7"/>
        <v>0</v>
      </c>
      <c r="AC282" s="3">
        <f t="shared" si="8"/>
        <v>1</v>
      </c>
      <c r="AD282" s="3">
        <f t="shared" si="9"/>
        <v>0.8695652174</v>
      </c>
      <c r="AE282" s="3">
        <f t="shared" si="10"/>
        <v>0.8695652174</v>
      </c>
      <c r="AF282" s="3">
        <f t="shared" si="11"/>
        <v>1.739130435</v>
      </c>
      <c r="AG282" s="3">
        <f t="shared" si="12"/>
        <v>0.2542372881</v>
      </c>
    </row>
    <row r="283">
      <c r="A283" s="1" t="s">
        <v>12</v>
      </c>
      <c r="B283" s="1" t="s">
        <v>540</v>
      </c>
      <c r="C283" s="1" t="s">
        <v>19</v>
      </c>
      <c r="D283" s="1" t="s">
        <v>71</v>
      </c>
      <c r="E283" s="1" t="s">
        <v>99</v>
      </c>
      <c r="F283" s="1" t="s">
        <v>525</v>
      </c>
      <c r="G283" s="1">
        <v>1.5</v>
      </c>
      <c r="H283" s="1" t="s">
        <v>60</v>
      </c>
      <c r="I283" s="1">
        <v>240.0</v>
      </c>
      <c r="J283" s="1">
        <v>0.00102552435058816</v>
      </c>
      <c r="K283" s="1" t="s">
        <v>61</v>
      </c>
      <c r="L283" s="1" t="s">
        <v>61</v>
      </c>
      <c r="M283" s="1" t="s">
        <v>62</v>
      </c>
      <c r="N283" s="1">
        <v>-350.0</v>
      </c>
      <c r="O283" s="1">
        <v>-0.0729151610900001</v>
      </c>
      <c r="P283" s="1" t="s">
        <v>61</v>
      </c>
      <c r="Q283" s="1" t="s">
        <v>61</v>
      </c>
      <c r="R283" s="1">
        <f t="shared" si="1"/>
        <v>0.001025524351</v>
      </c>
      <c r="S283" s="1">
        <f t="shared" si="2"/>
        <v>240</v>
      </c>
      <c r="T283" s="1">
        <f t="shared" si="3"/>
        <v>3.4</v>
      </c>
      <c r="U283" s="1">
        <f t="shared" si="4"/>
        <v>1</v>
      </c>
      <c r="V283" s="3">
        <f t="shared" si="5"/>
        <v>1</v>
      </c>
      <c r="W283" s="3">
        <f t="shared" si="6"/>
        <v>1</v>
      </c>
      <c r="X283" s="3" t="str">
        <f>IFERROR(__xludf.DUMMYFUNCTION("split(B283,"" "")"),"T.")</f>
        <v>T.</v>
      </c>
      <c r="Y283" s="3" t="str">
        <f>IFERROR(__xludf.DUMMYFUNCTION("""COMPUTED_VALUE"""),"Sermon")</f>
        <v>Sermon</v>
      </c>
      <c r="AA283" s="3">
        <v>0.0</v>
      </c>
      <c r="AB283" s="3">
        <f t="shared" si="7"/>
        <v>0</v>
      </c>
      <c r="AC283" s="3">
        <f t="shared" si="8"/>
        <v>0</v>
      </c>
      <c r="AD283" s="3">
        <f t="shared" si="9"/>
        <v>2.4</v>
      </c>
      <c r="AE283" s="3">
        <f t="shared" si="10"/>
        <v>-1</v>
      </c>
      <c r="AF283" s="3">
        <f t="shared" si="11"/>
        <v>-1</v>
      </c>
      <c r="AG283" s="3">
        <f t="shared" si="12"/>
        <v>-1</v>
      </c>
    </row>
    <row r="284">
      <c r="A284" s="1" t="s">
        <v>9</v>
      </c>
      <c r="B284" s="1" t="s">
        <v>391</v>
      </c>
      <c r="C284" s="1" t="s">
        <v>18</v>
      </c>
      <c r="D284" s="1" t="s">
        <v>71</v>
      </c>
      <c r="E284" s="1" t="s">
        <v>99</v>
      </c>
      <c r="F284" s="1" t="s">
        <v>525</v>
      </c>
      <c r="G284" s="1">
        <v>49.5</v>
      </c>
      <c r="H284" s="1" t="s">
        <v>60</v>
      </c>
      <c r="I284" s="1">
        <v>-115.0</v>
      </c>
      <c r="J284" s="1">
        <v>7.29115665921709E-4</v>
      </c>
      <c r="K284" s="1" t="s">
        <v>61</v>
      </c>
      <c r="L284" s="1" t="s">
        <v>61</v>
      </c>
      <c r="M284" s="1" t="s">
        <v>62</v>
      </c>
      <c r="N284" s="1">
        <v>-115.0</v>
      </c>
      <c r="O284" s="1">
        <v>-0.0705134830158101</v>
      </c>
      <c r="P284" s="1" t="s">
        <v>61</v>
      </c>
      <c r="Q284" s="1" t="s">
        <v>61</v>
      </c>
      <c r="R284" s="1">
        <f t="shared" si="1"/>
        <v>0.0007291156659</v>
      </c>
      <c r="S284" s="1">
        <f t="shared" si="2"/>
        <v>-115</v>
      </c>
      <c r="T284" s="1">
        <f t="shared" si="3"/>
        <v>1.869565217</v>
      </c>
      <c r="U284" s="1">
        <f t="shared" si="4"/>
        <v>1</v>
      </c>
      <c r="V284" s="3">
        <f t="shared" si="5"/>
        <v>1</v>
      </c>
      <c r="W284" s="3">
        <f t="shared" si="6"/>
        <v>2</v>
      </c>
      <c r="X284" s="3" t="str">
        <f>IFERROR(__xludf.DUMMYFUNCTION("split(B284,"" "")"),"M.")</f>
        <v>M.</v>
      </c>
      <c r="Y284" s="3" t="str">
        <f>IFERROR(__xludf.DUMMYFUNCTION("""COMPUTED_VALUE"""),"Pittman")</f>
        <v>Pittman</v>
      </c>
      <c r="Z284" s="3" t="str">
        <f>IFERROR(__xludf.DUMMYFUNCTION("""COMPUTED_VALUE"""),"Jr.")</f>
        <v>Jr.</v>
      </c>
      <c r="AA284" s="3">
        <v>36.0</v>
      </c>
      <c r="AB284" s="3">
        <f t="shared" si="7"/>
        <v>0</v>
      </c>
      <c r="AC284" s="3">
        <f t="shared" si="8"/>
        <v>0</v>
      </c>
      <c r="AD284" s="3">
        <f t="shared" si="9"/>
        <v>0.8695652174</v>
      </c>
      <c r="AE284" s="3">
        <f t="shared" si="10"/>
        <v>-1</v>
      </c>
      <c r="AF284" s="3">
        <f t="shared" si="11"/>
        <v>-2</v>
      </c>
      <c r="AG284" s="3">
        <f t="shared" si="12"/>
        <v>-0.2727272727</v>
      </c>
    </row>
    <row r="285">
      <c r="A285" s="1" t="s">
        <v>8</v>
      </c>
      <c r="B285" s="1" t="s">
        <v>119</v>
      </c>
      <c r="C285" s="1" t="s">
        <v>21</v>
      </c>
      <c r="D285" s="1" t="s">
        <v>93</v>
      </c>
      <c r="E285" s="1" t="s">
        <v>104</v>
      </c>
      <c r="F285" s="1" t="s">
        <v>518</v>
      </c>
      <c r="G285" s="1">
        <v>3.5</v>
      </c>
      <c r="H285" s="1" t="s">
        <v>60</v>
      </c>
      <c r="I285" s="1">
        <v>-156.0</v>
      </c>
      <c r="J285" s="1">
        <v>-0.281648502982467</v>
      </c>
      <c r="K285" s="1" t="s">
        <v>61</v>
      </c>
      <c r="L285" s="1" t="s">
        <v>61</v>
      </c>
      <c r="M285" s="1" t="s">
        <v>62</v>
      </c>
      <c r="N285" s="1">
        <v>116.0</v>
      </c>
      <c r="O285" s="1">
        <v>0.209324151682924</v>
      </c>
      <c r="P285" s="1" t="s">
        <v>61</v>
      </c>
      <c r="Q285" s="1" t="s">
        <v>61</v>
      </c>
      <c r="R285" s="1">
        <f t="shared" si="1"/>
        <v>0.2093241517</v>
      </c>
      <c r="S285" s="1">
        <f t="shared" si="2"/>
        <v>116</v>
      </c>
      <c r="T285" s="1">
        <f t="shared" si="3"/>
        <v>2.16</v>
      </c>
      <c r="U285" s="1">
        <f t="shared" si="4"/>
        <v>0</v>
      </c>
      <c r="V285" s="3">
        <f t="shared" si="5"/>
        <v>3</v>
      </c>
      <c r="W285" s="3">
        <f t="shared" si="6"/>
        <v>1</v>
      </c>
      <c r="X285" s="3" t="str">
        <f>IFERROR(__xludf.DUMMYFUNCTION("split(B285,"" "")"),"T.")</f>
        <v>T.</v>
      </c>
      <c r="Y285" s="3" t="str">
        <f>IFERROR(__xludf.DUMMYFUNCTION("""COMPUTED_VALUE"""),"Lawrence")</f>
        <v>Lawrence</v>
      </c>
      <c r="AA285" s="3">
        <v>2.0</v>
      </c>
      <c r="AB285" s="3">
        <f t="shared" si="7"/>
        <v>0</v>
      </c>
      <c r="AC285" s="3">
        <f t="shared" si="8"/>
        <v>1</v>
      </c>
      <c r="AD285" s="3">
        <f t="shared" si="9"/>
        <v>3.48</v>
      </c>
      <c r="AE285" s="3">
        <f t="shared" si="10"/>
        <v>3.48</v>
      </c>
      <c r="AF285" s="3">
        <f t="shared" si="11"/>
        <v>1.16</v>
      </c>
      <c r="AG285" s="3">
        <f t="shared" si="12"/>
        <v>0.4285714286</v>
      </c>
    </row>
    <row r="286">
      <c r="A286" s="1" t="s">
        <v>12</v>
      </c>
      <c r="B286" s="1" t="s">
        <v>466</v>
      </c>
      <c r="C286" s="1" t="s">
        <v>18</v>
      </c>
      <c r="D286" s="1" t="s">
        <v>93</v>
      </c>
      <c r="E286" s="1" t="s">
        <v>104</v>
      </c>
      <c r="F286" s="1" t="s">
        <v>518</v>
      </c>
      <c r="G286" s="1">
        <v>3.5</v>
      </c>
      <c r="H286" s="1" t="s">
        <v>60</v>
      </c>
      <c r="I286" s="1">
        <v>-132.0</v>
      </c>
      <c r="J286" s="1">
        <v>-0.194379310344827</v>
      </c>
      <c r="K286" s="1" t="s">
        <v>61</v>
      </c>
      <c r="L286" s="1" t="s">
        <v>61</v>
      </c>
      <c r="M286" s="1" t="s">
        <v>62</v>
      </c>
      <c r="N286" s="1">
        <v>102.0</v>
      </c>
      <c r="O286" s="1">
        <v>0.130351485148514</v>
      </c>
      <c r="P286" s="1" t="s">
        <v>61</v>
      </c>
      <c r="Q286" s="1" t="s">
        <v>61</v>
      </c>
      <c r="R286" s="1">
        <f t="shared" si="1"/>
        <v>0.1303514851</v>
      </c>
      <c r="S286" s="1">
        <f t="shared" si="2"/>
        <v>102</v>
      </c>
      <c r="T286" s="1">
        <f t="shared" si="3"/>
        <v>2.02</v>
      </c>
      <c r="U286" s="1">
        <f t="shared" si="4"/>
        <v>0</v>
      </c>
      <c r="V286" s="3">
        <f t="shared" si="5"/>
        <v>3</v>
      </c>
      <c r="W286" s="3">
        <f t="shared" si="6"/>
        <v>2</v>
      </c>
      <c r="X286" s="3" t="str">
        <f>IFERROR(__xludf.DUMMYFUNCTION("split(B286,"" "")"),"B.")</f>
        <v>B.</v>
      </c>
      <c r="Y286" s="3" t="str">
        <f>IFERROR(__xludf.DUMMYFUNCTION("""COMPUTED_VALUE"""),"Thomas")</f>
        <v>Thomas</v>
      </c>
      <c r="Z286" s="3" t="str">
        <f>IFERROR(__xludf.DUMMYFUNCTION("""COMPUTED_VALUE"""),"Jr.")</f>
        <v>Jr.</v>
      </c>
      <c r="AA286" s="3">
        <v>5.0</v>
      </c>
      <c r="AB286" s="3">
        <f t="shared" si="7"/>
        <v>1</v>
      </c>
      <c r="AC286" s="3">
        <f t="shared" si="8"/>
        <v>0</v>
      </c>
      <c r="AD286" s="3">
        <f t="shared" si="9"/>
        <v>3.06</v>
      </c>
      <c r="AE286" s="3">
        <f t="shared" si="10"/>
        <v>-3</v>
      </c>
      <c r="AF286" s="3">
        <f t="shared" si="11"/>
        <v>-2</v>
      </c>
      <c r="AG286" s="3">
        <f t="shared" si="12"/>
        <v>-0.4285714286</v>
      </c>
    </row>
    <row r="287">
      <c r="A287" s="1" t="s">
        <v>12</v>
      </c>
      <c r="B287" s="1" t="s">
        <v>121</v>
      </c>
      <c r="C287" s="1" t="s">
        <v>18</v>
      </c>
      <c r="D287" s="1" t="s">
        <v>93</v>
      </c>
      <c r="E287" s="1" t="s">
        <v>104</v>
      </c>
      <c r="F287" s="1" t="s">
        <v>518</v>
      </c>
      <c r="G287" s="1">
        <v>3.5</v>
      </c>
      <c r="H287" s="1" t="s">
        <v>60</v>
      </c>
      <c r="I287" s="1">
        <v>-137.0</v>
      </c>
      <c r="J287" s="1">
        <v>-0.189359071729957</v>
      </c>
      <c r="K287" s="1" t="s">
        <v>61</v>
      </c>
      <c r="L287" s="1" t="s">
        <v>61</v>
      </c>
      <c r="M287" s="1" t="s">
        <v>62</v>
      </c>
      <c r="N287" s="1">
        <v>104.0</v>
      </c>
      <c r="O287" s="1">
        <v>0.121103921568627</v>
      </c>
      <c r="P287" s="1" t="s">
        <v>61</v>
      </c>
      <c r="Q287" s="1" t="s">
        <v>61</v>
      </c>
      <c r="R287" s="1">
        <f t="shared" si="1"/>
        <v>0.1211039216</v>
      </c>
      <c r="S287" s="1">
        <f t="shared" si="2"/>
        <v>104</v>
      </c>
      <c r="T287" s="1">
        <f t="shared" si="3"/>
        <v>2.04</v>
      </c>
      <c r="U287" s="1">
        <f t="shared" si="4"/>
        <v>0</v>
      </c>
      <c r="V287" s="3">
        <f t="shared" si="5"/>
        <v>3</v>
      </c>
      <c r="W287" s="3">
        <f t="shared" si="6"/>
        <v>2</v>
      </c>
      <c r="X287" s="3" t="str">
        <f>IFERROR(__xludf.DUMMYFUNCTION("split(B287,"" "")"),"C.")</f>
        <v>C.</v>
      </c>
      <c r="Y287" s="3" t="str">
        <f>IFERROR(__xludf.DUMMYFUNCTION("""COMPUTED_VALUE"""),"Kirk")</f>
        <v>Kirk</v>
      </c>
      <c r="AA287" s="3">
        <v>8.0</v>
      </c>
      <c r="AB287" s="3">
        <f t="shared" si="7"/>
        <v>1</v>
      </c>
      <c r="AC287" s="3">
        <f t="shared" si="8"/>
        <v>0</v>
      </c>
      <c r="AD287" s="3">
        <f t="shared" si="9"/>
        <v>3.12</v>
      </c>
      <c r="AE287" s="3">
        <f t="shared" si="10"/>
        <v>-3</v>
      </c>
      <c r="AF287" s="3">
        <f t="shared" si="11"/>
        <v>-2</v>
      </c>
      <c r="AG287" s="3">
        <f t="shared" si="12"/>
        <v>-1.285714286</v>
      </c>
    </row>
    <row r="288">
      <c r="A288" s="1" t="s">
        <v>12</v>
      </c>
      <c r="B288" s="1" t="s">
        <v>92</v>
      </c>
      <c r="C288" s="1" t="s">
        <v>19</v>
      </c>
      <c r="D288" s="1" t="s">
        <v>93</v>
      </c>
      <c r="E288" s="1" t="s">
        <v>104</v>
      </c>
      <c r="F288" s="1" t="s">
        <v>518</v>
      </c>
      <c r="G288" s="1">
        <v>3.5</v>
      </c>
      <c r="H288" s="1" t="s">
        <v>60</v>
      </c>
      <c r="I288" s="1">
        <v>109.0</v>
      </c>
      <c r="J288" s="1">
        <v>-0.174368899521531</v>
      </c>
      <c r="K288" s="1" t="s">
        <v>61</v>
      </c>
      <c r="L288" s="1" t="s">
        <v>61</v>
      </c>
      <c r="M288" s="1" t="s">
        <v>62</v>
      </c>
      <c r="N288" s="1">
        <v>-144.0</v>
      </c>
      <c r="O288" s="1">
        <v>0.10573606557377</v>
      </c>
      <c r="P288" s="1" t="s">
        <v>61</v>
      </c>
      <c r="Q288" s="1" t="s">
        <v>61</v>
      </c>
      <c r="R288" s="1">
        <f t="shared" si="1"/>
        <v>0.1057360656</v>
      </c>
      <c r="S288" s="1">
        <f t="shared" si="2"/>
        <v>-144</v>
      </c>
      <c r="T288" s="1">
        <f t="shared" si="3"/>
        <v>1.694444444</v>
      </c>
      <c r="U288" s="1">
        <f t="shared" si="4"/>
        <v>0</v>
      </c>
      <c r="V288" s="3">
        <f t="shared" si="5"/>
        <v>3</v>
      </c>
      <c r="W288" s="3">
        <f t="shared" si="6"/>
        <v>3</v>
      </c>
      <c r="X288" s="3" t="str">
        <f>IFERROR(__xludf.DUMMYFUNCTION("split(B288,"" "")"),"T.")</f>
        <v>T.</v>
      </c>
      <c r="Y288" s="3" t="str">
        <f>IFERROR(__xludf.DUMMYFUNCTION("""COMPUTED_VALUE"""),"Etienne")</f>
        <v>Etienne</v>
      </c>
      <c r="Z288" s="3" t="str">
        <f>IFERROR(__xludf.DUMMYFUNCTION("""COMPUTED_VALUE"""),"Jr.")</f>
        <v>Jr.</v>
      </c>
      <c r="AA288" s="3">
        <v>4.0</v>
      </c>
      <c r="AB288" s="3">
        <f t="shared" si="7"/>
        <v>1</v>
      </c>
      <c r="AC288" s="3">
        <f t="shared" si="8"/>
        <v>0</v>
      </c>
      <c r="AD288" s="3">
        <f t="shared" si="9"/>
        <v>2.083333333</v>
      </c>
      <c r="AE288" s="3">
        <f t="shared" si="10"/>
        <v>-3</v>
      </c>
      <c r="AF288" s="3">
        <f t="shared" si="11"/>
        <v>-3</v>
      </c>
      <c r="AG288" s="3">
        <f t="shared" si="12"/>
        <v>-0.1428571429</v>
      </c>
    </row>
    <row r="289">
      <c r="A289" s="1" t="s">
        <v>12</v>
      </c>
      <c r="B289" s="1" t="s">
        <v>467</v>
      </c>
      <c r="C289" s="1" t="s">
        <v>18</v>
      </c>
      <c r="D289" s="1" t="s">
        <v>93</v>
      </c>
      <c r="E289" s="1" t="s">
        <v>104</v>
      </c>
      <c r="F289" s="1" t="s">
        <v>518</v>
      </c>
      <c r="G289" s="1">
        <v>3.5</v>
      </c>
      <c r="H289" s="1" t="s">
        <v>60</v>
      </c>
      <c r="I289" s="1">
        <v>115.0</v>
      </c>
      <c r="J289" s="1">
        <v>-0.14326976744186</v>
      </c>
      <c r="K289" s="1" t="s">
        <v>61</v>
      </c>
      <c r="L289" s="1" t="s">
        <v>61</v>
      </c>
      <c r="M289" s="1" t="s">
        <v>62</v>
      </c>
      <c r="N289" s="1">
        <v>-149.0</v>
      </c>
      <c r="O289" s="1">
        <v>0.0797662650602409</v>
      </c>
      <c r="P289" s="1" t="s">
        <v>61</v>
      </c>
      <c r="Q289" s="1" t="s">
        <v>61</v>
      </c>
      <c r="R289" s="1">
        <f t="shared" si="1"/>
        <v>0.07976626506</v>
      </c>
      <c r="S289" s="1">
        <f t="shared" si="2"/>
        <v>-149</v>
      </c>
      <c r="T289" s="1">
        <f t="shared" si="3"/>
        <v>1.67114094</v>
      </c>
      <c r="U289" s="1">
        <f t="shared" si="4"/>
        <v>0</v>
      </c>
      <c r="V289" s="3">
        <f t="shared" si="5"/>
        <v>2</v>
      </c>
      <c r="W289" s="3">
        <f t="shared" si="6"/>
        <v>3</v>
      </c>
      <c r="X289" s="3" t="str">
        <f>IFERROR(__xludf.DUMMYFUNCTION("split(B289,"" "")"),"G.")</f>
        <v>G.</v>
      </c>
      <c r="Y289" s="3" t="str">
        <f>IFERROR(__xludf.DUMMYFUNCTION("""COMPUTED_VALUE"""),"Davis")</f>
        <v>Davis</v>
      </c>
      <c r="AA289" s="3">
        <v>2.0</v>
      </c>
      <c r="AB289" s="3">
        <f t="shared" si="7"/>
        <v>0</v>
      </c>
      <c r="AC289" s="3">
        <f t="shared" si="8"/>
        <v>1</v>
      </c>
      <c r="AD289" s="3">
        <f t="shared" si="9"/>
        <v>1.342281879</v>
      </c>
      <c r="AE289" s="3">
        <f t="shared" si="10"/>
        <v>1.342281879</v>
      </c>
      <c r="AF289" s="3">
        <f t="shared" si="11"/>
        <v>2.013422819</v>
      </c>
      <c r="AG289" s="3">
        <f t="shared" si="12"/>
        <v>0.4285714286</v>
      </c>
    </row>
    <row r="290">
      <c r="A290" s="1" t="s">
        <v>17</v>
      </c>
      <c r="B290" s="1" t="s">
        <v>119</v>
      </c>
      <c r="C290" s="1" t="s">
        <v>21</v>
      </c>
      <c r="D290" s="1" t="s">
        <v>93</v>
      </c>
      <c r="E290" s="1" t="s">
        <v>104</v>
      </c>
      <c r="F290" s="1" t="s">
        <v>518</v>
      </c>
      <c r="G290" s="1">
        <v>0.5</v>
      </c>
      <c r="H290" s="1" t="s">
        <v>60</v>
      </c>
      <c r="I290" s="1">
        <v>-140.0</v>
      </c>
      <c r="J290" s="1">
        <v>-0.123433333333333</v>
      </c>
      <c r="K290" s="1" t="s">
        <v>61</v>
      </c>
      <c r="L290" s="1" t="s">
        <v>61</v>
      </c>
      <c r="M290" s="1" t="s">
        <v>62</v>
      </c>
      <c r="N290" s="1">
        <v>107.0</v>
      </c>
      <c r="O290" s="1">
        <v>0.0570082125603865</v>
      </c>
      <c r="P290" s="1" t="s">
        <v>61</v>
      </c>
      <c r="Q290" s="1" t="s">
        <v>61</v>
      </c>
      <c r="R290" s="1">
        <f t="shared" si="1"/>
        <v>0.05700821256</v>
      </c>
      <c r="S290" s="1">
        <f t="shared" si="2"/>
        <v>107</v>
      </c>
      <c r="T290" s="1">
        <f t="shared" si="3"/>
        <v>2.07</v>
      </c>
      <c r="U290" s="1">
        <f t="shared" si="4"/>
        <v>0</v>
      </c>
      <c r="V290" s="3">
        <f t="shared" si="5"/>
        <v>2</v>
      </c>
      <c r="W290" s="3">
        <f t="shared" si="6"/>
        <v>2</v>
      </c>
      <c r="X290" s="3" t="str">
        <f>IFERROR(__xludf.DUMMYFUNCTION("split(B290,"" "")"),"T.")</f>
        <v>T.</v>
      </c>
      <c r="Y290" s="3" t="str">
        <f>IFERROR(__xludf.DUMMYFUNCTION("""COMPUTED_VALUE"""),"Lawrence")</f>
        <v>Lawrence</v>
      </c>
      <c r="AA290" s="3">
        <v>1.0</v>
      </c>
      <c r="AB290" s="3">
        <f t="shared" si="7"/>
        <v>1</v>
      </c>
      <c r="AC290" s="3">
        <f t="shared" si="8"/>
        <v>0</v>
      </c>
      <c r="AD290" s="3">
        <f t="shared" si="9"/>
        <v>2.14</v>
      </c>
      <c r="AE290" s="3">
        <f t="shared" si="10"/>
        <v>-2</v>
      </c>
      <c r="AF290" s="3">
        <f t="shared" si="11"/>
        <v>-2</v>
      </c>
      <c r="AG290" s="3">
        <f t="shared" si="12"/>
        <v>-1</v>
      </c>
    </row>
    <row r="291">
      <c r="A291" s="1" t="s">
        <v>10</v>
      </c>
      <c r="B291" s="1" t="s">
        <v>119</v>
      </c>
      <c r="C291" s="1" t="s">
        <v>21</v>
      </c>
      <c r="D291" s="1" t="s">
        <v>93</v>
      </c>
      <c r="E291" s="1" t="s">
        <v>104</v>
      </c>
      <c r="F291" s="1" t="s">
        <v>518</v>
      </c>
      <c r="G291" s="1">
        <v>17.5</v>
      </c>
      <c r="H291" s="1" t="s">
        <v>60</v>
      </c>
      <c r="I291" s="1">
        <v>-117.0</v>
      </c>
      <c r="J291" s="1">
        <v>-0.1098535074982</v>
      </c>
      <c r="K291" s="1" t="s">
        <v>61</v>
      </c>
      <c r="L291" s="1" t="s">
        <v>61</v>
      </c>
      <c r="M291" s="1" t="s">
        <v>62</v>
      </c>
      <c r="N291" s="1">
        <v>-112.0</v>
      </c>
      <c r="O291" s="1">
        <v>0.0424079078413326</v>
      </c>
      <c r="P291" s="1" t="s">
        <v>61</v>
      </c>
      <c r="Q291" s="1" t="s">
        <v>61</v>
      </c>
      <c r="R291" s="1">
        <f t="shared" si="1"/>
        <v>0.04240790784</v>
      </c>
      <c r="S291" s="1">
        <f t="shared" si="2"/>
        <v>-112</v>
      </c>
      <c r="T291" s="1">
        <f t="shared" si="3"/>
        <v>1.892857143</v>
      </c>
      <c r="U291" s="1">
        <f t="shared" si="4"/>
        <v>0</v>
      </c>
      <c r="V291" s="3">
        <f t="shared" si="5"/>
        <v>1</v>
      </c>
      <c r="W291" s="3">
        <f t="shared" si="6"/>
        <v>2</v>
      </c>
      <c r="X291" s="3" t="str">
        <f>IFERROR(__xludf.DUMMYFUNCTION("split(B291,"" "")"),"T.")</f>
        <v>T.</v>
      </c>
      <c r="Y291" s="3" t="str">
        <f>IFERROR(__xludf.DUMMYFUNCTION("""COMPUTED_VALUE"""),"Lawrence")</f>
        <v>Lawrence</v>
      </c>
      <c r="AA291" s="3">
        <v>3.0</v>
      </c>
      <c r="AB291" s="3">
        <f t="shared" si="7"/>
        <v>0</v>
      </c>
      <c r="AC291" s="3">
        <f t="shared" si="8"/>
        <v>1</v>
      </c>
      <c r="AD291" s="3">
        <f t="shared" si="9"/>
        <v>0.8928571429</v>
      </c>
      <c r="AE291" s="3">
        <f t="shared" si="10"/>
        <v>0.8928571429</v>
      </c>
      <c r="AF291" s="3">
        <f t="shared" si="11"/>
        <v>1.785714286</v>
      </c>
      <c r="AG291" s="3">
        <f t="shared" si="12"/>
        <v>0.8285714286</v>
      </c>
    </row>
    <row r="292">
      <c r="A292" s="1" t="s">
        <v>9</v>
      </c>
      <c r="B292" s="1" t="s">
        <v>92</v>
      </c>
      <c r="C292" s="1" t="s">
        <v>19</v>
      </c>
      <c r="D292" s="1" t="s">
        <v>93</v>
      </c>
      <c r="E292" s="1" t="s">
        <v>104</v>
      </c>
      <c r="F292" s="1" t="s">
        <v>518</v>
      </c>
      <c r="G292" s="1">
        <v>77.5</v>
      </c>
      <c r="H292" s="1" t="s">
        <v>60</v>
      </c>
      <c r="I292" s="1">
        <v>-119.0</v>
      </c>
      <c r="J292" s="1">
        <v>-0.113379934720531</v>
      </c>
      <c r="K292" s="1" t="s">
        <v>61</v>
      </c>
      <c r="L292" s="1" t="s">
        <v>61</v>
      </c>
      <c r="M292" s="1" t="s">
        <v>62</v>
      </c>
      <c r="N292" s="1">
        <v>-114.0</v>
      </c>
      <c r="O292" s="1">
        <v>0.0373408060856439</v>
      </c>
      <c r="P292" s="1" t="s">
        <v>61</v>
      </c>
      <c r="Q292" s="1" t="s">
        <v>61</v>
      </c>
      <c r="R292" s="1">
        <f t="shared" si="1"/>
        <v>0.03734080609</v>
      </c>
      <c r="S292" s="1">
        <f t="shared" si="2"/>
        <v>-114</v>
      </c>
      <c r="T292" s="1">
        <f t="shared" si="3"/>
        <v>1.877192982</v>
      </c>
      <c r="U292" s="1">
        <f t="shared" si="4"/>
        <v>0</v>
      </c>
      <c r="V292" s="3">
        <f t="shared" si="5"/>
        <v>1</v>
      </c>
      <c r="W292" s="3">
        <f t="shared" si="6"/>
        <v>2</v>
      </c>
      <c r="X292" s="3" t="str">
        <f>IFERROR(__xludf.DUMMYFUNCTION("split(B292,"" "")"),"T.")</f>
        <v>T.</v>
      </c>
      <c r="Y292" s="3" t="str">
        <f>IFERROR(__xludf.DUMMYFUNCTION("""COMPUTED_VALUE"""),"Etienne")</f>
        <v>Etienne</v>
      </c>
      <c r="Z292" s="3" t="str">
        <f>IFERROR(__xludf.DUMMYFUNCTION("""COMPUTED_VALUE"""),"Jr.")</f>
        <v>Jr.</v>
      </c>
      <c r="AA292" s="3">
        <v>85.0</v>
      </c>
      <c r="AB292" s="3">
        <f t="shared" si="7"/>
        <v>1</v>
      </c>
      <c r="AC292" s="3">
        <f t="shared" si="8"/>
        <v>0</v>
      </c>
      <c r="AD292" s="3">
        <f t="shared" si="9"/>
        <v>0.8771929825</v>
      </c>
      <c r="AE292" s="3">
        <f t="shared" si="10"/>
        <v>-1</v>
      </c>
      <c r="AF292" s="3">
        <f t="shared" si="11"/>
        <v>-2</v>
      </c>
      <c r="AG292" s="3">
        <f t="shared" si="12"/>
        <v>-0.09677419355</v>
      </c>
    </row>
    <row r="293">
      <c r="A293" s="1" t="s">
        <v>11</v>
      </c>
      <c r="B293" s="1" t="s">
        <v>92</v>
      </c>
      <c r="C293" s="1" t="s">
        <v>19</v>
      </c>
      <c r="D293" s="1" t="s">
        <v>93</v>
      </c>
      <c r="E293" s="1" t="s">
        <v>104</v>
      </c>
      <c r="F293" s="1" t="s">
        <v>518</v>
      </c>
      <c r="G293" s="1">
        <v>22.5</v>
      </c>
      <c r="H293" s="1" t="s">
        <v>60</v>
      </c>
      <c r="I293" s="1">
        <v>-113.0</v>
      </c>
      <c r="J293" s="1">
        <v>-0.101422264718197</v>
      </c>
      <c r="K293" s="1" t="s">
        <v>61</v>
      </c>
      <c r="L293" s="1" t="s">
        <v>61</v>
      </c>
      <c r="M293" s="1" t="s">
        <v>62</v>
      </c>
      <c r="N293" s="1">
        <v>-116.0</v>
      </c>
      <c r="O293" s="1">
        <v>0.0338840239193156</v>
      </c>
      <c r="P293" s="1" t="s">
        <v>61</v>
      </c>
      <c r="Q293" s="1" t="s">
        <v>61</v>
      </c>
      <c r="R293" s="1">
        <f t="shared" si="1"/>
        <v>0.03388402392</v>
      </c>
      <c r="S293" s="1">
        <f t="shared" si="2"/>
        <v>-116</v>
      </c>
      <c r="T293" s="1">
        <f t="shared" si="3"/>
        <v>1.862068966</v>
      </c>
      <c r="U293" s="1">
        <f t="shared" si="4"/>
        <v>0</v>
      </c>
      <c r="V293" s="3">
        <f t="shared" si="5"/>
        <v>1</v>
      </c>
      <c r="W293" s="3">
        <f t="shared" si="6"/>
        <v>2</v>
      </c>
      <c r="X293" s="3" t="str">
        <f>IFERROR(__xludf.DUMMYFUNCTION("split(B293,"" "")"),"T.")</f>
        <v>T.</v>
      </c>
      <c r="Y293" s="3" t="str">
        <f>IFERROR(__xludf.DUMMYFUNCTION("""COMPUTED_VALUE"""),"Etienne")</f>
        <v>Etienne</v>
      </c>
      <c r="Z293" s="3" t="str">
        <f>IFERROR(__xludf.DUMMYFUNCTION("""COMPUTED_VALUE"""),"Jr.")</f>
        <v>Jr.</v>
      </c>
      <c r="AA293" s="3">
        <v>17.0</v>
      </c>
      <c r="AB293" s="3">
        <f t="shared" si="7"/>
        <v>0</v>
      </c>
      <c r="AC293" s="3">
        <f t="shared" si="8"/>
        <v>1</v>
      </c>
      <c r="AD293" s="3">
        <f t="shared" si="9"/>
        <v>0.8620689655</v>
      </c>
      <c r="AE293" s="3">
        <f t="shared" si="10"/>
        <v>0.8620689655</v>
      </c>
      <c r="AF293" s="3">
        <f t="shared" si="11"/>
        <v>1.724137931</v>
      </c>
      <c r="AG293" s="3">
        <f t="shared" si="12"/>
        <v>0.2444444444</v>
      </c>
    </row>
    <row r="294">
      <c r="A294" s="1" t="s">
        <v>11</v>
      </c>
      <c r="B294" s="1" t="s">
        <v>121</v>
      </c>
      <c r="C294" s="1" t="s">
        <v>18</v>
      </c>
      <c r="D294" s="1" t="s">
        <v>93</v>
      </c>
      <c r="E294" s="1" t="s">
        <v>104</v>
      </c>
      <c r="F294" s="1" t="s">
        <v>518</v>
      </c>
      <c r="G294" s="1">
        <v>41.5</v>
      </c>
      <c r="H294" s="1" t="s">
        <v>60</v>
      </c>
      <c r="I294" s="1">
        <v>-117.0</v>
      </c>
      <c r="J294" s="1">
        <v>-0.0869493095066359</v>
      </c>
      <c r="K294" s="1" t="s">
        <v>61</v>
      </c>
      <c r="L294" s="1" t="s">
        <v>61</v>
      </c>
      <c r="M294" s="1" t="s">
        <v>62</v>
      </c>
      <c r="N294" s="1">
        <v>-110.0</v>
      </c>
      <c r="O294" s="1">
        <v>0.0240059153698095</v>
      </c>
      <c r="P294" s="1" t="s">
        <v>61</v>
      </c>
      <c r="Q294" s="1" t="s">
        <v>61</v>
      </c>
      <c r="R294" s="1">
        <f t="shared" si="1"/>
        <v>0.02400591537</v>
      </c>
      <c r="S294" s="1">
        <f t="shared" si="2"/>
        <v>-110</v>
      </c>
      <c r="T294" s="1">
        <f t="shared" si="3"/>
        <v>1.909090909</v>
      </c>
      <c r="U294" s="1">
        <f t="shared" si="4"/>
        <v>0</v>
      </c>
      <c r="V294" s="3">
        <f t="shared" si="5"/>
        <v>1</v>
      </c>
      <c r="W294" s="3">
        <f t="shared" si="6"/>
        <v>2</v>
      </c>
      <c r="X294" s="3" t="str">
        <f>IFERROR(__xludf.DUMMYFUNCTION("split(B294,"" "")"),"C.")</f>
        <v>C.</v>
      </c>
      <c r="Y294" s="3" t="str">
        <f>IFERROR(__xludf.DUMMYFUNCTION("""COMPUTED_VALUE"""),"Kirk")</f>
        <v>Kirk</v>
      </c>
      <c r="AA294" s="3">
        <v>79.0</v>
      </c>
      <c r="AB294" s="3">
        <f t="shared" si="7"/>
        <v>1</v>
      </c>
      <c r="AC294" s="3">
        <f t="shared" si="8"/>
        <v>0</v>
      </c>
      <c r="AD294" s="3">
        <f t="shared" si="9"/>
        <v>0.9090909091</v>
      </c>
      <c r="AE294" s="3">
        <f t="shared" si="10"/>
        <v>-1</v>
      </c>
      <c r="AF294" s="3">
        <f t="shared" si="11"/>
        <v>-2</v>
      </c>
      <c r="AG294" s="3">
        <f t="shared" si="12"/>
        <v>-0.9036144578</v>
      </c>
    </row>
    <row r="295">
      <c r="A295" s="1" t="s">
        <v>12</v>
      </c>
      <c r="B295" s="1" t="s">
        <v>541</v>
      </c>
      <c r="C295" s="1" t="s">
        <v>20</v>
      </c>
      <c r="D295" s="1" t="s">
        <v>93</v>
      </c>
      <c r="E295" s="1" t="s">
        <v>104</v>
      </c>
      <c r="F295" s="1" t="s">
        <v>518</v>
      </c>
      <c r="G295" s="1">
        <v>2.5</v>
      </c>
      <c r="H295" s="1" t="s">
        <v>60</v>
      </c>
      <c r="I295" s="1">
        <v>-129.0</v>
      </c>
      <c r="J295" s="1">
        <v>-0.0891314410480349</v>
      </c>
      <c r="K295" s="1" t="s">
        <v>61</v>
      </c>
      <c r="L295" s="1" t="s">
        <v>61</v>
      </c>
      <c r="M295" s="1" t="s">
        <v>62</v>
      </c>
      <c r="N295" s="1">
        <v>-101.0</v>
      </c>
      <c r="O295" s="1">
        <v>0.0233119402985074</v>
      </c>
      <c r="P295" s="1" t="s">
        <v>61</v>
      </c>
      <c r="Q295" s="1" t="s">
        <v>61</v>
      </c>
      <c r="R295" s="1">
        <f t="shared" si="1"/>
        <v>0.0233119403</v>
      </c>
      <c r="S295" s="1">
        <f t="shared" si="2"/>
        <v>-101</v>
      </c>
      <c r="T295" s="1">
        <f t="shared" si="3"/>
        <v>1.99009901</v>
      </c>
      <c r="U295" s="1">
        <f t="shared" si="4"/>
        <v>0</v>
      </c>
      <c r="V295" s="3">
        <f t="shared" si="5"/>
        <v>1</v>
      </c>
      <c r="W295" s="3">
        <f t="shared" si="6"/>
        <v>2</v>
      </c>
      <c r="X295" s="3" t="str">
        <f>IFERROR(__xludf.DUMMYFUNCTION("split(B295,"" "")"),"B.")</f>
        <v>B.</v>
      </c>
      <c r="Y295" s="3" t="str">
        <f>IFERROR(__xludf.DUMMYFUNCTION("""COMPUTED_VALUE"""),"Strange")</f>
        <v>Strange</v>
      </c>
      <c r="AA295" s="3">
        <v>2.0</v>
      </c>
      <c r="AB295" s="3">
        <f t="shared" si="7"/>
        <v>0</v>
      </c>
      <c r="AC295" s="3">
        <f t="shared" si="8"/>
        <v>1</v>
      </c>
      <c r="AD295" s="3">
        <f t="shared" si="9"/>
        <v>0.9900990099</v>
      </c>
      <c r="AE295" s="3">
        <f t="shared" si="10"/>
        <v>0.9900990099</v>
      </c>
      <c r="AF295" s="3">
        <f t="shared" si="11"/>
        <v>1.98019802</v>
      </c>
      <c r="AG295" s="3">
        <f t="shared" si="12"/>
        <v>0.2</v>
      </c>
    </row>
    <row r="296">
      <c r="A296" s="1" t="s">
        <v>11</v>
      </c>
      <c r="B296" s="1" t="s">
        <v>466</v>
      </c>
      <c r="C296" s="1" t="s">
        <v>18</v>
      </c>
      <c r="D296" s="1" t="s">
        <v>93</v>
      </c>
      <c r="E296" s="1" t="s">
        <v>104</v>
      </c>
      <c r="F296" s="1" t="s">
        <v>518</v>
      </c>
      <c r="G296" s="1">
        <v>45.5</v>
      </c>
      <c r="H296" s="1" t="s">
        <v>60</v>
      </c>
      <c r="I296" s="1">
        <v>-113.0</v>
      </c>
      <c r="J296" s="1">
        <v>-0.0829192998213147</v>
      </c>
      <c r="K296" s="1" t="s">
        <v>61</v>
      </c>
      <c r="L296" s="1" t="s">
        <v>61</v>
      </c>
      <c r="M296" s="1" t="s">
        <v>62</v>
      </c>
      <c r="N296" s="1">
        <v>-113.0</v>
      </c>
      <c r="O296" s="1">
        <v>0.0218860001226854</v>
      </c>
      <c r="P296" s="1" t="s">
        <v>61</v>
      </c>
      <c r="Q296" s="1" t="s">
        <v>61</v>
      </c>
      <c r="R296" s="1">
        <f t="shared" si="1"/>
        <v>0.02188600012</v>
      </c>
      <c r="S296" s="1">
        <f t="shared" si="2"/>
        <v>-113</v>
      </c>
      <c r="T296" s="1">
        <f t="shared" si="3"/>
        <v>1.884955752</v>
      </c>
      <c r="U296" s="1">
        <f t="shared" si="4"/>
        <v>0</v>
      </c>
      <c r="V296" s="3">
        <f t="shared" si="5"/>
        <v>1</v>
      </c>
      <c r="W296" s="3">
        <f t="shared" si="6"/>
        <v>2</v>
      </c>
      <c r="X296" s="3" t="str">
        <f>IFERROR(__xludf.DUMMYFUNCTION("split(B296,"" "")"),"B.")</f>
        <v>B.</v>
      </c>
      <c r="Y296" s="3" t="str">
        <f>IFERROR(__xludf.DUMMYFUNCTION("""COMPUTED_VALUE"""),"Thomas")</f>
        <v>Thomas</v>
      </c>
      <c r="Z296" s="3" t="str">
        <f>IFERROR(__xludf.DUMMYFUNCTION("""COMPUTED_VALUE"""),"Jr.")</f>
        <v>Jr.</v>
      </c>
      <c r="AA296" s="3">
        <v>48.0</v>
      </c>
      <c r="AB296" s="3">
        <f t="shared" si="7"/>
        <v>1</v>
      </c>
      <c r="AC296" s="3">
        <f t="shared" si="8"/>
        <v>0</v>
      </c>
      <c r="AD296" s="3">
        <f t="shared" si="9"/>
        <v>0.8849557522</v>
      </c>
      <c r="AE296" s="3">
        <f t="shared" si="10"/>
        <v>-1</v>
      </c>
      <c r="AF296" s="3">
        <f t="shared" si="11"/>
        <v>-2</v>
      </c>
      <c r="AG296" s="3">
        <f t="shared" si="12"/>
        <v>-0.05494505495</v>
      </c>
    </row>
    <row r="297">
      <c r="A297" s="1" t="s">
        <v>16</v>
      </c>
      <c r="B297" s="1" t="s">
        <v>119</v>
      </c>
      <c r="C297" s="1" t="s">
        <v>21</v>
      </c>
      <c r="D297" s="1" t="s">
        <v>93</v>
      </c>
      <c r="E297" s="1" t="s">
        <v>104</v>
      </c>
      <c r="F297" s="1" t="s">
        <v>518</v>
      </c>
      <c r="G297" s="1">
        <v>33.5</v>
      </c>
      <c r="H297" s="1" t="s">
        <v>60</v>
      </c>
      <c r="I297" s="1">
        <v>101.0</v>
      </c>
      <c r="J297" s="1">
        <v>0.0154362873134327</v>
      </c>
      <c r="K297" s="1" t="s">
        <v>61</v>
      </c>
      <c r="L297" s="1" t="s">
        <v>61</v>
      </c>
      <c r="M297" s="1" t="s">
        <v>62</v>
      </c>
      <c r="N297" s="1">
        <v>-131.0</v>
      </c>
      <c r="O297" s="1">
        <v>-0.0800419642857141</v>
      </c>
      <c r="P297" s="1" t="s">
        <v>61</v>
      </c>
      <c r="Q297" s="1" t="s">
        <v>61</v>
      </c>
      <c r="R297" s="1">
        <f t="shared" si="1"/>
        <v>0.01543628731</v>
      </c>
      <c r="S297" s="1">
        <f t="shared" si="2"/>
        <v>101</v>
      </c>
      <c r="T297" s="1">
        <f t="shared" si="3"/>
        <v>2.01</v>
      </c>
      <c r="U297" s="1">
        <f t="shared" si="4"/>
        <v>1</v>
      </c>
      <c r="V297" s="3">
        <f t="shared" si="5"/>
        <v>1</v>
      </c>
      <c r="W297" s="3">
        <f t="shared" si="6"/>
        <v>2</v>
      </c>
      <c r="X297" s="3" t="str">
        <f>IFERROR(__xludf.DUMMYFUNCTION("split(B297,"" "")"),"T.")</f>
        <v>T.</v>
      </c>
      <c r="Y297" s="3" t="str">
        <f>IFERROR(__xludf.DUMMYFUNCTION("""COMPUTED_VALUE"""),"Lawrence")</f>
        <v>Lawrence</v>
      </c>
      <c r="AA297" s="3">
        <v>38.0</v>
      </c>
      <c r="AB297" s="3">
        <f t="shared" si="7"/>
        <v>1</v>
      </c>
      <c r="AC297" s="3">
        <f t="shared" si="8"/>
        <v>1</v>
      </c>
      <c r="AD297" s="3">
        <f t="shared" si="9"/>
        <v>1.01</v>
      </c>
      <c r="AE297" s="3">
        <f t="shared" si="10"/>
        <v>1.01</v>
      </c>
      <c r="AF297" s="3">
        <f t="shared" si="11"/>
        <v>2.02</v>
      </c>
      <c r="AG297" s="3">
        <f t="shared" si="12"/>
        <v>0.1343283582</v>
      </c>
    </row>
    <row r="298">
      <c r="A298" s="1" t="s">
        <v>11</v>
      </c>
      <c r="B298" s="1" t="s">
        <v>467</v>
      </c>
      <c r="C298" s="1" t="s">
        <v>18</v>
      </c>
      <c r="D298" s="1" t="s">
        <v>93</v>
      </c>
      <c r="E298" s="1" t="s">
        <v>104</v>
      </c>
      <c r="F298" s="1" t="s">
        <v>518</v>
      </c>
      <c r="G298" s="1">
        <v>39.5</v>
      </c>
      <c r="H298" s="1" t="s">
        <v>60</v>
      </c>
      <c r="I298" s="1">
        <v>-119.0</v>
      </c>
      <c r="J298" s="1">
        <v>-0.0798339353580365</v>
      </c>
      <c r="K298" s="1" t="s">
        <v>61</v>
      </c>
      <c r="L298" s="1" t="s">
        <v>61</v>
      </c>
      <c r="M298" s="1" t="s">
        <v>62</v>
      </c>
      <c r="N298" s="1">
        <v>-109.0</v>
      </c>
      <c r="O298" s="1">
        <v>0.0149739045677035</v>
      </c>
      <c r="P298" s="1" t="s">
        <v>61</v>
      </c>
      <c r="Q298" s="1" t="s">
        <v>61</v>
      </c>
      <c r="R298" s="1">
        <f t="shared" si="1"/>
        <v>0.01497390457</v>
      </c>
      <c r="S298" s="1">
        <f t="shared" si="2"/>
        <v>-109</v>
      </c>
      <c r="T298" s="1">
        <f t="shared" si="3"/>
        <v>1.917431193</v>
      </c>
      <c r="U298" s="1">
        <f t="shared" si="4"/>
        <v>0</v>
      </c>
      <c r="V298" s="3">
        <f t="shared" si="5"/>
        <v>1</v>
      </c>
      <c r="W298" s="3">
        <f t="shared" si="6"/>
        <v>2</v>
      </c>
      <c r="X298" s="3" t="str">
        <f>IFERROR(__xludf.DUMMYFUNCTION("split(B298,"" "")"),"G.")</f>
        <v>G.</v>
      </c>
      <c r="Y298" s="3" t="str">
        <f>IFERROR(__xludf.DUMMYFUNCTION("""COMPUTED_VALUE"""),"Davis")</f>
        <v>Davis</v>
      </c>
      <c r="AA298" s="3">
        <v>18.0</v>
      </c>
      <c r="AB298" s="3">
        <f t="shared" si="7"/>
        <v>0</v>
      </c>
      <c r="AC298" s="3">
        <f t="shared" si="8"/>
        <v>1</v>
      </c>
      <c r="AD298" s="3">
        <f t="shared" si="9"/>
        <v>0.9174311927</v>
      </c>
      <c r="AE298" s="3">
        <f t="shared" si="10"/>
        <v>0.9174311927</v>
      </c>
      <c r="AF298" s="3">
        <f t="shared" si="11"/>
        <v>1.834862385</v>
      </c>
      <c r="AG298" s="3">
        <f t="shared" si="12"/>
        <v>0.5443037975</v>
      </c>
    </row>
    <row r="299">
      <c r="A299" s="1" t="s">
        <v>8</v>
      </c>
      <c r="B299" s="1" t="s">
        <v>92</v>
      </c>
      <c r="C299" s="1" t="s">
        <v>19</v>
      </c>
      <c r="D299" s="1" t="s">
        <v>93</v>
      </c>
      <c r="E299" s="1" t="s">
        <v>104</v>
      </c>
      <c r="F299" s="1" t="s">
        <v>518</v>
      </c>
      <c r="G299" s="1">
        <v>13.5</v>
      </c>
      <c r="H299" s="1" t="s">
        <v>60</v>
      </c>
      <c r="I299" s="1">
        <v>101.0</v>
      </c>
      <c r="J299" s="1">
        <v>-0.0858589090169056</v>
      </c>
      <c r="K299" s="1" t="s">
        <v>61</v>
      </c>
      <c r="L299" s="1" t="s">
        <v>61</v>
      </c>
      <c r="M299" s="1" t="s">
        <v>62</v>
      </c>
      <c r="N299" s="1">
        <v>-137.0</v>
      </c>
      <c r="O299" s="1">
        <v>0.0102492700671982</v>
      </c>
      <c r="P299" s="1" t="s">
        <v>61</v>
      </c>
      <c r="Q299" s="1" t="s">
        <v>61</v>
      </c>
      <c r="R299" s="1">
        <f t="shared" si="1"/>
        <v>0.01024927007</v>
      </c>
      <c r="S299" s="1">
        <f t="shared" si="2"/>
        <v>-137</v>
      </c>
      <c r="T299" s="1">
        <f t="shared" si="3"/>
        <v>1.729927007</v>
      </c>
      <c r="U299" s="1">
        <f t="shared" si="4"/>
        <v>0</v>
      </c>
      <c r="V299" s="3">
        <f t="shared" si="5"/>
        <v>1</v>
      </c>
      <c r="W299" s="3">
        <f t="shared" si="6"/>
        <v>3</v>
      </c>
      <c r="X299" s="3" t="str">
        <f>IFERROR(__xludf.DUMMYFUNCTION("split(B299,"" "")"),"T.")</f>
        <v>T.</v>
      </c>
      <c r="Y299" s="3" t="str">
        <f>IFERROR(__xludf.DUMMYFUNCTION("""COMPUTED_VALUE"""),"Etienne")</f>
        <v>Etienne</v>
      </c>
      <c r="Z299" s="3" t="str">
        <f>IFERROR(__xludf.DUMMYFUNCTION("""COMPUTED_VALUE"""),"Jr.")</f>
        <v>Jr.</v>
      </c>
      <c r="AA299" s="3">
        <v>11.0</v>
      </c>
      <c r="AB299" s="3">
        <f t="shared" si="7"/>
        <v>0</v>
      </c>
      <c r="AC299" s="3">
        <f t="shared" si="8"/>
        <v>1</v>
      </c>
      <c r="AD299" s="3">
        <f t="shared" si="9"/>
        <v>0.7299270073</v>
      </c>
      <c r="AE299" s="3">
        <f t="shared" si="10"/>
        <v>0.7299270073</v>
      </c>
      <c r="AF299" s="3">
        <f t="shared" si="11"/>
        <v>2.189781022</v>
      </c>
      <c r="AG299" s="3">
        <f t="shared" si="12"/>
        <v>0.1851851852</v>
      </c>
    </row>
    <row r="300">
      <c r="A300" s="1" t="s">
        <v>11</v>
      </c>
      <c r="B300" s="1" t="s">
        <v>541</v>
      </c>
      <c r="C300" s="1" t="s">
        <v>20</v>
      </c>
      <c r="D300" s="1" t="s">
        <v>93</v>
      </c>
      <c r="E300" s="1" t="s">
        <v>104</v>
      </c>
      <c r="F300" s="1" t="s">
        <v>518</v>
      </c>
      <c r="G300" s="1">
        <v>23.5</v>
      </c>
      <c r="H300" s="1" t="s">
        <v>60</v>
      </c>
      <c r="I300" s="1">
        <v>-114.0</v>
      </c>
      <c r="J300" s="1">
        <v>0.00704749640887847</v>
      </c>
      <c r="K300" s="1" t="s">
        <v>61</v>
      </c>
      <c r="L300" s="1" t="s">
        <v>61</v>
      </c>
      <c r="M300" s="1" t="s">
        <v>62</v>
      </c>
      <c r="N300" s="1">
        <v>-114.0</v>
      </c>
      <c r="O300" s="1">
        <v>-0.0724212515001212</v>
      </c>
      <c r="P300" s="1" t="s">
        <v>61</v>
      </c>
      <c r="Q300" s="1" t="s">
        <v>61</v>
      </c>
      <c r="R300" s="1">
        <f t="shared" si="1"/>
        <v>0.007047496409</v>
      </c>
      <c r="S300" s="1">
        <f t="shared" si="2"/>
        <v>-114</v>
      </c>
      <c r="T300" s="1">
        <f t="shared" si="3"/>
        <v>1.877192982</v>
      </c>
      <c r="U300" s="1">
        <f t="shared" si="4"/>
        <v>1</v>
      </c>
      <c r="V300" s="3">
        <f t="shared" si="5"/>
        <v>1</v>
      </c>
      <c r="W300" s="3">
        <f t="shared" si="6"/>
        <v>2</v>
      </c>
      <c r="X300" s="3" t="str">
        <f>IFERROR(__xludf.DUMMYFUNCTION("split(B300,"" "")"),"B.")</f>
        <v>B.</v>
      </c>
      <c r="Y300" s="3" t="str">
        <f>IFERROR(__xludf.DUMMYFUNCTION("""COMPUTED_VALUE"""),"Strange")</f>
        <v>Strange</v>
      </c>
      <c r="AA300" s="3">
        <v>12.0</v>
      </c>
      <c r="AB300" s="3">
        <f t="shared" si="7"/>
        <v>0</v>
      </c>
      <c r="AC300" s="3">
        <f t="shared" si="8"/>
        <v>0</v>
      </c>
      <c r="AD300" s="3">
        <f t="shared" si="9"/>
        <v>0.8771929825</v>
      </c>
      <c r="AE300" s="3">
        <f t="shared" si="10"/>
        <v>-1</v>
      </c>
      <c r="AF300" s="3">
        <f t="shared" si="11"/>
        <v>-2</v>
      </c>
      <c r="AG300" s="3">
        <f t="shared" si="12"/>
        <v>-0.4893617021</v>
      </c>
    </row>
    <row r="301">
      <c r="A301" s="1" t="s">
        <v>10</v>
      </c>
      <c r="B301" s="1" t="s">
        <v>92</v>
      </c>
      <c r="C301" s="1" t="s">
        <v>19</v>
      </c>
      <c r="D301" s="1" t="s">
        <v>93</v>
      </c>
      <c r="E301" s="1" t="s">
        <v>104</v>
      </c>
      <c r="F301" s="1" t="s">
        <v>518</v>
      </c>
      <c r="G301" s="1">
        <v>51.5</v>
      </c>
      <c r="H301" s="1" t="s">
        <v>60</v>
      </c>
      <c r="I301" s="1">
        <v>-115.0</v>
      </c>
      <c r="J301" s="1">
        <v>-0.0659945675783181</v>
      </c>
      <c r="K301" s="1" t="s">
        <v>61</v>
      </c>
      <c r="L301" s="1" t="s">
        <v>61</v>
      </c>
      <c r="M301" s="1" t="s">
        <v>62</v>
      </c>
      <c r="N301" s="1">
        <v>-113.0</v>
      </c>
      <c r="O301" s="1">
        <v>5.65420875980771E-4</v>
      </c>
      <c r="P301" s="1" t="s">
        <v>61</v>
      </c>
      <c r="Q301" s="1" t="s">
        <v>61</v>
      </c>
      <c r="R301" s="1">
        <f t="shared" si="1"/>
        <v>0.000565420876</v>
      </c>
      <c r="S301" s="1">
        <f t="shared" si="2"/>
        <v>-113</v>
      </c>
      <c r="T301" s="1">
        <f t="shared" si="3"/>
        <v>1.884955752</v>
      </c>
      <c r="U301" s="1">
        <f t="shared" si="4"/>
        <v>0</v>
      </c>
      <c r="V301" s="3">
        <f t="shared" si="5"/>
        <v>1</v>
      </c>
      <c r="W301" s="3">
        <f t="shared" si="6"/>
        <v>2</v>
      </c>
      <c r="X301" s="3" t="str">
        <f>IFERROR(__xludf.DUMMYFUNCTION("split(B301,"" "")"),"T.")</f>
        <v>T.</v>
      </c>
      <c r="Y301" s="3" t="str">
        <f>IFERROR(__xludf.DUMMYFUNCTION("""COMPUTED_VALUE"""),"Etienne")</f>
        <v>Etienne</v>
      </c>
      <c r="Z301" s="3" t="str">
        <f>IFERROR(__xludf.DUMMYFUNCTION("""COMPUTED_VALUE"""),"Jr.")</f>
        <v>Jr.</v>
      </c>
      <c r="AA301" s="3">
        <v>68.0</v>
      </c>
      <c r="AB301" s="3">
        <f t="shared" si="7"/>
        <v>1</v>
      </c>
      <c r="AC301" s="3">
        <f t="shared" si="8"/>
        <v>0</v>
      </c>
      <c r="AD301" s="3">
        <f t="shared" si="9"/>
        <v>0.8849557522</v>
      </c>
      <c r="AE301" s="3">
        <f t="shared" si="10"/>
        <v>-1</v>
      </c>
      <c r="AF301" s="3">
        <f t="shared" si="11"/>
        <v>-2</v>
      </c>
      <c r="AG301" s="3">
        <f t="shared" si="12"/>
        <v>-0.3203883495</v>
      </c>
    </row>
    <row r="302">
      <c r="A302" s="1" t="s">
        <v>12</v>
      </c>
      <c r="B302" s="1" t="s">
        <v>424</v>
      </c>
      <c r="C302" s="1" t="s">
        <v>19</v>
      </c>
      <c r="D302" s="1" t="s">
        <v>76</v>
      </c>
      <c r="E302" s="1" t="s">
        <v>109</v>
      </c>
      <c r="F302" s="1" t="s">
        <v>517</v>
      </c>
      <c r="G302" s="1">
        <v>2.5</v>
      </c>
      <c r="H302" s="1" t="s">
        <v>60</v>
      </c>
      <c r="I302" s="1">
        <v>-151.0</v>
      </c>
      <c r="J302" s="1">
        <v>-0.261812541872509</v>
      </c>
      <c r="K302" s="1" t="s">
        <v>61</v>
      </c>
      <c r="L302" s="1" t="s">
        <v>61</v>
      </c>
      <c r="M302" s="1" t="s">
        <v>62</v>
      </c>
      <c r="N302" s="1">
        <v>115.0</v>
      </c>
      <c r="O302" s="1">
        <v>0.195089060511627</v>
      </c>
      <c r="P302" s="1" t="s">
        <v>61</v>
      </c>
      <c r="Q302" s="1" t="s">
        <v>61</v>
      </c>
      <c r="R302" s="1">
        <f t="shared" si="1"/>
        <v>0.1950890605</v>
      </c>
      <c r="S302" s="1">
        <f t="shared" si="2"/>
        <v>115</v>
      </c>
      <c r="T302" s="1">
        <f t="shared" si="3"/>
        <v>2.15</v>
      </c>
      <c r="U302" s="1">
        <f t="shared" si="4"/>
        <v>0</v>
      </c>
      <c r="V302" s="3">
        <f t="shared" si="5"/>
        <v>3</v>
      </c>
      <c r="W302" s="3">
        <f t="shared" si="6"/>
        <v>1</v>
      </c>
      <c r="X302" s="3" t="str">
        <f>IFERROR(__xludf.DUMMYFUNCTION("split(B302,"" "")"),"S.")</f>
        <v>S.</v>
      </c>
      <c r="Y302" s="3" t="str">
        <f>IFERROR(__xludf.DUMMYFUNCTION("""COMPUTED_VALUE"""),"Perine")</f>
        <v>Perine</v>
      </c>
      <c r="AA302" s="3">
        <v>3.0</v>
      </c>
      <c r="AB302" s="3">
        <f t="shared" si="7"/>
        <v>1</v>
      </c>
      <c r="AC302" s="3">
        <f t="shared" si="8"/>
        <v>0</v>
      </c>
      <c r="AD302" s="3">
        <f t="shared" si="9"/>
        <v>3.45</v>
      </c>
      <c r="AE302" s="3">
        <f t="shared" si="10"/>
        <v>-3</v>
      </c>
      <c r="AF302" s="3">
        <f t="shared" si="11"/>
        <v>-1</v>
      </c>
      <c r="AG302" s="3">
        <f t="shared" si="12"/>
        <v>-0.2</v>
      </c>
    </row>
    <row r="303">
      <c r="A303" s="1" t="s">
        <v>12</v>
      </c>
      <c r="B303" s="1" t="s">
        <v>468</v>
      </c>
      <c r="C303" s="1" t="s">
        <v>20</v>
      </c>
      <c r="D303" s="1" t="s">
        <v>76</v>
      </c>
      <c r="E303" s="1" t="s">
        <v>109</v>
      </c>
      <c r="F303" s="1" t="s">
        <v>517</v>
      </c>
      <c r="G303" s="1">
        <v>1.5</v>
      </c>
      <c r="H303" s="1" t="s">
        <v>60</v>
      </c>
      <c r="I303" s="1">
        <v>-123.0</v>
      </c>
      <c r="J303" s="1">
        <v>-0.211007820780269</v>
      </c>
      <c r="K303" s="1" t="s">
        <v>61</v>
      </c>
      <c r="L303" s="1" t="s">
        <v>61</v>
      </c>
      <c r="M303" s="1" t="s">
        <v>62</v>
      </c>
      <c r="N303" s="1">
        <v>-107.0</v>
      </c>
      <c r="O303" s="1">
        <v>0.142535952253043</v>
      </c>
      <c r="P303" s="1" t="s">
        <v>61</v>
      </c>
      <c r="Q303" s="1" t="s">
        <v>61</v>
      </c>
      <c r="R303" s="1">
        <f t="shared" si="1"/>
        <v>0.1425359523</v>
      </c>
      <c r="S303" s="1">
        <f t="shared" si="2"/>
        <v>-107</v>
      </c>
      <c r="T303" s="1">
        <f t="shared" si="3"/>
        <v>1.934579439</v>
      </c>
      <c r="U303" s="1">
        <f t="shared" si="4"/>
        <v>0</v>
      </c>
      <c r="V303" s="3">
        <f t="shared" si="5"/>
        <v>3</v>
      </c>
      <c r="W303" s="3">
        <f t="shared" si="6"/>
        <v>2</v>
      </c>
      <c r="X303" s="3" t="str">
        <f>IFERROR(__xludf.DUMMYFUNCTION("split(B303,"" "")"),"N.")</f>
        <v>N.</v>
      </c>
      <c r="Y303" s="3" t="str">
        <f>IFERROR(__xludf.DUMMYFUNCTION("""COMPUTED_VALUE"""),"Gray")</f>
        <v>Gray</v>
      </c>
      <c r="AA303" s="3">
        <v>1.0</v>
      </c>
      <c r="AB303" s="3">
        <f t="shared" si="7"/>
        <v>0</v>
      </c>
      <c r="AC303" s="3">
        <f t="shared" si="8"/>
        <v>1</v>
      </c>
      <c r="AD303" s="3">
        <f t="shared" si="9"/>
        <v>2.803738318</v>
      </c>
      <c r="AE303" s="3">
        <f t="shared" si="10"/>
        <v>2.803738318</v>
      </c>
      <c r="AF303" s="3">
        <f t="shared" si="11"/>
        <v>1.869158879</v>
      </c>
      <c r="AG303" s="3">
        <f t="shared" si="12"/>
        <v>0.3333333333</v>
      </c>
    </row>
    <row r="304">
      <c r="A304" s="1" t="s">
        <v>9</v>
      </c>
      <c r="B304" s="1" t="s">
        <v>237</v>
      </c>
      <c r="C304" s="1" t="s">
        <v>18</v>
      </c>
      <c r="D304" s="1" t="s">
        <v>76</v>
      </c>
      <c r="E304" s="1" t="s">
        <v>109</v>
      </c>
      <c r="F304" s="1" t="s">
        <v>517</v>
      </c>
      <c r="G304" s="1">
        <v>18.5</v>
      </c>
      <c r="H304" s="1" t="s">
        <v>60</v>
      </c>
      <c r="I304" s="1">
        <v>-114.0</v>
      </c>
      <c r="J304" s="1">
        <v>0.127905790435775</v>
      </c>
      <c r="K304" s="1" t="s">
        <v>61</v>
      </c>
      <c r="L304" s="1" t="s">
        <v>61</v>
      </c>
      <c r="M304" s="1" t="s">
        <v>62</v>
      </c>
      <c r="N304" s="1">
        <v>-118.0</v>
      </c>
      <c r="O304" s="1">
        <v>-0.201855514682761</v>
      </c>
      <c r="P304" s="1" t="s">
        <v>61</v>
      </c>
      <c r="Q304" s="1" t="s">
        <v>61</v>
      </c>
      <c r="R304" s="1">
        <f t="shared" si="1"/>
        <v>0.1279057904</v>
      </c>
      <c r="S304" s="1">
        <f t="shared" si="2"/>
        <v>-114</v>
      </c>
      <c r="T304" s="1">
        <f t="shared" si="3"/>
        <v>1.877192982</v>
      </c>
      <c r="U304" s="1">
        <f t="shared" si="4"/>
        <v>1</v>
      </c>
      <c r="V304" s="3">
        <f t="shared" si="5"/>
        <v>3</v>
      </c>
      <c r="W304" s="3">
        <f t="shared" si="6"/>
        <v>2</v>
      </c>
      <c r="X304" s="3" t="str">
        <f>IFERROR(__xludf.DUMMYFUNCTION("split(B304,"" "")"),"J.")</f>
        <v>J.</v>
      </c>
      <c r="Y304" s="3" t="str">
        <f>IFERROR(__xludf.DUMMYFUNCTION("""COMPUTED_VALUE"""),"Watson")</f>
        <v>Watson</v>
      </c>
      <c r="AA304" s="3">
        <v>13.0</v>
      </c>
      <c r="AB304" s="3">
        <f t="shared" si="7"/>
        <v>0</v>
      </c>
      <c r="AC304" s="3">
        <f t="shared" si="8"/>
        <v>0</v>
      </c>
      <c r="AD304" s="3">
        <f t="shared" si="9"/>
        <v>2.631578947</v>
      </c>
      <c r="AE304" s="3">
        <f t="shared" si="10"/>
        <v>-3</v>
      </c>
      <c r="AF304" s="3">
        <f t="shared" si="11"/>
        <v>-2</v>
      </c>
      <c r="AG304" s="3">
        <f t="shared" si="12"/>
        <v>-0.2972972973</v>
      </c>
    </row>
    <row r="305">
      <c r="A305" s="1" t="s">
        <v>12</v>
      </c>
      <c r="B305" s="1" t="s">
        <v>542</v>
      </c>
      <c r="C305" s="1" t="s">
        <v>19</v>
      </c>
      <c r="D305" s="1" t="s">
        <v>76</v>
      </c>
      <c r="E305" s="1" t="s">
        <v>109</v>
      </c>
      <c r="F305" s="1" t="s">
        <v>517</v>
      </c>
      <c r="G305" s="1">
        <v>1.5</v>
      </c>
      <c r="H305" s="1" t="s">
        <v>60</v>
      </c>
      <c r="I305" s="1">
        <v>-115.0</v>
      </c>
      <c r="J305" s="1">
        <v>-0.181522249539535</v>
      </c>
      <c r="K305" s="1" t="s">
        <v>61</v>
      </c>
      <c r="L305" s="1" t="s">
        <v>61</v>
      </c>
      <c r="M305" s="1" t="s">
        <v>62</v>
      </c>
      <c r="N305" s="1">
        <v>-114.0</v>
      </c>
      <c r="O305" s="1">
        <v>0.113933847486635</v>
      </c>
      <c r="P305" s="1" t="s">
        <v>61</v>
      </c>
      <c r="Q305" s="1" t="s">
        <v>61</v>
      </c>
      <c r="R305" s="1">
        <f t="shared" si="1"/>
        <v>0.1139338475</v>
      </c>
      <c r="S305" s="1">
        <f t="shared" si="2"/>
        <v>-114</v>
      </c>
      <c r="T305" s="1">
        <f t="shared" si="3"/>
        <v>1.877192982</v>
      </c>
      <c r="U305" s="1">
        <f t="shared" si="4"/>
        <v>0</v>
      </c>
      <c r="V305" s="3">
        <f t="shared" si="5"/>
        <v>3</v>
      </c>
      <c r="W305" s="3">
        <f t="shared" si="6"/>
        <v>2</v>
      </c>
      <c r="X305" s="3" t="str">
        <f>IFERROR(__xludf.DUMMYFUNCTION("split(B305,"" "")"),"C.")</f>
        <v>C.</v>
      </c>
      <c r="Y305" s="3" t="str">
        <f>IFERROR(__xludf.DUMMYFUNCTION("""COMPUTED_VALUE"""),"Steele")</f>
        <v>Steele</v>
      </c>
      <c r="AA305" s="3">
        <v>1.0</v>
      </c>
      <c r="AB305" s="3">
        <f t="shared" si="7"/>
        <v>0</v>
      </c>
      <c r="AC305" s="3">
        <f t="shared" si="8"/>
        <v>1</v>
      </c>
      <c r="AD305" s="3">
        <f t="shared" si="9"/>
        <v>2.631578947</v>
      </c>
      <c r="AE305" s="3">
        <f t="shared" si="10"/>
        <v>2.631578947</v>
      </c>
      <c r="AF305" s="3">
        <f t="shared" si="11"/>
        <v>1.754385965</v>
      </c>
      <c r="AG305" s="3">
        <f t="shared" si="12"/>
        <v>0.3333333333</v>
      </c>
    </row>
    <row r="306">
      <c r="A306" s="1" t="s">
        <v>12</v>
      </c>
      <c r="B306" s="1" t="s">
        <v>493</v>
      </c>
      <c r="C306" s="1" t="s">
        <v>18</v>
      </c>
      <c r="D306" s="1" t="s">
        <v>76</v>
      </c>
      <c r="E306" s="1" t="s">
        <v>109</v>
      </c>
      <c r="F306" s="1" t="s">
        <v>517</v>
      </c>
      <c r="G306" s="1">
        <v>6.5</v>
      </c>
      <c r="H306" s="1" t="s">
        <v>60</v>
      </c>
      <c r="I306" s="1">
        <v>-117.0</v>
      </c>
      <c r="J306" s="1">
        <v>0.10943732718894</v>
      </c>
      <c r="K306" s="1" t="s">
        <v>61</v>
      </c>
      <c r="L306" s="1" t="s">
        <v>61</v>
      </c>
      <c r="M306" s="1" t="s">
        <v>62</v>
      </c>
      <c r="N306" s="1">
        <v>-112.0</v>
      </c>
      <c r="O306" s="1">
        <v>-0.176896226415094</v>
      </c>
      <c r="P306" s="1" t="s">
        <v>61</v>
      </c>
      <c r="Q306" s="1" t="s">
        <v>61</v>
      </c>
      <c r="R306" s="1">
        <f t="shared" si="1"/>
        <v>0.1094373272</v>
      </c>
      <c r="S306" s="1">
        <f t="shared" si="2"/>
        <v>-117</v>
      </c>
      <c r="T306" s="1">
        <f t="shared" si="3"/>
        <v>1.854700855</v>
      </c>
      <c r="U306" s="1">
        <f t="shared" si="4"/>
        <v>1</v>
      </c>
      <c r="V306" s="3">
        <f t="shared" si="5"/>
        <v>3</v>
      </c>
      <c r="W306" s="3">
        <f t="shared" si="6"/>
        <v>2</v>
      </c>
      <c r="X306" s="3" t="str">
        <f>IFERROR(__xludf.DUMMYFUNCTION("split(B306,"" "")"),"R.")</f>
        <v>R.</v>
      </c>
      <c r="Y306" s="3" t="str">
        <f>IFERROR(__xludf.DUMMYFUNCTION("""COMPUTED_VALUE"""),"Rice")</f>
        <v>Rice</v>
      </c>
      <c r="AA306" s="3">
        <v>12.0</v>
      </c>
      <c r="AB306" s="3">
        <f t="shared" si="7"/>
        <v>1</v>
      </c>
      <c r="AC306" s="3">
        <f t="shared" si="8"/>
        <v>1</v>
      </c>
      <c r="AD306" s="3">
        <f t="shared" si="9"/>
        <v>2.564102564</v>
      </c>
      <c r="AE306" s="3">
        <f t="shared" si="10"/>
        <v>2.564102564</v>
      </c>
      <c r="AF306" s="3">
        <f t="shared" si="11"/>
        <v>1.709401709</v>
      </c>
      <c r="AG306" s="3">
        <f t="shared" si="12"/>
        <v>0.8461538462</v>
      </c>
    </row>
    <row r="307">
      <c r="A307" s="1" t="s">
        <v>12</v>
      </c>
      <c r="B307" s="1" t="s">
        <v>237</v>
      </c>
      <c r="C307" s="1" t="s">
        <v>18</v>
      </c>
      <c r="D307" s="1" t="s">
        <v>76</v>
      </c>
      <c r="E307" s="1" t="s">
        <v>109</v>
      </c>
      <c r="F307" s="1" t="s">
        <v>517</v>
      </c>
      <c r="G307" s="1">
        <v>1.5</v>
      </c>
      <c r="H307" s="1" t="s">
        <v>60</v>
      </c>
      <c r="I307" s="1">
        <v>-102.0</v>
      </c>
      <c r="J307" s="1">
        <v>-0.16739405980198</v>
      </c>
      <c r="K307" s="1" t="s">
        <v>61</v>
      </c>
      <c r="L307" s="1" t="s">
        <v>61</v>
      </c>
      <c r="M307" s="1" t="s">
        <v>62</v>
      </c>
      <c r="N307" s="1">
        <v>-129.0</v>
      </c>
      <c r="O307" s="1">
        <v>0.0991170048174673</v>
      </c>
      <c r="P307" s="1" t="s">
        <v>61</v>
      </c>
      <c r="Q307" s="1" t="s">
        <v>61</v>
      </c>
      <c r="R307" s="1">
        <f t="shared" si="1"/>
        <v>0.09911700482</v>
      </c>
      <c r="S307" s="1">
        <f t="shared" si="2"/>
        <v>-129</v>
      </c>
      <c r="T307" s="1">
        <f t="shared" si="3"/>
        <v>1.775193798</v>
      </c>
      <c r="U307" s="1">
        <f t="shared" si="4"/>
        <v>0</v>
      </c>
      <c r="V307" s="3">
        <f t="shared" si="5"/>
        <v>2</v>
      </c>
      <c r="W307" s="3">
        <f t="shared" si="6"/>
        <v>3</v>
      </c>
      <c r="X307" s="3" t="str">
        <f>IFERROR(__xludf.DUMMYFUNCTION("split(B307,"" "")"),"J.")</f>
        <v>J.</v>
      </c>
      <c r="Y307" s="3" t="str">
        <f>IFERROR(__xludf.DUMMYFUNCTION("""COMPUTED_VALUE"""),"Watson")</f>
        <v>Watson</v>
      </c>
      <c r="AA307" s="3">
        <v>1.0</v>
      </c>
      <c r="AB307" s="3">
        <f t="shared" si="7"/>
        <v>0</v>
      </c>
      <c r="AC307" s="3">
        <f t="shared" si="8"/>
        <v>1</v>
      </c>
      <c r="AD307" s="3">
        <f t="shared" si="9"/>
        <v>1.550387597</v>
      </c>
      <c r="AE307" s="3">
        <f t="shared" si="10"/>
        <v>1.550387597</v>
      </c>
      <c r="AF307" s="3">
        <f t="shared" si="11"/>
        <v>2.325581395</v>
      </c>
      <c r="AG307" s="3">
        <f t="shared" si="12"/>
        <v>0.3333333333</v>
      </c>
    </row>
    <row r="308">
      <c r="A308" s="1" t="s">
        <v>17</v>
      </c>
      <c r="B308" s="1" t="s">
        <v>75</v>
      </c>
      <c r="C308" s="1" t="s">
        <v>21</v>
      </c>
      <c r="D308" s="1" t="s">
        <v>76</v>
      </c>
      <c r="E308" s="1" t="s">
        <v>109</v>
      </c>
      <c r="F308" s="1" t="s">
        <v>517</v>
      </c>
      <c r="G308" s="1">
        <v>0.5</v>
      </c>
      <c r="H308" s="1" t="s">
        <v>60</v>
      </c>
      <c r="I308" s="1">
        <v>-132.0</v>
      </c>
      <c r="J308" s="1">
        <v>-0.136165517241379</v>
      </c>
      <c r="K308" s="1" t="s">
        <v>61</v>
      </c>
      <c r="L308" s="1" t="s">
        <v>61</v>
      </c>
      <c r="M308" s="1" t="s">
        <v>62</v>
      </c>
      <c r="N308" s="1">
        <v>102.0</v>
      </c>
      <c r="O308" s="1">
        <v>0.0721504950495049</v>
      </c>
      <c r="P308" s="1" t="s">
        <v>61</v>
      </c>
      <c r="Q308" s="1" t="s">
        <v>61</v>
      </c>
      <c r="R308" s="1">
        <f t="shared" si="1"/>
        <v>0.07215049505</v>
      </c>
      <c r="S308" s="1">
        <f t="shared" si="2"/>
        <v>102</v>
      </c>
      <c r="T308" s="1">
        <f t="shared" si="3"/>
        <v>2.02</v>
      </c>
      <c r="U308" s="1">
        <f t="shared" si="4"/>
        <v>0</v>
      </c>
      <c r="V308" s="3">
        <f t="shared" si="5"/>
        <v>2</v>
      </c>
      <c r="W308" s="3">
        <f t="shared" si="6"/>
        <v>2</v>
      </c>
      <c r="X308" s="3" t="str">
        <f>IFERROR(__xludf.DUMMYFUNCTION("split(B308,"" "")"),"P.")</f>
        <v>P.</v>
      </c>
      <c r="Y308" s="3" t="str">
        <f>IFERROR(__xludf.DUMMYFUNCTION("""COMPUTED_VALUE"""),"Mahomes")</f>
        <v>Mahomes</v>
      </c>
      <c r="AA308" s="3">
        <v>1.0</v>
      </c>
      <c r="AB308" s="3">
        <f t="shared" si="7"/>
        <v>1</v>
      </c>
      <c r="AC308" s="3">
        <f t="shared" si="8"/>
        <v>0</v>
      </c>
      <c r="AD308" s="3">
        <f t="shared" si="9"/>
        <v>2.04</v>
      </c>
      <c r="AE308" s="3">
        <f t="shared" si="10"/>
        <v>-2</v>
      </c>
      <c r="AF308" s="3">
        <f t="shared" si="11"/>
        <v>-2</v>
      </c>
      <c r="AG308" s="3">
        <f t="shared" si="12"/>
        <v>-1</v>
      </c>
    </row>
    <row r="309">
      <c r="A309" s="1" t="s">
        <v>14</v>
      </c>
      <c r="B309" s="1" t="s">
        <v>75</v>
      </c>
      <c r="C309" s="1" t="s">
        <v>21</v>
      </c>
      <c r="D309" s="1" t="s">
        <v>76</v>
      </c>
      <c r="E309" s="1" t="s">
        <v>109</v>
      </c>
      <c r="F309" s="1" t="s">
        <v>517</v>
      </c>
      <c r="G309" s="1">
        <v>1.5</v>
      </c>
      <c r="H309" s="1" t="s">
        <v>60</v>
      </c>
      <c r="I309" s="1">
        <v>-171.0</v>
      </c>
      <c r="J309" s="1">
        <v>-0.118696309963099</v>
      </c>
      <c r="K309" s="1" t="s">
        <v>61</v>
      </c>
      <c r="L309" s="1" t="s">
        <v>61</v>
      </c>
      <c r="M309" s="1" t="s">
        <v>62</v>
      </c>
      <c r="N309" s="1">
        <v>132.0</v>
      </c>
      <c r="O309" s="1">
        <v>0.0566655172413793</v>
      </c>
      <c r="P309" s="1" t="s">
        <v>61</v>
      </c>
      <c r="Q309" s="1" t="s">
        <v>61</v>
      </c>
      <c r="R309" s="1">
        <f t="shared" si="1"/>
        <v>0.05666551724</v>
      </c>
      <c r="S309" s="1">
        <f t="shared" si="2"/>
        <v>132</v>
      </c>
      <c r="T309" s="1">
        <f t="shared" si="3"/>
        <v>2.32</v>
      </c>
      <c r="U309" s="1">
        <f t="shared" si="4"/>
        <v>0</v>
      </c>
      <c r="V309" s="3">
        <f t="shared" si="5"/>
        <v>2</v>
      </c>
      <c r="W309" s="3">
        <f t="shared" si="6"/>
        <v>1</v>
      </c>
      <c r="X309" s="3" t="str">
        <f>IFERROR(__xludf.DUMMYFUNCTION("split(B309,"" "")"),"P.")</f>
        <v>P.</v>
      </c>
      <c r="Y309" s="3" t="str">
        <f>IFERROR(__xludf.DUMMYFUNCTION("""COMPUTED_VALUE"""),"Mahomes")</f>
        <v>Mahomes</v>
      </c>
      <c r="AA309" s="3">
        <v>2.0</v>
      </c>
      <c r="AB309" s="3">
        <f t="shared" si="7"/>
        <v>1</v>
      </c>
      <c r="AC309" s="3">
        <f t="shared" si="8"/>
        <v>0</v>
      </c>
      <c r="AD309" s="3">
        <f t="shared" si="9"/>
        <v>2.64</v>
      </c>
      <c r="AE309" s="3">
        <f t="shared" si="10"/>
        <v>-2</v>
      </c>
      <c r="AF309" s="3">
        <f t="shared" si="11"/>
        <v>-1</v>
      </c>
      <c r="AG309" s="3">
        <f t="shared" si="12"/>
        <v>-0.3333333333</v>
      </c>
    </row>
    <row r="310">
      <c r="A310" s="1" t="s">
        <v>8</v>
      </c>
      <c r="B310" s="1" t="s">
        <v>75</v>
      </c>
      <c r="C310" s="1" t="s">
        <v>21</v>
      </c>
      <c r="D310" s="1" t="s">
        <v>76</v>
      </c>
      <c r="E310" s="1" t="s">
        <v>109</v>
      </c>
      <c r="F310" s="1" t="s">
        <v>517</v>
      </c>
      <c r="G310" s="1">
        <v>4.5</v>
      </c>
      <c r="H310" s="1" t="s">
        <v>60</v>
      </c>
      <c r="I310" s="1">
        <v>114.0</v>
      </c>
      <c r="J310" s="1">
        <v>-0.118980662713973</v>
      </c>
      <c r="K310" s="1" t="s">
        <v>61</v>
      </c>
      <c r="L310" s="1" t="s">
        <v>61</v>
      </c>
      <c r="M310" s="1" t="s">
        <v>62</v>
      </c>
      <c r="N310" s="1">
        <v>-151.0</v>
      </c>
      <c r="O310" s="1">
        <v>0.0500961464646444</v>
      </c>
      <c r="P310" s="1" t="s">
        <v>61</v>
      </c>
      <c r="Q310" s="1" t="s">
        <v>61</v>
      </c>
      <c r="R310" s="1">
        <f t="shared" si="1"/>
        <v>0.05009614646</v>
      </c>
      <c r="S310" s="1">
        <f t="shared" si="2"/>
        <v>-151</v>
      </c>
      <c r="T310" s="1">
        <f t="shared" si="3"/>
        <v>1.662251656</v>
      </c>
      <c r="U310" s="1">
        <f t="shared" si="4"/>
        <v>0</v>
      </c>
      <c r="V310" s="3">
        <f t="shared" si="5"/>
        <v>2</v>
      </c>
      <c r="W310" s="3">
        <f t="shared" si="6"/>
        <v>3</v>
      </c>
      <c r="X310" s="3" t="str">
        <f>IFERROR(__xludf.DUMMYFUNCTION("split(B310,"" "")"),"P.")</f>
        <v>P.</v>
      </c>
      <c r="Y310" s="3" t="str">
        <f>IFERROR(__xludf.DUMMYFUNCTION("""COMPUTED_VALUE"""),"Mahomes")</f>
        <v>Mahomes</v>
      </c>
      <c r="AA310" s="3">
        <v>6.0</v>
      </c>
      <c r="AB310" s="3">
        <f t="shared" si="7"/>
        <v>1</v>
      </c>
      <c r="AC310" s="3">
        <f t="shared" si="8"/>
        <v>0</v>
      </c>
      <c r="AD310" s="3">
        <f t="shared" si="9"/>
        <v>1.324503311</v>
      </c>
      <c r="AE310" s="3">
        <f t="shared" si="10"/>
        <v>-2</v>
      </c>
      <c r="AF310" s="3">
        <f t="shared" si="11"/>
        <v>-3</v>
      </c>
      <c r="AG310" s="3">
        <f t="shared" si="12"/>
        <v>-0.3333333333</v>
      </c>
    </row>
    <row r="311">
      <c r="A311" s="1" t="s">
        <v>11</v>
      </c>
      <c r="B311" s="1" t="s">
        <v>493</v>
      </c>
      <c r="C311" s="1" t="s">
        <v>18</v>
      </c>
      <c r="D311" s="1" t="s">
        <v>76</v>
      </c>
      <c r="E311" s="1" t="s">
        <v>109</v>
      </c>
      <c r="F311" s="1" t="s">
        <v>517</v>
      </c>
      <c r="G311" s="1">
        <v>76.5</v>
      </c>
      <c r="H311" s="1" t="s">
        <v>60</v>
      </c>
      <c r="I311" s="1">
        <v>-134.0</v>
      </c>
      <c r="J311" s="1">
        <v>-0.11476563710129</v>
      </c>
      <c r="K311" s="1" t="s">
        <v>61</v>
      </c>
      <c r="L311" s="1" t="s">
        <v>61</v>
      </c>
      <c r="M311" s="1" t="s">
        <v>62</v>
      </c>
      <c r="N311" s="1">
        <v>102.0</v>
      </c>
      <c r="O311" s="1">
        <v>0.0470515586260683</v>
      </c>
      <c r="P311" s="1" t="s">
        <v>61</v>
      </c>
      <c r="Q311" s="1" t="s">
        <v>61</v>
      </c>
      <c r="R311" s="1">
        <f t="shared" si="1"/>
        <v>0.04705155863</v>
      </c>
      <c r="S311" s="1">
        <f t="shared" si="2"/>
        <v>102</v>
      </c>
      <c r="T311" s="1">
        <f t="shared" si="3"/>
        <v>2.02</v>
      </c>
      <c r="U311" s="1">
        <f t="shared" si="4"/>
        <v>0</v>
      </c>
      <c r="V311" s="3">
        <f t="shared" si="5"/>
        <v>1</v>
      </c>
      <c r="W311" s="3">
        <f t="shared" si="6"/>
        <v>2</v>
      </c>
      <c r="X311" s="3" t="str">
        <f>IFERROR(__xludf.DUMMYFUNCTION("split(B311,"" "")"),"R.")</f>
        <v>R.</v>
      </c>
      <c r="Y311" s="3" t="str">
        <f>IFERROR(__xludf.DUMMYFUNCTION("""COMPUTED_VALUE"""),"Rice")</f>
        <v>Rice</v>
      </c>
      <c r="AA311" s="3">
        <v>110.0</v>
      </c>
      <c r="AB311" s="3">
        <f t="shared" si="7"/>
        <v>1</v>
      </c>
      <c r="AC311" s="3">
        <f t="shared" si="8"/>
        <v>0</v>
      </c>
      <c r="AD311" s="3">
        <f t="shared" si="9"/>
        <v>1.02</v>
      </c>
      <c r="AE311" s="3">
        <f t="shared" si="10"/>
        <v>-1</v>
      </c>
      <c r="AF311" s="3">
        <f t="shared" si="11"/>
        <v>-2</v>
      </c>
      <c r="AG311" s="3">
        <f t="shared" si="12"/>
        <v>-0.4379084967</v>
      </c>
    </row>
    <row r="312">
      <c r="A312" s="1" t="s">
        <v>8</v>
      </c>
      <c r="B312" s="1" t="s">
        <v>542</v>
      </c>
      <c r="C312" s="1" t="s">
        <v>19</v>
      </c>
      <c r="D312" s="1" t="s">
        <v>76</v>
      </c>
      <c r="E312" s="1" t="s">
        <v>109</v>
      </c>
      <c r="F312" s="1" t="s">
        <v>517</v>
      </c>
      <c r="G312" s="1">
        <v>12.5</v>
      </c>
      <c r="H312" s="1" t="s">
        <v>60</v>
      </c>
      <c r="I312" s="1">
        <v>-101.0</v>
      </c>
      <c r="J312" s="1">
        <v>-0.106636663366666</v>
      </c>
      <c r="K312" s="1" t="s">
        <v>61</v>
      </c>
      <c r="L312" s="1" t="s">
        <v>61</v>
      </c>
      <c r="M312" s="1" t="s">
        <v>62</v>
      </c>
      <c r="N312" s="1">
        <v>-129.0</v>
      </c>
      <c r="O312" s="1">
        <v>0.0408368185342489</v>
      </c>
      <c r="P312" s="1" t="s">
        <v>61</v>
      </c>
      <c r="Q312" s="1" t="s">
        <v>61</v>
      </c>
      <c r="R312" s="1">
        <f t="shared" si="1"/>
        <v>0.04083681853</v>
      </c>
      <c r="S312" s="1">
        <f t="shared" si="2"/>
        <v>-129</v>
      </c>
      <c r="T312" s="1">
        <f t="shared" si="3"/>
        <v>1.775193798</v>
      </c>
      <c r="U312" s="1">
        <f t="shared" si="4"/>
        <v>0</v>
      </c>
      <c r="V312" s="3">
        <f t="shared" si="5"/>
        <v>1</v>
      </c>
      <c r="W312" s="3">
        <f t="shared" si="6"/>
        <v>3</v>
      </c>
      <c r="X312" s="3" t="str">
        <f>IFERROR(__xludf.DUMMYFUNCTION("split(B312,"" "")"),"C.")</f>
        <v>C.</v>
      </c>
      <c r="Y312" s="3" t="str">
        <f>IFERROR(__xludf.DUMMYFUNCTION("""COMPUTED_VALUE"""),"Steele")</f>
        <v>Steele</v>
      </c>
      <c r="AA312" s="3">
        <v>17.0</v>
      </c>
      <c r="AB312" s="3">
        <f t="shared" si="7"/>
        <v>1</v>
      </c>
      <c r="AC312" s="3">
        <f t="shared" si="8"/>
        <v>0</v>
      </c>
      <c r="AD312" s="3">
        <f t="shared" si="9"/>
        <v>0.7751937984</v>
      </c>
      <c r="AE312" s="3">
        <f t="shared" si="10"/>
        <v>-1</v>
      </c>
      <c r="AF312" s="3">
        <f t="shared" si="11"/>
        <v>-3</v>
      </c>
      <c r="AG312" s="3">
        <f t="shared" si="12"/>
        <v>-0.36</v>
      </c>
    </row>
    <row r="313">
      <c r="A313" s="1" t="s">
        <v>9</v>
      </c>
      <c r="B313" s="1" t="s">
        <v>493</v>
      </c>
      <c r="C313" s="1" t="s">
        <v>18</v>
      </c>
      <c r="D313" s="1" t="s">
        <v>76</v>
      </c>
      <c r="E313" s="1" t="s">
        <v>109</v>
      </c>
      <c r="F313" s="1" t="s">
        <v>517</v>
      </c>
      <c r="G313" s="1">
        <v>77.5</v>
      </c>
      <c r="H313" s="1" t="s">
        <v>60</v>
      </c>
      <c r="I313" s="1">
        <v>-120.0</v>
      </c>
      <c r="J313" s="1">
        <v>-0.11291731635207</v>
      </c>
      <c r="K313" s="1" t="s">
        <v>61</v>
      </c>
      <c r="L313" s="1" t="s">
        <v>61</v>
      </c>
      <c r="M313" s="1" t="s">
        <v>62</v>
      </c>
      <c r="N313" s="1">
        <v>-115.0</v>
      </c>
      <c r="O313" s="1">
        <v>0.0326078187770874</v>
      </c>
      <c r="P313" s="1" t="s">
        <v>61</v>
      </c>
      <c r="Q313" s="1" t="s">
        <v>61</v>
      </c>
      <c r="R313" s="1">
        <f t="shared" si="1"/>
        <v>0.03260781878</v>
      </c>
      <c r="S313" s="1">
        <f t="shared" si="2"/>
        <v>-115</v>
      </c>
      <c r="T313" s="1">
        <f t="shared" si="3"/>
        <v>1.869565217</v>
      </c>
      <c r="U313" s="1">
        <f t="shared" si="4"/>
        <v>0</v>
      </c>
      <c r="V313" s="3">
        <f t="shared" si="5"/>
        <v>1</v>
      </c>
      <c r="W313" s="3">
        <f t="shared" si="6"/>
        <v>2</v>
      </c>
      <c r="X313" s="3" t="str">
        <f>IFERROR(__xludf.DUMMYFUNCTION("split(B313,"" "")"),"R.")</f>
        <v>R.</v>
      </c>
      <c r="Y313" s="3" t="str">
        <f>IFERROR(__xludf.DUMMYFUNCTION("""COMPUTED_VALUE"""),"Rice")</f>
        <v>Rice</v>
      </c>
      <c r="AA313" s="3">
        <v>111.0</v>
      </c>
      <c r="AB313" s="3">
        <f t="shared" si="7"/>
        <v>1</v>
      </c>
      <c r="AC313" s="3">
        <f t="shared" si="8"/>
        <v>0</v>
      </c>
      <c r="AD313" s="3">
        <f t="shared" si="9"/>
        <v>0.8695652174</v>
      </c>
      <c r="AE313" s="3">
        <f t="shared" si="10"/>
        <v>-1</v>
      </c>
      <c r="AF313" s="3">
        <f t="shared" si="11"/>
        <v>-2</v>
      </c>
      <c r="AG313" s="3">
        <f t="shared" si="12"/>
        <v>-0.4322580645</v>
      </c>
    </row>
    <row r="314">
      <c r="A314" s="1" t="s">
        <v>11</v>
      </c>
      <c r="B314" s="1" t="s">
        <v>542</v>
      </c>
      <c r="C314" s="1" t="s">
        <v>19</v>
      </c>
      <c r="D314" s="1" t="s">
        <v>76</v>
      </c>
      <c r="E314" s="1" t="s">
        <v>109</v>
      </c>
      <c r="F314" s="1" t="s">
        <v>517</v>
      </c>
      <c r="G314" s="1">
        <v>9.5</v>
      </c>
      <c r="H314" s="1" t="s">
        <v>60</v>
      </c>
      <c r="I314" s="1">
        <v>-107.0</v>
      </c>
      <c r="J314" s="1">
        <v>0.031937857192166</v>
      </c>
      <c r="K314" s="1" t="s">
        <v>61</v>
      </c>
      <c r="L314" s="1" t="s">
        <v>61</v>
      </c>
      <c r="M314" s="1" t="s">
        <v>62</v>
      </c>
      <c r="N314" s="1">
        <v>-118.0</v>
      </c>
      <c r="O314" s="1">
        <v>-0.090087839439259</v>
      </c>
      <c r="P314" s="1" t="s">
        <v>61</v>
      </c>
      <c r="Q314" s="1" t="s">
        <v>61</v>
      </c>
      <c r="R314" s="1">
        <f t="shared" si="1"/>
        <v>0.03193785719</v>
      </c>
      <c r="S314" s="1">
        <f t="shared" si="2"/>
        <v>-107</v>
      </c>
      <c r="T314" s="1">
        <f t="shared" si="3"/>
        <v>1.934579439</v>
      </c>
      <c r="U314" s="1">
        <f t="shared" si="4"/>
        <v>1</v>
      </c>
      <c r="V314" s="3">
        <f t="shared" si="5"/>
        <v>1</v>
      </c>
      <c r="W314" s="3">
        <f t="shared" si="6"/>
        <v>2</v>
      </c>
      <c r="X314" s="3" t="str">
        <f>IFERROR(__xludf.DUMMYFUNCTION("split(B314,"" "")"),"C.")</f>
        <v>C.</v>
      </c>
      <c r="Y314" s="3" t="str">
        <f>IFERROR(__xludf.DUMMYFUNCTION("""COMPUTED_VALUE"""),"Steele")</f>
        <v>Steele</v>
      </c>
      <c r="AA314" s="3">
        <v>2.0</v>
      </c>
      <c r="AB314" s="3">
        <f t="shared" si="7"/>
        <v>0</v>
      </c>
      <c r="AC314" s="3">
        <f t="shared" si="8"/>
        <v>0</v>
      </c>
      <c r="AD314" s="3">
        <f t="shared" si="9"/>
        <v>0.9345794393</v>
      </c>
      <c r="AE314" s="3">
        <f t="shared" si="10"/>
        <v>-1</v>
      </c>
      <c r="AF314" s="3">
        <f t="shared" si="11"/>
        <v>-2</v>
      </c>
      <c r="AG314" s="3">
        <f t="shared" si="12"/>
        <v>-0.7894736842</v>
      </c>
    </row>
    <row r="315">
      <c r="A315" s="1" t="s">
        <v>10</v>
      </c>
      <c r="B315" s="1" t="s">
        <v>542</v>
      </c>
      <c r="C315" s="1" t="s">
        <v>19</v>
      </c>
      <c r="D315" s="1" t="s">
        <v>76</v>
      </c>
      <c r="E315" s="1" t="s">
        <v>109</v>
      </c>
      <c r="F315" s="1" t="s">
        <v>517</v>
      </c>
      <c r="G315" s="1">
        <v>47.5</v>
      </c>
      <c r="H315" s="1" t="s">
        <v>60</v>
      </c>
      <c r="I315" s="1">
        <v>-121.0</v>
      </c>
      <c r="J315" s="1">
        <v>-0.0968434753599757</v>
      </c>
      <c r="K315" s="1" t="s">
        <v>61</v>
      </c>
      <c r="L315" s="1" t="s">
        <v>61</v>
      </c>
      <c r="M315" s="1" t="s">
        <v>62</v>
      </c>
      <c r="N315" s="1">
        <v>-108.0</v>
      </c>
      <c r="O315" s="1">
        <v>0.0301060576603472</v>
      </c>
      <c r="P315" s="1" t="s">
        <v>61</v>
      </c>
      <c r="Q315" s="1" t="s">
        <v>61</v>
      </c>
      <c r="R315" s="1">
        <f t="shared" si="1"/>
        <v>0.03010605766</v>
      </c>
      <c r="S315" s="1">
        <f t="shared" si="2"/>
        <v>-108</v>
      </c>
      <c r="T315" s="1">
        <f t="shared" si="3"/>
        <v>1.925925926</v>
      </c>
      <c r="U315" s="1">
        <f t="shared" si="4"/>
        <v>0</v>
      </c>
      <c r="V315" s="3">
        <f t="shared" si="5"/>
        <v>1</v>
      </c>
      <c r="W315" s="3">
        <f t="shared" si="6"/>
        <v>2</v>
      </c>
      <c r="X315" s="3" t="str">
        <f>IFERROR(__xludf.DUMMYFUNCTION("split(B315,"" "")"),"C.")</f>
        <v>C.</v>
      </c>
      <c r="Y315" s="3" t="str">
        <f>IFERROR(__xludf.DUMMYFUNCTION("""COMPUTED_VALUE"""),"Steele")</f>
        <v>Steele</v>
      </c>
      <c r="AA315" s="3">
        <v>72.0</v>
      </c>
      <c r="AB315" s="3">
        <f t="shared" si="7"/>
        <v>1</v>
      </c>
      <c r="AC315" s="3">
        <f t="shared" si="8"/>
        <v>0</v>
      </c>
      <c r="AD315" s="3">
        <f t="shared" si="9"/>
        <v>0.9259259259</v>
      </c>
      <c r="AE315" s="3">
        <f t="shared" si="10"/>
        <v>-1</v>
      </c>
      <c r="AF315" s="3">
        <f t="shared" si="11"/>
        <v>-2</v>
      </c>
      <c r="AG315" s="3">
        <f t="shared" si="12"/>
        <v>-0.5157894737</v>
      </c>
    </row>
    <row r="316">
      <c r="A316" s="1" t="s">
        <v>12</v>
      </c>
      <c r="B316" s="1" t="s">
        <v>326</v>
      </c>
      <c r="C316" s="1" t="s">
        <v>20</v>
      </c>
      <c r="D316" s="1" t="s">
        <v>76</v>
      </c>
      <c r="E316" s="1" t="s">
        <v>109</v>
      </c>
      <c r="F316" s="1" t="s">
        <v>517</v>
      </c>
      <c r="G316" s="1">
        <v>4.5</v>
      </c>
      <c r="H316" s="1" t="s">
        <v>60</v>
      </c>
      <c r="I316" s="1">
        <v>-139.0</v>
      </c>
      <c r="J316" s="1">
        <v>-0.0939481171548118</v>
      </c>
      <c r="K316" s="1" t="s">
        <v>61</v>
      </c>
      <c r="L316" s="1" t="s">
        <v>61</v>
      </c>
      <c r="M316" s="1" t="s">
        <v>62</v>
      </c>
      <c r="N316" s="1">
        <v>107.0</v>
      </c>
      <c r="O316" s="1">
        <v>0.0292599033816425</v>
      </c>
      <c r="P316" s="1" t="s">
        <v>61</v>
      </c>
      <c r="Q316" s="1" t="s">
        <v>61</v>
      </c>
      <c r="R316" s="1">
        <f t="shared" si="1"/>
        <v>0.02925990338</v>
      </c>
      <c r="S316" s="1">
        <f t="shared" si="2"/>
        <v>107</v>
      </c>
      <c r="T316" s="1">
        <f t="shared" si="3"/>
        <v>2.07</v>
      </c>
      <c r="U316" s="1">
        <f t="shared" si="4"/>
        <v>0</v>
      </c>
      <c r="V316" s="3">
        <f t="shared" si="5"/>
        <v>1</v>
      </c>
      <c r="W316" s="3">
        <f t="shared" si="6"/>
        <v>2</v>
      </c>
      <c r="X316" s="3" t="str">
        <f>IFERROR(__xludf.DUMMYFUNCTION("split(B316,"" "")"),"T.")</f>
        <v>T.</v>
      </c>
      <c r="Y316" s="3" t="str">
        <f>IFERROR(__xludf.DUMMYFUNCTION("""COMPUTED_VALUE"""),"Kelce")</f>
        <v>Kelce</v>
      </c>
      <c r="AA316" s="3">
        <v>4.0</v>
      </c>
      <c r="AB316" s="3">
        <f t="shared" si="7"/>
        <v>0</v>
      </c>
      <c r="AC316" s="3">
        <f t="shared" si="8"/>
        <v>1</v>
      </c>
      <c r="AD316" s="3">
        <f t="shared" si="9"/>
        <v>1.07</v>
      </c>
      <c r="AE316" s="3">
        <f t="shared" si="10"/>
        <v>1.07</v>
      </c>
      <c r="AF316" s="3">
        <f t="shared" si="11"/>
        <v>2.14</v>
      </c>
      <c r="AG316" s="3">
        <f t="shared" si="12"/>
        <v>0.1111111111</v>
      </c>
    </row>
    <row r="317">
      <c r="A317" s="1" t="s">
        <v>11</v>
      </c>
      <c r="B317" s="1" t="s">
        <v>424</v>
      </c>
      <c r="C317" s="1" t="s">
        <v>19</v>
      </c>
      <c r="D317" s="1" t="s">
        <v>76</v>
      </c>
      <c r="E317" s="1" t="s">
        <v>109</v>
      </c>
      <c r="F317" s="1" t="s">
        <v>517</v>
      </c>
      <c r="G317" s="1">
        <v>17.5</v>
      </c>
      <c r="H317" s="1" t="s">
        <v>60</v>
      </c>
      <c r="I317" s="1">
        <v>-124.0</v>
      </c>
      <c r="J317" s="1">
        <v>-0.0815563244865534</v>
      </c>
      <c r="K317" s="1" t="s">
        <v>61</v>
      </c>
      <c r="L317" s="1" t="s">
        <v>61</v>
      </c>
      <c r="M317" s="1" t="s">
        <v>62</v>
      </c>
      <c r="N317" s="1">
        <v>-103.0</v>
      </c>
      <c r="O317" s="1">
        <v>0.0206482915543724</v>
      </c>
      <c r="P317" s="1" t="s">
        <v>61</v>
      </c>
      <c r="Q317" s="1" t="s">
        <v>61</v>
      </c>
      <c r="R317" s="1">
        <f t="shared" si="1"/>
        <v>0.02064829155</v>
      </c>
      <c r="S317" s="1">
        <f t="shared" si="2"/>
        <v>-103</v>
      </c>
      <c r="T317" s="1">
        <f t="shared" si="3"/>
        <v>1.970873786</v>
      </c>
      <c r="U317" s="1">
        <f t="shared" si="4"/>
        <v>0</v>
      </c>
      <c r="V317" s="3">
        <f t="shared" si="5"/>
        <v>1</v>
      </c>
      <c r="W317" s="3">
        <f t="shared" si="6"/>
        <v>2</v>
      </c>
      <c r="X317" s="3" t="str">
        <f>IFERROR(__xludf.DUMMYFUNCTION("split(B317,"" "")"),"S.")</f>
        <v>S.</v>
      </c>
      <c r="Y317" s="3" t="str">
        <f>IFERROR(__xludf.DUMMYFUNCTION("""COMPUTED_VALUE"""),"Perine")</f>
        <v>Perine</v>
      </c>
      <c r="AA317" s="3">
        <v>15.0</v>
      </c>
      <c r="AB317" s="3">
        <f t="shared" si="7"/>
        <v>0</v>
      </c>
      <c r="AC317" s="3">
        <f t="shared" si="8"/>
        <v>1</v>
      </c>
      <c r="AD317" s="3">
        <f t="shared" si="9"/>
        <v>0.9708737864</v>
      </c>
      <c r="AE317" s="3">
        <f t="shared" si="10"/>
        <v>0.9708737864</v>
      </c>
      <c r="AF317" s="3">
        <f t="shared" si="11"/>
        <v>1.941747573</v>
      </c>
      <c r="AG317" s="3">
        <f t="shared" si="12"/>
        <v>0.1428571429</v>
      </c>
    </row>
    <row r="318">
      <c r="A318" s="1" t="s">
        <v>10</v>
      </c>
      <c r="B318" s="1" t="s">
        <v>75</v>
      </c>
      <c r="C318" s="1" t="s">
        <v>21</v>
      </c>
      <c r="D318" s="1" t="s">
        <v>76</v>
      </c>
      <c r="E318" s="1" t="s">
        <v>109</v>
      </c>
      <c r="F318" s="1" t="s">
        <v>517</v>
      </c>
      <c r="G318" s="1">
        <v>18.5</v>
      </c>
      <c r="H318" s="1" t="s">
        <v>60</v>
      </c>
      <c r="I318" s="1">
        <v>-116.0</v>
      </c>
      <c r="J318" s="1">
        <v>-0.0804158517960426</v>
      </c>
      <c r="K318" s="1" t="s">
        <v>61</v>
      </c>
      <c r="L318" s="1" t="s">
        <v>61</v>
      </c>
      <c r="M318" s="1" t="s">
        <v>62</v>
      </c>
      <c r="N318" s="1">
        <v>-111.0</v>
      </c>
      <c r="O318" s="1">
        <v>0.0174049887517497</v>
      </c>
      <c r="P318" s="1" t="s">
        <v>61</v>
      </c>
      <c r="Q318" s="1" t="s">
        <v>61</v>
      </c>
      <c r="R318" s="1">
        <f t="shared" si="1"/>
        <v>0.01740498875</v>
      </c>
      <c r="S318" s="1">
        <f t="shared" si="2"/>
        <v>-111</v>
      </c>
      <c r="T318" s="1">
        <f t="shared" si="3"/>
        <v>1.900900901</v>
      </c>
      <c r="U318" s="1">
        <f t="shared" si="4"/>
        <v>0</v>
      </c>
      <c r="V318" s="3">
        <f t="shared" si="5"/>
        <v>1</v>
      </c>
      <c r="W318" s="3">
        <f t="shared" si="6"/>
        <v>2</v>
      </c>
      <c r="X318" s="3" t="str">
        <f>IFERROR(__xludf.DUMMYFUNCTION("split(B318,"" "")"),"P.")</f>
        <v>P.</v>
      </c>
      <c r="Y318" s="3" t="str">
        <f>IFERROR(__xludf.DUMMYFUNCTION("""COMPUTED_VALUE"""),"Mahomes")</f>
        <v>Mahomes</v>
      </c>
      <c r="AA318" s="3">
        <v>17.0</v>
      </c>
      <c r="AB318" s="3">
        <f t="shared" si="7"/>
        <v>0</v>
      </c>
      <c r="AC318" s="3">
        <f t="shared" si="8"/>
        <v>1</v>
      </c>
      <c r="AD318" s="3">
        <f t="shared" si="9"/>
        <v>0.9009009009</v>
      </c>
      <c r="AE318" s="3">
        <f t="shared" si="10"/>
        <v>0.9009009009</v>
      </c>
      <c r="AF318" s="3">
        <f t="shared" si="11"/>
        <v>1.801801802</v>
      </c>
      <c r="AG318" s="3">
        <f t="shared" si="12"/>
        <v>0.08108108108</v>
      </c>
    </row>
    <row r="319">
      <c r="A319" s="1" t="s">
        <v>13</v>
      </c>
      <c r="B319" s="1" t="s">
        <v>75</v>
      </c>
      <c r="C319" s="1" t="s">
        <v>21</v>
      </c>
      <c r="D319" s="1" t="s">
        <v>76</v>
      </c>
      <c r="E319" s="1" t="s">
        <v>109</v>
      </c>
      <c r="F319" s="1" t="s">
        <v>517</v>
      </c>
      <c r="G319" s="1">
        <v>269.5</v>
      </c>
      <c r="H319" s="1" t="s">
        <v>60</v>
      </c>
      <c r="I319" s="1">
        <v>-125.0</v>
      </c>
      <c r="J319" s="1">
        <v>-0.0803578289444445</v>
      </c>
      <c r="K319" s="1" t="s">
        <v>61</v>
      </c>
      <c r="L319" s="1" t="s">
        <v>61</v>
      </c>
      <c r="M319" s="1" t="s">
        <v>62</v>
      </c>
      <c r="N319" s="1">
        <v>-104.0</v>
      </c>
      <c r="O319" s="1">
        <v>0.0150569078921569</v>
      </c>
      <c r="P319" s="1" t="s">
        <v>61</v>
      </c>
      <c r="Q319" s="1" t="s">
        <v>61</v>
      </c>
      <c r="R319" s="1">
        <f t="shared" si="1"/>
        <v>0.01505690789</v>
      </c>
      <c r="S319" s="1">
        <f t="shared" si="2"/>
        <v>-104</v>
      </c>
      <c r="T319" s="1">
        <f t="shared" si="3"/>
        <v>1.961538462</v>
      </c>
      <c r="U319" s="1">
        <f t="shared" si="4"/>
        <v>0</v>
      </c>
      <c r="V319" s="3">
        <f t="shared" si="5"/>
        <v>1</v>
      </c>
      <c r="W319" s="3">
        <f t="shared" si="6"/>
        <v>2</v>
      </c>
      <c r="X319" s="3" t="str">
        <f>IFERROR(__xludf.DUMMYFUNCTION("split(B319,"" "")"),"P.")</f>
        <v>P.</v>
      </c>
      <c r="Y319" s="3" t="str">
        <f>IFERROR(__xludf.DUMMYFUNCTION("""COMPUTED_VALUE"""),"Mahomes")</f>
        <v>Mahomes</v>
      </c>
      <c r="AA319" s="3">
        <v>217.0</v>
      </c>
      <c r="AB319" s="3">
        <f t="shared" si="7"/>
        <v>0</v>
      </c>
      <c r="AC319" s="3">
        <f t="shared" si="8"/>
        <v>1</v>
      </c>
      <c r="AD319" s="3">
        <f t="shared" si="9"/>
        <v>0.9615384615</v>
      </c>
      <c r="AE319" s="3">
        <f t="shared" si="10"/>
        <v>0.9615384615</v>
      </c>
      <c r="AF319" s="3">
        <f t="shared" si="11"/>
        <v>1.923076923</v>
      </c>
      <c r="AG319" s="3">
        <f t="shared" si="12"/>
        <v>0.1948051948</v>
      </c>
    </row>
    <row r="320">
      <c r="A320" s="1" t="s">
        <v>10</v>
      </c>
      <c r="B320" s="1" t="s">
        <v>424</v>
      </c>
      <c r="C320" s="1" t="s">
        <v>19</v>
      </c>
      <c r="D320" s="1" t="s">
        <v>76</v>
      </c>
      <c r="E320" s="1" t="s">
        <v>109</v>
      </c>
      <c r="F320" s="1" t="s">
        <v>517</v>
      </c>
      <c r="G320" s="1">
        <v>15.5</v>
      </c>
      <c r="H320" s="1" t="s">
        <v>60</v>
      </c>
      <c r="I320" s="1">
        <v>-132.0</v>
      </c>
      <c r="J320" s="1">
        <v>-0.0704869244999868</v>
      </c>
      <c r="K320" s="1" t="s">
        <v>61</v>
      </c>
      <c r="L320" s="1" t="s">
        <v>61</v>
      </c>
      <c r="M320" s="1" t="s">
        <v>62</v>
      </c>
      <c r="N320" s="1">
        <v>101.0</v>
      </c>
      <c r="O320" s="1">
        <v>0.0040276939502335</v>
      </c>
      <c r="P320" s="1" t="s">
        <v>61</v>
      </c>
      <c r="Q320" s="1" t="s">
        <v>61</v>
      </c>
      <c r="R320" s="1">
        <f t="shared" si="1"/>
        <v>0.00402769395</v>
      </c>
      <c r="S320" s="1">
        <f t="shared" si="2"/>
        <v>101</v>
      </c>
      <c r="T320" s="1">
        <f t="shared" si="3"/>
        <v>2.01</v>
      </c>
      <c r="U320" s="1">
        <f t="shared" si="4"/>
        <v>0</v>
      </c>
      <c r="V320" s="3">
        <f t="shared" si="5"/>
        <v>1</v>
      </c>
      <c r="W320" s="3">
        <f t="shared" si="6"/>
        <v>2</v>
      </c>
      <c r="X320" s="3" t="str">
        <f>IFERROR(__xludf.DUMMYFUNCTION("split(B320,"" "")"),"S.")</f>
        <v>S.</v>
      </c>
      <c r="Y320" s="3" t="str">
        <f>IFERROR(__xludf.DUMMYFUNCTION("""COMPUTED_VALUE"""),"Perine")</f>
        <v>Perine</v>
      </c>
      <c r="AA320" s="3">
        <v>25.0</v>
      </c>
      <c r="AB320" s="3">
        <f t="shared" si="7"/>
        <v>1</v>
      </c>
      <c r="AC320" s="3">
        <f t="shared" si="8"/>
        <v>0</v>
      </c>
      <c r="AD320" s="3">
        <f t="shared" si="9"/>
        <v>1.01</v>
      </c>
      <c r="AE320" s="3">
        <f t="shared" si="10"/>
        <v>-1</v>
      </c>
      <c r="AF320" s="3">
        <f t="shared" si="11"/>
        <v>-2</v>
      </c>
      <c r="AG320" s="3">
        <f t="shared" si="12"/>
        <v>-0.6129032258</v>
      </c>
    </row>
    <row r="321">
      <c r="A321" s="1" t="s">
        <v>16</v>
      </c>
      <c r="B321" s="1" t="s">
        <v>75</v>
      </c>
      <c r="C321" s="1" t="s">
        <v>21</v>
      </c>
      <c r="D321" s="1" t="s">
        <v>76</v>
      </c>
      <c r="E321" s="1" t="s">
        <v>109</v>
      </c>
      <c r="F321" s="1" t="s">
        <v>517</v>
      </c>
      <c r="G321" s="1">
        <v>36.5</v>
      </c>
      <c r="H321" s="1" t="s">
        <v>60</v>
      </c>
      <c r="I321" s="1">
        <v>-108.0</v>
      </c>
      <c r="J321" s="1">
        <v>0.00376531343923081</v>
      </c>
      <c r="K321" s="1" t="s">
        <v>61</v>
      </c>
      <c r="L321" s="1" t="s">
        <v>61</v>
      </c>
      <c r="M321" s="1" t="s">
        <v>62</v>
      </c>
      <c r="N321" s="1">
        <v>-121.0</v>
      </c>
      <c r="O321" s="1">
        <v>-0.0705207524524887</v>
      </c>
      <c r="P321" s="1" t="s">
        <v>61</v>
      </c>
      <c r="Q321" s="1" t="s">
        <v>61</v>
      </c>
      <c r="R321" s="1">
        <f t="shared" si="1"/>
        <v>0.003765313439</v>
      </c>
      <c r="S321" s="1">
        <f t="shared" si="2"/>
        <v>-108</v>
      </c>
      <c r="T321" s="1">
        <f t="shared" si="3"/>
        <v>1.925925926</v>
      </c>
      <c r="U321" s="1">
        <f t="shared" si="4"/>
        <v>1</v>
      </c>
      <c r="V321" s="3">
        <f t="shared" si="5"/>
        <v>1</v>
      </c>
      <c r="W321" s="3">
        <f t="shared" si="6"/>
        <v>2</v>
      </c>
      <c r="X321" s="3" t="str">
        <f>IFERROR(__xludf.DUMMYFUNCTION("split(B321,"" "")"),"P.")</f>
        <v>P.</v>
      </c>
      <c r="Y321" s="3" t="str">
        <f>IFERROR(__xludf.DUMMYFUNCTION("""COMPUTED_VALUE"""),"Mahomes")</f>
        <v>Mahomes</v>
      </c>
      <c r="AA321" s="3">
        <v>39.0</v>
      </c>
      <c r="AB321" s="3">
        <f t="shared" si="7"/>
        <v>1</v>
      </c>
      <c r="AC321" s="3">
        <f t="shared" si="8"/>
        <v>1</v>
      </c>
      <c r="AD321" s="3">
        <f t="shared" si="9"/>
        <v>0.9259259259</v>
      </c>
      <c r="AE321" s="3">
        <f t="shared" si="10"/>
        <v>0.9259259259</v>
      </c>
      <c r="AF321" s="3">
        <f t="shared" si="11"/>
        <v>1.851851852</v>
      </c>
      <c r="AG321" s="3">
        <f t="shared" si="12"/>
        <v>0.06849315068</v>
      </c>
    </row>
    <row r="322">
      <c r="A322" s="1" t="s">
        <v>9</v>
      </c>
      <c r="B322" s="1" t="s">
        <v>424</v>
      </c>
      <c r="C322" s="1" t="s">
        <v>19</v>
      </c>
      <c r="D322" s="1" t="s">
        <v>76</v>
      </c>
      <c r="E322" s="1" t="s">
        <v>109</v>
      </c>
      <c r="F322" s="1" t="s">
        <v>517</v>
      </c>
      <c r="G322" s="1">
        <v>36.5</v>
      </c>
      <c r="H322" s="1" t="s">
        <v>60</v>
      </c>
      <c r="I322" s="1">
        <v>-124.0</v>
      </c>
      <c r="J322" s="1">
        <v>0.00211142603278424</v>
      </c>
      <c r="K322" s="1" t="s">
        <v>61</v>
      </c>
      <c r="L322" s="1" t="s">
        <v>61</v>
      </c>
      <c r="M322" s="1" t="s">
        <v>62</v>
      </c>
      <c r="N322" s="1">
        <v>-109.0</v>
      </c>
      <c r="O322" s="1">
        <v>-0.0772110707184909</v>
      </c>
      <c r="P322" s="1" t="s">
        <v>61</v>
      </c>
      <c r="Q322" s="1" t="s">
        <v>61</v>
      </c>
      <c r="R322" s="1">
        <f t="shared" si="1"/>
        <v>0.002111426033</v>
      </c>
      <c r="S322" s="1">
        <f t="shared" si="2"/>
        <v>-124</v>
      </c>
      <c r="T322" s="1">
        <f t="shared" si="3"/>
        <v>1.806451613</v>
      </c>
      <c r="U322" s="1">
        <f t="shared" si="4"/>
        <v>1</v>
      </c>
      <c r="V322" s="3">
        <f t="shared" si="5"/>
        <v>1</v>
      </c>
      <c r="W322" s="3">
        <f t="shared" si="6"/>
        <v>3</v>
      </c>
      <c r="X322" s="3" t="str">
        <f>IFERROR(__xludf.DUMMYFUNCTION("split(B322,"" "")"),"S.")</f>
        <v>S.</v>
      </c>
      <c r="Y322" s="3" t="str">
        <f>IFERROR(__xludf.DUMMYFUNCTION("""COMPUTED_VALUE"""),"Perine")</f>
        <v>Perine</v>
      </c>
      <c r="AA322" s="3">
        <v>40.0</v>
      </c>
      <c r="AB322" s="3">
        <f t="shared" si="7"/>
        <v>1</v>
      </c>
      <c r="AC322" s="3">
        <f t="shared" si="8"/>
        <v>1</v>
      </c>
      <c r="AD322" s="3">
        <f t="shared" si="9"/>
        <v>0.8064516129</v>
      </c>
      <c r="AE322" s="3">
        <f t="shared" si="10"/>
        <v>0.8064516129</v>
      </c>
      <c r="AF322" s="3">
        <f t="shared" si="11"/>
        <v>2.419354839</v>
      </c>
      <c r="AG322" s="3">
        <f t="shared" si="12"/>
        <v>0.09589041096</v>
      </c>
    </row>
    <row r="323">
      <c r="A323" s="1" t="s">
        <v>12</v>
      </c>
      <c r="B323" s="1" t="s">
        <v>543</v>
      </c>
      <c r="C323" s="1" t="s">
        <v>18</v>
      </c>
      <c r="D323" s="1" t="s">
        <v>196</v>
      </c>
      <c r="E323" s="1" t="s">
        <v>164</v>
      </c>
      <c r="F323" s="1" t="s">
        <v>516</v>
      </c>
      <c r="G323" s="1">
        <v>1.5</v>
      </c>
      <c r="H323" s="1" t="s">
        <v>60</v>
      </c>
      <c r="I323" s="1">
        <v>-185.0</v>
      </c>
      <c r="J323" s="1">
        <v>-0.30921774371228</v>
      </c>
      <c r="K323" s="1" t="s">
        <v>61</v>
      </c>
      <c r="L323" s="1" t="s">
        <v>61</v>
      </c>
      <c r="M323" s="1" t="s">
        <v>62</v>
      </c>
      <c r="N323" s="1">
        <v>139.0</v>
      </c>
      <c r="O323" s="1">
        <v>0.241683920326359</v>
      </c>
      <c r="P323" s="1" t="s">
        <v>61</v>
      </c>
      <c r="Q323" s="1" t="s">
        <v>61</v>
      </c>
      <c r="R323" s="1">
        <f t="shared" si="1"/>
        <v>0.2416839203</v>
      </c>
      <c r="S323" s="1">
        <f t="shared" si="2"/>
        <v>139</v>
      </c>
      <c r="T323" s="1">
        <f t="shared" si="3"/>
        <v>2.39</v>
      </c>
      <c r="U323" s="1">
        <f t="shared" si="4"/>
        <v>0</v>
      </c>
      <c r="V323" s="3">
        <f t="shared" si="5"/>
        <v>3</v>
      </c>
      <c r="W323" s="3">
        <f t="shared" si="6"/>
        <v>1</v>
      </c>
      <c r="X323" s="3" t="str">
        <f>IFERROR(__xludf.DUMMYFUNCTION("split(B323,"" "")"),"T.")</f>
        <v>T.</v>
      </c>
      <c r="Y323" s="3" t="str">
        <f>IFERROR(__xludf.DUMMYFUNCTION("""COMPUTED_VALUE"""),"Atwell")</f>
        <v>Atwell</v>
      </c>
      <c r="AA323" s="3">
        <v>4.0</v>
      </c>
      <c r="AB323" s="3">
        <f t="shared" si="7"/>
        <v>1</v>
      </c>
      <c r="AC323" s="3">
        <f t="shared" si="8"/>
        <v>0</v>
      </c>
      <c r="AD323" s="3">
        <f t="shared" si="9"/>
        <v>4.17</v>
      </c>
      <c r="AE323" s="3">
        <f t="shared" si="10"/>
        <v>-3</v>
      </c>
      <c r="AF323" s="3">
        <f t="shared" si="11"/>
        <v>-1</v>
      </c>
      <c r="AG323" s="3">
        <f t="shared" si="12"/>
        <v>-1.666666667</v>
      </c>
    </row>
    <row r="324">
      <c r="A324" s="1" t="s">
        <v>10</v>
      </c>
      <c r="B324" s="1" t="s">
        <v>247</v>
      </c>
      <c r="C324" s="1" t="s">
        <v>21</v>
      </c>
      <c r="D324" s="1" t="s">
        <v>196</v>
      </c>
      <c r="E324" s="1" t="s">
        <v>164</v>
      </c>
      <c r="F324" s="1" t="s">
        <v>516</v>
      </c>
      <c r="G324" s="1">
        <v>0.5</v>
      </c>
      <c r="H324" s="1" t="s">
        <v>60</v>
      </c>
      <c r="I324" s="1">
        <v>110.0</v>
      </c>
      <c r="J324" s="1">
        <v>0.15529964441288</v>
      </c>
      <c r="K324" s="1" t="s">
        <v>61</v>
      </c>
      <c r="L324" s="1" t="s">
        <v>61</v>
      </c>
      <c r="M324" s="1" t="s">
        <v>62</v>
      </c>
      <c r="N324" s="1">
        <v>-143.0</v>
      </c>
      <c r="O324" s="1">
        <v>-0.21991690501694</v>
      </c>
      <c r="P324" s="1" t="s">
        <v>61</v>
      </c>
      <c r="Q324" s="1" t="s">
        <v>61</v>
      </c>
      <c r="R324" s="1">
        <f t="shared" si="1"/>
        <v>0.1552996444</v>
      </c>
      <c r="S324" s="1">
        <f t="shared" si="2"/>
        <v>110</v>
      </c>
      <c r="T324" s="1">
        <f t="shared" si="3"/>
        <v>2.1</v>
      </c>
      <c r="U324" s="1">
        <f t="shared" si="4"/>
        <v>1</v>
      </c>
      <c r="V324" s="3">
        <f t="shared" si="5"/>
        <v>3</v>
      </c>
      <c r="W324" s="3">
        <f t="shared" si="6"/>
        <v>2</v>
      </c>
      <c r="X324" s="3" t="str">
        <f>IFERROR(__xludf.DUMMYFUNCTION("split(B324,"" "")"),"M.")</f>
        <v>M.</v>
      </c>
      <c r="Y324" s="3" t="str">
        <f>IFERROR(__xludf.DUMMYFUNCTION("""COMPUTED_VALUE"""),"Stafford")</f>
        <v>Stafford</v>
      </c>
      <c r="AA324" s="3">
        <v>0.0</v>
      </c>
      <c r="AB324" s="3">
        <f t="shared" si="7"/>
        <v>0</v>
      </c>
      <c r="AC324" s="3">
        <f t="shared" si="8"/>
        <v>0</v>
      </c>
      <c r="AD324" s="3">
        <f t="shared" si="9"/>
        <v>3.3</v>
      </c>
      <c r="AE324" s="3">
        <f t="shared" si="10"/>
        <v>-3</v>
      </c>
      <c r="AF324" s="3">
        <f t="shared" si="11"/>
        <v>-2</v>
      </c>
      <c r="AG324" s="3">
        <f t="shared" si="12"/>
        <v>-1</v>
      </c>
    </row>
    <row r="325">
      <c r="A325" s="1" t="s">
        <v>8</v>
      </c>
      <c r="B325" s="1" t="s">
        <v>247</v>
      </c>
      <c r="C325" s="1" t="s">
        <v>21</v>
      </c>
      <c r="D325" s="1" t="s">
        <v>196</v>
      </c>
      <c r="E325" s="1" t="s">
        <v>164</v>
      </c>
      <c r="F325" s="1" t="s">
        <v>516</v>
      </c>
      <c r="G325" s="1">
        <v>0.5</v>
      </c>
      <c r="H325" s="1" t="s">
        <v>60</v>
      </c>
      <c r="I325" s="1">
        <v>-223.0</v>
      </c>
      <c r="J325" s="1">
        <v>-0.211728135253194</v>
      </c>
      <c r="K325" s="1" t="s">
        <v>61</v>
      </c>
      <c r="L325" s="1" t="s">
        <v>61</v>
      </c>
      <c r="M325" s="1" t="s">
        <v>62</v>
      </c>
      <c r="N325" s="1">
        <v>165.0</v>
      </c>
      <c r="O325" s="1">
        <v>0.143972783723704</v>
      </c>
      <c r="P325" s="1" t="s">
        <v>61</v>
      </c>
      <c r="Q325" s="1" t="s">
        <v>61</v>
      </c>
      <c r="R325" s="1">
        <f t="shared" si="1"/>
        <v>0.1439727837</v>
      </c>
      <c r="S325" s="1">
        <f t="shared" si="2"/>
        <v>165</v>
      </c>
      <c r="T325" s="1">
        <f t="shared" si="3"/>
        <v>2.65</v>
      </c>
      <c r="U325" s="1">
        <f t="shared" si="4"/>
        <v>0</v>
      </c>
      <c r="V325" s="3">
        <f t="shared" si="5"/>
        <v>3</v>
      </c>
      <c r="W325" s="3">
        <f t="shared" si="6"/>
        <v>1</v>
      </c>
      <c r="X325" s="3" t="str">
        <f>IFERROR(__xludf.DUMMYFUNCTION("split(B325,"" "")"),"M.")</f>
        <v>M.</v>
      </c>
      <c r="Y325" s="3" t="str">
        <f>IFERROR(__xludf.DUMMYFUNCTION("""COMPUTED_VALUE"""),"Stafford")</f>
        <v>Stafford</v>
      </c>
      <c r="AA325" s="3">
        <v>0.0</v>
      </c>
      <c r="AB325" s="3">
        <f t="shared" si="7"/>
        <v>0</v>
      </c>
      <c r="AC325" s="3">
        <f t="shared" si="8"/>
        <v>1</v>
      </c>
      <c r="AD325" s="3">
        <f t="shared" si="9"/>
        <v>4.95</v>
      </c>
      <c r="AE325" s="3">
        <f t="shared" si="10"/>
        <v>4.95</v>
      </c>
      <c r="AF325" s="3">
        <f t="shared" si="11"/>
        <v>1.65</v>
      </c>
      <c r="AG325" s="3">
        <f t="shared" si="12"/>
        <v>1</v>
      </c>
    </row>
    <row r="326">
      <c r="A326" s="1" t="s">
        <v>12</v>
      </c>
      <c r="B326" s="1" t="s">
        <v>368</v>
      </c>
      <c r="C326" s="1" t="s">
        <v>19</v>
      </c>
      <c r="D326" s="1" t="s">
        <v>196</v>
      </c>
      <c r="E326" s="1" t="s">
        <v>164</v>
      </c>
      <c r="F326" s="1" t="s">
        <v>516</v>
      </c>
      <c r="G326" s="1">
        <v>3.5</v>
      </c>
      <c r="H326" s="1" t="s">
        <v>60</v>
      </c>
      <c r="I326" s="1">
        <v>101.0</v>
      </c>
      <c r="J326" s="1">
        <v>-0.179912935323383</v>
      </c>
      <c r="K326" s="1" t="s">
        <v>61</v>
      </c>
      <c r="L326" s="1" t="s">
        <v>61</v>
      </c>
      <c r="M326" s="1" t="s">
        <v>62</v>
      </c>
      <c r="N326" s="1">
        <v>-133.0</v>
      </c>
      <c r="O326" s="1">
        <v>0.111598712446352</v>
      </c>
      <c r="P326" s="1" t="s">
        <v>61</v>
      </c>
      <c r="Q326" s="1" t="s">
        <v>61</v>
      </c>
      <c r="R326" s="1">
        <f t="shared" si="1"/>
        <v>0.1115987124</v>
      </c>
      <c r="S326" s="1">
        <f t="shared" si="2"/>
        <v>-133</v>
      </c>
      <c r="T326" s="1">
        <f t="shared" si="3"/>
        <v>1.751879699</v>
      </c>
      <c r="U326" s="1">
        <f t="shared" si="4"/>
        <v>0</v>
      </c>
      <c r="V326" s="3">
        <f t="shared" si="5"/>
        <v>3</v>
      </c>
      <c r="W326" s="3">
        <f t="shared" si="6"/>
        <v>3</v>
      </c>
      <c r="X326" s="3" t="str">
        <f>IFERROR(__xludf.DUMMYFUNCTION("split(B326,"" "")"),"K.")</f>
        <v>K.</v>
      </c>
      <c r="Y326" s="3" t="str">
        <f>IFERROR(__xludf.DUMMYFUNCTION("""COMPUTED_VALUE"""),"Williams")</f>
        <v>Williams</v>
      </c>
      <c r="AA326" s="3">
        <v>2.0</v>
      </c>
      <c r="AB326" s="3">
        <f t="shared" si="7"/>
        <v>0</v>
      </c>
      <c r="AC326" s="3">
        <f t="shared" si="8"/>
        <v>1</v>
      </c>
      <c r="AD326" s="3">
        <f t="shared" si="9"/>
        <v>2.255639098</v>
      </c>
      <c r="AE326" s="3">
        <f t="shared" si="10"/>
        <v>2.255639098</v>
      </c>
      <c r="AF326" s="3">
        <f t="shared" si="11"/>
        <v>2.255639098</v>
      </c>
      <c r="AG326" s="3">
        <f t="shared" si="12"/>
        <v>0.4285714286</v>
      </c>
    </row>
    <row r="327">
      <c r="A327" s="1" t="s">
        <v>12</v>
      </c>
      <c r="B327" s="1" t="s">
        <v>470</v>
      </c>
      <c r="C327" s="1" t="s">
        <v>20</v>
      </c>
      <c r="D327" s="1" t="s">
        <v>196</v>
      </c>
      <c r="E327" s="1" t="s">
        <v>164</v>
      </c>
      <c r="F327" s="1" t="s">
        <v>516</v>
      </c>
      <c r="G327" s="1">
        <v>3.5</v>
      </c>
      <c r="H327" s="1" t="s">
        <v>60</v>
      </c>
      <c r="I327" s="1">
        <v>-107.0</v>
      </c>
      <c r="J327" s="1">
        <v>-0.166608212560386</v>
      </c>
      <c r="K327" s="1" t="s">
        <v>61</v>
      </c>
      <c r="L327" s="1" t="s">
        <v>61</v>
      </c>
      <c r="M327" s="1" t="s">
        <v>62</v>
      </c>
      <c r="N327" s="1">
        <v>-123.0</v>
      </c>
      <c r="O327" s="1">
        <v>0.0981304932735425</v>
      </c>
      <c r="P327" s="1" t="s">
        <v>61</v>
      </c>
      <c r="Q327" s="1" t="s">
        <v>61</v>
      </c>
      <c r="R327" s="1">
        <f t="shared" si="1"/>
        <v>0.09813049327</v>
      </c>
      <c r="S327" s="1">
        <f t="shared" si="2"/>
        <v>-123</v>
      </c>
      <c r="T327" s="1">
        <f t="shared" si="3"/>
        <v>1.81300813</v>
      </c>
      <c r="U327" s="1">
        <f t="shared" si="4"/>
        <v>0</v>
      </c>
      <c r="V327" s="3">
        <f t="shared" si="5"/>
        <v>2</v>
      </c>
      <c r="W327" s="3">
        <f t="shared" si="6"/>
        <v>3</v>
      </c>
      <c r="X327" s="3" t="str">
        <f>IFERROR(__xludf.DUMMYFUNCTION("split(B327,"" "")"),"C.")</f>
        <v>C.</v>
      </c>
      <c r="Y327" s="3" t="str">
        <f>IFERROR(__xludf.DUMMYFUNCTION("""COMPUTED_VALUE"""),"Parkinson")</f>
        <v>Parkinson</v>
      </c>
      <c r="AA327" s="3">
        <v>3.0</v>
      </c>
      <c r="AB327" s="3">
        <f t="shared" si="7"/>
        <v>0</v>
      </c>
      <c r="AC327" s="3">
        <f t="shared" si="8"/>
        <v>1</v>
      </c>
      <c r="AD327" s="3">
        <f t="shared" si="9"/>
        <v>1.62601626</v>
      </c>
      <c r="AE327" s="3">
        <f t="shared" si="10"/>
        <v>1.62601626</v>
      </c>
      <c r="AF327" s="3">
        <f t="shared" si="11"/>
        <v>2.43902439</v>
      </c>
      <c r="AG327" s="3">
        <f t="shared" si="12"/>
        <v>0.1428571429</v>
      </c>
    </row>
    <row r="328">
      <c r="A328" s="1" t="s">
        <v>9</v>
      </c>
      <c r="B328" s="1" t="s">
        <v>543</v>
      </c>
      <c r="C328" s="1" t="s">
        <v>18</v>
      </c>
      <c r="D328" s="1" t="s">
        <v>196</v>
      </c>
      <c r="E328" s="1" t="s">
        <v>164</v>
      </c>
      <c r="F328" s="1" t="s">
        <v>516</v>
      </c>
      <c r="G328" s="1">
        <v>21.5</v>
      </c>
      <c r="H328" s="1" t="s">
        <v>60</v>
      </c>
      <c r="I328" s="1">
        <v>-115.0</v>
      </c>
      <c r="J328" s="1">
        <v>0.0813854118945742</v>
      </c>
      <c r="K328" s="1" t="s">
        <v>61</v>
      </c>
      <c r="L328" s="1" t="s">
        <v>61</v>
      </c>
      <c r="M328" s="1" t="s">
        <v>62</v>
      </c>
      <c r="N328" s="1">
        <v>-115.0</v>
      </c>
      <c r="O328" s="1">
        <v>-0.15110322367876</v>
      </c>
      <c r="P328" s="1" t="s">
        <v>61</v>
      </c>
      <c r="Q328" s="1" t="s">
        <v>61</v>
      </c>
      <c r="R328" s="1">
        <f t="shared" si="1"/>
        <v>0.08138541189</v>
      </c>
      <c r="S328" s="1">
        <f t="shared" si="2"/>
        <v>-115</v>
      </c>
      <c r="T328" s="1">
        <f t="shared" si="3"/>
        <v>1.869565217</v>
      </c>
      <c r="U328" s="1">
        <f t="shared" si="4"/>
        <v>1</v>
      </c>
      <c r="V328" s="3">
        <f t="shared" si="5"/>
        <v>2</v>
      </c>
      <c r="W328" s="3">
        <f t="shared" si="6"/>
        <v>2</v>
      </c>
      <c r="X328" s="3" t="str">
        <f>IFERROR(__xludf.DUMMYFUNCTION("split(B328,"" "")"),"T.")</f>
        <v>T.</v>
      </c>
      <c r="Y328" s="3" t="str">
        <f>IFERROR(__xludf.DUMMYFUNCTION("""COMPUTED_VALUE"""),"Atwell")</f>
        <v>Atwell</v>
      </c>
      <c r="AA328" s="3">
        <v>93.0</v>
      </c>
      <c r="AB328" s="3">
        <f t="shared" si="7"/>
        <v>1</v>
      </c>
      <c r="AC328" s="3">
        <f t="shared" si="8"/>
        <v>1</v>
      </c>
      <c r="AD328" s="3">
        <f t="shared" si="9"/>
        <v>1.739130435</v>
      </c>
      <c r="AE328" s="3">
        <f t="shared" si="10"/>
        <v>1.739130435</v>
      </c>
      <c r="AF328" s="3">
        <f t="shared" si="11"/>
        <v>1.739130435</v>
      </c>
      <c r="AG328" s="3">
        <f t="shared" si="12"/>
        <v>3.325581395</v>
      </c>
    </row>
    <row r="329">
      <c r="A329" s="1" t="s">
        <v>9</v>
      </c>
      <c r="B329" s="1" t="s">
        <v>477</v>
      </c>
      <c r="C329" s="1" t="s">
        <v>18</v>
      </c>
      <c r="D329" s="1" t="s">
        <v>196</v>
      </c>
      <c r="E329" s="1" t="s">
        <v>164</v>
      </c>
      <c r="F329" s="1" t="s">
        <v>516</v>
      </c>
      <c r="G329" s="1">
        <v>33.5</v>
      </c>
      <c r="H329" s="1" t="s">
        <v>60</v>
      </c>
      <c r="I329" s="1">
        <v>-115.0</v>
      </c>
      <c r="J329" s="1">
        <v>0.0702308356294688</v>
      </c>
      <c r="K329" s="1" t="s">
        <v>61</v>
      </c>
      <c r="L329" s="1" t="s">
        <v>61</v>
      </c>
      <c r="M329" s="1" t="s">
        <v>62</v>
      </c>
      <c r="N329" s="1">
        <v>-117.0</v>
      </c>
      <c r="O329" s="1">
        <v>-0.144207772823008</v>
      </c>
      <c r="P329" s="1" t="s">
        <v>61</v>
      </c>
      <c r="Q329" s="1" t="s">
        <v>61</v>
      </c>
      <c r="R329" s="1">
        <f t="shared" si="1"/>
        <v>0.07023083563</v>
      </c>
      <c r="S329" s="1">
        <f t="shared" si="2"/>
        <v>-115</v>
      </c>
      <c r="T329" s="1">
        <f t="shared" si="3"/>
        <v>1.869565217</v>
      </c>
      <c r="U329" s="1">
        <f t="shared" si="4"/>
        <v>1</v>
      </c>
      <c r="V329" s="3">
        <f t="shared" si="5"/>
        <v>2</v>
      </c>
      <c r="W329" s="3">
        <f t="shared" si="6"/>
        <v>2</v>
      </c>
      <c r="X329" s="3" t="str">
        <f>IFERROR(__xludf.DUMMYFUNCTION("split(B329,"" "")"),"T.")</f>
        <v>T.</v>
      </c>
      <c r="Y329" s="3" t="str">
        <f>IFERROR(__xludf.DUMMYFUNCTION("""COMPUTED_VALUE"""),"Johnson")</f>
        <v>Johnson</v>
      </c>
      <c r="AA329" s="3">
        <v>20.0</v>
      </c>
      <c r="AB329" s="3">
        <f t="shared" si="7"/>
        <v>0</v>
      </c>
      <c r="AC329" s="3">
        <f t="shared" si="8"/>
        <v>0</v>
      </c>
      <c r="AD329" s="3">
        <f t="shared" si="9"/>
        <v>1.739130435</v>
      </c>
      <c r="AE329" s="3">
        <f t="shared" si="10"/>
        <v>-2</v>
      </c>
      <c r="AF329" s="3">
        <f t="shared" si="11"/>
        <v>-2</v>
      </c>
      <c r="AG329" s="3">
        <f t="shared" si="12"/>
        <v>-0.4029850746</v>
      </c>
    </row>
    <row r="330">
      <c r="A330" s="1" t="s">
        <v>17</v>
      </c>
      <c r="B330" s="1" t="s">
        <v>247</v>
      </c>
      <c r="C330" s="1" t="s">
        <v>21</v>
      </c>
      <c r="D330" s="1" t="s">
        <v>196</v>
      </c>
      <c r="E330" s="1" t="s">
        <v>164</v>
      </c>
      <c r="F330" s="1" t="s">
        <v>516</v>
      </c>
      <c r="G330" s="1">
        <v>0.5</v>
      </c>
      <c r="H330" s="1" t="s">
        <v>60</v>
      </c>
      <c r="I330" s="1">
        <v>-140.0</v>
      </c>
      <c r="J330" s="1">
        <v>-0.130533333333333</v>
      </c>
      <c r="K330" s="1" t="s">
        <v>61</v>
      </c>
      <c r="L330" s="1" t="s">
        <v>61</v>
      </c>
      <c r="M330" s="1" t="s">
        <v>62</v>
      </c>
      <c r="N330" s="1">
        <v>106.0</v>
      </c>
      <c r="O330" s="1">
        <v>0.0617631067961165</v>
      </c>
      <c r="P330" s="1" t="s">
        <v>61</v>
      </c>
      <c r="Q330" s="1" t="s">
        <v>61</v>
      </c>
      <c r="R330" s="1">
        <f t="shared" si="1"/>
        <v>0.0617631068</v>
      </c>
      <c r="S330" s="1">
        <f t="shared" si="2"/>
        <v>106</v>
      </c>
      <c r="T330" s="1">
        <f t="shared" si="3"/>
        <v>2.06</v>
      </c>
      <c r="U330" s="1">
        <f t="shared" si="4"/>
        <v>0</v>
      </c>
      <c r="V330" s="3">
        <f t="shared" si="5"/>
        <v>2</v>
      </c>
      <c r="W330" s="3">
        <f t="shared" si="6"/>
        <v>2</v>
      </c>
      <c r="X330" s="3" t="str">
        <f>IFERROR(__xludf.DUMMYFUNCTION("split(B330,"" "")"),"M.")</f>
        <v>M.</v>
      </c>
      <c r="Y330" s="3" t="str">
        <f>IFERROR(__xludf.DUMMYFUNCTION("""COMPUTED_VALUE"""),"Stafford")</f>
        <v>Stafford</v>
      </c>
      <c r="AA330" s="3">
        <v>0.0</v>
      </c>
      <c r="AB330" s="3">
        <f t="shared" si="7"/>
        <v>0</v>
      </c>
      <c r="AC330" s="3">
        <f t="shared" si="8"/>
        <v>1</v>
      </c>
      <c r="AD330" s="3">
        <f t="shared" si="9"/>
        <v>2.12</v>
      </c>
      <c r="AE330" s="3">
        <f t="shared" si="10"/>
        <v>2.12</v>
      </c>
      <c r="AF330" s="3">
        <f t="shared" si="11"/>
        <v>2.12</v>
      </c>
      <c r="AG330" s="3">
        <f t="shared" si="12"/>
        <v>1</v>
      </c>
    </row>
    <row r="331">
      <c r="A331" s="1" t="s">
        <v>9</v>
      </c>
      <c r="B331" s="1" t="s">
        <v>544</v>
      </c>
      <c r="C331" s="1" t="s">
        <v>18</v>
      </c>
      <c r="D331" s="1" t="s">
        <v>196</v>
      </c>
      <c r="E331" s="1" t="s">
        <v>164</v>
      </c>
      <c r="F331" s="1" t="s">
        <v>516</v>
      </c>
      <c r="G331" s="1">
        <v>31.5</v>
      </c>
      <c r="H331" s="1" t="s">
        <v>60</v>
      </c>
      <c r="I331" s="1">
        <v>-115.0</v>
      </c>
      <c r="J331" s="1">
        <v>0.0522165571809341</v>
      </c>
      <c r="K331" s="1" t="s">
        <v>61</v>
      </c>
      <c r="L331" s="1" t="s">
        <v>61</v>
      </c>
      <c r="M331" s="1" t="s">
        <v>62</v>
      </c>
      <c r="N331" s="1">
        <v>-115.0</v>
      </c>
      <c r="O331" s="1">
        <v>-0.121984040758074</v>
      </c>
      <c r="P331" s="1" t="s">
        <v>61</v>
      </c>
      <c r="Q331" s="1" t="s">
        <v>61</v>
      </c>
      <c r="R331" s="1">
        <f t="shared" si="1"/>
        <v>0.05221655718</v>
      </c>
      <c r="S331" s="1">
        <f t="shared" si="2"/>
        <v>-115</v>
      </c>
      <c r="T331" s="1">
        <f t="shared" si="3"/>
        <v>1.869565217</v>
      </c>
      <c r="U331" s="1">
        <f t="shared" si="4"/>
        <v>1</v>
      </c>
      <c r="V331" s="3">
        <f t="shared" si="5"/>
        <v>2</v>
      </c>
      <c r="W331" s="3">
        <f t="shared" si="6"/>
        <v>2</v>
      </c>
      <c r="X331" s="3" t="str">
        <f>IFERROR(__xludf.DUMMYFUNCTION("split(B331,"" "")"),"J.")</f>
        <v>J.</v>
      </c>
      <c r="Y331" s="3" t="str">
        <f>IFERROR(__xludf.DUMMYFUNCTION("""COMPUTED_VALUE"""),"Whittington")</f>
        <v>Whittington</v>
      </c>
      <c r="AA331" s="3">
        <v>28.0</v>
      </c>
      <c r="AB331" s="3">
        <f t="shared" si="7"/>
        <v>0</v>
      </c>
      <c r="AC331" s="3">
        <f t="shared" si="8"/>
        <v>0</v>
      </c>
      <c r="AD331" s="3">
        <f t="shared" si="9"/>
        <v>1.739130435</v>
      </c>
      <c r="AE331" s="3">
        <f t="shared" si="10"/>
        <v>-2</v>
      </c>
      <c r="AF331" s="3">
        <f t="shared" si="11"/>
        <v>-2</v>
      </c>
      <c r="AG331" s="3">
        <f t="shared" si="12"/>
        <v>-0.1111111111</v>
      </c>
    </row>
    <row r="332">
      <c r="A332" s="1" t="s">
        <v>14</v>
      </c>
      <c r="B332" s="1" t="s">
        <v>247</v>
      </c>
      <c r="C332" s="1" t="s">
        <v>21</v>
      </c>
      <c r="D332" s="1" t="s">
        <v>196</v>
      </c>
      <c r="E332" s="1" t="s">
        <v>164</v>
      </c>
      <c r="F332" s="1" t="s">
        <v>516</v>
      </c>
      <c r="G332" s="1">
        <v>1.5</v>
      </c>
      <c r="H332" s="1" t="s">
        <v>60</v>
      </c>
      <c r="I332" s="1">
        <v>164.0</v>
      </c>
      <c r="J332" s="1">
        <v>0.05105</v>
      </c>
      <c r="K332" s="1" t="s">
        <v>61</v>
      </c>
      <c r="L332" s="1" t="s">
        <v>61</v>
      </c>
      <c r="M332" s="1" t="s">
        <v>62</v>
      </c>
      <c r="N332" s="1">
        <v>-213.0</v>
      </c>
      <c r="O332" s="1">
        <v>-0.110343130990415</v>
      </c>
      <c r="P332" s="1" t="s">
        <v>61</v>
      </c>
      <c r="Q332" s="1" t="s">
        <v>61</v>
      </c>
      <c r="R332" s="1">
        <f t="shared" si="1"/>
        <v>0.05105</v>
      </c>
      <c r="S332" s="1">
        <f t="shared" si="2"/>
        <v>164</v>
      </c>
      <c r="T332" s="1">
        <f t="shared" si="3"/>
        <v>2.64</v>
      </c>
      <c r="U332" s="1">
        <f t="shared" si="4"/>
        <v>1</v>
      </c>
      <c r="V332" s="3">
        <f t="shared" si="5"/>
        <v>2</v>
      </c>
      <c r="W332" s="3">
        <f t="shared" si="6"/>
        <v>1</v>
      </c>
      <c r="X332" s="3" t="str">
        <f>IFERROR(__xludf.DUMMYFUNCTION("split(B332,"" "")"),"M.")</f>
        <v>M.</v>
      </c>
      <c r="Y332" s="3" t="str">
        <f>IFERROR(__xludf.DUMMYFUNCTION("""COMPUTED_VALUE"""),"Stafford")</f>
        <v>Stafford</v>
      </c>
      <c r="AA332" s="3">
        <v>1.0</v>
      </c>
      <c r="AB332" s="3">
        <f t="shared" si="7"/>
        <v>0</v>
      </c>
      <c r="AC332" s="3">
        <f t="shared" si="8"/>
        <v>0</v>
      </c>
      <c r="AD332" s="3">
        <f t="shared" si="9"/>
        <v>3.28</v>
      </c>
      <c r="AE332" s="3">
        <f t="shared" si="10"/>
        <v>-2</v>
      </c>
      <c r="AF332" s="3">
        <f t="shared" si="11"/>
        <v>-1</v>
      </c>
      <c r="AG332" s="3">
        <f t="shared" si="12"/>
        <v>-0.3333333333</v>
      </c>
    </row>
    <row r="333">
      <c r="A333" s="1" t="s">
        <v>12</v>
      </c>
      <c r="B333" s="1" t="s">
        <v>284</v>
      </c>
      <c r="C333" s="1" t="s">
        <v>18</v>
      </c>
      <c r="D333" s="1" t="s">
        <v>196</v>
      </c>
      <c r="E333" s="1" t="s">
        <v>164</v>
      </c>
      <c r="F333" s="1" t="s">
        <v>516</v>
      </c>
      <c r="G333" s="1">
        <v>3.5</v>
      </c>
      <c r="H333" s="1" t="s">
        <v>60</v>
      </c>
      <c r="I333" s="1">
        <v>-155.0</v>
      </c>
      <c r="J333" s="1">
        <v>-0.112543137254902</v>
      </c>
      <c r="K333" s="1" t="s">
        <v>61</v>
      </c>
      <c r="L333" s="1" t="s">
        <v>61</v>
      </c>
      <c r="M333" s="1" t="s">
        <v>62</v>
      </c>
      <c r="N333" s="1">
        <v>118.0</v>
      </c>
      <c r="O333" s="1">
        <v>0.0459844036697246</v>
      </c>
      <c r="P333" s="1" t="s">
        <v>61</v>
      </c>
      <c r="Q333" s="1" t="s">
        <v>61</v>
      </c>
      <c r="R333" s="1">
        <f t="shared" si="1"/>
        <v>0.04598440367</v>
      </c>
      <c r="S333" s="1">
        <f t="shared" si="2"/>
        <v>118</v>
      </c>
      <c r="T333" s="1">
        <f t="shared" si="3"/>
        <v>2.18</v>
      </c>
      <c r="U333" s="1">
        <f t="shared" si="4"/>
        <v>0</v>
      </c>
      <c r="V333" s="3">
        <f t="shared" si="5"/>
        <v>1</v>
      </c>
      <c r="W333" s="3">
        <f t="shared" si="6"/>
        <v>1</v>
      </c>
      <c r="X333" s="3" t="str">
        <f>IFERROR(__xludf.DUMMYFUNCTION("split(B333,"" "")"),"D.")</f>
        <v>D.</v>
      </c>
      <c r="Y333" s="3" t="str">
        <f>IFERROR(__xludf.DUMMYFUNCTION("""COMPUTED_VALUE"""),"Robinson")</f>
        <v>Robinson</v>
      </c>
      <c r="AA333" s="3">
        <v>1.0</v>
      </c>
      <c r="AB333" s="3">
        <f t="shared" si="7"/>
        <v>0</v>
      </c>
      <c r="AC333" s="3">
        <f t="shared" si="8"/>
        <v>1</v>
      </c>
      <c r="AD333" s="3">
        <f t="shared" si="9"/>
        <v>1.18</v>
      </c>
      <c r="AE333" s="3">
        <f t="shared" si="10"/>
        <v>1.18</v>
      </c>
      <c r="AF333" s="3">
        <f t="shared" si="11"/>
        <v>1.18</v>
      </c>
      <c r="AG333" s="3">
        <f t="shared" si="12"/>
        <v>0.7142857143</v>
      </c>
    </row>
    <row r="334">
      <c r="A334" s="1" t="s">
        <v>12</v>
      </c>
      <c r="B334" s="1" t="s">
        <v>544</v>
      </c>
      <c r="C334" s="1" t="s">
        <v>18</v>
      </c>
      <c r="D334" s="1" t="s">
        <v>196</v>
      </c>
      <c r="E334" s="1" t="s">
        <v>164</v>
      </c>
      <c r="F334" s="1" t="s">
        <v>516</v>
      </c>
      <c r="G334" s="1">
        <v>3.5</v>
      </c>
      <c r="H334" s="1" t="s">
        <v>60</v>
      </c>
      <c r="I334" s="1">
        <v>-104.0</v>
      </c>
      <c r="J334" s="1">
        <v>-0.110003921568627</v>
      </c>
      <c r="K334" s="1" t="s">
        <v>61</v>
      </c>
      <c r="L334" s="1" t="s">
        <v>61</v>
      </c>
      <c r="M334" s="1" t="s">
        <v>62</v>
      </c>
      <c r="N334" s="1">
        <v>-126.0</v>
      </c>
      <c r="O334" s="1">
        <v>0.0426778761061946</v>
      </c>
      <c r="P334" s="1" t="s">
        <v>61</v>
      </c>
      <c r="Q334" s="1" t="s">
        <v>61</v>
      </c>
      <c r="R334" s="1">
        <f t="shared" si="1"/>
        <v>0.04267787611</v>
      </c>
      <c r="S334" s="1">
        <f t="shared" si="2"/>
        <v>-126</v>
      </c>
      <c r="T334" s="1">
        <f t="shared" si="3"/>
        <v>1.793650794</v>
      </c>
      <c r="U334" s="1">
        <f t="shared" si="4"/>
        <v>0</v>
      </c>
      <c r="V334" s="3">
        <f t="shared" si="5"/>
        <v>1</v>
      </c>
      <c r="W334" s="3">
        <f t="shared" si="6"/>
        <v>3</v>
      </c>
      <c r="X334" s="3" t="str">
        <f>IFERROR(__xludf.DUMMYFUNCTION("split(B334,"" "")"),"J.")</f>
        <v>J.</v>
      </c>
      <c r="Y334" s="3" t="str">
        <f>IFERROR(__xludf.DUMMYFUNCTION("""COMPUTED_VALUE"""),"Whittington")</f>
        <v>Whittington</v>
      </c>
      <c r="AA334" s="3">
        <v>3.0</v>
      </c>
      <c r="AB334" s="3">
        <f t="shared" si="7"/>
        <v>0</v>
      </c>
      <c r="AC334" s="3">
        <f t="shared" si="8"/>
        <v>1</v>
      </c>
      <c r="AD334" s="3">
        <f t="shared" si="9"/>
        <v>0.7936507937</v>
      </c>
      <c r="AE334" s="3">
        <f t="shared" si="10"/>
        <v>0.7936507937</v>
      </c>
      <c r="AF334" s="3">
        <f t="shared" si="11"/>
        <v>2.380952381</v>
      </c>
      <c r="AG334" s="3">
        <f t="shared" si="12"/>
        <v>0.1428571429</v>
      </c>
    </row>
    <row r="335">
      <c r="A335" s="1" t="s">
        <v>9</v>
      </c>
      <c r="B335" s="1" t="s">
        <v>368</v>
      </c>
      <c r="C335" s="1" t="s">
        <v>19</v>
      </c>
      <c r="D335" s="1" t="s">
        <v>196</v>
      </c>
      <c r="E335" s="1" t="s">
        <v>164</v>
      </c>
      <c r="F335" s="1" t="s">
        <v>516</v>
      </c>
      <c r="G335" s="1">
        <v>90.5</v>
      </c>
      <c r="H335" s="1" t="s">
        <v>60</v>
      </c>
      <c r="I335" s="1">
        <v>-116.0</v>
      </c>
      <c r="J335" s="1">
        <v>-0.113900107372291</v>
      </c>
      <c r="K335" s="1" t="s">
        <v>61</v>
      </c>
      <c r="L335" s="1" t="s">
        <v>61</v>
      </c>
      <c r="M335" s="1" t="s">
        <v>62</v>
      </c>
      <c r="N335" s="1">
        <v>-116.0</v>
      </c>
      <c r="O335" s="1">
        <v>0.0398829604078585</v>
      </c>
      <c r="P335" s="1" t="s">
        <v>61</v>
      </c>
      <c r="Q335" s="1" t="s">
        <v>61</v>
      </c>
      <c r="R335" s="1">
        <f t="shared" si="1"/>
        <v>0.03988296041</v>
      </c>
      <c r="S335" s="1">
        <f t="shared" si="2"/>
        <v>-116</v>
      </c>
      <c r="T335" s="1">
        <f t="shared" si="3"/>
        <v>1.862068966</v>
      </c>
      <c r="U335" s="1">
        <f t="shared" si="4"/>
        <v>0</v>
      </c>
      <c r="V335" s="3">
        <f t="shared" si="5"/>
        <v>1</v>
      </c>
      <c r="W335" s="3">
        <f t="shared" si="6"/>
        <v>2</v>
      </c>
      <c r="X335" s="3" t="str">
        <f>IFERROR(__xludf.DUMMYFUNCTION("split(B335,"" "")"),"K.")</f>
        <v>K.</v>
      </c>
      <c r="Y335" s="3" t="str">
        <f>IFERROR(__xludf.DUMMYFUNCTION("""COMPUTED_VALUE"""),"Williams")</f>
        <v>Williams</v>
      </c>
      <c r="AA335" s="3">
        <v>116.0</v>
      </c>
      <c r="AB335" s="3">
        <f t="shared" si="7"/>
        <v>1</v>
      </c>
      <c r="AC335" s="3">
        <f t="shared" si="8"/>
        <v>0</v>
      </c>
      <c r="AD335" s="3">
        <f t="shared" si="9"/>
        <v>0.8620689655</v>
      </c>
      <c r="AE335" s="3">
        <f t="shared" si="10"/>
        <v>-1</v>
      </c>
      <c r="AF335" s="3">
        <f t="shared" si="11"/>
        <v>-2</v>
      </c>
      <c r="AG335" s="3">
        <f t="shared" si="12"/>
        <v>-0.2817679558</v>
      </c>
    </row>
    <row r="336">
      <c r="A336" s="1" t="s">
        <v>11</v>
      </c>
      <c r="B336" s="1" t="s">
        <v>368</v>
      </c>
      <c r="C336" s="1" t="s">
        <v>19</v>
      </c>
      <c r="D336" s="1" t="s">
        <v>196</v>
      </c>
      <c r="E336" s="1" t="s">
        <v>164</v>
      </c>
      <c r="F336" s="1" t="s">
        <v>516</v>
      </c>
      <c r="G336" s="1">
        <v>20.5</v>
      </c>
      <c r="H336" s="1" t="s">
        <v>60</v>
      </c>
      <c r="I336" s="1">
        <v>-116.0</v>
      </c>
      <c r="J336" s="1">
        <v>-0.106172393070634</v>
      </c>
      <c r="K336" s="1" t="s">
        <v>61</v>
      </c>
      <c r="L336" s="1" t="s">
        <v>61</v>
      </c>
      <c r="M336" s="1" t="s">
        <v>62</v>
      </c>
      <c r="N336" s="1">
        <v>-113.0</v>
      </c>
      <c r="O336" s="1">
        <v>0.0386240831017861</v>
      </c>
      <c r="P336" s="1" t="s">
        <v>61</v>
      </c>
      <c r="Q336" s="1" t="s">
        <v>61</v>
      </c>
      <c r="R336" s="1">
        <f t="shared" si="1"/>
        <v>0.0386240831</v>
      </c>
      <c r="S336" s="1">
        <f t="shared" si="2"/>
        <v>-113</v>
      </c>
      <c r="T336" s="1">
        <f t="shared" si="3"/>
        <v>1.884955752</v>
      </c>
      <c r="U336" s="1">
        <f t="shared" si="4"/>
        <v>0</v>
      </c>
      <c r="V336" s="3">
        <f t="shared" si="5"/>
        <v>1</v>
      </c>
      <c r="W336" s="3">
        <f t="shared" si="6"/>
        <v>2</v>
      </c>
      <c r="X336" s="3" t="str">
        <f>IFERROR(__xludf.DUMMYFUNCTION("split(B336,"" "")"),"K.")</f>
        <v>K.</v>
      </c>
      <c r="Y336" s="3" t="str">
        <f>IFERROR(__xludf.DUMMYFUNCTION("""COMPUTED_VALUE"""),"Williams")</f>
        <v>Williams</v>
      </c>
      <c r="AA336" s="3">
        <v>27.0</v>
      </c>
      <c r="AB336" s="3">
        <f t="shared" si="7"/>
        <v>1</v>
      </c>
      <c r="AC336" s="3">
        <f t="shared" si="8"/>
        <v>0</v>
      </c>
      <c r="AD336" s="3">
        <f t="shared" si="9"/>
        <v>0.8849557522</v>
      </c>
      <c r="AE336" s="3">
        <f t="shared" si="10"/>
        <v>-1</v>
      </c>
      <c r="AF336" s="3">
        <f t="shared" si="11"/>
        <v>-2</v>
      </c>
      <c r="AG336" s="3">
        <f t="shared" si="12"/>
        <v>-0.3170731707</v>
      </c>
    </row>
    <row r="337">
      <c r="A337" s="1" t="s">
        <v>11</v>
      </c>
      <c r="B337" s="1" t="s">
        <v>543</v>
      </c>
      <c r="C337" s="1" t="s">
        <v>18</v>
      </c>
      <c r="D337" s="1" t="s">
        <v>196</v>
      </c>
      <c r="E337" s="1" t="s">
        <v>164</v>
      </c>
      <c r="F337" s="1" t="s">
        <v>516</v>
      </c>
      <c r="G337" s="1">
        <v>20.5</v>
      </c>
      <c r="H337" s="1" t="s">
        <v>60</v>
      </c>
      <c r="I337" s="1">
        <v>-125.0</v>
      </c>
      <c r="J337" s="1">
        <v>-0.102585902822053</v>
      </c>
      <c r="K337" s="1" t="s">
        <v>61</v>
      </c>
      <c r="L337" s="1" t="s">
        <v>61</v>
      </c>
      <c r="M337" s="1" t="s">
        <v>62</v>
      </c>
      <c r="N337" s="1">
        <v>-106.0</v>
      </c>
      <c r="O337" s="1">
        <v>0.032440474869222</v>
      </c>
      <c r="P337" s="1" t="s">
        <v>61</v>
      </c>
      <c r="Q337" s="1" t="s">
        <v>61</v>
      </c>
      <c r="R337" s="1">
        <f t="shared" si="1"/>
        <v>0.03244047487</v>
      </c>
      <c r="S337" s="1">
        <f t="shared" si="2"/>
        <v>-106</v>
      </c>
      <c r="T337" s="1">
        <f t="shared" si="3"/>
        <v>1.943396226</v>
      </c>
      <c r="U337" s="1">
        <f t="shared" si="4"/>
        <v>0</v>
      </c>
      <c r="V337" s="3">
        <f t="shared" si="5"/>
        <v>1</v>
      </c>
      <c r="W337" s="3">
        <f t="shared" si="6"/>
        <v>2</v>
      </c>
      <c r="X337" s="3" t="str">
        <f>IFERROR(__xludf.DUMMYFUNCTION("split(B337,"" "")"),"T.")</f>
        <v>T.</v>
      </c>
      <c r="Y337" s="3" t="str">
        <f>IFERROR(__xludf.DUMMYFUNCTION("""COMPUTED_VALUE"""),"Atwell")</f>
        <v>Atwell</v>
      </c>
      <c r="AA337" s="3">
        <v>93.0</v>
      </c>
      <c r="AB337" s="3">
        <f t="shared" si="7"/>
        <v>1</v>
      </c>
      <c r="AC337" s="3">
        <f t="shared" si="8"/>
        <v>0</v>
      </c>
      <c r="AD337" s="3">
        <f t="shared" si="9"/>
        <v>0.9433962264</v>
      </c>
      <c r="AE337" s="3">
        <f t="shared" si="10"/>
        <v>-1</v>
      </c>
      <c r="AF337" s="3">
        <f t="shared" si="11"/>
        <v>-2</v>
      </c>
      <c r="AG337" s="3">
        <f t="shared" si="12"/>
        <v>-3.536585366</v>
      </c>
    </row>
    <row r="338">
      <c r="A338" s="1" t="s">
        <v>11</v>
      </c>
      <c r="B338" s="1" t="s">
        <v>470</v>
      </c>
      <c r="C338" s="1" t="s">
        <v>20</v>
      </c>
      <c r="D338" s="1" t="s">
        <v>196</v>
      </c>
      <c r="E338" s="1" t="s">
        <v>164</v>
      </c>
      <c r="F338" s="1" t="s">
        <v>516</v>
      </c>
      <c r="G338" s="1">
        <v>31.5</v>
      </c>
      <c r="H338" s="1" t="s">
        <v>60</v>
      </c>
      <c r="I338" s="1">
        <v>-114.0</v>
      </c>
      <c r="J338" s="1">
        <v>-0.0972576034431307</v>
      </c>
      <c r="K338" s="1" t="s">
        <v>61</v>
      </c>
      <c r="L338" s="1" t="s">
        <v>61</v>
      </c>
      <c r="M338" s="1" t="s">
        <v>62</v>
      </c>
      <c r="N338" s="1">
        <v>-115.0</v>
      </c>
      <c r="O338" s="1">
        <v>0.0297129224963464</v>
      </c>
      <c r="P338" s="1" t="s">
        <v>61</v>
      </c>
      <c r="Q338" s="1" t="s">
        <v>61</v>
      </c>
      <c r="R338" s="1">
        <f t="shared" si="1"/>
        <v>0.0297129225</v>
      </c>
      <c r="S338" s="1">
        <f t="shared" si="2"/>
        <v>-115</v>
      </c>
      <c r="T338" s="1">
        <f t="shared" si="3"/>
        <v>1.869565217</v>
      </c>
      <c r="U338" s="1">
        <f t="shared" si="4"/>
        <v>0</v>
      </c>
      <c r="V338" s="3">
        <f t="shared" si="5"/>
        <v>1</v>
      </c>
      <c r="W338" s="3">
        <f t="shared" si="6"/>
        <v>2</v>
      </c>
      <c r="X338" s="3" t="str">
        <f>IFERROR(__xludf.DUMMYFUNCTION("split(B338,"" "")"),"C.")</f>
        <v>C.</v>
      </c>
      <c r="Y338" s="3" t="str">
        <f>IFERROR(__xludf.DUMMYFUNCTION("""COMPUTED_VALUE"""),"Parkinson")</f>
        <v>Parkinson</v>
      </c>
      <c r="AA338" s="3">
        <v>21.0</v>
      </c>
      <c r="AB338" s="3">
        <f t="shared" si="7"/>
        <v>0</v>
      </c>
      <c r="AC338" s="3">
        <f t="shared" si="8"/>
        <v>1</v>
      </c>
      <c r="AD338" s="3">
        <f t="shared" si="9"/>
        <v>0.8695652174</v>
      </c>
      <c r="AE338" s="3">
        <f t="shared" si="10"/>
        <v>0.8695652174</v>
      </c>
      <c r="AF338" s="3">
        <f t="shared" si="11"/>
        <v>1.739130435</v>
      </c>
      <c r="AG338" s="3">
        <f t="shared" si="12"/>
        <v>0.3333333333</v>
      </c>
    </row>
    <row r="339">
      <c r="A339" s="1" t="s">
        <v>9</v>
      </c>
      <c r="B339" s="1" t="s">
        <v>284</v>
      </c>
      <c r="C339" s="1" t="s">
        <v>18</v>
      </c>
      <c r="D339" s="1" t="s">
        <v>196</v>
      </c>
      <c r="E339" s="1" t="s">
        <v>164</v>
      </c>
      <c r="F339" s="1" t="s">
        <v>516</v>
      </c>
      <c r="G339" s="1">
        <v>43.5</v>
      </c>
      <c r="H339" s="1" t="s">
        <v>60</v>
      </c>
      <c r="I339" s="1">
        <v>-117.0</v>
      </c>
      <c r="J339" s="1">
        <v>0.0220462495185926</v>
      </c>
      <c r="K339" s="1" t="s">
        <v>61</v>
      </c>
      <c r="L339" s="1" t="s">
        <v>61</v>
      </c>
      <c r="M339" s="1" t="s">
        <v>62</v>
      </c>
      <c r="N339" s="1">
        <v>-115.0</v>
      </c>
      <c r="O339" s="1">
        <v>-0.0961031700807666</v>
      </c>
      <c r="P339" s="1" t="s">
        <v>61</v>
      </c>
      <c r="Q339" s="1" t="s">
        <v>61</v>
      </c>
      <c r="R339" s="1">
        <f t="shared" si="1"/>
        <v>0.02204624952</v>
      </c>
      <c r="S339" s="1">
        <f t="shared" si="2"/>
        <v>-117</v>
      </c>
      <c r="T339" s="1">
        <f t="shared" si="3"/>
        <v>1.854700855</v>
      </c>
      <c r="U339" s="1">
        <f t="shared" si="4"/>
        <v>1</v>
      </c>
      <c r="V339" s="3">
        <f t="shared" si="5"/>
        <v>1</v>
      </c>
      <c r="W339" s="3">
        <f t="shared" si="6"/>
        <v>2</v>
      </c>
      <c r="X339" s="3" t="str">
        <f>IFERROR(__xludf.DUMMYFUNCTION("split(B339,"" "")"),"D.")</f>
        <v>D.</v>
      </c>
      <c r="Y339" s="3" t="str">
        <f>IFERROR(__xludf.DUMMYFUNCTION("""COMPUTED_VALUE"""),"Robinson")</f>
        <v>Robinson</v>
      </c>
      <c r="AA339" s="3">
        <v>32.0</v>
      </c>
      <c r="AB339" s="3">
        <f t="shared" si="7"/>
        <v>0</v>
      </c>
      <c r="AC339" s="3">
        <f t="shared" si="8"/>
        <v>0</v>
      </c>
      <c r="AD339" s="3">
        <f t="shared" si="9"/>
        <v>0.8547008547</v>
      </c>
      <c r="AE339" s="3">
        <f t="shared" si="10"/>
        <v>-1</v>
      </c>
      <c r="AF339" s="3">
        <f t="shared" si="11"/>
        <v>-2</v>
      </c>
      <c r="AG339" s="3">
        <f t="shared" si="12"/>
        <v>-0.2643678161</v>
      </c>
    </row>
    <row r="340">
      <c r="A340" s="1" t="s">
        <v>10</v>
      </c>
      <c r="B340" s="1" t="s">
        <v>368</v>
      </c>
      <c r="C340" s="1" t="s">
        <v>19</v>
      </c>
      <c r="D340" s="1" t="s">
        <v>196</v>
      </c>
      <c r="E340" s="1" t="s">
        <v>164</v>
      </c>
      <c r="F340" s="1" t="s">
        <v>516</v>
      </c>
      <c r="G340" s="1">
        <v>64.5</v>
      </c>
      <c r="H340" s="1" t="s">
        <v>60</v>
      </c>
      <c r="I340" s="1">
        <v>-110.0</v>
      </c>
      <c r="J340" s="1">
        <v>-0.0750686592198245</v>
      </c>
      <c r="K340" s="1" t="s">
        <v>61</v>
      </c>
      <c r="L340" s="1" t="s">
        <v>61</v>
      </c>
      <c r="M340" s="1" t="s">
        <v>62</v>
      </c>
      <c r="N340" s="1">
        <v>-119.0</v>
      </c>
      <c r="O340" s="1">
        <v>0.00783173560136896</v>
      </c>
      <c r="P340" s="1" t="s">
        <v>61</v>
      </c>
      <c r="Q340" s="1" t="s">
        <v>61</v>
      </c>
      <c r="R340" s="1">
        <f t="shared" si="1"/>
        <v>0.007831735601</v>
      </c>
      <c r="S340" s="1">
        <f t="shared" si="2"/>
        <v>-119</v>
      </c>
      <c r="T340" s="1">
        <f t="shared" si="3"/>
        <v>1.840336134</v>
      </c>
      <c r="U340" s="1">
        <f t="shared" si="4"/>
        <v>0</v>
      </c>
      <c r="V340" s="3">
        <f t="shared" si="5"/>
        <v>1</v>
      </c>
      <c r="W340" s="3">
        <f t="shared" si="6"/>
        <v>3</v>
      </c>
      <c r="X340" s="3" t="str">
        <f>IFERROR(__xludf.DUMMYFUNCTION("split(B340,"" "")"),"K.")</f>
        <v>K.</v>
      </c>
      <c r="Y340" s="3" t="str">
        <f>IFERROR(__xludf.DUMMYFUNCTION("""COMPUTED_VALUE"""),"Williams")</f>
        <v>Williams</v>
      </c>
      <c r="AA340" s="3">
        <v>89.0</v>
      </c>
      <c r="AB340" s="3">
        <f t="shared" si="7"/>
        <v>1</v>
      </c>
      <c r="AC340" s="3">
        <f t="shared" si="8"/>
        <v>0</v>
      </c>
      <c r="AD340" s="3">
        <f t="shared" si="9"/>
        <v>0.8403361345</v>
      </c>
      <c r="AE340" s="3">
        <f t="shared" si="10"/>
        <v>-1</v>
      </c>
      <c r="AF340" s="3">
        <f t="shared" si="11"/>
        <v>-3</v>
      </c>
      <c r="AG340" s="3">
        <f t="shared" si="12"/>
        <v>-0.3798449612</v>
      </c>
    </row>
    <row r="341">
      <c r="A341" s="1" t="s">
        <v>11</v>
      </c>
      <c r="B341" s="1" t="s">
        <v>544</v>
      </c>
      <c r="C341" s="1" t="s">
        <v>18</v>
      </c>
      <c r="D341" s="1" t="s">
        <v>196</v>
      </c>
      <c r="E341" s="1" t="s">
        <v>164</v>
      </c>
      <c r="F341" s="1" t="s">
        <v>516</v>
      </c>
      <c r="G341" s="1">
        <v>30.5</v>
      </c>
      <c r="H341" s="1" t="s">
        <v>60</v>
      </c>
      <c r="I341" s="1">
        <v>-127.0</v>
      </c>
      <c r="J341" s="1">
        <v>-0.0650146055913657</v>
      </c>
      <c r="K341" s="1" t="s">
        <v>61</v>
      </c>
      <c r="L341" s="1" t="s">
        <v>61</v>
      </c>
      <c r="M341" s="1" t="s">
        <v>62</v>
      </c>
      <c r="N341" s="1">
        <v>100.0</v>
      </c>
      <c r="O341" s="1">
        <v>0.0055881639232001</v>
      </c>
      <c r="P341" s="1" t="s">
        <v>61</v>
      </c>
      <c r="Q341" s="1" t="s">
        <v>61</v>
      </c>
      <c r="R341" s="1">
        <f t="shared" si="1"/>
        <v>0.005588163923</v>
      </c>
      <c r="S341" s="1">
        <f t="shared" si="2"/>
        <v>100</v>
      </c>
      <c r="T341" s="1">
        <f t="shared" si="3"/>
        <v>2</v>
      </c>
      <c r="U341" s="1">
        <f t="shared" si="4"/>
        <v>0</v>
      </c>
      <c r="V341" s="3">
        <f t="shared" si="5"/>
        <v>1</v>
      </c>
      <c r="W341" s="3">
        <f t="shared" si="6"/>
        <v>2</v>
      </c>
      <c r="X341" s="3" t="str">
        <f>IFERROR(__xludf.DUMMYFUNCTION("split(B341,"" "")"),"J.")</f>
        <v>J.</v>
      </c>
      <c r="Y341" s="3" t="str">
        <f>IFERROR(__xludf.DUMMYFUNCTION("""COMPUTED_VALUE"""),"Whittington")</f>
        <v>Whittington</v>
      </c>
      <c r="AA341" s="3">
        <v>28.0</v>
      </c>
      <c r="AB341" s="3">
        <f t="shared" si="7"/>
        <v>0</v>
      </c>
      <c r="AC341" s="3">
        <f t="shared" si="8"/>
        <v>1</v>
      </c>
      <c r="AD341" s="3">
        <f t="shared" si="9"/>
        <v>1</v>
      </c>
      <c r="AE341" s="3">
        <f t="shared" si="10"/>
        <v>1</v>
      </c>
      <c r="AF341" s="3">
        <f t="shared" si="11"/>
        <v>2</v>
      </c>
      <c r="AG341" s="3">
        <f t="shared" si="12"/>
        <v>0.08196721311</v>
      </c>
    </row>
    <row r="342">
      <c r="A342" s="1" t="s">
        <v>11</v>
      </c>
      <c r="B342" s="1" t="s">
        <v>439</v>
      </c>
      <c r="C342" s="1" t="s">
        <v>19</v>
      </c>
      <c r="D342" s="1" t="s">
        <v>135</v>
      </c>
      <c r="E342" s="1" t="s">
        <v>110</v>
      </c>
      <c r="F342" s="1" t="s">
        <v>525</v>
      </c>
      <c r="G342" s="1">
        <v>3.5</v>
      </c>
      <c r="H342" s="1" t="s">
        <v>60</v>
      </c>
      <c r="I342" s="1">
        <v>-103.0</v>
      </c>
      <c r="J342" s="1">
        <v>0.147647003712826</v>
      </c>
      <c r="K342" s="1" t="s">
        <v>61</v>
      </c>
      <c r="L342" s="1" t="s">
        <v>61</v>
      </c>
      <c r="M342" s="1" t="s">
        <v>62</v>
      </c>
      <c r="N342" s="1">
        <v>-126.0</v>
      </c>
      <c r="O342" s="1">
        <v>-0.212549878803835</v>
      </c>
      <c r="P342" s="1" t="s">
        <v>61</v>
      </c>
      <c r="Q342" s="1" t="s">
        <v>61</v>
      </c>
      <c r="R342" s="1">
        <f t="shared" si="1"/>
        <v>0.1476470037</v>
      </c>
      <c r="S342" s="1">
        <f t="shared" si="2"/>
        <v>-103</v>
      </c>
      <c r="T342" s="1">
        <f t="shared" si="3"/>
        <v>1.970873786</v>
      </c>
      <c r="U342" s="1">
        <f t="shared" si="4"/>
        <v>1</v>
      </c>
      <c r="V342" s="3">
        <f t="shared" si="5"/>
        <v>3</v>
      </c>
      <c r="W342" s="3">
        <f t="shared" si="6"/>
        <v>2</v>
      </c>
      <c r="X342" s="3" t="str">
        <f>IFERROR(__xludf.DUMMYFUNCTION("split(B342,"" "")"),"G.")</f>
        <v>G.</v>
      </c>
      <c r="Y342" s="3" t="str">
        <f>IFERROR(__xludf.DUMMYFUNCTION("""COMPUTED_VALUE"""),"Edwards")</f>
        <v>Edwards</v>
      </c>
      <c r="AA342" s="3">
        <v>0.0</v>
      </c>
      <c r="AB342" s="3">
        <f t="shared" si="7"/>
        <v>0</v>
      </c>
      <c r="AC342" s="3">
        <f t="shared" si="8"/>
        <v>0</v>
      </c>
      <c r="AD342" s="3">
        <f t="shared" si="9"/>
        <v>2.912621359</v>
      </c>
      <c r="AE342" s="3">
        <f t="shared" si="10"/>
        <v>-3</v>
      </c>
      <c r="AF342" s="3">
        <f t="shared" si="11"/>
        <v>-2</v>
      </c>
      <c r="AG342" s="3">
        <f t="shared" si="12"/>
        <v>-1</v>
      </c>
    </row>
    <row r="343">
      <c r="A343" s="1" t="s">
        <v>12</v>
      </c>
      <c r="B343" s="1" t="s">
        <v>485</v>
      </c>
      <c r="C343" s="1" t="s">
        <v>19</v>
      </c>
      <c r="D343" s="1" t="s">
        <v>135</v>
      </c>
      <c r="E343" s="1" t="s">
        <v>110</v>
      </c>
      <c r="F343" s="1" t="s">
        <v>525</v>
      </c>
      <c r="G343" s="1">
        <v>1.5</v>
      </c>
      <c r="H343" s="1" t="s">
        <v>60</v>
      </c>
      <c r="I343" s="1">
        <v>-188.0</v>
      </c>
      <c r="J343" s="1">
        <v>-0.207876086354166</v>
      </c>
      <c r="K343" s="1" t="s">
        <v>61</v>
      </c>
      <c r="L343" s="1" t="s">
        <v>61</v>
      </c>
      <c r="M343" s="1" t="s">
        <v>62</v>
      </c>
      <c r="N343" s="1">
        <v>140.0</v>
      </c>
      <c r="O343" s="1">
        <v>0.138431303625</v>
      </c>
      <c r="P343" s="1" t="s">
        <v>61</v>
      </c>
      <c r="Q343" s="1" t="s">
        <v>61</v>
      </c>
      <c r="R343" s="1">
        <f t="shared" si="1"/>
        <v>0.1384313036</v>
      </c>
      <c r="S343" s="1">
        <f t="shared" si="2"/>
        <v>140</v>
      </c>
      <c r="T343" s="1">
        <f t="shared" si="3"/>
        <v>2.4</v>
      </c>
      <c r="U343" s="1">
        <f t="shared" si="4"/>
        <v>0</v>
      </c>
      <c r="V343" s="3">
        <f t="shared" si="5"/>
        <v>3</v>
      </c>
      <c r="W343" s="3">
        <f t="shared" si="6"/>
        <v>1</v>
      </c>
      <c r="X343" s="3" t="str">
        <f>IFERROR(__xludf.DUMMYFUNCTION("split(B343,"" "")"),"J.")</f>
        <v>J.</v>
      </c>
      <c r="Y343" s="3" t="str">
        <f>IFERROR(__xludf.DUMMYFUNCTION("""COMPUTED_VALUE"""),"Dobbins")</f>
        <v>Dobbins</v>
      </c>
      <c r="AA343" s="3">
        <v>3.0</v>
      </c>
      <c r="AB343" s="3">
        <f t="shared" si="7"/>
        <v>1</v>
      </c>
      <c r="AC343" s="3">
        <f t="shared" si="8"/>
        <v>0</v>
      </c>
      <c r="AD343" s="3">
        <f t="shared" si="9"/>
        <v>4.2</v>
      </c>
      <c r="AE343" s="3">
        <f t="shared" si="10"/>
        <v>-3</v>
      </c>
      <c r="AF343" s="3">
        <f t="shared" si="11"/>
        <v>-1</v>
      </c>
      <c r="AG343" s="3">
        <f t="shared" si="12"/>
        <v>-1</v>
      </c>
    </row>
    <row r="344">
      <c r="A344" s="1" t="s">
        <v>12</v>
      </c>
      <c r="B344" s="1" t="s">
        <v>432</v>
      </c>
      <c r="C344" s="1" t="s">
        <v>18</v>
      </c>
      <c r="D344" s="1" t="s">
        <v>135</v>
      </c>
      <c r="E344" s="1" t="s">
        <v>110</v>
      </c>
      <c r="F344" s="1" t="s">
        <v>525</v>
      </c>
      <c r="G344" s="1">
        <v>3.5</v>
      </c>
      <c r="H344" s="1" t="s">
        <v>60</v>
      </c>
      <c r="I344" s="1">
        <v>-127.0</v>
      </c>
      <c r="J344" s="1">
        <v>-0.174571365638766</v>
      </c>
      <c r="K344" s="1" t="s">
        <v>61</v>
      </c>
      <c r="L344" s="1" t="s">
        <v>61</v>
      </c>
      <c r="M344" s="1" t="s">
        <v>62</v>
      </c>
      <c r="N344" s="1">
        <v>-104.0</v>
      </c>
      <c r="O344" s="1">
        <v>0.105296078431372</v>
      </c>
      <c r="P344" s="1" t="s">
        <v>61</v>
      </c>
      <c r="Q344" s="1" t="s">
        <v>61</v>
      </c>
      <c r="R344" s="1">
        <f t="shared" si="1"/>
        <v>0.1052960784</v>
      </c>
      <c r="S344" s="1">
        <f t="shared" si="2"/>
        <v>-104</v>
      </c>
      <c r="T344" s="1">
        <f t="shared" si="3"/>
        <v>1.961538462</v>
      </c>
      <c r="U344" s="1">
        <f t="shared" si="4"/>
        <v>0</v>
      </c>
      <c r="V344" s="3">
        <f t="shared" si="5"/>
        <v>3</v>
      </c>
      <c r="W344" s="3">
        <f t="shared" si="6"/>
        <v>2</v>
      </c>
      <c r="X344" s="3" t="str">
        <f>IFERROR(__xludf.DUMMYFUNCTION("split(B344,"" "")"),"L.")</f>
        <v>L.</v>
      </c>
      <c r="Y344" s="3" t="str">
        <f>IFERROR(__xludf.DUMMYFUNCTION("""COMPUTED_VALUE"""),"McConkey")</f>
        <v>McConkey</v>
      </c>
      <c r="AA344" s="3">
        <v>3.0</v>
      </c>
      <c r="AB344" s="3">
        <f t="shared" si="7"/>
        <v>0</v>
      </c>
      <c r="AC344" s="3">
        <f t="shared" si="8"/>
        <v>1</v>
      </c>
      <c r="AD344" s="3">
        <f t="shared" si="9"/>
        <v>2.884615385</v>
      </c>
      <c r="AE344" s="3">
        <f t="shared" si="10"/>
        <v>2.884615385</v>
      </c>
      <c r="AF344" s="3">
        <f t="shared" si="11"/>
        <v>1.923076923</v>
      </c>
      <c r="AG344" s="3">
        <f t="shared" si="12"/>
        <v>0.1428571429</v>
      </c>
    </row>
    <row r="345">
      <c r="A345" s="1" t="s">
        <v>8</v>
      </c>
      <c r="B345" s="1" t="s">
        <v>485</v>
      </c>
      <c r="C345" s="1" t="s">
        <v>19</v>
      </c>
      <c r="D345" s="1" t="s">
        <v>135</v>
      </c>
      <c r="E345" s="1" t="s">
        <v>110</v>
      </c>
      <c r="F345" s="1" t="s">
        <v>525</v>
      </c>
      <c r="G345" s="1">
        <v>13.5</v>
      </c>
      <c r="H345" s="1" t="s">
        <v>60</v>
      </c>
      <c r="I345" s="1">
        <v>102.0</v>
      </c>
      <c r="J345" s="1">
        <v>-0.168297232459435</v>
      </c>
      <c r="K345" s="1" t="s">
        <v>61</v>
      </c>
      <c r="L345" s="1" t="s">
        <v>61</v>
      </c>
      <c r="M345" s="1" t="s">
        <v>62</v>
      </c>
      <c r="N345" s="1">
        <v>-139.0</v>
      </c>
      <c r="O345" s="1">
        <v>0.0916346580111588</v>
      </c>
      <c r="P345" s="1" t="s">
        <v>61</v>
      </c>
      <c r="Q345" s="1" t="s">
        <v>61</v>
      </c>
      <c r="R345" s="1">
        <f t="shared" si="1"/>
        <v>0.09163465801</v>
      </c>
      <c r="S345" s="1">
        <f t="shared" si="2"/>
        <v>-139</v>
      </c>
      <c r="T345" s="1">
        <f t="shared" si="3"/>
        <v>1.71942446</v>
      </c>
      <c r="U345" s="1">
        <f t="shared" si="4"/>
        <v>0</v>
      </c>
      <c r="V345" s="3">
        <f t="shared" si="5"/>
        <v>2</v>
      </c>
      <c r="W345" s="3">
        <f t="shared" si="6"/>
        <v>3</v>
      </c>
      <c r="X345" s="3" t="str">
        <f>IFERROR(__xludf.DUMMYFUNCTION("split(B345,"" "")"),"J.")</f>
        <v>J.</v>
      </c>
      <c r="Y345" s="3" t="str">
        <f>IFERROR(__xludf.DUMMYFUNCTION("""COMPUTED_VALUE"""),"Dobbins")</f>
        <v>Dobbins</v>
      </c>
      <c r="AA345" s="3">
        <v>15.0</v>
      </c>
      <c r="AB345" s="3">
        <f t="shared" si="7"/>
        <v>1</v>
      </c>
      <c r="AC345" s="3">
        <f t="shared" si="8"/>
        <v>0</v>
      </c>
      <c r="AD345" s="3">
        <f t="shared" si="9"/>
        <v>1.438848921</v>
      </c>
      <c r="AE345" s="3">
        <f t="shared" si="10"/>
        <v>-2</v>
      </c>
      <c r="AF345" s="3">
        <f t="shared" si="11"/>
        <v>-3</v>
      </c>
      <c r="AG345" s="3">
        <f t="shared" si="12"/>
        <v>-0.1111111111</v>
      </c>
    </row>
    <row r="346">
      <c r="A346" s="1" t="s">
        <v>11</v>
      </c>
      <c r="B346" s="1" t="s">
        <v>471</v>
      </c>
      <c r="C346" s="1" t="s">
        <v>20</v>
      </c>
      <c r="D346" s="1" t="s">
        <v>135</v>
      </c>
      <c r="E346" s="1" t="s">
        <v>110</v>
      </c>
      <c r="F346" s="1" t="s">
        <v>525</v>
      </c>
      <c r="G346" s="1">
        <v>7.5</v>
      </c>
      <c r="H346" s="1" t="s">
        <v>60</v>
      </c>
      <c r="I346" s="1">
        <v>-112.0</v>
      </c>
      <c r="J346" s="1">
        <v>0.0907956729255234</v>
      </c>
      <c r="K346" s="1" t="s">
        <v>61</v>
      </c>
      <c r="L346" s="1" t="s">
        <v>61</v>
      </c>
      <c r="M346" s="1" t="s">
        <v>62</v>
      </c>
      <c r="N346" s="1">
        <v>-115.0</v>
      </c>
      <c r="O346" s="1">
        <v>-0.153954163066244</v>
      </c>
      <c r="P346" s="1" t="s">
        <v>61</v>
      </c>
      <c r="Q346" s="1" t="s">
        <v>61</v>
      </c>
      <c r="R346" s="1">
        <f t="shared" si="1"/>
        <v>0.09079567293</v>
      </c>
      <c r="S346" s="1">
        <f t="shared" si="2"/>
        <v>-112</v>
      </c>
      <c r="T346" s="1">
        <f t="shared" si="3"/>
        <v>1.892857143</v>
      </c>
      <c r="U346" s="1">
        <f t="shared" si="4"/>
        <v>1</v>
      </c>
      <c r="V346" s="3">
        <f t="shared" si="5"/>
        <v>2</v>
      </c>
      <c r="W346" s="3">
        <f t="shared" si="6"/>
        <v>2</v>
      </c>
      <c r="X346" s="3" t="str">
        <f>IFERROR(__xludf.DUMMYFUNCTION("split(B346,"" "")"),"W.")</f>
        <v>W.</v>
      </c>
      <c r="Y346" s="3" t="str">
        <f>IFERROR(__xludf.DUMMYFUNCTION("""COMPUTED_VALUE"""),"Dissly")</f>
        <v>Dissly</v>
      </c>
      <c r="AA346" s="3">
        <v>19.0</v>
      </c>
      <c r="AB346" s="3">
        <f t="shared" si="7"/>
        <v>1</v>
      </c>
      <c r="AC346" s="3">
        <f t="shared" si="8"/>
        <v>1</v>
      </c>
      <c r="AD346" s="3">
        <f t="shared" si="9"/>
        <v>1.785714286</v>
      </c>
      <c r="AE346" s="3">
        <f t="shared" si="10"/>
        <v>1.785714286</v>
      </c>
      <c r="AF346" s="3">
        <f t="shared" si="11"/>
        <v>1.785714286</v>
      </c>
      <c r="AG346" s="3">
        <f t="shared" si="12"/>
        <v>1.533333333</v>
      </c>
    </row>
    <row r="347">
      <c r="A347" s="1" t="s">
        <v>12</v>
      </c>
      <c r="B347" s="1" t="s">
        <v>439</v>
      </c>
      <c r="C347" s="1" t="s">
        <v>19</v>
      </c>
      <c r="D347" s="1" t="s">
        <v>135</v>
      </c>
      <c r="E347" s="1" t="s">
        <v>110</v>
      </c>
      <c r="F347" s="1" t="s">
        <v>525</v>
      </c>
      <c r="G347" s="1">
        <v>0.5</v>
      </c>
      <c r="H347" s="1" t="s">
        <v>60</v>
      </c>
      <c r="I347" s="1">
        <v>-200.0</v>
      </c>
      <c r="J347" s="1">
        <v>-0.143595638336999</v>
      </c>
      <c r="K347" s="1" t="s">
        <v>61</v>
      </c>
      <c r="L347" s="1" t="s">
        <v>61</v>
      </c>
      <c r="M347" s="1" t="s">
        <v>62</v>
      </c>
      <c r="N347" s="1">
        <v>150.0</v>
      </c>
      <c r="O347" s="1">
        <v>0.0769347660043999</v>
      </c>
      <c r="P347" s="1" t="s">
        <v>61</v>
      </c>
      <c r="Q347" s="1" t="s">
        <v>61</v>
      </c>
      <c r="R347" s="1">
        <f t="shared" si="1"/>
        <v>0.076934766</v>
      </c>
      <c r="S347" s="1">
        <f t="shared" si="2"/>
        <v>150</v>
      </c>
      <c r="T347" s="1">
        <f t="shared" si="3"/>
        <v>2.5</v>
      </c>
      <c r="U347" s="1">
        <f t="shared" si="4"/>
        <v>0</v>
      </c>
      <c r="V347" s="3">
        <f t="shared" si="5"/>
        <v>2</v>
      </c>
      <c r="W347" s="3">
        <f t="shared" si="6"/>
        <v>1</v>
      </c>
      <c r="X347" s="3" t="str">
        <f>IFERROR(__xludf.DUMMYFUNCTION("split(B347,"" "")"),"G.")</f>
        <v>G.</v>
      </c>
      <c r="Y347" s="3" t="str">
        <f>IFERROR(__xludf.DUMMYFUNCTION("""COMPUTED_VALUE"""),"Edwards")</f>
        <v>Edwards</v>
      </c>
      <c r="AA347" s="3">
        <v>0.0</v>
      </c>
      <c r="AB347" s="3">
        <f t="shared" si="7"/>
        <v>0</v>
      </c>
      <c r="AC347" s="3">
        <f t="shared" si="8"/>
        <v>1</v>
      </c>
      <c r="AD347" s="3">
        <f t="shared" si="9"/>
        <v>3</v>
      </c>
      <c r="AE347" s="3">
        <f t="shared" si="10"/>
        <v>3</v>
      </c>
      <c r="AF347" s="3">
        <f t="shared" si="11"/>
        <v>1.5</v>
      </c>
      <c r="AG347" s="3">
        <f t="shared" si="12"/>
        <v>1</v>
      </c>
    </row>
    <row r="348">
      <c r="A348" s="1" t="s">
        <v>12</v>
      </c>
      <c r="B348" s="1" t="s">
        <v>471</v>
      </c>
      <c r="C348" s="1" t="s">
        <v>20</v>
      </c>
      <c r="D348" s="1" t="s">
        <v>135</v>
      </c>
      <c r="E348" s="1" t="s">
        <v>110</v>
      </c>
      <c r="F348" s="1" t="s">
        <v>525</v>
      </c>
      <c r="G348" s="1">
        <v>0.5</v>
      </c>
      <c r="H348" s="1" t="s">
        <v>60</v>
      </c>
      <c r="I348" s="1">
        <v>-250.0</v>
      </c>
      <c r="J348" s="1">
        <v>-0.139225731356285</v>
      </c>
      <c r="K348" s="1" t="s">
        <v>61</v>
      </c>
      <c r="L348" s="1" t="s">
        <v>61</v>
      </c>
      <c r="M348" s="1" t="s">
        <v>62</v>
      </c>
      <c r="N348" s="1">
        <v>184.0</v>
      </c>
      <c r="O348" s="1">
        <v>0.0728134013193662</v>
      </c>
      <c r="P348" s="1" t="s">
        <v>61</v>
      </c>
      <c r="Q348" s="1" t="s">
        <v>61</v>
      </c>
      <c r="R348" s="1">
        <f t="shared" si="1"/>
        <v>0.07281340132</v>
      </c>
      <c r="S348" s="1">
        <f t="shared" si="2"/>
        <v>184</v>
      </c>
      <c r="T348" s="1">
        <f t="shared" si="3"/>
        <v>2.84</v>
      </c>
      <c r="U348" s="1">
        <f t="shared" si="4"/>
        <v>0</v>
      </c>
      <c r="V348" s="3">
        <f t="shared" si="5"/>
        <v>2</v>
      </c>
      <c r="W348" s="3">
        <f t="shared" si="6"/>
        <v>1</v>
      </c>
      <c r="X348" s="3" t="str">
        <f>IFERROR(__xludf.DUMMYFUNCTION("split(B348,"" "")"),"W.")</f>
        <v>W.</v>
      </c>
      <c r="Y348" s="3" t="str">
        <f>IFERROR(__xludf.DUMMYFUNCTION("""COMPUTED_VALUE"""),"Dissly")</f>
        <v>Dissly</v>
      </c>
      <c r="AA348" s="3">
        <v>3.0</v>
      </c>
      <c r="AB348" s="3">
        <f t="shared" si="7"/>
        <v>1</v>
      </c>
      <c r="AC348" s="3">
        <f t="shared" si="8"/>
        <v>0</v>
      </c>
      <c r="AD348" s="3">
        <f t="shared" si="9"/>
        <v>3.68</v>
      </c>
      <c r="AE348" s="3">
        <f t="shared" si="10"/>
        <v>-2</v>
      </c>
      <c r="AF348" s="3">
        <f t="shared" si="11"/>
        <v>-1</v>
      </c>
      <c r="AG348" s="3">
        <f t="shared" si="12"/>
        <v>-5</v>
      </c>
    </row>
    <row r="349">
      <c r="A349" s="1" t="s">
        <v>12</v>
      </c>
      <c r="B349" s="1" t="s">
        <v>506</v>
      </c>
      <c r="C349" s="1" t="s">
        <v>18</v>
      </c>
      <c r="D349" s="1" t="s">
        <v>135</v>
      </c>
      <c r="E349" s="1" t="s">
        <v>110</v>
      </c>
      <c r="F349" s="1" t="s">
        <v>525</v>
      </c>
      <c r="G349" s="1">
        <v>3.5</v>
      </c>
      <c r="H349" s="1" t="s">
        <v>60</v>
      </c>
      <c r="I349" s="1">
        <v>100.0</v>
      </c>
      <c r="J349" s="1">
        <v>-0.1334</v>
      </c>
      <c r="K349" s="1" t="s">
        <v>61</v>
      </c>
      <c r="L349" s="1" t="s">
        <v>61</v>
      </c>
      <c r="M349" s="1" t="s">
        <v>62</v>
      </c>
      <c r="N349" s="1">
        <v>-131.0</v>
      </c>
      <c r="O349" s="1">
        <v>0.0663138528138528</v>
      </c>
      <c r="P349" s="1" t="s">
        <v>61</v>
      </c>
      <c r="Q349" s="1" t="s">
        <v>61</v>
      </c>
      <c r="R349" s="1">
        <f t="shared" si="1"/>
        <v>0.06631385281</v>
      </c>
      <c r="S349" s="1">
        <f t="shared" si="2"/>
        <v>-131</v>
      </c>
      <c r="T349" s="1">
        <f t="shared" si="3"/>
        <v>1.763358779</v>
      </c>
      <c r="U349" s="1">
        <f t="shared" si="4"/>
        <v>0</v>
      </c>
      <c r="V349" s="3">
        <f t="shared" si="5"/>
        <v>2</v>
      </c>
      <c r="W349" s="3">
        <f t="shared" si="6"/>
        <v>3</v>
      </c>
      <c r="X349" s="3" t="str">
        <f>IFERROR(__xludf.DUMMYFUNCTION("split(B349,"" "")"),"Q.")</f>
        <v>Q.</v>
      </c>
      <c r="Y349" s="3" t="str">
        <f>IFERROR(__xludf.DUMMYFUNCTION("""COMPUTED_VALUE"""),"Johnston")</f>
        <v>Johnston</v>
      </c>
      <c r="AA349" s="3">
        <v>2.0</v>
      </c>
      <c r="AB349" s="3">
        <f t="shared" si="7"/>
        <v>0</v>
      </c>
      <c r="AC349" s="3">
        <f t="shared" si="8"/>
        <v>1</v>
      </c>
      <c r="AD349" s="3">
        <f t="shared" si="9"/>
        <v>1.526717557</v>
      </c>
      <c r="AE349" s="3">
        <f t="shared" si="10"/>
        <v>1.526717557</v>
      </c>
      <c r="AF349" s="3">
        <f t="shared" si="11"/>
        <v>2.290076336</v>
      </c>
      <c r="AG349" s="3">
        <f t="shared" si="12"/>
        <v>0.4285714286</v>
      </c>
    </row>
    <row r="350">
      <c r="A350" s="1" t="s">
        <v>14</v>
      </c>
      <c r="B350" s="1" t="s">
        <v>405</v>
      </c>
      <c r="C350" s="1" t="s">
        <v>21</v>
      </c>
      <c r="D350" s="1" t="s">
        <v>135</v>
      </c>
      <c r="E350" s="1" t="s">
        <v>110</v>
      </c>
      <c r="F350" s="1" t="s">
        <v>525</v>
      </c>
      <c r="G350" s="1">
        <v>0.5</v>
      </c>
      <c r="H350" s="1" t="s">
        <v>60</v>
      </c>
      <c r="I350" s="1">
        <v>-177.0</v>
      </c>
      <c r="J350" s="1">
        <v>-0.128986630577617</v>
      </c>
      <c r="K350" s="1" t="s">
        <v>61</v>
      </c>
      <c r="L350" s="1" t="s">
        <v>61</v>
      </c>
      <c r="M350" s="1" t="s">
        <v>62</v>
      </c>
      <c r="N350" s="1">
        <v>133.0</v>
      </c>
      <c r="O350" s="1">
        <v>0.0608124320600858</v>
      </c>
      <c r="P350" s="1" t="s">
        <v>61</v>
      </c>
      <c r="Q350" s="1" t="s">
        <v>61</v>
      </c>
      <c r="R350" s="1">
        <f t="shared" si="1"/>
        <v>0.06081243206</v>
      </c>
      <c r="S350" s="1">
        <f t="shared" si="2"/>
        <v>133</v>
      </c>
      <c r="T350" s="1">
        <f t="shared" si="3"/>
        <v>2.33</v>
      </c>
      <c r="U350" s="1">
        <f t="shared" si="4"/>
        <v>0</v>
      </c>
      <c r="V350" s="3">
        <f t="shared" si="5"/>
        <v>2</v>
      </c>
      <c r="W350" s="3">
        <f t="shared" si="6"/>
        <v>1</v>
      </c>
      <c r="X350" s="3" t="str">
        <f>IFERROR(__xludf.DUMMYFUNCTION("split(B350,"" "")"),"J.")</f>
        <v>J.</v>
      </c>
      <c r="Y350" s="3" t="str">
        <f>IFERROR(__xludf.DUMMYFUNCTION("""COMPUTED_VALUE"""),"Herbert")</f>
        <v>Herbert</v>
      </c>
      <c r="AA350" s="3">
        <v>1.0</v>
      </c>
      <c r="AB350" s="3">
        <f t="shared" si="7"/>
        <v>1</v>
      </c>
      <c r="AC350" s="3">
        <f t="shared" si="8"/>
        <v>0</v>
      </c>
      <c r="AD350" s="3">
        <f t="shared" si="9"/>
        <v>2.66</v>
      </c>
      <c r="AE350" s="3">
        <f t="shared" si="10"/>
        <v>-2</v>
      </c>
      <c r="AF350" s="3">
        <f t="shared" si="11"/>
        <v>-1</v>
      </c>
      <c r="AG350" s="3">
        <f t="shared" si="12"/>
        <v>-1</v>
      </c>
    </row>
    <row r="351">
      <c r="A351" s="1" t="s">
        <v>10</v>
      </c>
      <c r="B351" s="1" t="s">
        <v>485</v>
      </c>
      <c r="C351" s="1" t="s">
        <v>19</v>
      </c>
      <c r="D351" s="1" t="s">
        <v>135</v>
      </c>
      <c r="E351" s="1" t="s">
        <v>110</v>
      </c>
      <c r="F351" s="1" t="s">
        <v>525</v>
      </c>
      <c r="G351" s="1">
        <v>54.5</v>
      </c>
      <c r="H351" s="1" t="s">
        <v>60</v>
      </c>
      <c r="I351" s="1">
        <v>-116.0</v>
      </c>
      <c r="J351" s="1">
        <v>-0.123366285587911</v>
      </c>
      <c r="K351" s="1" t="s">
        <v>61</v>
      </c>
      <c r="L351" s="1" t="s">
        <v>61</v>
      </c>
      <c r="M351" s="1" t="s">
        <v>62</v>
      </c>
      <c r="N351" s="1">
        <v>-111.0</v>
      </c>
      <c r="O351" s="1">
        <v>0.0602791829856381</v>
      </c>
      <c r="P351" s="1" t="s">
        <v>61</v>
      </c>
      <c r="Q351" s="1" t="s">
        <v>61</v>
      </c>
      <c r="R351" s="1">
        <f t="shared" si="1"/>
        <v>0.06027918299</v>
      </c>
      <c r="S351" s="1">
        <f t="shared" si="2"/>
        <v>-111</v>
      </c>
      <c r="T351" s="1">
        <f t="shared" si="3"/>
        <v>1.900900901</v>
      </c>
      <c r="U351" s="1">
        <f t="shared" si="4"/>
        <v>0</v>
      </c>
      <c r="V351" s="3">
        <f t="shared" si="5"/>
        <v>2</v>
      </c>
      <c r="W351" s="3">
        <f t="shared" si="6"/>
        <v>2</v>
      </c>
      <c r="X351" s="3" t="str">
        <f>IFERROR(__xludf.DUMMYFUNCTION("split(B351,"" "")"),"J.")</f>
        <v>J.</v>
      </c>
      <c r="Y351" s="3" t="str">
        <f>IFERROR(__xludf.DUMMYFUNCTION("""COMPUTED_VALUE"""),"Dobbins")</f>
        <v>Dobbins</v>
      </c>
      <c r="AA351" s="3">
        <v>44.0</v>
      </c>
      <c r="AB351" s="3">
        <f t="shared" si="7"/>
        <v>0</v>
      </c>
      <c r="AC351" s="3">
        <f t="shared" si="8"/>
        <v>1</v>
      </c>
      <c r="AD351" s="3">
        <f t="shared" si="9"/>
        <v>1.801801802</v>
      </c>
      <c r="AE351" s="3">
        <f t="shared" si="10"/>
        <v>1.801801802</v>
      </c>
      <c r="AF351" s="3">
        <f t="shared" si="11"/>
        <v>1.801801802</v>
      </c>
      <c r="AG351" s="3">
        <f t="shared" si="12"/>
        <v>0.1926605505</v>
      </c>
    </row>
    <row r="352">
      <c r="A352" s="1" t="s">
        <v>13</v>
      </c>
      <c r="B352" s="1" t="s">
        <v>405</v>
      </c>
      <c r="C352" s="1" t="s">
        <v>21</v>
      </c>
      <c r="D352" s="1" t="s">
        <v>135</v>
      </c>
      <c r="E352" s="1" t="s">
        <v>110</v>
      </c>
      <c r="F352" s="1" t="s">
        <v>525</v>
      </c>
      <c r="G352" s="1">
        <v>170.5</v>
      </c>
      <c r="H352" s="1" t="s">
        <v>60</v>
      </c>
      <c r="I352" s="1">
        <v>-117.0</v>
      </c>
      <c r="J352" s="1">
        <v>0.0595695544654378</v>
      </c>
      <c r="K352" s="1" t="s">
        <v>61</v>
      </c>
      <c r="L352" s="1" t="s">
        <v>61</v>
      </c>
      <c r="M352" s="1" t="s">
        <v>62</v>
      </c>
      <c r="N352" s="1">
        <v>-115.0</v>
      </c>
      <c r="O352" s="1">
        <v>-0.133549871241162</v>
      </c>
      <c r="P352" s="1" t="s">
        <v>61</v>
      </c>
      <c r="Q352" s="1" t="s">
        <v>61</v>
      </c>
      <c r="R352" s="1">
        <f t="shared" si="1"/>
        <v>0.05956955447</v>
      </c>
      <c r="S352" s="1">
        <f t="shared" si="2"/>
        <v>-117</v>
      </c>
      <c r="T352" s="1">
        <f t="shared" si="3"/>
        <v>1.854700855</v>
      </c>
      <c r="U352" s="1">
        <f t="shared" si="4"/>
        <v>1</v>
      </c>
      <c r="V352" s="3">
        <f t="shared" si="5"/>
        <v>2</v>
      </c>
      <c r="W352" s="3">
        <f t="shared" si="6"/>
        <v>2</v>
      </c>
      <c r="X352" s="3" t="str">
        <f>IFERROR(__xludf.DUMMYFUNCTION("split(B352,"" "")"),"J.")</f>
        <v>J.</v>
      </c>
      <c r="Y352" s="3" t="str">
        <f>IFERROR(__xludf.DUMMYFUNCTION("""COMPUTED_VALUE"""),"Herbert")</f>
        <v>Herbert</v>
      </c>
      <c r="AA352" s="3">
        <v>125.0</v>
      </c>
      <c r="AB352" s="3">
        <f t="shared" si="7"/>
        <v>0</v>
      </c>
      <c r="AC352" s="3">
        <f t="shared" si="8"/>
        <v>0</v>
      </c>
      <c r="AD352" s="3">
        <f t="shared" si="9"/>
        <v>1.709401709</v>
      </c>
      <c r="AE352" s="3">
        <f t="shared" si="10"/>
        <v>-2</v>
      </c>
      <c r="AF352" s="3">
        <f t="shared" si="11"/>
        <v>-2</v>
      </c>
      <c r="AG352" s="3">
        <f t="shared" si="12"/>
        <v>-0.2668621701</v>
      </c>
    </row>
    <row r="353">
      <c r="A353" s="1" t="s">
        <v>12</v>
      </c>
      <c r="B353" s="1" t="s">
        <v>545</v>
      </c>
      <c r="C353" s="1" t="s">
        <v>20</v>
      </c>
      <c r="D353" s="1" t="s">
        <v>135</v>
      </c>
      <c r="E353" s="1" t="s">
        <v>110</v>
      </c>
      <c r="F353" s="1" t="s">
        <v>525</v>
      </c>
      <c r="G353" s="1">
        <v>2.5</v>
      </c>
      <c r="H353" s="1" t="s">
        <v>60</v>
      </c>
      <c r="I353" s="1">
        <v>110.0</v>
      </c>
      <c r="J353" s="1">
        <v>-0.119288248219047</v>
      </c>
      <c r="K353" s="1" t="s">
        <v>61</v>
      </c>
      <c r="L353" s="1" t="s">
        <v>61</v>
      </c>
      <c r="M353" s="1" t="s">
        <v>62</v>
      </c>
      <c r="N353" s="1">
        <v>-144.0</v>
      </c>
      <c r="O353" s="1">
        <v>0.0529335553704918</v>
      </c>
      <c r="P353" s="1" t="s">
        <v>61</v>
      </c>
      <c r="Q353" s="1" t="s">
        <v>61</v>
      </c>
      <c r="R353" s="1">
        <f t="shared" si="1"/>
        <v>0.05293355537</v>
      </c>
      <c r="S353" s="1">
        <f t="shared" si="2"/>
        <v>-144</v>
      </c>
      <c r="T353" s="1">
        <f t="shared" si="3"/>
        <v>1.694444444</v>
      </c>
      <c r="U353" s="1">
        <f t="shared" si="4"/>
        <v>0</v>
      </c>
      <c r="V353" s="3">
        <f t="shared" si="5"/>
        <v>2</v>
      </c>
      <c r="W353" s="3">
        <f t="shared" si="6"/>
        <v>3</v>
      </c>
      <c r="X353" s="3" t="str">
        <f>IFERROR(__xludf.DUMMYFUNCTION("split(B353,"" "")"),"H.")</f>
        <v>H.</v>
      </c>
      <c r="Y353" s="3" t="str">
        <f>IFERROR(__xludf.DUMMYFUNCTION("""COMPUTED_VALUE"""),"Hurst")</f>
        <v>Hurst</v>
      </c>
      <c r="AA353" s="3">
        <v>2.0</v>
      </c>
      <c r="AB353" s="3">
        <f t="shared" si="7"/>
        <v>0</v>
      </c>
      <c r="AC353" s="3">
        <f t="shared" si="8"/>
        <v>1</v>
      </c>
      <c r="AD353" s="3">
        <f t="shared" si="9"/>
        <v>1.388888889</v>
      </c>
      <c r="AE353" s="3">
        <f t="shared" si="10"/>
        <v>1.388888889</v>
      </c>
      <c r="AF353" s="3">
        <f t="shared" si="11"/>
        <v>2.083333333</v>
      </c>
      <c r="AG353" s="3">
        <f t="shared" si="12"/>
        <v>0.2</v>
      </c>
    </row>
    <row r="354">
      <c r="A354" s="1" t="s">
        <v>11</v>
      </c>
      <c r="B354" s="1" t="s">
        <v>506</v>
      </c>
      <c r="C354" s="1" t="s">
        <v>18</v>
      </c>
      <c r="D354" s="1" t="s">
        <v>135</v>
      </c>
      <c r="E354" s="1" t="s">
        <v>110</v>
      </c>
      <c r="F354" s="1" t="s">
        <v>525</v>
      </c>
      <c r="G354" s="1">
        <v>39.5</v>
      </c>
      <c r="H354" s="1" t="s">
        <v>60</v>
      </c>
      <c r="I354" s="1">
        <v>-105.0</v>
      </c>
      <c r="J354" s="1">
        <v>-0.0836907819692197</v>
      </c>
      <c r="K354" s="1" t="s">
        <v>61</v>
      </c>
      <c r="L354" s="1" t="s">
        <v>61</v>
      </c>
      <c r="M354" s="1" t="s">
        <v>62</v>
      </c>
      <c r="N354" s="1">
        <v>-122.0</v>
      </c>
      <c r="O354" s="1">
        <v>0.0219322979916749</v>
      </c>
      <c r="P354" s="1" t="s">
        <v>61</v>
      </c>
      <c r="Q354" s="1" t="s">
        <v>61</v>
      </c>
      <c r="R354" s="1">
        <f t="shared" si="1"/>
        <v>0.02193229799</v>
      </c>
      <c r="S354" s="1">
        <f t="shared" si="2"/>
        <v>-122</v>
      </c>
      <c r="T354" s="1">
        <f t="shared" si="3"/>
        <v>1.819672131</v>
      </c>
      <c r="U354" s="1">
        <f t="shared" si="4"/>
        <v>0</v>
      </c>
      <c r="V354" s="3">
        <f t="shared" si="5"/>
        <v>1</v>
      </c>
      <c r="W354" s="3">
        <f t="shared" si="6"/>
        <v>3</v>
      </c>
      <c r="X354" s="3" t="str">
        <f>IFERROR(__xludf.DUMMYFUNCTION("split(B354,"" "")"),"Q.")</f>
        <v>Q.</v>
      </c>
      <c r="Y354" s="3" t="str">
        <f>IFERROR(__xludf.DUMMYFUNCTION("""COMPUTED_VALUE"""),"Johnston")</f>
        <v>Johnston</v>
      </c>
      <c r="AA354" s="3">
        <v>44.0</v>
      </c>
      <c r="AB354" s="3">
        <f t="shared" si="7"/>
        <v>1</v>
      </c>
      <c r="AC354" s="3">
        <f t="shared" si="8"/>
        <v>0</v>
      </c>
      <c r="AD354" s="3">
        <f t="shared" si="9"/>
        <v>0.8196721311</v>
      </c>
      <c r="AE354" s="3">
        <f t="shared" si="10"/>
        <v>-1</v>
      </c>
      <c r="AF354" s="3">
        <f t="shared" si="11"/>
        <v>-3</v>
      </c>
      <c r="AG354" s="3">
        <f t="shared" si="12"/>
        <v>-0.1139240506</v>
      </c>
    </row>
    <row r="355">
      <c r="A355" s="1" t="s">
        <v>11</v>
      </c>
      <c r="B355" s="1" t="s">
        <v>485</v>
      </c>
      <c r="C355" s="1" t="s">
        <v>19</v>
      </c>
      <c r="D355" s="1" t="s">
        <v>135</v>
      </c>
      <c r="E355" s="1" t="s">
        <v>110</v>
      </c>
      <c r="F355" s="1" t="s">
        <v>525</v>
      </c>
      <c r="G355" s="1">
        <v>12.5</v>
      </c>
      <c r="H355" s="1" t="s">
        <v>60</v>
      </c>
      <c r="I355" s="1">
        <v>-110.0</v>
      </c>
      <c r="J355" s="1">
        <v>0.0172917311476354</v>
      </c>
      <c r="K355" s="1" t="s">
        <v>61</v>
      </c>
      <c r="L355" s="1" t="s">
        <v>61</v>
      </c>
      <c r="M355" s="1" t="s">
        <v>62</v>
      </c>
      <c r="N355" s="1">
        <v>-119.0</v>
      </c>
      <c r="O355" s="1">
        <v>-0.0844239891040826</v>
      </c>
      <c r="P355" s="1" t="s">
        <v>61</v>
      </c>
      <c r="Q355" s="1" t="s">
        <v>61</v>
      </c>
      <c r="R355" s="1">
        <f t="shared" si="1"/>
        <v>0.01729173115</v>
      </c>
      <c r="S355" s="1">
        <f t="shared" si="2"/>
        <v>-110</v>
      </c>
      <c r="T355" s="1">
        <f t="shared" si="3"/>
        <v>1.909090909</v>
      </c>
      <c r="U355" s="1">
        <f t="shared" si="4"/>
        <v>1</v>
      </c>
      <c r="V355" s="3">
        <f t="shared" si="5"/>
        <v>1</v>
      </c>
      <c r="W355" s="3">
        <f t="shared" si="6"/>
        <v>2</v>
      </c>
      <c r="X355" s="3" t="str">
        <f>IFERROR(__xludf.DUMMYFUNCTION("split(B355,"" "")"),"J.")</f>
        <v>J.</v>
      </c>
      <c r="Y355" s="3" t="str">
        <f>IFERROR(__xludf.DUMMYFUNCTION("""COMPUTED_VALUE"""),"Dobbins")</f>
        <v>Dobbins</v>
      </c>
      <c r="AA355" s="3">
        <v>10.0</v>
      </c>
      <c r="AB355" s="3">
        <f t="shared" si="7"/>
        <v>0</v>
      </c>
      <c r="AC355" s="3">
        <f t="shared" si="8"/>
        <v>0</v>
      </c>
      <c r="AD355" s="3">
        <f t="shared" si="9"/>
        <v>0.9090909091</v>
      </c>
      <c r="AE355" s="3">
        <f t="shared" si="10"/>
        <v>-1</v>
      </c>
      <c r="AF355" s="3">
        <f t="shared" si="11"/>
        <v>-2</v>
      </c>
      <c r="AG355" s="3">
        <f t="shared" si="12"/>
        <v>-0.2</v>
      </c>
    </row>
    <row r="356">
      <c r="A356" s="1" t="s">
        <v>9</v>
      </c>
      <c r="B356" s="1" t="s">
        <v>485</v>
      </c>
      <c r="C356" s="1" t="s">
        <v>19</v>
      </c>
      <c r="D356" s="1" t="s">
        <v>135</v>
      </c>
      <c r="E356" s="1" t="s">
        <v>110</v>
      </c>
      <c r="F356" s="1" t="s">
        <v>525</v>
      </c>
      <c r="G356" s="1">
        <v>70.5</v>
      </c>
      <c r="H356" s="1" t="s">
        <v>60</v>
      </c>
      <c r="I356" s="1">
        <v>-115.0</v>
      </c>
      <c r="J356" s="1">
        <v>-0.0913642795702951</v>
      </c>
      <c r="K356" s="1" t="s">
        <v>61</v>
      </c>
      <c r="L356" s="1" t="s">
        <v>61</v>
      </c>
      <c r="M356" s="1" t="s">
        <v>62</v>
      </c>
      <c r="N356" s="1">
        <v>-117.0</v>
      </c>
      <c r="O356" s="1">
        <v>0.0172910346816024</v>
      </c>
      <c r="P356" s="1" t="s">
        <v>61</v>
      </c>
      <c r="Q356" s="1" t="s">
        <v>61</v>
      </c>
      <c r="R356" s="1">
        <f t="shared" si="1"/>
        <v>0.01729103468</v>
      </c>
      <c r="S356" s="1">
        <f t="shared" si="2"/>
        <v>-117</v>
      </c>
      <c r="T356" s="1">
        <f t="shared" si="3"/>
        <v>1.854700855</v>
      </c>
      <c r="U356" s="1">
        <f t="shared" si="4"/>
        <v>0</v>
      </c>
      <c r="V356" s="3">
        <f t="shared" si="5"/>
        <v>1</v>
      </c>
      <c r="W356" s="3">
        <f t="shared" si="6"/>
        <v>2</v>
      </c>
      <c r="X356" s="3" t="str">
        <f>IFERROR(__xludf.DUMMYFUNCTION("split(B356,"" "")"),"J.")</f>
        <v>J.</v>
      </c>
      <c r="Y356" s="3" t="str">
        <f>IFERROR(__xludf.DUMMYFUNCTION("""COMPUTED_VALUE"""),"Dobbins")</f>
        <v>Dobbins</v>
      </c>
      <c r="AA356" s="3">
        <v>54.0</v>
      </c>
      <c r="AB356" s="3">
        <f t="shared" si="7"/>
        <v>0</v>
      </c>
      <c r="AC356" s="3">
        <f t="shared" si="8"/>
        <v>1</v>
      </c>
      <c r="AD356" s="3">
        <f t="shared" si="9"/>
        <v>0.8547008547</v>
      </c>
      <c r="AE356" s="3">
        <f t="shared" si="10"/>
        <v>0.8547008547</v>
      </c>
      <c r="AF356" s="3">
        <f t="shared" si="11"/>
        <v>1.709401709</v>
      </c>
      <c r="AG356" s="3">
        <f t="shared" si="12"/>
        <v>0.2340425532</v>
      </c>
    </row>
    <row r="357">
      <c r="A357" s="1" t="s">
        <v>8</v>
      </c>
      <c r="B357" s="1" t="s">
        <v>439</v>
      </c>
      <c r="C357" s="1" t="s">
        <v>19</v>
      </c>
      <c r="D357" s="1" t="s">
        <v>135</v>
      </c>
      <c r="E357" s="1" t="s">
        <v>110</v>
      </c>
      <c r="F357" s="1" t="s">
        <v>525</v>
      </c>
      <c r="G357" s="1">
        <v>10.5</v>
      </c>
      <c r="H357" s="1" t="s">
        <v>60</v>
      </c>
      <c r="I357" s="1">
        <v>-108.0</v>
      </c>
      <c r="J357" s="1">
        <v>-0.0916787274931249</v>
      </c>
      <c r="K357" s="1" t="s">
        <v>61</v>
      </c>
      <c r="L357" s="1" t="s">
        <v>61</v>
      </c>
      <c r="M357" s="1" t="s">
        <v>62</v>
      </c>
      <c r="N357" s="1">
        <v>-125.0</v>
      </c>
      <c r="O357" s="1">
        <v>0.0168998628809444</v>
      </c>
      <c r="P357" s="1" t="s">
        <v>61</v>
      </c>
      <c r="Q357" s="1" t="s">
        <v>61</v>
      </c>
      <c r="R357" s="1">
        <f t="shared" si="1"/>
        <v>0.01689986288</v>
      </c>
      <c r="S357" s="1">
        <f t="shared" si="2"/>
        <v>-125</v>
      </c>
      <c r="T357" s="1">
        <f t="shared" si="3"/>
        <v>1.8</v>
      </c>
      <c r="U357" s="1">
        <f t="shared" si="4"/>
        <v>0</v>
      </c>
      <c r="V357" s="3">
        <f t="shared" si="5"/>
        <v>1</v>
      </c>
      <c r="W357" s="3">
        <f t="shared" si="6"/>
        <v>3</v>
      </c>
      <c r="X357" s="3" t="str">
        <f>IFERROR(__xludf.DUMMYFUNCTION("split(B357,"" "")"),"G.")</f>
        <v>G.</v>
      </c>
      <c r="Y357" s="3" t="str">
        <f>IFERROR(__xludf.DUMMYFUNCTION("""COMPUTED_VALUE"""),"Edwards")</f>
        <v>Edwards</v>
      </c>
      <c r="AA357" s="3">
        <v>3.0</v>
      </c>
      <c r="AB357" s="3">
        <f t="shared" si="7"/>
        <v>0</v>
      </c>
      <c r="AC357" s="3">
        <f t="shared" si="8"/>
        <v>1</v>
      </c>
      <c r="AD357" s="3">
        <f t="shared" si="9"/>
        <v>0.8</v>
      </c>
      <c r="AE357" s="3">
        <f t="shared" si="10"/>
        <v>0.8</v>
      </c>
      <c r="AF357" s="3">
        <f t="shared" si="11"/>
        <v>2.4</v>
      </c>
      <c r="AG357" s="3">
        <f t="shared" si="12"/>
        <v>0.7142857143</v>
      </c>
    </row>
    <row r="358">
      <c r="A358" s="1" t="s">
        <v>11</v>
      </c>
      <c r="B358" s="1" t="s">
        <v>432</v>
      </c>
      <c r="C358" s="1" t="s">
        <v>18</v>
      </c>
      <c r="D358" s="1" t="s">
        <v>135</v>
      </c>
      <c r="E358" s="1" t="s">
        <v>110</v>
      </c>
      <c r="F358" s="1" t="s">
        <v>525</v>
      </c>
      <c r="G358" s="1">
        <v>37.5</v>
      </c>
      <c r="H358" s="1" t="s">
        <v>60</v>
      </c>
      <c r="I358" s="1">
        <v>-122.0</v>
      </c>
      <c r="J358" s="1">
        <v>-0.0826421797463062</v>
      </c>
      <c r="K358" s="1" t="s">
        <v>61</v>
      </c>
      <c r="L358" s="1" t="s">
        <v>61</v>
      </c>
      <c r="M358" s="1" t="s">
        <v>62</v>
      </c>
      <c r="N358" s="1">
        <v>-108.0</v>
      </c>
      <c r="O358" s="1">
        <v>0.0138601343682116</v>
      </c>
      <c r="P358" s="1" t="s">
        <v>61</v>
      </c>
      <c r="Q358" s="1" t="s">
        <v>61</v>
      </c>
      <c r="R358" s="1">
        <f t="shared" si="1"/>
        <v>0.01386013437</v>
      </c>
      <c r="S358" s="1">
        <f t="shared" si="2"/>
        <v>-108</v>
      </c>
      <c r="T358" s="1">
        <f t="shared" si="3"/>
        <v>1.925925926</v>
      </c>
      <c r="U358" s="1">
        <f t="shared" si="4"/>
        <v>0</v>
      </c>
      <c r="V358" s="3">
        <f t="shared" si="5"/>
        <v>1</v>
      </c>
      <c r="W358" s="3">
        <f t="shared" si="6"/>
        <v>2</v>
      </c>
      <c r="X358" s="3" t="str">
        <f>IFERROR(__xludf.DUMMYFUNCTION("split(B358,"" "")"),"L.")</f>
        <v>L.</v>
      </c>
      <c r="Y358" s="3" t="str">
        <f>IFERROR(__xludf.DUMMYFUNCTION("""COMPUTED_VALUE"""),"McConkey")</f>
        <v>McConkey</v>
      </c>
      <c r="AA358" s="3">
        <v>44.0</v>
      </c>
      <c r="AB358" s="3">
        <f t="shared" si="7"/>
        <v>1</v>
      </c>
      <c r="AC358" s="3">
        <f t="shared" si="8"/>
        <v>0</v>
      </c>
      <c r="AD358" s="3">
        <f t="shared" si="9"/>
        <v>0.9259259259</v>
      </c>
      <c r="AE358" s="3">
        <f t="shared" si="10"/>
        <v>-1</v>
      </c>
      <c r="AF358" s="3">
        <f t="shared" si="11"/>
        <v>-2</v>
      </c>
      <c r="AG358" s="3">
        <f t="shared" si="12"/>
        <v>-0.1733333333</v>
      </c>
    </row>
    <row r="359">
      <c r="A359" s="1" t="s">
        <v>10</v>
      </c>
      <c r="B359" s="1" t="s">
        <v>405</v>
      </c>
      <c r="C359" s="1" t="s">
        <v>21</v>
      </c>
      <c r="D359" s="1" t="s">
        <v>135</v>
      </c>
      <c r="E359" s="1" t="s">
        <v>110</v>
      </c>
      <c r="F359" s="1" t="s">
        <v>525</v>
      </c>
      <c r="G359" s="1">
        <v>10.5</v>
      </c>
      <c r="H359" s="1" t="s">
        <v>60</v>
      </c>
      <c r="I359" s="1">
        <v>-125.0</v>
      </c>
      <c r="J359" s="1">
        <v>-0.078796759088389</v>
      </c>
      <c r="K359" s="1" t="s">
        <v>61</v>
      </c>
      <c r="L359" s="1" t="s">
        <v>61</v>
      </c>
      <c r="M359" s="1" t="s">
        <v>62</v>
      </c>
      <c r="N359" s="1">
        <v>-105.0</v>
      </c>
      <c r="O359" s="1">
        <v>0.0110371187055213</v>
      </c>
      <c r="P359" s="1" t="s">
        <v>61</v>
      </c>
      <c r="Q359" s="1" t="s">
        <v>61</v>
      </c>
      <c r="R359" s="1">
        <f t="shared" si="1"/>
        <v>0.01103711871</v>
      </c>
      <c r="S359" s="1">
        <f t="shared" si="2"/>
        <v>-105</v>
      </c>
      <c r="T359" s="1">
        <f t="shared" si="3"/>
        <v>1.952380952</v>
      </c>
      <c r="U359" s="1">
        <f t="shared" si="4"/>
        <v>0</v>
      </c>
      <c r="V359" s="3">
        <f t="shared" si="5"/>
        <v>1</v>
      </c>
      <c r="W359" s="3">
        <f t="shared" si="6"/>
        <v>2</v>
      </c>
      <c r="X359" s="3" t="str">
        <f>IFERROR(__xludf.DUMMYFUNCTION("split(B359,"" "")"),"J.")</f>
        <v>J.</v>
      </c>
      <c r="Y359" s="3" t="str">
        <f>IFERROR(__xludf.DUMMYFUNCTION("""COMPUTED_VALUE"""),"Herbert")</f>
        <v>Herbert</v>
      </c>
      <c r="AA359" s="3">
        <v>0.0</v>
      </c>
      <c r="AB359" s="3">
        <f t="shared" si="7"/>
        <v>0</v>
      </c>
      <c r="AC359" s="3">
        <f t="shared" si="8"/>
        <v>1</v>
      </c>
      <c r="AD359" s="3">
        <f t="shared" si="9"/>
        <v>0.9523809524</v>
      </c>
      <c r="AE359" s="3">
        <f t="shared" si="10"/>
        <v>0.9523809524</v>
      </c>
      <c r="AF359" s="3">
        <f t="shared" si="11"/>
        <v>1.904761905</v>
      </c>
      <c r="AG359" s="3">
        <f t="shared" si="12"/>
        <v>1</v>
      </c>
    </row>
    <row r="360">
      <c r="A360" s="1" t="s">
        <v>10</v>
      </c>
      <c r="B360" s="1" t="s">
        <v>439</v>
      </c>
      <c r="C360" s="1" t="s">
        <v>19</v>
      </c>
      <c r="D360" s="1" t="s">
        <v>135</v>
      </c>
      <c r="E360" s="1" t="s">
        <v>110</v>
      </c>
      <c r="F360" s="1" t="s">
        <v>525</v>
      </c>
      <c r="G360" s="1">
        <v>37.5</v>
      </c>
      <c r="H360" s="1" t="s">
        <v>60</v>
      </c>
      <c r="I360" s="1">
        <v>-121.0</v>
      </c>
      <c r="J360" s="1">
        <v>-0.0661760779748822</v>
      </c>
      <c r="K360" s="1" t="s">
        <v>61</v>
      </c>
      <c r="L360" s="1" t="s">
        <v>61</v>
      </c>
      <c r="M360" s="1" t="s">
        <v>62</v>
      </c>
      <c r="N360" s="1">
        <v>-105.0</v>
      </c>
      <c r="O360" s="1">
        <v>0.00650415762161671</v>
      </c>
      <c r="P360" s="1" t="s">
        <v>61</v>
      </c>
      <c r="Q360" s="1" t="s">
        <v>61</v>
      </c>
      <c r="R360" s="1">
        <f t="shared" si="1"/>
        <v>0.006504157622</v>
      </c>
      <c r="S360" s="1">
        <f t="shared" si="2"/>
        <v>-105</v>
      </c>
      <c r="T360" s="1">
        <f t="shared" si="3"/>
        <v>1.952380952</v>
      </c>
      <c r="U360" s="1">
        <f t="shared" si="4"/>
        <v>0</v>
      </c>
      <c r="V360" s="3">
        <f t="shared" si="5"/>
        <v>1</v>
      </c>
      <c r="W360" s="3">
        <f t="shared" si="6"/>
        <v>2</v>
      </c>
      <c r="X360" s="3" t="str">
        <f>IFERROR(__xludf.DUMMYFUNCTION("split(B360,"" "")"),"G.")</f>
        <v>G.</v>
      </c>
      <c r="Y360" s="3" t="str">
        <f>IFERROR(__xludf.DUMMYFUNCTION("""COMPUTED_VALUE"""),"Edwards")</f>
        <v>Edwards</v>
      </c>
      <c r="AA360" s="3">
        <v>9.0</v>
      </c>
      <c r="AB360" s="3">
        <f t="shared" si="7"/>
        <v>0</v>
      </c>
      <c r="AC360" s="3">
        <f t="shared" si="8"/>
        <v>1</v>
      </c>
      <c r="AD360" s="3">
        <f t="shared" si="9"/>
        <v>0.9523809524</v>
      </c>
      <c r="AE360" s="3">
        <f t="shared" si="10"/>
        <v>0.9523809524</v>
      </c>
      <c r="AF360" s="3">
        <f t="shared" si="11"/>
        <v>1.904761905</v>
      </c>
      <c r="AG360" s="3">
        <f t="shared" si="12"/>
        <v>0.76</v>
      </c>
    </row>
    <row r="361">
      <c r="A361" s="1" t="s">
        <v>12</v>
      </c>
      <c r="B361" s="1" t="s">
        <v>133</v>
      </c>
      <c r="C361" s="1" t="s">
        <v>19</v>
      </c>
      <c r="D361" s="1" t="s">
        <v>134</v>
      </c>
      <c r="E361" s="1" t="s">
        <v>57</v>
      </c>
      <c r="F361" s="1" t="s">
        <v>519</v>
      </c>
      <c r="G361" s="1">
        <v>1.5</v>
      </c>
      <c r="H361" s="1" t="s">
        <v>60</v>
      </c>
      <c r="I361" s="1">
        <v>-153.0</v>
      </c>
      <c r="J361" s="1">
        <v>-0.261316154802371</v>
      </c>
      <c r="K361" s="1" t="s">
        <v>61</v>
      </c>
      <c r="L361" s="1" t="s">
        <v>61</v>
      </c>
      <c r="M361" s="1" t="s">
        <v>62</v>
      </c>
      <c r="N361" s="1">
        <v>117.0</v>
      </c>
      <c r="O361" s="1">
        <v>0.195755701221198</v>
      </c>
      <c r="P361" s="1" t="s">
        <v>61</v>
      </c>
      <c r="Q361" s="1" t="s">
        <v>61</v>
      </c>
      <c r="R361" s="1">
        <f t="shared" si="1"/>
        <v>0.1957557012</v>
      </c>
      <c r="S361" s="1">
        <f t="shared" si="2"/>
        <v>117</v>
      </c>
      <c r="T361" s="1">
        <f t="shared" si="3"/>
        <v>2.17</v>
      </c>
      <c r="U361" s="1">
        <f t="shared" si="4"/>
        <v>0</v>
      </c>
      <c r="V361" s="3">
        <f t="shared" si="5"/>
        <v>3</v>
      </c>
      <c r="W361" s="3">
        <f t="shared" si="6"/>
        <v>1</v>
      </c>
      <c r="X361" s="3" t="str">
        <f>IFERROR(__xludf.DUMMYFUNCTION("split(B361,"" "")"),"Z.")</f>
        <v>Z.</v>
      </c>
      <c r="Y361" s="3" t="str">
        <f>IFERROR(__xludf.DUMMYFUNCTION("""COMPUTED_VALUE"""),"White")</f>
        <v>White</v>
      </c>
      <c r="AA361" s="3">
        <v>0.0</v>
      </c>
      <c r="AB361" s="3">
        <f t="shared" si="7"/>
        <v>0</v>
      </c>
      <c r="AC361" s="3">
        <f t="shared" si="8"/>
        <v>1</v>
      </c>
      <c r="AD361" s="3">
        <f t="shared" si="9"/>
        <v>3.51</v>
      </c>
      <c r="AE361" s="3">
        <f t="shared" si="10"/>
        <v>3.51</v>
      </c>
      <c r="AF361" s="3">
        <f t="shared" si="11"/>
        <v>1.17</v>
      </c>
      <c r="AG361" s="3">
        <f t="shared" si="12"/>
        <v>1</v>
      </c>
    </row>
    <row r="362">
      <c r="A362" s="1" t="s">
        <v>12</v>
      </c>
      <c r="B362" s="1" t="s">
        <v>486</v>
      </c>
      <c r="C362" s="1" t="s">
        <v>18</v>
      </c>
      <c r="D362" s="1" t="s">
        <v>134</v>
      </c>
      <c r="E362" s="1" t="s">
        <v>57</v>
      </c>
      <c r="F362" s="1" t="s">
        <v>519</v>
      </c>
      <c r="G362" s="1">
        <v>1.5</v>
      </c>
      <c r="H362" s="1" t="s">
        <v>60</v>
      </c>
      <c r="I362" s="1">
        <v>-123.0</v>
      </c>
      <c r="J362" s="1">
        <v>-0.209662863699551</v>
      </c>
      <c r="K362" s="1" t="s">
        <v>61</v>
      </c>
      <c r="L362" s="1" t="s">
        <v>61</v>
      </c>
      <c r="M362" s="1" t="s">
        <v>62</v>
      </c>
      <c r="N362" s="1">
        <v>-107.0</v>
      </c>
      <c r="O362" s="1">
        <v>0.141184129987198</v>
      </c>
      <c r="P362" s="1" t="s">
        <v>61</v>
      </c>
      <c r="Q362" s="1" t="s">
        <v>61</v>
      </c>
      <c r="R362" s="1">
        <f t="shared" si="1"/>
        <v>0.14118413</v>
      </c>
      <c r="S362" s="1">
        <f t="shared" si="2"/>
        <v>-107</v>
      </c>
      <c r="T362" s="1">
        <f t="shared" si="3"/>
        <v>1.934579439</v>
      </c>
      <c r="U362" s="1">
        <f t="shared" si="4"/>
        <v>0</v>
      </c>
      <c r="V362" s="3">
        <f t="shared" si="5"/>
        <v>3</v>
      </c>
      <c r="W362" s="3">
        <f t="shared" si="6"/>
        <v>2</v>
      </c>
      <c r="X362" s="3" t="str">
        <f>IFERROR(__xludf.DUMMYFUNCTION("split(B362,"" "")"),"T.")</f>
        <v>T.</v>
      </c>
      <c r="Y362" s="3" t="str">
        <f>IFERROR(__xludf.DUMMYFUNCTION("""COMPUTED_VALUE"""),"Tucker")</f>
        <v>Tucker</v>
      </c>
      <c r="AA362" s="3">
        <v>7.0</v>
      </c>
      <c r="AB362" s="3">
        <f t="shared" si="7"/>
        <v>1</v>
      </c>
      <c r="AC362" s="3">
        <f t="shared" si="8"/>
        <v>0</v>
      </c>
      <c r="AD362" s="3">
        <f t="shared" si="9"/>
        <v>2.803738318</v>
      </c>
      <c r="AE362" s="3">
        <f t="shared" si="10"/>
        <v>-3</v>
      </c>
      <c r="AF362" s="3">
        <f t="shared" si="11"/>
        <v>-2</v>
      </c>
      <c r="AG362" s="3">
        <f t="shared" si="12"/>
        <v>-3.666666667</v>
      </c>
    </row>
    <row r="363">
      <c r="A363" s="1" t="s">
        <v>9</v>
      </c>
      <c r="B363" s="1" t="s">
        <v>486</v>
      </c>
      <c r="C363" s="1" t="s">
        <v>18</v>
      </c>
      <c r="D363" s="1" t="s">
        <v>134</v>
      </c>
      <c r="E363" s="1" t="s">
        <v>57</v>
      </c>
      <c r="F363" s="1" t="s">
        <v>519</v>
      </c>
      <c r="G363" s="1">
        <v>19.5</v>
      </c>
      <c r="H363" s="1" t="s">
        <v>60</v>
      </c>
      <c r="I363" s="1">
        <v>-117.0</v>
      </c>
      <c r="J363" s="1">
        <v>0.115049657377915</v>
      </c>
      <c r="K363" s="1" t="s">
        <v>61</v>
      </c>
      <c r="L363" s="1" t="s">
        <v>61</v>
      </c>
      <c r="M363" s="1" t="s">
        <v>62</v>
      </c>
      <c r="N363" s="1">
        <v>-115.0</v>
      </c>
      <c r="O363" s="1">
        <v>-0.189058916272831</v>
      </c>
      <c r="P363" s="1" t="s">
        <v>61</v>
      </c>
      <c r="Q363" s="1" t="s">
        <v>61</v>
      </c>
      <c r="R363" s="1">
        <f t="shared" si="1"/>
        <v>0.1150496574</v>
      </c>
      <c r="S363" s="1">
        <f t="shared" si="2"/>
        <v>-117</v>
      </c>
      <c r="T363" s="1">
        <f t="shared" si="3"/>
        <v>1.854700855</v>
      </c>
      <c r="U363" s="1">
        <f t="shared" si="4"/>
        <v>1</v>
      </c>
      <c r="V363" s="3">
        <f t="shared" si="5"/>
        <v>3</v>
      </c>
      <c r="W363" s="3">
        <f t="shared" si="6"/>
        <v>2</v>
      </c>
      <c r="X363" s="3" t="str">
        <f>IFERROR(__xludf.DUMMYFUNCTION("split(B363,"" "")"),"T.")</f>
        <v>T.</v>
      </c>
      <c r="Y363" s="3" t="str">
        <f>IFERROR(__xludf.DUMMYFUNCTION("""COMPUTED_VALUE"""),"Tucker")</f>
        <v>Tucker</v>
      </c>
      <c r="AA363" s="3">
        <v>96.0</v>
      </c>
      <c r="AB363" s="3">
        <f t="shared" si="7"/>
        <v>1</v>
      </c>
      <c r="AC363" s="3">
        <f t="shared" si="8"/>
        <v>1</v>
      </c>
      <c r="AD363" s="3">
        <f t="shared" si="9"/>
        <v>2.564102564</v>
      </c>
      <c r="AE363" s="3">
        <f t="shared" si="10"/>
        <v>2.564102564</v>
      </c>
      <c r="AF363" s="3">
        <f t="shared" si="11"/>
        <v>1.709401709</v>
      </c>
      <c r="AG363" s="3">
        <f t="shared" si="12"/>
        <v>3.923076923</v>
      </c>
    </row>
    <row r="364">
      <c r="A364" s="1" t="s">
        <v>12</v>
      </c>
      <c r="B364" s="1" t="s">
        <v>494</v>
      </c>
      <c r="C364" s="1" t="s">
        <v>20</v>
      </c>
      <c r="D364" s="1" t="s">
        <v>134</v>
      </c>
      <c r="E364" s="1" t="s">
        <v>57</v>
      </c>
      <c r="F364" s="1" t="s">
        <v>519</v>
      </c>
      <c r="G364" s="1">
        <v>4.5</v>
      </c>
      <c r="H364" s="1" t="s">
        <v>60</v>
      </c>
      <c r="I364" s="1">
        <v>-133.0</v>
      </c>
      <c r="J364" s="1">
        <v>-0.167258369098712</v>
      </c>
      <c r="K364" s="1" t="s">
        <v>61</v>
      </c>
      <c r="L364" s="1" t="s">
        <v>61</v>
      </c>
      <c r="M364" s="1" t="s">
        <v>62</v>
      </c>
      <c r="N364" s="1">
        <v>102.0</v>
      </c>
      <c r="O364" s="1">
        <v>0.101399999999999</v>
      </c>
      <c r="P364" s="1" t="s">
        <v>61</v>
      </c>
      <c r="Q364" s="1" t="s">
        <v>61</v>
      </c>
      <c r="R364" s="1">
        <f t="shared" si="1"/>
        <v>0.1014</v>
      </c>
      <c r="S364" s="1">
        <f t="shared" si="2"/>
        <v>102</v>
      </c>
      <c r="T364" s="1">
        <f t="shared" si="3"/>
        <v>2.02</v>
      </c>
      <c r="U364" s="1">
        <f t="shared" si="4"/>
        <v>0</v>
      </c>
      <c r="V364" s="3">
        <f t="shared" si="5"/>
        <v>3</v>
      </c>
      <c r="W364" s="3">
        <f t="shared" si="6"/>
        <v>2</v>
      </c>
      <c r="X364" s="3" t="str">
        <f>IFERROR(__xludf.DUMMYFUNCTION("split(B364,"" "")"),"B.")</f>
        <v>B.</v>
      </c>
      <c r="Y364" s="3" t="str">
        <f>IFERROR(__xludf.DUMMYFUNCTION("""COMPUTED_VALUE"""),"Bowers")</f>
        <v>Bowers</v>
      </c>
      <c r="AA364" s="3">
        <v>3.0</v>
      </c>
      <c r="AB364" s="3">
        <f t="shared" si="7"/>
        <v>0</v>
      </c>
      <c r="AC364" s="3">
        <f t="shared" si="8"/>
        <v>1</v>
      </c>
      <c r="AD364" s="3">
        <f t="shared" si="9"/>
        <v>3.06</v>
      </c>
      <c r="AE364" s="3">
        <f t="shared" si="10"/>
        <v>3.06</v>
      </c>
      <c r="AF364" s="3">
        <f t="shared" si="11"/>
        <v>2.04</v>
      </c>
      <c r="AG364" s="3">
        <f t="shared" si="12"/>
        <v>0.3333333333</v>
      </c>
    </row>
    <row r="365">
      <c r="A365" s="1" t="s">
        <v>11</v>
      </c>
      <c r="B365" s="1" t="s">
        <v>473</v>
      </c>
      <c r="C365" s="1" t="s">
        <v>19</v>
      </c>
      <c r="D365" s="1" t="s">
        <v>134</v>
      </c>
      <c r="E365" s="1" t="s">
        <v>57</v>
      </c>
      <c r="F365" s="1" t="s">
        <v>519</v>
      </c>
      <c r="G365" s="1">
        <v>5.5</v>
      </c>
      <c r="H365" s="1" t="s">
        <v>60</v>
      </c>
      <c r="I365" s="1">
        <v>-118.0</v>
      </c>
      <c r="J365" s="1">
        <v>0.0908534058121813</v>
      </c>
      <c r="K365" s="1" t="s">
        <v>61</v>
      </c>
      <c r="L365" s="1" t="s">
        <v>61</v>
      </c>
      <c r="M365" s="1" t="s">
        <v>62</v>
      </c>
      <c r="N365" s="1">
        <v>-109.0</v>
      </c>
      <c r="O365" s="1">
        <v>-0.153660393727705</v>
      </c>
      <c r="P365" s="1" t="s">
        <v>61</v>
      </c>
      <c r="Q365" s="1" t="s">
        <v>61</v>
      </c>
      <c r="R365" s="1">
        <f t="shared" si="1"/>
        <v>0.09085340581</v>
      </c>
      <c r="S365" s="1">
        <f t="shared" si="2"/>
        <v>-118</v>
      </c>
      <c r="T365" s="1">
        <f t="shared" si="3"/>
        <v>1.847457627</v>
      </c>
      <c r="U365" s="1">
        <f t="shared" si="4"/>
        <v>1</v>
      </c>
      <c r="V365" s="3">
        <f t="shared" si="5"/>
        <v>2</v>
      </c>
      <c r="W365" s="3">
        <f t="shared" si="6"/>
        <v>3</v>
      </c>
      <c r="X365" s="3" t="str">
        <f>IFERROR(__xludf.DUMMYFUNCTION("split(B365,"" "")"),"A.")</f>
        <v>A.</v>
      </c>
      <c r="Y365" s="3" t="str">
        <f>IFERROR(__xludf.DUMMYFUNCTION("""COMPUTED_VALUE"""),"Mattison")</f>
        <v>Mattison</v>
      </c>
      <c r="AA365" s="3">
        <v>37.0</v>
      </c>
      <c r="AB365" s="3">
        <f t="shared" si="7"/>
        <v>1</v>
      </c>
      <c r="AC365" s="3">
        <f t="shared" si="8"/>
        <v>1</v>
      </c>
      <c r="AD365" s="3">
        <f t="shared" si="9"/>
        <v>1.694915254</v>
      </c>
      <c r="AE365" s="3">
        <f t="shared" si="10"/>
        <v>1.694915254</v>
      </c>
      <c r="AF365" s="3">
        <f t="shared" si="11"/>
        <v>2.542372881</v>
      </c>
      <c r="AG365" s="3">
        <f t="shared" si="12"/>
        <v>5.727272727</v>
      </c>
    </row>
    <row r="366">
      <c r="A366" s="1" t="s">
        <v>11</v>
      </c>
      <c r="B366" s="1" t="s">
        <v>494</v>
      </c>
      <c r="C366" s="1" t="s">
        <v>20</v>
      </c>
      <c r="D366" s="1" t="s">
        <v>134</v>
      </c>
      <c r="E366" s="1" t="s">
        <v>57</v>
      </c>
      <c r="F366" s="1" t="s">
        <v>519</v>
      </c>
      <c r="G366" s="1">
        <v>47.5</v>
      </c>
      <c r="H366" s="1" t="s">
        <v>60</v>
      </c>
      <c r="I366" s="1">
        <v>-123.0</v>
      </c>
      <c r="J366" s="1">
        <v>-0.129262381278161</v>
      </c>
      <c r="K366" s="1" t="s">
        <v>61</v>
      </c>
      <c r="L366" s="1" t="s">
        <v>61</v>
      </c>
      <c r="M366" s="1" t="s">
        <v>62</v>
      </c>
      <c r="N366" s="1">
        <v>-106.0</v>
      </c>
      <c r="O366" s="1">
        <v>0.0631425062137186</v>
      </c>
      <c r="P366" s="1" t="s">
        <v>61</v>
      </c>
      <c r="Q366" s="1" t="s">
        <v>61</v>
      </c>
      <c r="R366" s="1">
        <f t="shared" si="1"/>
        <v>0.06314250621</v>
      </c>
      <c r="S366" s="1">
        <f t="shared" si="2"/>
        <v>-106</v>
      </c>
      <c r="T366" s="1">
        <f t="shared" si="3"/>
        <v>1.943396226</v>
      </c>
      <c r="U366" s="1">
        <f t="shared" si="4"/>
        <v>0</v>
      </c>
      <c r="V366" s="3">
        <f t="shared" si="5"/>
        <v>2</v>
      </c>
      <c r="W366" s="3">
        <f t="shared" si="6"/>
        <v>2</v>
      </c>
      <c r="X366" s="3" t="str">
        <f>IFERROR(__xludf.DUMMYFUNCTION("split(B366,"" "")"),"B.")</f>
        <v>B.</v>
      </c>
      <c r="Y366" s="3" t="str">
        <f>IFERROR(__xludf.DUMMYFUNCTION("""COMPUTED_VALUE"""),"Bowers")</f>
        <v>Bowers</v>
      </c>
      <c r="AA366" s="3">
        <v>41.0</v>
      </c>
      <c r="AB366" s="3">
        <f t="shared" si="7"/>
        <v>0</v>
      </c>
      <c r="AC366" s="3">
        <f t="shared" si="8"/>
        <v>1</v>
      </c>
      <c r="AD366" s="3">
        <f t="shared" si="9"/>
        <v>1.886792453</v>
      </c>
      <c r="AE366" s="3">
        <f t="shared" si="10"/>
        <v>1.886792453</v>
      </c>
      <c r="AF366" s="3">
        <f t="shared" si="11"/>
        <v>1.886792453</v>
      </c>
      <c r="AG366" s="3">
        <f t="shared" si="12"/>
        <v>0.1368421053</v>
      </c>
    </row>
    <row r="367">
      <c r="A367" s="1" t="s">
        <v>9</v>
      </c>
      <c r="B367" s="1" t="s">
        <v>473</v>
      </c>
      <c r="C367" s="1" t="s">
        <v>19</v>
      </c>
      <c r="D367" s="1" t="s">
        <v>134</v>
      </c>
      <c r="E367" s="1" t="s">
        <v>57</v>
      </c>
      <c r="F367" s="1" t="s">
        <v>519</v>
      </c>
      <c r="G367" s="1">
        <v>35.5</v>
      </c>
      <c r="H367" s="1" t="s">
        <v>60</v>
      </c>
      <c r="I367" s="1">
        <v>-115.0</v>
      </c>
      <c r="J367" s="1">
        <v>0.0472622952540741</v>
      </c>
      <c r="K367" s="1" t="s">
        <v>61</v>
      </c>
      <c r="L367" s="1" t="s">
        <v>61</v>
      </c>
      <c r="M367" s="1" t="s">
        <v>62</v>
      </c>
      <c r="N367" s="1">
        <v>-115.0</v>
      </c>
      <c r="O367" s="1">
        <v>-0.117006639542185</v>
      </c>
      <c r="P367" s="1" t="s">
        <v>61</v>
      </c>
      <c r="Q367" s="1" t="s">
        <v>61</v>
      </c>
      <c r="R367" s="1">
        <f t="shared" si="1"/>
        <v>0.04726229525</v>
      </c>
      <c r="S367" s="1">
        <f t="shared" si="2"/>
        <v>-115</v>
      </c>
      <c r="T367" s="1">
        <f t="shared" si="3"/>
        <v>1.869565217</v>
      </c>
      <c r="U367" s="1">
        <f t="shared" si="4"/>
        <v>1</v>
      </c>
      <c r="V367" s="3">
        <f t="shared" si="5"/>
        <v>1</v>
      </c>
      <c r="W367" s="3">
        <f t="shared" si="6"/>
        <v>2</v>
      </c>
      <c r="X367" s="3" t="str">
        <f>IFERROR(__xludf.DUMMYFUNCTION("split(B367,"" "")"),"A.")</f>
        <v>A.</v>
      </c>
      <c r="Y367" s="3" t="str">
        <f>IFERROR(__xludf.DUMMYFUNCTION("""COMPUTED_VALUE"""),"Mattison")</f>
        <v>Mattison</v>
      </c>
      <c r="AA367" s="3">
        <v>44.0</v>
      </c>
      <c r="AB367" s="3">
        <f t="shared" si="7"/>
        <v>1</v>
      </c>
      <c r="AC367" s="3">
        <f t="shared" si="8"/>
        <v>1</v>
      </c>
      <c r="AD367" s="3">
        <f t="shared" si="9"/>
        <v>0.8695652174</v>
      </c>
      <c r="AE367" s="3">
        <f t="shared" si="10"/>
        <v>0.8695652174</v>
      </c>
      <c r="AF367" s="3">
        <f t="shared" si="11"/>
        <v>1.739130435</v>
      </c>
      <c r="AG367" s="3">
        <f t="shared" si="12"/>
        <v>0.2394366197</v>
      </c>
    </row>
    <row r="368">
      <c r="A368" s="1" t="s">
        <v>9</v>
      </c>
      <c r="B368" s="1" t="s">
        <v>133</v>
      </c>
      <c r="C368" s="1" t="s">
        <v>19</v>
      </c>
      <c r="D368" s="1" t="s">
        <v>134</v>
      </c>
      <c r="E368" s="1" t="s">
        <v>57</v>
      </c>
      <c r="F368" s="1" t="s">
        <v>519</v>
      </c>
      <c r="G368" s="1">
        <v>75.5</v>
      </c>
      <c r="H368" s="1" t="s">
        <v>60</v>
      </c>
      <c r="I368" s="1">
        <v>-115.0</v>
      </c>
      <c r="J368" s="1">
        <v>-0.109875212810189</v>
      </c>
      <c r="K368" s="1" t="s">
        <v>61</v>
      </c>
      <c r="L368" s="1" t="s">
        <v>61</v>
      </c>
      <c r="M368" s="1" t="s">
        <v>62</v>
      </c>
      <c r="N368" s="1">
        <v>-115.0</v>
      </c>
      <c r="O368" s="1">
        <v>0.0400764947317182</v>
      </c>
      <c r="P368" s="1" t="s">
        <v>61</v>
      </c>
      <c r="Q368" s="1" t="s">
        <v>61</v>
      </c>
      <c r="R368" s="1">
        <f t="shared" si="1"/>
        <v>0.04007649473</v>
      </c>
      <c r="S368" s="1">
        <f t="shared" si="2"/>
        <v>-115</v>
      </c>
      <c r="T368" s="1">
        <f t="shared" si="3"/>
        <v>1.869565217</v>
      </c>
      <c r="U368" s="1">
        <f t="shared" si="4"/>
        <v>0</v>
      </c>
      <c r="V368" s="3">
        <f t="shared" si="5"/>
        <v>1</v>
      </c>
      <c r="W368" s="3">
        <f t="shared" si="6"/>
        <v>2</v>
      </c>
      <c r="X368" s="3" t="str">
        <f>IFERROR(__xludf.DUMMYFUNCTION("split(B368,"" "")"),"Z.")</f>
        <v>Z.</v>
      </c>
      <c r="Y368" s="3" t="str">
        <f>IFERROR(__xludf.DUMMYFUNCTION("""COMPUTED_VALUE"""),"White")</f>
        <v>White</v>
      </c>
      <c r="AA368" s="3">
        <v>34.0</v>
      </c>
      <c r="AB368" s="3">
        <f t="shared" si="7"/>
        <v>0</v>
      </c>
      <c r="AC368" s="3">
        <f t="shared" si="8"/>
        <v>1</v>
      </c>
      <c r="AD368" s="3">
        <f t="shared" si="9"/>
        <v>0.8695652174</v>
      </c>
      <c r="AE368" s="3">
        <f t="shared" si="10"/>
        <v>0.8695652174</v>
      </c>
      <c r="AF368" s="3">
        <f t="shared" si="11"/>
        <v>1.739130435</v>
      </c>
      <c r="AG368" s="3">
        <f t="shared" si="12"/>
        <v>0.5496688742</v>
      </c>
    </row>
    <row r="369">
      <c r="A369" s="1" t="s">
        <v>8</v>
      </c>
      <c r="B369" s="1" t="s">
        <v>473</v>
      </c>
      <c r="C369" s="1" t="s">
        <v>19</v>
      </c>
      <c r="D369" s="1" t="s">
        <v>134</v>
      </c>
      <c r="E369" s="1" t="s">
        <v>57</v>
      </c>
      <c r="F369" s="1" t="s">
        <v>519</v>
      </c>
      <c r="G369" s="1">
        <v>6.5</v>
      </c>
      <c r="H369" s="1" t="s">
        <v>60</v>
      </c>
      <c r="I369" s="1">
        <v>-103.0</v>
      </c>
      <c r="J369" s="1">
        <v>-0.107226534195927</v>
      </c>
      <c r="K369" s="1" t="s">
        <v>61</v>
      </c>
      <c r="L369" s="1" t="s">
        <v>61</v>
      </c>
      <c r="M369" s="1" t="s">
        <v>62</v>
      </c>
      <c r="N369" s="1">
        <v>-128.0</v>
      </c>
      <c r="O369" s="1">
        <v>0.0384251168660956</v>
      </c>
      <c r="P369" s="1" t="s">
        <v>61</v>
      </c>
      <c r="Q369" s="1" t="s">
        <v>61</v>
      </c>
      <c r="R369" s="1">
        <f t="shared" si="1"/>
        <v>0.03842511687</v>
      </c>
      <c r="S369" s="1">
        <f t="shared" si="2"/>
        <v>-128</v>
      </c>
      <c r="T369" s="1">
        <f t="shared" si="3"/>
        <v>1.78125</v>
      </c>
      <c r="U369" s="1">
        <f t="shared" si="4"/>
        <v>0</v>
      </c>
      <c r="V369" s="3">
        <f t="shared" si="5"/>
        <v>1</v>
      </c>
      <c r="W369" s="3">
        <f t="shared" si="6"/>
        <v>3</v>
      </c>
      <c r="X369" s="3" t="str">
        <f>IFERROR(__xludf.DUMMYFUNCTION("split(B369,"" "")"),"A.")</f>
        <v>A.</v>
      </c>
      <c r="Y369" s="3" t="str">
        <f>IFERROR(__xludf.DUMMYFUNCTION("""COMPUTED_VALUE"""),"Mattison")</f>
        <v>Mattison</v>
      </c>
      <c r="AA369" s="3">
        <v>3.0</v>
      </c>
      <c r="AB369" s="3">
        <f t="shared" si="7"/>
        <v>0</v>
      </c>
      <c r="AC369" s="3">
        <f t="shared" si="8"/>
        <v>1</v>
      </c>
      <c r="AD369" s="3">
        <f t="shared" si="9"/>
        <v>0.78125</v>
      </c>
      <c r="AE369" s="3">
        <f t="shared" si="10"/>
        <v>0.78125</v>
      </c>
      <c r="AF369" s="3">
        <f t="shared" si="11"/>
        <v>2.34375</v>
      </c>
      <c r="AG369" s="3">
        <f t="shared" si="12"/>
        <v>0.5384615385</v>
      </c>
    </row>
    <row r="370">
      <c r="A370" s="1" t="s">
        <v>10</v>
      </c>
      <c r="B370" s="1" t="s">
        <v>133</v>
      </c>
      <c r="C370" s="1" t="s">
        <v>19</v>
      </c>
      <c r="D370" s="1" t="s">
        <v>134</v>
      </c>
      <c r="E370" s="1" t="s">
        <v>57</v>
      </c>
      <c r="F370" s="1" t="s">
        <v>519</v>
      </c>
      <c r="G370" s="1">
        <v>61.5</v>
      </c>
      <c r="H370" s="1" t="s">
        <v>60</v>
      </c>
      <c r="I370" s="1">
        <v>-117.0</v>
      </c>
      <c r="J370" s="1">
        <v>-0.0948559196921288</v>
      </c>
      <c r="K370" s="1" t="s">
        <v>61</v>
      </c>
      <c r="L370" s="1" t="s">
        <v>61</v>
      </c>
      <c r="M370" s="1" t="s">
        <v>62</v>
      </c>
      <c r="N370" s="1">
        <v>-109.0</v>
      </c>
      <c r="O370" s="1">
        <v>0.0341649778074109</v>
      </c>
      <c r="P370" s="1" t="s">
        <v>61</v>
      </c>
      <c r="Q370" s="1" t="s">
        <v>61</v>
      </c>
      <c r="R370" s="1">
        <f t="shared" si="1"/>
        <v>0.03416497781</v>
      </c>
      <c r="S370" s="1">
        <f t="shared" si="2"/>
        <v>-109</v>
      </c>
      <c r="T370" s="1">
        <f t="shared" si="3"/>
        <v>1.917431193</v>
      </c>
      <c r="U370" s="1">
        <f t="shared" si="4"/>
        <v>0</v>
      </c>
      <c r="V370" s="3">
        <f t="shared" si="5"/>
        <v>1</v>
      </c>
      <c r="W370" s="3">
        <f t="shared" si="6"/>
        <v>2</v>
      </c>
      <c r="X370" s="3" t="str">
        <f>IFERROR(__xludf.DUMMYFUNCTION("split(B370,"" "")"),"Z.")</f>
        <v>Z.</v>
      </c>
      <c r="Y370" s="3" t="str">
        <f>IFERROR(__xludf.DUMMYFUNCTION("""COMPUTED_VALUE"""),"White")</f>
        <v>White</v>
      </c>
      <c r="AA370" s="3">
        <v>34.0</v>
      </c>
      <c r="AB370" s="3">
        <f t="shared" si="7"/>
        <v>0</v>
      </c>
      <c r="AC370" s="3">
        <f t="shared" si="8"/>
        <v>1</v>
      </c>
      <c r="AD370" s="3">
        <f t="shared" si="9"/>
        <v>0.9174311927</v>
      </c>
      <c r="AE370" s="3">
        <f t="shared" si="10"/>
        <v>0.9174311927</v>
      </c>
      <c r="AF370" s="3">
        <f t="shared" si="11"/>
        <v>1.834862385</v>
      </c>
      <c r="AG370" s="3">
        <f t="shared" si="12"/>
        <v>0.4471544715</v>
      </c>
    </row>
    <row r="371">
      <c r="A371" s="1" t="s">
        <v>17</v>
      </c>
      <c r="B371" s="1" t="s">
        <v>474</v>
      </c>
      <c r="C371" s="1" t="s">
        <v>21</v>
      </c>
      <c r="D371" s="1" t="s">
        <v>134</v>
      </c>
      <c r="E371" s="1" t="s">
        <v>57</v>
      </c>
      <c r="F371" s="1" t="s">
        <v>519</v>
      </c>
      <c r="G371" s="1">
        <v>0.5</v>
      </c>
      <c r="H371" s="1" t="s">
        <v>60</v>
      </c>
      <c r="I371" s="1">
        <v>-109.0</v>
      </c>
      <c r="J371" s="1">
        <v>-0.0954832535885165</v>
      </c>
      <c r="K371" s="1" t="s">
        <v>61</v>
      </c>
      <c r="L371" s="1" t="s">
        <v>61</v>
      </c>
      <c r="M371" s="1" t="s">
        <v>62</v>
      </c>
      <c r="N371" s="1">
        <v>-119.0</v>
      </c>
      <c r="O371" s="1">
        <v>0.0305666666666668</v>
      </c>
      <c r="P371" s="1" t="s">
        <v>61</v>
      </c>
      <c r="Q371" s="1" t="s">
        <v>61</v>
      </c>
      <c r="R371" s="1">
        <f t="shared" si="1"/>
        <v>0.03056666667</v>
      </c>
      <c r="S371" s="1">
        <f t="shared" si="2"/>
        <v>-119</v>
      </c>
      <c r="T371" s="1">
        <f t="shared" si="3"/>
        <v>1.840336134</v>
      </c>
      <c r="U371" s="1">
        <f t="shared" si="4"/>
        <v>0</v>
      </c>
      <c r="V371" s="3">
        <f t="shared" si="5"/>
        <v>1</v>
      </c>
      <c r="W371" s="3">
        <f t="shared" si="6"/>
        <v>3</v>
      </c>
      <c r="X371" s="3" t="str">
        <f>IFERROR(__xludf.DUMMYFUNCTION("split(B371,"" "")"),"G.")</f>
        <v>G.</v>
      </c>
      <c r="Y371" s="3" t="str">
        <f>IFERROR(__xludf.DUMMYFUNCTION("""COMPUTED_VALUE"""),"Minshew")</f>
        <v>Minshew</v>
      </c>
      <c r="AA371" s="3">
        <v>1.0</v>
      </c>
      <c r="AB371" s="3">
        <f t="shared" si="7"/>
        <v>1</v>
      </c>
      <c r="AC371" s="3">
        <f t="shared" si="8"/>
        <v>0</v>
      </c>
      <c r="AD371" s="3">
        <f t="shared" si="9"/>
        <v>0.8403361345</v>
      </c>
      <c r="AE371" s="3">
        <f t="shared" si="10"/>
        <v>-1</v>
      </c>
      <c r="AF371" s="3">
        <f t="shared" si="11"/>
        <v>-3</v>
      </c>
      <c r="AG371" s="3">
        <f t="shared" si="12"/>
        <v>-1</v>
      </c>
    </row>
    <row r="372">
      <c r="A372" s="1" t="s">
        <v>12</v>
      </c>
      <c r="B372" s="1" t="s">
        <v>472</v>
      </c>
      <c r="C372" s="1" t="s">
        <v>20</v>
      </c>
      <c r="D372" s="1" t="s">
        <v>134</v>
      </c>
      <c r="E372" s="1" t="s">
        <v>57</v>
      </c>
      <c r="F372" s="1" t="s">
        <v>519</v>
      </c>
      <c r="G372" s="1">
        <v>1.5</v>
      </c>
      <c r="H372" s="1" t="s">
        <v>60</v>
      </c>
      <c r="I372" s="1">
        <v>128.0</v>
      </c>
      <c r="J372" s="1">
        <v>-0.0984883633403508</v>
      </c>
      <c r="K372" s="1" t="s">
        <v>61</v>
      </c>
      <c r="L372" s="1" t="s">
        <v>61</v>
      </c>
      <c r="M372" s="1" t="s">
        <v>62</v>
      </c>
      <c r="N372" s="1">
        <v>-170.0</v>
      </c>
      <c r="O372" s="1">
        <v>0.0302612547185185</v>
      </c>
      <c r="P372" s="1" t="s">
        <v>61</v>
      </c>
      <c r="Q372" s="1" t="s">
        <v>61</v>
      </c>
      <c r="R372" s="1">
        <f t="shared" si="1"/>
        <v>0.03026125472</v>
      </c>
      <c r="S372" s="1">
        <f t="shared" si="2"/>
        <v>-170</v>
      </c>
      <c r="T372" s="1">
        <f t="shared" si="3"/>
        <v>1.588235294</v>
      </c>
      <c r="U372" s="1">
        <f t="shared" si="4"/>
        <v>0</v>
      </c>
      <c r="V372" s="3">
        <f t="shared" si="5"/>
        <v>1</v>
      </c>
      <c r="W372" s="3">
        <f t="shared" si="6"/>
        <v>3</v>
      </c>
      <c r="X372" s="3" t="str">
        <f>IFERROR(__xludf.DUMMYFUNCTION("split(B372,"" "")"),"M.")</f>
        <v>M.</v>
      </c>
      <c r="Y372" s="3" t="str">
        <f>IFERROR(__xludf.DUMMYFUNCTION("""COMPUTED_VALUE"""),"Mayer")</f>
        <v>Mayer</v>
      </c>
      <c r="AA372" s="3">
        <v>1.0</v>
      </c>
      <c r="AB372" s="3">
        <f t="shared" si="7"/>
        <v>0</v>
      </c>
      <c r="AC372" s="3">
        <f t="shared" si="8"/>
        <v>1</v>
      </c>
      <c r="AD372" s="3">
        <f t="shared" si="9"/>
        <v>0.5882352941</v>
      </c>
      <c r="AE372" s="3">
        <f t="shared" si="10"/>
        <v>0.5882352941</v>
      </c>
      <c r="AF372" s="3">
        <f t="shared" si="11"/>
        <v>1.764705882</v>
      </c>
      <c r="AG372" s="3">
        <f t="shared" si="12"/>
        <v>0.3333333333</v>
      </c>
    </row>
    <row r="373">
      <c r="A373" s="1" t="s">
        <v>9</v>
      </c>
      <c r="B373" s="1" t="s">
        <v>278</v>
      </c>
      <c r="C373" s="1" t="s">
        <v>18</v>
      </c>
      <c r="D373" s="1" t="s">
        <v>134</v>
      </c>
      <c r="E373" s="1" t="s">
        <v>57</v>
      </c>
      <c r="F373" s="1" t="s">
        <v>519</v>
      </c>
      <c r="G373" s="1">
        <v>36.0</v>
      </c>
      <c r="H373" s="1" t="s">
        <v>60</v>
      </c>
      <c r="I373" s="1">
        <v>-114.0</v>
      </c>
      <c r="J373" s="1">
        <v>0.0262065693746942</v>
      </c>
      <c r="K373" s="1" t="s">
        <v>61</v>
      </c>
      <c r="L373" s="1" t="s">
        <v>61</v>
      </c>
      <c r="M373" s="1" t="s">
        <v>62</v>
      </c>
      <c r="N373" s="1">
        <v>-119.0</v>
      </c>
      <c r="O373" s="1">
        <v>-0.101044789757806</v>
      </c>
      <c r="P373" s="1" t="s">
        <v>61</v>
      </c>
      <c r="Q373" s="1" t="s">
        <v>61</v>
      </c>
      <c r="R373" s="1">
        <f t="shared" si="1"/>
        <v>0.02620656937</v>
      </c>
      <c r="S373" s="1">
        <f t="shared" si="2"/>
        <v>-114</v>
      </c>
      <c r="T373" s="1">
        <f t="shared" si="3"/>
        <v>1.877192982</v>
      </c>
      <c r="U373" s="1">
        <f t="shared" si="4"/>
        <v>1</v>
      </c>
      <c r="V373" s="3">
        <f t="shared" si="5"/>
        <v>1</v>
      </c>
      <c r="W373" s="3">
        <f t="shared" si="6"/>
        <v>2</v>
      </c>
      <c r="X373" s="3" t="str">
        <f>IFERROR(__xludf.DUMMYFUNCTION("split(B373,"" "")"),"J.")</f>
        <v>J.</v>
      </c>
      <c r="Y373" s="3" t="str">
        <f>IFERROR(__xludf.DUMMYFUNCTION("""COMPUTED_VALUE"""),"Meyers")</f>
        <v>Meyers</v>
      </c>
      <c r="AA373" s="3">
        <v>62.0</v>
      </c>
      <c r="AB373" s="3">
        <f t="shared" si="7"/>
        <v>1</v>
      </c>
      <c r="AC373" s="3">
        <f t="shared" si="8"/>
        <v>1</v>
      </c>
      <c r="AD373" s="3">
        <f t="shared" si="9"/>
        <v>0.8771929825</v>
      </c>
      <c r="AE373" s="3">
        <f t="shared" si="10"/>
        <v>0.8771929825</v>
      </c>
      <c r="AF373" s="3">
        <f t="shared" si="11"/>
        <v>1.754385965</v>
      </c>
      <c r="AG373" s="3">
        <f t="shared" si="12"/>
        <v>0.7222222222</v>
      </c>
    </row>
    <row r="374">
      <c r="A374" s="1" t="s">
        <v>8</v>
      </c>
      <c r="B374" s="1" t="s">
        <v>133</v>
      </c>
      <c r="C374" s="1" t="s">
        <v>19</v>
      </c>
      <c r="D374" s="1" t="s">
        <v>134</v>
      </c>
      <c r="E374" s="1" t="s">
        <v>57</v>
      </c>
      <c r="F374" s="1" t="s">
        <v>519</v>
      </c>
      <c r="G374" s="1">
        <v>15.5</v>
      </c>
      <c r="H374" s="1" t="s">
        <v>60</v>
      </c>
      <c r="I374" s="1">
        <v>-122.0</v>
      </c>
      <c r="J374" s="1">
        <v>-0.0949042253018016</v>
      </c>
      <c r="K374" s="1" t="s">
        <v>61</v>
      </c>
      <c r="L374" s="1" t="s">
        <v>61</v>
      </c>
      <c r="M374" s="1" t="s">
        <v>62</v>
      </c>
      <c r="N374" s="1">
        <v>-108.0</v>
      </c>
      <c r="O374" s="1">
        <v>0.0261169858575001</v>
      </c>
      <c r="P374" s="1" t="s">
        <v>61</v>
      </c>
      <c r="Q374" s="1" t="s">
        <v>61</v>
      </c>
      <c r="R374" s="1">
        <f t="shared" si="1"/>
        <v>0.02611698586</v>
      </c>
      <c r="S374" s="1">
        <f t="shared" si="2"/>
        <v>-108</v>
      </c>
      <c r="T374" s="1">
        <f t="shared" si="3"/>
        <v>1.925925926</v>
      </c>
      <c r="U374" s="1">
        <f t="shared" si="4"/>
        <v>0</v>
      </c>
      <c r="V374" s="3">
        <f t="shared" si="5"/>
        <v>1</v>
      </c>
      <c r="W374" s="3">
        <f t="shared" si="6"/>
        <v>2</v>
      </c>
      <c r="X374" s="3" t="str">
        <f>IFERROR(__xludf.DUMMYFUNCTION("split(B374,"" "")"),"Z.")</f>
        <v>Z.</v>
      </c>
      <c r="Y374" s="3" t="str">
        <f>IFERROR(__xludf.DUMMYFUNCTION("""COMPUTED_VALUE"""),"White")</f>
        <v>White</v>
      </c>
      <c r="AA374" s="3">
        <v>10.0</v>
      </c>
      <c r="AB374" s="3">
        <f t="shared" si="7"/>
        <v>0</v>
      </c>
      <c r="AC374" s="3">
        <f t="shared" si="8"/>
        <v>1</v>
      </c>
      <c r="AD374" s="3">
        <f t="shared" si="9"/>
        <v>0.9259259259</v>
      </c>
      <c r="AE374" s="3">
        <f t="shared" si="10"/>
        <v>0.9259259259</v>
      </c>
      <c r="AF374" s="3">
        <f t="shared" si="11"/>
        <v>1.851851852</v>
      </c>
      <c r="AG374" s="3">
        <f t="shared" si="12"/>
        <v>0.3548387097</v>
      </c>
    </row>
    <row r="375">
      <c r="A375" s="1" t="s">
        <v>11</v>
      </c>
      <c r="B375" s="1" t="s">
        <v>472</v>
      </c>
      <c r="C375" s="1" t="s">
        <v>20</v>
      </c>
      <c r="D375" s="1" t="s">
        <v>134</v>
      </c>
      <c r="E375" s="1" t="s">
        <v>57</v>
      </c>
      <c r="F375" s="1" t="s">
        <v>519</v>
      </c>
      <c r="G375" s="1">
        <v>9.5</v>
      </c>
      <c r="H375" s="1" t="s">
        <v>60</v>
      </c>
      <c r="I375" s="1">
        <v>-116.0</v>
      </c>
      <c r="J375" s="1">
        <v>0.0218657178996694</v>
      </c>
      <c r="K375" s="1" t="s">
        <v>61</v>
      </c>
      <c r="L375" s="1" t="s">
        <v>61</v>
      </c>
      <c r="M375" s="1" t="s">
        <v>62</v>
      </c>
      <c r="N375" s="1">
        <v>-110.0</v>
      </c>
      <c r="O375" s="1">
        <v>-0.0826863551093403</v>
      </c>
      <c r="P375" s="1" t="s">
        <v>61</v>
      </c>
      <c r="Q375" s="1" t="s">
        <v>61</v>
      </c>
      <c r="R375" s="1">
        <f t="shared" si="1"/>
        <v>0.0218657179</v>
      </c>
      <c r="S375" s="1">
        <f t="shared" si="2"/>
        <v>-116</v>
      </c>
      <c r="T375" s="1">
        <f t="shared" si="3"/>
        <v>1.862068966</v>
      </c>
      <c r="U375" s="1">
        <f t="shared" si="4"/>
        <v>1</v>
      </c>
      <c r="V375" s="3">
        <f t="shared" si="5"/>
        <v>1</v>
      </c>
      <c r="W375" s="3">
        <f t="shared" si="6"/>
        <v>2</v>
      </c>
      <c r="X375" s="3" t="str">
        <f>IFERROR(__xludf.DUMMYFUNCTION("split(B375,"" "")"),"M.")</f>
        <v>M.</v>
      </c>
      <c r="Y375" s="3" t="str">
        <f>IFERROR(__xludf.DUMMYFUNCTION("""COMPUTED_VALUE"""),"Mayer")</f>
        <v>Mayer</v>
      </c>
      <c r="AA375" s="3">
        <v>7.0</v>
      </c>
      <c r="AB375" s="3">
        <f t="shared" si="7"/>
        <v>0</v>
      </c>
      <c r="AC375" s="3">
        <f t="shared" si="8"/>
        <v>0</v>
      </c>
      <c r="AD375" s="3">
        <f t="shared" si="9"/>
        <v>0.8620689655</v>
      </c>
      <c r="AE375" s="3">
        <f t="shared" si="10"/>
        <v>-1</v>
      </c>
      <c r="AF375" s="3">
        <f t="shared" si="11"/>
        <v>-2</v>
      </c>
      <c r="AG375" s="3">
        <f t="shared" si="12"/>
        <v>-0.2631578947</v>
      </c>
    </row>
    <row r="376">
      <c r="A376" s="1" t="s">
        <v>10</v>
      </c>
      <c r="B376" s="1" t="s">
        <v>474</v>
      </c>
      <c r="C376" s="1" t="s">
        <v>21</v>
      </c>
      <c r="D376" s="1" t="s">
        <v>134</v>
      </c>
      <c r="E376" s="1" t="s">
        <v>57</v>
      </c>
      <c r="F376" s="1" t="s">
        <v>519</v>
      </c>
      <c r="G376" s="1">
        <v>5.5</v>
      </c>
      <c r="H376" s="1" t="s">
        <v>60</v>
      </c>
      <c r="I376" s="1">
        <v>-110.0</v>
      </c>
      <c r="J376" s="1">
        <v>0.0156036943002978</v>
      </c>
      <c r="K376" s="1" t="s">
        <v>61</v>
      </c>
      <c r="L376" s="1" t="s">
        <v>61</v>
      </c>
      <c r="M376" s="1" t="s">
        <v>62</v>
      </c>
      <c r="N376" s="1">
        <v>-118.0</v>
      </c>
      <c r="O376" s="1">
        <v>-0.0806720892092375</v>
      </c>
      <c r="P376" s="1" t="s">
        <v>61</v>
      </c>
      <c r="Q376" s="1" t="s">
        <v>61</v>
      </c>
      <c r="R376" s="1">
        <f t="shared" si="1"/>
        <v>0.0156036943</v>
      </c>
      <c r="S376" s="1">
        <f t="shared" si="2"/>
        <v>-110</v>
      </c>
      <c r="T376" s="1">
        <f t="shared" si="3"/>
        <v>1.909090909</v>
      </c>
      <c r="U376" s="1">
        <f t="shared" si="4"/>
        <v>1</v>
      </c>
      <c r="V376" s="3">
        <f t="shared" si="5"/>
        <v>1</v>
      </c>
      <c r="W376" s="3">
        <f t="shared" si="6"/>
        <v>2</v>
      </c>
      <c r="X376" s="3" t="str">
        <f>IFERROR(__xludf.DUMMYFUNCTION("split(B376,"" "")"),"G.")</f>
        <v>G.</v>
      </c>
      <c r="Y376" s="3" t="str">
        <f>IFERROR(__xludf.DUMMYFUNCTION("""COMPUTED_VALUE"""),"Minshew")</f>
        <v>Minshew</v>
      </c>
      <c r="AA376" s="3">
        <v>14.0</v>
      </c>
      <c r="AB376" s="3">
        <f t="shared" si="7"/>
        <v>1</v>
      </c>
      <c r="AC376" s="3">
        <f t="shared" si="8"/>
        <v>1</v>
      </c>
      <c r="AD376" s="3">
        <f t="shared" si="9"/>
        <v>0.9090909091</v>
      </c>
      <c r="AE376" s="3">
        <f t="shared" si="10"/>
        <v>0.9090909091</v>
      </c>
      <c r="AF376" s="3">
        <f t="shared" si="11"/>
        <v>1.818181818</v>
      </c>
      <c r="AG376" s="3">
        <f t="shared" si="12"/>
        <v>1.545454545</v>
      </c>
    </row>
    <row r="377">
      <c r="A377" s="1" t="s">
        <v>12</v>
      </c>
      <c r="B377" s="1" t="s">
        <v>473</v>
      </c>
      <c r="C377" s="1" t="s">
        <v>19</v>
      </c>
      <c r="D377" s="1" t="s">
        <v>134</v>
      </c>
      <c r="E377" s="1" t="s">
        <v>57</v>
      </c>
      <c r="F377" s="1" t="s">
        <v>519</v>
      </c>
      <c r="G377" s="1">
        <v>1.5</v>
      </c>
      <c r="H377" s="1" t="s">
        <v>60</v>
      </c>
      <c r="I377" s="1">
        <v>129.0</v>
      </c>
      <c r="J377" s="1">
        <v>-0.0809839161768122</v>
      </c>
      <c r="K377" s="1" t="s">
        <v>61</v>
      </c>
      <c r="L377" s="1" t="s">
        <v>61</v>
      </c>
      <c r="M377" s="1" t="s">
        <v>62</v>
      </c>
      <c r="N377" s="1">
        <v>-171.0</v>
      </c>
      <c r="O377" s="1">
        <v>0.0133187211753136</v>
      </c>
      <c r="P377" s="1" t="s">
        <v>61</v>
      </c>
      <c r="Q377" s="1" t="s">
        <v>61</v>
      </c>
      <c r="R377" s="1">
        <f t="shared" si="1"/>
        <v>0.01331872118</v>
      </c>
      <c r="S377" s="1">
        <f t="shared" si="2"/>
        <v>-171</v>
      </c>
      <c r="T377" s="1">
        <f t="shared" si="3"/>
        <v>1.584795322</v>
      </c>
      <c r="U377" s="1">
        <f t="shared" si="4"/>
        <v>0</v>
      </c>
      <c r="V377" s="3">
        <f t="shared" si="5"/>
        <v>1</v>
      </c>
      <c r="W377" s="3">
        <f t="shared" si="6"/>
        <v>3</v>
      </c>
      <c r="X377" s="3" t="str">
        <f>IFERROR(__xludf.DUMMYFUNCTION("split(B377,"" "")"),"A.")</f>
        <v>A.</v>
      </c>
      <c r="Y377" s="3" t="str">
        <f>IFERROR(__xludf.DUMMYFUNCTION("""COMPUTED_VALUE"""),"Mattison")</f>
        <v>Mattison</v>
      </c>
      <c r="AA377" s="3">
        <v>3.0</v>
      </c>
      <c r="AB377" s="3">
        <f t="shared" si="7"/>
        <v>1</v>
      </c>
      <c r="AC377" s="3">
        <f t="shared" si="8"/>
        <v>0</v>
      </c>
      <c r="AD377" s="3">
        <f t="shared" si="9"/>
        <v>0.5847953216</v>
      </c>
      <c r="AE377" s="3">
        <f t="shared" si="10"/>
        <v>-1</v>
      </c>
      <c r="AF377" s="3">
        <f t="shared" si="11"/>
        <v>-3</v>
      </c>
      <c r="AG377" s="3">
        <f t="shared" si="12"/>
        <v>-1</v>
      </c>
    </row>
    <row r="378">
      <c r="A378" s="1" t="s">
        <v>11</v>
      </c>
      <c r="B378" s="1" t="s">
        <v>133</v>
      </c>
      <c r="C378" s="1" t="s">
        <v>19</v>
      </c>
      <c r="D378" s="1" t="s">
        <v>134</v>
      </c>
      <c r="E378" s="1" t="s">
        <v>57</v>
      </c>
      <c r="F378" s="1" t="s">
        <v>519</v>
      </c>
      <c r="G378" s="1">
        <v>9.5</v>
      </c>
      <c r="H378" s="1" t="s">
        <v>60</v>
      </c>
      <c r="I378" s="1">
        <v>-114.0</v>
      </c>
      <c r="J378" s="1">
        <v>0.0085814931638336</v>
      </c>
      <c r="K378" s="1" t="s">
        <v>61</v>
      </c>
      <c r="L378" s="1" t="s">
        <v>61</v>
      </c>
      <c r="M378" s="1" t="s">
        <v>62</v>
      </c>
      <c r="N378" s="1">
        <v>-112.0</v>
      </c>
      <c r="O378" s="1">
        <v>-0.0695664730259794</v>
      </c>
      <c r="P378" s="1" t="s">
        <v>61</v>
      </c>
      <c r="Q378" s="1" t="s">
        <v>61</v>
      </c>
      <c r="R378" s="1">
        <f t="shared" si="1"/>
        <v>0.008581493164</v>
      </c>
      <c r="S378" s="1">
        <f t="shared" si="2"/>
        <v>-114</v>
      </c>
      <c r="T378" s="1">
        <f t="shared" si="3"/>
        <v>1.877192982</v>
      </c>
      <c r="U378" s="1">
        <f t="shared" si="4"/>
        <v>1</v>
      </c>
      <c r="V378" s="3">
        <f t="shared" si="5"/>
        <v>1</v>
      </c>
      <c r="W378" s="3">
        <f t="shared" si="6"/>
        <v>2</v>
      </c>
      <c r="X378" s="3" t="str">
        <f>IFERROR(__xludf.DUMMYFUNCTION("split(B378,"" "")"),"Z.")</f>
        <v>Z.</v>
      </c>
      <c r="Y378" s="3" t="str">
        <f>IFERROR(__xludf.DUMMYFUNCTION("""COMPUTED_VALUE"""),"White")</f>
        <v>White</v>
      </c>
      <c r="AA378" s="3">
        <v>0.0</v>
      </c>
      <c r="AB378" s="3">
        <f t="shared" si="7"/>
        <v>0</v>
      </c>
      <c r="AC378" s="3">
        <f t="shared" si="8"/>
        <v>0</v>
      </c>
      <c r="AD378" s="3">
        <f t="shared" si="9"/>
        <v>0.8771929825</v>
      </c>
      <c r="AE378" s="3">
        <f t="shared" si="10"/>
        <v>-1</v>
      </c>
      <c r="AF378" s="3">
        <f t="shared" si="11"/>
        <v>-2</v>
      </c>
      <c r="AG378" s="3">
        <f t="shared" si="12"/>
        <v>-1</v>
      </c>
    </row>
    <row r="379">
      <c r="A379" s="1" t="s">
        <v>14</v>
      </c>
      <c r="B379" s="1" t="s">
        <v>474</v>
      </c>
      <c r="C379" s="1" t="s">
        <v>21</v>
      </c>
      <c r="D379" s="1" t="s">
        <v>134</v>
      </c>
      <c r="E379" s="1" t="s">
        <v>57</v>
      </c>
      <c r="F379" s="1" t="s">
        <v>519</v>
      </c>
      <c r="G379" s="1">
        <v>1.5</v>
      </c>
      <c r="H379" s="1" t="s">
        <v>60</v>
      </c>
      <c r="I379" s="1">
        <v>129.0</v>
      </c>
      <c r="J379" s="1">
        <v>0.00757510917030557</v>
      </c>
      <c r="K379" s="1" t="s">
        <v>61</v>
      </c>
      <c r="L379" s="1" t="s">
        <v>61</v>
      </c>
      <c r="M379" s="1" t="s">
        <v>62</v>
      </c>
      <c r="N379" s="1">
        <v>-167.0</v>
      </c>
      <c r="O379" s="1">
        <v>-0.069730711610487</v>
      </c>
      <c r="P379" s="1" t="s">
        <v>61</v>
      </c>
      <c r="Q379" s="1" t="s">
        <v>61</v>
      </c>
      <c r="R379" s="1">
        <f t="shared" si="1"/>
        <v>0.00757510917</v>
      </c>
      <c r="S379" s="1">
        <f t="shared" si="2"/>
        <v>129</v>
      </c>
      <c r="T379" s="1">
        <f t="shared" si="3"/>
        <v>2.29</v>
      </c>
      <c r="U379" s="1">
        <f t="shared" si="4"/>
        <v>1</v>
      </c>
      <c r="V379" s="3">
        <f t="shared" si="5"/>
        <v>1</v>
      </c>
      <c r="W379" s="3">
        <f t="shared" si="6"/>
        <v>1</v>
      </c>
      <c r="X379" s="3" t="str">
        <f>IFERROR(__xludf.DUMMYFUNCTION("split(B379,"" "")"),"G.")</f>
        <v>G.</v>
      </c>
      <c r="Y379" s="3" t="str">
        <f>IFERROR(__xludf.DUMMYFUNCTION("""COMPUTED_VALUE"""),"Minshew")</f>
        <v>Minshew</v>
      </c>
      <c r="AA379" s="3">
        <v>1.0</v>
      </c>
      <c r="AB379" s="3">
        <f t="shared" si="7"/>
        <v>0</v>
      </c>
      <c r="AC379" s="3">
        <f t="shared" si="8"/>
        <v>0</v>
      </c>
      <c r="AD379" s="3">
        <f t="shared" si="9"/>
        <v>1.29</v>
      </c>
      <c r="AE379" s="3">
        <f t="shared" si="10"/>
        <v>-1</v>
      </c>
      <c r="AF379" s="3">
        <f t="shared" si="11"/>
        <v>-1</v>
      </c>
      <c r="AG379" s="3">
        <f t="shared" si="12"/>
        <v>-0.3333333333</v>
      </c>
    </row>
    <row r="380">
      <c r="A380" s="1" t="s">
        <v>15</v>
      </c>
      <c r="B380" s="1" t="s">
        <v>474</v>
      </c>
      <c r="C380" s="1" t="s">
        <v>21</v>
      </c>
      <c r="D380" s="1" t="s">
        <v>134</v>
      </c>
      <c r="E380" s="1" t="s">
        <v>57</v>
      </c>
      <c r="F380" s="1" t="s">
        <v>519</v>
      </c>
      <c r="G380" s="1">
        <v>21.5</v>
      </c>
      <c r="H380" s="1" t="s">
        <v>60</v>
      </c>
      <c r="I380" s="1">
        <v>113.0</v>
      </c>
      <c r="J380" s="1">
        <v>0.0040042253521127</v>
      </c>
      <c r="K380" s="1" t="s">
        <v>61</v>
      </c>
      <c r="L380" s="1" t="s">
        <v>61</v>
      </c>
      <c r="M380" s="1" t="s">
        <v>62</v>
      </c>
      <c r="N380" s="1">
        <v>-148.0</v>
      </c>
      <c r="O380" s="1">
        <v>-0.0702354838709677</v>
      </c>
      <c r="P380" s="1" t="s">
        <v>61</v>
      </c>
      <c r="Q380" s="1" t="s">
        <v>61</v>
      </c>
      <c r="R380" s="1">
        <f t="shared" si="1"/>
        <v>0.004004225352</v>
      </c>
      <c r="S380" s="1">
        <f t="shared" si="2"/>
        <v>113</v>
      </c>
      <c r="T380" s="1">
        <f t="shared" si="3"/>
        <v>2.13</v>
      </c>
      <c r="U380" s="1">
        <f t="shared" si="4"/>
        <v>1</v>
      </c>
      <c r="V380" s="3">
        <f t="shared" si="5"/>
        <v>1</v>
      </c>
      <c r="W380" s="3">
        <f t="shared" si="6"/>
        <v>1</v>
      </c>
      <c r="X380" s="3" t="str">
        <f>IFERROR(__xludf.DUMMYFUNCTION("split(B380,"" "")"),"G.")</f>
        <v>G.</v>
      </c>
      <c r="Y380" s="3" t="str">
        <f>IFERROR(__xludf.DUMMYFUNCTION("""COMPUTED_VALUE"""),"Minshew")</f>
        <v>Minshew</v>
      </c>
      <c r="AA380" s="3">
        <v>18.0</v>
      </c>
      <c r="AB380" s="3">
        <f t="shared" si="7"/>
        <v>0</v>
      </c>
      <c r="AC380" s="3">
        <f t="shared" si="8"/>
        <v>0</v>
      </c>
      <c r="AD380" s="3">
        <f t="shared" si="9"/>
        <v>1.13</v>
      </c>
      <c r="AE380" s="3">
        <f t="shared" si="10"/>
        <v>-1</v>
      </c>
      <c r="AF380" s="3">
        <f t="shared" si="11"/>
        <v>-1</v>
      </c>
      <c r="AG380" s="3">
        <f t="shared" si="12"/>
        <v>-0.1627906977</v>
      </c>
    </row>
    <row r="381">
      <c r="A381" s="1" t="s">
        <v>10</v>
      </c>
      <c r="B381" s="1" t="s">
        <v>473</v>
      </c>
      <c r="C381" s="1" t="s">
        <v>19</v>
      </c>
      <c r="D381" s="1" t="s">
        <v>134</v>
      </c>
      <c r="E381" s="1" t="s">
        <v>57</v>
      </c>
      <c r="F381" s="1" t="s">
        <v>519</v>
      </c>
      <c r="G381" s="1">
        <v>26.5</v>
      </c>
      <c r="H381" s="1" t="s">
        <v>60</v>
      </c>
      <c r="I381" s="1">
        <v>101.0</v>
      </c>
      <c r="J381" s="1">
        <v>8.91860310207826E-4</v>
      </c>
      <c r="K381" s="1" t="s">
        <v>61</v>
      </c>
      <c r="L381" s="1" t="s">
        <v>61</v>
      </c>
      <c r="M381" s="1" t="s">
        <v>62</v>
      </c>
      <c r="N381" s="1">
        <v>-129.0</v>
      </c>
      <c r="O381" s="1">
        <v>-0.0616993837166924</v>
      </c>
      <c r="P381" s="1" t="s">
        <v>61</v>
      </c>
      <c r="Q381" s="1" t="s">
        <v>61</v>
      </c>
      <c r="R381" s="1">
        <f t="shared" si="1"/>
        <v>0.0008918603102</v>
      </c>
      <c r="S381" s="1">
        <f t="shared" si="2"/>
        <v>101</v>
      </c>
      <c r="T381" s="1">
        <f t="shared" si="3"/>
        <v>2.01</v>
      </c>
      <c r="U381" s="1">
        <f t="shared" si="4"/>
        <v>1</v>
      </c>
      <c r="V381" s="3">
        <f t="shared" si="5"/>
        <v>1</v>
      </c>
      <c r="W381" s="3">
        <f t="shared" si="6"/>
        <v>2</v>
      </c>
      <c r="X381" s="3" t="str">
        <f>IFERROR(__xludf.DUMMYFUNCTION("split(B381,"" "")"),"A.")</f>
        <v>A.</v>
      </c>
      <c r="Y381" s="3" t="str">
        <f>IFERROR(__xludf.DUMMYFUNCTION("""COMPUTED_VALUE"""),"Mattison")</f>
        <v>Mattison</v>
      </c>
      <c r="AA381" s="3">
        <v>7.0</v>
      </c>
      <c r="AB381" s="3">
        <f t="shared" si="7"/>
        <v>0</v>
      </c>
      <c r="AC381" s="3">
        <f t="shared" si="8"/>
        <v>0</v>
      </c>
      <c r="AD381" s="3">
        <f t="shared" si="9"/>
        <v>1.01</v>
      </c>
      <c r="AE381" s="3">
        <f t="shared" si="10"/>
        <v>-1</v>
      </c>
      <c r="AF381" s="3">
        <f t="shared" si="11"/>
        <v>-2</v>
      </c>
      <c r="AG381" s="3">
        <f t="shared" si="12"/>
        <v>-0.7358490566</v>
      </c>
    </row>
    <row r="382">
      <c r="A382" s="1" t="s">
        <v>11</v>
      </c>
      <c r="B382" s="1" t="s">
        <v>486</v>
      </c>
      <c r="C382" s="1" t="s">
        <v>18</v>
      </c>
      <c r="D382" s="1" t="s">
        <v>134</v>
      </c>
      <c r="E382" s="1" t="s">
        <v>57</v>
      </c>
      <c r="F382" s="1" t="s">
        <v>519</v>
      </c>
      <c r="G382" s="1">
        <v>17.5</v>
      </c>
      <c r="H382" s="1" t="s">
        <v>60</v>
      </c>
      <c r="I382" s="1">
        <v>-115.0</v>
      </c>
      <c r="J382" s="1">
        <v>-0.0590618662053488</v>
      </c>
      <c r="K382" s="1" t="s">
        <v>61</v>
      </c>
      <c r="L382" s="1" t="s">
        <v>61</v>
      </c>
      <c r="M382" s="1" t="s">
        <v>62</v>
      </c>
      <c r="N382" s="1">
        <v>-110.0</v>
      </c>
      <c r="O382" s="1">
        <v>3.78482655071454E-4</v>
      </c>
      <c r="P382" s="1" t="s">
        <v>61</v>
      </c>
      <c r="Q382" s="1" t="s">
        <v>61</v>
      </c>
      <c r="R382" s="1">
        <f t="shared" si="1"/>
        <v>0.0003784826551</v>
      </c>
      <c r="S382" s="1">
        <f t="shared" si="2"/>
        <v>-110</v>
      </c>
      <c r="T382" s="1">
        <f t="shared" si="3"/>
        <v>1.909090909</v>
      </c>
      <c r="U382" s="1">
        <f t="shared" si="4"/>
        <v>0</v>
      </c>
      <c r="V382" s="3">
        <f t="shared" si="5"/>
        <v>1</v>
      </c>
      <c r="W382" s="3">
        <f t="shared" si="6"/>
        <v>2</v>
      </c>
      <c r="X382" s="3" t="str">
        <f>IFERROR(__xludf.DUMMYFUNCTION("split(B382,"" "")"),"T.")</f>
        <v>T.</v>
      </c>
      <c r="Y382" s="3" t="str">
        <f>IFERROR(__xludf.DUMMYFUNCTION("""COMPUTED_VALUE"""),"Tucker")</f>
        <v>Tucker</v>
      </c>
      <c r="AA382" s="3">
        <v>96.0</v>
      </c>
      <c r="AB382" s="3">
        <f t="shared" si="7"/>
        <v>1</v>
      </c>
      <c r="AC382" s="3">
        <f t="shared" si="8"/>
        <v>0</v>
      </c>
      <c r="AD382" s="3">
        <f t="shared" si="9"/>
        <v>0.9090909091</v>
      </c>
      <c r="AE382" s="3">
        <f t="shared" si="10"/>
        <v>-1</v>
      </c>
      <c r="AF382" s="3">
        <f t="shared" si="11"/>
        <v>-2</v>
      </c>
      <c r="AG382" s="3">
        <f t="shared" si="12"/>
        <v>-4.485714286</v>
      </c>
    </row>
    <row r="383">
      <c r="A383" s="1" t="s">
        <v>9</v>
      </c>
      <c r="B383" s="1" t="s">
        <v>546</v>
      </c>
      <c r="C383" s="1" t="s">
        <v>18</v>
      </c>
      <c r="D383" s="1" t="s">
        <v>94</v>
      </c>
      <c r="E383" s="1" t="s">
        <v>82</v>
      </c>
      <c r="F383" s="1" t="s">
        <v>519</v>
      </c>
      <c r="G383" s="1">
        <v>6.5</v>
      </c>
      <c r="H383" s="1" t="s">
        <v>60</v>
      </c>
      <c r="I383" s="1">
        <v>-110.0</v>
      </c>
      <c r="J383" s="1">
        <v>0.268501649935487</v>
      </c>
      <c r="K383" s="1" t="s">
        <v>61</v>
      </c>
      <c r="L383" s="1" t="s">
        <v>61</v>
      </c>
      <c r="M383" s="1" t="s">
        <v>62</v>
      </c>
      <c r="N383" s="1">
        <v>-120.0</v>
      </c>
      <c r="O383" s="1">
        <v>-0.337767344471558</v>
      </c>
      <c r="P383" s="1" t="s">
        <v>61</v>
      </c>
      <c r="Q383" s="1" t="s">
        <v>61</v>
      </c>
      <c r="R383" s="1">
        <f t="shared" si="1"/>
        <v>0.2685016499</v>
      </c>
      <c r="S383" s="1">
        <f t="shared" si="2"/>
        <v>-110</v>
      </c>
      <c r="T383" s="1">
        <f t="shared" si="3"/>
        <v>1.909090909</v>
      </c>
      <c r="U383" s="1">
        <f t="shared" si="4"/>
        <v>1</v>
      </c>
      <c r="V383" s="3">
        <f t="shared" si="5"/>
        <v>3</v>
      </c>
      <c r="W383" s="3">
        <f t="shared" si="6"/>
        <v>2</v>
      </c>
      <c r="X383" s="3" t="str">
        <f>IFERROR(__xludf.DUMMYFUNCTION("split(B383,"" "")"),"B.")</f>
        <v>B.</v>
      </c>
      <c r="Y383" s="3" t="str">
        <f>IFERROR(__xludf.DUMMYFUNCTION("""COMPUTED_VALUE"""),"Berrios")</f>
        <v>Berrios</v>
      </c>
      <c r="AA383" s="3">
        <v>0.0</v>
      </c>
      <c r="AB383" s="3">
        <f t="shared" si="7"/>
        <v>0</v>
      </c>
      <c r="AC383" s="3">
        <f t="shared" si="8"/>
        <v>0</v>
      </c>
      <c r="AD383" s="3">
        <f t="shared" si="9"/>
        <v>2.727272727</v>
      </c>
      <c r="AE383" s="3">
        <f t="shared" si="10"/>
        <v>-3</v>
      </c>
      <c r="AF383" s="3">
        <f t="shared" si="11"/>
        <v>-2</v>
      </c>
      <c r="AG383" s="3">
        <f t="shared" si="12"/>
        <v>-1</v>
      </c>
    </row>
    <row r="384">
      <c r="A384" s="1" t="s">
        <v>12</v>
      </c>
      <c r="B384" s="1" t="s">
        <v>289</v>
      </c>
      <c r="C384" s="1" t="s">
        <v>19</v>
      </c>
      <c r="D384" s="1" t="s">
        <v>94</v>
      </c>
      <c r="E384" s="1" t="s">
        <v>82</v>
      </c>
      <c r="F384" s="1" t="s">
        <v>519</v>
      </c>
      <c r="G384" s="1">
        <v>3.5</v>
      </c>
      <c r="H384" s="1" t="s">
        <v>60</v>
      </c>
      <c r="I384" s="1">
        <v>-164.0</v>
      </c>
      <c r="J384" s="1">
        <v>-0.265825757575757</v>
      </c>
      <c r="K384" s="1" t="s">
        <v>61</v>
      </c>
      <c r="L384" s="1" t="s">
        <v>61</v>
      </c>
      <c r="M384" s="1" t="s">
        <v>62</v>
      </c>
      <c r="N384" s="1">
        <v>124.0</v>
      </c>
      <c r="O384" s="1">
        <v>0.198205357142857</v>
      </c>
      <c r="P384" s="1" t="s">
        <v>61</v>
      </c>
      <c r="Q384" s="1" t="s">
        <v>61</v>
      </c>
      <c r="R384" s="1">
        <f t="shared" si="1"/>
        <v>0.1982053571</v>
      </c>
      <c r="S384" s="1">
        <f t="shared" si="2"/>
        <v>124</v>
      </c>
      <c r="T384" s="1">
        <f t="shared" si="3"/>
        <v>2.24</v>
      </c>
      <c r="U384" s="1">
        <f t="shared" si="4"/>
        <v>0</v>
      </c>
      <c r="V384" s="3">
        <f t="shared" si="5"/>
        <v>3</v>
      </c>
      <c r="W384" s="3">
        <f t="shared" si="6"/>
        <v>1</v>
      </c>
      <c r="X384" s="3" t="str">
        <f>IFERROR(__xludf.DUMMYFUNCTION("split(B384,"" "")"),"D.")</f>
        <v>D.</v>
      </c>
      <c r="Y384" s="3" t="str">
        <f>IFERROR(__xludf.DUMMYFUNCTION("""COMPUTED_VALUE"""),"Achane")</f>
        <v>Achane</v>
      </c>
      <c r="AA384" s="3">
        <v>3.0</v>
      </c>
      <c r="AB384" s="3">
        <f t="shared" si="7"/>
        <v>0</v>
      </c>
      <c r="AC384" s="3">
        <f t="shared" si="8"/>
        <v>1</v>
      </c>
      <c r="AD384" s="3">
        <f t="shared" si="9"/>
        <v>3.72</v>
      </c>
      <c r="AE384" s="3">
        <f t="shared" si="10"/>
        <v>3.72</v>
      </c>
      <c r="AF384" s="3">
        <f t="shared" si="11"/>
        <v>1.24</v>
      </c>
      <c r="AG384" s="3">
        <f t="shared" si="12"/>
        <v>0.1428571429</v>
      </c>
    </row>
    <row r="385">
      <c r="A385" s="1" t="s">
        <v>10</v>
      </c>
      <c r="B385" s="1" t="s">
        <v>475</v>
      </c>
      <c r="C385" s="1" t="s">
        <v>18</v>
      </c>
      <c r="D385" s="1" t="s">
        <v>94</v>
      </c>
      <c r="E385" s="1" t="s">
        <v>82</v>
      </c>
      <c r="F385" s="1" t="s">
        <v>519</v>
      </c>
      <c r="G385" s="1">
        <v>0.5</v>
      </c>
      <c r="H385" s="1" t="s">
        <v>60</v>
      </c>
      <c r="I385" s="1">
        <v>134.0</v>
      </c>
      <c r="J385" s="1">
        <v>0.191044585662815</v>
      </c>
      <c r="K385" s="1" t="s">
        <v>61</v>
      </c>
      <c r="L385" s="1" t="s">
        <v>61</v>
      </c>
      <c r="M385" s="1" t="s">
        <v>62</v>
      </c>
      <c r="N385" s="1">
        <v>-174.0</v>
      </c>
      <c r="O385" s="1">
        <v>-0.25336559946201</v>
      </c>
      <c r="P385" s="1" t="s">
        <v>61</v>
      </c>
      <c r="Q385" s="1" t="s">
        <v>61</v>
      </c>
      <c r="R385" s="1">
        <f t="shared" si="1"/>
        <v>0.1910445857</v>
      </c>
      <c r="S385" s="1">
        <f t="shared" si="2"/>
        <v>134</v>
      </c>
      <c r="T385" s="1">
        <f t="shared" si="3"/>
        <v>2.34</v>
      </c>
      <c r="U385" s="1">
        <f t="shared" si="4"/>
        <v>1</v>
      </c>
      <c r="V385" s="3">
        <f t="shared" si="5"/>
        <v>3</v>
      </c>
      <c r="W385" s="3">
        <f t="shared" si="6"/>
        <v>1</v>
      </c>
      <c r="X385" s="3" t="str">
        <f>IFERROR(__xludf.DUMMYFUNCTION("split(B385,"" "")"),"J.")</f>
        <v>J.</v>
      </c>
      <c r="Y385" s="3" t="str">
        <f>IFERROR(__xludf.DUMMYFUNCTION("""COMPUTED_VALUE"""),"Waddle")</f>
        <v>Waddle</v>
      </c>
      <c r="AA385" s="3">
        <v>0.0</v>
      </c>
      <c r="AB385" s="3">
        <f t="shared" si="7"/>
        <v>0</v>
      </c>
      <c r="AC385" s="3">
        <f t="shared" si="8"/>
        <v>0</v>
      </c>
      <c r="AD385" s="3">
        <f t="shared" si="9"/>
        <v>4.02</v>
      </c>
      <c r="AE385" s="3">
        <f t="shared" si="10"/>
        <v>-3</v>
      </c>
      <c r="AF385" s="3">
        <f t="shared" si="11"/>
        <v>-1</v>
      </c>
      <c r="AG385" s="3">
        <f t="shared" si="12"/>
        <v>-1</v>
      </c>
    </row>
    <row r="386">
      <c r="A386" s="1" t="s">
        <v>8</v>
      </c>
      <c r="B386" s="1" t="s">
        <v>289</v>
      </c>
      <c r="C386" s="1" t="s">
        <v>19</v>
      </c>
      <c r="D386" s="1" t="s">
        <v>94</v>
      </c>
      <c r="E386" s="1" t="s">
        <v>82</v>
      </c>
      <c r="F386" s="1" t="s">
        <v>519</v>
      </c>
      <c r="G386" s="1">
        <v>16.5</v>
      </c>
      <c r="H386" s="1" t="s">
        <v>60</v>
      </c>
      <c r="I386" s="1">
        <v>-108.0</v>
      </c>
      <c r="J386" s="1">
        <v>-0.202282559485576</v>
      </c>
      <c r="K386" s="1" t="s">
        <v>61</v>
      </c>
      <c r="L386" s="1" t="s">
        <v>61</v>
      </c>
      <c r="M386" s="1" t="s">
        <v>62</v>
      </c>
      <c r="N386" s="1">
        <v>-124.0</v>
      </c>
      <c r="O386" s="1">
        <v>0.129473061350535</v>
      </c>
      <c r="P386" s="1" t="s">
        <v>61</v>
      </c>
      <c r="Q386" s="1" t="s">
        <v>61</v>
      </c>
      <c r="R386" s="1">
        <f t="shared" si="1"/>
        <v>0.1294730614</v>
      </c>
      <c r="S386" s="1">
        <f t="shared" si="2"/>
        <v>-124</v>
      </c>
      <c r="T386" s="1">
        <f t="shared" si="3"/>
        <v>1.806451613</v>
      </c>
      <c r="U386" s="1">
        <f t="shared" si="4"/>
        <v>0</v>
      </c>
      <c r="V386" s="3">
        <f t="shared" si="5"/>
        <v>3</v>
      </c>
      <c r="W386" s="3">
        <f t="shared" si="6"/>
        <v>3</v>
      </c>
      <c r="X386" s="3" t="str">
        <f>IFERROR(__xludf.DUMMYFUNCTION("split(B386,"" "")"),"D.")</f>
        <v>D.</v>
      </c>
      <c r="Y386" s="3" t="str">
        <f>IFERROR(__xludf.DUMMYFUNCTION("""COMPUTED_VALUE"""),"Achane")</f>
        <v>Achane</v>
      </c>
      <c r="AA386" s="3">
        <v>11.0</v>
      </c>
      <c r="AB386" s="3">
        <f t="shared" si="7"/>
        <v>0</v>
      </c>
      <c r="AC386" s="3">
        <f t="shared" si="8"/>
        <v>1</v>
      </c>
      <c r="AD386" s="3">
        <f t="shared" si="9"/>
        <v>2.419354839</v>
      </c>
      <c r="AE386" s="3">
        <f t="shared" si="10"/>
        <v>2.419354839</v>
      </c>
      <c r="AF386" s="3">
        <f t="shared" si="11"/>
        <v>2.419354839</v>
      </c>
      <c r="AG386" s="3">
        <f t="shared" si="12"/>
        <v>0.3333333333</v>
      </c>
    </row>
    <row r="387">
      <c r="A387" s="1" t="s">
        <v>9</v>
      </c>
      <c r="B387" s="1" t="s">
        <v>289</v>
      </c>
      <c r="C387" s="1" t="s">
        <v>19</v>
      </c>
      <c r="D387" s="1" t="s">
        <v>94</v>
      </c>
      <c r="E387" s="1" t="s">
        <v>82</v>
      </c>
      <c r="F387" s="1" t="s">
        <v>519</v>
      </c>
      <c r="G387" s="1">
        <v>106.5</v>
      </c>
      <c r="H387" s="1" t="s">
        <v>60</v>
      </c>
      <c r="I387" s="1">
        <v>-117.0</v>
      </c>
      <c r="J387" s="1">
        <v>-0.178963245960939</v>
      </c>
      <c r="K387" s="1" t="s">
        <v>61</v>
      </c>
      <c r="L387" s="1" t="s">
        <v>61</v>
      </c>
      <c r="M387" s="1" t="s">
        <v>62</v>
      </c>
      <c r="N387" s="1">
        <v>-115.0</v>
      </c>
      <c r="O387" s="1">
        <v>0.104923438331871</v>
      </c>
      <c r="P387" s="1" t="s">
        <v>61</v>
      </c>
      <c r="Q387" s="1" t="s">
        <v>61</v>
      </c>
      <c r="R387" s="1">
        <f t="shared" si="1"/>
        <v>0.1049234383</v>
      </c>
      <c r="S387" s="1">
        <f t="shared" si="2"/>
        <v>-115</v>
      </c>
      <c r="T387" s="1">
        <f t="shared" si="3"/>
        <v>1.869565217</v>
      </c>
      <c r="U387" s="1">
        <f t="shared" si="4"/>
        <v>0</v>
      </c>
      <c r="V387" s="3">
        <f t="shared" si="5"/>
        <v>3</v>
      </c>
      <c r="W387" s="3">
        <f t="shared" si="6"/>
        <v>2</v>
      </c>
      <c r="X387" s="3" t="str">
        <f>IFERROR(__xludf.DUMMYFUNCTION("split(B387,"" "")"),"D.")</f>
        <v>D.</v>
      </c>
      <c r="Y387" s="3" t="str">
        <f>IFERROR(__xludf.DUMMYFUNCTION("""COMPUTED_VALUE"""),"Achane")</f>
        <v>Achane</v>
      </c>
      <c r="AA387" s="3">
        <v>58.0</v>
      </c>
      <c r="AB387" s="3">
        <f t="shared" si="7"/>
        <v>0</v>
      </c>
      <c r="AC387" s="3">
        <f t="shared" si="8"/>
        <v>1</v>
      </c>
      <c r="AD387" s="3">
        <f t="shared" si="9"/>
        <v>2.608695652</v>
      </c>
      <c r="AE387" s="3">
        <f t="shared" si="10"/>
        <v>2.608695652</v>
      </c>
      <c r="AF387" s="3">
        <f t="shared" si="11"/>
        <v>1.739130435</v>
      </c>
      <c r="AG387" s="3">
        <f t="shared" si="12"/>
        <v>0.455399061</v>
      </c>
    </row>
    <row r="388">
      <c r="A388" s="1" t="s">
        <v>10</v>
      </c>
      <c r="B388" s="1" t="s">
        <v>289</v>
      </c>
      <c r="C388" s="1" t="s">
        <v>19</v>
      </c>
      <c r="D388" s="1" t="s">
        <v>94</v>
      </c>
      <c r="E388" s="1" t="s">
        <v>82</v>
      </c>
      <c r="F388" s="1" t="s">
        <v>519</v>
      </c>
      <c r="G388" s="1">
        <v>73.5</v>
      </c>
      <c r="H388" s="1" t="s">
        <v>60</v>
      </c>
      <c r="I388" s="1">
        <v>-116.0</v>
      </c>
      <c r="J388" s="1">
        <v>-0.172164855094308</v>
      </c>
      <c r="K388" s="1" t="s">
        <v>61</v>
      </c>
      <c r="L388" s="1" t="s">
        <v>61</v>
      </c>
      <c r="M388" s="1" t="s">
        <v>62</v>
      </c>
      <c r="N388" s="1">
        <v>-114.0</v>
      </c>
      <c r="O388" s="1">
        <v>0.102451573034529</v>
      </c>
      <c r="P388" s="1" t="s">
        <v>61</v>
      </c>
      <c r="Q388" s="1" t="s">
        <v>61</v>
      </c>
      <c r="R388" s="1">
        <f t="shared" si="1"/>
        <v>0.102451573</v>
      </c>
      <c r="S388" s="1">
        <f t="shared" si="2"/>
        <v>-114</v>
      </c>
      <c r="T388" s="1">
        <f t="shared" si="3"/>
        <v>1.877192982</v>
      </c>
      <c r="U388" s="1">
        <f t="shared" si="4"/>
        <v>0</v>
      </c>
      <c r="V388" s="3">
        <f t="shared" si="5"/>
        <v>3</v>
      </c>
      <c r="W388" s="3">
        <f t="shared" si="6"/>
        <v>2</v>
      </c>
      <c r="X388" s="3" t="str">
        <f>IFERROR(__xludf.DUMMYFUNCTION("split(B388,"" "")"),"D.")</f>
        <v>D.</v>
      </c>
      <c r="Y388" s="3" t="str">
        <f>IFERROR(__xludf.DUMMYFUNCTION("""COMPUTED_VALUE"""),"Achane")</f>
        <v>Achane</v>
      </c>
      <c r="AA388" s="3">
        <v>30.0</v>
      </c>
      <c r="AB388" s="3">
        <f t="shared" si="7"/>
        <v>0</v>
      </c>
      <c r="AC388" s="3">
        <f t="shared" si="8"/>
        <v>1</v>
      </c>
      <c r="AD388" s="3">
        <f t="shared" si="9"/>
        <v>2.631578947</v>
      </c>
      <c r="AE388" s="3">
        <f t="shared" si="10"/>
        <v>2.631578947</v>
      </c>
      <c r="AF388" s="3">
        <f t="shared" si="11"/>
        <v>1.754385965</v>
      </c>
      <c r="AG388" s="3">
        <f t="shared" si="12"/>
        <v>0.5918367347</v>
      </c>
    </row>
    <row r="389">
      <c r="A389" s="1" t="s">
        <v>14</v>
      </c>
      <c r="B389" s="1" t="s">
        <v>547</v>
      </c>
      <c r="C389" s="1" t="s">
        <v>21</v>
      </c>
      <c r="D389" s="1" t="s">
        <v>94</v>
      </c>
      <c r="E389" s="1" t="s">
        <v>82</v>
      </c>
      <c r="F389" s="1" t="s">
        <v>519</v>
      </c>
      <c r="G389" s="1">
        <v>0.5</v>
      </c>
      <c r="H389" s="1" t="s">
        <v>60</v>
      </c>
      <c r="I389" s="1">
        <v>-238.0</v>
      </c>
      <c r="J389" s="1">
        <v>-0.164842011834319</v>
      </c>
      <c r="K389" s="1" t="s">
        <v>61</v>
      </c>
      <c r="L389" s="1" t="s">
        <v>61</v>
      </c>
      <c r="M389" s="1" t="s">
        <v>62</v>
      </c>
      <c r="N389" s="1">
        <v>179.0</v>
      </c>
      <c r="O389" s="1">
        <v>0.102277060931899</v>
      </c>
      <c r="P389" s="1" t="s">
        <v>61</v>
      </c>
      <c r="Q389" s="1" t="s">
        <v>61</v>
      </c>
      <c r="R389" s="1">
        <f t="shared" si="1"/>
        <v>0.1022770609</v>
      </c>
      <c r="S389" s="1">
        <f t="shared" si="2"/>
        <v>179</v>
      </c>
      <c r="T389" s="1">
        <f t="shared" si="3"/>
        <v>2.79</v>
      </c>
      <c r="U389" s="1">
        <f t="shared" si="4"/>
        <v>0</v>
      </c>
      <c r="V389" s="3">
        <f t="shared" si="5"/>
        <v>3</v>
      </c>
      <c r="W389" s="3">
        <f t="shared" si="6"/>
        <v>1</v>
      </c>
      <c r="X389" s="3" t="str">
        <f>IFERROR(__xludf.DUMMYFUNCTION("split(B389,"" "")"),"S.")</f>
        <v>S.</v>
      </c>
      <c r="Y389" s="3" t="str">
        <f>IFERROR(__xludf.DUMMYFUNCTION("""COMPUTED_VALUE"""),"Thompson")</f>
        <v>Thompson</v>
      </c>
      <c r="AA389" s="3">
        <v>0.0</v>
      </c>
      <c r="AB389" s="3">
        <f t="shared" si="7"/>
        <v>0</v>
      </c>
      <c r="AC389" s="3">
        <f t="shared" si="8"/>
        <v>1</v>
      </c>
      <c r="AD389" s="3">
        <f t="shared" si="9"/>
        <v>5.37</v>
      </c>
      <c r="AE389" s="3">
        <f t="shared" si="10"/>
        <v>5.37</v>
      </c>
      <c r="AF389" s="3">
        <f t="shared" si="11"/>
        <v>1.79</v>
      </c>
      <c r="AG389" s="3">
        <f t="shared" si="12"/>
        <v>1</v>
      </c>
    </row>
    <row r="390">
      <c r="A390" s="1" t="s">
        <v>11</v>
      </c>
      <c r="B390" s="1" t="s">
        <v>546</v>
      </c>
      <c r="C390" s="1" t="s">
        <v>18</v>
      </c>
      <c r="D390" s="1" t="s">
        <v>94</v>
      </c>
      <c r="E390" s="1" t="s">
        <v>82</v>
      </c>
      <c r="F390" s="1" t="s">
        <v>519</v>
      </c>
      <c r="G390" s="1">
        <v>5.5</v>
      </c>
      <c r="H390" s="1" t="s">
        <v>60</v>
      </c>
      <c r="I390" s="1">
        <v>-118.0</v>
      </c>
      <c r="J390" s="1">
        <v>0.0992305701116261</v>
      </c>
      <c r="K390" s="1" t="s">
        <v>61</v>
      </c>
      <c r="L390" s="1" t="s">
        <v>61</v>
      </c>
      <c r="M390" s="1" t="s">
        <v>62</v>
      </c>
      <c r="N390" s="1">
        <v>-109.0</v>
      </c>
      <c r="O390" s="1">
        <v>-0.161993349616864</v>
      </c>
      <c r="P390" s="1" t="s">
        <v>61</v>
      </c>
      <c r="Q390" s="1" t="s">
        <v>61</v>
      </c>
      <c r="R390" s="1">
        <f t="shared" si="1"/>
        <v>0.09923057011</v>
      </c>
      <c r="S390" s="1">
        <f t="shared" si="2"/>
        <v>-118</v>
      </c>
      <c r="T390" s="1">
        <f t="shared" si="3"/>
        <v>1.847457627</v>
      </c>
      <c r="U390" s="1">
        <f t="shared" si="4"/>
        <v>1</v>
      </c>
      <c r="V390" s="3">
        <f t="shared" si="5"/>
        <v>2</v>
      </c>
      <c r="W390" s="3">
        <f t="shared" si="6"/>
        <v>3</v>
      </c>
      <c r="X390" s="3" t="str">
        <f>IFERROR(__xludf.DUMMYFUNCTION("split(B390,"" "")"),"B.")</f>
        <v>B.</v>
      </c>
      <c r="Y390" s="3" t="str">
        <f>IFERROR(__xludf.DUMMYFUNCTION("""COMPUTED_VALUE"""),"Berrios")</f>
        <v>Berrios</v>
      </c>
      <c r="AA390" s="3">
        <v>0.0</v>
      </c>
      <c r="AB390" s="3">
        <f t="shared" si="7"/>
        <v>0</v>
      </c>
      <c r="AC390" s="3">
        <f t="shared" si="8"/>
        <v>0</v>
      </c>
      <c r="AD390" s="3">
        <f t="shared" si="9"/>
        <v>1.694915254</v>
      </c>
      <c r="AE390" s="3">
        <f t="shared" si="10"/>
        <v>-2</v>
      </c>
      <c r="AF390" s="3">
        <f t="shared" si="11"/>
        <v>-3</v>
      </c>
      <c r="AG390" s="3">
        <f t="shared" si="12"/>
        <v>-1</v>
      </c>
    </row>
    <row r="391">
      <c r="A391" s="1" t="s">
        <v>13</v>
      </c>
      <c r="B391" s="1" t="s">
        <v>547</v>
      </c>
      <c r="C391" s="1" t="s">
        <v>21</v>
      </c>
      <c r="D391" s="1" t="s">
        <v>94</v>
      </c>
      <c r="E391" s="1" t="s">
        <v>82</v>
      </c>
      <c r="F391" s="1" t="s">
        <v>519</v>
      </c>
      <c r="G391" s="1">
        <v>199.5</v>
      </c>
      <c r="H391" s="1" t="s">
        <v>60</v>
      </c>
      <c r="I391" s="1">
        <v>-105.0</v>
      </c>
      <c r="J391" s="1">
        <v>0.0874109188292676</v>
      </c>
      <c r="K391" s="1" t="s">
        <v>61</v>
      </c>
      <c r="L391" s="1" t="s">
        <v>61</v>
      </c>
      <c r="M391" s="1" t="s">
        <v>62</v>
      </c>
      <c r="N391" s="1">
        <v>-122.0</v>
      </c>
      <c r="O391" s="1">
        <v>-0.149143697293692</v>
      </c>
      <c r="P391" s="1" t="s">
        <v>61</v>
      </c>
      <c r="Q391" s="1" t="s">
        <v>61</v>
      </c>
      <c r="R391" s="1">
        <f t="shared" si="1"/>
        <v>0.08741091883</v>
      </c>
      <c r="S391" s="1">
        <f t="shared" si="2"/>
        <v>-105</v>
      </c>
      <c r="T391" s="1">
        <f t="shared" si="3"/>
        <v>1.952380952</v>
      </c>
      <c r="U391" s="1">
        <f t="shared" si="4"/>
        <v>1</v>
      </c>
      <c r="V391" s="3">
        <f t="shared" si="5"/>
        <v>2</v>
      </c>
      <c r="W391" s="3">
        <f t="shared" si="6"/>
        <v>2</v>
      </c>
      <c r="X391" s="3" t="str">
        <f>IFERROR(__xludf.DUMMYFUNCTION("split(B391,"" "")"),"S.")</f>
        <v>S.</v>
      </c>
      <c r="Y391" s="3" t="str">
        <f>IFERROR(__xludf.DUMMYFUNCTION("""COMPUTED_VALUE"""),"Thompson")</f>
        <v>Thompson</v>
      </c>
      <c r="AA391" s="3">
        <v>107.0</v>
      </c>
      <c r="AB391" s="3">
        <f t="shared" si="7"/>
        <v>0</v>
      </c>
      <c r="AC391" s="3">
        <f t="shared" si="8"/>
        <v>0</v>
      </c>
      <c r="AD391" s="3">
        <f t="shared" si="9"/>
        <v>1.904761905</v>
      </c>
      <c r="AE391" s="3">
        <f t="shared" si="10"/>
        <v>-2</v>
      </c>
      <c r="AF391" s="3">
        <f t="shared" si="11"/>
        <v>-2</v>
      </c>
      <c r="AG391" s="3">
        <f t="shared" si="12"/>
        <v>-0.4636591479</v>
      </c>
    </row>
    <row r="392">
      <c r="A392" s="1" t="s">
        <v>11</v>
      </c>
      <c r="B392" s="1" t="s">
        <v>289</v>
      </c>
      <c r="C392" s="1" t="s">
        <v>19</v>
      </c>
      <c r="D392" s="1" t="s">
        <v>94</v>
      </c>
      <c r="E392" s="1" t="s">
        <v>82</v>
      </c>
      <c r="F392" s="1" t="s">
        <v>519</v>
      </c>
      <c r="G392" s="1">
        <v>28.5</v>
      </c>
      <c r="H392" s="1" t="s">
        <v>60</v>
      </c>
      <c r="I392" s="1">
        <v>-122.0</v>
      </c>
      <c r="J392" s="1">
        <v>-0.141641397614355</v>
      </c>
      <c r="K392" s="1" t="s">
        <v>61</v>
      </c>
      <c r="L392" s="1" t="s">
        <v>61</v>
      </c>
      <c r="M392" s="1" t="s">
        <v>62</v>
      </c>
      <c r="N392" s="1">
        <v>-108.0</v>
      </c>
      <c r="O392" s="1">
        <v>0.0729056417885478</v>
      </c>
      <c r="P392" s="1" t="s">
        <v>61</v>
      </c>
      <c r="Q392" s="1" t="s">
        <v>61</v>
      </c>
      <c r="R392" s="1">
        <f t="shared" si="1"/>
        <v>0.07290564179</v>
      </c>
      <c r="S392" s="1">
        <f t="shared" si="2"/>
        <v>-108</v>
      </c>
      <c r="T392" s="1">
        <f t="shared" si="3"/>
        <v>1.925925926</v>
      </c>
      <c r="U392" s="1">
        <f t="shared" si="4"/>
        <v>0</v>
      </c>
      <c r="V392" s="3">
        <f t="shared" si="5"/>
        <v>2</v>
      </c>
      <c r="W392" s="3">
        <f t="shared" si="6"/>
        <v>2</v>
      </c>
      <c r="X392" s="3" t="str">
        <f>IFERROR(__xludf.DUMMYFUNCTION("split(B392,"" "")"),"D.")</f>
        <v>D.</v>
      </c>
      <c r="Y392" s="3" t="str">
        <f>IFERROR(__xludf.DUMMYFUNCTION("""COMPUTED_VALUE"""),"Achane")</f>
        <v>Achane</v>
      </c>
      <c r="AA392" s="3">
        <v>28.0</v>
      </c>
      <c r="AB392" s="3">
        <f t="shared" si="7"/>
        <v>0</v>
      </c>
      <c r="AC392" s="3">
        <f t="shared" si="8"/>
        <v>1</v>
      </c>
      <c r="AD392" s="3">
        <f t="shared" si="9"/>
        <v>1.851851852</v>
      </c>
      <c r="AE392" s="3">
        <f t="shared" si="10"/>
        <v>1.851851852</v>
      </c>
      <c r="AF392" s="3">
        <f t="shared" si="11"/>
        <v>1.851851852</v>
      </c>
      <c r="AG392" s="3">
        <f t="shared" si="12"/>
        <v>0.01754385965</v>
      </c>
    </row>
    <row r="393">
      <c r="A393" s="1" t="s">
        <v>10</v>
      </c>
      <c r="B393" s="1" t="s">
        <v>441</v>
      </c>
      <c r="C393" s="1" t="s">
        <v>18</v>
      </c>
      <c r="D393" s="1" t="s">
        <v>94</v>
      </c>
      <c r="E393" s="1" t="s">
        <v>82</v>
      </c>
      <c r="F393" s="1" t="s">
        <v>519</v>
      </c>
      <c r="G393" s="1">
        <v>0.5</v>
      </c>
      <c r="H393" s="1" t="s">
        <v>60</v>
      </c>
      <c r="I393" s="1">
        <v>-122.0</v>
      </c>
      <c r="J393" s="1">
        <v>0.0717461500384913</v>
      </c>
      <c r="K393" s="1" t="s">
        <v>61</v>
      </c>
      <c r="L393" s="1" t="s">
        <v>61</v>
      </c>
      <c r="M393" s="1" t="s">
        <v>62</v>
      </c>
      <c r="N393" s="1">
        <v>-106.0</v>
      </c>
      <c r="O393" s="1">
        <v>-0.135829728286688</v>
      </c>
      <c r="P393" s="1" t="s">
        <v>61</v>
      </c>
      <c r="Q393" s="1" t="s">
        <v>61</v>
      </c>
      <c r="R393" s="1">
        <f t="shared" si="1"/>
        <v>0.07174615004</v>
      </c>
      <c r="S393" s="1">
        <f t="shared" si="2"/>
        <v>-122</v>
      </c>
      <c r="T393" s="1">
        <f t="shared" si="3"/>
        <v>1.819672131</v>
      </c>
      <c r="U393" s="1">
        <f t="shared" si="4"/>
        <v>1</v>
      </c>
      <c r="V393" s="3">
        <f t="shared" si="5"/>
        <v>2</v>
      </c>
      <c r="W393" s="3">
        <f t="shared" si="6"/>
        <v>3</v>
      </c>
      <c r="X393" s="3" t="str">
        <f>IFERROR(__xludf.DUMMYFUNCTION("split(B393,"" "")"),"T.")</f>
        <v>T.</v>
      </c>
      <c r="Y393" s="3" t="str">
        <f>IFERROR(__xludf.DUMMYFUNCTION("""COMPUTED_VALUE"""),"Hill")</f>
        <v>Hill</v>
      </c>
      <c r="AA393" s="3">
        <v>0.0</v>
      </c>
      <c r="AB393" s="3">
        <f t="shared" si="7"/>
        <v>0</v>
      </c>
      <c r="AC393" s="3">
        <f t="shared" si="8"/>
        <v>0</v>
      </c>
      <c r="AD393" s="3">
        <f t="shared" si="9"/>
        <v>1.639344262</v>
      </c>
      <c r="AE393" s="3">
        <f t="shared" si="10"/>
        <v>-2</v>
      </c>
      <c r="AF393" s="3">
        <f t="shared" si="11"/>
        <v>-3</v>
      </c>
      <c r="AG393" s="3">
        <f t="shared" si="12"/>
        <v>-1</v>
      </c>
    </row>
    <row r="394">
      <c r="A394" s="1" t="s">
        <v>17</v>
      </c>
      <c r="B394" s="1" t="s">
        <v>547</v>
      </c>
      <c r="C394" s="1" t="s">
        <v>21</v>
      </c>
      <c r="D394" s="1" t="s">
        <v>94</v>
      </c>
      <c r="E394" s="1" t="s">
        <v>82</v>
      </c>
      <c r="F394" s="1" t="s">
        <v>519</v>
      </c>
      <c r="G394" s="1">
        <v>0.5</v>
      </c>
      <c r="H394" s="1" t="s">
        <v>60</v>
      </c>
      <c r="I394" s="1">
        <v>-147.0</v>
      </c>
      <c r="J394" s="1">
        <v>-0.138441700404858</v>
      </c>
      <c r="K394" s="1" t="s">
        <v>61</v>
      </c>
      <c r="L394" s="1" t="s">
        <v>61</v>
      </c>
      <c r="M394" s="1" t="s">
        <v>62</v>
      </c>
      <c r="N394" s="1">
        <v>112.0</v>
      </c>
      <c r="O394" s="1">
        <v>0.0716018867924528</v>
      </c>
      <c r="P394" s="1" t="s">
        <v>61</v>
      </c>
      <c r="Q394" s="1" t="s">
        <v>61</v>
      </c>
      <c r="R394" s="1">
        <f t="shared" si="1"/>
        <v>0.07160188679</v>
      </c>
      <c r="S394" s="1">
        <f t="shared" si="2"/>
        <v>112</v>
      </c>
      <c r="T394" s="1">
        <f t="shared" si="3"/>
        <v>2.12</v>
      </c>
      <c r="U394" s="1">
        <f t="shared" si="4"/>
        <v>0</v>
      </c>
      <c r="V394" s="3">
        <f t="shared" si="5"/>
        <v>2</v>
      </c>
      <c r="W394" s="3">
        <f t="shared" si="6"/>
        <v>1</v>
      </c>
      <c r="X394" s="3" t="str">
        <f>IFERROR(__xludf.DUMMYFUNCTION("split(B394,"" "")"),"S.")</f>
        <v>S.</v>
      </c>
      <c r="Y394" s="3" t="str">
        <f>IFERROR(__xludf.DUMMYFUNCTION("""COMPUTED_VALUE"""),"Thompson")</f>
        <v>Thompson</v>
      </c>
      <c r="AA394" s="3">
        <v>0.0</v>
      </c>
      <c r="AB394" s="3">
        <f t="shared" si="7"/>
        <v>0</v>
      </c>
      <c r="AC394" s="3">
        <f t="shared" si="8"/>
        <v>1</v>
      </c>
      <c r="AD394" s="3">
        <f t="shared" si="9"/>
        <v>2.24</v>
      </c>
      <c r="AE394" s="3">
        <f t="shared" si="10"/>
        <v>2.24</v>
      </c>
      <c r="AF394" s="3">
        <f t="shared" si="11"/>
        <v>1.12</v>
      </c>
      <c r="AG394" s="3">
        <f t="shared" si="12"/>
        <v>1</v>
      </c>
    </row>
    <row r="395">
      <c r="A395" s="1" t="s">
        <v>12</v>
      </c>
      <c r="B395" s="1" t="s">
        <v>475</v>
      </c>
      <c r="C395" s="1" t="s">
        <v>18</v>
      </c>
      <c r="D395" s="1" t="s">
        <v>94</v>
      </c>
      <c r="E395" s="1" t="s">
        <v>82</v>
      </c>
      <c r="F395" s="1" t="s">
        <v>519</v>
      </c>
      <c r="G395" s="1">
        <v>3.5</v>
      </c>
      <c r="H395" s="1" t="s">
        <v>60</v>
      </c>
      <c r="I395" s="1">
        <v>-135.0</v>
      </c>
      <c r="J395" s="1">
        <v>-0.134310638297872</v>
      </c>
      <c r="K395" s="1" t="s">
        <v>61</v>
      </c>
      <c r="L395" s="1" t="s">
        <v>61</v>
      </c>
      <c r="M395" s="1" t="s">
        <v>62</v>
      </c>
      <c r="N395" s="1">
        <v>103.0</v>
      </c>
      <c r="O395" s="1">
        <v>0.0672384236453202</v>
      </c>
      <c r="P395" s="1" t="s">
        <v>61</v>
      </c>
      <c r="Q395" s="1" t="s">
        <v>61</v>
      </c>
      <c r="R395" s="1">
        <f t="shared" si="1"/>
        <v>0.06723842365</v>
      </c>
      <c r="S395" s="1">
        <f t="shared" si="2"/>
        <v>103</v>
      </c>
      <c r="T395" s="1">
        <f t="shared" si="3"/>
        <v>2.03</v>
      </c>
      <c r="U395" s="1">
        <f t="shared" si="4"/>
        <v>0</v>
      </c>
      <c r="V395" s="3">
        <f t="shared" si="5"/>
        <v>2</v>
      </c>
      <c r="W395" s="3">
        <f t="shared" si="6"/>
        <v>2</v>
      </c>
      <c r="X395" s="3" t="str">
        <f>IFERROR(__xludf.DUMMYFUNCTION("split(B395,"" "")"),"J.")</f>
        <v>J.</v>
      </c>
      <c r="Y395" s="3" t="str">
        <f>IFERROR(__xludf.DUMMYFUNCTION("""COMPUTED_VALUE"""),"Waddle")</f>
        <v>Waddle</v>
      </c>
      <c r="AA395" s="3">
        <v>4.0</v>
      </c>
      <c r="AB395" s="3">
        <f t="shared" si="7"/>
        <v>1</v>
      </c>
      <c r="AC395" s="3">
        <f t="shared" si="8"/>
        <v>0</v>
      </c>
      <c r="AD395" s="3">
        <f t="shared" si="9"/>
        <v>2.06</v>
      </c>
      <c r="AE395" s="3">
        <f t="shared" si="10"/>
        <v>-2</v>
      </c>
      <c r="AF395" s="3">
        <f t="shared" si="11"/>
        <v>-2</v>
      </c>
      <c r="AG395" s="3">
        <f t="shared" si="12"/>
        <v>-0.1428571429</v>
      </c>
    </row>
    <row r="396">
      <c r="A396" s="1" t="s">
        <v>9</v>
      </c>
      <c r="B396" s="1" t="s">
        <v>475</v>
      </c>
      <c r="C396" s="1" t="s">
        <v>18</v>
      </c>
      <c r="D396" s="1" t="s">
        <v>94</v>
      </c>
      <c r="E396" s="1" t="s">
        <v>82</v>
      </c>
      <c r="F396" s="1" t="s">
        <v>519</v>
      </c>
      <c r="G396" s="1">
        <v>45.5</v>
      </c>
      <c r="H396" s="1" t="s">
        <v>60</v>
      </c>
      <c r="I396" s="1">
        <v>-116.0</v>
      </c>
      <c r="J396" s="1">
        <v>0.0388143280168117</v>
      </c>
      <c r="K396" s="1" t="s">
        <v>61</v>
      </c>
      <c r="L396" s="1" t="s">
        <v>61</v>
      </c>
      <c r="M396" s="1" t="s">
        <v>62</v>
      </c>
      <c r="N396" s="1">
        <v>-116.0</v>
      </c>
      <c r="O396" s="1">
        <v>-0.112928620499501</v>
      </c>
      <c r="P396" s="1" t="s">
        <v>61</v>
      </c>
      <c r="Q396" s="1" t="s">
        <v>61</v>
      </c>
      <c r="R396" s="1">
        <f t="shared" si="1"/>
        <v>0.03881432802</v>
      </c>
      <c r="S396" s="1">
        <f t="shared" si="2"/>
        <v>-116</v>
      </c>
      <c r="T396" s="1">
        <f t="shared" si="3"/>
        <v>1.862068966</v>
      </c>
      <c r="U396" s="1">
        <f t="shared" si="4"/>
        <v>1</v>
      </c>
      <c r="V396" s="3">
        <f t="shared" si="5"/>
        <v>1</v>
      </c>
      <c r="W396" s="3">
        <f t="shared" si="6"/>
        <v>2</v>
      </c>
      <c r="X396" s="3" t="str">
        <f>IFERROR(__xludf.DUMMYFUNCTION("split(B396,"" "")"),"J.")</f>
        <v>J.</v>
      </c>
      <c r="Y396" s="3" t="str">
        <f>IFERROR(__xludf.DUMMYFUNCTION("""COMPUTED_VALUE"""),"Waddle")</f>
        <v>Waddle</v>
      </c>
      <c r="AA396" s="3">
        <v>26.0</v>
      </c>
      <c r="AB396" s="3">
        <f t="shared" si="7"/>
        <v>0</v>
      </c>
      <c r="AC396" s="3">
        <f t="shared" si="8"/>
        <v>0</v>
      </c>
      <c r="AD396" s="3">
        <f t="shared" si="9"/>
        <v>0.8620689655</v>
      </c>
      <c r="AE396" s="3">
        <f t="shared" si="10"/>
        <v>-1</v>
      </c>
      <c r="AF396" s="3">
        <f t="shared" si="11"/>
        <v>-2</v>
      </c>
      <c r="AG396" s="3">
        <f t="shared" si="12"/>
        <v>-0.4285714286</v>
      </c>
    </row>
    <row r="397">
      <c r="A397" s="1" t="s">
        <v>12</v>
      </c>
      <c r="B397" s="1" t="s">
        <v>441</v>
      </c>
      <c r="C397" s="1" t="s">
        <v>18</v>
      </c>
      <c r="D397" s="1" t="s">
        <v>94</v>
      </c>
      <c r="E397" s="1" t="s">
        <v>82</v>
      </c>
      <c r="F397" s="1" t="s">
        <v>519</v>
      </c>
      <c r="G397" s="1">
        <v>5.5</v>
      </c>
      <c r="H397" s="1" t="s">
        <v>60</v>
      </c>
      <c r="I397" s="1">
        <v>105.0</v>
      </c>
      <c r="J397" s="1">
        <v>0.0377951219512194</v>
      </c>
      <c r="K397" s="1" t="s">
        <v>61</v>
      </c>
      <c r="L397" s="1" t="s">
        <v>61</v>
      </c>
      <c r="M397" s="1" t="s">
        <v>62</v>
      </c>
      <c r="N397" s="1">
        <v>-137.0</v>
      </c>
      <c r="O397" s="1">
        <v>-0.103659071729957</v>
      </c>
      <c r="P397" s="1" t="s">
        <v>61</v>
      </c>
      <c r="Q397" s="1" t="s">
        <v>61</v>
      </c>
      <c r="R397" s="1">
        <f t="shared" si="1"/>
        <v>0.03779512195</v>
      </c>
      <c r="S397" s="1">
        <f t="shared" si="2"/>
        <v>105</v>
      </c>
      <c r="T397" s="1">
        <f t="shared" si="3"/>
        <v>2.05</v>
      </c>
      <c r="U397" s="1">
        <f t="shared" si="4"/>
        <v>1</v>
      </c>
      <c r="V397" s="3">
        <f t="shared" si="5"/>
        <v>1</v>
      </c>
      <c r="W397" s="3">
        <f t="shared" si="6"/>
        <v>2</v>
      </c>
      <c r="X397" s="3" t="str">
        <f>IFERROR(__xludf.DUMMYFUNCTION("split(B397,"" "")"),"T.")</f>
        <v>T.</v>
      </c>
      <c r="Y397" s="3" t="str">
        <f>IFERROR(__xludf.DUMMYFUNCTION("""COMPUTED_VALUE"""),"Hill")</f>
        <v>Hill</v>
      </c>
      <c r="AA397" s="3">
        <v>3.0</v>
      </c>
      <c r="AB397" s="3">
        <f t="shared" si="7"/>
        <v>0</v>
      </c>
      <c r="AC397" s="3">
        <f t="shared" si="8"/>
        <v>0</v>
      </c>
      <c r="AD397" s="3">
        <f t="shared" si="9"/>
        <v>1.05</v>
      </c>
      <c r="AE397" s="3">
        <f t="shared" si="10"/>
        <v>-1</v>
      </c>
      <c r="AF397" s="3">
        <f t="shared" si="11"/>
        <v>-2</v>
      </c>
      <c r="AG397" s="3">
        <f t="shared" si="12"/>
        <v>-0.4545454545</v>
      </c>
    </row>
    <row r="398">
      <c r="A398" s="1" t="s">
        <v>15</v>
      </c>
      <c r="B398" s="1" t="s">
        <v>547</v>
      </c>
      <c r="C398" s="1" t="s">
        <v>21</v>
      </c>
      <c r="D398" s="1" t="s">
        <v>94</v>
      </c>
      <c r="E398" s="1" t="s">
        <v>82</v>
      </c>
      <c r="F398" s="1" t="s">
        <v>519</v>
      </c>
      <c r="G398" s="1">
        <v>19.5</v>
      </c>
      <c r="H398" s="1" t="s">
        <v>60</v>
      </c>
      <c r="I398" s="1">
        <v>-101.0</v>
      </c>
      <c r="J398" s="1">
        <v>0.0353169969154227</v>
      </c>
      <c r="K398" s="1" t="s">
        <v>61</v>
      </c>
      <c r="L398" s="1" t="s">
        <v>61</v>
      </c>
      <c r="M398" s="1" t="s">
        <v>62</v>
      </c>
      <c r="N398" s="1">
        <v>-130.0</v>
      </c>
      <c r="O398" s="1">
        <v>-0.102995353452174</v>
      </c>
      <c r="P398" s="1" t="s">
        <v>61</v>
      </c>
      <c r="Q398" s="1" t="s">
        <v>61</v>
      </c>
      <c r="R398" s="1">
        <f t="shared" si="1"/>
        <v>0.03531699692</v>
      </c>
      <c r="S398" s="1">
        <f t="shared" si="2"/>
        <v>-101</v>
      </c>
      <c r="T398" s="1">
        <f t="shared" si="3"/>
        <v>1.99009901</v>
      </c>
      <c r="U398" s="1">
        <f t="shared" si="4"/>
        <v>1</v>
      </c>
      <c r="V398" s="3">
        <f t="shared" si="5"/>
        <v>1</v>
      </c>
      <c r="W398" s="3">
        <f t="shared" si="6"/>
        <v>2</v>
      </c>
      <c r="X398" s="3" t="str">
        <f>IFERROR(__xludf.DUMMYFUNCTION("split(B398,"" "")"),"S.")</f>
        <v>S.</v>
      </c>
      <c r="Y398" s="3" t="str">
        <f>IFERROR(__xludf.DUMMYFUNCTION("""COMPUTED_VALUE"""),"Thompson")</f>
        <v>Thompson</v>
      </c>
      <c r="AA398" s="3">
        <v>13.0</v>
      </c>
      <c r="AB398" s="3">
        <f t="shared" si="7"/>
        <v>0</v>
      </c>
      <c r="AC398" s="3">
        <f t="shared" si="8"/>
        <v>0</v>
      </c>
      <c r="AD398" s="3">
        <f t="shared" si="9"/>
        <v>0.9900990099</v>
      </c>
      <c r="AE398" s="3">
        <f t="shared" si="10"/>
        <v>-1</v>
      </c>
      <c r="AF398" s="3">
        <f t="shared" si="11"/>
        <v>-2</v>
      </c>
      <c r="AG398" s="3">
        <f t="shared" si="12"/>
        <v>-0.3333333333</v>
      </c>
    </row>
    <row r="399">
      <c r="A399" s="1" t="s">
        <v>10</v>
      </c>
      <c r="B399" s="1" t="s">
        <v>547</v>
      </c>
      <c r="C399" s="1" t="s">
        <v>21</v>
      </c>
      <c r="D399" s="1" t="s">
        <v>94</v>
      </c>
      <c r="E399" s="1" t="s">
        <v>82</v>
      </c>
      <c r="F399" s="1" t="s">
        <v>519</v>
      </c>
      <c r="G399" s="1">
        <v>6.5</v>
      </c>
      <c r="H399" s="1" t="s">
        <v>60</v>
      </c>
      <c r="I399" s="1">
        <v>-114.0</v>
      </c>
      <c r="J399" s="1">
        <v>0.0339106759919358</v>
      </c>
      <c r="K399" s="1" t="s">
        <v>61</v>
      </c>
      <c r="L399" s="1" t="s">
        <v>61</v>
      </c>
      <c r="M399" s="1" t="s">
        <v>62</v>
      </c>
      <c r="N399" s="1">
        <v>-115.0</v>
      </c>
      <c r="O399" s="1">
        <v>-0.101493243542397</v>
      </c>
      <c r="P399" s="1" t="s">
        <v>61</v>
      </c>
      <c r="Q399" s="1" t="s">
        <v>61</v>
      </c>
      <c r="R399" s="1">
        <f t="shared" si="1"/>
        <v>0.03391067599</v>
      </c>
      <c r="S399" s="1">
        <f t="shared" si="2"/>
        <v>-114</v>
      </c>
      <c r="T399" s="1">
        <f t="shared" si="3"/>
        <v>1.877192982</v>
      </c>
      <c r="U399" s="1">
        <f t="shared" si="4"/>
        <v>1</v>
      </c>
      <c r="V399" s="3">
        <f t="shared" si="5"/>
        <v>1</v>
      </c>
      <c r="W399" s="3">
        <f t="shared" si="6"/>
        <v>2</v>
      </c>
      <c r="X399" s="3" t="str">
        <f>IFERROR(__xludf.DUMMYFUNCTION("split(B399,"" "")"),"S.")</f>
        <v>S.</v>
      </c>
      <c r="Y399" s="3" t="str">
        <f>IFERROR(__xludf.DUMMYFUNCTION("""COMPUTED_VALUE"""),"Thompson")</f>
        <v>Thompson</v>
      </c>
      <c r="AA399" s="3">
        <v>0.0</v>
      </c>
      <c r="AB399" s="3">
        <f t="shared" si="7"/>
        <v>0</v>
      </c>
      <c r="AC399" s="3">
        <f t="shared" si="8"/>
        <v>0</v>
      </c>
      <c r="AD399" s="3">
        <f t="shared" si="9"/>
        <v>0.8771929825</v>
      </c>
      <c r="AE399" s="3">
        <f t="shared" si="10"/>
        <v>-1</v>
      </c>
      <c r="AF399" s="3">
        <f t="shared" si="11"/>
        <v>-2</v>
      </c>
      <c r="AG399" s="3">
        <f t="shared" si="12"/>
        <v>-1</v>
      </c>
    </row>
    <row r="400">
      <c r="A400" s="1" t="s">
        <v>12</v>
      </c>
      <c r="B400" s="1" t="s">
        <v>220</v>
      </c>
      <c r="C400" s="1" t="s">
        <v>20</v>
      </c>
      <c r="D400" s="1" t="s">
        <v>94</v>
      </c>
      <c r="E400" s="1" t="s">
        <v>82</v>
      </c>
      <c r="F400" s="1" t="s">
        <v>519</v>
      </c>
      <c r="G400" s="1">
        <v>2.5</v>
      </c>
      <c r="H400" s="1" t="s">
        <v>60</v>
      </c>
      <c r="I400" s="1">
        <v>129.0</v>
      </c>
      <c r="J400" s="1">
        <v>-0.0949355251165939</v>
      </c>
      <c r="K400" s="1" t="s">
        <v>61</v>
      </c>
      <c r="L400" s="1" t="s">
        <v>61</v>
      </c>
      <c r="M400" s="1" t="s">
        <v>62</v>
      </c>
      <c r="N400" s="1">
        <v>-171.0</v>
      </c>
      <c r="O400" s="1">
        <v>0.0272645163774907</v>
      </c>
      <c r="P400" s="1" t="s">
        <v>61</v>
      </c>
      <c r="Q400" s="1" t="s">
        <v>61</v>
      </c>
      <c r="R400" s="1">
        <f t="shared" si="1"/>
        <v>0.02726451638</v>
      </c>
      <c r="S400" s="1">
        <f t="shared" si="2"/>
        <v>-171</v>
      </c>
      <c r="T400" s="1">
        <f t="shared" si="3"/>
        <v>1.584795322</v>
      </c>
      <c r="U400" s="1">
        <f t="shared" si="4"/>
        <v>0</v>
      </c>
      <c r="V400" s="3">
        <f t="shared" si="5"/>
        <v>1</v>
      </c>
      <c r="W400" s="3">
        <f t="shared" si="6"/>
        <v>3</v>
      </c>
      <c r="X400" s="3" t="str">
        <f>IFERROR(__xludf.DUMMYFUNCTION("split(B400,"" "")"),"J.")</f>
        <v>J.</v>
      </c>
      <c r="Y400" s="3" t="str">
        <f>IFERROR(__xludf.DUMMYFUNCTION("""COMPUTED_VALUE"""),"Smith")</f>
        <v>Smith</v>
      </c>
      <c r="AA400" s="3">
        <v>2.0</v>
      </c>
      <c r="AB400" s="3">
        <f t="shared" si="7"/>
        <v>0</v>
      </c>
      <c r="AC400" s="3">
        <f t="shared" si="8"/>
        <v>1</v>
      </c>
      <c r="AD400" s="3">
        <f t="shared" si="9"/>
        <v>0.5847953216</v>
      </c>
      <c r="AE400" s="3">
        <f t="shared" si="10"/>
        <v>0.5847953216</v>
      </c>
      <c r="AF400" s="3">
        <f t="shared" si="11"/>
        <v>1.754385965</v>
      </c>
      <c r="AG400" s="3">
        <f t="shared" si="12"/>
        <v>0.2</v>
      </c>
    </row>
    <row r="401">
      <c r="A401" s="1" t="s">
        <v>8</v>
      </c>
      <c r="B401" s="1" t="s">
        <v>547</v>
      </c>
      <c r="C401" s="1" t="s">
        <v>21</v>
      </c>
      <c r="D401" s="1" t="s">
        <v>94</v>
      </c>
      <c r="E401" s="1" t="s">
        <v>82</v>
      </c>
      <c r="F401" s="1" t="s">
        <v>519</v>
      </c>
      <c r="G401" s="1">
        <v>2.5</v>
      </c>
      <c r="H401" s="1" t="s">
        <v>60</v>
      </c>
      <c r="I401" s="1">
        <v>104.0</v>
      </c>
      <c r="J401" s="1">
        <v>-0.0951393406742227</v>
      </c>
      <c r="K401" s="1" t="s">
        <v>61</v>
      </c>
      <c r="L401" s="1" t="s">
        <v>61</v>
      </c>
      <c r="M401" s="1" t="s">
        <v>62</v>
      </c>
      <c r="N401" s="1">
        <v>-138.0</v>
      </c>
      <c r="O401" s="1">
        <v>0.0251172720855171</v>
      </c>
      <c r="P401" s="1" t="s">
        <v>61</v>
      </c>
      <c r="Q401" s="1" t="s">
        <v>61</v>
      </c>
      <c r="R401" s="1">
        <f t="shared" si="1"/>
        <v>0.02511727209</v>
      </c>
      <c r="S401" s="1">
        <f t="shared" si="2"/>
        <v>-138</v>
      </c>
      <c r="T401" s="1">
        <f t="shared" si="3"/>
        <v>1.724637681</v>
      </c>
      <c r="U401" s="1">
        <f t="shared" si="4"/>
        <v>0</v>
      </c>
      <c r="V401" s="3">
        <f t="shared" si="5"/>
        <v>1</v>
      </c>
      <c r="W401" s="3">
        <f t="shared" si="6"/>
        <v>3</v>
      </c>
      <c r="X401" s="3" t="str">
        <f>IFERROR(__xludf.DUMMYFUNCTION("split(B401,"" "")"),"S.")</f>
        <v>S.</v>
      </c>
      <c r="Y401" s="3" t="str">
        <f>IFERROR(__xludf.DUMMYFUNCTION("""COMPUTED_VALUE"""),"Thompson")</f>
        <v>Thompson</v>
      </c>
      <c r="AA401" s="3">
        <v>0.0</v>
      </c>
      <c r="AB401" s="3">
        <f t="shared" si="7"/>
        <v>0</v>
      </c>
      <c r="AC401" s="3">
        <f t="shared" si="8"/>
        <v>1</v>
      </c>
      <c r="AD401" s="3">
        <f t="shared" si="9"/>
        <v>0.7246376812</v>
      </c>
      <c r="AE401" s="3">
        <f t="shared" si="10"/>
        <v>0.7246376812</v>
      </c>
      <c r="AF401" s="3">
        <f t="shared" si="11"/>
        <v>2.173913043</v>
      </c>
      <c r="AG401" s="3">
        <f t="shared" si="12"/>
        <v>1</v>
      </c>
    </row>
    <row r="402">
      <c r="A402" s="1" t="s">
        <v>11</v>
      </c>
      <c r="B402" s="1" t="s">
        <v>475</v>
      </c>
      <c r="C402" s="1" t="s">
        <v>18</v>
      </c>
      <c r="D402" s="1" t="s">
        <v>94</v>
      </c>
      <c r="E402" s="1" t="s">
        <v>82</v>
      </c>
      <c r="F402" s="1" t="s">
        <v>519</v>
      </c>
      <c r="G402" s="1">
        <v>41.5</v>
      </c>
      <c r="H402" s="1" t="s">
        <v>60</v>
      </c>
      <c r="I402" s="1">
        <v>-116.0</v>
      </c>
      <c r="J402" s="1">
        <v>0.00107644568690734</v>
      </c>
      <c r="K402" s="1" t="s">
        <v>61</v>
      </c>
      <c r="L402" s="1" t="s">
        <v>61</v>
      </c>
      <c r="M402" s="1" t="s">
        <v>62</v>
      </c>
      <c r="N402" s="1">
        <v>-114.0</v>
      </c>
      <c r="O402" s="1">
        <v>-0.0707962309523551</v>
      </c>
      <c r="P402" s="1" t="s">
        <v>61</v>
      </c>
      <c r="Q402" s="1" t="s">
        <v>61</v>
      </c>
      <c r="R402" s="1">
        <f t="shared" si="1"/>
        <v>0.001076445687</v>
      </c>
      <c r="S402" s="1">
        <f t="shared" si="2"/>
        <v>-116</v>
      </c>
      <c r="T402" s="1">
        <f t="shared" si="3"/>
        <v>1.862068966</v>
      </c>
      <c r="U402" s="1">
        <f t="shared" si="4"/>
        <v>1</v>
      </c>
      <c r="V402" s="3">
        <f t="shared" si="5"/>
        <v>1</v>
      </c>
      <c r="W402" s="3">
        <f t="shared" si="6"/>
        <v>2</v>
      </c>
      <c r="X402" s="3" t="str">
        <f>IFERROR(__xludf.DUMMYFUNCTION("split(B402,"" "")"),"J.")</f>
        <v>J.</v>
      </c>
      <c r="Y402" s="3" t="str">
        <f>IFERROR(__xludf.DUMMYFUNCTION("""COMPUTED_VALUE"""),"Waddle")</f>
        <v>Waddle</v>
      </c>
      <c r="AA402" s="3">
        <v>26.0</v>
      </c>
      <c r="AB402" s="3">
        <f t="shared" si="7"/>
        <v>0</v>
      </c>
      <c r="AC402" s="3">
        <f t="shared" si="8"/>
        <v>0</v>
      </c>
      <c r="AD402" s="3">
        <f t="shared" si="9"/>
        <v>0.8620689655</v>
      </c>
      <c r="AE402" s="3">
        <f t="shared" si="10"/>
        <v>-1</v>
      </c>
      <c r="AF402" s="3">
        <f t="shared" si="11"/>
        <v>-2</v>
      </c>
      <c r="AG402" s="3">
        <f t="shared" si="12"/>
        <v>-0.3734939759</v>
      </c>
    </row>
    <row r="403">
      <c r="A403" s="1" t="s">
        <v>16</v>
      </c>
      <c r="B403" s="1" t="s">
        <v>547</v>
      </c>
      <c r="C403" s="1" t="s">
        <v>21</v>
      </c>
      <c r="D403" s="1" t="s">
        <v>94</v>
      </c>
      <c r="E403" s="1" t="s">
        <v>82</v>
      </c>
      <c r="F403" s="1" t="s">
        <v>519</v>
      </c>
      <c r="G403" s="1">
        <v>30.5</v>
      </c>
      <c r="H403" s="1" t="s">
        <v>60</v>
      </c>
      <c r="I403" s="1">
        <v>-129.0</v>
      </c>
      <c r="J403" s="1">
        <v>-0.0665061135371177</v>
      </c>
      <c r="K403" s="1" t="s">
        <v>61</v>
      </c>
      <c r="L403" s="1" t="s">
        <v>61</v>
      </c>
      <c r="M403" s="1" t="s">
        <v>62</v>
      </c>
      <c r="N403" s="1">
        <v>-101.0</v>
      </c>
      <c r="O403" s="1">
        <v>7.12935323383012E-4</v>
      </c>
      <c r="P403" s="1" t="s">
        <v>61</v>
      </c>
      <c r="Q403" s="1" t="s">
        <v>61</v>
      </c>
      <c r="R403" s="1">
        <f t="shared" si="1"/>
        <v>0.0007129353234</v>
      </c>
      <c r="S403" s="1">
        <f t="shared" si="2"/>
        <v>-101</v>
      </c>
      <c r="T403" s="1">
        <f t="shared" si="3"/>
        <v>1.99009901</v>
      </c>
      <c r="U403" s="1">
        <f t="shared" si="4"/>
        <v>0</v>
      </c>
      <c r="V403" s="3">
        <f t="shared" si="5"/>
        <v>1</v>
      </c>
      <c r="W403" s="3">
        <f t="shared" si="6"/>
        <v>2</v>
      </c>
      <c r="X403" s="3" t="str">
        <f>IFERROR(__xludf.DUMMYFUNCTION("split(B403,"" "")"),"S.")</f>
        <v>S.</v>
      </c>
      <c r="Y403" s="3" t="str">
        <f>IFERROR(__xludf.DUMMYFUNCTION("""COMPUTED_VALUE"""),"Thompson")</f>
        <v>Thompson</v>
      </c>
      <c r="AA403" s="3">
        <v>19.0</v>
      </c>
      <c r="AB403" s="3">
        <f t="shared" si="7"/>
        <v>0</v>
      </c>
      <c r="AC403" s="3">
        <f t="shared" si="8"/>
        <v>1</v>
      </c>
      <c r="AD403" s="3">
        <f t="shared" si="9"/>
        <v>0.9900990099</v>
      </c>
      <c r="AE403" s="3">
        <f t="shared" si="10"/>
        <v>0.9900990099</v>
      </c>
      <c r="AF403" s="3">
        <f t="shared" si="11"/>
        <v>1.98019802</v>
      </c>
      <c r="AG403" s="3">
        <f t="shared" si="12"/>
        <v>0.3770491803</v>
      </c>
    </row>
    <row r="404">
      <c r="A404" s="1" t="s">
        <v>12</v>
      </c>
      <c r="B404" s="1" t="s">
        <v>377</v>
      </c>
      <c r="C404" s="1" t="s">
        <v>19</v>
      </c>
      <c r="D404" s="1" t="s">
        <v>146</v>
      </c>
      <c r="E404" s="1" t="s">
        <v>72</v>
      </c>
      <c r="F404" s="1" t="s">
        <v>525</v>
      </c>
      <c r="G404" s="1">
        <v>1.5</v>
      </c>
      <c r="H404" s="1" t="s">
        <v>60</v>
      </c>
      <c r="I404" s="1">
        <v>-134.0</v>
      </c>
      <c r="J404" s="1">
        <v>-0.283584709423077</v>
      </c>
      <c r="K404" s="1" t="s">
        <v>61</v>
      </c>
      <c r="L404" s="1" t="s">
        <v>61</v>
      </c>
      <c r="M404" s="1" t="s">
        <v>62</v>
      </c>
      <c r="N404" s="1">
        <v>101.0</v>
      </c>
      <c r="O404" s="1">
        <v>0.213428467686567</v>
      </c>
      <c r="P404" s="1" t="s">
        <v>61</v>
      </c>
      <c r="Q404" s="1" t="s">
        <v>61</v>
      </c>
      <c r="R404" s="1">
        <f t="shared" si="1"/>
        <v>0.2134284677</v>
      </c>
      <c r="S404" s="1">
        <f t="shared" si="2"/>
        <v>101</v>
      </c>
      <c r="T404" s="1">
        <f t="shared" si="3"/>
        <v>2.01</v>
      </c>
      <c r="U404" s="1">
        <f t="shared" si="4"/>
        <v>0</v>
      </c>
      <c r="V404" s="3">
        <f t="shared" si="5"/>
        <v>3</v>
      </c>
      <c r="W404" s="3">
        <f t="shared" si="6"/>
        <v>2</v>
      </c>
      <c r="X404" s="3" t="str">
        <f>IFERROR(__xludf.DUMMYFUNCTION("split(B404,"" "")"),"T.")</f>
        <v>T.</v>
      </c>
      <c r="Y404" s="3" t="str">
        <f>IFERROR(__xludf.DUMMYFUNCTION("""COMPUTED_VALUE"""),"Chandler")</f>
        <v>Chandler</v>
      </c>
      <c r="AA404" s="3">
        <v>0.0</v>
      </c>
      <c r="AB404" s="3">
        <f t="shared" si="7"/>
        <v>0</v>
      </c>
      <c r="AC404" s="3">
        <f t="shared" si="8"/>
        <v>1</v>
      </c>
      <c r="AD404" s="3">
        <f t="shared" si="9"/>
        <v>3.03</v>
      </c>
      <c r="AE404" s="3">
        <f t="shared" si="10"/>
        <v>3.03</v>
      </c>
      <c r="AF404" s="3">
        <f t="shared" si="11"/>
        <v>2.02</v>
      </c>
      <c r="AG404" s="3">
        <f t="shared" si="12"/>
        <v>1</v>
      </c>
    </row>
    <row r="405">
      <c r="A405" s="1" t="s">
        <v>12</v>
      </c>
      <c r="B405" s="1" t="s">
        <v>304</v>
      </c>
      <c r="C405" s="1" t="s">
        <v>19</v>
      </c>
      <c r="D405" s="1" t="s">
        <v>146</v>
      </c>
      <c r="E405" s="1" t="s">
        <v>72</v>
      </c>
      <c r="F405" s="1" t="s">
        <v>525</v>
      </c>
      <c r="G405" s="1">
        <v>2.5</v>
      </c>
      <c r="H405" s="1" t="s">
        <v>60</v>
      </c>
      <c r="I405" s="1">
        <v>-160.0</v>
      </c>
      <c r="J405" s="1">
        <v>-0.265283097807692</v>
      </c>
      <c r="K405" s="1" t="s">
        <v>61</v>
      </c>
      <c r="L405" s="1" t="s">
        <v>61</v>
      </c>
      <c r="M405" s="1" t="s">
        <v>62</v>
      </c>
      <c r="N405" s="1">
        <v>122.0</v>
      </c>
      <c r="O405" s="1">
        <v>0.199447772207207</v>
      </c>
      <c r="P405" s="1" t="s">
        <v>61</v>
      </c>
      <c r="Q405" s="1" t="s">
        <v>61</v>
      </c>
      <c r="R405" s="1">
        <f t="shared" si="1"/>
        <v>0.1994477722</v>
      </c>
      <c r="S405" s="1">
        <f t="shared" si="2"/>
        <v>122</v>
      </c>
      <c r="T405" s="1">
        <f t="shared" si="3"/>
        <v>2.22</v>
      </c>
      <c r="U405" s="1">
        <f t="shared" si="4"/>
        <v>0</v>
      </c>
      <c r="V405" s="3">
        <f t="shared" si="5"/>
        <v>3</v>
      </c>
      <c r="W405" s="3">
        <f t="shared" si="6"/>
        <v>1</v>
      </c>
      <c r="X405" s="3" t="str">
        <f>IFERROR(__xludf.DUMMYFUNCTION("split(B405,"" "")"),"A.")</f>
        <v>A.</v>
      </c>
      <c r="Y405" s="3" t="str">
        <f>IFERROR(__xludf.DUMMYFUNCTION("""COMPUTED_VALUE"""),"Jones")</f>
        <v>Jones</v>
      </c>
      <c r="AA405" s="3">
        <v>5.0</v>
      </c>
      <c r="AB405" s="3">
        <f t="shared" si="7"/>
        <v>1</v>
      </c>
      <c r="AC405" s="3">
        <f t="shared" si="8"/>
        <v>0</v>
      </c>
      <c r="AD405" s="3">
        <f t="shared" si="9"/>
        <v>3.66</v>
      </c>
      <c r="AE405" s="3">
        <f t="shared" si="10"/>
        <v>-3</v>
      </c>
      <c r="AF405" s="3">
        <f t="shared" si="11"/>
        <v>-1</v>
      </c>
      <c r="AG405" s="3">
        <f t="shared" si="12"/>
        <v>-1</v>
      </c>
    </row>
    <row r="406">
      <c r="A406" s="1" t="s">
        <v>12</v>
      </c>
      <c r="B406" s="1" t="s">
        <v>548</v>
      </c>
      <c r="C406" s="1" t="s">
        <v>18</v>
      </c>
      <c r="D406" s="1" t="s">
        <v>146</v>
      </c>
      <c r="E406" s="1" t="s">
        <v>72</v>
      </c>
      <c r="F406" s="1" t="s">
        <v>525</v>
      </c>
      <c r="G406" s="1">
        <v>1.5</v>
      </c>
      <c r="H406" s="1" t="s">
        <v>60</v>
      </c>
      <c r="I406" s="1">
        <v>-155.0</v>
      </c>
      <c r="J406" s="1">
        <v>-0.217681387529411</v>
      </c>
      <c r="K406" s="1" t="s">
        <v>61</v>
      </c>
      <c r="L406" s="1" t="s">
        <v>61</v>
      </c>
      <c r="M406" s="1" t="s">
        <v>62</v>
      </c>
      <c r="N406" s="1">
        <v>118.0</v>
      </c>
      <c r="O406" s="1">
        <v>0.151129145963302</v>
      </c>
      <c r="P406" s="1" t="s">
        <v>61</v>
      </c>
      <c r="Q406" s="1" t="s">
        <v>61</v>
      </c>
      <c r="R406" s="1">
        <f t="shared" si="1"/>
        <v>0.151129146</v>
      </c>
      <c r="S406" s="1">
        <f t="shared" si="2"/>
        <v>118</v>
      </c>
      <c r="T406" s="1">
        <f t="shared" si="3"/>
        <v>2.18</v>
      </c>
      <c r="U406" s="1">
        <f t="shared" si="4"/>
        <v>0</v>
      </c>
      <c r="V406" s="3">
        <f t="shared" si="5"/>
        <v>3</v>
      </c>
      <c r="W406" s="3">
        <f t="shared" si="6"/>
        <v>1</v>
      </c>
      <c r="X406" s="3" t="str">
        <f>IFERROR(__xludf.DUMMYFUNCTION("split(B406,"" "")"),"B.")</f>
        <v>B.</v>
      </c>
      <c r="Y406" s="3" t="str">
        <f>IFERROR(__xludf.DUMMYFUNCTION("""COMPUTED_VALUE"""),"Powell")</f>
        <v>Powell</v>
      </c>
      <c r="AA406" s="3">
        <v>1.0</v>
      </c>
      <c r="AB406" s="3">
        <f t="shared" si="7"/>
        <v>0</v>
      </c>
      <c r="AC406" s="3">
        <f t="shared" si="8"/>
        <v>1</v>
      </c>
      <c r="AD406" s="3">
        <f t="shared" si="9"/>
        <v>3.54</v>
      </c>
      <c r="AE406" s="3">
        <f t="shared" si="10"/>
        <v>3.54</v>
      </c>
      <c r="AF406" s="3">
        <f t="shared" si="11"/>
        <v>1.18</v>
      </c>
      <c r="AG406" s="3">
        <f t="shared" si="12"/>
        <v>0.3333333333</v>
      </c>
    </row>
    <row r="407">
      <c r="A407" s="1" t="s">
        <v>12</v>
      </c>
      <c r="B407" s="1" t="s">
        <v>185</v>
      </c>
      <c r="C407" s="1" t="s">
        <v>20</v>
      </c>
      <c r="D407" s="1" t="s">
        <v>146</v>
      </c>
      <c r="E407" s="1" t="s">
        <v>72</v>
      </c>
      <c r="F407" s="1" t="s">
        <v>525</v>
      </c>
      <c r="G407" s="1">
        <v>2.5</v>
      </c>
      <c r="H407" s="1" t="s">
        <v>60</v>
      </c>
      <c r="I407" s="1">
        <v>-135.0</v>
      </c>
      <c r="J407" s="1">
        <v>-0.207966082893616</v>
      </c>
      <c r="K407" s="1" t="s">
        <v>61</v>
      </c>
      <c r="L407" s="1" t="s">
        <v>61</v>
      </c>
      <c r="M407" s="1" t="s">
        <v>62</v>
      </c>
      <c r="N407" s="1">
        <v>103.0</v>
      </c>
      <c r="O407" s="1">
        <v>0.140886844729064</v>
      </c>
      <c r="P407" s="1" t="s">
        <v>61</v>
      </c>
      <c r="Q407" s="1" t="s">
        <v>61</v>
      </c>
      <c r="R407" s="1">
        <f t="shared" si="1"/>
        <v>0.1408868447</v>
      </c>
      <c r="S407" s="1">
        <f t="shared" si="2"/>
        <v>103</v>
      </c>
      <c r="T407" s="1">
        <f t="shared" si="3"/>
        <v>2.03</v>
      </c>
      <c r="U407" s="1">
        <f t="shared" si="4"/>
        <v>0</v>
      </c>
      <c r="V407" s="3">
        <f t="shared" si="5"/>
        <v>3</v>
      </c>
      <c r="W407" s="3">
        <f t="shared" si="6"/>
        <v>2</v>
      </c>
      <c r="X407" s="3" t="str">
        <f>IFERROR(__xludf.DUMMYFUNCTION("split(B407,"" "")"),"J.")</f>
        <v>J.</v>
      </c>
      <c r="Y407" s="3" t="str">
        <f>IFERROR(__xludf.DUMMYFUNCTION("""COMPUTED_VALUE"""),"Mundt")</f>
        <v>Mundt</v>
      </c>
      <c r="AA407" s="3">
        <v>1.0</v>
      </c>
      <c r="AB407" s="3">
        <f t="shared" si="7"/>
        <v>0</v>
      </c>
      <c r="AC407" s="3">
        <f t="shared" si="8"/>
        <v>1</v>
      </c>
      <c r="AD407" s="3">
        <f t="shared" si="9"/>
        <v>3.09</v>
      </c>
      <c r="AE407" s="3">
        <f t="shared" si="10"/>
        <v>3.09</v>
      </c>
      <c r="AF407" s="3">
        <f t="shared" si="11"/>
        <v>2.06</v>
      </c>
      <c r="AG407" s="3">
        <f t="shared" si="12"/>
        <v>0.6</v>
      </c>
    </row>
    <row r="408">
      <c r="A408" s="1" t="s">
        <v>12</v>
      </c>
      <c r="B408" s="1" t="s">
        <v>549</v>
      </c>
      <c r="C408" s="1" t="s">
        <v>18</v>
      </c>
      <c r="D408" s="1" t="s">
        <v>146</v>
      </c>
      <c r="E408" s="1" t="s">
        <v>72</v>
      </c>
      <c r="F408" s="1" t="s">
        <v>525</v>
      </c>
      <c r="G408" s="1">
        <v>2.5</v>
      </c>
      <c r="H408" s="1" t="s">
        <v>60</v>
      </c>
      <c r="I408" s="1">
        <v>-153.0</v>
      </c>
      <c r="J408" s="1">
        <v>-0.202219441581027</v>
      </c>
      <c r="K408" s="1" t="s">
        <v>61</v>
      </c>
      <c r="L408" s="1" t="s">
        <v>61</v>
      </c>
      <c r="M408" s="1" t="s">
        <v>62</v>
      </c>
      <c r="N408" s="1">
        <v>117.0</v>
      </c>
      <c r="O408" s="1">
        <v>0.136659533271889</v>
      </c>
      <c r="P408" s="1" t="s">
        <v>61</v>
      </c>
      <c r="Q408" s="1" t="s">
        <v>61</v>
      </c>
      <c r="R408" s="1">
        <f t="shared" si="1"/>
        <v>0.1366595333</v>
      </c>
      <c r="S408" s="1">
        <f t="shared" si="2"/>
        <v>117</v>
      </c>
      <c r="T408" s="1">
        <f t="shared" si="3"/>
        <v>2.17</v>
      </c>
      <c r="U408" s="1">
        <f t="shared" si="4"/>
        <v>0</v>
      </c>
      <c r="V408" s="3">
        <f t="shared" si="5"/>
        <v>3</v>
      </c>
      <c r="W408" s="3">
        <f t="shared" si="6"/>
        <v>1</v>
      </c>
      <c r="X408" s="3" t="str">
        <f>IFERROR(__xludf.DUMMYFUNCTION("split(B408,"" "")"),"J.")</f>
        <v>J.</v>
      </c>
      <c r="Y408" s="3" t="str">
        <f>IFERROR(__xludf.DUMMYFUNCTION("""COMPUTED_VALUE"""),"Nailor")</f>
        <v>Nailor</v>
      </c>
      <c r="AA408" s="3">
        <v>3.0</v>
      </c>
      <c r="AB408" s="3">
        <f t="shared" si="7"/>
        <v>1</v>
      </c>
      <c r="AC408" s="3">
        <f t="shared" si="8"/>
        <v>0</v>
      </c>
      <c r="AD408" s="3">
        <f t="shared" si="9"/>
        <v>3.51</v>
      </c>
      <c r="AE408" s="3">
        <f t="shared" si="10"/>
        <v>-3</v>
      </c>
      <c r="AF408" s="3">
        <f t="shared" si="11"/>
        <v>-1</v>
      </c>
      <c r="AG408" s="3">
        <f t="shared" si="12"/>
        <v>-0.2</v>
      </c>
    </row>
    <row r="409">
      <c r="A409" s="1" t="s">
        <v>8</v>
      </c>
      <c r="B409" s="1" t="s">
        <v>145</v>
      </c>
      <c r="C409" s="1" t="s">
        <v>21</v>
      </c>
      <c r="D409" s="1" t="s">
        <v>146</v>
      </c>
      <c r="E409" s="1" t="s">
        <v>72</v>
      </c>
      <c r="F409" s="1" t="s">
        <v>525</v>
      </c>
      <c r="G409" s="1">
        <v>3.5</v>
      </c>
      <c r="H409" s="1" t="s">
        <v>60</v>
      </c>
      <c r="I409" s="1">
        <v>-115.0</v>
      </c>
      <c r="J409" s="1">
        <v>-0.204531524480901</v>
      </c>
      <c r="K409" s="1" t="s">
        <v>61</v>
      </c>
      <c r="L409" s="1" t="s">
        <v>61</v>
      </c>
      <c r="M409" s="1" t="s">
        <v>62</v>
      </c>
      <c r="N409" s="1">
        <v>-118.0</v>
      </c>
      <c r="O409" s="1">
        <v>0.128354852113783</v>
      </c>
      <c r="P409" s="1" t="s">
        <v>61</v>
      </c>
      <c r="Q409" s="1" t="s">
        <v>61</v>
      </c>
      <c r="R409" s="1">
        <f t="shared" si="1"/>
        <v>0.1283548521</v>
      </c>
      <c r="S409" s="1">
        <f t="shared" si="2"/>
        <v>-118</v>
      </c>
      <c r="T409" s="1">
        <f t="shared" si="3"/>
        <v>1.847457627</v>
      </c>
      <c r="U409" s="1">
        <f t="shared" si="4"/>
        <v>0</v>
      </c>
      <c r="V409" s="3">
        <f t="shared" si="5"/>
        <v>3</v>
      </c>
      <c r="W409" s="3">
        <f t="shared" si="6"/>
        <v>3</v>
      </c>
      <c r="X409" s="3" t="str">
        <f>IFERROR(__xludf.DUMMYFUNCTION("split(B409,"" "")"),"S.")</f>
        <v>S.</v>
      </c>
      <c r="Y409" s="3" t="str">
        <f>IFERROR(__xludf.DUMMYFUNCTION("""COMPUTED_VALUE"""),"Darnold")</f>
        <v>Darnold</v>
      </c>
      <c r="AA409" s="3">
        <v>0.0</v>
      </c>
      <c r="AB409" s="3">
        <f t="shared" si="7"/>
        <v>0</v>
      </c>
      <c r="AC409" s="3">
        <f t="shared" si="8"/>
        <v>1</v>
      </c>
      <c r="AD409" s="3">
        <f t="shared" si="9"/>
        <v>2.542372881</v>
      </c>
      <c r="AE409" s="3">
        <f t="shared" si="10"/>
        <v>2.542372881</v>
      </c>
      <c r="AF409" s="3">
        <f t="shared" si="11"/>
        <v>2.542372881</v>
      </c>
      <c r="AG409" s="3">
        <f t="shared" si="12"/>
        <v>1</v>
      </c>
    </row>
    <row r="410">
      <c r="A410" s="1" t="s">
        <v>9</v>
      </c>
      <c r="B410" s="1" t="s">
        <v>548</v>
      </c>
      <c r="C410" s="1" t="s">
        <v>18</v>
      </c>
      <c r="D410" s="1" t="s">
        <v>146</v>
      </c>
      <c r="E410" s="1" t="s">
        <v>72</v>
      </c>
      <c r="F410" s="1" t="s">
        <v>525</v>
      </c>
      <c r="G410" s="1">
        <v>18.5</v>
      </c>
      <c r="H410" s="1" t="s">
        <v>60</v>
      </c>
      <c r="I410" s="1">
        <v>-120.0</v>
      </c>
      <c r="J410" s="1">
        <v>0.107078671261599</v>
      </c>
      <c r="K410" s="1" t="s">
        <v>61</v>
      </c>
      <c r="L410" s="1" t="s">
        <v>61</v>
      </c>
      <c r="M410" s="1" t="s">
        <v>62</v>
      </c>
      <c r="N410" s="1">
        <v>-113.0</v>
      </c>
      <c r="O410" s="1">
        <v>-0.182988345894992</v>
      </c>
      <c r="P410" s="1" t="s">
        <v>61</v>
      </c>
      <c r="Q410" s="1" t="s">
        <v>61</v>
      </c>
      <c r="R410" s="1">
        <f t="shared" si="1"/>
        <v>0.1070786713</v>
      </c>
      <c r="S410" s="1">
        <f t="shared" si="2"/>
        <v>-120</v>
      </c>
      <c r="T410" s="1">
        <f t="shared" si="3"/>
        <v>1.833333333</v>
      </c>
      <c r="U410" s="1">
        <f t="shared" si="4"/>
        <v>1</v>
      </c>
      <c r="V410" s="3">
        <f t="shared" si="5"/>
        <v>3</v>
      </c>
      <c r="W410" s="3">
        <f t="shared" si="6"/>
        <v>3</v>
      </c>
      <c r="X410" s="3" t="str">
        <f>IFERROR(__xludf.DUMMYFUNCTION("split(B410,"" "")"),"B.")</f>
        <v>B.</v>
      </c>
      <c r="Y410" s="3" t="str">
        <f>IFERROR(__xludf.DUMMYFUNCTION("""COMPUTED_VALUE"""),"Powell")</f>
        <v>Powell</v>
      </c>
      <c r="AA410" s="3">
        <v>13.0</v>
      </c>
      <c r="AB410" s="3">
        <f t="shared" si="7"/>
        <v>0</v>
      </c>
      <c r="AC410" s="3">
        <f t="shared" si="8"/>
        <v>0</v>
      </c>
      <c r="AD410" s="3">
        <f t="shared" si="9"/>
        <v>2.5</v>
      </c>
      <c r="AE410" s="3">
        <f t="shared" si="10"/>
        <v>-3</v>
      </c>
      <c r="AF410" s="3">
        <f t="shared" si="11"/>
        <v>-3</v>
      </c>
      <c r="AG410" s="3">
        <f t="shared" si="12"/>
        <v>-0.2972972973</v>
      </c>
    </row>
    <row r="411">
      <c r="A411" s="1" t="s">
        <v>11</v>
      </c>
      <c r="B411" s="1" t="s">
        <v>550</v>
      </c>
      <c r="C411" s="1" t="s">
        <v>20</v>
      </c>
      <c r="D411" s="1" t="s">
        <v>146</v>
      </c>
      <c r="E411" s="1" t="s">
        <v>72</v>
      </c>
      <c r="F411" s="1" t="s">
        <v>525</v>
      </c>
      <c r="G411" s="1">
        <v>7.5</v>
      </c>
      <c r="H411" s="1" t="s">
        <v>60</v>
      </c>
      <c r="I411" s="1">
        <v>-106.0</v>
      </c>
      <c r="J411" s="1">
        <v>0.0964811434670697</v>
      </c>
      <c r="K411" s="1" t="s">
        <v>61</v>
      </c>
      <c r="L411" s="1" t="s">
        <v>61</v>
      </c>
      <c r="M411" s="1" t="s">
        <v>62</v>
      </c>
      <c r="N411" s="1">
        <v>-122.0</v>
      </c>
      <c r="O411" s="1">
        <v>-0.160546815207855</v>
      </c>
      <c r="P411" s="1" t="s">
        <v>61</v>
      </c>
      <c r="Q411" s="1" t="s">
        <v>61</v>
      </c>
      <c r="R411" s="1">
        <f t="shared" si="1"/>
        <v>0.09648114347</v>
      </c>
      <c r="S411" s="1">
        <f t="shared" si="2"/>
        <v>-106</v>
      </c>
      <c r="T411" s="1">
        <f t="shared" si="3"/>
        <v>1.943396226</v>
      </c>
      <c r="U411" s="1">
        <f t="shared" si="4"/>
        <v>1</v>
      </c>
      <c r="V411" s="3">
        <f t="shared" si="5"/>
        <v>2</v>
      </c>
      <c r="W411" s="3">
        <f t="shared" si="6"/>
        <v>2</v>
      </c>
      <c r="X411" s="3" t="str">
        <f>IFERROR(__xludf.DUMMYFUNCTION("split(B411,"" "")"),"J.")</f>
        <v>J.</v>
      </c>
      <c r="Y411" s="3" t="str">
        <f>IFERROR(__xludf.DUMMYFUNCTION("""COMPUTED_VALUE"""),"Oliver")</f>
        <v>Oliver</v>
      </c>
      <c r="AA411" s="3">
        <v>0.0</v>
      </c>
      <c r="AB411" s="3">
        <f t="shared" si="7"/>
        <v>0</v>
      </c>
      <c r="AC411" s="3">
        <f t="shared" si="8"/>
        <v>0</v>
      </c>
      <c r="AD411" s="3">
        <f t="shared" si="9"/>
        <v>1.886792453</v>
      </c>
      <c r="AE411" s="3">
        <f t="shared" si="10"/>
        <v>-2</v>
      </c>
      <c r="AF411" s="3">
        <f t="shared" si="11"/>
        <v>-2</v>
      </c>
      <c r="AG411" s="3">
        <f t="shared" si="12"/>
        <v>-1</v>
      </c>
    </row>
    <row r="412">
      <c r="A412" s="1" t="s">
        <v>8</v>
      </c>
      <c r="B412" s="1" t="s">
        <v>377</v>
      </c>
      <c r="C412" s="1" t="s">
        <v>19</v>
      </c>
      <c r="D412" s="1" t="s">
        <v>146</v>
      </c>
      <c r="E412" s="1" t="s">
        <v>72</v>
      </c>
      <c r="F412" s="1" t="s">
        <v>525</v>
      </c>
      <c r="G412" s="1">
        <v>9.5</v>
      </c>
      <c r="H412" s="1" t="s">
        <v>60</v>
      </c>
      <c r="I412" s="1">
        <v>116.0</v>
      </c>
      <c r="J412" s="1">
        <v>-0.162061157534239</v>
      </c>
      <c r="K412" s="1" t="s">
        <v>61</v>
      </c>
      <c r="L412" s="1" t="s">
        <v>61</v>
      </c>
      <c r="M412" s="1" t="s">
        <v>62</v>
      </c>
      <c r="N412" s="1">
        <v>-155.0</v>
      </c>
      <c r="O412" s="1">
        <v>0.0912548192781043</v>
      </c>
      <c r="P412" s="1" t="s">
        <v>61</v>
      </c>
      <c r="Q412" s="1" t="s">
        <v>61</v>
      </c>
      <c r="R412" s="1">
        <f t="shared" si="1"/>
        <v>0.09125481928</v>
      </c>
      <c r="S412" s="1">
        <f t="shared" si="2"/>
        <v>-155</v>
      </c>
      <c r="T412" s="1">
        <f t="shared" si="3"/>
        <v>1.64516129</v>
      </c>
      <c r="U412" s="1">
        <f t="shared" si="4"/>
        <v>0</v>
      </c>
      <c r="V412" s="3">
        <f t="shared" si="5"/>
        <v>2</v>
      </c>
      <c r="W412" s="3">
        <f t="shared" si="6"/>
        <v>3</v>
      </c>
      <c r="X412" s="3" t="str">
        <f>IFERROR(__xludf.DUMMYFUNCTION("split(B412,"" "")"),"T.")</f>
        <v>T.</v>
      </c>
      <c r="Y412" s="3" t="str">
        <f>IFERROR(__xludf.DUMMYFUNCTION("""COMPUTED_VALUE"""),"Chandler")</f>
        <v>Chandler</v>
      </c>
      <c r="AA412" s="3">
        <v>7.0</v>
      </c>
      <c r="AB412" s="3">
        <f t="shared" si="7"/>
        <v>0</v>
      </c>
      <c r="AC412" s="3">
        <f t="shared" si="8"/>
        <v>1</v>
      </c>
      <c r="AD412" s="3">
        <f t="shared" si="9"/>
        <v>1.290322581</v>
      </c>
      <c r="AE412" s="3">
        <f t="shared" si="10"/>
        <v>1.290322581</v>
      </c>
      <c r="AF412" s="3">
        <f t="shared" si="11"/>
        <v>1.935483871</v>
      </c>
      <c r="AG412" s="3">
        <f t="shared" si="12"/>
        <v>0.2631578947</v>
      </c>
    </row>
    <row r="413">
      <c r="A413" s="1" t="s">
        <v>11</v>
      </c>
      <c r="B413" s="1" t="s">
        <v>304</v>
      </c>
      <c r="C413" s="1" t="s">
        <v>19</v>
      </c>
      <c r="D413" s="1" t="s">
        <v>146</v>
      </c>
      <c r="E413" s="1" t="s">
        <v>72</v>
      </c>
      <c r="F413" s="1" t="s">
        <v>525</v>
      </c>
      <c r="G413" s="1">
        <v>18.5</v>
      </c>
      <c r="H413" s="1" t="s">
        <v>60</v>
      </c>
      <c r="I413" s="1">
        <v>-129.0</v>
      </c>
      <c r="J413" s="1">
        <v>-0.104943794090707</v>
      </c>
      <c r="K413" s="1" t="s">
        <v>61</v>
      </c>
      <c r="L413" s="1" t="s">
        <v>61</v>
      </c>
      <c r="M413" s="1" t="s">
        <v>62</v>
      </c>
      <c r="N413" s="1">
        <v>-102.0</v>
      </c>
      <c r="O413" s="1">
        <v>0.0366940664539972</v>
      </c>
      <c r="P413" s="1" t="s">
        <v>61</v>
      </c>
      <c r="Q413" s="1" t="s">
        <v>61</v>
      </c>
      <c r="R413" s="1">
        <f t="shared" si="1"/>
        <v>0.03669406645</v>
      </c>
      <c r="S413" s="1">
        <f t="shared" si="2"/>
        <v>-102</v>
      </c>
      <c r="T413" s="1">
        <f t="shared" si="3"/>
        <v>1.980392157</v>
      </c>
      <c r="U413" s="1">
        <f t="shared" si="4"/>
        <v>0</v>
      </c>
      <c r="V413" s="3">
        <f t="shared" si="5"/>
        <v>1</v>
      </c>
      <c r="W413" s="3">
        <f t="shared" si="6"/>
        <v>2</v>
      </c>
      <c r="X413" s="3" t="str">
        <f>IFERROR(__xludf.DUMMYFUNCTION("split(B413,"" "")"),"A.")</f>
        <v>A.</v>
      </c>
      <c r="Y413" s="3" t="str">
        <f>IFERROR(__xludf.DUMMYFUNCTION("""COMPUTED_VALUE"""),"Jones")</f>
        <v>Jones</v>
      </c>
      <c r="AA413" s="3">
        <v>46.0</v>
      </c>
      <c r="AB413" s="3">
        <f t="shared" si="7"/>
        <v>1</v>
      </c>
      <c r="AC413" s="3">
        <f t="shared" si="8"/>
        <v>0</v>
      </c>
      <c r="AD413" s="3">
        <f t="shared" si="9"/>
        <v>0.9803921569</v>
      </c>
      <c r="AE413" s="3">
        <f t="shared" si="10"/>
        <v>-1</v>
      </c>
      <c r="AF413" s="3">
        <f t="shared" si="11"/>
        <v>-2</v>
      </c>
      <c r="AG413" s="3">
        <f t="shared" si="12"/>
        <v>-1.486486486</v>
      </c>
    </row>
    <row r="414">
      <c r="A414" s="1" t="s">
        <v>11</v>
      </c>
      <c r="B414" s="1" t="s">
        <v>185</v>
      </c>
      <c r="C414" s="1" t="s">
        <v>20</v>
      </c>
      <c r="D414" s="1" t="s">
        <v>146</v>
      </c>
      <c r="E414" s="1" t="s">
        <v>72</v>
      </c>
      <c r="F414" s="1" t="s">
        <v>525</v>
      </c>
      <c r="G414" s="1">
        <v>23.5</v>
      </c>
      <c r="H414" s="1" t="s">
        <v>60</v>
      </c>
      <c r="I414" s="1">
        <v>-119.0</v>
      </c>
      <c r="J414" s="1">
        <v>-0.100972983243698</v>
      </c>
      <c r="K414" s="1" t="s">
        <v>61</v>
      </c>
      <c r="L414" s="1" t="s">
        <v>61</v>
      </c>
      <c r="M414" s="1" t="s">
        <v>62</v>
      </c>
      <c r="N414" s="1">
        <v>-110.0</v>
      </c>
      <c r="O414" s="1">
        <v>0.0338424364924142</v>
      </c>
      <c r="P414" s="1" t="s">
        <v>61</v>
      </c>
      <c r="Q414" s="1" t="s">
        <v>61</v>
      </c>
      <c r="R414" s="1">
        <f t="shared" si="1"/>
        <v>0.03384243649</v>
      </c>
      <c r="S414" s="1">
        <f t="shared" si="2"/>
        <v>-110</v>
      </c>
      <c r="T414" s="1">
        <f t="shared" si="3"/>
        <v>1.909090909</v>
      </c>
      <c r="U414" s="1">
        <f t="shared" si="4"/>
        <v>0</v>
      </c>
      <c r="V414" s="3">
        <f t="shared" si="5"/>
        <v>1</v>
      </c>
      <c r="W414" s="3">
        <f t="shared" si="6"/>
        <v>2</v>
      </c>
      <c r="X414" s="3" t="str">
        <f>IFERROR(__xludf.DUMMYFUNCTION("split(B414,"" "")"),"J.")</f>
        <v>J.</v>
      </c>
      <c r="Y414" s="3" t="str">
        <f>IFERROR(__xludf.DUMMYFUNCTION("""COMPUTED_VALUE"""),"Mundt")</f>
        <v>Mundt</v>
      </c>
      <c r="AA414" s="3">
        <v>2.0</v>
      </c>
      <c r="AB414" s="3">
        <f t="shared" si="7"/>
        <v>0</v>
      </c>
      <c r="AC414" s="3">
        <f t="shared" si="8"/>
        <v>1</v>
      </c>
      <c r="AD414" s="3">
        <f t="shared" si="9"/>
        <v>0.9090909091</v>
      </c>
      <c r="AE414" s="3">
        <f t="shared" si="10"/>
        <v>0.9090909091</v>
      </c>
      <c r="AF414" s="3">
        <f t="shared" si="11"/>
        <v>1.818181818</v>
      </c>
      <c r="AG414" s="3">
        <f t="shared" si="12"/>
        <v>0.914893617</v>
      </c>
    </row>
    <row r="415">
      <c r="A415" s="1" t="s">
        <v>10</v>
      </c>
      <c r="B415" s="1" t="s">
        <v>377</v>
      </c>
      <c r="C415" s="1" t="s">
        <v>19</v>
      </c>
      <c r="D415" s="1" t="s">
        <v>146</v>
      </c>
      <c r="E415" s="1" t="s">
        <v>72</v>
      </c>
      <c r="F415" s="1" t="s">
        <v>525</v>
      </c>
      <c r="G415" s="1">
        <v>35.5</v>
      </c>
      <c r="H415" s="1" t="s">
        <v>60</v>
      </c>
      <c r="I415" s="1">
        <v>-108.0</v>
      </c>
      <c r="J415" s="1">
        <v>-0.0994324894492022</v>
      </c>
      <c r="K415" s="1" t="s">
        <v>61</v>
      </c>
      <c r="L415" s="1" t="s">
        <v>61</v>
      </c>
      <c r="M415" s="1" t="s">
        <v>62</v>
      </c>
      <c r="N415" s="1">
        <v>-121.0</v>
      </c>
      <c r="O415" s="1">
        <v>0.032718411513915</v>
      </c>
      <c r="P415" s="1" t="s">
        <v>61</v>
      </c>
      <c r="Q415" s="1" t="s">
        <v>61</v>
      </c>
      <c r="R415" s="1">
        <f t="shared" si="1"/>
        <v>0.03271841151</v>
      </c>
      <c r="S415" s="1">
        <f t="shared" si="2"/>
        <v>-121</v>
      </c>
      <c r="T415" s="1">
        <f t="shared" si="3"/>
        <v>1.826446281</v>
      </c>
      <c r="U415" s="1">
        <f t="shared" si="4"/>
        <v>0</v>
      </c>
      <c r="V415" s="3">
        <f t="shared" si="5"/>
        <v>1</v>
      </c>
      <c r="W415" s="3">
        <f t="shared" si="6"/>
        <v>3</v>
      </c>
      <c r="X415" s="3" t="str">
        <f>IFERROR(__xludf.DUMMYFUNCTION("split(B415,"" "")"),"T.")</f>
        <v>T.</v>
      </c>
      <c r="Y415" s="3" t="str">
        <f>IFERROR(__xludf.DUMMYFUNCTION("""COMPUTED_VALUE"""),"Chandler")</f>
        <v>Chandler</v>
      </c>
      <c r="AA415" s="3">
        <v>13.0</v>
      </c>
      <c r="AB415" s="3">
        <f t="shared" si="7"/>
        <v>0</v>
      </c>
      <c r="AC415" s="3">
        <f t="shared" si="8"/>
        <v>1</v>
      </c>
      <c r="AD415" s="3">
        <f t="shared" si="9"/>
        <v>0.826446281</v>
      </c>
      <c r="AE415" s="3">
        <f t="shared" si="10"/>
        <v>0.826446281</v>
      </c>
      <c r="AF415" s="3">
        <f t="shared" si="11"/>
        <v>2.479338843</v>
      </c>
      <c r="AG415" s="3">
        <f t="shared" si="12"/>
        <v>0.6338028169</v>
      </c>
    </row>
    <row r="416">
      <c r="A416" s="1" t="s">
        <v>9</v>
      </c>
      <c r="B416" s="1" t="s">
        <v>549</v>
      </c>
      <c r="C416" s="1" t="s">
        <v>18</v>
      </c>
      <c r="D416" s="1" t="s">
        <v>146</v>
      </c>
      <c r="E416" s="1" t="s">
        <v>72</v>
      </c>
      <c r="F416" s="1" t="s">
        <v>525</v>
      </c>
      <c r="G416" s="1">
        <v>35.5</v>
      </c>
      <c r="H416" s="1" t="s">
        <v>60</v>
      </c>
      <c r="I416" s="1">
        <v>-115.0</v>
      </c>
      <c r="J416" s="1">
        <v>0.0317432894626539</v>
      </c>
      <c r="K416" s="1" t="s">
        <v>61</v>
      </c>
      <c r="L416" s="1" t="s">
        <v>61</v>
      </c>
      <c r="M416" s="1" t="s">
        <v>62</v>
      </c>
      <c r="N416" s="1">
        <v>-115.0</v>
      </c>
      <c r="O416" s="1">
        <v>-0.101514782882052</v>
      </c>
      <c r="P416" s="1" t="s">
        <v>61</v>
      </c>
      <c r="Q416" s="1" t="s">
        <v>61</v>
      </c>
      <c r="R416" s="1">
        <f t="shared" si="1"/>
        <v>0.03174328946</v>
      </c>
      <c r="S416" s="1">
        <f t="shared" si="2"/>
        <v>-115</v>
      </c>
      <c r="T416" s="1">
        <f t="shared" si="3"/>
        <v>1.869565217</v>
      </c>
      <c r="U416" s="1">
        <f t="shared" si="4"/>
        <v>1</v>
      </c>
      <c r="V416" s="3">
        <f t="shared" si="5"/>
        <v>1</v>
      </c>
      <c r="W416" s="3">
        <f t="shared" si="6"/>
        <v>2</v>
      </c>
      <c r="X416" s="3" t="str">
        <f>IFERROR(__xludf.DUMMYFUNCTION("split(B416,"" "")"),"J.")</f>
        <v>J.</v>
      </c>
      <c r="Y416" s="3" t="str">
        <f>IFERROR(__xludf.DUMMYFUNCTION("""COMPUTED_VALUE"""),"Nailor")</f>
        <v>Nailor</v>
      </c>
      <c r="AA416" s="3">
        <v>34.0</v>
      </c>
      <c r="AB416" s="3">
        <f t="shared" si="7"/>
        <v>0</v>
      </c>
      <c r="AC416" s="3">
        <f t="shared" si="8"/>
        <v>0</v>
      </c>
      <c r="AD416" s="3">
        <f t="shared" si="9"/>
        <v>0.8695652174</v>
      </c>
      <c r="AE416" s="3">
        <f t="shared" si="10"/>
        <v>-1</v>
      </c>
      <c r="AF416" s="3">
        <f t="shared" si="11"/>
        <v>-2</v>
      </c>
      <c r="AG416" s="3">
        <f t="shared" si="12"/>
        <v>-0.04225352113</v>
      </c>
    </row>
    <row r="417">
      <c r="A417" s="1" t="s">
        <v>14</v>
      </c>
      <c r="B417" s="1" t="s">
        <v>145</v>
      </c>
      <c r="C417" s="1" t="s">
        <v>21</v>
      </c>
      <c r="D417" s="1" t="s">
        <v>146</v>
      </c>
      <c r="E417" s="1" t="s">
        <v>72</v>
      </c>
      <c r="F417" s="1" t="s">
        <v>525</v>
      </c>
      <c r="G417" s="1">
        <v>1.5</v>
      </c>
      <c r="H417" s="1" t="s">
        <v>60</v>
      </c>
      <c r="I417" s="1">
        <v>136.0</v>
      </c>
      <c r="J417" s="1">
        <v>0.016271186440678</v>
      </c>
      <c r="K417" s="1" t="s">
        <v>61</v>
      </c>
      <c r="L417" s="1" t="s">
        <v>61</v>
      </c>
      <c r="M417" s="1" t="s">
        <v>62</v>
      </c>
      <c r="N417" s="1">
        <v>-177.0</v>
      </c>
      <c r="O417" s="1">
        <v>-0.0789891696750901</v>
      </c>
      <c r="P417" s="1" t="s">
        <v>61</v>
      </c>
      <c r="Q417" s="1" t="s">
        <v>61</v>
      </c>
      <c r="R417" s="1">
        <f t="shared" si="1"/>
        <v>0.01627118644</v>
      </c>
      <c r="S417" s="1">
        <f t="shared" si="2"/>
        <v>136</v>
      </c>
      <c r="T417" s="1">
        <f t="shared" si="3"/>
        <v>2.36</v>
      </c>
      <c r="U417" s="1">
        <f t="shared" si="4"/>
        <v>1</v>
      </c>
      <c r="V417" s="3">
        <f t="shared" si="5"/>
        <v>1</v>
      </c>
      <c r="W417" s="3">
        <f t="shared" si="6"/>
        <v>1</v>
      </c>
      <c r="X417" s="3" t="str">
        <f>IFERROR(__xludf.DUMMYFUNCTION("split(B417,"" "")"),"S.")</f>
        <v>S.</v>
      </c>
      <c r="Y417" s="3" t="str">
        <f>IFERROR(__xludf.DUMMYFUNCTION("""COMPUTED_VALUE"""),"Darnold")</f>
        <v>Darnold</v>
      </c>
      <c r="AA417" s="3">
        <v>4.0</v>
      </c>
      <c r="AB417" s="3">
        <f t="shared" si="7"/>
        <v>1</v>
      </c>
      <c r="AC417" s="3">
        <f t="shared" si="8"/>
        <v>1</v>
      </c>
      <c r="AD417" s="3">
        <f t="shared" si="9"/>
        <v>1.36</v>
      </c>
      <c r="AE417" s="3">
        <f t="shared" si="10"/>
        <v>1.36</v>
      </c>
      <c r="AF417" s="3">
        <f t="shared" si="11"/>
        <v>1.36</v>
      </c>
      <c r="AG417" s="3">
        <f t="shared" si="12"/>
        <v>1.666666667</v>
      </c>
    </row>
    <row r="418">
      <c r="A418" s="1" t="s">
        <v>8</v>
      </c>
      <c r="B418" s="1" t="s">
        <v>304</v>
      </c>
      <c r="C418" s="1" t="s">
        <v>19</v>
      </c>
      <c r="D418" s="1" t="s">
        <v>146</v>
      </c>
      <c r="E418" s="1" t="s">
        <v>72</v>
      </c>
      <c r="F418" s="1" t="s">
        <v>525</v>
      </c>
      <c r="G418" s="1">
        <v>12.5</v>
      </c>
      <c r="H418" s="1" t="s">
        <v>60</v>
      </c>
      <c r="I418" s="1">
        <v>-111.0</v>
      </c>
      <c r="J418" s="1">
        <v>-0.0927179807848341</v>
      </c>
      <c r="K418" s="1" t="s">
        <v>61</v>
      </c>
      <c r="L418" s="1" t="s">
        <v>61</v>
      </c>
      <c r="M418" s="1" t="s">
        <v>62</v>
      </c>
      <c r="N418" s="1">
        <v>-123.0</v>
      </c>
      <c r="O418" s="1">
        <v>0.0150741997896322</v>
      </c>
      <c r="P418" s="1" t="s">
        <v>61</v>
      </c>
      <c r="Q418" s="1" t="s">
        <v>61</v>
      </c>
      <c r="R418" s="1">
        <f t="shared" si="1"/>
        <v>0.01507419979</v>
      </c>
      <c r="S418" s="1">
        <f t="shared" si="2"/>
        <v>-123</v>
      </c>
      <c r="T418" s="1">
        <f t="shared" si="3"/>
        <v>1.81300813</v>
      </c>
      <c r="U418" s="1">
        <f t="shared" si="4"/>
        <v>0</v>
      </c>
      <c r="V418" s="3">
        <f t="shared" si="5"/>
        <v>1</v>
      </c>
      <c r="W418" s="3">
        <f t="shared" si="6"/>
        <v>3</v>
      </c>
      <c r="X418" s="3" t="str">
        <f>IFERROR(__xludf.DUMMYFUNCTION("split(B418,"" "")"),"A.")</f>
        <v>A.</v>
      </c>
      <c r="Y418" s="3" t="str">
        <f>IFERROR(__xludf.DUMMYFUNCTION("""COMPUTED_VALUE"""),"Jones")</f>
        <v>Jones</v>
      </c>
      <c r="AA418" s="3">
        <v>19.0</v>
      </c>
      <c r="AB418" s="3">
        <f t="shared" si="7"/>
        <v>1</v>
      </c>
      <c r="AC418" s="3">
        <f t="shared" si="8"/>
        <v>0</v>
      </c>
      <c r="AD418" s="3">
        <f t="shared" si="9"/>
        <v>0.8130081301</v>
      </c>
      <c r="AE418" s="3">
        <f t="shared" si="10"/>
        <v>-1</v>
      </c>
      <c r="AF418" s="3">
        <f t="shared" si="11"/>
        <v>-3</v>
      </c>
      <c r="AG418" s="3">
        <f t="shared" si="12"/>
        <v>-0.52</v>
      </c>
    </row>
    <row r="419">
      <c r="A419" s="1" t="s">
        <v>15</v>
      </c>
      <c r="B419" s="1" t="s">
        <v>145</v>
      </c>
      <c r="C419" s="1" t="s">
        <v>21</v>
      </c>
      <c r="D419" s="1" t="s">
        <v>146</v>
      </c>
      <c r="E419" s="1" t="s">
        <v>72</v>
      </c>
      <c r="F419" s="1" t="s">
        <v>525</v>
      </c>
      <c r="G419" s="1">
        <v>21.5</v>
      </c>
      <c r="H419" s="1" t="s">
        <v>60</v>
      </c>
      <c r="I419" s="1">
        <v>101.0</v>
      </c>
      <c r="J419" s="1">
        <v>0.00858805970149245</v>
      </c>
      <c r="K419" s="1" t="s">
        <v>61</v>
      </c>
      <c r="L419" s="1" t="s">
        <v>61</v>
      </c>
      <c r="M419" s="1" t="s">
        <v>62</v>
      </c>
      <c r="N419" s="1">
        <v>-133.0</v>
      </c>
      <c r="O419" s="1">
        <v>-0.0769296137339056</v>
      </c>
      <c r="P419" s="1" t="s">
        <v>61</v>
      </c>
      <c r="Q419" s="1" t="s">
        <v>61</v>
      </c>
      <c r="R419" s="1">
        <f t="shared" si="1"/>
        <v>0.008588059701</v>
      </c>
      <c r="S419" s="1">
        <f t="shared" si="2"/>
        <v>101</v>
      </c>
      <c r="T419" s="1">
        <f t="shared" si="3"/>
        <v>2.01</v>
      </c>
      <c r="U419" s="1">
        <f t="shared" si="4"/>
        <v>1</v>
      </c>
      <c r="V419" s="3">
        <f t="shared" si="5"/>
        <v>1</v>
      </c>
      <c r="W419" s="3">
        <f t="shared" si="6"/>
        <v>2</v>
      </c>
      <c r="X419" s="3" t="str">
        <f>IFERROR(__xludf.DUMMYFUNCTION("split(B419,"" "")"),"S.")</f>
        <v>S.</v>
      </c>
      <c r="Y419" s="3" t="str">
        <f>IFERROR(__xludf.DUMMYFUNCTION("""COMPUTED_VALUE"""),"Darnold")</f>
        <v>Darnold</v>
      </c>
      <c r="AA419" s="3">
        <v>17.0</v>
      </c>
      <c r="AB419" s="3">
        <f t="shared" si="7"/>
        <v>0</v>
      </c>
      <c r="AC419" s="3">
        <f t="shared" si="8"/>
        <v>0</v>
      </c>
      <c r="AD419" s="3">
        <f t="shared" si="9"/>
        <v>1.01</v>
      </c>
      <c r="AE419" s="3">
        <f t="shared" si="10"/>
        <v>-1</v>
      </c>
      <c r="AF419" s="3">
        <f t="shared" si="11"/>
        <v>-2</v>
      </c>
      <c r="AG419" s="3">
        <f t="shared" si="12"/>
        <v>-0.2093023256</v>
      </c>
    </row>
    <row r="420">
      <c r="A420" s="1" t="s">
        <v>17</v>
      </c>
      <c r="B420" s="1" t="s">
        <v>145</v>
      </c>
      <c r="C420" s="1" t="s">
        <v>21</v>
      </c>
      <c r="D420" s="1" t="s">
        <v>146</v>
      </c>
      <c r="E420" s="1" t="s">
        <v>72</v>
      </c>
      <c r="F420" s="1" t="s">
        <v>525</v>
      </c>
      <c r="G420" s="1">
        <v>0.5</v>
      </c>
      <c r="H420" s="1" t="s">
        <v>60</v>
      </c>
      <c r="I420" s="1">
        <v>-116.0</v>
      </c>
      <c r="J420" s="1">
        <v>-0.067637037037037</v>
      </c>
      <c r="K420" s="1" t="s">
        <v>61</v>
      </c>
      <c r="L420" s="1" t="s">
        <v>61</v>
      </c>
      <c r="M420" s="1" t="s">
        <v>62</v>
      </c>
      <c r="N420" s="1">
        <v>-112.0</v>
      </c>
      <c r="O420" s="1">
        <v>0.00229811320754713</v>
      </c>
      <c r="P420" s="1" t="s">
        <v>61</v>
      </c>
      <c r="Q420" s="1" t="s">
        <v>61</v>
      </c>
      <c r="R420" s="1">
        <f t="shared" si="1"/>
        <v>0.002298113208</v>
      </c>
      <c r="S420" s="1">
        <f t="shared" si="2"/>
        <v>-112</v>
      </c>
      <c r="T420" s="1">
        <f t="shared" si="3"/>
        <v>1.892857143</v>
      </c>
      <c r="U420" s="1">
        <f t="shared" si="4"/>
        <v>0</v>
      </c>
      <c r="V420" s="3">
        <f t="shared" si="5"/>
        <v>1</v>
      </c>
      <c r="W420" s="3">
        <f t="shared" si="6"/>
        <v>2</v>
      </c>
      <c r="X420" s="3" t="str">
        <f>IFERROR(__xludf.DUMMYFUNCTION("split(B420,"" "")"),"S.")</f>
        <v>S.</v>
      </c>
      <c r="Y420" s="3" t="str">
        <f>IFERROR(__xludf.DUMMYFUNCTION("""COMPUTED_VALUE"""),"Darnold")</f>
        <v>Darnold</v>
      </c>
      <c r="AA420" s="3">
        <v>0.0</v>
      </c>
      <c r="AB420" s="3">
        <f t="shared" si="7"/>
        <v>0</v>
      </c>
      <c r="AC420" s="3">
        <f t="shared" si="8"/>
        <v>1</v>
      </c>
      <c r="AD420" s="3">
        <f t="shared" si="9"/>
        <v>0.8928571429</v>
      </c>
      <c r="AE420" s="3">
        <f t="shared" si="10"/>
        <v>0.8928571429</v>
      </c>
      <c r="AF420" s="3">
        <f t="shared" si="11"/>
        <v>1.785714286</v>
      </c>
      <c r="AG420" s="3">
        <f t="shared" si="12"/>
        <v>1</v>
      </c>
    </row>
    <row r="421">
      <c r="A421" s="1" t="s">
        <v>12</v>
      </c>
      <c r="B421" s="1" t="s">
        <v>476</v>
      </c>
      <c r="C421" s="1" t="s">
        <v>19</v>
      </c>
      <c r="D421" s="1" t="s">
        <v>66</v>
      </c>
      <c r="E421" s="1" t="s">
        <v>165</v>
      </c>
      <c r="F421" s="1" t="s">
        <v>551</v>
      </c>
      <c r="G421" s="1">
        <v>2.5</v>
      </c>
      <c r="H421" s="1" t="s">
        <v>60</v>
      </c>
      <c r="I421" s="1">
        <v>-148.0</v>
      </c>
      <c r="J421" s="1">
        <v>-0.318211297096774</v>
      </c>
      <c r="K421" s="1" t="s">
        <v>61</v>
      </c>
      <c r="L421" s="1" t="s">
        <v>61</v>
      </c>
      <c r="M421" s="1" t="s">
        <v>62</v>
      </c>
      <c r="N421" s="1">
        <v>112.0</v>
      </c>
      <c r="O421" s="1">
        <v>0.249745290943396</v>
      </c>
      <c r="P421" s="1" t="s">
        <v>61</v>
      </c>
      <c r="Q421" s="1" t="s">
        <v>61</v>
      </c>
      <c r="R421" s="1">
        <f t="shared" si="1"/>
        <v>0.2497452909</v>
      </c>
      <c r="S421" s="1">
        <f t="shared" si="2"/>
        <v>112</v>
      </c>
      <c r="T421" s="1">
        <f t="shared" si="3"/>
        <v>2.12</v>
      </c>
      <c r="U421" s="1">
        <f t="shared" si="4"/>
        <v>0</v>
      </c>
      <c r="V421" s="3">
        <f t="shared" si="5"/>
        <v>3</v>
      </c>
      <c r="W421" s="3">
        <f t="shared" si="6"/>
        <v>1</v>
      </c>
      <c r="X421" s="3" t="str">
        <f>IFERROR(__xludf.DUMMYFUNCTION("split(B421,"" "")"),"R.")</f>
        <v>R.</v>
      </c>
      <c r="Y421" s="3" t="str">
        <f>IFERROR(__xludf.DUMMYFUNCTION("""COMPUTED_VALUE"""),"Stevenson")</f>
        <v>Stevenson</v>
      </c>
      <c r="AA421" s="3">
        <v>0.0</v>
      </c>
      <c r="AB421" s="3">
        <f t="shared" si="7"/>
        <v>0</v>
      </c>
      <c r="AC421" s="3">
        <f t="shared" si="8"/>
        <v>1</v>
      </c>
      <c r="AD421" s="3">
        <f t="shared" si="9"/>
        <v>3.36</v>
      </c>
      <c r="AE421" s="3">
        <f t="shared" si="10"/>
        <v>3.36</v>
      </c>
      <c r="AF421" s="3">
        <f t="shared" si="11"/>
        <v>1.12</v>
      </c>
      <c r="AG421" s="3">
        <f t="shared" si="12"/>
        <v>1</v>
      </c>
    </row>
    <row r="422">
      <c r="A422" s="1" t="s">
        <v>12</v>
      </c>
      <c r="B422" s="1" t="s">
        <v>170</v>
      </c>
      <c r="C422" s="1" t="s">
        <v>18</v>
      </c>
      <c r="D422" s="1" t="s">
        <v>66</v>
      </c>
      <c r="E422" s="1" t="s">
        <v>165</v>
      </c>
      <c r="F422" s="1" t="s">
        <v>551</v>
      </c>
      <c r="G422" s="1">
        <v>1.5</v>
      </c>
      <c r="H422" s="1" t="s">
        <v>60</v>
      </c>
      <c r="I422" s="1">
        <v>-182.0</v>
      </c>
      <c r="J422" s="1">
        <v>-0.284318820826241</v>
      </c>
      <c r="K422" s="1" t="s">
        <v>61</v>
      </c>
      <c r="L422" s="1" t="s">
        <v>61</v>
      </c>
      <c r="M422" s="1" t="s">
        <v>62</v>
      </c>
      <c r="N422" s="1">
        <v>138.0</v>
      </c>
      <c r="O422" s="1">
        <v>0.218765997785714</v>
      </c>
      <c r="P422" s="1" t="s">
        <v>61</v>
      </c>
      <c r="Q422" s="1" t="s">
        <v>61</v>
      </c>
      <c r="R422" s="1">
        <f t="shared" si="1"/>
        <v>0.2187659978</v>
      </c>
      <c r="S422" s="1">
        <f t="shared" si="2"/>
        <v>138</v>
      </c>
      <c r="T422" s="1">
        <f t="shared" si="3"/>
        <v>2.38</v>
      </c>
      <c r="U422" s="1">
        <f t="shared" si="4"/>
        <v>0</v>
      </c>
      <c r="V422" s="3">
        <f t="shared" si="5"/>
        <v>3</v>
      </c>
      <c r="W422" s="3">
        <f t="shared" si="6"/>
        <v>1</v>
      </c>
      <c r="X422" s="3" t="str">
        <f>IFERROR(__xludf.DUMMYFUNCTION("split(B422,"" "")"),"J.")</f>
        <v>J.</v>
      </c>
      <c r="Y422" s="3" t="str">
        <f>IFERROR(__xludf.DUMMYFUNCTION("""COMPUTED_VALUE"""),"Polk")</f>
        <v>Polk</v>
      </c>
      <c r="AA422" s="3">
        <v>2.0</v>
      </c>
      <c r="AB422" s="3">
        <f t="shared" si="7"/>
        <v>1</v>
      </c>
      <c r="AC422" s="3">
        <f t="shared" si="8"/>
        <v>0</v>
      </c>
      <c r="AD422" s="3">
        <f t="shared" si="9"/>
        <v>4.14</v>
      </c>
      <c r="AE422" s="3">
        <f t="shared" si="10"/>
        <v>-3</v>
      </c>
      <c r="AF422" s="3">
        <f t="shared" si="11"/>
        <v>-1</v>
      </c>
      <c r="AG422" s="3">
        <f t="shared" si="12"/>
        <v>-0.3333333333</v>
      </c>
    </row>
    <row r="423">
      <c r="A423" s="1" t="s">
        <v>9</v>
      </c>
      <c r="B423" s="1" t="s">
        <v>371</v>
      </c>
      <c r="C423" s="1" t="s">
        <v>18</v>
      </c>
      <c r="D423" s="1" t="s">
        <v>66</v>
      </c>
      <c r="E423" s="1" t="s">
        <v>165</v>
      </c>
      <c r="F423" s="1" t="s">
        <v>551</v>
      </c>
      <c r="G423" s="1">
        <v>10.5</v>
      </c>
      <c r="H423" s="1" t="s">
        <v>60</v>
      </c>
      <c r="I423" s="1">
        <v>-118.0</v>
      </c>
      <c r="J423" s="1">
        <v>0.198173164860268</v>
      </c>
      <c r="K423" s="1" t="s">
        <v>61</v>
      </c>
      <c r="L423" s="1" t="s">
        <v>61</v>
      </c>
      <c r="M423" s="1" t="s">
        <v>62</v>
      </c>
      <c r="N423" s="1">
        <v>-115.0</v>
      </c>
      <c r="O423" s="1">
        <v>-0.274334243862647</v>
      </c>
      <c r="P423" s="1" t="s">
        <v>61</v>
      </c>
      <c r="Q423" s="1" t="s">
        <v>61</v>
      </c>
      <c r="R423" s="1">
        <f t="shared" si="1"/>
        <v>0.1981731649</v>
      </c>
      <c r="S423" s="1">
        <f t="shared" si="2"/>
        <v>-118</v>
      </c>
      <c r="T423" s="1">
        <f t="shared" si="3"/>
        <v>1.847457627</v>
      </c>
      <c r="U423" s="1">
        <f t="shared" si="4"/>
        <v>1</v>
      </c>
      <c r="V423" s="3">
        <f t="shared" si="5"/>
        <v>3</v>
      </c>
      <c r="W423" s="3">
        <f t="shared" si="6"/>
        <v>3</v>
      </c>
      <c r="X423" s="3" t="str">
        <f>IFERROR(__xludf.DUMMYFUNCTION("split(B423,"" "")"),"T.")</f>
        <v>T.</v>
      </c>
      <c r="Y423" s="3" t="str">
        <f>IFERROR(__xludf.DUMMYFUNCTION("""COMPUTED_VALUE"""),"Thornton")</f>
        <v>Thornton</v>
      </c>
      <c r="AA423" s="3">
        <v>0.0</v>
      </c>
      <c r="AB423" s="3">
        <f t="shared" si="7"/>
        <v>0</v>
      </c>
      <c r="AC423" s="3">
        <f t="shared" si="8"/>
        <v>0</v>
      </c>
      <c r="AD423" s="3">
        <f t="shared" si="9"/>
        <v>2.542372881</v>
      </c>
      <c r="AE423" s="3">
        <f t="shared" si="10"/>
        <v>-3</v>
      </c>
      <c r="AF423" s="3">
        <f t="shared" si="11"/>
        <v>-3</v>
      </c>
      <c r="AG423" s="3">
        <f t="shared" si="12"/>
        <v>-1</v>
      </c>
    </row>
    <row r="424">
      <c r="A424" s="1" t="s">
        <v>12</v>
      </c>
      <c r="B424" s="1" t="s">
        <v>131</v>
      </c>
      <c r="C424" s="1" t="s">
        <v>18</v>
      </c>
      <c r="D424" s="1" t="s">
        <v>66</v>
      </c>
      <c r="E424" s="1" t="s">
        <v>165</v>
      </c>
      <c r="F424" s="1" t="s">
        <v>551</v>
      </c>
      <c r="G424" s="1">
        <v>2.5</v>
      </c>
      <c r="H424" s="1" t="s">
        <v>60</v>
      </c>
      <c r="I424" s="1">
        <v>-141.0</v>
      </c>
      <c r="J424" s="1">
        <v>-0.227460464564315</v>
      </c>
      <c r="K424" s="1" t="s">
        <v>61</v>
      </c>
      <c r="L424" s="1" t="s">
        <v>61</v>
      </c>
      <c r="M424" s="1" t="s">
        <v>62</v>
      </c>
      <c r="N424" s="1">
        <v>107.0</v>
      </c>
      <c r="O424" s="1">
        <v>0.159306144734299</v>
      </c>
      <c r="P424" s="1" t="s">
        <v>61</v>
      </c>
      <c r="Q424" s="1" t="s">
        <v>61</v>
      </c>
      <c r="R424" s="1">
        <f t="shared" si="1"/>
        <v>0.1593061447</v>
      </c>
      <c r="S424" s="1">
        <f t="shared" si="2"/>
        <v>107</v>
      </c>
      <c r="T424" s="1">
        <f t="shared" si="3"/>
        <v>2.07</v>
      </c>
      <c r="U424" s="1">
        <f t="shared" si="4"/>
        <v>0</v>
      </c>
      <c r="V424" s="3">
        <f t="shared" si="5"/>
        <v>3</v>
      </c>
      <c r="W424" s="3">
        <f t="shared" si="6"/>
        <v>2</v>
      </c>
      <c r="X424" s="3" t="str">
        <f>IFERROR(__xludf.DUMMYFUNCTION("split(B424,"" "")"),"D.")</f>
        <v>D.</v>
      </c>
      <c r="Y424" s="3" t="str">
        <f>IFERROR(__xludf.DUMMYFUNCTION("""COMPUTED_VALUE"""),"Douglas")</f>
        <v>Douglas</v>
      </c>
      <c r="AA424" s="3">
        <v>7.0</v>
      </c>
      <c r="AB424" s="3">
        <f t="shared" si="7"/>
        <v>1</v>
      </c>
      <c r="AC424" s="3">
        <f t="shared" si="8"/>
        <v>0</v>
      </c>
      <c r="AD424" s="3">
        <f t="shared" si="9"/>
        <v>3.21</v>
      </c>
      <c r="AE424" s="3">
        <f t="shared" si="10"/>
        <v>-3</v>
      </c>
      <c r="AF424" s="3">
        <f t="shared" si="11"/>
        <v>-2</v>
      </c>
      <c r="AG424" s="3">
        <f t="shared" si="12"/>
        <v>-1.8</v>
      </c>
    </row>
    <row r="425">
      <c r="A425" s="1" t="s">
        <v>12</v>
      </c>
      <c r="B425" s="1" t="s">
        <v>140</v>
      </c>
      <c r="C425" s="1" t="s">
        <v>20</v>
      </c>
      <c r="D425" s="1" t="s">
        <v>66</v>
      </c>
      <c r="E425" s="1" t="s">
        <v>165</v>
      </c>
      <c r="F425" s="1" t="s">
        <v>551</v>
      </c>
      <c r="G425" s="1">
        <v>3.5</v>
      </c>
      <c r="H425" s="1" t="s">
        <v>60</v>
      </c>
      <c r="I425" s="1">
        <v>-105.0</v>
      </c>
      <c r="J425" s="1">
        <v>-0.207697560975609</v>
      </c>
      <c r="K425" s="1" t="s">
        <v>61</v>
      </c>
      <c r="L425" s="1" t="s">
        <v>61</v>
      </c>
      <c r="M425" s="1" t="s">
        <v>62</v>
      </c>
      <c r="N425" s="1">
        <v>-125.0</v>
      </c>
      <c r="O425" s="1">
        <v>0.139933333333333</v>
      </c>
      <c r="P425" s="1" t="s">
        <v>61</v>
      </c>
      <c r="Q425" s="1" t="s">
        <v>61</v>
      </c>
      <c r="R425" s="1">
        <f t="shared" si="1"/>
        <v>0.1399333333</v>
      </c>
      <c r="S425" s="1">
        <f t="shared" si="2"/>
        <v>-125</v>
      </c>
      <c r="T425" s="1">
        <f t="shared" si="3"/>
        <v>1.8</v>
      </c>
      <c r="U425" s="1">
        <f t="shared" si="4"/>
        <v>0</v>
      </c>
      <c r="V425" s="3">
        <f t="shared" si="5"/>
        <v>3</v>
      </c>
      <c r="W425" s="3">
        <f t="shared" si="6"/>
        <v>3</v>
      </c>
      <c r="X425" s="3" t="str">
        <f>IFERROR(__xludf.DUMMYFUNCTION("split(B425,"" "")"),"H.")</f>
        <v>H.</v>
      </c>
      <c r="Y425" s="3" t="str">
        <f>IFERROR(__xludf.DUMMYFUNCTION("""COMPUTED_VALUE"""),"Henry")</f>
        <v>Henry</v>
      </c>
      <c r="AA425" s="3">
        <v>2.0</v>
      </c>
      <c r="AB425" s="3">
        <f t="shared" si="7"/>
        <v>0</v>
      </c>
      <c r="AC425" s="3">
        <f t="shared" si="8"/>
        <v>1</v>
      </c>
      <c r="AD425" s="3">
        <f t="shared" si="9"/>
        <v>2.4</v>
      </c>
      <c r="AE425" s="3">
        <f t="shared" si="10"/>
        <v>2.4</v>
      </c>
      <c r="AF425" s="3">
        <f t="shared" si="11"/>
        <v>2.4</v>
      </c>
      <c r="AG425" s="3">
        <f t="shared" si="12"/>
        <v>0.4285714286</v>
      </c>
    </row>
    <row r="426">
      <c r="A426" s="1" t="s">
        <v>8</v>
      </c>
      <c r="B426" s="1" t="s">
        <v>383</v>
      </c>
      <c r="C426" s="1" t="s">
        <v>19</v>
      </c>
      <c r="D426" s="1" t="s">
        <v>66</v>
      </c>
      <c r="E426" s="1" t="s">
        <v>165</v>
      </c>
      <c r="F426" s="1" t="s">
        <v>551</v>
      </c>
      <c r="G426" s="1">
        <v>6.5</v>
      </c>
      <c r="H426" s="1" t="s">
        <v>60</v>
      </c>
      <c r="I426" s="1">
        <v>104.0</v>
      </c>
      <c r="J426" s="1">
        <v>-0.179186370057121</v>
      </c>
      <c r="K426" s="1" t="s">
        <v>61</v>
      </c>
      <c r="L426" s="1" t="s">
        <v>61</v>
      </c>
      <c r="M426" s="1" t="s">
        <v>62</v>
      </c>
      <c r="N426" s="1">
        <v>-140.0</v>
      </c>
      <c r="O426" s="1">
        <v>0.105655558046128</v>
      </c>
      <c r="P426" s="1" t="s">
        <v>61</v>
      </c>
      <c r="Q426" s="1" t="s">
        <v>61</v>
      </c>
      <c r="R426" s="1">
        <f t="shared" si="1"/>
        <v>0.105655558</v>
      </c>
      <c r="S426" s="1">
        <f t="shared" si="2"/>
        <v>-140</v>
      </c>
      <c r="T426" s="1">
        <f t="shared" si="3"/>
        <v>1.714285714</v>
      </c>
      <c r="U426" s="1">
        <f t="shared" si="4"/>
        <v>0</v>
      </c>
      <c r="V426" s="3">
        <f t="shared" si="5"/>
        <v>3</v>
      </c>
      <c r="W426" s="3">
        <f t="shared" si="6"/>
        <v>3</v>
      </c>
      <c r="X426" s="3" t="str">
        <f>IFERROR(__xludf.DUMMYFUNCTION("split(B426,"" "")"),"A.")</f>
        <v>A.</v>
      </c>
      <c r="Y426" s="3" t="str">
        <f>IFERROR(__xludf.DUMMYFUNCTION("""COMPUTED_VALUE"""),"Gibson")</f>
        <v>Gibson</v>
      </c>
      <c r="AA426" s="3">
        <v>5.0</v>
      </c>
      <c r="AB426" s="3">
        <f t="shared" si="7"/>
        <v>0</v>
      </c>
      <c r="AC426" s="3">
        <f t="shared" si="8"/>
        <v>1</v>
      </c>
      <c r="AD426" s="3">
        <f t="shared" si="9"/>
        <v>2.142857143</v>
      </c>
      <c r="AE426" s="3">
        <f t="shared" si="10"/>
        <v>2.142857143</v>
      </c>
      <c r="AF426" s="3">
        <f t="shared" si="11"/>
        <v>2.142857143</v>
      </c>
      <c r="AG426" s="3">
        <f t="shared" si="12"/>
        <v>0.2307692308</v>
      </c>
    </row>
    <row r="427">
      <c r="A427" s="1" t="s">
        <v>11</v>
      </c>
      <c r="B427" s="1" t="s">
        <v>383</v>
      </c>
      <c r="C427" s="1" t="s">
        <v>19</v>
      </c>
      <c r="D427" s="1" t="s">
        <v>66</v>
      </c>
      <c r="E427" s="1" t="s">
        <v>165</v>
      </c>
      <c r="F427" s="1" t="s">
        <v>551</v>
      </c>
      <c r="G427" s="1">
        <v>6.5</v>
      </c>
      <c r="H427" s="1" t="s">
        <v>60</v>
      </c>
      <c r="I427" s="1">
        <v>-104.0</v>
      </c>
      <c r="J427" s="1">
        <v>0.104284878839126</v>
      </c>
      <c r="K427" s="1" t="s">
        <v>61</v>
      </c>
      <c r="L427" s="1" t="s">
        <v>61</v>
      </c>
      <c r="M427" s="1" t="s">
        <v>62</v>
      </c>
      <c r="N427" s="1">
        <v>-123.0</v>
      </c>
      <c r="O427" s="1">
        <v>-0.165606824207683</v>
      </c>
      <c r="P427" s="1" t="s">
        <v>61</v>
      </c>
      <c r="Q427" s="1" t="s">
        <v>61</v>
      </c>
      <c r="R427" s="1">
        <f t="shared" si="1"/>
        <v>0.1042848788</v>
      </c>
      <c r="S427" s="1">
        <f t="shared" si="2"/>
        <v>-104</v>
      </c>
      <c r="T427" s="1">
        <f t="shared" si="3"/>
        <v>1.961538462</v>
      </c>
      <c r="U427" s="1">
        <f t="shared" si="4"/>
        <v>1</v>
      </c>
      <c r="V427" s="3">
        <f t="shared" si="5"/>
        <v>3</v>
      </c>
      <c r="W427" s="3">
        <f t="shared" si="6"/>
        <v>2</v>
      </c>
      <c r="X427" s="3" t="str">
        <f>IFERROR(__xludf.DUMMYFUNCTION("split(B427,"" "")"),"A.")</f>
        <v>A.</v>
      </c>
      <c r="Y427" s="3" t="str">
        <f>IFERROR(__xludf.DUMMYFUNCTION("""COMPUTED_VALUE"""),"Gibson")</f>
        <v>Gibson</v>
      </c>
      <c r="AA427" s="3">
        <v>8.0</v>
      </c>
      <c r="AB427" s="3">
        <f t="shared" si="7"/>
        <v>1</v>
      </c>
      <c r="AC427" s="3">
        <f t="shared" si="8"/>
        <v>1</v>
      </c>
      <c r="AD427" s="3">
        <f t="shared" si="9"/>
        <v>2.884615385</v>
      </c>
      <c r="AE427" s="3">
        <f t="shared" si="10"/>
        <v>2.884615385</v>
      </c>
      <c r="AF427" s="3">
        <f t="shared" si="11"/>
        <v>1.923076923</v>
      </c>
      <c r="AG427" s="3">
        <f t="shared" si="12"/>
        <v>0.2307692308</v>
      </c>
    </row>
    <row r="428">
      <c r="A428" s="1" t="s">
        <v>9</v>
      </c>
      <c r="B428" s="1" t="s">
        <v>212</v>
      </c>
      <c r="C428" s="1" t="s">
        <v>18</v>
      </c>
      <c r="D428" s="1" t="s">
        <v>66</v>
      </c>
      <c r="E428" s="1" t="s">
        <v>165</v>
      </c>
      <c r="F428" s="1" t="s">
        <v>551</v>
      </c>
      <c r="G428" s="1">
        <v>19.5</v>
      </c>
      <c r="H428" s="1" t="s">
        <v>60</v>
      </c>
      <c r="I428" s="1">
        <v>-118.0</v>
      </c>
      <c r="J428" s="1">
        <v>0.0973924750424037</v>
      </c>
      <c r="K428" s="1" t="s">
        <v>61</v>
      </c>
      <c r="L428" s="1" t="s">
        <v>61</v>
      </c>
      <c r="M428" s="1" t="s">
        <v>62</v>
      </c>
      <c r="N428" s="1">
        <v>-114.0</v>
      </c>
      <c r="O428" s="1">
        <v>-0.171335036904384</v>
      </c>
      <c r="P428" s="1" t="s">
        <v>61</v>
      </c>
      <c r="Q428" s="1" t="s">
        <v>61</v>
      </c>
      <c r="R428" s="1">
        <f t="shared" si="1"/>
        <v>0.09739247504</v>
      </c>
      <c r="S428" s="1">
        <f t="shared" si="2"/>
        <v>-118</v>
      </c>
      <c r="T428" s="1">
        <f t="shared" si="3"/>
        <v>1.847457627</v>
      </c>
      <c r="U428" s="1">
        <f t="shared" si="4"/>
        <v>1</v>
      </c>
      <c r="V428" s="3">
        <f t="shared" si="5"/>
        <v>2</v>
      </c>
      <c r="W428" s="3">
        <f t="shared" si="6"/>
        <v>3</v>
      </c>
      <c r="X428" s="3" t="str">
        <f>IFERROR(__xludf.DUMMYFUNCTION("split(B428,"" "")"),"K.")</f>
        <v>K.</v>
      </c>
      <c r="Y428" s="3" t="str">
        <f>IFERROR(__xludf.DUMMYFUNCTION("""COMPUTED_VALUE"""),"Osborn")</f>
        <v>Osborn</v>
      </c>
      <c r="AA428" s="3">
        <v>0.0</v>
      </c>
      <c r="AB428" s="3">
        <f t="shared" si="7"/>
        <v>0</v>
      </c>
      <c r="AC428" s="3">
        <f t="shared" si="8"/>
        <v>0</v>
      </c>
      <c r="AD428" s="3">
        <f t="shared" si="9"/>
        <v>1.694915254</v>
      </c>
      <c r="AE428" s="3">
        <f t="shared" si="10"/>
        <v>-2</v>
      </c>
      <c r="AF428" s="3">
        <f t="shared" si="11"/>
        <v>-3</v>
      </c>
      <c r="AG428" s="3">
        <f t="shared" si="12"/>
        <v>-1</v>
      </c>
      <c r="AL428" s="7"/>
    </row>
    <row r="429">
      <c r="A429" s="1" t="s">
        <v>9</v>
      </c>
      <c r="B429" s="1" t="s">
        <v>170</v>
      </c>
      <c r="C429" s="1" t="s">
        <v>18</v>
      </c>
      <c r="D429" s="1" t="s">
        <v>66</v>
      </c>
      <c r="E429" s="1" t="s">
        <v>165</v>
      </c>
      <c r="F429" s="1" t="s">
        <v>551</v>
      </c>
      <c r="G429" s="1">
        <v>20.5</v>
      </c>
      <c r="H429" s="1" t="s">
        <v>60</v>
      </c>
      <c r="I429" s="1">
        <v>-117.0</v>
      </c>
      <c r="J429" s="1">
        <v>0.093158911899209</v>
      </c>
      <c r="K429" s="1" t="s">
        <v>61</v>
      </c>
      <c r="L429" s="1" t="s">
        <v>61</v>
      </c>
      <c r="M429" s="1" t="s">
        <v>62</v>
      </c>
      <c r="N429" s="1">
        <v>-115.0</v>
      </c>
      <c r="O429" s="1">
        <v>-0.167153588206733</v>
      </c>
      <c r="P429" s="1" t="s">
        <v>61</v>
      </c>
      <c r="Q429" s="1" t="s">
        <v>61</v>
      </c>
      <c r="R429" s="1">
        <f t="shared" si="1"/>
        <v>0.0931589119</v>
      </c>
      <c r="S429" s="1">
        <f t="shared" si="2"/>
        <v>-117</v>
      </c>
      <c r="T429" s="1">
        <f t="shared" si="3"/>
        <v>1.854700855</v>
      </c>
      <c r="U429" s="1">
        <f t="shared" si="4"/>
        <v>1</v>
      </c>
      <c r="V429" s="3">
        <f t="shared" si="5"/>
        <v>2</v>
      </c>
      <c r="W429" s="3">
        <f t="shared" si="6"/>
        <v>2</v>
      </c>
      <c r="X429" s="3" t="str">
        <f>IFERROR(__xludf.DUMMYFUNCTION("split(B429,"" "")"),"J.")</f>
        <v>J.</v>
      </c>
      <c r="Y429" s="3" t="str">
        <f>IFERROR(__xludf.DUMMYFUNCTION("""COMPUTED_VALUE"""),"Polk")</f>
        <v>Polk</v>
      </c>
      <c r="AA429" s="3">
        <v>13.0</v>
      </c>
      <c r="AB429" s="3">
        <f t="shared" si="7"/>
        <v>0</v>
      </c>
      <c r="AC429" s="3">
        <f t="shared" si="8"/>
        <v>0</v>
      </c>
      <c r="AD429" s="3">
        <f t="shared" si="9"/>
        <v>1.709401709</v>
      </c>
      <c r="AE429" s="3">
        <f t="shared" si="10"/>
        <v>-2</v>
      </c>
      <c r="AF429" s="3">
        <f t="shared" si="11"/>
        <v>-2</v>
      </c>
      <c r="AG429" s="3">
        <f t="shared" si="12"/>
        <v>-0.3658536585</v>
      </c>
      <c r="AL429" s="7"/>
    </row>
    <row r="430">
      <c r="A430" s="1" t="s">
        <v>15</v>
      </c>
      <c r="B430" s="1" t="s">
        <v>65</v>
      </c>
      <c r="C430" s="1" t="s">
        <v>21</v>
      </c>
      <c r="D430" s="1" t="s">
        <v>66</v>
      </c>
      <c r="E430" s="1" t="s">
        <v>165</v>
      </c>
      <c r="F430" s="1" t="s">
        <v>551</v>
      </c>
      <c r="G430" s="1">
        <v>16.5</v>
      </c>
      <c r="H430" s="1" t="s">
        <v>60</v>
      </c>
      <c r="I430" s="1">
        <v>-102.0</v>
      </c>
      <c r="J430" s="1">
        <v>-0.15079089185198</v>
      </c>
      <c r="K430" s="1" t="s">
        <v>61</v>
      </c>
      <c r="L430" s="1" t="s">
        <v>61</v>
      </c>
      <c r="M430" s="1" t="s">
        <v>62</v>
      </c>
      <c r="N430" s="1">
        <v>-129.0</v>
      </c>
      <c r="O430" s="1">
        <v>0.0825409807807381</v>
      </c>
      <c r="P430" s="1" t="s">
        <v>61</v>
      </c>
      <c r="Q430" s="1" t="s">
        <v>61</v>
      </c>
      <c r="R430" s="1">
        <f t="shared" si="1"/>
        <v>0.08254098078</v>
      </c>
      <c r="S430" s="1">
        <f t="shared" si="2"/>
        <v>-129</v>
      </c>
      <c r="T430" s="1">
        <f t="shared" si="3"/>
        <v>1.775193798</v>
      </c>
      <c r="U430" s="1">
        <f t="shared" si="4"/>
        <v>0</v>
      </c>
      <c r="V430" s="3">
        <f t="shared" si="5"/>
        <v>2</v>
      </c>
      <c r="W430" s="3">
        <f t="shared" si="6"/>
        <v>3</v>
      </c>
      <c r="X430" s="3" t="str">
        <f>IFERROR(__xludf.DUMMYFUNCTION("split(B430,"" "")"),"J.")</f>
        <v>J.</v>
      </c>
      <c r="Y430" s="3" t="str">
        <f>IFERROR(__xludf.DUMMYFUNCTION("""COMPUTED_VALUE"""),"Brissett")</f>
        <v>Brissett</v>
      </c>
      <c r="AA430" s="3">
        <v>12.0</v>
      </c>
      <c r="AB430" s="3">
        <f t="shared" si="7"/>
        <v>0</v>
      </c>
      <c r="AC430" s="3">
        <f t="shared" si="8"/>
        <v>1</v>
      </c>
      <c r="AD430" s="3">
        <f t="shared" si="9"/>
        <v>1.550387597</v>
      </c>
      <c r="AE430" s="3">
        <f t="shared" si="10"/>
        <v>1.550387597</v>
      </c>
      <c r="AF430" s="3">
        <f t="shared" si="11"/>
        <v>2.325581395</v>
      </c>
      <c r="AG430" s="3">
        <f t="shared" si="12"/>
        <v>0.2727272727</v>
      </c>
      <c r="AL430" s="7"/>
    </row>
    <row r="431">
      <c r="A431" s="1" t="s">
        <v>11</v>
      </c>
      <c r="B431" s="1" t="s">
        <v>140</v>
      </c>
      <c r="C431" s="1" t="s">
        <v>20</v>
      </c>
      <c r="D431" s="1" t="s">
        <v>66</v>
      </c>
      <c r="E431" s="1" t="s">
        <v>165</v>
      </c>
      <c r="F431" s="1" t="s">
        <v>551</v>
      </c>
      <c r="G431" s="1">
        <v>31.5</v>
      </c>
      <c r="H431" s="1" t="s">
        <v>60</v>
      </c>
      <c r="I431" s="1">
        <v>-130.0</v>
      </c>
      <c r="J431" s="1">
        <v>-0.145920384525913</v>
      </c>
      <c r="K431" s="1" t="s">
        <v>61</v>
      </c>
      <c r="L431" s="1" t="s">
        <v>61</v>
      </c>
      <c r="M431" s="1" t="s">
        <v>62</v>
      </c>
      <c r="N431" s="1">
        <v>-102.0</v>
      </c>
      <c r="O431" s="1">
        <v>0.0757677569605901</v>
      </c>
      <c r="P431" s="1" t="s">
        <v>61</v>
      </c>
      <c r="Q431" s="1" t="s">
        <v>61</v>
      </c>
      <c r="R431" s="1">
        <f t="shared" si="1"/>
        <v>0.07576775696</v>
      </c>
      <c r="S431" s="1">
        <f t="shared" si="2"/>
        <v>-102</v>
      </c>
      <c r="T431" s="1">
        <f t="shared" si="3"/>
        <v>1.980392157</v>
      </c>
      <c r="U431" s="1">
        <f t="shared" si="4"/>
        <v>0</v>
      </c>
      <c r="V431" s="3">
        <f t="shared" si="5"/>
        <v>2</v>
      </c>
      <c r="W431" s="3">
        <f t="shared" si="6"/>
        <v>2</v>
      </c>
      <c r="X431" s="3" t="str">
        <f>IFERROR(__xludf.DUMMYFUNCTION("split(B431,"" "")"),"H.")</f>
        <v>H.</v>
      </c>
      <c r="Y431" s="3" t="str">
        <f>IFERROR(__xludf.DUMMYFUNCTION("""COMPUTED_VALUE"""),"Henry")</f>
        <v>Henry</v>
      </c>
      <c r="AA431" s="3">
        <v>9.0</v>
      </c>
      <c r="AB431" s="3">
        <f t="shared" si="7"/>
        <v>0</v>
      </c>
      <c r="AC431" s="3">
        <f t="shared" si="8"/>
        <v>1</v>
      </c>
      <c r="AD431" s="3">
        <f t="shared" si="9"/>
        <v>1.960784314</v>
      </c>
      <c r="AE431" s="3">
        <f t="shared" si="10"/>
        <v>1.960784314</v>
      </c>
      <c r="AF431" s="3">
        <f t="shared" si="11"/>
        <v>1.960784314</v>
      </c>
      <c r="AG431" s="3">
        <f t="shared" si="12"/>
        <v>0.7142857143</v>
      </c>
      <c r="AO431" s="4"/>
      <c r="AP431" s="4"/>
      <c r="AQ431" s="4"/>
      <c r="AR431" s="4"/>
    </row>
    <row r="432">
      <c r="A432" s="1" t="s">
        <v>12</v>
      </c>
      <c r="B432" s="1" t="s">
        <v>212</v>
      </c>
      <c r="C432" s="1" t="s">
        <v>18</v>
      </c>
      <c r="D432" s="1" t="s">
        <v>66</v>
      </c>
      <c r="E432" s="1" t="s">
        <v>165</v>
      </c>
      <c r="F432" s="1" t="s">
        <v>551</v>
      </c>
      <c r="G432" s="1">
        <v>2.5</v>
      </c>
      <c r="H432" s="1" t="s">
        <v>60</v>
      </c>
      <c r="I432" s="1">
        <v>129.0</v>
      </c>
      <c r="J432" s="1">
        <v>-0.134031456039738</v>
      </c>
      <c r="K432" s="1" t="s">
        <v>61</v>
      </c>
      <c r="L432" s="1" t="s">
        <v>61</v>
      </c>
      <c r="M432" s="1" t="s">
        <v>62</v>
      </c>
      <c r="N432" s="1">
        <v>-171.0</v>
      </c>
      <c r="O432" s="1">
        <v>0.0663599584387454</v>
      </c>
      <c r="P432" s="1" t="s">
        <v>61</v>
      </c>
      <c r="Q432" s="1" t="s">
        <v>61</v>
      </c>
      <c r="R432" s="1">
        <f t="shared" si="1"/>
        <v>0.06635995844</v>
      </c>
      <c r="S432" s="1">
        <f t="shared" si="2"/>
        <v>-171</v>
      </c>
      <c r="T432" s="1">
        <f t="shared" si="3"/>
        <v>1.584795322</v>
      </c>
      <c r="U432" s="1">
        <f t="shared" si="4"/>
        <v>0</v>
      </c>
      <c r="V432" s="3">
        <f t="shared" si="5"/>
        <v>2</v>
      </c>
      <c r="W432" s="3">
        <f t="shared" si="6"/>
        <v>3</v>
      </c>
      <c r="X432" s="3" t="str">
        <f>IFERROR(__xludf.DUMMYFUNCTION("split(B432,"" "")"),"K.")</f>
        <v>K.</v>
      </c>
      <c r="Y432" s="3" t="str">
        <f>IFERROR(__xludf.DUMMYFUNCTION("""COMPUTED_VALUE"""),"Osborn")</f>
        <v>Osborn</v>
      </c>
      <c r="AA432" s="3">
        <v>0.0</v>
      </c>
      <c r="AB432" s="3">
        <f t="shared" si="7"/>
        <v>0</v>
      </c>
      <c r="AC432" s="3">
        <f t="shared" si="8"/>
        <v>1</v>
      </c>
      <c r="AD432" s="3">
        <f t="shared" si="9"/>
        <v>1.169590643</v>
      </c>
      <c r="AE432" s="3">
        <f t="shared" si="10"/>
        <v>1.169590643</v>
      </c>
      <c r="AF432" s="3">
        <f t="shared" si="11"/>
        <v>1.754385965</v>
      </c>
      <c r="AG432" s="3">
        <f t="shared" si="12"/>
        <v>1</v>
      </c>
      <c r="AO432" s="4"/>
      <c r="AP432" s="4"/>
      <c r="AQ432" s="4"/>
      <c r="AR432" s="4"/>
    </row>
    <row r="433">
      <c r="A433" s="1" t="s">
        <v>11</v>
      </c>
      <c r="B433" s="1" t="s">
        <v>371</v>
      </c>
      <c r="C433" s="1" t="s">
        <v>18</v>
      </c>
      <c r="D433" s="1" t="s">
        <v>66</v>
      </c>
      <c r="E433" s="1" t="s">
        <v>165</v>
      </c>
      <c r="F433" s="1" t="s">
        <v>551</v>
      </c>
      <c r="G433" s="1">
        <v>8.5</v>
      </c>
      <c r="H433" s="1" t="s">
        <v>60</v>
      </c>
      <c r="I433" s="1">
        <v>-110.0</v>
      </c>
      <c r="J433" s="1">
        <v>0.0646827318433929</v>
      </c>
      <c r="K433" s="1" t="s">
        <v>61</v>
      </c>
      <c r="L433" s="1" t="s">
        <v>61</v>
      </c>
      <c r="M433" s="1" t="s">
        <v>62</v>
      </c>
      <c r="N433" s="1">
        <v>-118.0</v>
      </c>
      <c r="O433" s="1">
        <v>-0.129761930966939</v>
      </c>
      <c r="P433" s="1" t="s">
        <v>61</v>
      </c>
      <c r="Q433" s="1" t="s">
        <v>61</v>
      </c>
      <c r="R433" s="1">
        <f t="shared" si="1"/>
        <v>0.06468273184</v>
      </c>
      <c r="S433" s="1">
        <f t="shared" si="2"/>
        <v>-110</v>
      </c>
      <c r="T433" s="1">
        <f t="shared" si="3"/>
        <v>1.909090909</v>
      </c>
      <c r="U433" s="1">
        <f t="shared" si="4"/>
        <v>1</v>
      </c>
      <c r="V433" s="3">
        <f t="shared" si="5"/>
        <v>2</v>
      </c>
      <c r="W433" s="3">
        <f t="shared" si="6"/>
        <v>2</v>
      </c>
      <c r="X433" s="3" t="str">
        <f>IFERROR(__xludf.DUMMYFUNCTION("split(B433,"" "")"),"T.")</f>
        <v>T.</v>
      </c>
      <c r="Y433" s="3" t="str">
        <f>IFERROR(__xludf.DUMMYFUNCTION("""COMPUTED_VALUE"""),"Thornton")</f>
        <v>Thornton</v>
      </c>
      <c r="AA433" s="3">
        <v>0.0</v>
      </c>
      <c r="AB433" s="3">
        <f t="shared" si="7"/>
        <v>0</v>
      </c>
      <c r="AC433" s="3">
        <f t="shared" si="8"/>
        <v>0</v>
      </c>
      <c r="AD433" s="3">
        <f t="shared" si="9"/>
        <v>1.818181818</v>
      </c>
      <c r="AE433" s="3">
        <f t="shared" si="10"/>
        <v>-2</v>
      </c>
      <c r="AF433" s="3">
        <f t="shared" si="11"/>
        <v>-2</v>
      </c>
      <c r="AG433" s="3">
        <f t="shared" si="12"/>
        <v>-1</v>
      </c>
      <c r="AO433" s="4"/>
      <c r="AP433" s="4"/>
      <c r="AQ433" s="4"/>
      <c r="AR433" s="4"/>
    </row>
    <row r="434">
      <c r="A434" s="1" t="s">
        <v>9</v>
      </c>
      <c r="B434" s="1" t="s">
        <v>476</v>
      </c>
      <c r="C434" s="1" t="s">
        <v>19</v>
      </c>
      <c r="D434" s="1" t="s">
        <v>66</v>
      </c>
      <c r="E434" s="1" t="s">
        <v>165</v>
      </c>
      <c r="F434" s="1" t="s">
        <v>551</v>
      </c>
      <c r="G434" s="1">
        <v>85.5</v>
      </c>
      <c r="H434" s="1" t="s">
        <v>60</v>
      </c>
      <c r="I434" s="1">
        <v>-115.0</v>
      </c>
      <c r="J434" s="1">
        <v>-0.129496703882846</v>
      </c>
      <c r="K434" s="1" t="s">
        <v>61</v>
      </c>
      <c r="L434" s="1" t="s">
        <v>61</v>
      </c>
      <c r="M434" s="1" t="s">
        <v>62</v>
      </c>
      <c r="N434" s="1">
        <v>-117.0</v>
      </c>
      <c r="O434" s="1">
        <v>0.0554923081185713</v>
      </c>
      <c r="P434" s="1" t="s">
        <v>61</v>
      </c>
      <c r="Q434" s="1" t="s">
        <v>61</v>
      </c>
      <c r="R434" s="1">
        <f t="shared" si="1"/>
        <v>0.05549230812</v>
      </c>
      <c r="S434" s="1">
        <f t="shared" si="2"/>
        <v>-117</v>
      </c>
      <c r="T434" s="1">
        <f t="shared" si="3"/>
        <v>1.854700855</v>
      </c>
      <c r="U434" s="1">
        <f t="shared" si="4"/>
        <v>0</v>
      </c>
      <c r="V434" s="3">
        <f t="shared" si="5"/>
        <v>2</v>
      </c>
      <c r="W434" s="3">
        <f t="shared" si="6"/>
        <v>2</v>
      </c>
      <c r="X434" s="3" t="str">
        <f>IFERROR(__xludf.DUMMYFUNCTION("split(B434,"" "")"),"R.")</f>
        <v>R.</v>
      </c>
      <c r="Y434" s="3" t="str">
        <f>IFERROR(__xludf.DUMMYFUNCTION("""COMPUTED_VALUE"""),"Stevenson")</f>
        <v>Stevenson</v>
      </c>
      <c r="AA434" s="3">
        <v>23.0</v>
      </c>
      <c r="AB434" s="3">
        <f t="shared" si="7"/>
        <v>0</v>
      </c>
      <c r="AC434" s="3">
        <f t="shared" si="8"/>
        <v>1</v>
      </c>
      <c r="AD434" s="3">
        <f t="shared" si="9"/>
        <v>1.709401709</v>
      </c>
      <c r="AE434" s="3">
        <f t="shared" si="10"/>
        <v>1.709401709</v>
      </c>
      <c r="AF434" s="3">
        <f t="shared" si="11"/>
        <v>1.709401709</v>
      </c>
      <c r="AG434" s="3">
        <f t="shared" si="12"/>
        <v>0.730994152</v>
      </c>
      <c r="AO434" s="4"/>
      <c r="AP434" s="4"/>
      <c r="AQ434" s="4"/>
      <c r="AR434" s="4"/>
    </row>
    <row r="435">
      <c r="A435" s="1" t="s">
        <v>14</v>
      </c>
      <c r="B435" s="1" t="s">
        <v>65</v>
      </c>
      <c r="C435" s="1" t="s">
        <v>21</v>
      </c>
      <c r="D435" s="1" t="s">
        <v>66</v>
      </c>
      <c r="E435" s="1" t="s">
        <v>165</v>
      </c>
      <c r="F435" s="1" t="s">
        <v>551</v>
      </c>
      <c r="G435" s="1">
        <v>0.5</v>
      </c>
      <c r="H435" s="1" t="s">
        <v>60</v>
      </c>
      <c r="I435" s="1">
        <v>-148.0</v>
      </c>
      <c r="J435" s="1">
        <v>-0.119372579556451</v>
      </c>
      <c r="K435" s="1" t="s">
        <v>61</v>
      </c>
      <c r="L435" s="1" t="s">
        <v>61</v>
      </c>
      <c r="M435" s="1" t="s">
        <v>62</v>
      </c>
      <c r="N435" s="1">
        <v>113.0</v>
      </c>
      <c r="O435" s="1">
        <v>0.0531145527230046</v>
      </c>
      <c r="P435" s="1" t="s">
        <v>61</v>
      </c>
      <c r="Q435" s="1" t="s">
        <v>61</v>
      </c>
      <c r="R435" s="1">
        <f t="shared" si="1"/>
        <v>0.05311455272</v>
      </c>
      <c r="S435" s="1">
        <f t="shared" si="2"/>
        <v>113</v>
      </c>
      <c r="T435" s="1">
        <f t="shared" si="3"/>
        <v>2.13</v>
      </c>
      <c r="U435" s="1">
        <f t="shared" si="4"/>
        <v>0</v>
      </c>
      <c r="V435" s="3">
        <f t="shared" si="5"/>
        <v>2</v>
      </c>
      <c r="W435" s="3">
        <f t="shared" si="6"/>
        <v>1</v>
      </c>
      <c r="X435" s="3" t="str">
        <f>IFERROR(__xludf.DUMMYFUNCTION("split(B435,"" "")"),"J.")</f>
        <v>J.</v>
      </c>
      <c r="Y435" s="3" t="str">
        <f>IFERROR(__xludf.DUMMYFUNCTION("""COMPUTED_VALUE"""),"Brissett")</f>
        <v>Brissett</v>
      </c>
      <c r="AA435" s="3">
        <v>0.0</v>
      </c>
      <c r="AB435" s="3">
        <f t="shared" si="7"/>
        <v>0</v>
      </c>
      <c r="AC435" s="3">
        <f t="shared" si="8"/>
        <v>1</v>
      </c>
      <c r="AD435" s="3">
        <f t="shared" si="9"/>
        <v>2.26</v>
      </c>
      <c r="AE435" s="3">
        <f t="shared" si="10"/>
        <v>2.26</v>
      </c>
      <c r="AF435" s="3">
        <f t="shared" si="11"/>
        <v>1.13</v>
      </c>
      <c r="AG435" s="3">
        <f t="shared" si="12"/>
        <v>1</v>
      </c>
      <c r="AO435" s="4"/>
      <c r="AP435" s="4"/>
      <c r="AQ435" s="4"/>
      <c r="AR435" s="4"/>
    </row>
    <row r="436">
      <c r="A436" s="1" t="s">
        <v>12</v>
      </c>
      <c r="B436" s="1" t="s">
        <v>552</v>
      </c>
      <c r="C436" s="1" t="s">
        <v>20</v>
      </c>
      <c r="D436" s="1" t="s">
        <v>66</v>
      </c>
      <c r="E436" s="1" t="s">
        <v>165</v>
      </c>
      <c r="F436" s="1" t="s">
        <v>551</v>
      </c>
      <c r="G436" s="1">
        <v>1.5</v>
      </c>
      <c r="H436" s="1" t="s">
        <v>60</v>
      </c>
      <c r="I436" s="1">
        <v>118.0</v>
      </c>
      <c r="J436" s="1">
        <v>-0.118007697302018</v>
      </c>
      <c r="K436" s="1" t="s">
        <v>61</v>
      </c>
      <c r="L436" s="1" t="s">
        <v>61</v>
      </c>
      <c r="M436" s="1" t="s">
        <v>62</v>
      </c>
      <c r="N436" s="1">
        <v>-155.0</v>
      </c>
      <c r="O436" s="1">
        <v>0.0514479924172548</v>
      </c>
      <c r="P436" s="1" t="s">
        <v>61</v>
      </c>
      <c r="Q436" s="1" t="s">
        <v>61</v>
      </c>
      <c r="R436" s="1">
        <f t="shared" si="1"/>
        <v>0.05144799242</v>
      </c>
      <c r="S436" s="1">
        <f t="shared" si="2"/>
        <v>-155</v>
      </c>
      <c r="T436" s="1">
        <f t="shared" si="3"/>
        <v>1.64516129</v>
      </c>
      <c r="U436" s="1">
        <f t="shared" si="4"/>
        <v>0</v>
      </c>
      <c r="V436" s="3">
        <f t="shared" si="5"/>
        <v>2</v>
      </c>
      <c r="W436" s="3">
        <f t="shared" si="6"/>
        <v>3</v>
      </c>
      <c r="X436" s="3" t="str">
        <f>IFERROR(__xludf.DUMMYFUNCTION("split(B436,"" "")"),"A.")</f>
        <v>A.</v>
      </c>
      <c r="Y436" s="3" t="str">
        <f>IFERROR(__xludf.DUMMYFUNCTION("""COMPUTED_VALUE"""),"Hooper")</f>
        <v>Hooper</v>
      </c>
      <c r="AA436" s="3">
        <v>1.0</v>
      </c>
      <c r="AB436" s="3">
        <f t="shared" si="7"/>
        <v>0</v>
      </c>
      <c r="AC436" s="3">
        <f t="shared" si="8"/>
        <v>1</v>
      </c>
      <c r="AD436" s="3">
        <f t="shared" si="9"/>
        <v>1.290322581</v>
      </c>
      <c r="AE436" s="3">
        <f t="shared" si="10"/>
        <v>1.290322581</v>
      </c>
      <c r="AF436" s="3">
        <f t="shared" si="11"/>
        <v>1.935483871</v>
      </c>
      <c r="AG436" s="3">
        <f t="shared" si="12"/>
        <v>0.3333333333</v>
      </c>
      <c r="AO436" s="4"/>
      <c r="AP436" s="4"/>
      <c r="AQ436" s="4"/>
      <c r="AR436" s="4"/>
    </row>
    <row r="437">
      <c r="A437" s="1" t="s">
        <v>10</v>
      </c>
      <c r="B437" s="1" t="s">
        <v>476</v>
      </c>
      <c r="C437" s="1" t="s">
        <v>19</v>
      </c>
      <c r="D437" s="1" t="s">
        <v>66</v>
      </c>
      <c r="E437" s="1" t="s">
        <v>165</v>
      </c>
      <c r="F437" s="1" t="s">
        <v>551</v>
      </c>
      <c r="G437" s="1">
        <v>64.5</v>
      </c>
      <c r="H437" s="1" t="s">
        <v>60</v>
      </c>
      <c r="I437" s="1">
        <v>-128.0</v>
      </c>
      <c r="J437" s="1">
        <v>-0.118778154488209</v>
      </c>
      <c r="K437" s="1" t="s">
        <v>61</v>
      </c>
      <c r="L437" s="1" t="s">
        <v>61</v>
      </c>
      <c r="M437" s="1" t="s">
        <v>62</v>
      </c>
      <c r="N437" s="1">
        <v>-103.0</v>
      </c>
      <c r="O437" s="1">
        <v>0.04994975621259</v>
      </c>
      <c r="P437" s="1" t="s">
        <v>61</v>
      </c>
      <c r="Q437" s="1" t="s">
        <v>61</v>
      </c>
      <c r="R437" s="1">
        <f t="shared" si="1"/>
        <v>0.04994975621</v>
      </c>
      <c r="S437" s="1">
        <f t="shared" si="2"/>
        <v>-103</v>
      </c>
      <c r="T437" s="1">
        <f t="shared" si="3"/>
        <v>1.970873786</v>
      </c>
      <c r="U437" s="1">
        <f t="shared" si="4"/>
        <v>0</v>
      </c>
      <c r="V437" s="3">
        <f t="shared" si="5"/>
        <v>1</v>
      </c>
      <c r="W437" s="3">
        <f t="shared" si="6"/>
        <v>2</v>
      </c>
      <c r="X437" s="3" t="str">
        <f>IFERROR(__xludf.DUMMYFUNCTION("split(B437,"" "")"),"R.")</f>
        <v>R.</v>
      </c>
      <c r="Y437" s="3" t="str">
        <f>IFERROR(__xludf.DUMMYFUNCTION("""COMPUTED_VALUE"""),"Stevenson")</f>
        <v>Stevenson</v>
      </c>
      <c r="AA437" s="3">
        <v>23.0</v>
      </c>
      <c r="AB437" s="3">
        <f t="shared" si="7"/>
        <v>0</v>
      </c>
      <c r="AC437" s="3">
        <f t="shared" si="8"/>
        <v>1</v>
      </c>
      <c r="AD437" s="3">
        <f t="shared" si="9"/>
        <v>0.9708737864</v>
      </c>
      <c r="AE437" s="3">
        <f t="shared" si="10"/>
        <v>0.9708737864</v>
      </c>
      <c r="AF437" s="3">
        <f t="shared" si="11"/>
        <v>1.941747573</v>
      </c>
      <c r="AG437" s="3">
        <f t="shared" si="12"/>
        <v>0.6434108527</v>
      </c>
      <c r="AO437" s="4"/>
      <c r="AP437" s="4"/>
      <c r="AQ437" s="4"/>
      <c r="AR437" s="4"/>
    </row>
    <row r="438">
      <c r="A438" s="1" t="s">
        <v>9</v>
      </c>
      <c r="B438" s="1" t="s">
        <v>131</v>
      </c>
      <c r="C438" s="1" t="s">
        <v>18</v>
      </c>
      <c r="D438" s="1" t="s">
        <v>66</v>
      </c>
      <c r="E438" s="1" t="s">
        <v>165</v>
      </c>
      <c r="F438" s="1" t="s">
        <v>551</v>
      </c>
      <c r="G438" s="1">
        <v>28.5</v>
      </c>
      <c r="H438" s="1" t="s">
        <v>60</v>
      </c>
      <c r="I438" s="1">
        <v>-115.0</v>
      </c>
      <c r="J438" s="1">
        <v>0.0396647221267045</v>
      </c>
      <c r="K438" s="1" t="s">
        <v>61</v>
      </c>
      <c r="L438" s="1" t="s">
        <v>61</v>
      </c>
      <c r="M438" s="1" t="s">
        <v>62</v>
      </c>
      <c r="N438" s="1">
        <v>-117.0</v>
      </c>
      <c r="O438" s="1">
        <v>-0.113726662907707</v>
      </c>
      <c r="P438" s="1" t="s">
        <v>61</v>
      </c>
      <c r="Q438" s="1" t="s">
        <v>61</v>
      </c>
      <c r="R438" s="1">
        <f t="shared" si="1"/>
        <v>0.03966472213</v>
      </c>
      <c r="S438" s="1">
        <f t="shared" si="2"/>
        <v>-115</v>
      </c>
      <c r="T438" s="1">
        <f t="shared" si="3"/>
        <v>1.869565217</v>
      </c>
      <c r="U438" s="1">
        <f t="shared" si="4"/>
        <v>1</v>
      </c>
      <c r="V438" s="3">
        <f t="shared" si="5"/>
        <v>1</v>
      </c>
      <c r="W438" s="3">
        <f t="shared" si="6"/>
        <v>2</v>
      </c>
      <c r="X438" s="3" t="str">
        <f>IFERROR(__xludf.DUMMYFUNCTION("split(B438,"" "")"),"D.")</f>
        <v>D.</v>
      </c>
      <c r="Y438" s="3" t="str">
        <f>IFERROR(__xludf.DUMMYFUNCTION("""COMPUTED_VALUE"""),"Douglas")</f>
        <v>Douglas</v>
      </c>
      <c r="AA438" s="3">
        <v>78.0</v>
      </c>
      <c r="AB438" s="3">
        <f t="shared" si="7"/>
        <v>1</v>
      </c>
      <c r="AC438" s="3">
        <f t="shared" si="8"/>
        <v>1</v>
      </c>
      <c r="AD438" s="3">
        <f t="shared" si="9"/>
        <v>0.8695652174</v>
      </c>
      <c r="AE438" s="3">
        <f t="shared" si="10"/>
        <v>0.8695652174</v>
      </c>
      <c r="AF438" s="3">
        <f t="shared" si="11"/>
        <v>1.739130435</v>
      </c>
      <c r="AG438" s="3">
        <f t="shared" si="12"/>
        <v>1.736842105</v>
      </c>
      <c r="AO438" s="4"/>
      <c r="AP438" s="4"/>
      <c r="AQ438" s="4"/>
      <c r="AR438" s="4"/>
    </row>
    <row r="439">
      <c r="A439" s="1" t="s">
        <v>10</v>
      </c>
      <c r="B439" s="1" t="s">
        <v>383</v>
      </c>
      <c r="C439" s="1" t="s">
        <v>19</v>
      </c>
      <c r="D439" s="1" t="s">
        <v>66</v>
      </c>
      <c r="E439" s="1" t="s">
        <v>165</v>
      </c>
      <c r="F439" s="1" t="s">
        <v>551</v>
      </c>
      <c r="G439" s="1">
        <v>23.5</v>
      </c>
      <c r="H439" s="1" t="s">
        <v>60</v>
      </c>
      <c r="I439" s="1">
        <v>-119.0</v>
      </c>
      <c r="J439" s="1">
        <v>-0.108775307376018</v>
      </c>
      <c r="K439" s="1" t="s">
        <v>61</v>
      </c>
      <c r="L439" s="1" t="s">
        <v>61</v>
      </c>
      <c r="M439" s="1" t="s">
        <v>62</v>
      </c>
      <c r="N439" s="1">
        <v>-111.0</v>
      </c>
      <c r="O439" s="1">
        <v>0.0393141918011199</v>
      </c>
      <c r="P439" s="1" t="s">
        <v>61</v>
      </c>
      <c r="Q439" s="1" t="s">
        <v>61</v>
      </c>
      <c r="R439" s="1">
        <f t="shared" si="1"/>
        <v>0.0393141918</v>
      </c>
      <c r="S439" s="1">
        <f t="shared" si="2"/>
        <v>-111</v>
      </c>
      <c r="T439" s="1">
        <f t="shared" si="3"/>
        <v>1.900900901</v>
      </c>
      <c r="U439" s="1">
        <f t="shared" si="4"/>
        <v>0</v>
      </c>
      <c r="V439" s="3">
        <f t="shared" si="5"/>
        <v>1</v>
      </c>
      <c r="W439" s="3">
        <f t="shared" si="6"/>
        <v>2</v>
      </c>
      <c r="X439" s="3" t="str">
        <f>IFERROR(__xludf.DUMMYFUNCTION("split(B439,"" "")"),"A.")</f>
        <v>A.</v>
      </c>
      <c r="Y439" s="3" t="str">
        <f>IFERROR(__xludf.DUMMYFUNCTION("""COMPUTED_VALUE"""),"Gibson")</f>
        <v>Gibson</v>
      </c>
      <c r="AA439" s="3">
        <v>29.0</v>
      </c>
      <c r="AB439" s="3">
        <f t="shared" si="7"/>
        <v>1</v>
      </c>
      <c r="AC439" s="3">
        <f t="shared" si="8"/>
        <v>0</v>
      </c>
      <c r="AD439" s="3">
        <f t="shared" si="9"/>
        <v>0.9009009009</v>
      </c>
      <c r="AE439" s="3">
        <f t="shared" si="10"/>
        <v>-1</v>
      </c>
      <c r="AF439" s="3">
        <f t="shared" si="11"/>
        <v>-2</v>
      </c>
      <c r="AG439" s="3">
        <f t="shared" si="12"/>
        <v>-0.2340425532</v>
      </c>
    </row>
    <row r="440">
      <c r="A440" s="1" t="s">
        <v>8</v>
      </c>
      <c r="B440" s="1" t="s">
        <v>65</v>
      </c>
      <c r="C440" s="1" t="s">
        <v>21</v>
      </c>
      <c r="D440" s="1" t="s">
        <v>66</v>
      </c>
      <c r="E440" s="1" t="s">
        <v>165</v>
      </c>
      <c r="F440" s="1" t="s">
        <v>551</v>
      </c>
      <c r="G440" s="1">
        <v>3.5</v>
      </c>
      <c r="H440" s="1" t="s">
        <v>60</v>
      </c>
      <c r="I440" s="1">
        <v>118.0</v>
      </c>
      <c r="J440" s="1">
        <v>-0.102660513431657</v>
      </c>
      <c r="K440" s="1" t="s">
        <v>61</v>
      </c>
      <c r="L440" s="1" t="s">
        <v>61</v>
      </c>
      <c r="M440" s="1" t="s">
        <v>62</v>
      </c>
      <c r="N440" s="1">
        <v>-158.0</v>
      </c>
      <c r="O440" s="1">
        <v>0.0315477179293132</v>
      </c>
      <c r="P440" s="1" t="s">
        <v>61</v>
      </c>
      <c r="Q440" s="1" t="s">
        <v>61</v>
      </c>
      <c r="R440" s="1">
        <f t="shared" si="1"/>
        <v>0.03154771793</v>
      </c>
      <c r="S440" s="1">
        <f t="shared" si="2"/>
        <v>-158</v>
      </c>
      <c r="T440" s="1">
        <f t="shared" si="3"/>
        <v>1.632911392</v>
      </c>
      <c r="U440" s="1">
        <f t="shared" si="4"/>
        <v>0</v>
      </c>
      <c r="V440" s="3">
        <f t="shared" si="5"/>
        <v>1</v>
      </c>
      <c r="W440" s="3">
        <f t="shared" si="6"/>
        <v>3</v>
      </c>
      <c r="X440" s="3" t="str">
        <f>IFERROR(__xludf.DUMMYFUNCTION("split(B440,"" "")"),"J.")</f>
        <v>J.</v>
      </c>
      <c r="Y440" s="3" t="str">
        <f>IFERROR(__xludf.DUMMYFUNCTION("""COMPUTED_VALUE"""),"Brissett")</f>
        <v>Brissett</v>
      </c>
      <c r="AA440" s="3">
        <v>0.0</v>
      </c>
      <c r="AB440" s="3">
        <f t="shared" si="7"/>
        <v>0</v>
      </c>
      <c r="AC440" s="3">
        <f t="shared" si="8"/>
        <v>1</v>
      </c>
      <c r="AD440" s="3">
        <f t="shared" si="9"/>
        <v>0.6329113924</v>
      </c>
      <c r="AE440" s="3">
        <f t="shared" si="10"/>
        <v>0.6329113924</v>
      </c>
      <c r="AF440" s="3">
        <f t="shared" si="11"/>
        <v>1.898734177</v>
      </c>
      <c r="AG440" s="3">
        <f t="shared" si="12"/>
        <v>1</v>
      </c>
    </row>
    <row r="441">
      <c r="A441" s="1" t="s">
        <v>11</v>
      </c>
      <c r="B441" s="1" t="s">
        <v>131</v>
      </c>
      <c r="C441" s="1" t="s">
        <v>18</v>
      </c>
      <c r="D441" s="1" t="s">
        <v>66</v>
      </c>
      <c r="E441" s="1" t="s">
        <v>165</v>
      </c>
      <c r="F441" s="1" t="s">
        <v>551</v>
      </c>
      <c r="G441" s="1">
        <v>25.5</v>
      </c>
      <c r="H441" s="1" t="s">
        <v>60</v>
      </c>
      <c r="I441" s="1">
        <v>-128.0</v>
      </c>
      <c r="J441" s="1">
        <v>-0.0982290674583464</v>
      </c>
      <c r="K441" s="1" t="s">
        <v>61</v>
      </c>
      <c r="L441" s="1" t="s">
        <v>61</v>
      </c>
      <c r="M441" s="1" t="s">
        <v>62</v>
      </c>
      <c r="N441" s="1">
        <v>-104.0</v>
      </c>
      <c r="O441" s="1">
        <v>0.0270744925280546</v>
      </c>
      <c r="P441" s="1" t="s">
        <v>61</v>
      </c>
      <c r="Q441" s="1" t="s">
        <v>61</v>
      </c>
      <c r="R441" s="1">
        <f t="shared" si="1"/>
        <v>0.02707449253</v>
      </c>
      <c r="S441" s="1">
        <f t="shared" si="2"/>
        <v>-104</v>
      </c>
      <c r="T441" s="1">
        <f t="shared" si="3"/>
        <v>1.961538462</v>
      </c>
      <c r="U441" s="1">
        <f t="shared" si="4"/>
        <v>0</v>
      </c>
      <c r="V441" s="3">
        <f t="shared" si="5"/>
        <v>1</v>
      </c>
      <c r="W441" s="3">
        <f t="shared" si="6"/>
        <v>2</v>
      </c>
      <c r="X441" s="3" t="str">
        <f>IFERROR(__xludf.DUMMYFUNCTION("split(B441,"" "")"),"D.")</f>
        <v>D.</v>
      </c>
      <c r="Y441" s="3" t="str">
        <f>IFERROR(__xludf.DUMMYFUNCTION("""COMPUTED_VALUE"""),"Douglas")</f>
        <v>Douglas</v>
      </c>
      <c r="AA441" s="3">
        <v>69.0</v>
      </c>
      <c r="AB441" s="3">
        <f t="shared" si="7"/>
        <v>1</v>
      </c>
      <c r="AC441" s="3">
        <f t="shared" si="8"/>
        <v>0</v>
      </c>
      <c r="AD441" s="3">
        <f t="shared" si="9"/>
        <v>0.9615384615</v>
      </c>
      <c r="AE441" s="3">
        <f t="shared" si="10"/>
        <v>-1</v>
      </c>
      <c r="AF441" s="3">
        <f t="shared" si="11"/>
        <v>-2</v>
      </c>
      <c r="AG441" s="3">
        <f t="shared" si="12"/>
        <v>-1.705882353</v>
      </c>
    </row>
    <row r="442">
      <c r="A442" s="1" t="s">
        <v>9</v>
      </c>
      <c r="B442" s="1" t="s">
        <v>383</v>
      </c>
      <c r="C442" s="1" t="s">
        <v>19</v>
      </c>
      <c r="D442" s="1" t="s">
        <v>66</v>
      </c>
      <c r="E442" s="1" t="s">
        <v>165</v>
      </c>
      <c r="F442" s="1" t="s">
        <v>551</v>
      </c>
      <c r="G442" s="1">
        <v>33.5</v>
      </c>
      <c r="H442" s="1" t="s">
        <v>60</v>
      </c>
      <c r="I442" s="1">
        <v>-120.0</v>
      </c>
      <c r="J442" s="1">
        <v>0.0220825759366823</v>
      </c>
      <c r="K442" s="1" t="s">
        <v>61</v>
      </c>
      <c r="L442" s="1" t="s">
        <v>61</v>
      </c>
      <c r="M442" s="1" t="s">
        <v>62</v>
      </c>
      <c r="N442" s="1">
        <v>-113.0</v>
      </c>
      <c r="O442" s="1">
        <v>-0.0980764712575552</v>
      </c>
      <c r="P442" s="1" t="s">
        <v>61</v>
      </c>
      <c r="Q442" s="1" t="s">
        <v>61</v>
      </c>
      <c r="R442" s="1">
        <f t="shared" si="1"/>
        <v>0.02208257594</v>
      </c>
      <c r="S442" s="1">
        <f t="shared" si="2"/>
        <v>-120</v>
      </c>
      <c r="T442" s="1">
        <f t="shared" si="3"/>
        <v>1.833333333</v>
      </c>
      <c r="U442" s="1">
        <f t="shared" si="4"/>
        <v>1</v>
      </c>
      <c r="V442" s="3">
        <f t="shared" si="5"/>
        <v>1</v>
      </c>
      <c r="W442" s="3">
        <f t="shared" si="6"/>
        <v>3</v>
      </c>
      <c r="X442" s="3" t="str">
        <f>IFERROR(__xludf.DUMMYFUNCTION("split(B442,"" "")"),"A.")</f>
        <v>A.</v>
      </c>
      <c r="Y442" s="3" t="str">
        <f>IFERROR(__xludf.DUMMYFUNCTION("""COMPUTED_VALUE"""),"Gibson")</f>
        <v>Gibson</v>
      </c>
      <c r="AA442" s="3">
        <v>37.0</v>
      </c>
      <c r="AB442" s="3">
        <f t="shared" si="7"/>
        <v>1</v>
      </c>
      <c r="AC442" s="3">
        <f t="shared" si="8"/>
        <v>1</v>
      </c>
      <c r="AD442" s="3">
        <f t="shared" si="9"/>
        <v>0.8333333333</v>
      </c>
      <c r="AE442" s="3">
        <f t="shared" si="10"/>
        <v>0.8333333333</v>
      </c>
      <c r="AF442" s="3">
        <f t="shared" si="11"/>
        <v>2.5</v>
      </c>
      <c r="AG442" s="3">
        <f t="shared" si="12"/>
        <v>0.1044776119</v>
      </c>
    </row>
    <row r="443">
      <c r="A443" s="1" t="s">
        <v>11</v>
      </c>
      <c r="B443" s="1" t="s">
        <v>552</v>
      </c>
      <c r="C443" s="1" t="s">
        <v>20</v>
      </c>
      <c r="D443" s="1" t="s">
        <v>66</v>
      </c>
      <c r="E443" s="1" t="s">
        <v>165</v>
      </c>
      <c r="F443" s="1" t="s">
        <v>551</v>
      </c>
      <c r="G443" s="1">
        <v>9.5</v>
      </c>
      <c r="H443" s="1" t="s">
        <v>60</v>
      </c>
      <c r="I443" s="1">
        <v>-114.0</v>
      </c>
      <c r="J443" s="1">
        <v>0.0210267642425937</v>
      </c>
      <c r="K443" s="1" t="s">
        <v>61</v>
      </c>
      <c r="L443" s="1" t="s">
        <v>61</v>
      </c>
      <c r="M443" s="1" t="s">
        <v>62</v>
      </c>
      <c r="N443" s="1">
        <v>-112.0</v>
      </c>
      <c r="O443" s="1">
        <v>-0.0820307115738908</v>
      </c>
      <c r="P443" s="1" t="s">
        <v>61</v>
      </c>
      <c r="Q443" s="1" t="s">
        <v>61</v>
      </c>
      <c r="R443" s="1">
        <f t="shared" si="1"/>
        <v>0.02102676424</v>
      </c>
      <c r="S443" s="1">
        <f t="shared" si="2"/>
        <v>-114</v>
      </c>
      <c r="T443" s="1">
        <f t="shared" si="3"/>
        <v>1.877192982</v>
      </c>
      <c r="U443" s="1">
        <f t="shared" si="4"/>
        <v>1</v>
      </c>
      <c r="V443" s="3">
        <f t="shared" si="5"/>
        <v>1</v>
      </c>
      <c r="W443" s="3">
        <f t="shared" si="6"/>
        <v>2</v>
      </c>
      <c r="X443" s="3" t="str">
        <f>IFERROR(__xludf.DUMMYFUNCTION("split(B443,"" "")"),"A.")</f>
        <v>A.</v>
      </c>
      <c r="Y443" s="3" t="str">
        <f>IFERROR(__xludf.DUMMYFUNCTION("""COMPUTED_VALUE"""),"Hooper")</f>
        <v>Hooper</v>
      </c>
      <c r="AA443" s="3">
        <v>19.0</v>
      </c>
      <c r="AB443" s="3">
        <f t="shared" si="7"/>
        <v>1</v>
      </c>
      <c r="AC443" s="3">
        <f t="shared" si="8"/>
        <v>1</v>
      </c>
      <c r="AD443" s="3">
        <f t="shared" si="9"/>
        <v>0.8771929825</v>
      </c>
      <c r="AE443" s="3">
        <f t="shared" si="10"/>
        <v>0.8771929825</v>
      </c>
      <c r="AF443" s="3">
        <f t="shared" si="11"/>
        <v>1.754385965</v>
      </c>
      <c r="AG443" s="3">
        <f t="shared" si="12"/>
        <v>1</v>
      </c>
    </row>
    <row r="444">
      <c r="A444" s="1" t="s">
        <v>13</v>
      </c>
      <c r="B444" s="1" t="s">
        <v>65</v>
      </c>
      <c r="C444" s="1" t="s">
        <v>21</v>
      </c>
      <c r="D444" s="1" t="s">
        <v>66</v>
      </c>
      <c r="E444" s="1" t="s">
        <v>165</v>
      </c>
      <c r="F444" s="1" t="s">
        <v>551</v>
      </c>
      <c r="G444" s="1">
        <v>163.5</v>
      </c>
      <c r="H444" s="1" t="s">
        <v>60</v>
      </c>
      <c r="I444" s="1">
        <v>-113.0</v>
      </c>
      <c r="J444" s="1">
        <v>0.0148152606431923</v>
      </c>
      <c r="K444" s="1" t="s">
        <v>61</v>
      </c>
      <c r="L444" s="1" t="s">
        <v>61</v>
      </c>
      <c r="M444" s="1" t="s">
        <v>62</v>
      </c>
      <c r="N444" s="1">
        <v>-115.0</v>
      </c>
      <c r="O444" s="1">
        <v>-0.0801641074165115</v>
      </c>
      <c r="P444" s="1" t="s">
        <v>61</v>
      </c>
      <c r="Q444" s="1" t="s">
        <v>61</v>
      </c>
      <c r="R444" s="1">
        <f t="shared" si="1"/>
        <v>0.01481526064</v>
      </c>
      <c r="S444" s="1">
        <f t="shared" si="2"/>
        <v>-113</v>
      </c>
      <c r="T444" s="1">
        <f t="shared" si="3"/>
        <v>1.884955752</v>
      </c>
      <c r="U444" s="1">
        <f t="shared" si="4"/>
        <v>1</v>
      </c>
      <c r="V444" s="3">
        <f t="shared" si="5"/>
        <v>1</v>
      </c>
      <c r="W444" s="3">
        <f t="shared" si="6"/>
        <v>2</v>
      </c>
      <c r="X444" s="3" t="str">
        <f>IFERROR(__xludf.DUMMYFUNCTION("split(B444,"" "")"),"J.")</f>
        <v>J.</v>
      </c>
      <c r="Y444" s="3" t="str">
        <f>IFERROR(__xludf.DUMMYFUNCTION("""COMPUTED_VALUE"""),"Brissett")</f>
        <v>Brissett</v>
      </c>
      <c r="AA444" s="3">
        <v>98.0</v>
      </c>
      <c r="AB444" s="3">
        <f t="shared" si="7"/>
        <v>0</v>
      </c>
      <c r="AC444" s="3">
        <f t="shared" si="8"/>
        <v>0</v>
      </c>
      <c r="AD444" s="3">
        <f t="shared" si="9"/>
        <v>0.8849557522</v>
      </c>
      <c r="AE444" s="3">
        <f t="shared" si="10"/>
        <v>-1</v>
      </c>
      <c r="AF444" s="3">
        <f t="shared" si="11"/>
        <v>-2</v>
      </c>
      <c r="AG444" s="3">
        <f t="shared" si="12"/>
        <v>-0.4006116208</v>
      </c>
    </row>
    <row r="445">
      <c r="A445" s="1" t="s">
        <v>8</v>
      </c>
      <c r="B445" s="1" t="s">
        <v>476</v>
      </c>
      <c r="C445" s="1" t="s">
        <v>19</v>
      </c>
      <c r="D445" s="1" t="s">
        <v>66</v>
      </c>
      <c r="E445" s="1" t="s">
        <v>165</v>
      </c>
      <c r="F445" s="1" t="s">
        <v>551</v>
      </c>
      <c r="G445" s="1">
        <v>16.5</v>
      </c>
      <c r="H445" s="1" t="s">
        <v>60</v>
      </c>
      <c r="I445" s="1">
        <v>-122.0</v>
      </c>
      <c r="J445" s="1">
        <v>-0.0878135260360358</v>
      </c>
      <c r="K445" s="1" t="s">
        <v>61</v>
      </c>
      <c r="L445" s="1" t="s">
        <v>61</v>
      </c>
      <c r="M445" s="1" t="s">
        <v>62</v>
      </c>
      <c r="N445" s="1">
        <v>-110.0</v>
      </c>
      <c r="O445" s="1">
        <v>0.0144323002761904</v>
      </c>
      <c r="P445" s="1" t="s">
        <v>61</v>
      </c>
      <c r="Q445" s="1" t="s">
        <v>61</v>
      </c>
      <c r="R445" s="1">
        <f t="shared" si="1"/>
        <v>0.01443230028</v>
      </c>
      <c r="S445" s="1">
        <f t="shared" si="2"/>
        <v>-110</v>
      </c>
      <c r="T445" s="1">
        <f t="shared" si="3"/>
        <v>1.909090909</v>
      </c>
      <c r="U445" s="1">
        <f t="shared" si="4"/>
        <v>0</v>
      </c>
      <c r="V445" s="3">
        <f t="shared" si="5"/>
        <v>1</v>
      </c>
      <c r="W445" s="3">
        <f t="shared" si="6"/>
        <v>2</v>
      </c>
      <c r="X445" s="3" t="str">
        <f>IFERROR(__xludf.DUMMYFUNCTION("split(B445,"" "")"),"R.")</f>
        <v>R.</v>
      </c>
      <c r="Y445" s="3" t="str">
        <f>IFERROR(__xludf.DUMMYFUNCTION("""COMPUTED_VALUE"""),"Stevenson")</f>
        <v>Stevenson</v>
      </c>
      <c r="AA445" s="3">
        <v>6.0</v>
      </c>
      <c r="AB445" s="3">
        <f t="shared" si="7"/>
        <v>0</v>
      </c>
      <c r="AC445" s="3">
        <f t="shared" si="8"/>
        <v>1</v>
      </c>
      <c r="AD445" s="3">
        <f t="shared" si="9"/>
        <v>0.9090909091</v>
      </c>
      <c r="AE445" s="3">
        <f t="shared" si="10"/>
        <v>0.9090909091</v>
      </c>
      <c r="AF445" s="3">
        <f t="shared" si="11"/>
        <v>1.818181818</v>
      </c>
      <c r="AG445" s="3">
        <f t="shared" si="12"/>
        <v>0.6363636364</v>
      </c>
    </row>
    <row r="446">
      <c r="A446" s="1" t="s">
        <v>16</v>
      </c>
      <c r="B446" s="1" t="s">
        <v>65</v>
      </c>
      <c r="C446" s="1" t="s">
        <v>21</v>
      </c>
      <c r="D446" s="1" t="s">
        <v>66</v>
      </c>
      <c r="E446" s="1" t="s">
        <v>165</v>
      </c>
      <c r="F446" s="1" t="s">
        <v>551</v>
      </c>
      <c r="G446" s="1">
        <v>27.5</v>
      </c>
      <c r="H446" s="1" t="s">
        <v>60</v>
      </c>
      <c r="I446" s="1">
        <v>-102.0</v>
      </c>
      <c r="J446" s="1">
        <v>-0.0775499177227723</v>
      </c>
      <c r="K446" s="1" t="s">
        <v>61</v>
      </c>
      <c r="L446" s="1" t="s">
        <v>61</v>
      </c>
      <c r="M446" s="1" t="s">
        <v>62</v>
      </c>
      <c r="N446" s="1">
        <v>-128.0</v>
      </c>
      <c r="O446" s="1">
        <v>0.0111958365192983</v>
      </c>
      <c r="P446" s="1" t="s">
        <v>61</v>
      </c>
      <c r="Q446" s="1" t="s">
        <v>61</v>
      </c>
      <c r="R446" s="1">
        <f t="shared" si="1"/>
        <v>0.01119583652</v>
      </c>
      <c r="S446" s="1">
        <f t="shared" si="2"/>
        <v>-128</v>
      </c>
      <c r="T446" s="1">
        <f t="shared" si="3"/>
        <v>1.78125</v>
      </c>
      <c r="U446" s="1">
        <f t="shared" si="4"/>
        <v>0</v>
      </c>
      <c r="V446" s="3">
        <f t="shared" si="5"/>
        <v>1</v>
      </c>
      <c r="W446" s="3">
        <f t="shared" si="6"/>
        <v>3</v>
      </c>
      <c r="X446" s="3" t="str">
        <f>IFERROR(__xludf.DUMMYFUNCTION("split(B446,"" "")"),"J.")</f>
        <v>J.</v>
      </c>
      <c r="Y446" s="3" t="str">
        <f>IFERROR(__xludf.DUMMYFUNCTION("""COMPUTED_VALUE"""),"Brissett")</f>
        <v>Brissett</v>
      </c>
      <c r="AA446" s="3">
        <v>18.0</v>
      </c>
      <c r="AB446" s="3">
        <f t="shared" si="7"/>
        <v>0</v>
      </c>
      <c r="AC446" s="3">
        <f t="shared" si="8"/>
        <v>1</v>
      </c>
      <c r="AD446" s="3">
        <f t="shared" si="9"/>
        <v>0.78125</v>
      </c>
      <c r="AE446" s="3">
        <f t="shared" si="10"/>
        <v>0.78125</v>
      </c>
      <c r="AF446" s="3">
        <f t="shared" si="11"/>
        <v>2.34375</v>
      </c>
      <c r="AG446" s="3">
        <f t="shared" si="12"/>
        <v>0.3454545455</v>
      </c>
    </row>
    <row r="447">
      <c r="A447" s="1" t="s">
        <v>11</v>
      </c>
      <c r="B447" s="1" t="s">
        <v>476</v>
      </c>
      <c r="C447" s="1" t="s">
        <v>19</v>
      </c>
      <c r="D447" s="1" t="s">
        <v>66</v>
      </c>
      <c r="E447" s="1" t="s">
        <v>165</v>
      </c>
      <c r="F447" s="1" t="s">
        <v>551</v>
      </c>
      <c r="G447" s="1">
        <v>15.5</v>
      </c>
      <c r="H447" s="1" t="s">
        <v>60</v>
      </c>
      <c r="I447" s="1">
        <v>-115.0</v>
      </c>
      <c r="J447" s="1">
        <v>-0.0748804768776525</v>
      </c>
      <c r="K447" s="1" t="s">
        <v>61</v>
      </c>
      <c r="L447" s="1" t="s">
        <v>61</v>
      </c>
      <c r="M447" s="1" t="s">
        <v>62</v>
      </c>
      <c r="N447" s="1">
        <v>-113.0</v>
      </c>
      <c r="O447" s="1">
        <v>0.00949392890810185</v>
      </c>
      <c r="P447" s="1" t="s">
        <v>61</v>
      </c>
      <c r="Q447" s="1" t="s">
        <v>61</v>
      </c>
      <c r="R447" s="1">
        <f t="shared" si="1"/>
        <v>0.009493928908</v>
      </c>
      <c r="S447" s="1">
        <f t="shared" si="2"/>
        <v>-113</v>
      </c>
      <c r="T447" s="1">
        <f t="shared" si="3"/>
        <v>1.884955752</v>
      </c>
      <c r="U447" s="1">
        <f t="shared" si="4"/>
        <v>0</v>
      </c>
      <c r="V447" s="3">
        <f t="shared" si="5"/>
        <v>1</v>
      </c>
      <c r="W447" s="3">
        <f t="shared" si="6"/>
        <v>2</v>
      </c>
      <c r="X447" s="3" t="str">
        <f>IFERROR(__xludf.DUMMYFUNCTION("split(B447,"" "")"),"R.")</f>
        <v>R.</v>
      </c>
      <c r="Y447" s="3" t="str">
        <f>IFERROR(__xludf.DUMMYFUNCTION("""COMPUTED_VALUE"""),"Stevenson")</f>
        <v>Stevenson</v>
      </c>
      <c r="AA447" s="3">
        <v>0.0</v>
      </c>
      <c r="AB447" s="3">
        <f t="shared" si="7"/>
        <v>0</v>
      </c>
      <c r="AC447" s="3">
        <f t="shared" si="8"/>
        <v>1</v>
      </c>
      <c r="AD447" s="3">
        <f t="shared" si="9"/>
        <v>0.8849557522</v>
      </c>
      <c r="AE447" s="3">
        <f t="shared" si="10"/>
        <v>0.8849557522</v>
      </c>
      <c r="AF447" s="3">
        <f t="shared" si="11"/>
        <v>1.769911504</v>
      </c>
      <c r="AG447" s="3">
        <f t="shared" si="12"/>
        <v>1</v>
      </c>
    </row>
    <row r="448">
      <c r="A448" s="1" t="s">
        <v>12</v>
      </c>
      <c r="B448" s="1" t="s">
        <v>428</v>
      </c>
      <c r="C448" s="1" t="s">
        <v>18</v>
      </c>
      <c r="D448" s="1" t="s">
        <v>58</v>
      </c>
      <c r="E448" s="1" t="s">
        <v>156</v>
      </c>
      <c r="F448" s="1" t="s">
        <v>525</v>
      </c>
      <c r="G448" s="1">
        <v>3.5</v>
      </c>
      <c r="H448" s="1" t="s">
        <v>60</v>
      </c>
      <c r="I448" s="1">
        <v>-139.0</v>
      </c>
      <c r="J448" s="1">
        <v>-0.231448117154811</v>
      </c>
      <c r="K448" s="1" t="s">
        <v>61</v>
      </c>
      <c r="L448" s="1" t="s">
        <v>61</v>
      </c>
      <c r="M448" s="1" t="s">
        <v>62</v>
      </c>
      <c r="N448" s="1">
        <v>105.0</v>
      </c>
      <c r="O448" s="1">
        <v>0.162046341463414</v>
      </c>
      <c r="P448" s="1" t="s">
        <v>61</v>
      </c>
      <c r="Q448" s="1" t="s">
        <v>61</v>
      </c>
      <c r="R448" s="1">
        <f t="shared" si="1"/>
        <v>0.1620463415</v>
      </c>
      <c r="S448" s="1">
        <f t="shared" si="2"/>
        <v>105</v>
      </c>
      <c r="T448" s="1">
        <f t="shared" si="3"/>
        <v>2.05</v>
      </c>
      <c r="U448" s="1">
        <f t="shared" si="4"/>
        <v>0</v>
      </c>
      <c r="V448" s="3">
        <f t="shared" si="5"/>
        <v>3</v>
      </c>
      <c r="W448" s="3">
        <f t="shared" si="6"/>
        <v>2</v>
      </c>
      <c r="X448" s="3" t="str">
        <f>IFERROR(__xludf.DUMMYFUNCTION("split(B448,"" "")"),"R.")</f>
        <v>R.</v>
      </c>
      <c r="Y448" s="3" t="str">
        <f>IFERROR(__xludf.DUMMYFUNCTION("""COMPUTED_VALUE"""),"Shaheed")</f>
        <v>Shaheed</v>
      </c>
      <c r="AA448" s="3">
        <v>0.0</v>
      </c>
      <c r="AB448" s="3">
        <f t="shared" si="7"/>
        <v>0</v>
      </c>
      <c r="AC448" s="3">
        <f t="shared" si="8"/>
        <v>1</v>
      </c>
      <c r="AD448" s="3">
        <f t="shared" si="9"/>
        <v>3.15</v>
      </c>
      <c r="AE448" s="3">
        <f t="shared" si="10"/>
        <v>3.15</v>
      </c>
      <c r="AF448" s="3">
        <f t="shared" si="11"/>
        <v>2.1</v>
      </c>
      <c r="AG448" s="3">
        <f t="shared" si="12"/>
        <v>1</v>
      </c>
    </row>
    <row r="449">
      <c r="A449" s="1" t="s">
        <v>12</v>
      </c>
      <c r="B449" s="1" t="s">
        <v>127</v>
      </c>
      <c r="C449" s="1" t="s">
        <v>19</v>
      </c>
      <c r="D449" s="1" t="s">
        <v>58</v>
      </c>
      <c r="E449" s="1" t="s">
        <v>156</v>
      </c>
      <c r="F449" s="1" t="s">
        <v>525</v>
      </c>
      <c r="G449" s="1">
        <v>1.5</v>
      </c>
      <c r="H449" s="1" t="s">
        <v>60</v>
      </c>
      <c r="I449" s="1">
        <v>110.0</v>
      </c>
      <c r="J449" s="1">
        <v>-0.182180453241904</v>
      </c>
      <c r="K449" s="1" t="s">
        <v>61</v>
      </c>
      <c r="L449" s="1" t="s">
        <v>61</v>
      </c>
      <c r="M449" s="1" t="s">
        <v>62</v>
      </c>
      <c r="N449" s="1">
        <v>-145.0</v>
      </c>
      <c r="O449" s="1">
        <v>0.114151940675918</v>
      </c>
      <c r="P449" s="1" t="s">
        <v>61</v>
      </c>
      <c r="Q449" s="1" t="s">
        <v>61</v>
      </c>
      <c r="R449" s="1">
        <f t="shared" si="1"/>
        <v>0.1141519407</v>
      </c>
      <c r="S449" s="1">
        <f t="shared" si="2"/>
        <v>-145</v>
      </c>
      <c r="T449" s="1">
        <f t="shared" si="3"/>
        <v>1.689655172</v>
      </c>
      <c r="U449" s="1">
        <f t="shared" si="4"/>
        <v>0</v>
      </c>
      <c r="V449" s="3">
        <f t="shared" si="5"/>
        <v>3</v>
      </c>
      <c r="W449" s="3">
        <f t="shared" si="6"/>
        <v>3</v>
      </c>
      <c r="X449" s="3" t="str">
        <f>IFERROR(__xludf.DUMMYFUNCTION("split(B449,"" "")"),"J.")</f>
        <v>J.</v>
      </c>
      <c r="Y449" s="3" t="str">
        <f>IFERROR(__xludf.DUMMYFUNCTION("""COMPUTED_VALUE"""),"Williams")</f>
        <v>Williams</v>
      </c>
      <c r="AA449" s="3">
        <v>1.0</v>
      </c>
      <c r="AB449" s="3">
        <f t="shared" si="7"/>
        <v>0</v>
      </c>
      <c r="AC449" s="3">
        <f t="shared" si="8"/>
        <v>1</v>
      </c>
      <c r="AD449" s="3">
        <f t="shared" si="9"/>
        <v>2.068965517</v>
      </c>
      <c r="AE449" s="3">
        <f t="shared" si="10"/>
        <v>2.068965517</v>
      </c>
      <c r="AF449" s="3">
        <f t="shared" si="11"/>
        <v>2.068965517</v>
      </c>
      <c r="AG449" s="3">
        <f t="shared" si="12"/>
        <v>0.3333333333</v>
      </c>
    </row>
    <row r="450">
      <c r="A450" s="1" t="s">
        <v>12</v>
      </c>
      <c r="B450" s="1" t="s">
        <v>282</v>
      </c>
      <c r="C450" s="1" t="s">
        <v>19</v>
      </c>
      <c r="D450" s="1" t="s">
        <v>58</v>
      </c>
      <c r="E450" s="1" t="s">
        <v>156</v>
      </c>
      <c r="F450" s="1" t="s">
        <v>525</v>
      </c>
      <c r="G450" s="1">
        <v>4.5</v>
      </c>
      <c r="H450" s="1" t="s">
        <v>60</v>
      </c>
      <c r="I450" s="1">
        <v>-112.0</v>
      </c>
      <c r="J450" s="1">
        <v>-0.180154716981132</v>
      </c>
      <c r="K450" s="1" t="s">
        <v>61</v>
      </c>
      <c r="L450" s="1" t="s">
        <v>61</v>
      </c>
      <c r="M450" s="1" t="s">
        <v>62</v>
      </c>
      <c r="N450" s="1">
        <v>-118.0</v>
      </c>
      <c r="O450" s="1">
        <v>0.110561467889908</v>
      </c>
      <c r="P450" s="1" t="s">
        <v>61</v>
      </c>
      <c r="Q450" s="1" t="s">
        <v>61</v>
      </c>
      <c r="R450" s="1">
        <f t="shared" si="1"/>
        <v>0.1105614679</v>
      </c>
      <c r="S450" s="1">
        <f t="shared" si="2"/>
        <v>-118</v>
      </c>
      <c r="T450" s="1">
        <f t="shared" si="3"/>
        <v>1.847457627</v>
      </c>
      <c r="U450" s="1">
        <f t="shared" si="4"/>
        <v>0</v>
      </c>
      <c r="V450" s="3">
        <f t="shared" si="5"/>
        <v>3</v>
      </c>
      <c r="W450" s="3">
        <f t="shared" si="6"/>
        <v>3</v>
      </c>
      <c r="X450" s="3" t="str">
        <f>IFERROR(__xludf.DUMMYFUNCTION("split(B450,"" "")"),"A.")</f>
        <v>A.</v>
      </c>
      <c r="Y450" s="3" t="str">
        <f>IFERROR(__xludf.DUMMYFUNCTION("""COMPUTED_VALUE"""),"Kamara")</f>
        <v>Kamara</v>
      </c>
      <c r="AA450" s="3">
        <v>3.0</v>
      </c>
      <c r="AB450" s="3">
        <f t="shared" si="7"/>
        <v>0</v>
      </c>
      <c r="AC450" s="3">
        <f t="shared" si="8"/>
        <v>1</v>
      </c>
      <c r="AD450" s="3">
        <f t="shared" si="9"/>
        <v>2.542372881</v>
      </c>
      <c r="AE450" s="3">
        <f t="shared" si="10"/>
        <v>2.542372881</v>
      </c>
      <c r="AF450" s="3">
        <f t="shared" si="11"/>
        <v>2.542372881</v>
      </c>
      <c r="AG450" s="3">
        <f t="shared" si="12"/>
        <v>0.3333333333</v>
      </c>
    </row>
    <row r="451">
      <c r="A451" s="1" t="s">
        <v>12</v>
      </c>
      <c r="B451" s="1" t="s">
        <v>553</v>
      </c>
      <c r="C451" s="1" t="s">
        <v>20</v>
      </c>
      <c r="D451" s="1" t="s">
        <v>58</v>
      </c>
      <c r="E451" s="1" t="s">
        <v>156</v>
      </c>
      <c r="F451" s="1" t="s">
        <v>525</v>
      </c>
      <c r="G451" s="1">
        <v>1.5</v>
      </c>
      <c r="H451" s="1" t="s">
        <v>60</v>
      </c>
      <c r="I451" s="1">
        <v>-156.0</v>
      </c>
      <c r="J451" s="1">
        <v>-0.175712400378906</v>
      </c>
      <c r="K451" s="1" t="s">
        <v>61</v>
      </c>
      <c r="L451" s="1" t="s">
        <v>61</v>
      </c>
      <c r="M451" s="1" t="s">
        <v>62</v>
      </c>
      <c r="N451" s="1">
        <v>119.0</v>
      </c>
      <c r="O451" s="1">
        <v>0.109722714598173</v>
      </c>
      <c r="P451" s="1" t="s">
        <v>61</v>
      </c>
      <c r="Q451" s="1" t="s">
        <v>61</v>
      </c>
      <c r="R451" s="1">
        <f t="shared" si="1"/>
        <v>0.1097227146</v>
      </c>
      <c r="S451" s="1">
        <f t="shared" si="2"/>
        <v>119</v>
      </c>
      <c r="T451" s="1">
        <f t="shared" si="3"/>
        <v>2.19</v>
      </c>
      <c r="U451" s="1">
        <f t="shared" si="4"/>
        <v>0</v>
      </c>
      <c r="V451" s="3">
        <f t="shared" si="5"/>
        <v>3</v>
      </c>
      <c r="W451" s="3">
        <f t="shared" si="6"/>
        <v>1</v>
      </c>
      <c r="X451" s="3" t="str">
        <f>IFERROR(__xludf.DUMMYFUNCTION("split(B451,"" "")"),"F.")</f>
        <v>F.</v>
      </c>
      <c r="Y451" s="3" t="str">
        <f>IFERROR(__xludf.DUMMYFUNCTION("""COMPUTED_VALUE"""),"Moreau")</f>
        <v>Moreau</v>
      </c>
      <c r="AA451" s="3">
        <v>1.0</v>
      </c>
      <c r="AB451" s="3">
        <f t="shared" si="7"/>
        <v>0</v>
      </c>
      <c r="AC451" s="3">
        <f t="shared" si="8"/>
        <v>1</v>
      </c>
      <c r="AD451" s="3">
        <f t="shared" si="9"/>
        <v>3.57</v>
      </c>
      <c r="AE451" s="3">
        <f t="shared" si="10"/>
        <v>3.57</v>
      </c>
      <c r="AF451" s="3">
        <f t="shared" si="11"/>
        <v>1.19</v>
      </c>
      <c r="AG451" s="3">
        <f t="shared" si="12"/>
        <v>0.3333333333</v>
      </c>
    </row>
    <row r="452">
      <c r="A452" s="1" t="s">
        <v>17</v>
      </c>
      <c r="B452" s="1" t="s">
        <v>287</v>
      </c>
      <c r="C452" s="1" t="s">
        <v>21</v>
      </c>
      <c r="D452" s="1" t="s">
        <v>58</v>
      </c>
      <c r="E452" s="1" t="s">
        <v>156</v>
      </c>
      <c r="F452" s="1" t="s">
        <v>525</v>
      </c>
      <c r="G452" s="1">
        <v>0.5</v>
      </c>
      <c r="H452" s="1" t="s">
        <v>60</v>
      </c>
      <c r="I452" s="1">
        <v>-140.0</v>
      </c>
      <c r="J452" s="1">
        <v>-0.158075</v>
      </c>
      <c r="K452" s="1" t="s">
        <v>61</v>
      </c>
      <c r="L452" s="1" t="s">
        <v>61</v>
      </c>
      <c r="M452" s="1" t="s">
        <v>62</v>
      </c>
      <c r="N452" s="1">
        <v>107.0</v>
      </c>
      <c r="O452" s="1">
        <v>0.0916565217391304</v>
      </c>
      <c r="P452" s="1" t="s">
        <v>61</v>
      </c>
      <c r="Q452" s="1" t="s">
        <v>61</v>
      </c>
      <c r="R452" s="1">
        <f t="shared" si="1"/>
        <v>0.09165652174</v>
      </c>
      <c r="S452" s="1">
        <f t="shared" si="2"/>
        <v>107</v>
      </c>
      <c r="T452" s="1">
        <f t="shared" si="3"/>
        <v>2.07</v>
      </c>
      <c r="U452" s="1">
        <f t="shared" si="4"/>
        <v>0</v>
      </c>
      <c r="V452" s="3">
        <f t="shared" si="5"/>
        <v>2</v>
      </c>
      <c r="W452" s="3">
        <f t="shared" si="6"/>
        <v>2</v>
      </c>
      <c r="X452" s="3" t="str">
        <f>IFERROR(__xludf.DUMMYFUNCTION("split(B452,"" "")"),"D.")</f>
        <v>D.</v>
      </c>
      <c r="Y452" s="3" t="str">
        <f>IFERROR(__xludf.DUMMYFUNCTION("""COMPUTED_VALUE"""),"Carr")</f>
        <v>Carr</v>
      </c>
      <c r="AA452" s="3">
        <v>1.0</v>
      </c>
      <c r="AB452" s="3">
        <f t="shared" si="7"/>
        <v>1</v>
      </c>
      <c r="AC452" s="3">
        <f t="shared" si="8"/>
        <v>0</v>
      </c>
      <c r="AD452" s="3">
        <f t="shared" si="9"/>
        <v>2.14</v>
      </c>
      <c r="AE452" s="3">
        <f t="shared" si="10"/>
        <v>-2</v>
      </c>
      <c r="AF452" s="3">
        <f t="shared" si="11"/>
        <v>-2</v>
      </c>
      <c r="AG452" s="3">
        <f t="shared" si="12"/>
        <v>-1</v>
      </c>
    </row>
    <row r="453">
      <c r="A453" s="1" t="s">
        <v>10</v>
      </c>
      <c r="B453" s="1" t="s">
        <v>287</v>
      </c>
      <c r="C453" s="1" t="s">
        <v>21</v>
      </c>
      <c r="D453" s="1" t="s">
        <v>58</v>
      </c>
      <c r="E453" s="1" t="s">
        <v>156</v>
      </c>
      <c r="F453" s="1" t="s">
        <v>525</v>
      </c>
      <c r="G453" s="1">
        <v>2.5</v>
      </c>
      <c r="H453" s="1" t="s">
        <v>60</v>
      </c>
      <c r="I453" s="1">
        <v>-106.0</v>
      </c>
      <c r="J453" s="1">
        <v>0.0742993014303682</v>
      </c>
      <c r="K453" s="1" t="s">
        <v>61</v>
      </c>
      <c r="L453" s="1" t="s">
        <v>61</v>
      </c>
      <c r="M453" s="1" t="s">
        <v>62</v>
      </c>
      <c r="N453" s="1">
        <v>-126.0</v>
      </c>
      <c r="O453" s="1">
        <v>-0.146319551678169</v>
      </c>
      <c r="P453" s="1" t="s">
        <v>61</v>
      </c>
      <c r="Q453" s="1" t="s">
        <v>61</v>
      </c>
      <c r="R453" s="1">
        <f t="shared" si="1"/>
        <v>0.07429930143</v>
      </c>
      <c r="S453" s="1">
        <f t="shared" si="2"/>
        <v>-106</v>
      </c>
      <c r="T453" s="1">
        <f t="shared" si="3"/>
        <v>1.943396226</v>
      </c>
      <c r="U453" s="1">
        <f t="shared" si="4"/>
        <v>1</v>
      </c>
      <c r="V453" s="3">
        <f t="shared" si="5"/>
        <v>2</v>
      </c>
      <c r="W453" s="3">
        <f t="shared" si="6"/>
        <v>2</v>
      </c>
      <c r="X453" s="3" t="str">
        <f>IFERROR(__xludf.DUMMYFUNCTION("split(B453,"" "")"),"D.")</f>
        <v>D.</v>
      </c>
      <c r="Y453" s="3" t="str">
        <f>IFERROR(__xludf.DUMMYFUNCTION("""COMPUTED_VALUE"""),"Carr")</f>
        <v>Carr</v>
      </c>
      <c r="AA453" s="3">
        <v>3.0</v>
      </c>
      <c r="AB453" s="3">
        <f t="shared" si="7"/>
        <v>1</v>
      </c>
      <c r="AC453" s="3">
        <f t="shared" si="8"/>
        <v>1</v>
      </c>
      <c r="AD453" s="3">
        <f t="shared" si="9"/>
        <v>1.886792453</v>
      </c>
      <c r="AE453" s="3">
        <f t="shared" si="10"/>
        <v>1.886792453</v>
      </c>
      <c r="AF453" s="3">
        <f t="shared" si="11"/>
        <v>1.886792453</v>
      </c>
      <c r="AG453" s="3">
        <f t="shared" si="12"/>
        <v>0.2</v>
      </c>
    </row>
    <row r="454">
      <c r="A454" s="1" t="s">
        <v>11</v>
      </c>
      <c r="B454" s="1" t="s">
        <v>282</v>
      </c>
      <c r="C454" s="1" t="s">
        <v>19</v>
      </c>
      <c r="D454" s="1" t="s">
        <v>58</v>
      </c>
      <c r="E454" s="1" t="s">
        <v>156</v>
      </c>
      <c r="F454" s="1" t="s">
        <v>525</v>
      </c>
      <c r="G454" s="1">
        <v>32.5</v>
      </c>
      <c r="H454" s="1" t="s">
        <v>60</v>
      </c>
      <c r="I454" s="1">
        <v>-113.0</v>
      </c>
      <c r="J454" s="1">
        <v>-0.130122270743521</v>
      </c>
      <c r="K454" s="1" t="s">
        <v>61</v>
      </c>
      <c r="L454" s="1" t="s">
        <v>61</v>
      </c>
      <c r="M454" s="1" t="s">
        <v>62</v>
      </c>
      <c r="N454" s="1">
        <v>-117.0</v>
      </c>
      <c r="O454" s="1">
        <v>0.0604645490656032</v>
      </c>
      <c r="P454" s="1" t="s">
        <v>61</v>
      </c>
      <c r="Q454" s="1" t="s">
        <v>61</v>
      </c>
      <c r="R454" s="1">
        <f t="shared" si="1"/>
        <v>0.06046454907</v>
      </c>
      <c r="S454" s="1">
        <f t="shared" si="2"/>
        <v>-117</v>
      </c>
      <c r="T454" s="1">
        <f t="shared" si="3"/>
        <v>1.854700855</v>
      </c>
      <c r="U454" s="1">
        <f t="shared" si="4"/>
        <v>0</v>
      </c>
      <c r="V454" s="3">
        <f t="shared" si="5"/>
        <v>2</v>
      </c>
      <c r="W454" s="3">
        <f t="shared" si="6"/>
        <v>2</v>
      </c>
      <c r="X454" s="3" t="str">
        <f>IFERROR(__xludf.DUMMYFUNCTION("split(B454,"" "")"),"A.")</f>
        <v>A.</v>
      </c>
      <c r="Y454" s="3" t="str">
        <f>IFERROR(__xludf.DUMMYFUNCTION("""COMPUTED_VALUE"""),"Kamara")</f>
        <v>Kamara</v>
      </c>
      <c r="AA454" s="3">
        <v>40.0</v>
      </c>
      <c r="AB454" s="3">
        <f t="shared" si="7"/>
        <v>1</v>
      </c>
      <c r="AC454" s="3">
        <f t="shared" si="8"/>
        <v>0</v>
      </c>
      <c r="AD454" s="3">
        <f t="shared" si="9"/>
        <v>1.709401709</v>
      </c>
      <c r="AE454" s="3">
        <f t="shared" si="10"/>
        <v>-2</v>
      </c>
      <c r="AF454" s="3">
        <f t="shared" si="11"/>
        <v>-2</v>
      </c>
      <c r="AG454" s="3">
        <f t="shared" si="12"/>
        <v>-0.2307692308</v>
      </c>
    </row>
    <row r="455">
      <c r="A455" s="1" t="s">
        <v>9</v>
      </c>
      <c r="B455" s="1" t="s">
        <v>282</v>
      </c>
      <c r="C455" s="1" t="s">
        <v>19</v>
      </c>
      <c r="D455" s="1" t="s">
        <v>58</v>
      </c>
      <c r="E455" s="1" t="s">
        <v>156</v>
      </c>
      <c r="F455" s="1" t="s">
        <v>525</v>
      </c>
      <c r="G455" s="1">
        <v>110.5</v>
      </c>
      <c r="H455" s="1" t="s">
        <v>60</v>
      </c>
      <c r="I455" s="1">
        <v>-119.0</v>
      </c>
      <c r="J455" s="1">
        <v>-0.135667377300288</v>
      </c>
      <c r="K455" s="1" t="s">
        <v>61</v>
      </c>
      <c r="L455" s="1" t="s">
        <v>61</v>
      </c>
      <c r="M455" s="1" t="s">
        <v>62</v>
      </c>
      <c r="N455" s="1">
        <v>-116.0</v>
      </c>
      <c r="O455" s="1">
        <v>0.0552667446906065</v>
      </c>
      <c r="P455" s="1" t="s">
        <v>61</v>
      </c>
      <c r="Q455" s="1" t="s">
        <v>61</v>
      </c>
      <c r="R455" s="1">
        <f t="shared" si="1"/>
        <v>0.05526674469</v>
      </c>
      <c r="S455" s="1">
        <f t="shared" si="2"/>
        <v>-116</v>
      </c>
      <c r="T455" s="1">
        <f t="shared" si="3"/>
        <v>1.862068966</v>
      </c>
      <c r="U455" s="1">
        <f t="shared" si="4"/>
        <v>0</v>
      </c>
      <c r="V455" s="3">
        <f t="shared" si="5"/>
        <v>2</v>
      </c>
      <c r="W455" s="3">
        <f t="shared" si="6"/>
        <v>2</v>
      </c>
      <c r="X455" s="3" t="str">
        <f>IFERROR(__xludf.DUMMYFUNCTION("split(B455,"" "")"),"A.")</f>
        <v>A.</v>
      </c>
      <c r="Y455" s="3" t="str">
        <f>IFERROR(__xludf.DUMMYFUNCTION("""COMPUTED_VALUE"""),"Kamara")</f>
        <v>Kamara</v>
      </c>
      <c r="AA455" s="3">
        <v>127.0</v>
      </c>
      <c r="AB455" s="3">
        <f t="shared" si="7"/>
        <v>1</v>
      </c>
      <c r="AC455" s="3">
        <f t="shared" si="8"/>
        <v>0</v>
      </c>
      <c r="AD455" s="3">
        <f t="shared" si="9"/>
        <v>1.724137931</v>
      </c>
      <c r="AE455" s="3">
        <f t="shared" si="10"/>
        <v>-2</v>
      </c>
      <c r="AF455" s="3">
        <f t="shared" si="11"/>
        <v>-2</v>
      </c>
      <c r="AG455" s="3">
        <f t="shared" si="12"/>
        <v>-0.149321267</v>
      </c>
    </row>
    <row r="456">
      <c r="A456" s="1" t="s">
        <v>10</v>
      </c>
      <c r="B456" s="1" t="s">
        <v>282</v>
      </c>
      <c r="C456" s="1" t="s">
        <v>19</v>
      </c>
      <c r="D456" s="1" t="s">
        <v>58</v>
      </c>
      <c r="E456" s="1" t="s">
        <v>156</v>
      </c>
      <c r="F456" s="1" t="s">
        <v>525</v>
      </c>
      <c r="G456" s="1">
        <v>72.5</v>
      </c>
      <c r="H456" s="1" t="s">
        <v>60</v>
      </c>
      <c r="I456" s="1">
        <v>-117.0</v>
      </c>
      <c r="J456" s="1">
        <v>-0.118872805676603</v>
      </c>
      <c r="K456" s="1" t="s">
        <v>61</v>
      </c>
      <c r="L456" s="1" t="s">
        <v>61</v>
      </c>
      <c r="M456" s="1" t="s">
        <v>62</v>
      </c>
      <c r="N456" s="1">
        <v>-112.0</v>
      </c>
      <c r="O456" s="1">
        <v>0.0513103576751357</v>
      </c>
      <c r="P456" s="1" t="s">
        <v>61</v>
      </c>
      <c r="Q456" s="1" t="s">
        <v>61</v>
      </c>
      <c r="R456" s="1">
        <f t="shared" si="1"/>
        <v>0.05131035768</v>
      </c>
      <c r="S456" s="1">
        <f t="shared" si="2"/>
        <v>-112</v>
      </c>
      <c r="T456" s="1">
        <f t="shared" si="3"/>
        <v>1.892857143</v>
      </c>
      <c r="U456" s="1">
        <f t="shared" si="4"/>
        <v>0</v>
      </c>
      <c r="V456" s="3">
        <f t="shared" si="5"/>
        <v>2</v>
      </c>
      <c r="W456" s="3">
        <f t="shared" si="6"/>
        <v>2</v>
      </c>
      <c r="X456" s="3" t="str">
        <f>IFERROR(__xludf.DUMMYFUNCTION("split(B456,"" "")"),"A.")</f>
        <v>A.</v>
      </c>
      <c r="Y456" s="3" t="str">
        <f>IFERROR(__xludf.DUMMYFUNCTION("""COMPUTED_VALUE"""),"Kamara")</f>
        <v>Kamara</v>
      </c>
      <c r="AA456" s="3">
        <v>87.0</v>
      </c>
      <c r="AB456" s="3">
        <f t="shared" si="7"/>
        <v>1</v>
      </c>
      <c r="AC456" s="3">
        <f t="shared" si="8"/>
        <v>0</v>
      </c>
      <c r="AD456" s="3">
        <f t="shared" si="9"/>
        <v>1.785714286</v>
      </c>
      <c r="AE456" s="3">
        <f t="shared" si="10"/>
        <v>-2</v>
      </c>
      <c r="AF456" s="3">
        <f t="shared" si="11"/>
        <v>-2</v>
      </c>
      <c r="AG456" s="3">
        <f t="shared" si="12"/>
        <v>-0.2</v>
      </c>
    </row>
    <row r="457">
      <c r="A457" s="1" t="s">
        <v>12</v>
      </c>
      <c r="B457" s="1" t="s">
        <v>491</v>
      </c>
      <c r="C457" s="1" t="s">
        <v>18</v>
      </c>
      <c r="D457" s="1" t="s">
        <v>58</v>
      </c>
      <c r="E457" s="1" t="s">
        <v>156</v>
      </c>
      <c r="F457" s="1" t="s">
        <v>525</v>
      </c>
      <c r="G457" s="1">
        <v>5.5</v>
      </c>
      <c r="H457" s="1" t="s">
        <v>60</v>
      </c>
      <c r="I457" s="1">
        <v>-113.0</v>
      </c>
      <c r="J457" s="1">
        <v>0.0339305164319249</v>
      </c>
      <c r="K457" s="1" t="s">
        <v>61</v>
      </c>
      <c r="L457" s="1" t="s">
        <v>61</v>
      </c>
      <c r="M457" s="1" t="s">
        <v>62</v>
      </c>
      <c r="N457" s="1">
        <v>-117.0</v>
      </c>
      <c r="O457" s="1">
        <v>-0.103624423963133</v>
      </c>
      <c r="P457" s="1" t="s">
        <v>61</v>
      </c>
      <c r="Q457" s="1" t="s">
        <v>61</v>
      </c>
      <c r="R457" s="1">
        <f t="shared" si="1"/>
        <v>0.03393051643</v>
      </c>
      <c r="S457" s="1">
        <f t="shared" si="2"/>
        <v>-113</v>
      </c>
      <c r="T457" s="1">
        <f t="shared" si="3"/>
        <v>1.884955752</v>
      </c>
      <c r="U457" s="1">
        <f t="shared" si="4"/>
        <v>1</v>
      </c>
      <c r="V457" s="3">
        <f t="shared" si="5"/>
        <v>1</v>
      </c>
      <c r="W457" s="3">
        <f t="shared" si="6"/>
        <v>2</v>
      </c>
      <c r="X457" s="3" t="str">
        <f>IFERROR(__xludf.DUMMYFUNCTION("split(B457,"" "")"),"C.")</f>
        <v>C.</v>
      </c>
      <c r="Y457" s="3" t="str">
        <f>IFERROR(__xludf.DUMMYFUNCTION("""COMPUTED_VALUE"""),"Olave")</f>
        <v>Olave</v>
      </c>
      <c r="AA457" s="3">
        <v>6.0</v>
      </c>
      <c r="AB457" s="3">
        <f t="shared" si="7"/>
        <v>1</v>
      </c>
      <c r="AC457" s="3">
        <f t="shared" si="8"/>
        <v>1</v>
      </c>
      <c r="AD457" s="3">
        <f t="shared" si="9"/>
        <v>0.8849557522</v>
      </c>
      <c r="AE457" s="3">
        <f t="shared" si="10"/>
        <v>0.8849557522</v>
      </c>
      <c r="AF457" s="3">
        <f t="shared" si="11"/>
        <v>1.769911504</v>
      </c>
      <c r="AG457" s="3">
        <f t="shared" si="12"/>
        <v>0.09090909091</v>
      </c>
    </row>
    <row r="458">
      <c r="A458" s="1" t="s">
        <v>12</v>
      </c>
      <c r="B458" s="1" t="s">
        <v>193</v>
      </c>
      <c r="C458" s="1" t="s">
        <v>20</v>
      </c>
      <c r="D458" s="1" t="s">
        <v>58</v>
      </c>
      <c r="E458" s="1" t="s">
        <v>156</v>
      </c>
      <c r="F458" s="1" t="s">
        <v>525</v>
      </c>
      <c r="G458" s="1">
        <v>2.5</v>
      </c>
      <c r="H458" s="1" t="s">
        <v>60</v>
      </c>
      <c r="I458" s="1">
        <v>120.0</v>
      </c>
      <c r="J458" s="1">
        <v>-0.0938430424909091</v>
      </c>
      <c r="K458" s="1" t="s">
        <v>61</v>
      </c>
      <c r="L458" s="1" t="s">
        <v>61</v>
      </c>
      <c r="M458" s="1" t="s">
        <v>62</v>
      </c>
      <c r="N458" s="1">
        <v>-157.0</v>
      </c>
      <c r="O458" s="1">
        <v>0.0284023569272373</v>
      </c>
      <c r="P458" s="1" t="s">
        <v>61</v>
      </c>
      <c r="Q458" s="1" t="s">
        <v>61</v>
      </c>
      <c r="R458" s="1">
        <f t="shared" si="1"/>
        <v>0.02840235693</v>
      </c>
      <c r="S458" s="1">
        <f t="shared" si="2"/>
        <v>-157</v>
      </c>
      <c r="T458" s="1">
        <f t="shared" si="3"/>
        <v>1.636942675</v>
      </c>
      <c r="U458" s="1">
        <f t="shared" si="4"/>
        <v>0</v>
      </c>
      <c r="V458" s="3">
        <f t="shared" si="5"/>
        <v>1</v>
      </c>
      <c r="W458" s="3">
        <f t="shared" si="6"/>
        <v>3</v>
      </c>
      <c r="X458" s="3" t="str">
        <f>IFERROR(__xludf.DUMMYFUNCTION("split(B458,"" "")"),"J.")</f>
        <v>J.</v>
      </c>
      <c r="Y458" s="3" t="str">
        <f>IFERROR(__xludf.DUMMYFUNCTION("""COMPUTED_VALUE"""),"Johnson")</f>
        <v>Johnson</v>
      </c>
      <c r="AA458" s="3">
        <v>0.0</v>
      </c>
      <c r="AB458" s="3">
        <f t="shared" si="7"/>
        <v>0</v>
      </c>
      <c r="AC458" s="3">
        <f t="shared" si="8"/>
        <v>1</v>
      </c>
      <c r="AD458" s="3">
        <f t="shared" si="9"/>
        <v>0.6369426752</v>
      </c>
      <c r="AE458" s="3">
        <f t="shared" si="10"/>
        <v>0.6369426752</v>
      </c>
      <c r="AF458" s="3">
        <f t="shared" si="11"/>
        <v>1.910828025</v>
      </c>
      <c r="AG458" s="3">
        <f t="shared" si="12"/>
        <v>1</v>
      </c>
    </row>
    <row r="459">
      <c r="A459" s="1" t="s">
        <v>11</v>
      </c>
      <c r="B459" s="1" t="s">
        <v>428</v>
      </c>
      <c r="C459" s="1" t="s">
        <v>18</v>
      </c>
      <c r="D459" s="1" t="s">
        <v>58</v>
      </c>
      <c r="E459" s="1" t="s">
        <v>156</v>
      </c>
      <c r="F459" s="1" t="s">
        <v>525</v>
      </c>
      <c r="G459" s="1">
        <v>53.5</v>
      </c>
      <c r="H459" s="1" t="s">
        <v>60</v>
      </c>
      <c r="I459" s="1">
        <v>-120.0</v>
      </c>
      <c r="J459" s="1">
        <v>-0.0897994820914543</v>
      </c>
      <c r="K459" s="1" t="s">
        <v>61</v>
      </c>
      <c r="L459" s="1" t="s">
        <v>61</v>
      </c>
      <c r="M459" s="1" t="s">
        <v>62</v>
      </c>
      <c r="N459" s="1">
        <v>-109.0</v>
      </c>
      <c r="O459" s="1">
        <v>0.022820211240574</v>
      </c>
      <c r="P459" s="1" t="s">
        <v>61</v>
      </c>
      <c r="Q459" s="1" t="s">
        <v>61</v>
      </c>
      <c r="R459" s="1">
        <f t="shared" si="1"/>
        <v>0.02282021124</v>
      </c>
      <c r="S459" s="1">
        <f t="shared" si="2"/>
        <v>-109</v>
      </c>
      <c r="T459" s="1">
        <f t="shared" si="3"/>
        <v>1.917431193</v>
      </c>
      <c r="U459" s="1">
        <f t="shared" si="4"/>
        <v>0</v>
      </c>
      <c r="V459" s="3">
        <f t="shared" si="5"/>
        <v>1</v>
      </c>
      <c r="W459" s="3">
        <f t="shared" si="6"/>
        <v>2</v>
      </c>
      <c r="X459" s="3" t="str">
        <f>IFERROR(__xludf.DUMMYFUNCTION("split(B459,"" "")"),"R.")</f>
        <v>R.</v>
      </c>
      <c r="Y459" s="3" t="str">
        <f>IFERROR(__xludf.DUMMYFUNCTION("""COMPUTED_VALUE"""),"Shaheed")</f>
        <v>Shaheed</v>
      </c>
      <c r="AA459" s="3">
        <v>0.0</v>
      </c>
      <c r="AB459" s="3">
        <f t="shared" si="7"/>
        <v>0</v>
      </c>
      <c r="AC459" s="3">
        <f t="shared" si="8"/>
        <v>1</v>
      </c>
      <c r="AD459" s="3">
        <f t="shared" si="9"/>
        <v>0.9174311927</v>
      </c>
      <c r="AE459" s="3">
        <f t="shared" si="10"/>
        <v>0.9174311927</v>
      </c>
      <c r="AF459" s="3">
        <f t="shared" si="11"/>
        <v>1.834862385</v>
      </c>
      <c r="AG459" s="3">
        <f t="shared" si="12"/>
        <v>1</v>
      </c>
    </row>
    <row r="460">
      <c r="A460" s="1" t="s">
        <v>11</v>
      </c>
      <c r="B460" s="1" t="s">
        <v>553</v>
      </c>
      <c r="C460" s="1" t="s">
        <v>20</v>
      </c>
      <c r="D460" s="1" t="s">
        <v>58</v>
      </c>
      <c r="E460" s="1" t="s">
        <v>156</v>
      </c>
      <c r="F460" s="1" t="s">
        <v>525</v>
      </c>
      <c r="G460" s="1">
        <v>15.5</v>
      </c>
      <c r="H460" s="1" t="s">
        <v>60</v>
      </c>
      <c r="I460" s="1">
        <v>-116.0</v>
      </c>
      <c r="J460" s="1">
        <v>0.013386263171685</v>
      </c>
      <c r="K460" s="1" t="s">
        <v>61</v>
      </c>
      <c r="L460" s="1" t="s">
        <v>61</v>
      </c>
      <c r="M460" s="1" t="s">
        <v>62</v>
      </c>
      <c r="N460" s="1">
        <v>-111.0</v>
      </c>
      <c r="O460" s="1">
        <v>-0.0765200874788779</v>
      </c>
      <c r="P460" s="1" t="s">
        <v>61</v>
      </c>
      <c r="Q460" s="1" t="s">
        <v>61</v>
      </c>
      <c r="R460" s="1">
        <f t="shared" si="1"/>
        <v>0.01338626317</v>
      </c>
      <c r="S460" s="1">
        <f t="shared" si="2"/>
        <v>-116</v>
      </c>
      <c r="T460" s="1">
        <f t="shared" si="3"/>
        <v>1.862068966</v>
      </c>
      <c r="U460" s="1">
        <f t="shared" si="4"/>
        <v>1</v>
      </c>
      <c r="V460" s="3">
        <f t="shared" si="5"/>
        <v>1</v>
      </c>
      <c r="W460" s="3">
        <f t="shared" si="6"/>
        <v>2</v>
      </c>
      <c r="X460" s="3" t="str">
        <f>IFERROR(__xludf.DUMMYFUNCTION("split(B460,"" "")"),"F.")</f>
        <v>F.</v>
      </c>
      <c r="Y460" s="3" t="str">
        <f>IFERROR(__xludf.DUMMYFUNCTION("""COMPUTED_VALUE"""),"Moreau")</f>
        <v>Moreau</v>
      </c>
      <c r="AA460" s="3">
        <v>2.0</v>
      </c>
      <c r="AB460" s="3">
        <f t="shared" si="7"/>
        <v>0</v>
      </c>
      <c r="AC460" s="3">
        <f t="shared" si="8"/>
        <v>0</v>
      </c>
      <c r="AD460" s="3">
        <f t="shared" si="9"/>
        <v>0.8620689655</v>
      </c>
      <c r="AE460" s="3">
        <f t="shared" si="10"/>
        <v>-1</v>
      </c>
      <c r="AF460" s="3">
        <f t="shared" si="11"/>
        <v>-2</v>
      </c>
      <c r="AG460" s="3">
        <f t="shared" si="12"/>
        <v>-0.8709677419</v>
      </c>
    </row>
    <row r="461">
      <c r="A461" s="1" t="s">
        <v>14</v>
      </c>
      <c r="B461" s="1" t="s">
        <v>287</v>
      </c>
      <c r="C461" s="1" t="s">
        <v>21</v>
      </c>
      <c r="D461" s="1" t="s">
        <v>58</v>
      </c>
      <c r="E461" s="1" t="s">
        <v>156</v>
      </c>
      <c r="F461" s="1" t="s">
        <v>525</v>
      </c>
      <c r="G461" s="1">
        <v>1.5</v>
      </c>
      <c r="H461" s="1" t="s">
        <v>60</v>
      </c>
      <c r="I461" s="1">
        <v>-117.0</v>
      </c>
      <c r="J461" s="1">
        <v>0.00957557603686631</v>
      </c>
      <c r="K461" s="1" t="s">
        <v>61</v>
      </c>
      <c r="L461" s="1" t="s">
        <v>61</v>
      </c>
      <c r="M461" s="1" t="s">
        <v>62</v>
      </c>
      <c r="N461" s="1">
        <v>-112.0</v>
      </c>
      <c r="O461" s="1">
        <v>-0.0770547169811322</v>
      </c>
      <c r="P461" s="1" t="s">
        <v>61</v>
      </c>
      <c r="Q461" s="1" t="s">
        <v>61</v>
      </c>
      <c r="R461" s="1">
        <f t="shared" si="1"/>
        <v>0.009575576037</v>
      </c>
      <c r="S461" s="1">
        <f t="shared" si="2"/>
        <v>-117</v>
      </c>
      <c r="T461" s="1">
        <f t="shared" si="3"/>
        <v>1.854700855</v>
      </c>
      <c r="U461" s="1">
        <f t="shared" si="4"/>
        <v>1</v>
      </c>
      <c r="V461" s="3">
        <f t="shared" si="5"/>
        <v>1</v>
      </c>
      <c r="W461" s="3">
        <f t="shared" si="6"/>
        <v>2</v>
      </c>
      <c r="X461" s="3" t="str">
        <f>IFERROR(__xludf.DUMMYFUNCTION("split(B461,"" "")"),"D.")</f>
        <v>D.</v>
      </c>
      <c r="Y461" s="3" t="str">
        <f>IFERROR(__xludf.DUMMYFUNCTION("""COMPUTED_VALUE"""),"Carr")</f>
        <v>Carr</v>
      </c>
      <c r="AA461" s="3">
        <v>1.0</v>
      </c>
      <c r="AB461" s="3">
        <f t="shared" si="7"/>
        <v>0</v>
      </c>
      <c r="AC461" s="3">
        <f t="shared" si="8"/>
        <v>0</v>
      </c>
      <c r="AD461" s="3">
        <f t="shared" si="9"/>
        <v>0.8547008547</v>
      </c>
      <c r="AE461" s="3">
        <f t="shared" si="10"/>
        <v>-1</v>
      </c>
      <c r="AF461" s="3">
        <f t="shared" si="11"/>
        <v>-2</v>
      </c>
      <c r="AG461" s="3">
        <f t="shared" si="12"/>
        <v>-0.3333333333</v>
      </c>
    </row>
    <row r="462">
      <c r="A462" s="1" t="s">
        <v>11</v>
      </c>
      <c r="B462" s="1" t="s">
        <v>127</v>
      </c>
      <c r="C462" s="1" t="s">
        <v>19</v>
      </c>
      <c r="D462" s="1" t="s">
        <v>58</v>
      </c>
      <c r="E462" s="1" t="s">
        <v>156</v>
      </c>
      <c r="F462" s="1" t="s">
        <v>525</v>
      </c>
      <c r="G462" s="1">
        <v>10.5</v>
      </c>
      <c r="H462" s="1" t="s">
        <v>60</v>
      </c>
      <c r="I462" s="1">
        <v>100.0</v>
      </c>
      <c r="J462" s="1">
        <v>0.0065300869472526</v>
      </c>
      <c r="K462" s="1" t="s">
        <v>61</v>
      </c>
      <c r="L462" s="1" t="s">
        <v>61</v>
      </c>
      <c r="M462" s="1" t="s">
        <v>62</v>
      </c>
      <c r="N462" s="1">
        <v>-130.0</v>
      </c>
      <c r="O462" s="1">
        <v>-0.0716992287229812</v>
      </c>
      <c r="P462" s="1" t="s">
        <v>61</v>
      </c>
      <c r="Q462" s="1" t="s">
        <v>61</v>
      </c>
      <c r="R462" s="1">
        <f t="shared" si="1"/>
        <v>0.006530086947</v>
      </c>
      <c r="S462" s="1">
        <f t="shared" si="2"/>
        <v>100</v>
      </c>
      <c r="T462" s="1">
        <f t="shared" si="3"/>
        <v>2</v>
      </c>
      <c r="U462" s="1">
        <f t="shared" si="4"/>
        <v>1</v>
      </c>
      <c r="V462" s="3">
        <f t="shared" si="5"/>
        <v>1</v>
      </c>
      <c r="W462" s="3">
        <f t="shared" si="6"/>
        <v>2</v>
      </c>
      <c r="X462" s="3" t="str">
        <f>IFERROR(__xludf.DUMMYFUNCTION("split(B462,"" "")"),"J.")</f>
        <v>J.</v>
      </c>
      <c r="Y462" s="3" t="str">
        <f>IFERROR(__xludf.DUMMYFUNCTION("""COMPUTED_VALUE"""),"Williams")</f>
        <v>Williams</v>
      </c>
      <c r="AA462" s="3">
        <v>0.0</v>
      </c>
      <c r="AB462" s="3">
        <f t="shared" si="7"/>
        <v>0</v>
      </c>
      <c r="AC462" s="3">
        <f t="shared" si="8"/>
        <v>0</v>
      </c>
      <c r="AD462" s="3">
        <f t="shared" si="9"/>
        <v>1</v>
      </c>
      <c r="AE462" s="3">
        <f t="shared" si="10"/>
        <v>-1</v>
      </c>
      <c r="AF462" s="3">
        <f t="shared" si="11"/>
        <v>-2</v>
      </c>
      <c r="AG462" s="3">
        <f t="shared" si="12"/>
        <v>-1</v>
      </c>
    </row>
    <row r="463">
      <c r="A463" s="1" t="s">
        <v>10</v>
      </c>
      <c r="B463" s="1" t="s">
        <v>127</v>
      </c>
      <c r="C463" s="1" t="s">
        <v>19</v>
      </c>
      <c r="D463" s="1" t="s">
        <v>58</v>
      </c>
      <c r="E463" s="1" t="s">
        <v>156</v>
      </c>
      <c r="F463" s="1" t="s">
        <v>525</v>
      </c>
      <c r="G463" s="1">
        <v>20.5</v>
      </c>
      <c r="H463" s="1" t="s">
        <v>60</v>
      </c>
      <c r="I463" s="1">
        <v>-110.0</v>
      </c>
      <c r="J463" s="1">
        <v>-0.0738734563457572</v>
      </c>
      <c r="K463" s="1" t="s">
        <v>61</v>
      </c>
      <c r="L463" s="1" t="s">
        <v>61</v>
      </c>
      <c r="M463" s="1" t="s">
        <v>62</v>
      </c>
      <c r="N463" s="1">
        <v>-120.0</v>
      </c>
      <c r="O463" s="1">
        <v>0.00463323181423103</v>
      </c>
      <c r="P463" s="1" t="s">
        <v>61</v>
      </c>
      <c r="Q463" s="1" t="s">
        <v>61</v>
      </c>
      <c r="R463" s="1">
        <f t="shared" si="1"/>
        <v>0.004633231814</v>
      </c>
      <c r="S463" s="1">
        <f t="shared" si="2"/>
        <v>-120</v>
      </c>
      <c r="T463" s="1">
        <f t="shared" si="3"/>
        <v>1.833333333</v>
      </c>
      <c r="U463" s="1">
        <f t="shared" si="4"/>
        <v>0</v>
      </c>
      <c r="V463" s="3">
        <f t="shared" si="5"/>
        <v>1</v>
      </c>
      <c r="W463" s="3">
        <f t="shared" si="6"/>
        <v>3</v>
      </c>
      <c r="X463" s="3" t="str">
        <f>IFERROR(__xludf.DUMMYFUNCTION("split(B463,"" "")"),"J.")</f>
        <v>J.</v>
      </c>
      <c r="Y463" s="3" t="str">
        <f>IFERROR(__xludf.DUMMYFUNCTION("""COMPUTED_VALUE"""),"Williams")</f>
        <v>Williams</v>
      </c>
      <c r="AA463" s="3">
        <v>-1.0</v>
      </c>
      <c r="AB463" s="3">
        <f t="shared" si="7"/>
        <v>0</v>
      </c>
      <c r="AC463" s="3">
        <f t="shared" si="8"/>
        <v>1</v>
      </c>
      <c r="AD463" s="3">
        <f t="shared" si="9"/>
        <v>0.8333333333</v>
      </c>
      <c r="AE463" s="3">
        <f t="shared" si="10"/>
        <v>0.8333333333</v>
      </c>
      <c r="AF463" s="3">
        <f t="shared" si="11"/>
        <v>2.5</v>
      </c>
      <c r="AG463" s="3">
        <f t="shared" si="12"/>
        <v>1.048780488</v>
      </c>
    </row>
    <row r="464">
      <c r="A464" s="1" t="s">
        <v>10</v>
      </c>
      <c r="B464" s="1" t="s">
        <v>354</v>
      </c>
      <c r="C464" s="1" t="s">
        <v>18</v>
      </c>
      <c r="D464" s="1" t="s">
        <v>147</v>
      </c>
      <c r="E464" s="1" t="s">
        <v>89</v>
      </c>
      <c r="F464" s="1" t="s">
        <v>525</v>
      </c>
      <c r="G464" s="1">
        <v>0.5</v>
      </c>
      <c r="H464" s="1" t="s">
        <v>60</v>
      </c>
      <c r="I464" s="1">
        <v>195.0</v>
      </c>
      <c r="J464" s="1">
        <v>0.29653273499818</v>
      </c>
      <c r="K464" s="1" t="s">
        <v>61</v>
      </c>
      <c r="L464" s="1" t="s">
        <v>61</v>
      </c>
      <c r="M464" s="1" t="s">
        <v>62</v>
      </c>
      <c r="N464" s="1">
        <v>-275.0</v>
      </c>
      <c r="O464" s="1">
        <v>-0.368828968356203</v>
      </c>
      <c r="P464" s="1" t="s">
        <v>61</v>
      </c>
      <c r="Q464" s="1" t="s">
        <v>61</v>
      </c>
      <c r="R464" s="1">
        <f t="shared" si="1"/>
        <v>0.296532735</v>
      </c>
      <c r="S464" s="1">
        <f t="shared" si="2"/>
        <v>195</v>
      </c>
      <c r="T464" s="1">
        <f t="shared" si="3"/>
        <v>2.95</v>
      </c>
      <c r="U464" s="1">
        <f t="shared" si="4"/>
        <v>1</v>
      </c>
      <c r="V464" s="3">
        <f t="shared" si="5"/>
        <v>3</v>
      </c>
      <c r="W464" s="3">
        <f t="shared" si="6"/>
        <v>1</v>
      </c>
      <c r="X464" s="3" t="str">
        <f>IFERROR(__xludf.DUMMYFUNCTION("split(B464,"" "")"),"W.")</f>
        <v>W.</v>
      </c>
      <c r="Y464" s="3" t="str">
        <f>IFERROR(__xludf.DUMMYFUNCTION("""COMPUTED_VALUE"""),"Robinson")</f>
        <v>Robinson</v>
      </c>
      <c r="AA464" s="3">
        <v>0.0</v>
      </c>
      <c r="AB464" s="3">
        <f t="shared" si="7"/>
        <v>0</v>
      </c>
      <c r="AC464" s="3">
        <f t="shared" si="8"/>
        <v>0</v>
      </c>
      <c r="AD464" s="3">
        <f t="shared" si="9"/>
        <v>5.85</v>
      </c>
      <c r="AE464" s="3">
        <f t="shared" si="10"/>
        <v>-3</v>
      </c>
      <c r="AF464" s="3">
        <f t="shared" si="11"/>
        <v>-1</v>
      </c>
      <c r="AG464" s="3">
        <f t="shared" si="12"/>
        <v>-1</v>
      </c>
    </row>
    <row r="465">
      <c r="A465" s="1" t="s">
        <v>12</v>
      </c>
      <c r="B465" s="1" t="s">
        <v>270</v>
      </c>
      <c r="C465" s="1" t="s">
        <v>19</v>
      </c>
      <c r="D465" s="1" t="s">
        <v>147</v>
      </c>
      <c r="E465" s="1" t="s">
        <v>89</v>
      </c>
      <c r="F465" s="1" t="s">
        <v>525</v>
      </c>
      <c r="G465" s="1">
        <v>2.5</v>
      </c>
      <c r="H465" s="1" t="s">
        <v>60</v>
      </c>
      <c r="I465" s="1">
        <v>-101.0</v>
      </c>
      <c r="J465" s="1">
        <v>-0.213283010995024</v>
      </c>
      <c r="K465" s="1" t="s">
        <v>61</v>
      </c>
      <c r="L465" s="1" t="s">
        <v>61</v>
      </c>
      <c r="M465" s="1" t="s">
        <v>62</v>
      </c>
      <c r="N465" s="1">
        <v>-131.0</v>
      </c>
      <c r="O465" s="1">
        <v>0.143695245130303</v>
      </c>
      <c r="P465" s="1" t="s">
        <v>61</v>
      </c>
      <c r="Q465" s="1" t="s">
        <v>61</v>
      </c>
      <c r="R465" s="1">
        <f t="shared" si="1"/>
        <v>0.1436952451</v>
      </c>
      <c r="S465" s="1">
        <f t="shared" si="2"/>
        <v>-131</v>
      </c>
      <c r="T465" s="1">
        <f t="shared" si="3"/>
        <v>1.763358779</v>
      </c>
      <c r="U465" s="1">
        <f t="shared" si="4"/>
        <v>0</v>
      </c>
      <c r="V465" s="3">
        <f t="shared" si="5"/>
        <v>3</v>
      </c>
      <c r="W465" s="3">
        <f t="shared" si="6"/>
        <v>3</v>
      </c>
      <c r="X465" s="3" t="str">
        <f>IFERROR(__xludf.DUMMYFUNCTION("split(B465,"" "")"),"D.")</f>
        <v>D.</v>
      </c>
      <c r="Y465" s="3" t="str">
        <f>IFERROR(__xludf.DUMMYFUNCTION("""COMPUTED_VALUE"""),"Singletary")</f>
        <v>Singletary</v>
      </c>
      <c r="AA465" s="3">
        <v>4.0</v>
      </c>
      <c r="AB465" s="3">
        <f t="shared" si="7"/>
        <v>1</v>
      </c>
      <c r="AC465" s="3">
        <f t="shared" si="8"/>
        <v>0</v>
      </c>
      <c r="AD465" s="3">
        <f t="shared" si="9"/>
        <v>2.290076336</v>
      </c>
      <c r="AE465" s="3">
        <f t="shared" si="10"/>
        <v>-3</v>
      </c>
      <c r="AF465" s="3">
        <f t="shared" si="11"/>
        <v>-3</v>
      </c>
      <c r="AG465" s="3">
        <f t="shared" si="12"/>
        <v>-0.6</v>
      </c>
    </row>
    <row r="466">
      <c r="A466" s="1" t="s">
        <v>12</v>
      </c>
      <c r="B466" s="1" t="s">
        <v>477</v>
      </c>
      <c r="C466" s="1" t="s">
        <v>20</v>
      </c>
      <c r="D466" s="1" t="s">
        <v>147</v>
      </c>
      <c r="E466" s="1" t="s">
        <v>89</v>
      </c>
      <c r="F466" s="1" t="s">
        <v>525</v>
      </c>
      <c r="G466" s="1">
        <v>1.5</v>
      </c>
      <c r="H466" s="1" t="s">
        <v>60</v>
      </c>
      <c r="I466" s="1">
        <v>-139.0</v>
      </c>
      <c r="J466" s="1">
        <v>-0.210439160108786</v>
      </c>
      <c r="K466" s="1" t="s">
        <v>61</v>
      </c>
      <c r="L466" s="1" t="s">
        <v>61</v>
      </c>
      <c r="M466" s="1" t="s">
        <v>62</v>
      </c>
      <c r="N466" s="1">
        <v>106.0</v>
      </c>
      <c r="O466" s="1">
        <v>0.143404171194174</v>
      </c>
      <c r="P466" s="1" t="s">
        <v>61</v>
      </c>
      <c r="Q466" s="1" t="s">
        <v>61</v>
      </c>
      <c r="R466" s="1">
        <f t="shared" si="1"/>
        <v>0.1434041712</v>
      </c>
      <c r="S466" s="1">
        <f t="shared" si="2"/>
        <v>106</v>
      </c>
      <c r="T466" s="1">
        <f t="shared" si="3"/>
        <v>2.06</v>
      </c>
      <c r="U466" s="1">
        <f t="shared" si="4"/>
        <v>0</v>
      </c>
      <c r="V466" s="3">
        <f t="shared" si="5"/>
        <v>3</v>
      </c>
      <c r="W466" s="3">
        <f t="shared" si="6"/>
        <v>2</v>
      </c>
      <c r="X466" s="3" t="str">
        <f>IFERROR(__xludf.DUMMYFUNCTION("split(B466,"" "")"),"T.")</f>
        <v>T.</v>
      </c>
      <c r="Y466" s="3" t="str">
        <f>IFERROR(__xludf.DUMMYFUNCTION("""COMPUTED_VALUE"""),"Johnson")</f>
        <v>Johnson</v>
      </c>
      <c r="AA466" s="3">
        <v>1.0</v>
      </c>
      <c r="AB466" s="3">
        <f t="shared" si="7"/>
        <v>0</v>
      </c>
      <c r="AC466" s="3">
        <f t="shared" si="8"/>
        <v>1</v>
      </c>
      <c r="AD466" s="3">
        <f t="shared" si="9"/>
        <v>3.18</v>
      </c>
      <c r="AE466" s="3">
        <f t="shared" si="10"/>
        <v>3.18</v>
      </c>
      <c r="AF466" s="3">
        <f t="shared" si="11"/>
        <v>2.12</v>
      </c>
      <c r="AG466" s="3">
        <f t="shared" si="12"/>
        <v>0.3333333333</v>
      </c>
    </row>
    <row r="467">
      <c r="A467" s="1" t="s">
        <v>12</v>
      </c>
      <c r="B467" s="1" t="s">
        <v>483</v>
      </c>
      <c r="C467" s="1" t="s">
        <v>18</v>
      </c>
      <c r="D467" s="1" t="s">
        <v>147</v>
      </c>
      <c r="E467" s="1" t="s">
        <v>89</v>
      </c>
      <c r="F467" s="1" t="s">
        <v>525</v>
      </c>
      <c r="G467" s="1">
        <v>2.5</v>
      </c>
      <c r="H467" s="1" t="s">
        <v>60</v>
      </c>
      <c r="I467" s="1">
        <v>104.0</v>
      </c>
      <c r="J467" s="1">
        <v>-0.190590759545098</v>
      </c>
      <c r="K467" s="1" t="s">
        <v>61</v>
      </c>
      <c r="L467" s="1" t="s">
        <v>61</v>
      </c>
      <c r="M467" s="1" t="s">
        <v>62</v>
      </c>
      <c r="N467" s="1">
        <v>-136.0</v>
      </c>
      <c r="O467" s="1">
        <v>0.124122801206779</v>
      </c>
      <c r="P467" s="1" t="s">
        <v>61</v>
      </c>
      <c r="Q467" s="1" t="s">
        <v>61</v>
      </c>
      <c r="R467" s="1">
        <f t="shared" si="1"/>
        <v>0.1241228012</v>
      </c>
      <c r="S467" s="1">
        <f t="shared" si="2"/>
        <v>-136</v>
      </c>
      <c r="T467" s="1">
        <f t="shared" si="3"/>
        <v>1.735294118</v>
      </c>
      <c r="U467" s="1">
        <f t="shared" si="4"/>
        <v>0</v>
      </c>
      <c r="V467" s="3">
        <f t="shared" si="5"/>
        <v>3</v>
      </c>
      <c r="W467" s="3">
        <f t="shared" si="6"/>
        <v>3</v>
      </c>
      <c r="X467" s="3" t="str">
        <f>IFERROR(__xludf.DUMMYFUNCTION("split(B467,"" "")"),"D.")</f>
        <v>D.</v>
      </c>
      <c r="Y467" s="3" t="str">
        <f>IFERROR(__xludf.DUMMYFUNCTION("""COMPUTED_VALUE"""),"Slayton")</f>
        <v>Slayton</v>
      </c>
      <c r="AA467" s="3">
        <v>1.0</v>
      </c>
      <c r="AB467" s="3">
        <f t="shared" si="7"/>
        <v>0</v>
      </c>
      <c r="AC467" s="3">
        <f t="shared" si="8"/>
        <v>1</v>
      </c>
      <c r="AD467" s="3">
        <f t="shared" si="9"/>
        <v>2.205882353</v>
      </c>
      <c r="AE467" s="3">
        <f t="shared" si="10"/>
        <v>2.205882353</v>
      </c>
      <c r="AF467" s="3">
        <f t="shared" si="11"/>
        <v>2.205882353</v>
      </c>
      <c r="AG467" s="3">
        <f t="shared" si="12"/>
        <v>0.6</v>
      </c>
    </row>
    <row r="468">
      <c r="A468" s="1" t="s">
        <v>8</v>
      </c>
      <c r="B468" s="1" t="s">
        <v>260</v>
      </c>
      <c r="C468" s="1" t="s">
        <v>21</v>
      </c>
      <c r="D468" s="1" t="s">
        <v>147</v>
      </c>
      <c r="E468" s="1" t="s">
        <v>89</v>
      </c>
      <c r="F468" s="1" t="s">
        <v>525</v>
      </c>
      <c r="G468" s="1">
        <v>6.5</v>
      </c>
      <c r="H468" s="1" t="s">
        <v>60</v>
      </c>
      <c r="I468" s="1">
        <v>103.0</v>
      </c>
      <c r="J468" s="1">
        <v>-0.172201434149524</v>
      </c>
      <c r="K468" s="1" t="s">
        <v>61</v>
      </c>
      <c r="L468" s="1" t="s">
        <v>61</v>
      </c>
      <c r="M468" s="1" t="s">
        <v>62</v>
      </c>
      <c r="N468" s="1">
        <v>-134.0</v>
      </c>
      <c r="O468" s="1">
        <v>0.106952676613366</v>
      </c>
      <c r="P468" s="1" t="s">
        <v>61</v>
      </c>
      <c r="Q468" s="1" t="s">
        <v>61</v>
      </c>
      <c r="R468" s="1">
        <f t="shared" si="1"/>
        <v>0.1069526766</v>
      </c>
      <c r="S468" s="1">
        <f t="shared" si="2"/>
        <v>-134</v>
      </c>
      <c r="T468" s="1">
        <f t="shared" si="3"/>
        <v>1.746268657</v>
      </c>
      <c r="U468" s="1">
        <f t="shared" si="4"/>
        <v>0</v>
      </c>
      <c r="V468" s="3">
        <f t="shared" si="5"/>
        <v>3</v>
      </c>
      <c r="W468" s="3">
        <f t="shared" si="6"/>
        <v>3</v>
      </c>
      <c r="X468" s="3" t="str">
        <f>IFERROR(__xludf.DUMMYFUNCTION("split(B468,"" "")"),"D.")</f>
        <v>D.</v>
      </c>
      <c r="Y468" s="3" t="str">
        <f>IFERROR(__xludf.DUMMYFUNCTION("""COMPUTED_VALUE"""),"Jones")</f>
        <v>Jones</v>
      </c>
      <c r="AA468" s="3">
        <v>8.0</v>
      </c>
      <c r="AB468" s="3">
        <f t="shared" si="7"/>
        <v>1</v>
      </c>
      <c r="AC468" s="3">
        <f t="shared" si="8"/>
        <v>0</v>
      </c>
      <c r="AD468" s="3">
        <f t="shared" si="9"/>
        <v>2.23880597</v>
      </c>
      <c r="AE468" s="3">
        <f t="shared" si="10"/>
        <v>-3</v>
      </c>
      <c r="AF468" s="3">
        <f t="shared" si="11"/>
        <v>-3</v>
      </c>
      <c r="AG468" s="3">
        <f t="shared" si="12"/>
        <v>-0.2307692308</v>
      </c>
    </row>
    <row r="469">
      <c r="A469" s="1" t="s">
        <v>12</v>
      </c>
      <c r="B469" s="1" t="s">
        <v>354</v>
      </c>
      <c r="C469" s="1" t="s">
        <v>18</v>
      </c>
      <c r="D469" s="1" t="s">
        <v>147</v>
      </c>
      <c r="E469" s="1" t="s">
        <v>89</v>
      </c>
      <c r="F469" s="1" t="s">
        <v>525</v>
      </c>
      <c r="G469" s="1">
        <v>3.5</v>
      </c>
      <c r="H469" s="1" t="s">
        <v>60</v>
      </c>
      <c r="I469" s="1">
        <v>105.0</v>
      </c>
      <c r="J469" s="1">
        <v>-0.169253658536585</v>
      </c>
      <c r="K469" s="1" t="s">
        <v>61</v>
      </c>
      <c r="L469" s="1" t="s">
        <v>61</v>
      </c>
      <c r="M469" s="1" t="s">
        <v>62</v>
      </c>
      <c r="N469" s="1">
        <v>-137.0</v>
      </c>
      <c r="O469" s="1">
        <v>0.103383122362869</v>
      </c>
      <c r="P469" s="1" t="s">
        <v>61</v>
      </c>
      <c r="Q469" s="1" t="s">
        <v>61</v>
      </c>
      <c r="R469" s="1">
        <f t="shared" si="1"/>
        <v>0.1033831224</v>
      </c>
      <c r="S469" s="1">
        <f t="shared" si="2"/>
        <v>-137</v>
      </c>
      <c r="T469" s="1">
        <f t="shared" si="3"/>
        <v>1.729927007</v>
      </c>
      <c r="U469" s="1">
        <f t="shared" si="4"/>
        <v>0</v>
      </c>
      <c r="V469" s="3">
        <f t="shared" si="5"/>
        <v>3</v>
      </c>
      <c r="W469" s="3">
        <f t="shared" si="6"/>
        <v>3</v>
      </c>
      <c r="X469" s="3" t="str">
        <f>IFERROR(__xludf.DUMMYFUNCTION("split(B469,"" "")"),"W.")</f>
        <v>W.</v>
      </c>
      <c r="Y469" s="3" t="str">
        <f>IFERROR(__xludf.DUMMYFUNCTION("""COMPUTED_VALUE"""),"Robinson")</f>
        <v>Robinson</v>
      </c>
      <c r="AA469" s="3">
        <v>7.0</v>
      </c>
      <c r="AB469" s="3">
        <f t="shared" si="7"/>
        <v>1</v>
      </c>
      <c r="AC469" s="3">
        <f t="shared" si="8"/>
        <v>0</v>
      </c>
      <c r="AD469" s="3">
        <f t="shared" si="9"/>
        <v>2.189781022</v>
      </c>
      <c r="AE469" s="3">
        <f t="shared" si="10"/>
        <v>-3</v>
      </c>
      <c r="AF469" s="3">
        <f t="shared" si="11"/>
        <v>-3</v>
      </c>
      <c r="AG469" s="3">
        <f t="shared" si="12"/>
        <v>-1</v>
      </c>
    </row>
    <row r="470">
      <c r="A470" s="1" t="s">
        <v>14</v>
      </c>
      <c r="B470" s="1" t="s">
        <v>260</v>
      </c>
      <c r="C470" s="1" t="s">
        <v>21</v>
      </c>
      <c r="D470" s="1" t="s">
        <v>147</v>
      </c>
      <c r="E470" s="1" t="s">
        <v>89</v>
      </c>
      <c r="F470" s="1" t="s">
        <v>525</v>
      </c>
      <c r="G470" s="1">
        <v>0.5</v>
      </c>
      <c r="H470" s="1" t="s">
        <v>60</v>
      </c>
      <c r="I470" s="1">
        <v>-164.0</v>
      </c>
      <c r="J470" s="1">
        <v>-0.153710849962121</v>
      </c>
      <c r="K470" s="1" t="s">
        <v>61</v>
      </c>
      <c r="L470" s="1" t="s">
        <v>61</v>
      </c>
      <c r="M470" s="1" t="s">
        <v>62</v>
      </c>
      <c r="N470" s="1">
        <v>127.0</v>
      </c>
      <c r="O470" s="1">
        <v>0.0919698871806167</v>
      </c>
      <c r="P470" s="1" t="s">
        <v>61</v>
      </c>
      <c r="Q470" s="1" t="s">
        <v>61</v>
      </c>
      <c r="R470" s="1">
        <f t="shared" si="1"/>
        <v>0.09196988718</v>
      </c>
      <c r="S470" s="1">
        <f t="shared" si="2"/>
        <v>127</v>
      </c>
      <c r="T470" s="1">
        <f t="shared" si="3"/>
        <v>2.27</v>
      </c>
      <c r="U470" s="1">
        <f t="shared" si="4"/>
        <v>0</v>
      </c>
      <c r="V470" s="3">
        <f t="shared" si="5"/>
        <v>2</v>
      </c>
      <c r="W470" s="3">
        <f t="shared" si="6"/>
        <v>1</v>
      </c>
      <c r="X470" s="3" t="str">
        <f>IFERROR(__xludf.DUMMYFUNCTION("split(B470,"" "")"),"D.")</f>
        <v>D.</v>
      </c>
      <c r="Y470" s="3" t="str">
        <f>IFERROR(__xludf.DUMMYFUNCTION("""COMPUTED_VALUE"""),"Jones")</f>
        <v>Jones</v>
      </c>
      <c r="AA470" s="3">
        <v>2.0</v>
      </c>
      <c r="AB470" s="3">
        <f t="shared" si="7"/>
        <v>1</v>
      </c>
      <c r="AC470" s="3">
        <f t="shared" si="8"/>
        <v>0</v>
      </c>
      <c r="AD470" s="3">
        <f t="shared" si="9"/>
        <v>2.54</v>
      </c>
      <c r="AE470" s="3">
        <f t="shared" si="10"/>
        <v>-2</v>
      </c>
      <c r="AF470" s="3">
        <f t="shared" si="11"/>
        <v>-1</v>
      </c>
      <c r="AG470" s="3">
        <f t="shared" si="12"/>
        <v>-3</v>
      </c>
    </row>
    <row r="471">
      <c r="A471" s="1" t="s">
        <v>15</v>
      </c>
      <c r="B471" s="1" t="s">
        <v>260</v>
      </c>
      <c r="C471" s="1" t="s">
        <v>21</v>
      </c>
      <c r="D471" s="1" t="s">
        <v>147</v>
      </c>
      <c r="E471" s="1" t="s">
        <v>89</v>
      </c>
      <c r="F471" s="1" t="s">
        <v>525</v>
      </c>
      <c r="G471" s="1">
        <v>18.5</v>
      </c>
      <c r="H471" s="1" t="s">
        <v>60</v>
      </c>
      <c r="I471" s="1">
        <v>102.0</v>
      </c>
      <c r="J471" s="1">
        <v>-0.152552157593267</v>
      </c>
      <c r="K471" s="1" t="s">
        <v>61</v>
      </c>
      <c r="L471" s="1" t="s">
        <v>61</v>
      </c>
      <c r="M471" s="1" t="s">
        <v>62</v>
      </c>
      <c r="N471" s="1">
        <v>-133.0</v>
      </c>
      <c r="O471" s="1">
        <v>0.0867266795380258</v>
      </c>
      <c r="P471" s="1" t="s">
        <v>61</v>
      </c>
      <c r="Q471" s="1" t="s">
        <v>61</v>
      </c>
      <c r="R471" s="1">
        <f t="shared" si="1"/>
        <v>0.08672667954</v>
      </c>
      <c r="S471" s="1">
        <f t="shared" si="2"/>
        <v>-133</v>
      </c>
      <c r="T471" s="1">
        <f t="shared" si="3"/>
        <v>1.751879699</v>
      </c>
      <c r="U471" s="1">
        <f t="shared" si="4"/>
        <v>0</v>
      </c>
      <c r="V471" s="3">
        <f t="shared" si="5"/>
        <v>2</v>
      </c>
      <c r="W471" s="3">
        <f t="shared" si="6"/>
        <v>3</v>
      </c>
      <c r="X471" s="3" t="str">
        <f>IFERROR(__xludf.DUMMYFUNCTION("split(B471,"" "")"),"D.")</f>
        <v>D.</v>
      </c>
      <c r="Y471" s="3" t="str">
        <f>IFERROR(__xludf.DUMMYFUNCTION("""COMPUTED_VALUE"""),"Jones")</f>
        <v>Jones</v>
      </c>
      <c r="AA471" s="3">
        <v>24.0</v>
      </c>
      <c r="AB471" s="3">
        <f t="shared" si="7"/>
        <v>1</v>
      </c>
      <c r="AC471" s="3">
        <f t="shared" si="8"/>
        <v>0</v>
      </c>
      <c r="AD471" s="3">
        <f t="shared" si="9"/>
        <v>1.503759398</v>
      </c>
      <c r="AE471" s="3">
        <f t="shared" si="10"/>
        <v>-2</v>
      </c>
      <c r="AF471" s="3">
        <f t="shared" si="11"/>
        <v>-3</v>
      </c>
      <c r="AG471" s="3">
        <f t="shared" si="12"/>
        <v>-0.2972972973</v>
      </c>
    </row>
    <row r="472">
      <c r="A472" s="1" t="s">
        <v>17</v>
      </c>
      <c r="B472" s="1" t="s">
        <v>260</v>
      </c>
      <c r="C472" s="1" t="s">
        <v>21</v>
      </c>
      <c r="D472" s="1" t="s">
        <v>147</v>
      </c>
      <c r="E472" s="1" t="s">
        <v>89</v>
      </c>
      <c r="F472" s="1" t="s">
        <v>525</v>
      </c>
      <c r="G472" s="1">
        <v>0.5</v>
      </c>
      <c r="H472" s="1" t="s">
        <v>60</v>
      </c>
      <c r="I472" s="1">
        <v>-137.0</v>
      </c>
      <c r="J472" s="1">
        <v>-0.14211687763713</v>
      </c>
      <c r="K472" s="1" t="s">
        <v>61</v>
      </c>
      <c r="L472" s="1" t="s">
        <v>61</v>
      </c>
      <c r="M472" s="1" t="s">
        <v>62</v>
      </c>
      <c r="N472" s="1">
        <v>105.0</v>
      </c>
      <c r="O472" s="1">
        <v>0.0762463414634146</v>
      </c>
      <c r="P472" s="1" t="s">
        <v>61</v>
      </c>
      <c r="Q472" s="1" t="s">
        <v>61</v>
      </c>
      <c r="R472" s="1">
        <f t="shared" si="1"/>
        <v>0.07624634146</v>
      </c>
      <c r="S472" s="1">
        <f t="shared" si="2"/>
        <v>105</v>
      </c>
      <c r="T472" s="1">
        <f t="shared" si="3"/>
        <v>2.05</v>
      </c>
      <c r="U472" s="1">
        <f t="shared" si="4"/>
        <v>0</v>
      </c>
      <c r="V472" s="3">
        <f t="shared" si="5"/>
        <v>2</v>
      </c>
      <c r="W472" s="3">
        <f t="shared" si="6"/>
        <v>2</v>
      </c>
      <c r="X472" s="3" t="str">
        <f>IFERROR(__xludf.DUMMYFUNCTION("split(B472,"" "")"),"D.")</f>
        <v>D.</v>
      </c>
      <c r="Y472" s="3" t="str">
        <f>IFERROR(__xludf.DUMMYFUNCTION("""COMPUTED_VALUE"""),"Jones")</f>
        <v>Jones</v>
      </c>
      <c r="AA472" s="3">
        <v>0.0</v>
      </c>
      <c r="AB472" s="3">
        <f t="shared" si="7"/>
        <v>0</v>
      </c>
      <c r="AC472" s="3">
        <f t="shared" si="8"/>
        <v>1</v>
      </c>
      <c r="AD472" s="3">
        <f t="shared" si="9"/>
        <v>2.1</v>
      </c>
      <c r="AE472" s="3">
        <f t="shared" si="10"/>
        <v>2.1</v>
      </c>
      <c r="AF472" s="3">
        <f t="shared" si="11"/>
        <v>2.1</v>
      </c>
      <c r="AG472" s="3">
        <f t="shared" si="12"/>
        <v>1</v>
      </c>
    </row>
    <row r="473">
      <c r="A473" s="1" t="s">
        <v>16</v>
      </c>
      <c r="B473" s="1" t="s">
        <v>260</v>
      </c>
      <c r="C473" s="1" t="s">
        <v>21</v>
      </c>
      <c r="D473" s="1" t="s">
        <v>147</v>
      </c>
      <c r="E473" s="1" t="s">
        <v>89</v>
      </c>
      <c r="F473" s="1" t="s">
        <v>525</v>
      </c>
      <c r="G473" s="1">
        <v>30.5</v>
      </c>
      <c r="H473" s="1" t="s">
        <v>60</v>
      </c>
      <c r="I473" s="1">
        <v>-111.0</v>
      </c>
      <c r="J473" s="1">
        <v>-0.123469551516587</v>
      </c>
      <c r="K473" s="1" t="s">
        <v>61</v>
      </c>
      <c r="L473" s="1" t="s">
        <v>61</v>
      </c>
      <c r="M473" s="1" t="s">
        <v>62</v>
      </c>
      <c r="N473" s="1">
        <v>-119.0</v>
      </c>
      <c r="O473" s="1">
        <v>0.054010021416895</v>
      </c>
      <c r="P473" s="1" t="s">
        <v>61</v>
      </c>
      <c r="Q473" s="1" t="s">
        <v>61</v>
      </c>
      <c r="R473" s="1">
        <f t="shared" si="1"/>
        <v>0.05401002142</v>
      </c>
      <c r="S473" s="1">
        <f t="shared" si="2"/>
        <v>-119</v>
      </c>
      <c r="T473" s="1">
        <f t="shared" si="3"/>
        <v>1.840336134</v>
      </c>
      <c r="U473" s="1">
        <f t="shared" si="4"/>
        <v>0</v>
      </c>
      <c r="V473" s="3">
        <f t="shared" si="5"/>
        <v>2</v>
      </c>
      <c r="W473" s="3">
        <f t="shared" si="6"/>
        <v>3</v>
      </c>
      <c r="X473" s="3" t="str">
        <f>IFERROR(__xludf.DUMMYFUNCTION("split(B473,"" "")"),"D.")</f>
        <v>D.</v>
      </c>
      <c r="Y473" s="3" t="str">
        <f>IFERROR(__xludf.DUMMYFUNCTION("""COMPUTED_VALUE"""),"Jones")</f>
        <v>Jones</v>
      </c>
      <c r="AA473" s="3">
        <v>34.0</v>
      </c>
      <c r="AB473" s="3">
        <f t="shared" si="7"/>
        <v>1</v>
      </c>
      <c r="AC473" s="3">
        <f t="shared" si="8"/>
        <v>0</v>
      </c>
      <c r="AD473" s="3">
        <f t="shared" si="9"/>
        <v>1.680672269</v>
      </c>
      <c r="AE473" s="3">
        <f t="shared" si="10"/>
        <v>-2</v>
      </c>
      <c r="AF473" s="3">
        <f t="shared" si="11"/>
        <v>-3</v>
      </c>
      <c r="AG473" s="3">
        <f t="shared" si="12"/>
        <v>-0.1147540984</v>
      </c>
    </row>
    <row r="474">
      <c r="A474" s="1" t="s">
        <v>11</v>
      </c>
      <c r="B474" s="1" t="s">
        <v>354</v>
      </c>
      <c r="C474" s="1" t="s">
        <v>18</v>
      </c>
      <c r="D474" s="1" t="s">
        <v>147</v>
      </c>
      <c r="E474" s="1" t="s">
        <v>89</v>
      </c>
      <c r="F474" s="1" t="s">
        <v>525</v>
      </c>
      <c r="G474" s="1">
        <v>29.5</v>
      </c>
      <c r="H474" s="1" t="s">
        <v>60</v>
      </c>
      <c r="I474" s="1">
        <v>-110.0</v>
      </c>
      <c r="J474" s="1">
        <v>-0.110617188621</v>
      </c>
      <c r="K474" s="1" t="s">
        <v>61</v>
      </c>
      <c r="L474" s="1" t="s">
        <v>61</v>
      </c>
      <c r="M474" s="1" t="s">
        <v>62</v>
      </c>
      <c r="N474" s="1">
        <v>-115.0</v>
      </c>
      <c r="O474" s="1">
        <v>0.0519495397766116</v>
      </c>
      <c r="P474" s="1" t="s">
        <v>61</v>
      </c>
      <c r="Q474" s="1" t="s">
        <v>61</v>
      </c>
      <c r="R474" s="1">
        <f t="shared" si="1"/>
        <v>0.05194953978</v>
      </c>
      <c r="S474" s="1">
        <f t="shared" si="2"/>
        <v>-115</v>
      </c>
      <c r="T474" s="1">
        <f t="shared" si="3"/>
        <v>1.869565217</v>
      </c>
      <c r="U474" s="1">
        <f t="shared" si="4"/>
        <v>0</v>
      </c>
      <c r="V474" s="3">
        <f t="shared" si="5"/>
        <v>2</v>
      </c>
      <c r="W474" s="3">
        <f t="shared" si="6"/>
        <v>2</v>
      </c>
      <c r="X474" s="3" t="str">
        <f>IFERROR(__xludf.DUMMYFUNCTION("split(B474,"" "")"),"W.")</f>
        <v>W.</v>
      </c>
      <c r="Y474" s="3" t="str">
        <f>IFERROR(__xludf.DUMMYFUNCTION("""COMPUTED_VALUE"""),"Robinson")</f>
        <v>Robinson</v>
      </c>
      <c r="AA474" s="3">
        <v>61.0</v>
      </c>
      <c r="AB474" s="3">
        <f t="shared" si="7"/>
        <v>1</v>
      </c>
      <c r="AC474" s="3">
        <f t="shared" si="8"/>
        <v>0</v>
      </c>
      <c r="AD474" s="3">
        <f t="shared" si="9"/>
        <v>1.739130435</v>
      </c>
      <c r="AE474" s="3">
        <f t="shared" si="10"/>
        <v>-2</v>
      </c>
      <c r="AF474" s="3">
        <f t="shared" si="11"/>
        <v>-2</v>
      </c>
      <c r="AG474" s="3">
        <f t="shared" si="12"/>
        <v>-1.06779661</v>
      </c>
    </row>
    <row r="475">
      <c r="A475" s="1" t="s">
        <v>8</v>
      </c>
      <c r="B475" s="1" t="s">
        <v>270</v>
      </c>
      <c r="C475" s="1" t="s">
        <v>19</v>
      </c>
      <c r="D475" s="1" t="s">
        <v>147</v>
      </c>
      <c r="E475" s="1" t="s">
        <v>89</v>
      </c>
      <c r="F475" s="1" t="s">
        <v>525</v>
      </c>
      <c r="G475" s="1">
        <v>14.5</v>
      </c>
      <c r="H475" s="1" t="s">
        <v>60</v>
      </c>
      <c r="I475" s="1">
        <v>-104.0</v>
      </c>
      <c r="J475" s="1">
        <v>-0.113099867941176</v>
      </c>
      <c r="K475" s="1" t="s">
        <v>61</v>
      </c>
      <c r="L475" s="1" t="s">
        <v>61</v>
      </c>
      <c r="M475" s="1" t="s">
        <v>62</v>
      </c>
      <c r="N475" s="1">
        <v>-125.0</v>
      </c>
      <c r="O475" s="1">
        <v>0.0477398503333331</v>
      </c>
      <c r="P475" s="1" t="s">
        <v>61</v>
      </c>
      <c r="Q475" s="1" t="s">
        <v>61</v>
      </c>
      <c r="R475" s="1">
        <f t="shared" si="1"/>
        <v>0.04773985033</v>
      </c>
      <c r="S475" s="1">
        <f t="shared" si="2"/>
        <v>-125</v>
      </c>
      <c r="T475" s="1">
        <f t="shared" si="3"/>
        <v>1.8</v>
      </c>
      <c r="U475" s="1">
        <f t="shared" si="4"/>
        <v>0</v>
      </c>
      <c r="V475" s="3">
        <f t="shared" si="5"/>
        <v>1</v>
      </c>
      <c r="W475" s="3">
        <f t="shared" si="6"/>
        <v>3</v>
      </c>
      <c r="X475" s="3" t="str">
        <f>IFERROR(__xludf.DUMMYFUNCTION("split(B475,"" "")"),"D.")</f>
        <v>D.</v>
      </c>
      <c r="Y475" s="3" t="str">
        <f>IFERROR(__xludf.DUMMYFUNCTION("""COMPUTED_VALUE"""),"Singletary")</f>
        <v>Singletary</v>
      </c>
      <c r="AA475" s="3">
        <v>16.0</v>
      </c>
      <c r="AB475" s="3">
        <f t="shared" si="7"/>
        <v>1</v>
      </c>
      <c r="AC475" s="3">
        <f t="shared" si="8"/>
        <v>0</v>
      </c>
      <c r="AD475" s="3">
        <f t="shared" si="9"/>
        <v>0.8</v>
      </c>
      <c r="AE475" s="3">
        <f t="shared" si="10"/>
        <v>-1</v>
      </c>
      <c r="AF475" s="3">
        <f t="shared" si="11"/>
        <v>-3</v>
      </c>
      <c r="AG475" s="3">
        <f t="shared" si="12"/>
        <v>-0.1034482759</v>
      </c>
    </row>
    <row r="476">
      <c r="A476" s="1" t="s">
        <v>12</v>
      </c>
      <c r="B476" s="1" t="s">
        <v>478</v>
      </c>
      <c r="C476" s="1" t="s">
        <v>18</v>
      </c>
      <c r="D476" s="1" t="s">
        <v>147</v>
      </c>
      <c r="E476" s="1" t="s">
        <v>89</v>
      </c>
      <c r="F476" s="1" t="s">
        <v>525</v>
      </c>
      <c r="G476" s="1">
        <v>6.5</v>
      </c>
      <c r="H476" s="1" t="s">
        <v>60</v>
      </c>
      <c r="I476" s="1">
        <v>123.0</v>
      </c>
      <c r="J476" s="1">
        <v>0.0441695067264573</v>
      </c>
      <c r="K476" s="1" t="s">
        <v>61</v>
      </c>
      <c r="L476" s="1" t="s">
        <v>61</v>
      </c>
      <c r="M476" s="1" t="s">
        <v>62</v>
      </c>
      <c r="N476" s="1">
        <v>-162.0</v>
      </c>
      <c r="O476" s="1">
        <v>-0.110920610687022</v>
      </c>
      <c r="P476" s="1" t="s">
        <v>61</v>
      </c>
      <c r="Q476" s="1" t="s">
        <v>61</v>
      </c>
      <c r="R476" s="1">
        <f t="shared" si="1"/>
        <v>0.04416950673</v>
      </c>
      <c r="S476" s="1">
        <f t="shared" si="2"/>
        <v>123</v>
      </c>
      <c r="T476" s="1">
        <f t="shared" si="3"/>
        <v>2.23</v>
      </c>
      <c r="U476" s="1">
        <f t="shared" si="4"/>
        <v>1</v>
      </c>
      <c r="V476" s="3">
        <f t="shared" si="5"/>
        <v>1</v>
      </c>
      <c r="W476" s="3">
        <f t="shared" si="6"/>
        <v>1</v>
      </c>
      <c r="X476" s="3" t="str">
        <f>IFERROR(__xludf.DUMMYFUNCTION("split(B476,"" "")"),"M.")</f>
        <v>M.</v>
      </c>
      <c r="Y476" s="3" t="str">
        <f>IFERROR(__xludf.DUMMYFUNCTION("""COMPUTED_VALUE"""),"Nabers")</f>
        <v>Nabers</v>
      </c>
      <c r="AA476" s="3">
        <v>8.0</v>
      </c>
      <c r="AB476" s="3">
        <f t="shared" si="7"/>
        <v>1</v>
      </c>
      <c r="AC476" s="3">
        <f t="shared" si="8"/>
        <v>1</v>
      </c>
      <c r="AD476" s="3">
        <f t="shared" si="9"/>
        <v>1.23</v>
      </c>
      <c r="AE476" s="3">
        <f t="shared" si="10"/>
        <v>1.23</v>
      </c>
      <c r="AF476" s="3">
        <f t="shared" si="11"/>
        <v>1.23</v>
      </c>
      <c r="AG476" s="3">
        <f t="shared" si="12"/>
        <v>0.2307692308</v>
      </c>
    </row>
    <row r="477">
      <c r="A477" s="1" t="s">
        <v>9</v>
      </c>
      <c r="B477" s="1" t="s">
        <v>270</v>
      </c>
      <c r="C477" s="1" t="s">
        <v>19</v>
      </c>
      <c r="D477" s="1" t="s">
        <v>147</v>
      </c>
      <c r="E477" s="1" t="s">
        <v>89</v>
      </c>
      <c r="F477" s="1" t="s">
        <v>525</v>
      </c>
      <c r="G477" s="1">
        <v>73.5</v>
      </c>
      <c r="H477" s="1" t="s">
        <v>60</v>
      </c>
      <c r="I477" s="1">
        <v>-113.0</v>
      </c>
      <c r="J477" s="1">
        <v>-0.111313792130017</v>
      </c>
      <c r="K477" s="1" t="s">
        <v>61</v>
      </c>
      <c r="L477" s="1" t="s">
        <v>61</v>
      </c>
      <c r="M477" s="1" t="s">
        <v>62</v>
      </c>
      <c r="N477" s="1">
        <v>-119.0</v>
      </c>
      <c r="O477" s="1">
        <v>0.0374651684529483</v>
      </c>
      <c r="P477" s="1" t="s">
        <v>61</v>
      </c>
      <c r="Q477" s="1" t="s">
        <v>61</v>
      </c>
      <c r="R477" s="1">
        <f t="shared" si="1"/>
        <v>0.03746516845</v>
      </c>
      <c r="S477" s="1">
        <f t="shared" si="2"/>
        <v>-119</v>
      </c>
      <c r="T477" s="1">
        <f t="shared" si="3"/>
        <v>1.840336134</v>
      </c>
      <c r="U477" s="1">
        <f t="shared" si="4"/>
        <v>0</v>
      </c>
      <c r="V477" s="3">
        <f t="shared" si="5"/>
        <v>1</v>
      </c>
      <c r="W477" s="3">
        <f t="shared" si="6"/>
        <v>3</v>
      </c>
      <c r="X477" s="3" t="str">
        <f>IFERROR(__xludf.DUMMYFUNCTION("split(B477,"" "")"),"D.")</f>
        <v>D.</v>
      </c>
      <c r="Y477" s="3" t="str">
        <f>IFERROR(__xludf.DUMMYFUNCTION("""COMPUTED_VALUE"""),"Singletary")</f>
        <v>Singletary</v>
      </c>
      <c r="AA477" s="3">
        <v>108.0</v>
      </c>
      <c r="AB477" s="3">
        <f t="shared" si="7"/>
        <v>1</v>
      </c>
      <c r="AC477" s="3">
        <f t="shared" si="8"/>
        <v>0</v>
      </c>
      <c r="AD477" s="3">
        <f t="shared" si="9"/>
        <v>0.8403361345</v>
      </c>
      <c r="AE477" s="3">
        <f t="shared" si="10"/>
        <v>-1</v>
      </c>
      <c r="AF477" s="3">
        <f t="shared" si="11"/>
        <v>-3</v>
      </c>
      <c r="AG477" s="3">
        <f t="shared" si="12"/>
        <v>-0.4693877551</v>
      </c>
    </row>
    <row r="478">
      <c r="A478" s="1" t="s">
        <v>11</v>
      </c>
      <c r="B478" s="1" t="s">
        <v>478</v>
      </c>
      <c r="C478" s="1" t="s">
        <v>18</v>
      </c>
      <c r="D478" s="1" t="s">
        <v>147</v>
      </c>
      <c r="E478" s="1" t="s">
        <v>89</v>
      </c>
      <c r="F478" s="1" t="s">
        <v>525</v>
      </c>
      <c r="G478" s="1">
        <v>65.5</v>
      </c>
      <c r="H478" s="1" t="s">
        <v>60</v>
      </c>
      <c r="I478" s="1">
        <v>-117.0</v>
      </c>
      <c r="J478" s="1">
        <v>-0.104175706761848</v>
      </c>
      <c r="K478" s="1" t="s">
        <v>61</v>
      </c>
      <c r="L478" s="1" t="s">
        <v>61</v>
      </c>
      <c r="M478" s="1" t="s">
        <v>62</v>
      </c>
      <c r="N478" s="1">
        <v>-112.0</v>
      </c>
      <c r="O478" s="1">
        <v>0.0366887128128715</v>
      </c>
      <c r="P478" s="1" t="s">
        <v>61</v>
      </c>
      <c r="Q478" s="1" t="s">
        <v>61</v>
      </c>
      <c r="R478" s="1">
        <f t="shared" si="1"/>
        <v>0.03668871281</v>
      </c>
      <c r="S478" s="1">
        <f t="shared" si="2"/>
        <v>-112</v>
      </c>
      <c r="T478" s="1">
        <f t="shared" si="3"/>
        <v>1.892857143</v>
      </c>
      <c r="U478" s="1">
        <f t="shared" si="4"/>
        <v>0</v>
      </c>
      <c r="V478" s="3">
        <f t="shared" si="5"/>
        <v>1</v>
      </c>
      <c r="W478" s="3">
        <f t="shared" si="6"/>
        <v>2</v>
      </c>
      <c r="X478" s="3" t="str">
        <f>IFERROR(__xludf.DUMMYFUNCTION("split(B478,"" "")"),"M.")</f>
        <v>M.</v>
      </c>
      <c r="Y478" s="3" t="str">
        <f>IFERROR(__xludf.DUMMYFUNCTION("""COMPUTED_VALUE"""),"Nabers")</f>
        <v>Nabers</v>
      </c>
      <c r="AA478" s="3">
        <v>78.0</v>
      </c>
      <c r="AB478" s="3">
        <f t="shared" si="7"/>
        <v>1</v>
      </c>
      <c r="AC478" s="3">
        <f t="shared" si="8"/>
        <v>0</v>
      </c>
      <c r="AD478" s="3">
        <f t="shared" si="9"/>
        <v>0.8928571429</v>
      </c>
      <c r="AE478" s="3">
        <f t="shared" si="10"/>
        <v>-1</v>
      </c>
      <c r="AF478" s="3">
        <f t="shared" si="11"/>
        <v>-2</v>
      </c>
      <c r="AG478" s="3">
        <f t="shared" si="12"/>
        <v>-0.1908396947</v>
      </c>
    </row>
    <row r="479">
      <c r="A479" s="1" t="s">
        <v>9</v>
      </c>
      <c r="B479" s="1" t="s">
        <v>483</v>
      </c>
      <c r="C479" s="1" t="s">
        <v>18</v>
      </c>
      <c r="D479" s="1" t="s">
        <v>147</v>
      </c>
      <c r="E479" s="1" t="s">
        <v>89</v>
      </c>
      <c r="F479" s="1" t="s">
        <v>525</v>
      </c>
      <c r="G479" s="1">
        <v>26.5</v>
      </c>
      <c r="H479" s="1" t="s">
        <v>60</v>
      </c>
      <c r="I479" s="1">
        <v>-120.0</v>
      </c>
      <c r="J479" s="1">
        <v>0.0273509042498339</v>
      </c>
      <c r="K479" s="1" t="s">
        <v>61</v>
      </c>
      <c r="L479" s="1" t="s">
        <v>61</v>
      </c>
      <c r="M479" s="1" t="s">
        <v>62</v>
      </c>
      <c r="N479" s="1">
        <v>-113.0</v>
      </c>
      <c r="O479" s="1">
        <v>-0.103306078856848</v>
      </c>
      <c r="P479" s="1" t="s">
        <v>61</v>
      </c>
      <c r="Q479" s="1" t="s">
        <v>61</v>
      </c>
      <c r="R479" s="1">
        <f t="shared" si="1"/>
        <v>0.02735090425</v>
      </c>
      <c r="S479" s="1">
        <f t="shared" si="2"/>
        <v>-120</v>
      </c>
      <c r="T479" s="1">
        <f t="shared" si="3"/>
        <v>1.833333333</v>
      </c>
      <c r="U479" s="1">
        <f t="shared" si="4"/>
        <v>1</v>
      </c>
      <c r="V479" s="3">
        <f t="shared" si="5"/>
        <v>1</v>
      </c>
      <c r="W479" s="3">
        <f t="shared" si="6"/>
        <v>3</v>
      </c>
      <c r="X479" s="3" t="str">
        <f>IFERROR(__xludf.DUMMYFUNCTION("split(B479,"" "")"),"D.")</f>
        <v>D.</v>
      </c>
      <c r="Y479" s="3" t="str">
        <f>IFERROR(__xludf.DUMMYFUNCTION("""COMPUTED_VALUE"""),"Slayton")</f>
        <v>Slayton</v>
      </c>
      <c r="AA479" s="3">
        <v>7.0</v>
      </c>
      <c r="AB479" s="3">
        <f t="shared" si="7"/>
        <v>0</v>
      </c>
      <c r="AC479" s="3">
        <f t="shared" si="8"/>
        <v>0</v>
      </c>
      <c r="AD479" s="3">
        <f t="shared" si="9"/>
        <v>0.8333333333</v>
      </c>
      <c r="AE479" s="3">
        <f t="shared" si="10"/>
        <v>-1</v>
      </c>
      <c r="AF479" s="3">
        <f t="shared" si="11"/>
        <v>-3</v>
      </c>
      <c r="AG479" s="3">
        <f t="shared" si="12"/>
        <v>-0.7358490566</v>
      </c>
    </row>
    <row r="480">
      <c r="A480" s="1" t="s">
        <v>13</v>
      </c>
      <c r="B480" s="1" t="s">
        <v>260</v>
      </c>
      <c r="C480" s="1" t="s">
        <v>21</v>
      </c>
      <c r="D480" s="1" t="s">
        <v>147</v>
      </c>
      <c r="E480" s="1" t="s">
        <v>89</v>
      </c>
      <c r="F480" s="1" t="s">
        <v>525</v>
      </c>
      <c r="G480" s="1">
        <v>183.5</v>
      </c>
      <c r="H480" s="1" t="s">
        <v>60</v>
      </c>
      <c r="I480" s="1">
        <v>-104.0</v>
      </c>
      <c r="J480" s="1">
        <v>0.0198466020441175</v>
      </c>
      <c r="K480" s="1" t="s">
        <v>61</v>
      </c>
      <c r="L480" s="1" t="s">
        <v>61</v>
      </c>
      <c r="M480" s="1" t="s">
        <v>62</v>
      </c>
      <c r="N480" s="1">
        <v>-124.0</v>
      </c>
      <c r="O480" s="1">
        <v>-0.0832026270226783</v>
      </c>
      <c r="P480" s="1" t="s">
        <v>61</v>
      </c>
      <c r="Q480" s="1" t="s">
        <v>61</v>
      </c>
      <c r="R480" s="1">
        <f t="shared" si="1"/>
        <v>0.01984660204</v>
      </c>
      <c r="S480" s="1">
        <f t="shared" si="2"/>
        <v>-104</v>
      </c>
      <c r="T480" s="1">
        <f t="shared" si="3"/>
        <v>1.961538462</v>
      </c>
      <c r="U480" s="1">
        <f t="shared" si="4"/>
        <v>1</v>
      </c>
      <c r="V480" s="3">
        <f t="shared" si="5"/>
        <v>1</v>
      </c>
      <c r="W480" s="3">
        <f t="shared" si="6"/>
        <v>2</v>
      </c>
      <c r="X480" s="3" t="str">
        <f>IFERROR(__xludf.DUMMYFUNCTION("split(B480,"" "")"),"D.")</f>
        <v>D.</v>
      </c>
      <c r="Y480" s="3" t="str">
        <f>IFERROR(__xludf.DUMMYFUNCTION("""COMPUTED_VALUE"""),"Jones")</f>
        <v>Jones</v>
      </c>
      <c r="AA480" s="3">
        <v>236.0</v>
      </c>
      <c r="AB480" s="3">
        <f t="shared" si="7"/>
        <v>1</v>
      </c>
      <c r="AC480" s="3">
        <f t="shared" si="8"/>
        <v>1</v>
      </c>
      <c r="AD480" s="3">
        <f t="shared" si="9"/>
        <v>0.9615384615</v>
      </c>
      <c r="AE480" s="3">
        <f t="shared" si="10"/>
        <v>0.9615384615</v>
      </c>
      <c r="AF480" s="3">
        <f t="shared" si="11"/>
        <v>1.923076923</v>
      </c>
      <c r="AG480" s="3">
        <f t="shared" si="12"/>
        <v>0.2861035422</v>
      </c>
    </row>
    <row r="481">
      <c r="A481" s="1" t="s">
        <v>9</v>
      </c>
      <c r="B481" s="1" t="s">
        <v>478</v>
      </c>
      <c r="C481" s="1" t="s">
        <v>18</v>
      </c>
      <c r="D481" s="1" t="s">
        <v>147</v>
      </c>
      <c r="E481" s="1" t="s">
        <v>89</v>
      </c>
      <c r="F481" s="1" t="s">
        <v>525</v>
      </c>
      <c r="G481" s="1">
        <v>65.5</v>
      </c>
      <c r="H481" s="1" t="s">
        <v>60</v>
      </c>
      <c r="I481" s="1">
        <v>-115.0</v>
      </c>
      <c r="J481" s="1">
        <v>-0.0860571183378168</v>
      </c>
      <c r="K481" s="1" t="s">
        <v>61</v>
      </c>
      <c r="L481" s="1" t="s">
        <v>61</v>
      </c>
      <c r="M481" s="1" t="s">
        <v>62</v>
      </c>
      <c r="N481" s="1">
        <v>-115.0</v>
      </c>
      <c r="O481" s="1">
        <v>0.0163006860884893</v>
      </c>
      <c r="P481" s="1" t="s">
        <v>61</v>
      </c>
      <c r="Q481" s="1" t="s">
        <v>61</v>
      </c>
      <c r="R481" s="1">
        <f t="shared" si="1"/>
        <v>0.01630068609</v>
      </c>
      <c r="S481" s="1">
        <f t="shared" si="2"/>
        <v>-115</v>
      </c>
      <c r="T481" s="1">
        <f t="shared" si="3"/>
        <v>1.869565217</v>
      </c>
      <c r="U481" s="1">
        <f t="shared" si="4"/>
        <v>0</v>
      </c>
      <c r="V481" s="3">
        <f t="shared" si="5"/>
        <v>1</v>
      </c>
      <c r="W481" s="3">
        <f t="shared" si="6"/>
        <v>2</v>
      </c>
      <c r="X481" s="3" t="str">
        <f>IFERROR(__xludf.DUMMYFUNCTION("split(B481,"" "")"),"M.")</f>
        <v>M.</v>
      </c>
      <c r="Y481" s="3" t="str">
        <f>IFERROR(__xludf.DUMMYFUNCTION("""COMPUTED_VALUE"""),"Nabers")</f>
        <v>Nabers</v>
      </c>
      <c r="AA481" s="3">
        <v>82.0</v>
      </c>
      <c r="AB481" s="3">
        <f t="shared" si="7"/>
        <v>1</v>
      </c>
      <c r="AC481" s="3">
        <f t="shared" si="8"/>
        <v>0</v>
      </c>
      <c r="AD481" s="3">
        <f t="shared" si="9"/>
        <v>0.8695652174</v>
      </c>
      <c r="AE481" s="3">
        <f t="shared" si="10"/>
        <v>-1</v>
      </c>
      <c r="AF481" s="3">
        <f t="shared" si="11"/>
        <v>-2</v>
      </c>
      <c r="AG481" s="3">
        <f t="shared" si="12"/>
        <v>-0.2519083969</v>
      </c>
    </row>
    <row r="482">
      <c r="A482" s="1" t="s">
        <v>11</v>
      </c>
      <c r="B482" s="1" t="s">
        <v>483</v>
      </c>
      <c r="C482" s="1" t="s">
        <v>18</v>
      </c>
      <c r="D482" s="1" t="s">
        <v>147</v>
      </c>
      <c r="E482" s="1" t="s">
        <v>89</v>
      </c>
      <c r="F482" s="1" t="s">
        <v>525</v>
      </c>
      <c r="G482" s="1">
        <v>26.5</v>
      </c>
      <c r="H482" s="1" t="s">
        <v>60</v>
      </c>
      <c r="I482" s="1">
        <v>-114.0</v>
      </c>
      <c r="J482" s="1">
        <v>-0.0834634541149998</v>
      </c>
      <c r="K482" s="1" t="s">
        <v>61</v>
      </c>
      <c r="L482" s="1" t="s">
        <v>61</v>
      </c>
      <c r="M482" s="1" t="s">
        <v>62</v>
      </c>
      <c r="N482" s="1">
        <v>-115.0</v>
      </c>
      <c r="O482" s="1">
        <v>0.0159060746869836</v>
      </c>
      <c r="P482" s="1" t="s">
        <v>61</v>
      </c>
      <c r="Q482" s="1" t="s">
        <v>61</v>
      </c>
      <c r="R482" s="1">
        <f t="shared" si="1"/>
        <v>0.01590607469</v>
      </c>
      <c r="S482" s="1">
        <f t="shared" si="2"/>
        <v>-115</v>
      </c>
      <c r="T482" s="1">
        <f t="shared" si="3"/>
        <v>1.869565217</v>
      </c>
      <c r="U482" s="1">
        <f t="shared" si="4"/>
        <v>0</v>
      </c>
      <c r="V482" s="3">
        <f t="shared" si="5"/>
        <v>1</v>
      </c>
      <c r="W482" s="3">
        <f t="shared" si="6"/>
        <v>2</v>
      </c>
      <c r="X482" s="3" t="str">
        <f>IFERROR(__xludf.DUMMYFUNCTION("split(B482,"" "")"),"D.")</f>
        <v>D.</v>
      </c>
      <c r="Y482" s="3" t="str">
        <f>IFERROR(__xludf.DUMMYFUNCTION("""COMPUTED_VALUE"""),"Slayton")</f>
        <v>Slayton</v>
      </c>
      <c r="AA482" s="3">
        <v>7.0</v>
      </c>
      <c r="AB482" s="3">
        <f t="shared" si="7"/>
        <v>0</v>
      </c>
      <c r="AC482" s="3">
        <f t="shared" si="8"/>
        <v>1</v>
      </c>
      <c r="AD482" s="3">
        <f t="shared" si="9"/>
        <v>0.8695652174</v>
      </c>
      <c r="AE482" s="3">
        <f t="shared" si="10"/>
        <v>0.8695652174</v>
      </c>
      <c r="AF482" s="3">
        <f t="shared" si="11"/>
        <v>1.739130435</v>
      </c>
      <c r="AG482" s="3">
        <f t="shared" si="12"/>
        <v>0.7358490566</v>
      </c>
    </row>
    <row r="483">
      <c r="A483" s="1" t="s">
        <v>10</v>
      </c>
      <c r="B483" s="1" t="s">
        <v>270</v>
      </c>
      <c r="C483" s="1" t="s">
        <v>19</v>
      </c>
      <c r="D483" s="1" t="s">
        <v>147</v>
      </c>
      <c r="E483" s="1" t="s">
        <v>89</v>
      </c>
      <c r="F483" s="1" t="s">
        <v>525</v>
      </c>
      <c r="G483" s="1">
        <v>55.5</v>
      </c>
      <c r="H483" s="1" t="s">
        <v>60</v>
      </c>
      <c r="I483" s="1">
        <v>-113.0</v>
      </c>
      <c r="J483" s="1">
        <v>-0.0832996748353028</v>
      </c>
      <c r="K483" s="1" t="s">
        <v>61</v>
      </c>
      <c r="L483" s="1" t="s">
        <v>61</v>
      </c>
      <c r="M483" s="1" t="s">
        <v>62</v>
      </c>
      <c r="N483" s="1">
        <v>-117.0</v>
      </c>
      <c r="O483" s="1">
        <v>0.0136530830335563</v>
      </c>
      <c r="P483" s="1" t="s">
        <v>61</v>
      </c>
      <c r="Q483" s="1" t="s">
        <v>61</v>
      </c>
      <c r="R483" s="1">
        <f t="shared" si="1"/>
        <v>0.01365308303</v>
      </c>
      <c r="S483" s="1">
        <f t="shared" si="2"/>
        <v>-117</v>
      </c>
      <c r="T483" s="1">
        <f t="shared" si="3"/>
        <v>1.854700855</v>
      </c>
      <c r="U483" s="1">
        <f t="shared" si="4"/>
        <v>0</v>
      </c>
      <c r="V483" s="3">
        <f t="shared" si="5"/>
        <v>1</v>
      </c>
      <c r="W483" s="3">
        <f t="shared" si="6"/>
        <v>2</v>
      </c>
      <c r="X483" s="3" t="str">
        <f>IFERROR(__xludf.DUMMYFUNCTION("split(B483,"" "")"),"D.")</f>
        <v>D.</v>
      </c>
      <c r="Y483" s="3" t="str">
        <f>IFERROR(__xludf.DUMMYFUNCTION("""COMPUTED_VALUE"""),"Singletary")</f>
        <v>Singletary</v>
      </c>
      <c r="AA483" s="3">
        <v>65.0</v>
      </c>
      <c r="AB483" s="3">
        <f t="shared" si="7"/>
        <v>1</v>
      </c>
      <c r="AC483" s="3">
        <f t="shared" si="8"/>
        <v>0</v>
      </c>
      <c r="AD483" s="3">
        <f t="shared" si="9"/>
        <v>0.8547008547</v>
      </c>
      <c r="AE483" s="3">
        <f t="shared" si="10"/>
        <v>-1</v>
      </c>
      <c r="AF483" s="3">
        <f t="shared" si="11"/>
        <v>-2</v>
      </c>
      <c r="AG483" s="3">
        <f t="shared" si="12"/>
        <v>-0.1711711712</v>
      </c>
    </row>
    <row r="484">
      <c r="A484" s="1" t="s">
        <v>9</v>
      </c>
      <c r="B484" s="1" t="s">
        <v>354</v>
      </c>
      <c r="C484" s="1" t="s">
        <v>18</v>
      </c>
      <c r="D484" s="1" t="s">
        <v>147</v>
      </c>
      <c r="E484" s="1" t="s">
        <v>89</v>
      </c>
      <c r="F484" s="1" t="s">
        <v>525</v>
      </c>
      <c r="G484" s="1">
        <v>30.5</v>
      </c>
      <c r="H484" s="1" t="s">
        <v>60</v>
      </c>
      <c r="I484" s="1">
        <v>-114.0</v>
      </c>
      <c r="J484" s="1">
        <v>0.0123627412191336</v>
      </c>
      <c r="K484" s="1" t="s">
        <v>61</v>
      </c>
      <c r="L484" s="1" t="s">
        <v>61</v>
      </c>
      <c r="M484" s="1" t="s">
        <v>62</v>
      </c>
      <c r="N484" s="1">
        <v>-118.0</v>
      </c>
      <c r="O484" s="1">
        <v>-0.0863056486819065</v>
      </c>
      <c r="P484" s="1" t="s">
        <v>61</v>
      </c>
      <c r="Q484" s="1" t="s">
        <v>61</v>
      </c>
      <c r="R484" s="1">
        <f t="shared" si="1"/>
        <v>0.01236274122</v>
      </c>
      <c r="S484" s="1">
        <f t="shared" si="2"/>
        <v>-114</v>
      </c>
      <c r="T484" s="1">
        <f t="shared" si="3"/>
        <v>1.877192982</v>
      </c>
      <c r="U484" s="1">
        <f t="shared" si="4"/>
        <v>1</v>
      </c>
      <c r="V484" s="3">
        <f t="shared" si="5"/>
        <v>1</v>
      </c>
      <c r="W484" s="3">
        <f t="shared" si="6"/>
        <v>2</v>
      </c>
      <c r="X484" s="3" t="str">
        <f>IFERROR(__xludf.DUMMYFUNCTION("split(B484,"" "")"),"W.")</f>
        <v>W.</v>
      </c>
      <c r="Y484" s="3" t="str">
        <f>IFERROR(__xludf.DUMMYFUNCTION("""COMPUTED_VALUE"""),"Robinson")</f>
        <v>Robinson</v>
      </c>
      <c r="AA484" s="3">
        <v>61.0</v>
      </c>
      <c r="AB484" s="3">
        <f t="shared" si="7"/>
        <v>1</v>
      </c>
      <c r="AC484" s="3">
        <f t="shared" si="8"/>
        <v>1</v>
      </c>
      <c r="AD484" s="3">
        <f t="shared" si="9"/>
        <v>0.8771929825</v>
      </c>
      <c r="AE484" s="3">
        <f t="shared" si="10"/>
        <v>0.8771929825</v>
      </c>
      <c r="AF484" s="3">
        <f t="shared" si="11"/>
        <v>1.754385965</v>
      </c>
      <c r="AG484" s="3">
        <f t="shared" si="12"/>
        <v>1</v>
      </c>
    </row>
    <row r="485">
      <c r="A485" s="1" t="s">
        <v>12</v>
      </c>
      <c r="B485" s="1" t="s">
        <v>291</v>
      </c>
      <c r="C485" s="1" t="s">
        <v>18</v>
      </c>
      <c r="D485" s="1" t="s">
        <v>165</v>
      </c>
      <c r="E485" s="1" t="s">
        <v>66</v>
      </c>
      <c r="F485" s="1" t="s">
        <v>551</v>
      </c>
      <c r="G485" s="1">
        <v>2.5</v>
      </c>
      <c r="H485" s="1" t="s">
        <v>60</v>
      </c>
      <c r="I485" s="1">
        <v>-107.0</v>
      </c>
      <c r="J485" s="1">
        <v>-0.307355110043478</v>
      </c>
      <c r="K485" s="1" t="s">
        <v>61</v>
      </c>
      <c r="L485" s="1" t="s">
        <v>61</v>
      </c>
      <c r="M485" s="1" t="s">
        <v>62</v>
      </c>
      <c r="N485" s="1">
        <v>-123.0</v>
      </c>
      <c r="O485" s="1">
        <v>0.238884038422287</v>
      </c>
      <c r="P485" s="1" t="s">
        <v>61</v>
      </c>
      <c r="Q485" s="1" t="s">
        <v>61</v>
      </c>
      <c r="R485" s="1">
        <f t="shared" si="1"/>
        <v>0.2388840384</v>
      </c>
      <c r="S485" s="1">
        <f t="shared" si="2"/>
        <v>-123</v>
      </c>
      <c r="T485" s="1">
        <f t="shared" si="3"/>
        <v>1.81300813</v>
      </c>
      <c r="U485" s="1">
        <f t="shared" si="4"/>
        <v>0</v>
      </c>
      <c r="V485" s="3">
        <f t="shared" si="5"/>
        <v>3</v>
      </c>
      <c r="W485" s="3">
        <f t="shared" si="6"/>
        <v>3</v>
      </c>
      <c r="X485" s="3" t="str">
        <f>IFERROR(__xludf.DUMMYFUNCTION("split(B485,"" "")"),"A.")</f>
        <v>A.</v>
      </c>
      <c r="Y485" s="3" t="str">
        <f>IFERROR(__xludf.DUMMYFUNCTION("""COMPUTED_VALUE"""),"Lazard")</f>
        <v>Lazard</v>
      </c>
      <c r="AA485" s="3">
        <v>3.0</v>
      </c>
      <c r="AB485" s="3">
        <f t="shared" si="7"/>
        <v>1</v>
      </c>
      <c r="AC485" s="3">
        <f t="shared" si="8"/>
        <v>0</v>
      </c>
      <c r="AD485" s="3">
        <f t="shared" si="9"/>
        <v>2.43902439</v>
      </c>
      <c r="AE485" s="3">
        <f t="shared" si="10"/>
        <v>-3</v>
      </c>
      <c r="AF485" s="3">
        <f t="shared" si="11"/>
        <v>-3</v>
      </c>
      <c r="AG485" s="3">
        <f t="shared" si="12"/>
        <v>-0.2</v>
      </c>
    </row>
    <row r="486">
      <c r="A486" s="1" t="s">
        <v>10</v>
      </c>
      <c r="B486" s="1" t="s">
        <v>330</v>
      </c>
      <c r="C486" s="1" t="s">
        <v>21</v>
      </c>
      <c r="D486" s="1" t="s">
        <v>165</v>
      </c>
      <c r="E486" s="1" t="s">
        <v>66</v>
      </c>
      <c r="F486" s="1" t="s">
        <v>551</v>
      </c>
      <c r="G486" s="1">
        <v>1.5</v>
      </c>
      <c r="H486" s="1" t="s">
        <v>60</v>
      </c>
      <c r="I486" s="1">
        <v>105.0</v>
      </c>
      <c r="J486" s="1">
        <v>0.137038869370888</v>
      </c>
      <c r="K486" s="1" t="s">
        <v>61</v>
      </c>
      <c r="L486" s="1" t="s">
        <v>61</v>
      </c>
      <c r="M486" s="1" t="s">
        <v>62</v>
      </c>
      <c r="N486" s="1">
        <v>-136.0</v>
      </c>
      <c r="O486" s="1">
        <v>-0.201095386523825</v>
      </c>
      <c r="P486" s="1" t="s">
        <v>61</v>
      </c>
      <c r="Q486" s="1" t="s">
        <v>61</v>
      </c>
      <c r="R486" s="1">
        <f t="shared" si="1"/>
        <v>0.1370388694</v>
      </c>
      <c r="S486" s="1">
        <f t="shared" si="2"/>
        <v>105</v>
      </c>
      <c r="T486" s="1">
        <f t="shared" si="3"/>
        <v>2.05</v>
      </c>
      <c r="U486" s="1">
        <f t="shared" si="4"/>
        <v>1</v>
      </c>
      <c r="V486" s="3">
        <f t="shared" si="5"/>
        <v>3</v>
      </c>
      <c r="W486" s="3">
        <f t="shared" si="6"/>
        <v>2</v>
      </c>
      <c r="X486" s="3" t="str">
        <f>IFERROR(__xludf.DUMMYFUNCTION("split(B486,"" "")"),"A.")</f>
        <v>A.</v>
      </c>
      <c r="Y486" s="3" t="str">
        <f>IFERROR(__xludf.DUMMYFUNCTION("""COMPUTED_VALUE"""),"Rodgers")</f>
        <v>Rodgers</v>
      </c>
      <c r="AA486" s="3">
        <v>18.0</v>
      </c>
      <c r="AB486" s="3">
        <f t="shared" si="7"/>
        <v>1</v>
      </c>
      <c r="AC486" s="3">
        <f t="shared" si="8"/>
        <v>1</v>
      </c>
      <c r="AD486" s="3">
        <f t="shared" si="9"/>
        <v>3.15</v>
      </c>
      <c r="AE486" s="3">
        <f t="shared" si="10"/>
        <v>3.15</v>
      </c>
      <c r="AF486" s="3">
        <f t="shared" si="11"/>
        <v>2.1</v>
      </c>
      <c r="AG486" s="3">
        <f t="shared" si="12"/>
        <v>11</v>
      </c>
    </row>
    <row r="487">
      <c r="A487" s="1" t="s">
        <v>11</v>
      </c>
      <c r="B487" s="1" t="s">
        <v>291</v>
      </c>
      <c r="C487" s="1" t="s">
        <v>18</v>
      </c>
      <c r="D487" s="1" t="s">
        <v>165</v>
      </c>
      <c r="E487" s="1" t="s">
        <v>66</v>
      </c>
      <c r="F487" s="1" t="s">
        <v>551</v>
      </c>
      <c r="G487" s="1">
        <v>29.5</v>
      </c>
      <c r="H487" s="1" t="s">
        <v>60</v>
      </c>
      <c r="I487" s="1">
        <v>-115.0</v>
      </c>
      <c r="J487" s="1">
        <v>-0.200642543433814</v>
      </c>
      <c r="K487" s="1" t="s">
        <v>61</v>
      </c>
      <c r="L487" s="1" t="s">
        <v>61</v>
      </c>
      <c r="M487" s="1" t="s">
        <v>62</v>
      </c>
      <c r="N487" s="1">
        <v>-113.0</v>
      </c>
      <c r="O487" s="1">
        <v>0.135264722663122</v>
      </c>
      <c r="P487" s="1" t="s">
        <v>61</v>
      </c>
      <c r="Q487" s="1" t="s">
        <v>61</v>
      </c>
      <c r="R487" s="1">
        <f t="shared" si="1"/>
        <v>0.1352647227</v>
      </c>
      <c r="S487" s="1">
        <f t="shared" si="2"/>
        <v>-113</v>
      </c>
      <c r="T487" s="1">
        <f t="shared" si="3"/>
        <v>1.884955752</v>
      </c>
      <c r="U487" s="1">
        <f t="shared" si="4"/>
        <v>0</v>
      </c>
      <c r="V487" s="3">
        <f t="shared" si="5"/>
        <v>3</v>
      </c>
      <c r="W487" s="3">
        <f t="shared" si="6"/>
        <v>2</v>
      </c>
      <c r="X487" s="3" t="str">
        <f>IFERROR(__xludf.DUMMYFUNCTION("split(B487,"" "")"),"A.")</f>
        <v>A.</v>
      </c>
      <c r="Y487" s="3" t="str">
        <f>IFERROR(__xludf.DUMMYFUNCTION("""COMPUTED_VALUE"""),"Lazard")</f>
        <v>Lazard</v>
      </c>
      <c r="AA487" s="3">
        <v>48.0</v>
      </c>
      <c r="AB487" s="3">
        <f t="shared" si="7"/>
        <v>1</v>
      </c>
      <c r="AC487" s="3">
        <f t="shared" si="8"/>
        <v>0</v>
      </c>
      <c r="AD487" s="3">
        <f t="shared" si="9"/>
        <v>2.654867257</v>
      </c>
      <c r="AE487" s="3">
        <f t="shared" si="10"/>
        <v>-3</v>
      </c>
      <c r="AF487" s="3">
        <f t="shared" si="11"/>
        <v>-2</v>
      </c>
      <c r="AG487" s="3">
        <f t="shared" si="12"/>
        <v>-0.6271186441</v>
      </c>
    </row>
    <row r="488">
      <c r="A488" s="1" t="s">
        <v>8</v>
      </c>
      <c r="B488" s="1" t="s">
        <v>554</v>
      </c>
      <c r="C488" s="1" t="s">
        <v>19</v>
      </c>
      <c r="D488" s="1" t="s">
        <v>165</v>
      </c>
      <c r="E488" s="1" t="s">
        <v>66</v>
      </c>
      <c r="F488" s="1" t="s">
        <v>551</v>
      </c>
      <c r="G488" s="1">
        <v>6.5</v>
      </c>
      <c r="H488" s="1" t="s">
        <v>60</v>
      </c>
      <c r="I488" s="1">
        <v>113.0</v>
      </c>
      <c r="J488" s="1">
        <v>-0.202578838102306</v>
      </c>
      <c r="K488" s="1" t="s">
        <v>61</v>
      </c>
      <c r="L488" s="1" t="s">
        <v>61</v>
      </c>
      <c r="M488" s="1" t="s">
        <v>62</v>
      </c>
      <c r="N488" s="1">
        <v>-151.0</v>
      </c>
      <c r="O488" s="1">
        <v>0.131514408556375</v>
      </c>
      <c r="P488" s="1" t="s">
        <v>61</v>
      </c>
      <c r="Q488" s="1" t="s">
        <v>61</v>
      </c>
      <c r="R488" s="1">
        <f t="shared" si="1"/>
        <v>0.1315144086</v>
      </c>
      <c r="S488" s="1">
        <f t="shared" si="2"/>
        <v>-151</v>
      </c>
      <c r="T488" s="1">
        <f t="shared" si="3"/>
        <v>1.662251656</v>
      </c>
      <c r="U488" s="1">
        <f t="shared" si="4"/>
        <v>0</v>
      </c>
      <c r="V488" s="3">
        <f t="shared" si="5"/>
        <v>3</v>
      </c>
      <c r="W488" s="3">
        <f t="shared" si="6"/>
        <v>3</v>
      </c>
      <c r="X488" s="3" t="str">
        <f>IFERROR(__xludf.DUMMYFUNCTION("split(B488,"" "")"),"B.")</f>
        <v>B.</v>
      </c>
      <c r="Y488" s="3" t="str">
        <f>IFERROR(__xludf.DUMMYFUNCTION("""COMPUTED_VALUE"""),"Allen")</f>
        <v>Allen</v>
      </c>
      <c r="AA488" s="3">
        <v>11.0</v>
      </c>
      <c r="AB488" s="3">
        <f t="shared" si="7"/>
        <v>1</v>
      </c>
      <c r="AC488" s="3">
        <f t="shared" si="8"/>
        <v>0</v>
      </c>
      <c r="AD488" s="3">
        <f t="shared" si="9"/>
        <v>1.986754967</v>
      </c>
      <c r="AE488" s="3">
        <f t="shared" si="10"/>
        <v>-3</v>
      </c>
      <c r="AF488" s="3">
        <f t="shared" si="11"/>
        <v>-3</v>
      </c>
      <c r="AG488" s="3">
        <f t="shared" si="12"/>
        <v>-0.6923076923</v>
      </c>
    </row>
    <row r="489">
      <c r="A489" s="1" t="s">
        <v>11</v>
      </c>
      <c r="B489" s="1" t="s">
        <v>503</v>
      </c>
      <c r="C489" s="1" t="s">
        <v>20</v>
      </c>
      <c r="D489" s="1" t="s">
        <v>165</v>
      </c>
      <c r="E489" s="1" t="s">
        <v>66</v>
      </c>
      <c r="F489" s="1" t="s">
        <v>551</v>
      </c>
      <c r="G489" s="1">
        <v>4.5</v>
      </c>
      <c r="H489" s="1" t="s">
        <v>60</v>
      </c>
      <c r="I489" s="1">
        <v>-116.0</v>
      </c>
      <c r="J489" s="1">
        <v>0.12216932362425</v>
      </c>
      <c r="K489" s="1" t="s">
        <v>61</v>
      </c>
      <c r="L489" s="1" t="s">
        <v>61</v>
      </c>
      <c r="M489" s="1" t="s">
        <v>62</v>
      </c>
      <c r="N489" s="1">
        <v>-112.0</v>
      </c>
      <c r="O489" s="1">
        <v>-0.187466805524427</v>
      </c>
      <c r="P489" s="1" t="s">
        <v>61</v>
      </c>
      <c r="Q489" s="1" t="s">
        <v>61</v>
      </c>
      <c r="R489" s="1">
        <f t="shared" si="1"/>
        <v>0.1221693236</v>
      </c>
      <c r="S489" s="1">
        <f t="shared" si="2"/>
        <v>-116</v>
      </c>
      <c r="T489" s="1">
        <f t="shared" si="3"/>
        <v>1.862068966</v>
      </c>
      <c r="U489" s="1">
        <f t="shared" si="4"/>
        <v>1</v>
      </c>
      <c r="V489" s="3">
        <f t="shared" si="5"/>
        <v>3</v>
      </c>
      <c r="W489" s="3">
        <f t="shared" si="6"/>
        <v>2</v>
      </c>
      <c r="X489" s="3" t="str">
        <f>IFERROR(__xludf.DUMMYFUNCTION("split(B489,"" "")"),"J.")</f>
        <v>J.</v>
      </c>
      <c r="Y489" s="3" t="str">
        <f>IFERROR(__xludf.DUMMYFUNCTION("""COMPUTED_VALUE"""),"Ruckert")</f>
        <v>Ruckert</v>
      </c>
      <c r="AA489" s="3">
        <v>15.0</v>
      </c>
      <c r="AB489" s="3">
        <f t="shared" si="7"/>
        <v>1</v>
      </c>
      <c r="AC489" s="3">
        <f t="shared" si="8"/>
        <v>1</v>
      </c>
      <c r="AD489" s="3">
        <f t="shared" si="9"/>
        <v>2.586206897</v>
      </c>
      <c r="AE489" s="3">
        <f t="shared" si="10"/>
        <v>2.586206897</v>
      </c>
      <c r="AF489" s="3">
        <f t="shared" si="11"/>
        <v>1.724137931</v>
      </c>
      <c r="AG489" s="3">
        <f t="shared" si="12"/>
        <v>2.333333333</v>
      </c>
    </row>
    <row r="490">
      <c r="A490" s="1" t="s">
        <v>12</v>
      </c>
      <c r="B490" s="1" t="s">
        <v>554</v>
      </c>
      <c r="C490" s="1" t="s">
        <v>19</v>
      </c>
      <c r="D490" s="1" t="s">
        <v>165</v>
      </c>
      <c r="E490" s="1" t="s">
        <v>66</v>
      </c>
      <c r="F490" s="1" t="s">
        <v>551</v>
      </c>
      <c r="G490" s="1">
        <v>1.5</v>
      </c>
      <c r="H490" s="1" t="s">
        <v>60</v>
      </c>
      <c r="I490" s="1">
        <v>101.0</v>
      </c>
      <c r="J490" s="1">
        <v>-0.179748615448656</v>
      </c>
      <c r="K490" s="1" t="s">
        <v>61</v>
      </c>
      <c r="L490" s="1" t="s">
        <v>61</v>
      </c>
      <c r="M490" s="1" t="s">
        <v>62</v>
      </c>
      <c r="N490" s="1">
        <v>-132.0</v>
      </c>
      <c r="O490" s="1">
        <v>0.113262216843793</v>
      </c>
      <c r="P490" s="1" t="s">
        <v>61</v>
      </c>
      <c r="Q490" s="1" t="s">
        <v>61</v>
      </c>
      <c r="R490" s="1">
        <f t="shared" si="1"/>
        <v>0.1132622168</v>
      </c>
      <c r="S490" s="1">
        <f t="shared" si="2"/>
        <v>-132</v>
      </c>
      <c r="T490" s="1">
        <f t="shared" si="3"/>
        <v>1.757575758</v>
      </c>
      <c r="U490" s="1">
        <f t="shared" si="4"/>
        <v>0</v>
      </c>
      <c r="V490" s="3">
        <f t="shared" si="5"/>
        <v>3</v>
      </c>
      <c r="W490" s="3">
        <f t="shared" si="6"/>
        <v>3</v>
      </c>
      <c r="X490" s="3" t="str">
        <f>IFERROR(__xludf.DUMMYFUNCTION("split(B490,"" "")"),"B.")</f>
        <v>B.</v>
      </c>
      <c r="Y490" s="3" t="str">
        <f>IFERROR(__xludf.DUMMYFUNCTION("""COMPUTED_VALUE"""),"Allen")</f>
        <v>Allen</v>
      </c>
      <c r="AA490" s="3">
        <v>3.0</v>
      </c>
      <c r="AB490" s="3">
        <f t="shared" si="7"/>
        <v>1</v>
      </c>
      <c r="AC490" s="3">
        <f t="shared" si="8"/>
        <v>0</v>
      </c>
      <c r="AD490" s="3">
        <f t="shared" si="9"/>
        <v>2.272727273</v>
      </c>
      <c r="AE490" s="3">
        <f t="shared" si="10"/>
        <v>-3</v>
      </c>
      <c r="AF490" s="3">
        <f t="shared" si="11"/>
        <v>-3</v>
      </c>
      <c r="AG490" s="3">
        <f t="shared" si="12"/>
        <v>-1</v>
      </c>
    </row>
    <row r="491">
      <c r="A491" s="1" t="s">
        <v>12</v>
      </c>
      <c r="B491" s="1" t="s">
        <v>336</v>
      </c>
      <c r="C491" s="1" t="s">
        <v>19</v>
      </c>
      <c r="D491" s="1" t="s">
        <v>165</v>
      </c>
      <c r="E491" s="1" t="s">
        <v>66</v>
      </c>
      <c r="F491" s="1" t="s">
        <v>551</v>
      </c>
      <c r="G491" s="1">
        <v>4.5</v>
      </c>
      <c r="H491" s="1" t="s">
        <v>60</v>
      </c>
      <c r="I491" s="1">
        <v>-115.0</v>
      </c>
      <c r="J491" s="1">
        <v>-0.145737209302325</v>
      </c>
      <c r="K491" s="1" t="s">
        <v>61</v>
      </c>
      <c r="L491" s="1" t="s">
        <v>61</v>
      </c>
      <c r="M491" s="1" t="s">
        <v>62</v>
      </c>
      <c r="N491" s="1">
        <v>-114.0</v>
      </c>
      <c r="O491" s="1">
        <v>0.0781364485981308</v>
      </c>
      <c r="P491" s="1" t="s">
        <v>61</v>
      </c>
      <c r="Q491" s="1" t="s">
        <v>61</v>
      </c>
      <c r="R491" s="1">
        <f t="shared" si="1"/>
        <v>0.0781364486</v>
      </c>
      <c r="S491" s="1">
        <f t="shared" si="2"/>
        <v>-114</v>
      </c>
      <c r="T491" s="1">
        <f t="shared" si="3"/>
        <v>1.877192982</v>
      </c>
      <c r="U491" s="1">
        <f t="shared" si="4"/>
        <v>0</v>
      </c>
      <c r="V491" s="3">
        <f t="shared" si="5"/>
        <v>2</v>
      </c>
      <c r="W491" s="3">
        <f t="shared" si="6"/>
        <v>2</v>
      </c>
      <c r="X491" s="3" t="str">
        <f>IFERROR(__xludf.DUMMYFUNCTION("split(B491,"" "")"),"B.")</f>
        <v>B.</v>
      </c>
      <c r="Y491" s="3" t="str">
        <f>IFERROR(__xludf.DUMMYFUNCTION("""COMPUTED_VALUE"""),"Hall")</f>
        <v>Hall</v>
      </c>
      <c r="AA491" s="3">
        <v>4.0</v>
      </c>
      <c r="AB491" s="3">
        <f t="shared" si="7"/>
        <v>0</v>
      </c>
      <c r="AC491" s="3">
        <f t="shared" si="8"/>
        <v>1</v>
      </c>
      <c r="AD491" s="3">
        <f t="shared" si="9"/>
        <v>1.754385965</v>
      </c>
      <c r="AE491" s="3">
        <f t="shared" si="10"/>
        <v>1.754385965</v>
      </c>
      <c r="AF491" s="3">
        <f t="shared" si="11"/>
        <v>1.754385965</v>
      </c>
      <c r="AG491" s="3">
        <f t="shared" si="12"/>
        <v>0.1111111111</v>
      </c>
    </row>
    <row r="492">
      <c r="A492" s="1" t="s">
        <v>10</v>
      </c>
      <c r="B492" s="1" t="s">
        <v>554</v>
      </c>
      <c r="C492" s="1" t="s">
        <v>19</v>
      </c>
      <c r="D492" s="1" t="s">
        <v>165</v>
      </c>
      <c r="E492" s="1" t="s">
        <v>66</v>
      </c>
      <c r="F492" s="1" t="s">
        <v>551</v>
      </c>
      <c r="G492" s="1">
        <v>24.5</v>
      </c>
      <c r="H492" s="1" t="s">
        <v>60</v>
      </c>
      <c r="I492" s="1">
        <v>-119.0</v>
      </c>
      <c r="J492" s="1">
        <v>-0.138009963525607</v>
      </c>
      <c r="K492" s="1" t="s">
        <v>61</v>
      </c>
      <c r="L492" s="1" t="s">
        <v>61</v>
      </c>
      <c r="M492" s="1" t="s">
        <v>62</v>
      </c>
      <c r="N492" s="1">
        <v>-109.0</v>
      </c>
      <c r="O492" s="1">
        <v>0.0731042698239127</v>
      </c>
      <c r="P492" s="1" t="s">
        <v>61</v>
      </c>
      <c r="Q492" s="1" t="s">
        <v>61</v>
      </c>
      <c r="R492" s="1">
        <f t="shared" si="1"/>
        <v>0.07310426982</v>
      </c>
      <c r="S492" s="1">
        <f t="shared" si="2"/>
        <v>-109</v>
      </c>
      <c r="T492" s="1">
        <f t="shared" si="3"/>
        <v>1.917431193</v>
      </c>
      <c r="U492" s="1">
        <f t="shared" si="4"/>
        <v>0</v>
      </c>
      <c r="V492" s="3">
        <f t="shared" si="5"/>
        <v>2</v>
      </c>
      <c r="W492" s="3">
        <f t="shared" si="6"/>
        <v>2</v>
      </c>
      <c r="X492" s="3" t="str">
        <f>IFERROR(__xludf.DUMMYFUNCTION("split(B492,"" "")"),"B.")</f>
        <v>B.</v>
      </c>
      <c r="Y492" s="3" t="str">
        <f>IFERROR(__xludf.DUMMYFUNCTION("""COMPUTED_VALUE"""),"Allen")</f>
        <v>Allen</v>
      </c>
      <c r="AA492" s="3">
        <v>55.0</v>
      </c>
      <c r="AB492" s="3">
        <f t="shared" si="7"/>
        <v>1</v>
      </c>
      <c r="AC492" s="3">
        <f t="shared" si="8"/>
        <v>0</v>
      </c>
      <c r="AD492" s="3">
        <f t="shared" si="9"/>
        <v>1.834862385</v>
      </c>
      <c r="AE492" s="3">
        <f t="shared" si="10"/>
        <v>-2</v>
      </c>
      <c r="AF492" s="3">
        <f t="shared" si="11"/>
        <v>-2</v>
      </c>
      <c r="AG492" s="3">
        <f t="shared" si="12"/>
        <v>-1.244897959</v>
      </c>
      <c r="AO492" s="4"/>
      <c r="AP492" s="4"/>
      <c r="AQ492" s="4"/>
      <c r="AR492" s="4"/>
    </row>
    <row r="493">
      <c r="A493" s="1" t="s">
        <v>9</v>
      </c>
      <c r="B493" s="1" t="s">
        <v>303</v>
      </c>
      <c r="C493" s="1" t="s">
        <v>18</v>
      </c>
      <c r="D493" s="1" t="s">
        <v>165</v>
      </c>
      <c r="E493" s="1" t="s">
        <v>66</v>
      </c>
      <c r="F493" s="1" t="s">
        <v>551</v>
      </c>
      <c r="G493" s="1">
        <v>28.5</v>
      </c>
      <c r="H493" s="1" t="s">
        <v>60</v>
      </c>
      <c r="I493" s="1">
        <v>-116.0</v>
      </c>
      <c r="J493" s="1">
        <v>0.067275583223018</v>
      </c>
      <c r="K493" s="1" t="s">
        <v>61</v>
      </c>
      <c r="L493" s="1" t="s">
        <v>61</v>
      </c>
      <c r="M493" s="1" t="s">
        <v>62</v>
      </c>
      <c r="N493" s="1">
        <v>-116.0</v>
      </c>
      <c r="O493" s="1">
        <v>-0.141335676538701</v>
      </c>
      <c r="P493" s="1" t="s">
        <v>61</v>
      </c>
      <c r="Q493" s="1" t="s">
        <v>61</v>
      </c>
      <c r="R493" s="1">
        <f t="shared" si="1"/>
        <v>0.06727558322</v>
      </c>
      <c r="S493" s="1">
        <f t="shared" si="2"/>
        <v>-116</v>
      </c>
      <c r="T493" s="1">
        <f t="shared" si="3"/>
        <v>1.862068966</v>
      </c>
      <c r="U493" s="1">
        <f t="shared" si="4"/>
        <v>1</v>
      </c>
      <c r="V493" s="3">
        <f t="shared" si="5"/>
        <v>2</v>
      </c>
      <c r="W493" s="3">
        <f t="shared" si="6"/>
        <v>2</v>
      </c>
      <c r="X493" s="3" t="str">
        <f>IFERROR(__xludf.DUMMYFUNCTION("split(B493,"" "")"),"M.")</f>
        <v>M.</v>
      </c>
      <c r="Y493" s="3" t="str">
        <f>IFERROR(__xludf.DUMMYFUNCTION("""COMPUTED_VALUE"""),"Williams")</f>
        <v>Williams</v>
      </c>
      <c r="AA493" s="3">
        <v>34.0</v>
      </c>
      <c r="AB493" s="3">
        <f t="shared" si="7"/>
        <v>1</v>
      </c>
      <c r="AC493" s="3">
        <f t="shared" si="8"/>
        <v>1</v>
      </c>
      <c r="AD493" s="3">
        <f t="shared" si="9"/>
        <v>1.724137931</v>
      </c>
      <c r="AE493" s="3">
        <f t="shared" si="10"/>
        <v>1.724137931</v>
      </c>
      <c r="AF493" s="3">
        <f t="shared" si="11"/>
        <v>1.724137931</v>
      </c>
      <c r="AG493" s="3">
        <f t="shared" si="12"/>
        <v>0.1929824561</v>
      </c>
      <c r="AO493" s="4"/>
      <c r="AP493" s="4"/>
      <c r="AQ493" s="4"/>
      <c r="AR493" s="4"/>
    </row>
    <row r="494">
      <c r="A494" s="1" t="s">
        <v>11</v>
      </c>
      <c r="B494" s="1" t="s">
        <v>336</v>
      </c>
      <c r="C494" s="1" t="s">
        <v>19</v>
      </c>
      <c r="D494" s="1" t="s">
        <v>165</v>
      </c>
      <c r="E494" s="1" t="s">
        <v>66</v>
      </c>
      <c r="F494" s="1" t="s">
        <v>551</v>
      </c>
      <c r="G494" s="1">
        <v>29.5</v>
      </c>
      <c r="H494" s="1" t="s">
        <v>60</v>
      </c>
      <c r="I494" s="1">
        <v>-135.0</v>
      </c>
      <c r="J494" s="1">
        <v>-0.13189783501817</v>
      </c>
      <c r="K494" s="1" t="s">
        <v>61</v>
      </c>
      <c r="L494" s="1" t="s">
        <v>61</v>
      </c>
      <c r="M494" s="1" t="s">
        <v>62</v>
      </c>
      <c r="N494" s="1">
        <v>104.0</v>
      </c>
      <c r="O494" s="1">
        <v>0.0672672306841666</v>
      </c>
      <c r="P494" s="1" t="s">
        <v>61</v>
      </c>
      <c r="Q494" s="1" t="s">
        <v>61</v>
      </c>
      <c r="R494" s="1">
        <f t="shared" si="1"/>
        <v>0.06726723068</v>
      </c>
      <c r="S494" s="1">
        <f t="shared" si="2"/>
        <v>104</v>
      </c>
      <c r="T494" s="1">
        <f t="shared" si="3"/>
        <v>2.04</v>
      </c>
      <c r="U494" s="1">
        <f t="shared" si="4"/>
        <v>0</v>
      </c>
      <c r="V494" s="3">
        <f t="shared" si="5"/>
        <v>2</v>
      </c>
      <c r="W494" s="3">
        <f t="shared" si="6"/>
        <v>2</v>
      </c>
      <c r="X494" s="3" t="str">
        <f>IFERROR(__xludf.DUMMYFUNCTION("split(B494,"" "")"),"B.")</f>
        <v>B.</v>
      </c>
      <c r="Y494" s="3" t="str">
        <f>IFERROR(__xludf.DUMMYFUNCTION("""COMPUTED_VALUE"""),"Hall")</f>
        <v>Hall</v>
      </c>
      <c r="AA494" s="3">
        <v>29.0</v>
      </c>
      <c r="AB494" s="3">
        <f t="shared" si="7"/>
        <v>0</v>
      </c>
      <c r="AC494" s="3">
        <f t="shared" si="8"/>
        <v>1</v>
      </c>
      <c r="AD494" s="3">
        <f t="shared" si="9"/>
        <v>2.08</v>
      </c>
      <c r="AE494" s="3">
        <f t="shared" si="10"/>
        <v>2.08</v>
      </c>
      <c r="AF494" s="3">
        <f t="shared" si="11"/>
        <v>2.08</v>
      </c>
      <c r="AG494" s="3">
        <f t="shared" si="12"/>
        <v>0.01694915254</v>
      </c>
      <c r="AO494" s="4"/>
      <c r="AP494" s="4"/>
      <c r="AQ494" s="4"/>
      <c r="AR494" s="4"/>
    </row>
    <row r="495">
      <c r="A495" s="1" t="s">
        <v>12</v>
      </c>
      <c r="B495" s="1" t="s">
        <v>305</v>
      </c>
      <c r="C495" s="1" t="s">
        <v>20</v>
      </c>
      <c r="D495" s="1" t="s">
        <v>165</v>
      </c>
      <c r="E495" s="1" t="s">
        <v>66</v>
      </c>
      <c r="F495" s="1" t="s">
        <v>551</v>
      </c>
      <c r="G495" s="1">
        <v>2.5</v>
      </c>
      <c r="H495" s="1" t="s">
        <v>60</v>
      </c>
      <c r="I495" s="1">
        <v>106.0</v>
      </c>
      <c r="J495" s="1">
        <v>-0.121783087037864</v>
      </c>
      <c r="K495" s="1" t="s">
        <v>61</v>
      </c>
      <c r="L495" s="1" t="s">
        <v>61</v>
      </c>
      <c r="M495" s="1" t="s">
        <v>62</v>
      </c>
      <c r="N495" s="1">
        <v>-139.0</v>
      </c>
      <c r="O495" s="1">
        <v>0.0547492268983262</v>
      </c>
      <c r="P495" s="1" t="s">
        <v>61</v>
      </c>
      <c r="Q495" s="1" t="s">
        <v>61</v>
      </c>
      <c r="R495" s="1">
        <f t="shared" si="1"/>
        <v>0.0547492269</v>
      </c>
      <c r="S495" s="1">
        <f t="shared" si="2"/>
        <v>-139</v>
      </c>
      <c r="T495" s="1">
        <f t="shared" si="3"/>
        <v>1.71942446</v>
      </c>
      <c r="U495" s="1">
        <f t="shared" si="4"/>
        <v>0</v>
      </c>
      <c r="V495" s="3">
        <f t="shared" si="5"/>
        <v>2</v>
      </c>
      <c r="W495" s="3">
        <f t="shared" si="6"/>
        <v>3</v>
      </c>
      <c r="X495" s="3" t="str">
        <f>IFERROR(__xludf.DUMMYFUNCTION("split(B495,"" "")"),"T.")</f>
        <v>T.</v>
      </c>
      <c r="Y495" s="3" t="str">
        <f>IFERROR(__xludf.DUMMYFUNCTION("""COMPUTED_VALUE"""),"Conklin")</f>
        <v>Conklin</v>
      </c>
      <c r="AA495" s="3">
        <v>5.0</v>
      </c>
      <c r="AB495" s="3">
        <f t="shared" si="7"/>
        <v>1</v>
      </c>
      <c r="AC495" s="3">
        <f t="shared" si="8"/>
        <v>0</v>
      </c>
      <c r="AD495" s="3">
        <f t="shared" si="9"/>
        <v>1.438848921</v>
      </c>
      <c r="AE495" s="3">
        <f t="shared" si="10"/>
        <v>-2</v>
      </c>
      <c r="AF495" s="3">
        <f t="shared" si="11"/>
        <v>-3</v>
      </c>
      <c r="AG495" s="3">
        <f t="shared" si="12"/>
        <v>-1</v>
      </c>
      <c r="AO495" s="4"/>
      <c r="AP495" s="4"/>
      <c r="AQ495" s="4"/>
      <c r="AR495" s="4"/>
    </row>
    <row r="496">
      <c r="A496" s="1" t="s">
        <v>11</v>
      </c>
      <c r="B496" s="1" t="s">
        <v>554</v>
      </c>
      <c r="C496" s="1" t="s">
        <v>19</v>
      </c>
      <c r="D496" s="1" t="s">
        <v>165</v>
      </c>
      <c r="E496" s="1" t="s">
        <v>66</v>
      </c>
      <c r="F496" s="1" t="s">
        <v>551</v>
      </c>
      <c r="G496" s="1">
        <v>8.5</v>
      </c>
      <c r="H496" s="1" t="s">
        <v>60</v>
      </c>
      <c r="I496" s="1">
        <v>-113.0</v>
      </c>
      <c r="J496" s="1">
        <v>0.023880338721516</v>
      </c>
      <c r="K496" s="1" t="s">
        <v>61</v>
      </c>
      <c r="L496" s="1" t="s">
        <v>61</v>
      </c>
      <c r="M496" s="1" t="s">
        <v>62</v>
      </c>
      <c r="N496" s="1">
        <v>-115.0</v>
      </c>
      <c r="O496" s="1">
        <v>-0.0892521812550481</v>
      </c>
      <c r="P496" s="1" t="s">
        <v>61</v>
      </c>
      <c r="Q496" s="1" t="s">
        <v>61</v>
      </c>
      <c r="R496" s="1">
        <f t="shared" si="1"/>
        <v>0.02388033872</v>
      </c>
      <c r="S496" s="1">
        <f t="shared" si="2"/>
        <v>-113</v>
      </c>
      <c r="T496" s="1">
        <f t="shared" si="3"/>
        <v>1.884955752</v>
      </c>
      <c r="U496" s="1">
        <f t="shared" si="4"/>
        <v>1</v>
      </c>
      <c r="V496" s="3">
        <f t="shared" si="5"/>
        <v>1</v>
      </c>
      <c r="W496" s="3">
        <f t="shared" si="6"/>
        <v>2</v>
      </c>
      <c r="X496" s="3" t="str">
        <f>IFERROR(__xludf.DUMMYFUNCTION("split(B496,"" "")"),"B.")</f>
        <v>B.</v>
      </c>
      <c r="Y496" s="3" t="str">
        <f>IFERROR(__xludf.DUMMYFUNCTION("""COMPUTED_VALUE"""),"Allen")</f>
        <v>Allen</v>
      </c>
      <c r="AA496" s="3">
        <v>13.0</v>
      </c>
      <c r="AB496" s="3">
        <f t="shared" si="7"/>
        <v>1</v>
      </c>
      <c r="AC496" s="3">
        <f t="shared" si="8"/>
        <v>1</v>
      </c>
      <c r="AD496" s="3">
        <f t="shared" si="9"/>
        <v>0.8849557522</v>
      </c>
      <c r="AE496" s="3">
        <f t="shared" si="10"/>
        <v>0.8849557522</v>
      </c>
      <c r="AF496" s="3">
        <f t="shared" si="11"/>
        <v>1.769911504</v>
      </c>
      <c r="AG496" s="3">
        <f t="shared" si="12"/>
        <v>0.5294117647</v>
      </c>
    </row>
    <row r="497">
      <c r="A497" s="1" t="s">
        <v>12</v>
      </c>
      <c r="B497" s="1" t="s">
        <v>503</v>
      </c>
      <c r="C497" s="1" t="s">
        <v>20</v>
      </c>
      <c r="D497" s="1" t="s">
        <v>165</v>
      </c>
      <c r="E497" s="1" t="s">
        <v>66</v>
      </c>
      <c r="F497" s="1" t="s">
        <v>551</v>
      </c>
      <c r="G497" s="1">
        <v>0.5</v>
      </c>
      <c r="H497" s="1" t="s">
        <v>60</v>
      </c>
      <c r="I497" s="1">
        <v>-171.0</v>
      </c>
      <c r="J497" s="1">
        <v>-0.0806308089911439</v>
      </c>
      <c r="K497" s="1" t="s">
        <v>61</v>
      </c>
      <c r="L497" s="1" t="s">
        <v>61</v>
      </c>
      <c r="M497" s="1" t="s">
        <v>62</v>
      </c>
      <c r="N497" s="1">
        <v>129.0</v>
      </c>
      <c r="O497" s="1">
        <v>0.012959603653275</v>
      </c>
      <c r="P497" s="1" t="s">
        <v>61</v>
      </c>
      <c r="Q497" s="1" t="s">
        <v>61</v>
      </c>
      <c r="R497" s="1">
        <f t="shared" si="1"/>
        <v>0.01295960365</v>
      </c>
      <c r="S497" s="1">
        <f t="shared" si="2"/>
        <v>129</v>
      </c>
      <c r="T497" s="1">
        <f t="shared" si="3"/>
        <v>2.29</v>
      </c>
      <c r="U497" s="1">
        <f t="shared" si="4"/>
        <v>0</v>
      </c>
      <c r="V497" s="3">
        <f t="shared" si="5"/>
        <v>1</v>
      </c>
      <c r="W497" s="3">
        <f t="shared" si="6"/>
        <v>1</v>
      </c>
      <c r="X497" s="3" t="str">
        <f>IFERROR(__xludf.DUMMYFUNCTION("split(B497,"" "")"),"J.")</f>
        <v>J.</v>
      </c>
      <c r="Y497" s="3" t="str">
        <f>IFERROR(__xludf.DUMMYFUNCTION("""COMPUTED_VALUE"""),"Ruckert")</f>
        <v>Ruckert</v>
      </c>
      <c r="AA497" s="3">
        <v>2.0</v>
      </c>
      <c r="AB497" s="3">
        <f t="shared" si="7"/>
        <v>1</v>
      </c>
      <c r="AC497" s="3">
        <f t="shared" si="8"/>
        <v>0</v>
      </c>
      <c r="AD497" s="3">
        <f t="shared" si="9"/>
        <v>1.29</v>
      </c>
      <c r="AE497" s="3">
        <f t="shared" si="10"/>
        <v>-1</v>
      </c>
      <c r="AF497" s="3">
        <f t="shared" si="11"/>
        <v>-1</v>
      </c>
      <c r="AG497" s="3">
        <f t="shared" si="12"/>
        <v>-3</v>
      </c>
    </row>
    <row r="498">
      <c r="A498" s="1" t="s">
        <v>16</v>
      </c>
      <c r="B498" s="1" t="s">
        <v>330</v>
      </c>
      <c r="C498" s="1" t="s">
        <v>21</v>
      </c>
      <c r="D498" s="1" t="s">
        <v>165</v>
      </c>
      <c r="E498" s="1" t="s">
        <v>66</v>
      </c>
      <c r="F498" s="1" t="s">
        <v>551</v>
      </c>
      <c r="G498" s="1">
        <v>30.5</v>
      </c>
      <c r="H498" s="1" t="s">
        <v>60</v>
      </c>
      <c r="I498" s="1">
        <v>-122.0</v>
      </c>
      <c r="J498" s="1">
        <v>-0.0760555163063061</v>
      </c>
      <c r="K498" s="1" t="s">
        <v>61</v>
      </c>
      <c r="L498" s="1" t="s">
        <v>61</v>
      </c>
      <c r="M498" s="1" t="s">
        <v>62</v>
      </c>
      <c r="N498" s="1">
        <v>-108.0</v>
      </c>
      <c r="O498" s="1">
        <v>0.00726083937307697</v>
      </c>
      <c r="P498" s="1" t="s">
        <v>61</v>
      </c>
      <c r="Q498" s="1" t="s">
        <v>61</v>
      </c>
      <c r="R498" s="1">
        <f t="shared" si="1"/>
        <v>0.007260839373</v>
      </c>
      <c r="S498" s="1">
        <f t="shared" si="2"/>
        <v>-108</v>
      </c>
      <c r="T498" s="1">
        <f t="shared" si="3"/>
        <v>1.925925926</v>
      </c>
      <c r="U498" s="1">
        <f t="shared" si="4"/>
        <v>0</v>
      </c>
      <c r="V498" s="3">
        <f t="shared" si="5"/>
        <v>1</v>
      </c>
      <c r="W498" s="3">
        <f t="shared" si="6"/>
        <v>2</v>
      </c>
      <c r="X498" s="3" t="str">
        <f>IFERROR(__xludf.DUMMYFUNCTION("split(B498,"" "")"),"A.")</f>
        <v>A.</v>
      </c>
      <c r="Y498" s="3" t="str">
        <f>IFERROR(__xludf.DUMMYFUNCTION("""COMPUTED_VALUE"""),"Rodgers")</f>
        <v>Rodgers</v>
      </c>
      <c r="AA498" s="3">
        <v>35.0</v>
      </c>
      <c r="AB498" s="3">
        <f t="shared" si="7"/>
        <v>1</v>
      </c>
      <c r="AC498" s="3">
        <f t="shared" si="8"/>
        <v>0</v>
      </c>
      <c r="AD498" s="3">
        <f t="shared" si="9"/>
        <v>0.9259259259</v>
      </c>
      <c r="AE498" s="3">
        <f t="shared" si="10"/>
        <v>-1</v>
      </c>
      <c r="AF498" s="3">
        <f t="shared" si="11"/>
        <v>-2</v>
      </c>
      <c r="AG498" s="3">
        <f t="shared" si="12"/>
        <v>-0.1475409836</v>
      </c>
    </row>
    <row r="499">
      <c r="A499" s="1" t="s">
        <v>9</v>
      </c>
      <c r="B499" s="1" t="s">
        <v>336</v>
      </c>
      <c r="C499" s="1" t="s">
        <v>19</v>
      </c>
      <c r="D499" s="1" t="s">
        <v>165</v>
      </c>
      <c r="E499" s="1" t="s">
        <v>66</v>
      </c>
      <c r="F499" s="1" t="s">
        <v>551</v>
      </c>
      <c r="G499" s="1">
        <v>95.5</v>
      </c>
      <c r="H499" s="1" t="s">
        <v>60</v>
      </c>
      <c r="I499" s="1">
        <v>-124.0</v>
      </c>
      <c r="J499" s="1">
        <v>-0.0774942473335188</v>
      </c>
      <c r="K499" s="1" t="s">
        <v>61</v>
      </c>
      <c r="L499" s="1" t="s">
        <v>61</v>
      </c>
      <c r="M499" s="1" t="s">
        <v>62</v>
      </c>
      <c r="N499" s="1">
        <v>-110.0</v>
      </c>
      <c r="O499" s="1">
        <v>1.51562352662004E-4</v>
      </c>
      <c r="P499" s="1" t="s">
        <v>61</v>
      </c>
      <c r="Q499" s="1" t="s">
        <v>61</v>
      </c>
      <c r="R499" s="1">
        <f t="shared" si="1"/>
        <v>0.0001515623527</v>
      </c>
      <c r="S499" s="1">
        <f t="shared" si="2"/>
        <v>-110</v>
      </c>
      <c r="T499" s="1">
        <f t="shared" si="3"/>
        <v>1.909090909</v>
      </c>
      <c r="U499" s="1">
        <f t="shared" si="4"/>
        <v>0</v>
      </c>
      <c r="V499" s="3">
        <f t="shared" si="5"/>
        <v>1</v>
      </c>
      <c r="W499" s="3">
        <f t="shared" si="6"/>
        <v>2</v>
      </c>
      <c r="X499" s="3" t="str">
        <f>IFERROR(__xludf.DUMMYFUNCTION("split(B499,"" "")"),"B.")</f>
        <v>B.</v>
      </c>
      <c r="Y499" s="3" t="str">
        <f>IFERROR(__xludf.DUMMYFUNCTION("""COMPUTED_VALUE"""),"Hall")</f>
        <v>Hall</v>
      </c>
      <c r="AA499" s="3">
        <v>83.0</v>
      </c>
      <c r="AB499" s="3">
        <f t="shared" si="7"/>
        <v>0</v>
      </c>
      <c r="AC499" s="3">
        <f t="shared" si="8"/>
        <v>1</v>
      </c>
      <c r="AD499" s="3">
        <f t="shared" si="9"/>
        <v>0.9090909091</v>
      </c>
      <c r="AE499" s="3">
        <f t="shared" si="10"/>
        <v>0.9090909091</v>
      </c>
      <c r="AF499" s="3">
        <f t="shared" si="11"/>
        <v>1.818181818</v>
      </c>
      <c r="AG499" s="3">
        <f t="shared" si="12"/>
        <v>0.1308900524</v>
      </c>
    </row>
    <row r="500">
      <c r="A500" s="1" t="s">
        <v>8</v>
      </c>
      <c r="B500" s="1" t="s">
        <v>338</v>
      </c>
      <c r="C500" s="1" t="s">
        <v>21</v>
      </c>
      <c r="D500" s="1" t="s">
        <v>156</v>
      </c>
      <c r="E500" s="1" t="s">
        <v>58</v>
      </c>
      <c r="F500" s="1" t="s">
        <v>525</v>
      </c>
      <c r="G500" s="1">
        <v>9.5</v>
      </c>
      <c r="H500" s="1" t="s">
        <v>60</v>
      </c>
      <c r="I500" s="1">
        <v>-143.0</v>
      </c>
      <c r="J500" s="1">
        <v>-0.240192670638814</v>
      </c>
      <c r="K500" s="1" t="s">
        <v>61</v>
      </c>
      <c r="L500" s="1" t="s">
        <v>61</v>
      </c>
      <c r="M500" s="1" t="s">
        <v>62</v>
      </c>
      <c r="N500" s="1">
        <v>108.0</v>
      </c>
      <c r="O500" s="1">
        <v>0.17093182194823</v>
      </c>
      <c r="P500" s="1" t="s">
        <v>61</v>
      </c>
      <c r="Q500" s="1" t="s">
        <v>61</v>
      </c>
      <c r="R500" s="1">
        <f t="shared" si="1"/>
        <v>0.1709318219</v>
      </c>
      <c r="S500" s="1">
        <f t="shared" si="2"/>
        <v>108</v>
      </c>
      <c r="T500" s="1">
        <f t="shared" si="3"/>
        <v>2.08</v>
      </c>
      <c r="U500" s="1">
        <f t="shared" si="4"/>
        <v>0</v>
      </c>
      <c r="V500" s="3">
        <f t="shared" si="5"/>
        <v>3</v>
      </c>
      <c r="W500" s="3">
        <f t="shared" si="6"/>
        <v>2</v>
      </c>
      <c r="X500" s="3" t="str">
        <f>IFERROR(__xludf.DUMMYFUNCTION("split(B500,"" "")"),"J.")</f>
        <v>J.</v>
      </c>
      <c r="Y500" s="3" t="str">
        <f>IFERROR(__xludf.DUMMYFUNCTION("""COMPUTED_VALUE"""),"Hurts")</f>
        <v>Hurts</v>
      </c>
      <c r="AA500" s="3">
        <v>8.0</v>
      </c>
      <c r="AB500" s="3">
        <f t="shared" si="7"/>
        <v>0</v>
      </c>
      <c r="AC500" s="3">
        <f t="shared" si="8"/>
        <v>1</v>
      </c>
      <c r="AD500" s="3">
        <f t="shared" si="9"/>
        <v>3.24</v>
      </c>
      <c r="AE500" s="3">
        <f t="shared" si="10"/>
        <v>3.24</v>
      </c>
      <c r="AF500" s="3">
        <f t="shared" si="11"/>
        <v>2.16</v>
      </c>
      <c r="AG500" s="3">
        <f t="shared" si="12"/>
        <v>0.1578947368</v>
      </c>
    </row>
    <row r="501">
      <c r="A501" s="1" t="s">
        <v>9</v>
      </c>
      <c r="B501" s="1" t="s">
        <v>210</v>
      </c>
      <c r="C501" s="1" t="s">
        <v>18</v>
      </c>
      <c r="D501" s="1" t="s">
        <v>156</v>
      </c>
      <c r="E501" s="1" t="s">
        <v>58</v>
      </c>
      <c r="F501" s="1" t="s">
        <v>525</v>
      </c>
      <c r="G501" s="1">
        <v>21.5</v>
      </c>
      <c r="H501" s="1" t="s">
        <v>60</v>
      </c>
      <c r="I501" s="1">
        <v>-117.0</v>
      </c>
      <c r="J501" s="1">
        <v>0.125723661029192</v>
      </c>
      <c r="K501" s="1" t="s">
        <v>61</v>
      </c>
      <c r="L501" s="1" t="s">
        <v>61</v>
      </c>
      <c r="M501" s="1" t="s">
        <v>62</v>
      </c>
      <c r="N501" s="1">
        <v>-116.0</v>
      </c>
      <c r="O501" s="1">
        <v>-0.201847555343834</v>
      </c>
      <c r="P501" s="1" t="s">
        <v>61</v>
      </c>
      <c r="Q501" s="1" t="s">
        <v>61</v>
      </c>
      <c r="R501" s="1">
        <f t="shared" si="1"/>
        <v>0.125723661</v>
      </c>
      <c r="S501" s="1">
        <f t="shared" si="2"/>
        <v>-117</v>
      </c>
      <c r="T501" s="1">
        <f t="shared" si="3"/>
        <v>1.854700855</v>
      </c>
      <c r="U501" s="1">
        <f t="shared" si="4"/>
        <v>1</v>
      </c>
      <c r="V501" s="3">
        <f t="shared" si="5"/>
        <v>3</v>
      </c>
      <c r="W501" s="3">
        <f t="shared" si="6"/>
        <v>2</v>
      </c>
      <c r="X501" s="3" t="str">
        <f>IFERROR(__xludf.DUMMYFUNCTION("split(B501,"" "")"),"J.")</f>
        <v>J.</v>
      </c>
      <c r="Y501" s="3" t="str">
        <f>IFERROR(__xludf.DUMMYFUNCTION("""COMPUTED_VALUE"""),"Dotson")</f>
        <v>Dotson</v>
      </c>
      <c r="AA501" s="3">
        <v>8.0</v>
      </c>
      <c r="AB501" s="3">
        <f t="shared" si="7"/>
        <v>0</v>
      </c>
      <c r="AC501" s="3">
        <f t="shared" si="8"/>
        <v>0</v>
      </c>
      <c r="AD501" s="3">
        <f t="shared" si="9"/>
        <v>2.564102564</v>
      </c>
      <c r="AE501" s="3">
        <f t="shared" si="10"/>
        <v>-3</v>
      </c>
      <c r="AF501" s="3">
        <f t="shared" si="11"/>
        <v>-2</v>
      </c>
      <c r="AG501" s="3">
        <f t="shared" si="12"/>
        <v>-0.6279069767</v>
      </c>
    </row>
    <row r="502">
      <c r="A502" s="1" t="s">
        <v>10</v>
      </c>
      <c r="B502" s="1" t="s">
        <v>155</v>
      </c>
      <c r="C502" s="1" t="s">
        <v>19</v>
      </c>
      <c r="D502" s="1" t="s">
        <v>156</v>
      </c>
      <c r="E502" s="1" t="s">
        <v>58</v>
      </c>
      <c r="F502" s="1" t="s">
        <v>525</v>
      </c>
      <c r="G502" s="1">
        <v>72.5</v>
      </c>
      <c r="H502" s="1" t="s">
        <v>60</v>
      </c>
      <c r="I502" s="1">
        <v>-110.0</v>
      </c>
      <c r="J502" s="1">
        <v>-0.113873240932026</v>
      </c>
      <c r="K502" s="1" t="s">
        <v>61</v>
      </c>
      <c r="L502" s="1" t="s">
        <v>61</v>
      </c>
      <c r="M502" s="1" t="s">
        <v>62</v>
      </c>
      <c r="N502" s="1">
        <v>-114.0</v>
      </c>
      <c r="O502" s="1">
        <v>0.0573125167706665</v>
      </c>
      <c r="P502" s="1" t="s">
        <v>61</v>
      </c>
      <c r="Q502" s="1" t="s">
        <v>61</v>
      </c>
      <c r="R502" s="1">
        <f t="shared" si="1"/>
        <v>0.05731251677</v>
      </c>
      <c r="S502" s="1">
        <f t="shared" si="2"/>
        <v>-114</v>
      </c>
      <c r="T502" s="1">
        <f t="shared" si="3"/>
        <v>1.877192982</v>
      </c>
      <c r="U502" s="1">
        <f t="shared" si="4"/>
        <v>0</v>
      </c>
      <c r="V502" s="3">
        <f t="shared" si="5"/>
        <v>2</v>
      </c>
      <c r="W502" s="3">
        <f t="shared" si="6"/>
        <v>2</v>
      </c>
      <c r="X502" s="3" t="str">
        <f>IFERROR(__xludf.DUMMYFUNCTION("split(B502,"" "")"),"S.")</f>
        <v>S.</v>
      </c>
      <c r="Y502" s="3" t="str">
        <f>IFERROR(__xludf.DUMMYFUNCTION("""COMPUTED_VALUE"""),"Barkley")</f>
        <v>Barkley</v>
      </c>
      <c r="AA502" s="3">
        <v>147.0</v>
      </c>
      <c r="AB502" s="3">
        <f t="shared" si="7"/>
        <v>1</v>
      </c>
      <c r="AC502" s="3">
        <f t="shared" si="8"/>
        <v>0</v>
      </c>
      <c r="AD502" s="3">
        <f t="shared" si="9"/>
        <v>1.754385965</v>
      </c>
      <c r="AE502" s="3">
        <f t="shared" si="10"/>
        <v>-2</v>
      </c>
      <c r="AF502" s="3">
        <f t="shared" si="11"/>
        <v>-2</v>
      </c>
      <c r="AG502" s="3">
        <f t="shared" si="12"/>
        <v>-1.027586207</v>
      </c>
    </row>
    <row r="503">
      <c r="A503" s="1" t="s">
        <v>9</v>
      </c>
      <c r="B503" s="1" t="s">
        <v>155</v>
      </c>
      <c r="C503" s="1" t="s">
        <v>19</v>
      </c>
      <c r="D503" s="1" t="s">
        <v>156</v>
      </c>
      <c r="E503" s="1" t="s">
        <v>58</v>
      </c>
      <c r="F503" s="1" t="s">
        <v>525</v>
      </c>
      <c r="G503" s="1">
        <v>98.5</v>
      </c>
      <c r="H503" s="1" t="s">
        <v>60</v>
      </c>
      <c r="I503" s="1">
        <v>-114.0</v>
      </c>
      <c r="J503" s="1">
        <v>-0.130215637804554</v>
      </c>
      <c r="K503" s="1" t="s">
        <v>61</v>
      </c>
      <c r="L503" s="1" t="s">
        <v>61</v>
      </c>
      <c r="M503" s="1" t="s">
        <v>62</v>
      </c>
      <c r="N503" s="1">
        <v>-119.0</v>
      </c>
      <c r="O503" s="1">
        <v>0.0540940720347664</v>
      </c>
      <c r="P503" s="1" t="s">
        <v>61</v>
      </c>
      <c r="Q503" s="1" t="s">
        <v>61</v>
      </c>
      <c r="R503" s="1">
        <f t="shared" si="1"/>
        <v>0.05409407203</v>
      </c>
      <c r="S503" s="1">
        <f t="shared" si="2"/>
        <v>-119</v>
      </c>
      <c r="T503" s="1">
        <f t="shared" si="3"/>
        <v>1.840336134</v>
      </c>
      <c r="U503" s="1">
        <f t="shared" si="4"/>
        <v>0</v>
      </c>
      <c r="V503" s="3">
        <f t="shared" si="5"/>
        <v>2</v>
      </c>
      <c r="W503" s="3">
        <f t="shared" si="6"/>
        <v>3</v>
      </c>
      <c r="X503" s="3" t="str">
        <f>IFERROR(__xludf.DUMMYFUNCTION("split(B503,"" "")"),"S.")</f>
        <v>S.</v>
      </c>
      <c r="Y503" s="3" t="str">
        <f>IFERROR(__xludf.DUMMYFUNCTION("""COMPUTED_VALUE"""),"Barkley")</f>
        <v>Barkley</v>
      </c>
      <c r="AA503" s="3">
        <v>156.0</v>
      </c>
      <c r="AB503" s="3">
        <f t="shared" si="7"/>
        <v>1</v>
      </c>
      <c r="AC503" s="3">
        <f t="shared" si="8"/>
        <v>0</v>
      </c>
      <c r="AD503" s="3">
        <f t="shared" si="9"/>
        <v>1.680672269</v>
      </c>
      <c r="AE503" s="3">
        <f t="shared" si="10"/>
        <v>-2</v>
      </c>
      <c r="AF503" s="3">
        <f t="shared" si="11"/>
        <v>-3</v>
      </c>
      <c r="AG503" s="3">
        <f t="shared" si="12"/>
        <v>-0.5837563452</v>
      </c>
    </row>
    <row r="504">
      <c r="A504" s="1" t="s">
        <v>14</v>
      </c>
      <c r="B504" s="1" t="s">
        <v>338</v>
      </c>
      <c r="C504" s="1" t="s">
        <v>21</v>
      </c>
      <c r="D504" s="1" t="s">
        <v>156</v>
      </c>
      <c r="E504" s="1" t="s">
        <v>58</v>
      </c>
      <c r="F504" s="1" t="s">
        <v>525</v>
      </c>
      <c r="G504" s="1">
        <v>1.5</v>
      </c>
      <c r="H504" s="1" t="s">
        <v>60</v>
      </c>
      <c r="I504" s="1">
        <v>145.0</v>
      </c>
      <c r="J504" s="1">
        <v>0.0272959183673469</v>
      </c>
      <c r="K504" s="1" t="s">
        <v>61</v>
      </c>
      <c r="L504" s="1" t="s">
        <v>61</v>
      </c>
      <c r="M504" s="1" t="s">
        <v>62</v>
      </c>
      <c r="N504" s="1">
        <v>-189.0</v>
      </c>
      <c r="O504" s="1">
        <v>-0.0894446366782006</v>
      </c>
      <c r="P504" s="1" t="s">
        <v>61</v>
      </c>
      <c r="Q504" s="1" t="s">
        <v>61</v>
      </c>
      <c r="R504" s="1">
        <f t="shared" si="1"/>
        <v>0.02729591837</v>
      </c>
      <c r="S504" s="1">
        <f t="shared" si="2"/>
        <v>145</v>
      </c>
      <c r="T504" s="1">
        <f t="shared" si="3"/>
        <v>2.45</v>
      </c>
      <c r="U504" s="1">
        <f t="shared" si="4"/>
        <v>1</v>
      </c>
      <c r="V504" s="3">
        <f t="shared" si="5"/>
        <v>1</v>
      </c>
      <c r="W504" s="3">
        <f t="shared" si="6"/>
        <v>1</v>
      </c>
      <c r="X504" s="3" t="str">
        <f>IFERROR(__xludf.DUMMYFUNCTION("split(B504,"" "")"),"J.")</f>
        <v>J.</v>
      </c>
      <c r="Y504" s="3" t="str">
        <f>IFERROR(__xludf.DUMMYFUNCTION("""COMPUTED_VALUE"""),"Hurts")</f>
        <v>Hurts</v>
      </c>
      <c r="AA504" s="3">
        <v>0.0</v>
      </c>
      <c r="AB504" s="3">
        <f t="shared" si="7"/>
        <v>0</v>
      </c>
      <c r="AC504" s="3">
        <f t="shared" si="8"/>
        <v>0</v>
      </c>
      <c r="AD504" s="3">
        <f t="shared" si="9"/>
        <v>1.45</v>
      </c>
      <c r="AE504" s="3">
        <f t="shared" si="10"/>
        <v>-1</v>
      </c>
      <c r="AF504" s="3">
        <f t="shared" si="11"/>
        <v>-1</v>
      </c>
      <c r="AG504" s="3">
        <f t="shared" si="12"/>
        <v>-1</v>
      </c>
    </row>
    <row r="505">
      <c r="A505" s="1" t="s">
        <v>12</v>
      </c>
      <c r="B505" s="1" t="s">
        <v>507</v>
      </c>
      <c r="C505" s="1" t="s">
        <v>18</v>
      </c>
      <c r="D505" s="1" t="s">
        <v>156</v>
      </c>
      <c r="E505" s="1" t="s">
        <v>58</v>
      </c>
      <c r="F505" s="1" t="s">
        <v>525</v>
      </c>
      <c r="G505" s="1">
        <v>5.5</v>
      </c>
      <c r="H505" s="1" t="s">
        <v>60</v>
      </c>
      <c r="I505" s="1">
        <v>-146.0</v>
      </c>
      <c r="J505" s="1">
        <v>0.0235447154471544</v>
      </c>
      <c r="K505" s="1" t="s">
        <v>61</v>
      </c>
      <c r="L505" s="1" t="s">
        <v>61</v>
      </c>
      <c r="M505" s="1" t="s">
        <v>62</v>
      </c>
      <c r="N505" s="1">
        <v>112.0</v>
      </c>
      <c r="O505" s="1">
        <v>-0.0887452830188679</v>
      </c>
      <c r="P505" s="1" t="s">
        <v>61</v>
      </c>
      <c r="Q505" s="1" t="s">
        <v>61</v>
      </c>
      <c r="R505" s="1">
        <f t="shared" si="1"/>
        <v>0.02354471545</v>
      </c>
      <c r="S505" s="1">
        <f t="shared" si="2"/>
        <v>-146</v>
      </c>
      <c r="T505" s="1">
        <f t="shared" si="3"/>
        <v>1.684931507</v>
      </c>
      <c r="U505" s="1">
        <f t="shared" si="4"/>
        <v>1</v>
      </c>
      <c r="V505" s="3">
        <f t="shared" si="5"/>
        <v>1</v>
      </c>
      <c r="W505" s="3">
        <f t="shared" si="6"/>
        <v>3</v>
      </c>
      <c r="X505" s="3" t="str">
        <f>IFERROR(__xludf.DUMMYFUNCTION("split(B505,"" "")"),"D.")</f>
        <v>D.</v>
      </c>
      <c r="Y505" s="3" t="str">
        <f>IFERROR(__xludf.DUMMYFUNCTION("""COMPUTED_VALUE"""),"Smith")</f>
        <v>Smith</v>
      </c>
      <c r="AA505" s="3">
        <v>7.0</v>
      </c>
      <c r="AB505" s="3">
        <f t="shared" si="7"/>
        <v>1</v>
      </c>
      <c r="AC505" s="3">
        <f t="shared" si="8"/>
        <v>1</v>
      </c>
      <c r="AD505" s="3">
        <f t="shared" si="9"/>
        <v>0.6849315068</v>
      </c>
      <c r="AE505" s="3">
        <f t="shared" si="10"/>
        <v>0.6849315068</v>
      </c>
      <c r="AF505" s="3">
        <f t="shared" si="11"/>
        <v>2.054794521</v>
      </c>
      <c r="AG505" s="3">
        <f t="shared" si="12"/>
        <v>0.2727272727</v>
      </c>
    </row>
    <row r="506">
      <c r="A506" s="1" t="s">
        <v>12</v>
      </c>
      <c r="B506" s="1" t="s">
        <v>155</v>
      </c>
      <c r="C506" s="1" t="s">
        <v>19</v>
      </c>
      <c r="D506" s="1" t="s">
        <v>156</v>
      </c>
      <c r="E506" s="1" t="s">
        <v>58</v>
      </c>
      <c r="F506" s="1" t="s">
        <v>525</v>
      </c>
      <c r="G506" s="1">
        <v>3.5</v>
      </c>
      <c r="H506" s="1" t="s">
        <v>60</v>
      </c>
      <c r="I506" s="1">
        <v>135.0</v>
      </c>
      <c r="J506" s="1">
        <v>-0.0872319148936169</v>
      </c>
      <c r="K506" s="1" t="s">
        <v>61</v>
      </c>
      <c r="L506" s="1" t="s">
        <v>61</v>
      </c>
      <c r="M506" s="1" t="s">
        <v>62</v>
      </c>
      <c r="N506" s="1">
        <v>-178.0</v>
      </c>
      <c r="O506" s="1">
        <v>0.0214122302158273</v>
      </c>
      <c r="P506" s="1" t="s">
        <v>61</v>
      </c>
      <c r="Q506" s="1" t="s">
        <v>61</v>
      </c>
      <c r="R506" s="1">
        <f t="shared" si="1"/>
        <v>0.02141223022</v>
      </c>
      <c r="S506" s="1">
        <f t="shared" si="2"/>
        <v>-178</v>
      </c>
      <c r="T506" s="1">
        <f t="shared" si="3"/>
        <v>1.561797753</v>
      </c>
      <c r="U506" s="1">
        <f t="shared" si="4"/>
        <v>0</v>
      </c>
      <c r="V506" s="3">
        <f t="shared" si="5"/>
        <v>1</v>
      </c>
      <c r="W506" s="3">
        <f t="shared" si="6"/>
        <v>3</v>
      </c>
      <c r="X506" s="3" t="str">
        <f>IFERROR(__xludf.DUMMYFUNCTION("split(B506,"" "")"),"S.")</f>
        <v>S.</v>
      </c>
      <c r="Y506" s="3" t="str">
        <f>IFERROR(__xludf.DUMMYFUNCTION("""COMPUTED_VALUE"""),"Barkley")</f>
        <v>Barkley</v>
      </c>
      <c r="AA506" s="3">
        <v>4.0</v>
      </c>
      <c r="AB506" s="3">
        <f t="shared" si="7"/>
        <v>1</v>
      </c>
      <c r="AC506" s="3">
        <f t="shared" si="8"/>
        <v>0</v>
      </c>
      <c r="AD506" s="3">
        <f t="shared" si="9"/>
        <v>0.5617977528</v>
      </c>
      <c r="AE506" s="3">
        <f t="shared" si="10"/>
        <v>-1</v>
      </c>
      <c r="AF506" s="3">
        <f t="shared" si="11"/>
        <v>-3</v>
      </c>
      <c r="AG506" s="3">
        <f t="shared" si="12"/>
        <v>-0.1428571429</v>
      </c>
    </row>
    <row r="507">
      <c r="A507" s="1" t="s">
        <v>15</v>
      </c>
      <c r="B507" s="1" t="s">
        <v>338</v>
      </c>
      <c r="C507" s="1" t="s">
        <v>21</v>
      </c>
      <c r="D507" s="1" t="s">
        <v>156</v>
      </c>
      <c r="E507" s="1" t="s">
        <v>58</v>
      </c>
      <c r="F507" s="1" t="s">
        <v>525</v>
      </c>
      <c r="G507" s="1">
        <v>20.5</v>
      </c>
      <c r="H507" s="1" t="s">
        <v>60</v>
      </c>
      <c r="I507" s="1">
        <v>-103.0</v>
      </c>
      <c r="J507" s="1">
        <v>0.0210108374384235</v>
      </c>
      <c r="K507" s="1" t="s">
        <v>61</v>
      </c>
      <c r="L507" s="1" t="s">
        <v>61</v>
      </c>
      <c r="M507" s="1" t="s">
        <v>62</v>
      </c>
      <c r="N507" s="1">
        <v>-128.0</v>
      </c>
      <c r="O507" s="1">
        <v>-0.0898035087719298</v>
      </c>
      <c r="P507" s="1" t="s">
        <v>61</v>
      </c>
      <c r="Q507" s="1" t="s">
        <v>61</v>
      </c>
      <c r="R507" s="1">
        <f t="shared" si="1"/>
        <v>0.02101083744</v>
      </c>
      <c r="S507" s="1">
        <f t="shared" si="2"/>
        <v>-103</v>
      </c>
      <c r="T507" s="1">
        <f t="shared" si="3"/>
        <v>1.970873786</v>
      </c>
      <c r="U507" s="1">
        <f t="shared" si="4"/>
        <v>1</v>
      </c>
      <c r="V507" s="3">
        <f t="shared" si="5"/>
        <v>1</v>
      </c>
      <c r="W507" s="3">
        <f t="shared" si="6"/>
        <v>2</v>
      </c>
      <c r="X507" s="3" t="str">
        <f>IFERROR(__xludf.DUMMYFUNCTION("split(B507,"" "")"),"J.")</f>
        <v>J.</v>
      </c>
      <c r="Y507" s="3" t="str">
        <f>IFERROR(__xludf.DUMMYFUNCTION("""COMPUTED_VALUE"""),"Hurts")</f>
        <v>Hurts</v>
      </c>
      <c r="AA507" s="3">
        <v>29.0</v>
      </c>
      <c r="AB507" s="3">
        <f t="shared" si="7"/>
        <v>1</v>
      </c>
      <c r="AC507" s="3">
        <f t="shared" si="8"/>
        <v>1</v>
      </c>
      <c r="AD507" s="3">
        <f t="shared" si="9"/>
        <v>0.9708737864</v>
      </c>
      <c r="AE507" s="3">
        <f t="shared" si="10"/>
        <v>0.9708737864</v>
      </c>
      <c r="AF507" s="3">
        <f t="shared" si="11"/>
        <v>1.941747573</v>
      </c>
      <c r="AG507" s="3">
        <f t="shared" si="12"/>
        <v>0.4146341463</v>
      </c>
    </row>
    <row r="508">
      <c r="A508" s="1" t="s">
        <v>17</v>
      </c>
      <c r="B508" s="1" t="s">
        <v>338</v>
      </c>
      <c r="C508" s="1" t="s">
        <v>21</v>
      </c>
      <c r="D508" s="1" t="s">
        <v>156</v>
      </c>
      <c r="E508" s="1" t="s">
        <v>58</v>
      </c>
      <c r="F508" s="1" t="s">
        <v>525</v>
      </c>
      <c r="G508" s="1">
        <v>0.5</v>
      </c>
      <c r="H508" s="1" t="s">
        <v>60</v>
      </c>
      <c r="I508" s="1">
        <v>-118.0</v>
      </c>
      <c r="J508" s="1">
        <v>-0.0853844036697247</v>
      </c>
      <c r="K508" s="1" t="s">
        <v>61</v>
      </c>
      <c r="L508" s="1" t="s">
        <v>61</v>
      </c>
      <c r="M508" s="1" t="s">
        <v>62</v>
      </c>
      <c r="N508" s="1">
        <v>-110.0</v>
      </c>
      <c r="O508" s="1">
        <v>0.0202904761904761</v>
      </c>
      <c r="P508" s="1" t="s">
        <v>61</v>
      </c>
      <c r="Q508" s="1" t="s">
        <v>61</v>
      </c>
      <c r="R508" s="1">
        <f t="shared" si="1"/>
        <v>0.02029047619</v>
      </c>
      <c r="S508" s="1">
        <f t="shared" si="2"/>
        <v>-110</v>
      </c>
      <c r="T508" s="1">
        <f t="shared" si="3"/>
        <v>1.909090909</v>
      </c>
      <c r="U508" s="1">
        <f t="shared" si="4"/>
        <v>0</v>
      </c>
      <c r="V508" s="3">
        <f t="shared" si="5"/>
        <v>1</v>
      </c>
      <c r="W508" s="3">
        <f t="shared" si="6"/>
        <v>2</v>
      </c>
      <c r="X508" s="3" t="str">
        <f>IFERROR(__xludf.DUMMYFUNCTION("split(B508,"" "")"),"J.")</f>
        <v>J.</v>
      </c>
      <c r="Y508" s="3" t="str">
        <f>IFERROR(__xludf.DUMMYFUNCTION("""COMPUTED_VALUE"""),"Hurts")</f>
        <v>Hurts</v>
      </c>
      <c r="AA508" s="3">
        <v>1.0</v>
      </c>
      <c r="AB508" s="3">
        <f t="shared" si="7"/>
        <v>1</v>
      </c>
      <c r="AC508" s="3">
        <f t="shared" si="8"/>
        <v>0</v>
      </c>
      <c r="AD508" s="3">
        <f t="shared" si="9"/>
        <v>0.9090909091</v>
      </c>
      <c r="AE508" s="3">
        <f t="shared" si="10"/>
        <v>-1</v>
      </c>
      <c r="AF508" s="3">
        <f t="shared" si="11"/>
        <v>-2</v>
      </c>
      <c r="AG508" s="3">
        <f t="shared" si="12"/>
        <v>-1</v>
      </c>
    </row>
    <row r="509">
      <c r="A509" s="1" t="s">
        <v>10</v>
      </c>
      <c r="B509" s="1" t="s">
        <v>243</v>
      </c>
      <c r="C509" s="1" t="s">
        <v>19</v>
      </c>
      <c r="D509" s="1" t="s">
        <v>156</v>
      </c>
      <c r="E509" s="1" t="s">
        <v>58</v>
      </c>
      <c r="F509" s="1" t="s">
        <v>525</v>
      </c>
      <c r="G509" s="1">
        <v>7.5</v>
      </c>
      <c r="H509" s="1" t="s">
        <v>60</v>
      </c>
      <c r="I509" s="1">
        <v>102.0</v>
      </c>
      <c r="J509" s="1">
        <v>0.016154787985261</v>
      </c>
      <c r="K509" s="1" t="s">
        <v>61</v>
      </c>
      <c r="L509" s="1" t="s">
        <v>61</v>
      </c>
      <c r="M509" s="1" t="s">
        <v>62</v>
      </c>
      <c r="N509" s="1">
        <v>-133.0</v>
      </c>
      <c r="O509" s="1">
        <v>-0.0819550843226468</v>
      </c>
      <c r="P509" s="1" t="s">
        <v>61</v>
      </c>
      <c r="Q509" s="1" t="s">
        <v>61</v>
      </c>
      <c r="R509" s="1">
        <f t="shared" si="1"/>
        <v>0.01615478799</v>
      </c>
      <c r="S509" s="1">
        <f t="shared" si="2"/>
        <v>102</v>
      </c>
      <c r="T509" s="1">
        <f t="shared" si="3"/>
        <v>2.02</v>
      </c>
      <c r="U509" s="1">
        <f t="shared" si="4"/>
        <v>1</v>
      </c>
      <c r="V509" s="3">
        <f t="shared" si="5"/>
        <v>1</v>
      </c>
      <c r="W509" s="3">
        <f t="shared" si="6"/>
        <v>2</v>
      </c>
      <c r="X509" s="3" t="str">
        <f>IFERROR(__xludf.DUMMYFUNCTION("split(B509,"" "")"),"K.")</f>
        <v>K.</v>
      </c>
      <c r="Y509" s="3" t="str">
        <f>IFERROR(__xludf.DUMMYFUNCTION("""COMPUTED_VALUE"""),"Gainwell")</f>
        <v>Gainwell</v>
      </c>
      <c r="AA509" s="3">
        <v>0.0</v>
      </c>
      <c r="AB509" s="3">
        <f t="shared" si="7"/>
        <v>0</v>
      </c>
      <c r="AC509" s="3">
        <f t="shared" si="8"/>
        <v>0</v>
      </c>
      <c r="AD509" s="3">
        <f t="shared" si="9"/>
        <v>1.02</v>
      </c>
      <c r="AE509" s="3">
        <f t="shared" si="10"/>
        <v>-1</v>
      </c>
      <c r="AF509" s="3">
        <f t="shared" si="11"/>
        <v>-2</v>
      </c>
      <c r="AG509" s="3">
        <f t="shared" si="12"/>
        <v>-1</v>
      </c>
    </row>
    <row r="510">
      <c r="A510" s="1" t="s">
        <v>10</v>
      </c>
      <c r="B510" s="1" t="s">
        <v>338</v>
      </c>
      <c r="C510" s="1" t="s">
        <v>21</v>
      </c>
      <c r="D510" s="1" t="s">
        <v>156</v>
      </c>
      <c r="E510" s="1" t="s">
        <v>58</v>
      </c>
      <c r="F510" s="1" t="s">
        <v>525</v>
      </c>
      <c r="G510" s="1">
        <v>44.5</v>
      </c>
      <c r="H510" s="1" t="s">
        <v>60</v>
      </c>
      <c r="I510" s="1">
        <v>-114.0</v>
      </c>
      <c r="J510" s="1">
        <v>-0.0912317205337982</v>
      </c>
      <c r="K510" s="1" t="s">
        <v>61</v>
      </c>
      <c r="L510" s="1" t="s">
        <v>61</v>
      </c>
      <c r="M510" s="1" t="s">
        <v>62</v>
      </c>
      <c r="N510" s="1">
        <v>-119.0</v>
      </c>
      <c r="O510" s="1">
        <v>0.0151782644732013</v>
      </c>
      <c r="P510" s="1" t="s">
        <v>61</v>
      </c>
      <c r="Q510" s="1" t="s">
        <v>61</v>
      </c>
      <c r="R510" s="1">
        <f t="shared" si="1"/>
        <v>0.01517826447</v>
      </c>
      <c r="S510" s="1">
        <f t="shared" si="2"/>
        <v>-119</v>
      </c>
      <c r="T510" s="1">
        <f t="shared" si="3"/>
        <v>1.840336134</v>
      </c>
      <c r="U510" s="1">
        <f t="shared" si="4"/>
        <v>0</v>
      </c>
      <c r="V510" s="3">
        <f t="shared" si="5"/>
        <v>1</v>
      </c>
      <c r="W510" s="3">
        <f t="shared" si="6"/>
        <v>3</v>
      </c>
      <c r="X510" s="3" t="str">
        <f>IFERROR(__xludf.DUMMYFUNCTION("split(B510,"" "")"),"J.")</f>
        <v>J.</v>
      </c>
      <c r="Y510" s="3" t="str">
        <f>IFERROR(__xludf.DUMMYFUNCTION("""COMPUTED_VALUE"""),"Hurts")</f>
        <v>Hurts</v>
      </c>
      <c r="AA510" s="3">
        <v>25.0</v>
      </c>
      <c r="AB510" s="3">
        <f t="shared" si="7"/>
        <v>0</v>
      </c>
      <c r="AC510" s="3">
        <f t="shared" si="8"/>
        <v>1</v>
      </c>
      <c r="AD510" s="3">
        <f t="shared" si="9"/>
        <v>0.8403361345</v>
      </c>
      <c r="AE510" s="3">
        <f t="shared" si="10"/>
        <v>0.8403361345</v>
      </c>
      <c r="AF510" s="3">
        <f t="shared" si="11"/>
        <v>2.521008403</v>
      </c>
      <c r="AG510" s="3">
        <f t="shared" si="12"/>
        <v>0.4382022472</v>
      </c>
    </row>
    <row r="511">
      <c r="A511" s="1" t="s">
        <v>11</v>
      </c>
      <c r="B511" s="1" t="s">
        <v>155</v>
      </c>
      <c r="C511" s="1" t="s">
        <v>19</v>
      </c>
      <c r="D511" s="1" t="s">
        <v>156</v>
      </c>
      <c r="E511" s="1" t="s">
        <v>58</v>
      </c>
      <c r="F511" s="1" t="s">
        <v>525</v>
      </c>
      <c r="G511" s="1">
        <v>22.5</v>
      </c>
      <c r="H511" s="1" t="s">
        <v>60</v>
      </c>
      <c r="I511" s="1">
        <v>-109.0</v>
      </c>
      <c r="J511" s="1">
        <v>-0.0824465025822105</v>
      </c>
      <c r="K511" s="1" t="s">
        <v>61</v>
      </c>
      <c r="L511" s="1" t="s">
        <v>61</v>
      </c>
      <c r="M511" s="1" t="s">
        <v>62</v>
      </c>
      <c r="N511" s="1">
        <v>-121.0</v>
      </c>
      <c r="O511" s="1">
        <v>0.0134351721177159</v>
      </c>
      <c r="P511" s="1" t="s">
        <v>61</v>
      </c>
      <c r="Q511" s="1" t="s">
        <v>61</v>
      </c>
      <c r="R511" s="1">
        <f t="shared" si="1"/>
        <v>0.01343517212</v>
      </c>
      <c r="S511" s="1">
        <f t="shared" si="2"/>
        <v>-121</v>
      </c>
      <c r="T511" s="1">
        <f t="shared" si="3"/>
        <v>1.826446281</v>
      </c>
      <c r="U511" s="1">
        <f t="shared" si="4"/>
        <v>0</v>
      </c>
      <c r="V511" s="3">
        <f t="shared" si="5"/>
        <v>1</v>
      </c>
      <c r="W511" s="3">
        <f t="shared" si="6"/>
        <v>3</v>
      </c>
      <c r="X511" s="3" t="str">
        <f>IFERROR(__xludf.DUMMYFUNCTION("split(B511,"" "")"),"S.")</f>
        <v>S.</v>
      </c>
      <c r="Y511" s="3" t="str">
        <f>IFERROR(__xludf.DUMMYFUNCTION("""COMPUTED_VALUE"""),"Barkley")</f>
        <v>Barkley</v>
      </c>
      <c r="AA511" s="3">
        <v>9.0</v>
      </c>
      <c r="AB511" s="3">
        <f t="shared" si="7"/>
        <v>0</v>
      </c>
      <c r="AC511" s="3">
        <f t="shared" si="8"/>
        <v>1</v>
      </c>
      <c r="AD511" s="3">
        <f t="shared" si="9"/>
        <v>0.826446281</v>
      </c>
      <c r="AE511" s="3">
        <f t="shared" si="10"/>
        <v>0.826446281</v>
      </c>
      <c r="AF511" s="3">
        <f t="shared" si="11"/>
        <v>2.479338843</v>
      </c>
      <c r="AG511" s="3">
        <f t="shared" si="12"/>
        <v>0.6</v>
      </c>
    </row>
    <row r="512">
      <c r="A512" s="1" t="s">
        <v>11</v>
      </c>
      <c r="B512" s="1" t="s">
        <v>366</v>
      </c>
      <c r="C512" s="1" t="s">
        <v>20</v>
      </c>
      <c r="D512" s="1" t="s">
        <v>156</v>
      </c>
      <c r="E512" s="1" t="s">
        <v>58</v>
      </c>
      <c r="F512" s="1" t="s">
        <v>525</v>
      </c>
      <c r="G512" s="1">
        <v>38.5</v>
      </c>
      <c r="H512" s="1" t="s">
        <v>60</v>
      </c>
      <c r="I512" s="1">
        <v>-115.0</v>
      </c>
      <c r="J512" s="1">
        <v>-0.0834693781327907</v>
      </c>
      <c r="K512" s="1" t="s">
        <v>61</v>
      </c>
      <c r="L512" s="1" t="s">
        <v>61</v>
      </c>
      <c r="M512" s="1" t="s">
        <v>62</v>
      </c>
      <c r="N512" s="1">
        <v>-116.0</v>
      </c>
      <c r="O512" s="1">
        <v>0.0115612263882221</v>
      </c>
      <c r="P512" s="1" t="s">
        <v>61</v>
      </c>
      <c r="Q512" s="1" t="s">
        <v>61</v>
      </c>
      <c r="R512" s="1">
        <f t="shared" si="1"/>
        <v>0.01156122639</v>
      </c>
      <c r="S512" s="1">
        <f t="shared" si="2"/>
        <v>-116</v>
      </c>
      <c r="T512" s="1">
        <f t="shared" si="3"/>
        <v>1.862068966</v>
      </c>
      <c r="U512" s="1">
        <f t="shared" si="4"/>
        <v>0</v>
      </c>
      <c r="V512" s="3">
        <f t="shared" si="5"/>
        <v>1</v>
      </c>
      <c r="W512" s="3">
        <f t="shared" si="6"/>
        <v>2</v>
      </c>
      <c r="X512" s="3" t="str">
        <f>IFERROR(__xludf.DUMMYFUNCTION("split(B512,"" "")"),"D.")</f>
        <v>D.</v>
      </c>
      <c r="Y512" s="3" t="str">
        <f>IFERROR(__xludf.DUMMYFUNCTION("""COMPUTED_VALUE"""),"Goedert")</f>
        <v>Goedert</v>
      </c>
      <c r="AA512" s="3">
        <v>170.0</v>
      </c>
      <c r="AB512" s="3">
        <f t="shared" si="7"/>
        <v>1</v>
      </c>
      <c r="AC512" s="3">
        <f t="shared" si="8"/>
        <v>0</v>
      </c>
      <c r="AD512" s="3">
        <f t="shared" si="9"/>
        <v>0.8620689655</v>
      </c>
      <c r="AE512" s="3">
        <f t="shared" si="10"/>
        <v>-1</v>
      </c>
      <c r="AF512" s="3">
        <f t="shared" si="11"/>
        <v>-2</v>
      </c>
      <c r="AG512" s="3">
        <f t="shared" si="12"/>
        <v>-3.415584416</v>
      </c>
    </row>
    <row r="513">
      <c r="A513" s="1" t="s">
        <v>13</v>
      </c>
      <c r="B513" s="1" t="s">
        <v>338</v>
      </c>
      <c r="C513" s="1" t="s">
        <v>21</v>
      </c>
      <c r="D513" s="1" t="s">
        <v>156</v>
      </c>
      <c r="E513" s="1" t="s">
        <v>58</v>
      </c>
      <c r="F513" s="1" t="s">
        <v>525</v>
      </c>
      <c r="G513" s="1">
        <v>221.5</v>
      </c>
      <c r="H513" s="1" t="s">
        <v>60</v>
      </c>
      <c r="I513" s="1">
        <v>-114.0</v>
      </c>
      <c r="J513" s="1">
        <v>0.00432336448598102</v>
      </c>
      <c r="K513" s="1" t="s">
        <v>61</v>
      </c>
      <c r="L513" s="1" t="s">
        <v>61</v>
      </c>
      <c r="M513" s="1" t="s">
        <v>62</v>
      </c>
      <c r="N513" s="1">
        <v>-114.0</v>
      </c>
      <c r="O513" s="1">
        <v>-0.0697766355140184</v>
      </c>
      <c r="P513" s="1" t="s">
        <v>61</v>
      </c>
      <c r="Q513" s="1" t="s">
        <v>61</v>
      </c>
      <c r="R513" s="1">
        <f t="shared" si="1"/>
        <v>0.004323364486</v>
      </c>
      <c r="S513" s="1">
        <f t="shared" si="2"/>
        <v>-114</v>
      </c>
      <c r="T513" s="1">
        <f t="shared" si="3"/>
        <v>1.877192982</v>
      </c>
      <c r="U513" s="1">
        <f t="shared" si="4"/>
        <v>1</v>
      </c>
      <c r="V513" s="3">
        <f t="shared" si="5"/>
        <v>1</v>
      </c>
      <c r="W513" s="3">
        <f t="shared" si="6"/>
        <v>2</v>
      </c>
      <c r="X513" s="3" t="str">
        <f>IFERROR(__xludf.DUMMYFUNCTION("split(B513,"" "")"),"J.")</f>
        <v>J.</v>
      </c>
      <c r="Y513" s="3" t="str">
        <f>IFERROR(__xludf.DUMMYFUNCTION("""COMPUTED_VALUE"""),"Hurts")</f>
        <v>Hurts</v>
      </c>
      <c r="AA513" s="3">
        <v>311.0</v>
      </c>
      <c r="AB513" s="3">
        <f t="shared" si="7"/>
        <v>1</v>
      </c>
      <c r="AC513" s="3">
        <f t="shared" si="8"/>
        <v>1</v>
      </c>
      <c r="AD513" s="3">
        <f t="shared" si="9"/>
        <v>0.8771929825</v>
      </c>
      <c r="AE513" s="3">
        <f t="shared" si="10"/>
        <v>0.8771929825</v>
      </c>
      <c r="AF513" s="3">
        <f t="shared" si="11"/>
        <v>1.754385965</v>
      </c>
      <c r="AG513" s="3">
        <f t="shared" si="12"/>
        <v>0.4040632054</v>
      </c>
    </row>
    <row r="514">
      <c r="A514" s="1" t="s">
        <v>11</v>
      </c>
      <c r="B514" s="1" t="s">
        <v>210</v>
      </c>
      <c r="C514" s="1" t="s">
        <v>18</v>
      </c>
      <c r="D514" s="1" t="s">
        <v>156</v>
      </c>
      <c r="E514" s="1" t="s">
        <v>58</v>
      </c>
      <c r="F514" s="1" t="s">
        <v>525</v>
      </c>
      <c r="G514" s="1">
        <v>21.5</v>
      </c>
      <c r="H514" s="1" t="s">
        <v>60</v>
      </c>
      <c r="I514" s="1">
        <v>-115.0</v>
      </c>
      <c r="J514" s="1">
        <v>0.00193496775037205</v>
      </c>
      <c r="K514" s="1" t="s">
        <v>61</v>
      </c>
      <c r="L514" s="1" t="s">
        <v>61</v>
      </c>
      <c r="M514" s="1" t="s">
        <v>62</v>
      </c>
      <c r="N514" s="1">
        <v>-113.0</v>
      </c>
      <c r="O514" s="1">
        <v>-0.0672674432626897</v>
      </c>
      <c r="P514" s="1" t="s">
        <v>61</v>
      </c>
      <c r="Q514" s="1" t="s">
        <v>61</v>
      </c>
      <c r="R514" s="1">
        <f t="shared" si="1"/>
        <v>0.00193496775</v>
      </c>
      <c r="S514" s="1">
        <f t="shared" si="2"/>
        <v>-115</v>
      </c>
      <c r="T514" s="1">
        <f t="shared" si="3"/>
        <v>1.869565217</v>
      </c>
      <c r="U514" s="1">
        <f t="shared" si="4"/>
        <v>1</v>
      </c>
      <c r="V514" s="3">
        <f t="shared" si="5"/>
        <v>1</v>
      </c>
      <c r="W514" s="3">
        <f t="shared" si="6"/>
        <v>2</v>
      </c>
      <c r="X514" s="3" t="str">
        <f>IFERROR(__xludf.DUMMYFUNCTION("split(B514,"" "")"),"J.")</f>
        <v>J.</v>
      </c>
      <c r="Y514" s="3" t="str">
        <f>IFERROR(__xludf.DUMMYFUNCTION("""COMPUTED_VALUE"""),"Dotson")</f>
        <v>Dotson</v>
      </c>
      <c r="AA514" s="3">
        <v>8.0</v>
      </c>
      <c r="AB514" s="3">
        <f t="shared" si="7"/>
        <v>0</v>
      </c>
      <c r="AC514" s="3">
        <f t="shared" si="8"/>
        <v>0</v>
      </c>
      <c r="AD514" s="3">
        <f t="shared" si="9"/>
        <v>0.8695652174</v>
      </c>
      <c r="AE514" s="3">
        <f t="shared" si="10"/>
        <v>-1</v>
      </c>
      <c r="AF514" s="3">
        <f t="shared" si="11"/>
        <v>-2</v>
      </c>
      <c r="AG514" s="3">
        <f t="shared" si="12"/>
        <v>-0.6279069767</v>
      </c>
    </row>
    <row r="515">
      <c r="A515" s="1" t="s">
        <v>8</v>
      </c>
      <c r="B515" s="1" t="s">
        <v>555</v>
      </c>
      <c r="C515" s="1" t="s">
        <v>21</v>
      </c>
      <c r="D515" s="1" t="s">
        <v>110</v>
      </c>
      <c r="E515" s="1" t="s">
        <v>135</v>
      </c>
      <c r="F515" s="1" t="s">
        <v>525</v>
      </c>
      <c r="G515" s="1">
        <v>8.5</v>
      </c>
      <c r="H515" s="1" t="s">
        <v>60</v>
      </c>
      <c r="I515" s="1">
        <v>-123.0</v>
      </c>
      <c r="J515" s="1">
        <v>-0.247306340141865</v>
      </c>
      <c r="K515" s="1" t="s">
        <v>61</v>
      </c>
      <c r="L515" s="1" t="s">
        <v>61</v>
      </c>
      <c r="M515" s="1" t="s">
        <v>62</v>
      </c>
      <c r="N515" s="1">
        <v>-108.0</v>
      </c>
      <c r="O515" s="1">
        <v>0.176511879614263</v>
      </c>
      <c r="P515" s="1" t="s">
        <v>61</v>
      </c>
      <c r="Q515" s="1" t="s">
        <v>61</v>
      </c>
      <c r="R515" s="1">
        <f t="shared" si="1"/>
        <v>0.1765118796</v>
      </c>
      <c r="S515" s="1">
        <f t="shared" si="2"/>
        <v>-108</v>
      </c>
      <c r="T515" s="1">
        <f t="shared" si="3"/>
        <v>1.925925926</v>
      </c>
      <c r="U515" s="1">
        <f t="shared" si="4"/>
        <v>0</v>
      </c>
      <c r="V515" s="3">
        <f t="shared" si="5"/>
        <v>3</v>
      </c>
      <c r="W515" s="3">
        <f t="shared" si="6"/>
        <v>2</v>
      </c>
      <c r="X515" s="3" t="str">
        <f>IFERROR(__xludf.DUMMYFUNCTION("split(B515,"" "")"),"J.")</f>
        <v>J.</v>
      </c>
      <c r="Y515" s="3" t="str">
        <f>IFERROR(__xludf.DUMMYFUNCTION("""COMPUTED_VALUE"""),"Fields")</f>
        <v>Fields</v>
      </c>
      <c r="AA515" s="3">
        <v>6.0</v>
      </c>
      <c r="AB515" s="3">
        <f t="shared" si="7"/>
        <v>0</v>
      </c>
      <c r="AC515" s="3">
        <f t="shared" si="8"/>
        <v>1</v>
      </c>
      <c r="AD515" s="3">
        <f t="shared" si="9"/>
        <v>2.777777778</v>
      </c>
      <c r="AE515" s="3">
        <f t="shared" si="10"/>
        <v>2.777777778</v>
      </c>
      <c r="AF515" s="3">
        <f t="shared" si="11"/>
        <v>1.851851852</v>
      </c>
      <c r="AG515" s="3">
        <f t="shared" si="12"/>
        <v>0.2941176471</v>
      </c>
    </row>
    <row r="516">
      <c r="A516" s="1" t="s">
        <v>12</v>
      </c>
      <c r="B516" s="1" t="s">
        <v>489</v>
      </c>
      <c r="C516" s="1" t="s">
        <v>20</v>
      </c>
      <c r="D516" s="1" t="s">
        <v>110</v>
      </c>
      <c r="E516" s="1" t="s">
        <v>135</v>
      </c>
      <c r="F516" s="1" t="s">
        <v>525</v>
      </c>
      <c r="G516" s="1">
        <v>2.5</v>
      </c>
      <c r="H516" s="1" t="s">
        <v>60</v>
      </c>
      <c r="I516" s="1">
        <v>-146.0</v>
      </c>
      <c r="J516" s="1">
        <v>-0.239253606463414</v>
      </c>
      <c r="K516" s="1" t="s">
        <v>61</v>
      </c>
      <c r="L516" s="1" t="s">
        <v>61</v>
      </c>
      <c r="M516" s="1" t="s">
        <v>62</v>
      </c>
      <c r="N516" s="1">
        <v>111.0</v>
      </c>
      <c r="O516" s="1">
        <v>0.171817000900473</v>
      </c>
      <c r="P516" s="1" t="s">
        <v>61</v>
      </c>
      <c r="Q516" s="1" t="s">
        <v>61</v>
      </c>
      <c r="R516" s="1">
        <f t="shared" si="1"/>
        <v>0.1718170009</v>
      </c>
      <c r="S516" s="1">
        <f t="shared" si="2"/>
        <v>111</v>
      </c>
      <c r="T516" s="1">
        <f t="shared" si="3"/>
        <v>2.11</v>
      </c>
      <c r="U516" s="1">
        <f t="shared" si="4"/>
        <v>0</v>
      </c>
      <c r="V516" s="3">
        <f t="shared" si="5"/>
        <v>3</v>
      </c>
      <c r="W516" s="3">
        <f t="shared" si="6"/>
        <v>1</v>
      </c>
      <c r="X516" s="3" t="str">
        <f>IFERROR(__xludf.DUMMYFUNCTION("split(B516,"" "")"),"P.")</f>
        <v>P.</v>
      </c>
      <c r="Y516" s="3" t="str">
        <f>IFERROR(__xludf.DUMMYFUNCTION("""COMPUTED_VALUE"""),"Freiermuth")</f>
        <v>Freiermuth</v>
      </c>
      <c r="AA516" s="3">
        <v>4.0</v>
      </c>
      <c r="AB516" s="3">
        <f t="shared" si="7"/>
        <v>1</v>
      </c>
      <c r="AC516" s="3">
        <f t="shared" si="8"/>
        <v>0</v>
      </c>
      <c r="AD516" s="3">
        <f t="shared" si="9"/>
        <v>3.33</v>
      </c>
      <c r="AE516" s="3">
        <f t="shared" si="10"/>
        <v>-3</v>
      </c>
      <c r="AF516" s="3">
        <f t="shared" si="11"/>
        <v>-1</v>
      </c>
      <c r="AG516" s="3">
        <f t="shared" si="12"/>
        <v>-0.6</v>
      </c>
    </row>
    <row r="517">
      <c r="A517" s="1" t="s">
        <v>9</v>
      </c>
      <c r="B517" s="1" t="s">
        <v>403</v>
      </c>
      <c r="C517" s="1" t="s">
        <v>18</v>
      </c>
      <c r="D517" s="1" t="s">
        <v>110</v>
      </c>
      <c r="E517" s="1" t="s">
        <v>135</v>
      </c>
      <c r="F517" s="1" t="s">
        <v>525</v>
      </c>
      <c r="G517" s="1">
        <v>16.5</v>
      </c>
      <c r="H517" s="1" t="s">
        <v>60</v>
      </c>
      <c r="I517" s="1">
        <v>-114.0</v>
      </c>
      <c r="J517" s="1">
        <v>0.159950765568015</v>
      </c>
      <c r="K517" s="1" t="s">
        <v>61</v>
      </c>
      <c r="L517" s="1" t="s">
        <v>61</v>
      </c>
      <c r="M517" s="1" t="s">
        <v>62</v>
      </c>
      <c r="N517" s="1">
        <v>-119.0</v>
      </c>
      <c r="O517" s="1">
        <v>-0.236001132235391</v>
      </c>
      <c r="P517" s="1" t="s">
        <v>61</v>
      </c>
      <c r="Q517" s="1" t="s">
        <v>61</v>
      </c>
      <c r="R517" s="1">
        <f t="shared" si="1"/>
        <v>0.1599507656</v>
      </c>
      <c r="S517" s="1">
        <f t="shared" si="2"/>
        <v>-114</v>
      </c>
      <c r="T517" s="1">
        <f t="shared" si="3"/>
        <v>1.877192982</v>
      </c>
      <c r="U517" s="1">
        <f t="shared" si="4"/>
        <v>1</v>
      </c>
      <c r="V517" s="3">
        <f t="shared" si="5"/>
        <v>3</v>
      </c>
      <c r="W517" s="3">
        <f t="shared" si="6"/>
        <v>2</v>
      </c>
      <c r="X517" s="3" t="str">
        <f>IFERROR(__xludf.DUMMYFUNCTION("split(B517,"" "")"),"V.")</f>
        <v>V.</v>
      </c>
      <c r="Y517" s="3" t="str">
        <f>IFERROR(__xludf.DUMMYFUNCTION("""COMPUTED_VALUE"""),"Jefferson")</f>
        <v>Jefferson</v>
      </c>
      <c r="AA517" s="3">
        <v>0.0</v>
      </c>
      <c r="AB517" s="3">
        <f t="shared" si="7"/>
        <v>0</v>
      </c>
      <c r="AC517" s="3">
        <f t="shared" si="8"/>
        <v>0</v>
      </c>
      <c r="AD517" s="3">
        <f t="shared" si="9"/>
        <v>2.631578947</v>
      </c>
      <c r="AE517" s="3">
        <f t="shared" si="10"/>
        <v>-3</v>
      </c>
      <c r="AF517" s="3">
        <f t="shared" si="11"/>
        <v>-2</v>
      </c>
      <c r="AG517" s="3">
        <f t="shared" si="12"/>
        <v>-1</v>
      </c>
    </row>
    <row r="518">
      <c r="A518" s="1" t="s">
        <v>15</v>
      </c>
      <c r="B518" s="1" t="s">
        <v>555</v>
      </c>
      <c r="C518" s="1" t="s">
        <v>21</v>
      </c>
      <c r="D518" s="1" t="s">
        <v>110</v>
      </c>
      <c r="E518" s="1" t="s">
        <v>135</v>
      </c>
      <c r="F518" s="1" t="s">
        <v>525</v>
      </c>
      <c r="G518" s="1">
        <v>14.5</v>
      </c>
      <c r="H518" s="1" t="s">
        <v>60</v>
      </c>
      <c r="I518" s="1">
        <v>-133.0</v>
      </c>
      <c r="J518" s="1">
        <v>-0.207332995503691</v>
      </c>
      <c r="K518" s="1" t="s">
        <v>61</v>
      </c>
      <c r="L518" s="1" t="s">
        <v>61</v>
      </c>
      <c r="M518" s="1" t="s">
        <v>62</v>
      </c>
      <c r="N518" s="1">
        <v>101.0</v>
      </c>
      <c r="O518" s="1">
        <v>0.139023820658507</v>
      </c>
      <c r="P518" s="1" t="s">
        <v>61</v>
      </c>
      <c r="Q518" s="1" t="s">
        <v>61</v>
      </c>
      <c r="R518" s="1">
        <f t="shared" si="1"/>
        <v>0.1390238207</v>
      </c>
      <c r="S518" s="1">
        <f t="shared" si="2"/>
        <v>101</v>
      </c>
      <c r="T518" s="1">
        <f t="shared" si="3"/>
        <v>2.01</v>
      </c>
      <c r="U518" s="1">
        <f t="shared" si="4"/>
        <v>0</v>
      </c>
      <c r="V518" s="3">
        <f t="shared" si="5"/>
        <v>3</v>
      </c>
      <c r="W518" s="3">
        <f t="shared" si="6"/>
        <v>2</v>
      </c>
      <c r="X518" s="3" t="str">
        <f>IFERROR(__xludf.DUMMYFUNCTION("split(B518,"" "")"),"J.")</f>
        <v>J.</v>
      </c>
      <c r="Y518" s="3" t="str">
        <f>IFERROR(__xludf.DUMMYFUNCTION("""COMPUTED_VALUE"""),"Fields")</f>
        <v>Fields</v>
      </c>
      <c r="AA518" s="3">
        <v>25.0</v>
      </c>
      <c r="AB518" s="3">
        <f t="shared" si="7"/>
        <v>1</v>
      </c>
      <c r="AC518" s="3">
        <f t="shared" si="8"/>
        <v>0</v>
      </c>
      <c r="AD518" s="3">
        <f t="shared" si="9"/>
        <v>3.03</v>
      </c>
      <c r="AE518" s="3">
        <f t="shared" si="10"/>
        <v>-3</v>
      </c>
      <c r="AF518" s="3">
        <f t="shared" si="11"/>
        <v>-2</v>
      </c>
      <c r="AG518" s="3">
        <f t="shared" si="12"/>
        <v>-0.724137931</v>
      </c>
    </row>
    <row r="519">
      <c r="A519" s="1" t="s">
        <v>12</v>
      </c>
      <c r="B519" s="1" t="s">
        <v>403</v>
      </c>
      <c r="C519" s="1" t="s">
        <v>18</v>
      </c>
      <c r="D519" s="1" t="s">
        <v>110</v>
      </c>
      <c r="E519" s="1" t="s">
        <v>135</v>
      </c>
      <c r="F519" s="1" t="s">
        <v>525</v>
      </c>
      <c r="G519" s="1">
        <v>1.5</v>
      </c>
      <c r="H519" s="1" t="s">
        <v>60</v>
      </c>
      <c r="I519" s="1">
        <v>-113.0</v>
      </c>
      <c r="J519" s="1">
        <v>-0.176255218821596</v>
      </c>
      <c r="K519" s="1" t="s">
        <v>61</v>
      </c>
      <c r="L519" s="1" t="s">
        <v>61</v>
      </c>
      <c r="M519" s="1" t="s">
        <v>62</v>
      </c>
      <c r="N519" s="1">
        <v>-116.0</v>
      </c>
      <c r="O519" s="1">
        <v>0.108707330863148</v>
      </c>
      <c r="P519" s="1" t="s">
        <v>61</v>
      </c>
      <c r="Q519" s="1" t="s">
        <v>61</v>
      </c>
      <c r="R519" s="1">
        <f t="shared" si="1"/>
        <v>0.1087073309</v>
      </c>
      <c r="S519" s="1">
        <f t="shared" si="2"/>
        <v>-116</v>
      </c>
      <c r="T519" s="1">
        <f t="shared" si="3"/>
        <v>1.862068966</v>
      </c>
      <c r="U519" s="1">
        <f t="shared" si="4"/>
        <v>0</v>
      </c>
      <c r="V519" s="3">
        <f t="shared" si="5"/>
        <v>3</v>
      </c>
      <c r="W519" s="3">
        <f t="shared" si="6"/>
        <v>2</v>
      </c>
      <c r="X519" s="3" t="str">
        <f>IFERROR(__xludf.DUMMYFUNCTION("split(B519,"" "")"),"V.")</f>
        <v>V.</v>
      </c>
      <c r="Y519" s="3" t="str">
        <f>IFERROR(__xludf.DUMMYFUNCTION("""COMPUTED_VALUE"""),"Jefferson")</f>
        <v>Jefferson</v>
      </c>
      <c r="AA519" s="3">
        <v>0.0</v>
      </c>
      <c r="AB519" s="3">
        <f t="shared" si="7"/>
        <v>0</v>
      </c>
      <c r="AC519" s="3">
        <f t="shared" si="8"/>
        <v>1</v>
      </c>
      <c r="AD519" s="3">
        <f t="shared" si="9"/>
        <v>2.586206897</v>
      </c>
      <c r="AE519" s="3">
        <f t="shared" si="10"/>
        <v>2.586206897</v>
      </c>
      <c r="AF519" s="3">
        <f t="shared" si="11"/>
        <v>1.724137931</v>
      </c>
      <c r="AG519" s="3">
        <f t="shared" si="12"/>
        <v>1</v>
      </c>
    </row>
    <row r="520">
      <c r="A520" s="1" t="s">
        <v>8</v>
      </c>
      <c r="B520" s="1" t="s">
        <v>177</v>
      </c>
      <c r="C520" s="1" t="s">
        <v>19</v>
      </c>
      <c r="D520" s="1" t="s">
        <v>110</v>
      </c>
      <c r="E520" s="1" t="s">
        <v>135</v>
      </c>
      <c r="F520" s="1" t="s">
        <v>525</v>
      </c>
      <c r="G520" s="1">
        <v>6.5</v>
      </c>
      <c r="H520" s="1" t="s">
        <v>60</v>
      </c>
      <c r="I520" s="1">
        <v>-123.0</v>
      </c>
      <c r="J520" s="1">
        <v>-0.183252604747218</v>
      </c>
      <c r="K520" s="1" t="s">
        <v>61</v>
      </c>
      <c r="L520" s="1" t="s">
        <v>61</v>
      </c>
      <c r="M520" s="1" t="s">
        <v>62</v>
      </c>
      <c r="N520" s="1">
        <v>-110.0</v>
      </c>
      <c r="O520" s="1">
        <v>0.107870733069012</v>
      </c>
      <c r="P520" s="1" t="s">
        <v>61</v>
      </c>
      <c r="Q520" s="1" t="s">
        <v>61</v>
      </c>
      <c r="R520" s="1">
        <f t="shared" si="1"/>
        <v>0.1078707331</v>
      </c>
      <c r="S520" s="1">
        <f t="shared" si="2"/>
        <v>-110</v>
      </c>
      <c r="T520" s="1">
        <f t="shared" si="3"/>
        <v>1.909090909</v>
      </c>
      <c r="U520" s="1">
        <f t="shared" si="4"/>
        <v>0</v>
      </c>
      <c r="V520" s="3">
        <f t="shared" si="5"/>
        <v>3</v>
      </c>
      <c r="W520" s="3">
        <f t="shared" si="6"/>
        <v>2</v>
      </c>
      <c r="X520" s="3" t="str">
        <f>IFERROR(__xludf.DUMMYFUNCTION("split(B520,"" "")"),"J.")</f>
        <v>J.</v>
      </c>
      <c r="Y520" s="3" t="str">
        <f>IFERROR(__xludf.DUMMYFUNCTION("""COMPUTED_VALUE"""),"Warren")</f>
        <v>Warren</v>
      </c>
      <c r="AA520" s="3">
        <v>3.0</v>
      </c>
      <c r="AB520" s="3">
        <f t="shared" si="7"/>
        <v>0</v>
      </c>
      <c r="AC520" s="3">
        <f t="shared" si="8"/>
        <v>1</v>
      </c>
      <c r="AD520" s="3">
        <f t="shared" si="9"/>
        <v>2.727272727</v>
      </c>
      <c r="AE520" s="3">
        <f t="shared" si="10"/>
        <v>2.727272727</v>
      </c>
      <c r="AF520" s="3">
        <f t="shared" si="11"/>
        <v>1.818181818</v>
      </c>
      <c r="AG520" s="3">
        <f t="shared" si="12"/>
        <v>0.5384615385</v>
      </c>
    </row>
    <row r="521">
      <c r="A521" s="1" t="s">
        <v>11</v>
      </c>
      <c r="B521" s="1" t="s">
        <v>123</v>
      </c>
      <c r="C521" s="1" t="s">
        <v>19</v>
      </c>
      <c r="D521" s="1" t="s">
        <v>110</v>
      </c>
      <c r="E521" s="1" t="s">
        <v>135</v>
      </c>
      <c r="F521" s="1" t="s">
        <v>525</v>
      </c>
      <c r="G521" s="1">
        <v>7.5</v>
      </c>
      <c r="H521" s="1" t="s">
        <v>60</v>
      </c>
      <c r="I521" s="1">
        <v>-104.0</v>
      </c>
      <c r="J521" s="1">
        <v>0.0845824243064292</v>
      </c>
      <c r="K521" s="1" t="s">
        <v>61</v>
      </c>
      <c r="L521" s="1" t="s">
        <v>61</v>
      </c>
      <c r="M521" s="1" t="s">
        <v>62</v>
      </c>
      <c r="N521" s="1">
        <v>-122.0</v>
      </c>
      <c r="O521" s="1">
        <v>-0.143922134060288</v>
      </c>
      <c r="P521" s="1" t="s">
        <v>61</v>
      </c>
      <c r="Q521" s="1" t="s">
        <v>61</v>
      </c>
      <c r="R521" s="1">
        <f t="shared" si="1"/>
        <v>0.08458242431</v>
      </c>
      <c r="S521" s="1">
        <f t="shared" si="2"/>
        <v>-104</v>
      </c>
      <c r="T521" s="1">
        <f t="shared" si="3"/>
        <v>1.961538462</v>
      </c>
      <c r="U521" s="1">
        <f t="shared" si="4"/>
        <v>1</v>
      </c>
      <c r="V521" s="3">
        <f t="shared" si="5"/>
        <v>2</v>
      </c>
      <c r="W521" s="3">
        <f t="shared" si="6"/>
        <v>2</v>
      </c>
      <c r="X521" s="3" t="str">
        <f>IFERROR(__xludf.DUMMYFUNCTION("split(B521,"" "")"),"N.")</f>
        <v>N.</v>
      </c>
      <c r="Y521" s="3" t="str">
        <f>IFERROR(__xludf.DUMMYFUNCTION("""COMPUTED_VALUE"""),"Harris")</f>
        <v>Harris</v>
      </c>
      <c r="AA521" s="3">
        <v>16.0</v>
      </c>
      <c r="AB521" s="3">
        <f t="shared" si="7"/>
        <v>1</v>
      </c>
      <c r="AC521" s="3">
        <f t="shared" si="8"/>
        <v>1</v>
      </c>
      <c r="AD521" s="3">
        <f t="shared" si="9"/>
        <v>1.923076923</v>
      </c>
      <c r="AE521" s="3">
        <f t="shared" si="10"/>
        <v>1.923076923</v>
      </c>
      <c r="AF521" s="3">
        <f t="shared" si="11"/>
        <v>1.923076923</v>
      </c>
      <c r="AG521" s="3">
        <f t="shared" si="12"/>
        <v>1.133333333</v>
      </c>
    </row>
    <row r="522">
      <c r="A522" s="1" t="s">
        <v>14</v>
      </c>
      <c r="B522" s="1" t="s">
        <v>555</v>
      </c>
      <c r="C522" s="1" t="s">
        <v>21</v>
      </c>
      <c r="D522" s="1" t="s">
        <v>110</v>
      </c>
      <c r="E522" s="1" t="s">
        <v>135</v>
      </c>
      <c r="F522" s="1" t="s">
        <v>525</v>
      </c>
      <c r="G522" s="1">
        <v>0.5</v>
      </c>
      <c r="H522" s="1" t="s">
        <v>60</v>
      </c>
      <c r="I522" s="1">
        <v>-173.0</v>
      </c>
      <c r="J522" s="1">
        <v>-0.144697835641025</v>
      </c>
      <c r="K522" s="1" t="s">
        <v>61</v>
      </c>
      <c r="L522" s="1" t="s">
        <v>61</v>
      </c>
      <c r="M522" s="1" t="s">
        <v>62</v>
      </c>
      <c r="N522" s="1">
        <v>133.0</v>
      </c>
      <c r="O522" s="1">
        <v>0.0818133439055794</v>
      </c>
      <c r="P522" s="1" t="s">
        <v>61</v>
      </c>
      <c r="Q522" s="1" t="s">
        <v>61</v>
      </c>
      <c r="R522" s="1">
        <f t="shared" si="1"/>
        <v>0.08181334391</v>
      </c>
      <c r="S522" s="1">
        <f t="shared" si="2"/>
        <v>133</v>
      </c>
      <c r="T522" s="1">
        <f t="shared" si="3"/>
        <v>2.33</v>
      </c>
      <c r="U522" s="1">
        <f t="shared" si="4"/>
        <v>0</v>
      </c>
      <c r="V522" s="3">
        <f t="shared" si="5"/>
        <v>2</v>
      </c>
      <c r="W522" s="3">
        <f t="shared" si="6"/>
        <v>1</v>
      </c>
      <c r="X522" s="3" t="str">
        <f>IFERROR(__xludf.DUMMYFUNCTION("split(B522,"" "")"),"J.")</f>
        <v>J.</v>
      </c>
      <c r="Y522" s="3" t="str">
        <f>IFERROR(__xludf.DUMMYFUNCTION("""COMPUTED_VALUE"""),"Fields")</f>
        <v>Fields</v>
      </c>
      <c r="AA522" s="3">
        <v>1.0</v>
      </c>
      <c r="AB522" s="3">
        <f t="shared" si="7"/>
        <v>1</v>
      </c>
      <c r="AC522" s="3">
        <f t="shared" si="8"/>
        <v>0</v>
      </c>
      <c r="AD522" s="3">
        <f t="shared" si="9"/>
        <v>2.66</v>
      </c>
      <c r="AE522" s="3">
        <f t="shared" si="10"/>
        <v>-2</v>
      </c>
      <c r="AF522" s="3">
        <f t="shared" si="11"/>
        <v>-1</v>
      </c>
      <c r="AG522" s="3">
        <f t="shared" si="12"/>
        <v>-1</v>
      </c>
    </row>
    <row r="523">
      <c r="A523" s="1" t="s">
        <v>12</v>
      </c>
      <c r="B523" s="1" t="s">
        <v>123</v>
      </c>
      <c r="C523" s="1" t="s">
        <v>19</v>
      </c>
      <c r="D523" s="1" t="s">
        <v>110</v>
      </c>
      <c r="E523" s="1" t="s">
        <v>135</v>
      </c>
      <c r="F523" s="1" t="s">
        <v>525</v>
      </c>
      <c r="G523" s="1">
        <v>1.5</v>
      </c>
      <c r="H523" s="1" t="s">
        <v>60</v>
      </c>
      <c r="I523" s="1">
        <v>109.0</v>
      </c>
      <c r="J523" s="1">
        <v>-0.13091273829933</v>
      </c>
      <c r="K523" s="1" t="s">
        <v>61</v>
      </c>
      <c r="L523" s="1" t="s">
        <v>61</v>
      </c>
      <c r="M523" s="1" t="s">
        <v>62</v>
      </c>
      <c r="N523" s="1">
        <v>-144.0</v>
      </c>
      <c r="O523" s="1">
        <v>0.0622856734793442</v>
      </c>
      <c r="P523" s="1" t="s">
        <v>61</v>
      </c>
      <c r="Q523" s="1" t="s">
        <v>61</v>
      </c>
      <c r="R523" s="1">
        <f t="shared" si="1"/>
        <v>0.06228567348</v>
      </c>
      <c r="S523" s="1">
        <f t="shared" si="2"/>
        <v>-144</v>
      </c>
      <c r="T523" s="1">
        <f t="shared" si="3"/>
        <v>1.694444444</v>
      </c>
      <c r="U523" s="1">
        <f t="shared" si="4"/>
        <v>0</v>
      </c>
      <c r="V523" s="3">
        <f t="shared" si="5"/>
        <v>2</v>
      </c>
      <c r="W523" s="3">
        <f t="shared" si="6"/>
        <v>3</v>
      </c>
      <c r="X523" s="3" t="str">
        <f>IFERROR(__xludf.DUMMYFUNCTION("split(B523,"" "")"),"N.")</f>
        <v>N.</v>
      </c>
      <c r="Y523" s="3" t="str">
        <f>IFERROR(__xludf.DUMMYFUNCTION("""COMPUTED_VALUE"""),"Harris")</f>
        <v>Harris</v>
      </c>
      <c r="AA523" s="3">
        <v>5.0</v>
      </c>
      <c r="AB523" s="3">
        <f t="shared" si="7"/>
        <v>1</v>
      </c>
      <c r="AC523" s="3">
        <f t="shared" si="8"/>
        <v>0</v>
      </c>
      <c r="AD523" s="3">
        <f t="shared" si="9"/>
        <v>1.388888889</v>
      </c>
      <c r="AE523" s="3">
        <f t="shared" si="10"/>
        <v>-2</v>
      </c>
      <c r="AF523" s="3">
        <f t="shared" si="11"/>
        <v>-3</v>
      </c>
      <c r="AG523" s="3">
        <f t="shared" si="12"/>
        <v>-2.333333333</v>
      </c>
    </row>
    <row r="524">
      <c r="A524" s="1" t="s">
        <v>16</v>
      </c>
      <c r="B524" s="1" t="s">
        <v>555</v>
      </c>
      <c r="C524" s="1" t="s">
        <v>21</v>
      </c>
      <c r="D524" s="1" t="s">
        <v>110</v>
      </c>
      <c r="E524" s="1" t="s">
        <v>135</v>
      </c>
      <c r="F524" s="1" t="s">
        <v>525</v>
      </c>
      <c r="G524" s="1">
        <v>23.5</v>
      </c>
      <c r="H524" s="1" t="s">
        <v>60</v>
      </c>
      <c r="I524" s="1">
        <v>-111.0</v>
      </c>
      <c r="J524" s="1">
        <v>-0.128807863981516</v>
      </c>
      <c r="K524" s="1" t="s">
        <v>61</v>
      </c>
      <c r="L524" s="1" t="s">
        <v>61</v>
      </c>
      <c r="M524" s="1" t="s">
        <v>62</v>
      </c>
      <c r="N524" s="1">
        <v>-118.0</v>
      </c>
      <c r="O524" s="1">
        <v>0.0614487980464129</v>
      </c>
      <c r="P524" s="1" t="s">
        <v>61</v>
      </c>
      <c r="Q524" s="1" t="s">
        <v>61</v>
      </c>
      <c r="R524" s="1">
        <f t="shared" si="1"/>
        <v>0.06144879805</v>
      </c>
      <c r="S524" s="1">
        <f t="shared" si="2"/>
        <v>-118</v>
      </c>
      <c r="T524" s="1">
        <f t="shared" si="3"/>
        <v>1.847457627</v>
      </c>
      <c r="U524" s="1">
        <f t="shared" si="4"/>
        <v>0</v>
      </c>
      <c r="V524" s="3">
        <f t="shared" si="5"/>
        <v>2</v>
      </c>
      <c r="W524" s="3">
        <f t="shared" si="6"/>
        <v>3</v>
      </c>
      <c r="X524" s="3" t="str">
        <f>IFERROR(__xludf.DUMMYFUNCTION("split(B524,"" "")"),"J.")</f>
        <v>J.</v>
      </c>
      <c r="Y524" s="3" t="str">
        <f>IFERROR(__xludf.DUMMYFUNCTION("""COMPUTED_VALUE"""),"Fields")</f>
        <v>Fields</v>
      </c>
      <c r="AA524" s="3">
        <v>32.0</v>
      </c>
      <c r="AB524" s="3">
        <f t="shared" si="7"/>
        <v>1</v>
      </c>
      <c r="AC524" s="3">
        <f t="shared" si="8"/>
        <v>0</v>
      </c>
      <c r="AD524" s="3">
        <f t="shared" si="9"/>
        <v>1.694915254</v>
      </c>
      <c r="AE524" s="3">
        <f t="shared" si="10"/>
        <v>-2</v>
      </c>
      <c r="AF524" s="3">
        <f t="shared" si="11"/>
        <v>-3</v>
      </c>
      <c r="AG524" s="3">
        <f t="shared" si="12"/>
        <v>-0.3617021277</v>
      </c>
    </row>
    <row r="525">
      <c r="A525" s="1" t="s">
        <v>13</v>
      </c>
      <c r="B525" s="1" t="s">
        <v>555</v>
      </c>
      <c r="C525" s="1" t="s">
        <v>21</v>
      </c>
      <c r="D525" s="1" t="s">
        <v>110</v>
      </c>
      <c r="E525" s="1" t="s">
        <v>135</v>
      </c>
      <c r="F525" s="1" t="s">
        <v>525</v>
      </c>
      <c r="G525" s="1">
        <v>164.5</v>
      </c>
      <c r="H525" s="1" t="s">
        <v>60</v>
      </c>
      <c r="I525" s="1">
        <v>-111.0</v>
      </c>
      <c r="J525" s="1">
        <v>0.0410959507109002</v>
      </c>
      <c r="K525" s="1" t="s">
        <v>61</v>
      </c>
      <c r="L525" s="1" t="s">
        <v>61</v>
      </c>
      <c r="M525" s="1" t="s">
        <v>62</v>
      </c>
      <c r="N525" s="1">
        <v>-118.0</v>
      </c>
      <c r="O525" s="1">
        <v>-0.10841292572477</v>
      </c>
      <c r="P525" s="1" t="s">
        <v>61</v>
      </c>
      <c r="Q525" s="1" t="s">
        <v>61</v>
      </c>
      <c r="R525" s="1">
        <f t="shared" si="1"/>
        <v>0.04109595071</v>
      </c>
      <c r="S525" s="1">
        <f t="shared" si="2"/>
        <v>-111</v>
      </c>
      <c r="T525" s="1">
        <f t="shared" si="3"/>
        <v>1.900900901</v>
      </c>
      <c r="U525" s="1">
        <f t="shared" si="4"/>
        <v>1</v>
      </c>
      <c r="V525" s="3">
        <f t="shared" si="5"/>
        <v>1</v>
      </c>
      <c r="W525" s="3">
        <f t="shared" si="6"/>
        <v>2</v>
      </c>
      <c r="X525" s="3" t="str">
        <f>IFERROR(__xludf.DUMMYFUNCTION("split(B525,"" "")"),"J.")</f>
        <v>J.</v>
      </c>
      <c r="Y525" s="3" t="str">
        <f>IFERROR(__xludf.DUMMYFUNCTION("""COMPUTED_VALUE"""),"Fields")</f>
        <v>Fields</v>
      </c>
      <c r="AA525" s="3">
        <v>245.0</v>
      </c>
      <c r="AB525" s="3">
        <f t="shared" si="7"/>
        <v>1</v>
      </c>
      <c r="AC525" s="3">
        <f t="shared" si="8"/>
        <v>1</v>
      </c>
      <c r="AD525" s="3">
        <f t="shared" si="9"/>
        <v>0.9009009009</v>
      </c>
      <c r="AE525" s="3">
        <f t="shared" si="10"/>
        <v>0.9009009009</v>
      </c>
      <c r="AF525" s="3">
        <f t="shared" si="11"/>
        <v>1.801801802</v>
      </c>
      <c r="AG525" s="3">
        <f t="shared" si="12"/>
        <v>0.4893617021</v>
      </c>
    </row>
    <row r="526">
      <c r="A526" s="1" t="s">
        <v>12</v>
      </c>
      <c r="B526" s="1" t="s">
        <v>177</v>
      </c>
      <c r="C526" s="1" t="s">
        <v>19</v>
      </c>
      <c r="D526" s="1" t="s">
        <v>110</v>
      </c>
      <c r="E526" s="1" t="s">
        <v>135</v>
      </c>
      <c r="F526" s="1" t="s">
        <v>525</v>
      </c>
      <c r="G526" s="1">
        <v>2.5</v>
      </c>
      <c r="H526" s="1" t="s">
        <v>60</v>
      </c>
      <c r="I526" s="1">
        <v>112.0</v>
      </c>
      <c r="J526" s="1">
        <v>-0.102695557969811</v>
      </c>
      <c r="K526" s="1" t="s">
        <v>61</v>
      </c>
      <c r="L526" s="1" t="s">
        <v>61</v>
      </c>
      <c r="M526" s="1" t="s">
        <v>62</v>
      </c>
      <c r="N526" s="1">
        <v>-145.0</v>
      </c>
      <c r="O526" s="1">
        <v>0.0391604027693877</v>
      </c>
      <c r="P526" s="1" t="s">
        <v>61</v>
      </c>
      <c r="Q526" s="1" t="s">
        <v>61</v>
      </c>
      <c r="R526" s="1">
        <f t="shared" si="1"/>
        <v>0.03916040277</v>
      </c>
      <c r="S526" s="1">
        <f t="shared" si="2"/>
        <v>-145</v>
      </c>
      <c r="T526" s="1">
        <f t="shared" si="3"/>
        <v>1.689655172</v>
      </c>
      <c r="U526" s="1">
        <f t="shared" si="4"/>
        <v>0</v>
      </c>
      <c r="V526" s="3">
        <f t="shared" si="5"/>
        <v>1</v>
      </c>
      <c r="W526" s="3">
        <f t="shared" si="6"/>
        <v>3</v>
      </c>
      <c r="X526" s="3" t="str">
        <f>IFERROR(__xludf.DUMMYFUNCTION("split(B526,"" "")"),"J.")</f>
        <v>J.</v>
      </c>
      <c r="Y526" s="3" t="str">
        <f>IFERROR(__xludf.DUMMYFUNCTION("""COMPUTED_VALUE"""),"Warren")</f>
        <v>Warren</v>
      </c>
      <c r="AA526" s="3">
        <v>1.0</v>
      </c>
      <c r="AB526" s="3">
        <f t="shared" si="7"/>
        <v>0</v>
      </c>
      <c r="AC526" s="3">
        <f t="shared" si="8"/>
        <v>1</v>
      </c>
      <c r="AD526" s="3">
        <f t="shared" si="9"/>
        <v>0.6896551724</v>
      </c>
      <c r="AE526" s="3">
        <f t="shared" si="10"/>
        <v>0.6896551724</v>
      </c>
      <c r="AF526" s="3">
        <f t="shared" si="11"/>
        <v>2.068965517</v>
      </c>
      <c r="AG526" s="3">
        <f t="shared" si="12"/>
        <v>0.6</v>
      </c>
    </row>
    <row r="527">
      <c r="A527" s="1" t="s">
        <v>12</v>
      </c>
      <c r="B527" s="1" t="s">
        <v>415</v>
      </c>
      <c r="C527" s="1" t="s">
        <v>18</v>
      </c>
      <c r="D527" s="1" t="s">
        <v>110</v>
      </c>
      <c r="E527" s="1" t="s">
        <v>135</v>
      </c>
      <c r="F527" s="1" t="s">
        <v>525</v>
      </c>
      <c r="G527" s="1">
        <v>3.5</v>
      </c>
      <c r="H527" s="1" t="s">
        <v>60</v>
      </c>
      <c r="I527" s="1">
        <v>113.0</v>
      </c>
      <c r="J527" s="1">
        <v>-0.0822366197183098</v>
      </c>
      <c r="K527" s="1" t="s">
        <v>61</v>
      </c>
      <c r="L527" s="1" t="s">
        <v>61</v>
      </c>
      <c r="M527" s="1" t="s">
        <v>62</v>
      </c>
      <c r="N527" s="1">
        <v>-148.0</v>
      </c>
      <c r="O527" s="1">
        <v>0.0159854838709677</v>
      </c>
      <c r="P527" s="1" t="s">
        <v>61</v>
      </c>
      <c r="Q527" s="1" t="s">
        <v>61</v>
      </c>
      <c r="R527" s="1">
        <f t="shared" si="1"/>
        <v>0.01598548387</v>
      </c>
      <c r="S527" s="1">
        <f t="shared" si="2"/>
        <v>-148</v>
      </c>
      <c r="T527" s="1">
        <f t="shared" si="3"/>
        <v>1.675675676</v>
      </c>
      <c r="U527" s="1">
        <f t="shared" si="4"/>
        <v>0</v>
      </c>
      <c r="V527" s="3">
        <f t="shared" si="5"/>
        <v>1</v>
      </c>
      <c r="W527" s="3">
        <f t="shared" si="6"/>
        <v>3</v>
      </c>
      <c r="X527" s="3" t="str">
        <f>IFERROR(__xludf.DUMMYFUNCTION("split(B527,"" "")"),"G.")</f>
        <v>G.</v>
      </c>
      <c r="Y527" s="3" t="str">
        <f>IFERROR(__xludf.DUMMYFUNCTION("""COMPUTED_VALUE"""),"Pickens")</f>
        <v>Pickens</v>
      </c>
      <c r="AA527" s="3">
        <v>5.0</v>
      </c>
      <c r="AB527" s="3">
        <f t="shared" si="7"/>
        <v>1</v>
      </c>
      <c r="AC527" s="3">
        <f t="shared" si="8"/>
        <v>0</v>
      </c>
      <c r="AD527" s="3">
        <f t="shared" si="9"/>
        <v>0.6756756757</v>
      </c>
      <c r="AE527" s="3">
        <f t="shared" si="10"/>
        <v>-1</v>
      </c>
      <c r="AF527" s="3">
        <f t="shared" si="11"/>
        <v>-3</v>
      </c>
      <c r="AG527" s="3">
        <f t="shared" si="12"/>
        <v>-0.4285714286</v>
      </c>
    </row>
    <row r="528">
      <c r="A528" s="1" t="s">
        <v>9</v>
      </c>
      <c r="B528" s="1" t="s">
        <v>177</v>
      </c>
      <c r="C528" s="1" t="s">
        <v>19</v>
      </c>
      <c r="D528" s="1" t="s">
        <v>110</v>
      </c>
      <c r="E528" s="1" t="s">
        <v>135</v>
      </c>
      <c r="F528" s="1" t="s">
        <v>525</v>
      </c>
      <c r="G528" s="1">
        <v>45.5</v>
      </c>
      <c r="H528" s="1" t="s">
        <v>60</v>
      </c>
      <c r="I528" s="1">
        <v>-117.0</v>
      </c>
      <c r="J528" s="1">
        <v>0.0159258265211652</v>
      </c>
      <c r="K528" s="1" t="s">
        <v>61</v>
      </c>
      <c r="L528" s="1" t="s">
        <v>61</v>
      </c>
      <c r="M528" s="1" t="s">
        <v>62</v>
      </c>
      <c r="N528" s="1">
        <v>-118.0</v>
      </c>
      <c r="O528" s="1">
        <v>-0.0964324731147227</v>
      </c>
      <c r="P528" s="1" t="s">
        <v>61</v>
      </c>
      <c r="Q528" s="1" t="s">
        <v>61</v>
      </c>
      <c r="R528" s="1">
        <f t="shared" si="1"/>
        <v>0.01592582652</v>
      </c>
      <c r="S528" s="1">
        <f t="shared" si="2"/>
        <v>-117</v>
      </c>
      <c r="T528" s="1">
        <f t="shared" si="3"/>
        <v>1.854700855</v>
      </c>
      <c r="U528" s="1">
        <f t="shared" si="4"/>
        <v>1</v>
      </c>
      <c r="V528" s="3">
        <f t="shared" si="5"/>
        <v>1</v>
      </c>
      <c r="W528" s="3">
        <f t="shared" si="6"/>
        <v>2</v>
      </c>
      <c r="X528" s="3" t="str">
        <f>IFERROR(__xludf.DUMMYFUNCTION("split(B528,"" "")"),"J.")</f>
        <v>J.</v>
      </c>
      <c r="Y528" s="3" t="str">
        <f>IFERROR(__xludf.DUMMYFUNCTION("""COMPUTED_VALUE"""),"Warren")</f>
        <v>Warren</v>
      </c>
      <c r="AA528" s="3">
        <v>1.0</v>
      </c>
      <c r="AB528" s="3">
        <f t="shared" si="7"/>
        <v>0</v>
      </c>
      <c r="AC528" s="3">
        <f t="shared" si="8"/>
        <v>0</v>
      </c>
      <c r="AD528" s="3">
        <f t="shared" si="9"/>
        <v>0.8547008547</v>
      </c>
      <c r="AE528" s="3">
        <f t="shared" si="10"/>
        <v>-1</v>
      </c>
      <c r="AF528" s="3">
        <f t="shared" si="11"/>
        <v>-2</v>
      </c>
      <c r="AG528" s="3">
        <f t="shared" si="12"/>
        <v>-0.978021978</v>
      </c>
    </row>
    <row r="529">
      <c r="A529" s="1" t="s">
        <v>11</v>
      </c>
      <c r="B529" s="1" t="s">
        <v>489</v>
      </c>
      <c r="C529" s="1" t="s">
        <v>20</v>
      </c>
      <c r="D529" s="1" t="s">
        <v>110</v>
      </c>
      <c r="E529" s="1" t="s">
        <v>135</v>
      </c>
      <c r="F529" s="1" t="s">
        <v>525</v>
      </c>
      <c r="G529" s="1">
        <v>24.5</v>
      </c>
      <c r="H529" s="1" t="s">
        <v>60</v>
      </c>
      <c r="I529" s="1">
        <v>-121.0</v>
      </c>
      <c r="J529" s="1">
        <v>-0.0775942063424751</v>
      </c>
      <c r="K529" s="1" t="s">
        <v>61</v>
      </c>
      <c r="L529" s="1" t="s">
        <v>61</v>
      </c>
      <c r="M529" s="1" t="s">
        <v>62</v>
      </c>
      <c r="N529" s="1">
        <v>-108.0</v>
      </c>
      <c r="O529" s="1">
        <v>0.0109086017779902</v>
      </c>
      <c r="P529" s="1" t="s">
        <v>61</v>
      </c>
      <c r="Q529" s="1" t="s">
        <v>61</v>
      </c>
      <c r="R529" s="1">
        <f t="shared" si="1"/>
        <v>0.01090860178</v>
      </c>
      <c r="S529" s="1">
        <f t="shared" si="2"/>
        <v>-108</v>
      </c>
      <c r="T529" s="1">
        <f t="shared" si="3"/>
        <v>1.925925926</v>
      </c>
      <c r="U529" s="1">
        <f t="shared" si="4"/>
        <v>0</v>
      </c>
      <c r="V529" s="3">
        <f t="shared" si="5"/>
        <v>1</v>
      </c>
      <c r="W529" s="3">
        <f t="shared" si="6"/>
        <v>2</v>
      </c>
      <c r="X529" s="3" t="str">
        <f>IFERROR(__xludf.DUMMYFUNCTION("split(B529,"" "")"),"P.")</f>
        <v>P.</v>
      </c>
      <c r="Y529" s="3" t="str">
        <f>IFERROR(__xludf.DUMMYFUNCTION("""COMPUTED_VALUE"""),"Freiermuth")</f>
        <v>Freiermuth</v>
      </c>
      <c r="AA529" s="3">
        <v>33.0</v>
      </c>
      <c r="AB529" s="3">
        <f t="shared" si="7"/>
        <v>1</v>
      </c>
      <c r="AC529" s="3">
        <f t="shared" si="8"/>
        <v>0</v>
      </c>
      <c r="AD529" s="3">
        <f t="shared" si="9"/>
        <v>0.9259259259</v>
      </c>
      <c r="AE529" s="3">
        <f t="shared" si="10"/>
        <v>-1</v>
      </c>
      <c r="AF529" s="3">
        <f t="shared" si="11"/>
        <v>-2</v>
      </c>
      <c r="AG529" s="3">
        <f t="shared" si="12"/>
        <v>-0.3469387755</v>
      </c>
    </row>
    <row r="530">
      <c r="A530" s="1" t="s">
        <v>10</v>
      </c>
      <c r="B530" s="1" t="s">
        <v>123</v>
      </c>
      <c r="C530" s="1" t="s">
        <v>19</v>
      </c>
      <c r="D530" s="1" t="s">
        <v>110</v>
      </c>
      <c r="E530" s="1" t="s">
        <v>135</v>
      </c>
      <c r="F530" s="1" t="s">
        <v>525</v>
      </c>
      <c r="G530" s="1">
        <v>53.5</v>
      </c>
      <c r="H530" s="1" t="s">
        <v>60</v>
      </c>
      <c r="I530" s="1">
        <v>-114.0</v>
      </c>
      <c r="J530" s="1">
        <v>-0.0646524942145924</v>
      </c>
      <c r="K530" s="1" t="s">
        <v>61</v>
      </c>
      <c r="L530" s="1" t="s">
        <v>61</v>
      </c>
      <c r="M530" s="1" t="s">
        <v>62</v>
      </c>
      <c r="N530" s="1">
        <v>-110.0</v>
      </c>
      <c r="O530" s="1">
        <v>0.00814844731756891</v>
      </c>
      <c r="P530" s="1" t="s">
        <v>61</v>
      </c>
      <c r="Q530" s="1" t="s">
        <v>61</v>
      </c>
      <c r="R530" s="1">
        <f t="shared" si="1"/>
        <v>0.008148447318</v>
      </c>
      <c r="S530" s="1">
        <f t="shared" si="2"/>
        <v>-110</v>
      </c>
      <c r="T530" s="1">
        <f t="shared" si="3"/>
        <v>1.909090909</v>
      </c>
      <c r="U530" s="1">
        <f t="shared" si="4"/>
        <v>0</v>
      </c>
      <c r="V530" s="3">
        <f t="shared" si="5"/>
        <v>1</v>
      </c>
      <c r="W530" s="3">
        <f t="shared" si="6"/>
        <v>2</v>
      </c>
      <c r="X530" s="3" t="str">
        <f>IFERROR(__xludf.DUMMYFUNCTION("split(B530,"" "")"),"N.")</f>
        <v>N.</v>
      </c>
      <c r="Y530" s="3" t="str">
        <f>IFERROR(__xludf.DUMMYFUNCTION("""COMPUTED_VALUE"""),"Harris")</f>
        <v>Harris</v>
      </c>
      <c r="AA530" s="3">
        <v>70.0</v>
      </c>
      <c r="AB530" s="3">
        <f t="shared" si="7"/>
        <v>1</v>
      </c>
      <c r="AC530" s="3">
        <f t="shared" si="8"/>
        <v>0</v>
      </c>
      <c r="AD530" s="3">
        <f t="shared" si="9"/>
        <v>0.9090909091</v>
      </c>
      <c r="AE530" s="3">
        <f t="shared" si="10"/>
        <v>-1</v>
      </c>
      <c r="AF530" s="3">
        <f t="shared" si="11"/>
        <v>-2</v>
      </c>
      <c r="AG530" s="3">
        <f t="shared" si="12"/>
        <v>-0.308411215</v>
      </c>
    </row>
    <row r="531">
      <c r="A531" s="1" t="s">
        <v>9</v>
      </c>
      <c r="B531" s="1" t="s">
        <v>415</v>
      </c>
      <c r="C531" s="1" t="s">
        <v>18</v>
      </c>
      <c r="D531" s="1" t="s">
        <v>110</v>
      </c>
      <c r="E531" s="1" t="s">
        <v>135</v>
      </c>
      <c r="F531" s="1" t="s">
        <v>525</v>
      </c>
      <c r="G531" s="1">
        <v>51.5</v>
      </c>
      <c r="H531" s="1" t="s">
        <v>60</v>
      </c>
      <c r="I531" s="1">
        <v>-116.0</v>
      </c>
      <c r="J531" s="1">
        <v>0.00265449594668643</v>
      </c>
      <c r="K531" s="1" t="s">
        <v>61</v>
      </c>
      <c r="L531" s="1" t="s">
        <v>61</v>
      </c>
      <c r="M531" s="1" t="s">
        <v>62</v>
      </c>
      <c r="N531" s="1">
        <v>-116.0</v>
      </c>
      <c r="O531" s="1">
        <v>-0.0767912152981562</v>
      </c>
      <c r="P531" s="1" t="s">
        <v>61</v>
      </c>
      <c r="Q531" s="1" t="s">
        <v>61</v>
      </c>
      <c r="R531" s="1">
        <f t="shared" si="1"/>
        <v>0.002654495947</v>
      </c>
      <c r="S531" s="1">
        <f t="shared" si="2"/>
        <v>-116</v>
      </c>
      <c r="T531" s="1">
        <f t="shared" si="3"/>
        <v>1.862068966</v>
      </c>
      <c r="U531" s="1">
        <f t="shared" si="4"/>
        <v>1</v>
      </c>
      <c r="V531" s="3">
        <f t="shared" si="5"/>
        <v>1</v>
      </c>
      <c r="W531" s="3">
        <f t="shared" si="6"/>
        <v>2</v>
      </c>
      <c r="X531" s="3" t="str">
        <f>IFERROR(__xludf.DUMMYFUNCTION("split(B531,"" "")"),"G.")</f>
        <v>G.</v>
      </c>
      <c r="Y531" s="3" t="str">
        <f>IFERROR(__xludf.DUMMYFUNCTION("""COMPUTED_VALUE"""),"Pickens")</f>
        <v>Pickens</v>
      </c>
      <c r="AA531" s="3">
        <v>57.0</v>
      </c>
      <c r="AB531" s="3">
        <f t="shared" si="7"/>
        <v>1</v>
      </c>
      <c r="AC531" s="3">
        <f t="shared" si="8"/>
        <v>1</v>
      </c>
      <c r="AD531" s="3">
        <f t="shared" si="9"/>
        <v>0.8620689655</v>
      </c>
      <c r="AE531" s="3">
        <f t="shared" si="10"/>
        <v>0.8620689655</v>
      </c>
      <c r="AF531" s="3">
        <f t="shared" si="11"/>
        <v>1.724137931</v>
      </c>
      <c r="AG531" s="3">
        <f t="shared" si="12"/>
        <v>0.1067961165</v>
      </c>
    </row>
    <row r="532">
      <c r="A532" s="1" t="s">
        <v>8</v>
      </c>
      <c r="B532" s="1" t="s">
        <v>500</v>
      </c>
      <c r="C532" s="1" t="s">
        <v>21</v>
      </c>
      <c r="D532" s="1" t="s">
        <v>82</v>
      </c>
      <c r="E532" s="1" t="s">
        <v>94</v>
      </c>
      <c r="F532" s="1" t="s">
        <v>519</v>
      </c>
      <c r="G532" s="1">
        <v>2.5</v>
      </c>
      <c r="H532" s="1" t="s">
        <v>60</v>
      </c>
      <c r="I532" s="1">
        <v>-128.0</v>
      </c>
      <c r="J532" s="1">
        <v>-0.19375123444533</v>
      </c>
      <c r="K532" s="1" t="s">
        <v>61</v>
      </c>
      <c r="L532" s="1" t="s">
        <v>61</v>
      </c>
      <c r="M532" s="1" t="s">
        <v>62</v>
      </c>
      <c r="N532" s="1">
        <v>-106.0</v>
      </c>
      <c r="O532" s="1">
        <v>0.117775564760909</v>
      </c>
      <c r="P532" s="1" t="s">
        <v>61</v>
      </c>
      <c r="Q532" s="1" t="s">
        <v>61</v>
      </c>
      <c r="R532" s="1">
        <f t="shared" si="1"/>
        <v>0.1177755648</v>
      </c>
      <c r="S532" s="1">
        <f t="shared" si="2"/>
        <v>-106</v>
      </c>
      <c r="T532" s="1">
        <f t="shared" si="3"/>
        <v>1.943396226</v>
      </c>
      <c r="U532" s="1">
        <f t="shared" si="4"/>
        <v>0</v>
      </c>
      <c r="V532" s="3">
        <f t="shared" si="5"/>
        <v>3</v>
      </c>
      <c r="W532" s="3">
        <f t="shared" si="6"/>
        <v>2</v>
      </c>
      <c r="X532" s="3" t="str">
        <f>IFERROR(__xludf.DUMMYFUNCTION("split(B532,"" "")"),"G.")</f>
        <v>G.</v>
      </c>
      <c r="Y532" s="3" t="str">
        <f>IFERROR(__xludf.DUMMYFUNCTION("""COMPUTED_VALUE"""),"Smith")</f>
        <v>Smith</v>
      </c>
      <c r="AA532" s="3">
        <v>0.0</v>
      </c>
      <c r="AB532" s="3">
        <f t="shared" si="7"/>
        <v>0</v>
      </c>
      <c r="AC532" s="3">
        <f t="shared" si="8"/>
        <v>1</v>
      </c>
      <c r="AD532" s="3">
        <f t="shared" si="9"/>
        <v>2.830188679</v>
      </c>
      <c r="AE532" s="3">
        <f t="shared" si="10"/>
        <v>2.830188679</v>
      </c>
      <c r="AF532" s="3">
        <f t="shared" si="11"/>
        <v>1.886792453</v>
      </c>
      <c r="AG532" s="3">
        <f t="shared" si="12"/>
        <v>1</v>
      </c>
    </row>
    <row r="533">
      <c r="A533" s="1" t="s">
        <v>12</v>
      </c>
      <c r="B533" s="1" t="s">
        <v>81</v>
      </c>
      <c r="C533" s="1" t="s">
        <v>20</v>
      </c>
      <c r="D533" s="1" t="s">
        <v>82</v>
      </c>
      <c r="E533" s="1" t="s">
        <v>94</v>
      </c>
      <c r="F533" s="1" t="s">
        <v>519</v>
      </c>
      <c r="G533" s="1">
        <v>2.5</v>
      </c>
      <c r="H533" s="1" t="s">
        <v>60</v>
      </c>
      <c r="I533" s="1">
        <v>-126.0</v>
      </c>
      <c r="J533" s="1">
        <v>-0.183319864955752</v>
      </c>
      <c r="K533" s="1" t="s">
        <v>61</v>
      </c>
      <c r="L533" s="1" t="s">
        <v>61</v>
      </c>
      <c r="M533" s="1" t="s">
        <v>62</v>
      </c>
      <c r="N533" s="1">
        <v>-105.0</v>
      </c>
      <c r="O533" s="1">
        <v>0.113602263190243</v>
      </c>
      <c r="P533" s="1" t="s">
        <v>61</v>
      </c>
      <c r="Q533" s="1" t="s">
        <v>61</v>
      </c>
      <c r="R533" s="1">
        <f t="shared" si="1"/>
        <v>0.1136022632</v>
      </c>
      <c r="S533" s="1">
        <f t="shared" si="2"/>
        <v>-105</v>
      </c>
      <c r="T533" s="1">
        <f t="shared" si="3"/>
        <v>1.952380952</v>
      </c>
      <c r="U533" s="1">
        <f t="shared" si="4"/>
        <v>0</v>
      </c>
      <c r="V533" s="3">
        <f t="shared" si="5"/>
        <v>3</v>
      </c>
      <c r="W533" s="3">
        <f t="shared" si="6"/>
        <v>2</v>
      </c>
      <c r="X533" s="3" t="str">
        <f>IFERROR(__xludf.DUMMYFUNCTION("split(B533,"" "")"),"N.")</f>
        <v>N.</v>
      </c>
      <c r="Y533" s="3" t="str">
        <f>IFERROR(__xludf.DUMMYFUNCTION("""COMPUTED_VALUE"""),"Fant")</f>
        <v>Fant</v>
      </c>
      <c r="AA533" s="3">
        <v>6.0</v>
      </c>
      <c r="AB533" s="3">
        <f t="shared" si="7"/>
        <v>1</v>
      </c>
      <c r="AC533" s="3">
        <f t="shared" si="8"/>
        <v>0</v>
      </c>
      <c r="AD533" s="3">
        <f t="shared" si="9"/>
        <v>2.857142857</v>
      </c>
      <c r="AE533" s="3">
        <f t="shared" si="10"/>
        <v>-3</v>
      </c>
      <c r="AF533" s="3">
        <f t="shared" si="11"/>
        <v>-2</v>
      </c>
      <c r="AG533" s="3">
        <f t="shared" si="12"/>
        <v>-1.4</v>
      </c>
    </row>
    <row r="534">
      <c r="A534" s="1" t="s">
        <v>12</v>
      </c>
      <c r="B534" s="1" t="s">
        <v>480</v>
      </c>
      <c r="C534" s="1" t="s">
        <v>18</v>
      </c>
      <c r="D534" s="1" t="s">
        <v>82</v>
      </c>
      <c r="E534" s="1" t="s">
        <v>94</v>
      </c>
      <c r="F534" s="1" t="s">
        <v>519</v>
      </c>
      <c r="G534" s="1">
        <v>3.5</v>
      </c>
      <c r="H534" s="1" t="s">
        <v>60</v>
      </c>
      <c r="I534" s="1">
        <v>-133.0</v>
      </c>
      <c r="J534" s="1">
        <v>-0.167001287553648</v>
      </c>
      <c r="K534" s="1" t="s">
        <v>61</v>
      </c>
      <c r="L534" s="1" t="s">
        <v>61</v>
      </c>
      <c r="M534" s="1" t="s">
        <v>62</v>
      </c>
      <c r="N534" s="1">
        <v>102.0</v>
      </c>
      <c r="O534" s="1">
        <v>0.101149504950495</v>
      </c>
      <c r="P534" s="1" t="s">
        <v>61</v>
      </c>
      <c r="Q534" s="1" t="s">
        <v>61</v>
      </c>
      <c r="R534" s="1">
        <f t="shared" si="1"/>
        <v>0.101149505</v>
      </c>
      <c r="S534" s="1">
        <f t="shared" si="2"/>
        <v>102</v>
      </c>
      <c r="T534" s="1">
        <f t="shared" si="3"/>
        <v>2.02</v>
      </c>
      <c r="U534" s="1">
        <f t="shared" si="4"/>
        <v>0</v>
      </c>
      <c r="V534" s="3">
        <f t="shared" si="5"/>
        <v>3</v>
      </c>
      <c r="W534" s="3">
        <f t="shared" si="6"/>
        <v>2</v>
      </c>
      <c r="X534" s="3" t="str">
        <f>IFERROR(__xludf.DUMMYFUNCTION("split(B534,"" "")"),"T.")</f>
        <v>T.</v>
      </c>
      <c r="Y534" s="3" t="str">
        <f>IFERROR(__xludf.DUMMYFUNCTION("""COMPUTED_VALUE"""),"Lockett")</f>
        <v>Lockett</v>
      </c>
      <c r="AA534" s="3">
        <v>5.0</v>
      </c>
      <c r="AB534" s="3">
        <f t="shared" si="7"/>
        <v>1</v>
      </c>
      <c r="AC534" s="3">
        <f t="shared" si="8"/>
        <v>0</v>
      </c>
      <c r="AD534" s="3">
        <f t="shared" si="9"/>
        <v>3.06</v>
      </c>
      <c r="AE534" s="3">
        <f t="shared" si="10"/>
        <v>-3</v>
      </c>
      <c r="AF534" s="3">
        <f t="shared" si="11"/>
        <v>-2</v>
      </c>
      <c r="AG534" s="3">
        <f t="shared" si="12"/>
        <v>-0.4285714286</v>
      </c>
    </row>
    <row r="535">
      <c r="A535" s="1" t="s">
        <v>8</v>
      </c>
      <c r="B535" s="1" t="s">
        <v>361</v>
      </c>
      <c r="C535" s="1" t="s">
        <v>19</v>
      </c>
      <c r="D535" s="1" t="s">
        <v>82</v>
      </c>
      <c r="E535" s="1" t="s">
        <v>94</v>
      </c>
      <c r="F535" s="1" t="s">
        <v>519</v>
      </c>
      <c r="G535" s="1">
        <v>17.5</v>
      </c>
      <c r="H535" s="1" t="s">
        <v>60</v>
      </c>
      <c r="I535" s="1">
        <v>-118.0</v>
      </c>
      <c r="J535" s="1">
        <v>0.0708568841311927</v>
      </c>
      <c r="K535" s="1" t="s">
        <v>61</v>
      </c>
      <c r="L535" s="1" t="s">
        <v>61</v>
      </c>
      <c r="M535" s="1" t="s">
        <v>62</v>
      </c>
      <c r="N535" s="1">
        <v>-112.0</v>
      </c>
      <c r="O535" s="1">
        <v>-0.1404507225</v>
      </c>
      <c r="P535" s="1" t="s">
        <v>61</v>
      </c>
      <c r="Q535" s="1" t="s">
        <v>61</v>
      </c>
      <c r="R535" s="1">
        <f t="shared" si="1"/>
        <v>0.07085688413</v>
      </c>
      <c r="S535" s="1">
        <f t="shared" si="2"/>
        <v>-118</v>
      </c>
      <c r="T535" s="1">
        <f t="shared" si="3"/>
        <v>1.847457627</v>
      </c>
      <c r="U535" s="1">
        <f t="shared" si="4"/>
        <v>1</v>
      </c>
      <c r="V535" s="3">
        <f t="shared" si="5"/>
        <v>2</v>
      </c>
      <c r="W535" s="3">
        <f t="shared" si="6"/>
        <v>3</v>
      </c>
      <c r="X535" s="3" t="str">
        <f>IFERROR(__xludf.DUMMYFUNCTION("split(B535,"" "")"),"Z.")</f>
        <v>Z.</v>
      </c>
      <c r="Y535" s="3" t="str">
        <f>IFERROR(__xludf.DUMMYFUNCTION("""COMPUTED_VALUE"""),"Charbonnet")</f>
        <v>Charbonnet</v>
      </c>
      <c r="AA535" s="3">
        <v>18.0</v>
      </c>
      <c r="AB535" s="3">
        <f t="shared" si="7"/>
        <v>1</v>
      </c>
      <c r="AC535" s="3">
        <f t="shared" si="8"/>
        <v>1</v>
      </c>
      <c r="AD535" s="3">
        <f t="shared" si="9"/>
        <v>1.694915254</v>
      </c>
      <c r="AE535" s="3">
        <f t="shared" si="10"/>
        <v>1.694915254</v>
      </c>
      <c r="AF535" s="3">
        <f t="shared" si="11"/>
        <v>2.542372881</v>
      </c>
      <c r="AG535" s="3">
        <f t="shared" si="12"/>
        <v>0.02857142857</v>
      </c>
    </row>
    <row r="536">
      <c r="A536" s="1" t="s">
        <v>12</v>
      </c>
      <c r="B536" s="1" t="s">
        <v>334</v>
      </c>
      <c r="C536" s="1" t="s">
        <v>18</v>
      </c>
      <c r="D536" s="1" t="s">
        <v>82</v>
      </c>
      <c r="E536" s="1" t="s">
        <v>94</v>
      </c>
      <c r="F536" s="1" t="s">
        <v>519</v>
      </c>
      <c r="G536" s="1">
        <v>4.5</v>
      </c>
      <c r="H536" s="1" t="s">
        <v>60</v>
      </c>
      <c r="I536" s="1">
        <v>-136.0</v>
      </c>
      <c r="J536" s="1">
        <v>-0.117713559322033</v>
      </c>
      <c r="K536" s="1" t="s">
        <v>61</v>
      </c>
      <c r="L536" s="1" t="s">
        <v>61</v>
      </c>
      <c r="M536" s="1" t="s">
        <v>62</v>
      </c>
      <c r="N536" s="1">
        <v>104.0</v>
      </c>
      <c r="O536" s="1">
        <v>0.0512529411764706</v>
      </c>
      <c r="P536" s="1" t="s">
        <v>61</v>
      </c>
      <c r="Q536" s="1" t="s">
        <v>61</v>
      </c>
      <c r="R536" s="1">
        <f t="shared" si="1"/>
        <v>0.05125294118</v>
      </c>
      <c r="S536" s="1">
        <f t="shared" si="2"/>
        <v>104</v>
      </c>
      <c r="T536" s="1">
        <f t="shared" si="3"/>
        <v>2.04</v>
      </c>
      <c r="U536" s="1">
        <f t="shared" si="4"/>
        <v>0</v>
      </c>
      <c r="V536" s="3">
        <f t="shared" si="5"/>
        <v>2</v>
      </c>
      <c r="W536" s="3">
        <f t="shared" si="6"/>
        <v>2</v>
      </c>
      <c r="X536" s="3" t="str">
        <f>IFERROR(__xludf.DUMMYFUNCTION("split(B536,"" "")"),"J.")</f>
        <v>J.</v>
      </c>
      <c r="Y536" s="3" t="str">
        <f>IFERROR(__xludf.DUMMYFUNCTION("""COMPUTED_VALUE"""),"Smith-Njigba")</f>
        <v>Smith-Njigba</v>
      </c>
      <c r="AA536" s="3">
        <v>3.0</v>
      </c>
      <c r="AB536" s="3">
        <f t="shared" si="7"/>
        <v>0</v>
      </c>
      <c r="AC536" s="3">
        <f t="shared" si="8"/>
        <v>1</v>
      </c>
      <c r="AD536" s="3">
        <f t="shared" si="9"/>
        <v>2.08</v>
      </c>
      <c r="AE536" s="3">
        <f t="shared" si="10"/>
        <v>2.08</v>
      </c>
      <c r="AF536" s="3">
        <f t="shared" si="11"/>
        <v>2.08</v>
      </c>
      <c r="AG536" s="3">
        <f t="shared" si="12"/>
        <v>0.3333333333</v>
      </c>
    </row>
    <row r="537">
      <c r="A537" s="1" t="s">
        <v>11</v>
      </c>
      <c r="B537" s="1" t="s">
        <v>334</v>
      </c>
      <c r="C537" s="1" t="s">
        <v>18</v>
      </c>
      <c r="D537" s="1" t="s">
        <v>82</v>
      </c>
      <c r="E537" s="1" t="s">
        <v>94</v>
      </c>
      <c r="F537" s="1" t="s">
        <v>519</v>
      </c>
      <c r="G537" s="1">
        <v>50.5</v>
      </c>
      <c r="H537" s="1" t="s">
        <v>60</v>
      </c>
      <c r="I537" s="1">
        <v>-117.0</v>
      </c>
      <c r="J537" s="1">
        <v>-0.113879757651774</v>
      </c>
      <c r="K537" s="1" t="s">
        <v>61</v>
      </c>
      <c r="L537" s="1" t="s">
        <v>61</v>
      </c>
      <c r="M537" s="1" t="s">
        <v>62</v>
      </c>
      <c r="N537" s="1">
        <v>-110.0</v>
      </c>
      <c r="O537" s="1">
        <v>0.050886795596</v>
      </c>
      <c r="P537" s="1" t="s">
        <v>61</v>
      </c>
      <c r="Q537" s="1" t="s">
        <v>61</v>
      </c>
      <c r="R537" s="1">
        <f t="shared" si="1"/>
        <v>0.0508867956</v>
      </c>
      <c r="S537" s="1">
        <f t="shared" si="2"/>
        <v>-110</v>
      </c>
      <c r="T537" s="1">
        <f t="shared" si="3"/>
        <v>1.909090909</v>
      </c>
      <c r="U537" s="1">
        <f t="shared" si="4"/>
        <v>0</v>
      </c>
      <c r="V537" s="3">
        <f t="shared" si="5"/>
        <v>2</v>
      </c>
      <c r="W537" s="3">
        <f t="shared" si="6"/>
        <v>2</v>
      </c>
      <c r="X537" s="3" t="str">
        <f>IFERROR(__xludf.DUMMYFUNCTION("split(B537,"" "")"),"J.")</f>
        <v>J.</v>
      </c>
      <c r="Y537" s="3" t="str">
        <f>IFERROR(__xludf.DUMMYFUNCTION("""COMPUTED_VALUE"""),"Smith-Njigba")</f>
        <v>Smith-Njigba</v>
      </c>
      <c r="AA537" s="3">
        <v>39.0</v>
      </c>
      <c r="AB537" s="3">
        <f t="shared" si="7"/>
        <v>0</v>
      </c>
      <c r="AC537" s="3">
        <f t="shared" si="8"/>
        <v>1</v>
      </c>
      <c r="AD537" s="3">
        <f t="shared" si="9"/>
        <v>1.818181818</v>
      </c>
      <c r="AE537" s="3">
        <f t="shared" si="10"/>
        <v>1.818181818</v>
      </c>
      <c r="AF537" s="3">
        <f t="shared" si="11"/>
        <v>1.818181818</v>
      </c>
      <c r="AG537" s="3">
        <f t="shared" si="12"/>
        <v>0.2277227723</v>
      </c>
    </row>
    <row r="538">
      <c r="A538" s="1" t="s">
        <v>12</v>
      </c>
      <c r="B538" s="1" t="s">
        <v>387</v>
      </c>
      <c r="C538" s="1" t="s">
        <v>18</v>
      </c>
      <c r="D538" s="1" t="s">
        <v>82</v>
      </c>
      <c r="E538" s="1" t="s">
        <v>94</v>
      </c>
      <c r="F538" s="1" t="s">
        <v>519</v>
      </c>
      <c r="G538" s="1">
        <v>4.5</v>
      </c>
      <c r="H538" s="1" t="s">
        <v>60</v>
      </c>
      <c r="I538" s="1">
        <v>-133.0</v>
      </c>
      <c r="J538" s="1">
        <v>-0.107944206008583</v>
      </c>
      <c r="K538" s="1" t="s">
        <v>61</v>
      </c>
      <c r="L538" s="1" t="s">
        <v>61</v>
      </c>
      <c r="M538" s="1" t="s">
        <v>62</v>
      </c>
      <c r="N538" s="1">
        <v>102.0</v>
      </c>
      <c r="O538" s="1">
        <v>0.0420990099009901</v>
      </c>
      <c r="P538" s="1" t="s">
        <v>61</v>
      </c>
      <c r="Q538" s="1" t="s">
        <v>61</v>
      </c>
      <c r="R538" s="1">
        <f t="shared" si="1"/>
        <v>0.0420990099</v>
      </c>
      <c r="S538" s="1">
        <f t="shared" si="2"/>
        <v>102</v>
      </c>
      <c r="T538" s="1">
        <f t="shared" si="3"/>
        <v>2.02</v>
      </c>
      <c r="U538" s="1">
        <f t="shared" si="4"/>
        <v>0</v>
      </c>
      <c r="V538" s="3">
        <f t="shared" si="5"/>
        <v>1</v>
      </c>
      <c r="W538" s="3">
        <f t="shared" si="6"/>
        <v>2</v>
      </c>
      <c r="X538" s="3" t="str">
        <f>IFERROR(__xludf.DUMMYFUNCTION("split(B538,"" "")"),"D.")</f>
        <v>D.</v>
      </c>
      <c r="Y538" s="3" t="str">
        <f>IFERROR(__xludf.DUMMYFUNCTION("""COMPUTED_VALUE"""),"Metcalf")</f>
        <v>Metcalf</v>
      </c>
      <c r="AA538" s="3">
        <v>4.0</v>
      </c>
      <c r="AB538" s="3">
        <f t="shared" si="7"/>
        <v>0</v>
      </c>
      <c r="AC538" s="3">
        <f t="shared" si="8"/>
        <v>1</v>
      </c>
      <c r="AD538" s="3">
        <f t="shared" si="9"/>
        <v>1.02</v>
      </c>
      <c r="AE538" s="3">
        <f t="shared" si="10"/>
        <v>1.02</v>
      </c>
      <c r="AF538" s="3">
        <f t="shared" si="11"/>
        <v>2.04</v>
      </c>
      <c r="AG538" s="3">
        <f t="shared" si="12"/>
        <v>0.1111111111</v>
      </c>
    </row>
    <row r="539">
      <c r="A539" s="1" t="s">
        <v>11</v>
      </c>
      <c r="B539" s="1" t="s">
        <v>480</v>
      </c>
      <c r="C539" s="1" t="s">
        <v>18</v>
      </c>
      <c r="D539" s="1" t="s">
        <v>82</v>
      </c>
      <c r="E539" s="1" t="s">
        <v>94</v>
      </c>
      <c r="F539" s="1" t="s">
        <v>519</v>
      </c>
      <c r="G539" s="1">
        <v>40.5</v>
      </c>
      <c r="H539" s="1" t="s">
        <v>60</v>
      </c>
      <c r="I539" s="1">
        <v>-118.0</v>
      </c>
      <c r="J539" s="1">
        <v>-0.0777703823610092</v>
      </c>
      <c r="K539" s="1" t="s">
        <v>61</v>
      </c>
      <c r="L539" s="1" t="s">
        <v>61</v>
      </c>
      <c r="M539" s="1" t="s">
        <v>62</v>
      </c>
      <c r="N539" s="1">
        <v>-112.0</v>
      </c>
      <c r="O539" s="1">
        <v>0.00821064837400009</v>
      </c>
      <c r="P539" s="1" t="s">
        <v>61</v>
      </c>
      <c r="Q539" s="1" t="s">
        <v>61</v>
      </c>
      <c r="R539" s="1">
        <f t="shared" si="1"/>
        <v>0.008210648374</v>
      </c>
      <c r="S539" s="1">
        <f t="shared" si="2"/>
        <v>-112</v>
      </c>
      <c r="T539" s="1">
        <f t="shared" si="3"/>
        <v>1.892857143</v>
      </c>
      <c r="U539" s="1">
        <f t="shared" si="4"/>
        <v>0</v>
      </c>
      <c r="V539" s="3">
        <f t="shared" si="5"/>
        <v>1</v>
      </c>
      <c r="W539" s="3">
        <f t="shared" si="6"/>
        <v>2</v>
      </c>
      <c r="X539" s="3" t="str">
        <f>IFERROR(__xludf.DUMMYFUNCTION("split(B539,"" "")"),"T.")</f>
        <v>T.</v>
      </c>
      <c r="Y539" s="3" t="str">
        <f>IFERROR(__xludf.DUMMYFUNCTION("""COMPUTED_VALUE"""),"Lockett")</f>
        <v>Lockett</v>
      </c>
      <c r="AA539" s="3">
        <v>46.0</v>
      </c>
      <c r="AB539" s="3">
        <f t="shared" si="7"/>
        <v>1</v>
      </c>
      <c r="AC539" s="3">
        <f t="shared" si="8"/>
        <v>0</v>
      </c>
      <c r="AD539" s="3">
        <f t="shared" si="9"/>
        <v>0.8928571429</v>
      </c>
      <c r="AE539" s="3">
        <f t="shared" si="10"/>
        <v>-1</v>
      </c>
      <c r="AF539" s="3">
        <f t="shared" si="11"/>
        <v>-2</v>
      </c>
      <c r="AG539" s="3">
        <f t="shared" si="12"/>
        <v>-0.1358024691</v>
      </c>
    </row>
    <row r="540">
      <c r="A540" s="1" t="s">
        <v>15</v>
      </c>
      <c r="B540" s="1" t="s">
        <v>500</v>
      </c>
      <c r="C540" s="1" t="s">
        <v>21</v>
      </c>
      <c r="D540" s="1" t="s">
        <v>82</v>
      </c>
      <c r="E540" s="1" t="s">
        <v>94</v>
      </c>
      <c r="F540" s="1" t="s">
        <v>519</v>
      </c>
      <c r="G540" s="1">
        <v>21.5</v>
      </c>
      <c r="H540" s="1" t="s">
        <v>60</v>
      </c>
      <c r="I540" s="1">
        <v>-111.0</v>
      </c>
      <c r="J540" s="1">
        <v>0.00518625592417065</v>
      </c>
      <c r="K540" s="1" t="s">
        <v>61</v>
      </c>
      <c r="L540" s="1" t="s">
        <v>61</v>
      </c>
      <c r="M540" s="1" t="s">
        <v>62</v>
      </c>
      <c r="N540" s="1">
        <v>-119.0</v>
      </c>
      <c r="O540" s="1">
        <v>-0.0746246575342465</v>
      </c>
      <c r="P540" s="1" t="s">
        <v>61</v>
      </c>
      <c r="Q540" s="1" t="s">
        <v>61</v>
      </c>
      <c r="R540" s="1">
        <f t="shared" si="1"/>
        <v>0.005186255924</v>
      </c>
      <c r="S540" s="1">
        <f t="shared" si="2"/>
        <v>-111</v>
      </c>
      <c r="T540" s="1">
        <f t="shared" si="3"/>
        <v>1.900900901</v>
      </c>
      <c r="U540" s="1">
        <f t="shared" si="4"/>
        <v>1</v>
      </c>
      <c r="V540" s="3">
        <f t="shared" si="5"/>
        <v>1</v>
      </c>
      <c r="W540" s="3">
        <f t="shared" si="6"/>
        <v>2</v>
      </c>
      <c r="X540" s="3" t="str">
        <f>IFERROR(__xludf.DUMMYFUNCTION("split(B540,"" "")"),"G.")</f>
        <v>G.</v>
      </c>
      <c r="Y540" s="3" t="str">
        <f>IFERROR(__xludf.DUMMYFUNCTION("""COMPUTED_VALUE"""),"Smith")</f>
        <v>Smith</v>
      </c>
      <c r="AA540" s="3">
        <v>0.0</v>
      </c>
      <c r="AB540" s="3">
        <f t="shared" si="7"/>
        <v>0</v>
      </c>
      <c r="AC540" s="3">
        <f t="shared" si="8"/>
        <v>0</v>
      </c>
      <c r="AD540" s="3">
        <f t="shared" si="9"/>
        <v>0.9009009009</v>
      </c>
      <c r="AE540" s="3">
        <f t="shared" si="10"/>
        <v>-1</v>
      </c>
      <c r="AF540" s="3">
        <f t="shared" si="11"/>
        <v>-2</v>
      </c>
      <c r="AG540" s="3">
        <f t="shared" si="12"/>
        <v>-1</v>
      </c>
    </row>
    <row r="541">
      <c r="A541" s="1" t="s">
        <v>12</v>
      </c>
      <c r="B541" s="1" t="s">
        <v>361</v>
      </c>
      <c r="C541" s="1" t="s">
        <v>19</v>
      </c>
      <c r="D541" s="1" t="s">
        <v>82</v>
      </c>
      <c r="E541" s="1" t="s">
        <v>94</v>
      </c>
      <c r="F541" s="1" t="s">
        <v>519</v>
      </c>
      <c r="G541" s="1">
        <v>3.5</v>
      </c>
      <c r="H541" s="1" t="s">
        <v>60</v>
      </c>
      <c r="I541" s="1">
        <v>114.0</v>
      </c>
      <c r="J541" s="1">
        <v>-0.0691429906542056</v>
      </c>
      <c r="K541" s="1" t="s">
        <v>61</v>
      </c>
      <c r="L541" s="1" t="s">
        <v>61</v>
      </c>
      <c r="M541" s="1" t="s">
        <v>62</v>
      </c>
      <c r="N541" s="1">
        <v>-148.0</v>
      </c>
      <c r="O541" s="1">
        <v>0.00508548387096774</v>
      </c>
      <c r="P541" s="1" t="s">
        <v>61</v>
      </c>
      <c r="Q541" s="1" t="s">
        <v>61</v>
      </c>
      <c r="R541" s="1">
        <f t="shared" si="1"/>
        <v>0.005085483871</v>
      </c>
      <c r="S541" s="1">
        <f t="shared" si="2"/>
        <v>-148</v>
      </c>
      <c r="T541" s="1">
        <f t="shared" si="3"/>
        <v>1.675675676</v>
      </c>
      <c r="U541" s="1">
        <f t="shared" si="4"/>
        <v>0</v>
      </c>
      <c r="V541" s="3">
        <f t="shared" si="5"/>
        <v>1</v>
      </c>
      <c r="W541" s="3">
        <f t="shared" si="6"/>
        <v>3</v>
      </c>
      <c r="X541" s="3" t="str">
        <f>IFERROR(__xludf.DUMMYFUNCTION("split(B541,"" "")"),"Z.")</f>
        <v>Z.</v>
      </c>
      <c r="Y541" s="3" t="str">
        <f>IFERROR(__xludf.DUMMYFUNCTION("""COMPUTED_VALUE"""),"Charbonnet")</f>
        <v>Charbonnet</v>
      </c>
      <c r="AA541" s="3">
        <v>3.0</v>
      </c>
      <c r="AB541" s="3">
        <f t="shared" si="7"/>
        <v>0</v>
      </c>
      <c r="AC541" s="3">
        <f t="shared" si="8"/>
        <v>1</v>
      </c>
      <c r="AD541" s="3">
        <f t="shared" si="9"/>
        <v>0.6756756757</v>
      </c>
      <c r="AE541" s="3">
        <f t="shared" si="10"/>
        <v>0.6756756757</v>
      </c>
      <c r="AF541" s="3">
        <f t="shared" si="11"/>
        <v>2.027027027</v>
      </c>
      <c r="AG541" s="3">
        <f t="shared" si="12"/>
        <v>0.1428571429</v>
      </c>
    </row>
    <row r="542">
      <c r="A542" s="1" t="s">
        <v>8</v>
      </c>
      <c r="B542" s="1" t="s">
        <v>262</v>
      </c>
      <c r="C542" s="1" t="s">
        <v>21</v>
      </c>
      <c r="D542" s="1" t="s">
        <v>164</v>
      </c>
      <c r="E542" s="1" t="s">
        <v>196</v>
      </c>
      <c r="F542" s="1" t="s">
        <v>516</v>
      </c>
      <c r="G542" s="1">
        <v>2.5</v>
      </c>
      <c r="H542" s="1" t="s">
        <v>60</v>
      </c>
      <c r="I542" s="1">
        <v>-170.0</v>
      </c>
      <c r="J542" s="1">
        <v>-0.257322108014573</v>
      </c>
      <c r="K542" s="1" t="s">
        <v>61</v>
      </c>
      <c r="L542" s="1" t="s">
        <v>61</v>
      </c>
      <c r="M542" s="1" t="s">
        <v>62</v>
      </c>
      <c r="N542" s="1">
        <v>128.0</v>
      </c>
      <c r="O542" s="1">
        <v>0.189094601596205</v>
      </c>
      <c r="P542" s="1" t="s">
        <v>61</v>
      </c>
      <c r="Q542" s="1" t="s">
        <v>61</v>
      </c>
      <c r="R542" s="1">
        <f t="shared" si="1"/>
        <v>0.1890946016</v>
      </c>
      <c r="S542" s="1">
        <f t="shared" si="2"/>
        <v>128</v>
      </c>
      <c r="T542" s="1">
        <f t="shared" si="3"/>
        <v>2.28</v>
      </c>
      <c r="U542" s="1">
        <f t="shared" si="4"/>
        <v>0</v>
      </c>
      <c r="V542" s="3">
        <f t="shared" si="5"/>
        <v>3</v>
      </c>
      <c r="W542" s="3">
        <f t="shared" si="6"/>
        <v>1</v>
      </c>
      <c r="X542" s="3" t="str">
        <f>IFERROR(__xludf.DUMMYFUNCTION("split(B542,"" "")"),"B.")</f>
        <v>B.</v>
      </c>
      <c r="Y542" s="3" t="str">
        <f>IFERROR(__xludf.DUMMYFUNCTION("""COMPUTED_VALUE"""),"Purdy")</f>
        <v>Purdy</v>
      </c>
      <c r="AA542" s="3">
        <v>10.0</v>
      </c>
      <c r="AB542" s="3">
        <f t="shared" si="7"/>
        <v>1</v>
      </c>
      <c r="AC542" s="3">
        <f t="shared" si="8"/>
        <v>0</v>
      </c>
      <c r="AD542" s="3">
        <f t="shared" si="9"/>
        <v>3.84</v>
      </c>
      <c r="AE542" s="3">
        <f t="shared" si="10"/>
        <v>-3</v>
      </c>
      <c r="AF542" s="3">
        <f t="shared" si="11"/>
        <v>-1</v>
      </c>
      <c r="AG542" s="3">
        <f t="shared" si="12"/>
        <v>-3</v>
      </c>
    </row>
    <row r="543">
      <c r="A543" s="1" t="s">
        <v>11</v>
      </c>
      <c r="B543" s="1" t="s">
        <v>163</v>
      </c>
      <c r="C543" s="1" t="s">
        <v>19</v>
      </c>
      <c r="D543" s="1" t="s">
        <v>164</v>
      </c>
      <c r="E543" s="1" t="s">
        <v>196</v>
      </c>
      <c r="F543" s="1" t="s">
        <v>516</v>
      </c>
      <c r="G543" s="1">
        <v>16.5</v>
      </c>
      <c r="H543" s="1" t="s">
        <v>60</v>
      </c>
      <c r="I543" s="1">
        <v>-129.0</v>
      </c>
      <c r="J543" s="1">
        <v>-0.143916197600874</v>
      </c>
      <c r="K543" s="1" t="s">
        <v>61</v>
      </c>
      <c r="L543" s="1" t="s">
        <v>61</v>
      </c>
      <c r="M543" s="1" t="s">
        <v>62</v>
      </c>
      <c r="N543" s="1">
        <v>-101.0</v>
      </c>
      <c r="O543" s="1">
        <v>0.0781245390204289</v>
      </c>
      <c r="P543" s="1" t="s">
        <v>61</v>
      </c>
      <c r="Q543" s="1" t="s">
        <v>61</v>
      </c>
      <c r="R543" s="1">
        <f t="shared" si="1"/>
        <v>0.07812453902</v>
      </c>
      <c r="S543" s="1">
        <f t="shared" si="2"/>
        <v>-101</v>
      </c>
      <c r="T543" s="1">
        <f t="shared" si="3"/>
        <v>1.99009901</v>
      </c>
      <c r="U543" s="1">
        <f t="shared" si="4"/>
        <v>0</v>
      </c>
      <c r="V543" s="3">
        <f t="shared" si="5"/>
        <v>2</v>
      </c>
      <c r="W543" s="3">
        <f t="shared" si="6"/>
        <v>2</v>
      </c>
      <c r="X543" s="3" t="str">
        <f>IFERROR(__xludf.DUMMYFUNCTION("split(B543,"" "")"),"K.")</f>
        <v>K.</v>
      </c>
      <c r="Y543" s="3" t="str">
        <f>IFERROR(__xludf.DUMMYFUNCTION("""COMPUTED_VALUE"""),"Juszczyk")</f>
        <v>Juszczyk</v>
      </c>
      <c r="AA543" s="3">
        <v>6.0</v>
      </c>
      <c r="AB543" s="3">
        <f t="shared" si="7"/>
        <v>0</v>
      </c>
      <c r="AC543" s="3">
        <f t="shared" si="8"/>
        <v>1</v>
      </c>
      <c r="AD543" s="3">
        <f t="shared" si="9"/>
        <v>1.98019802</v>
      </c>
      <c r="AE543" s="3">
        <f t="shared" si="10"/>
        <v>1.98019802</v>
      </c>
      <c r="AF543" s="3">
        <f t="shared" si="11"/>
        <v>1.98019802</v>
      </c>
      <c r="AG543" s="3">
        <f t="shared" si="12"/>
        <v>0.6363636364</v>
      </c>
    </row>
    <row r="544">
      <c r="A544" s="1" t="s">
        <v>12</v>
      </c>
      <c r="B544" s="1" t="s">
        <v>497</v>
      </c>
      <c r="C544" s="1" t="s">
        <v>19</v>
      </c>
      <c r="D544" s="1" t="s">
        <v>164</v>
      </c>
      <c r="E544" s="1" t="s">
        <v>196</v>
      </c>
      <c r="F544" s="1" t="s">
        <v>516</v>
      </c>
      <c r="G544" s="1">
        <v>1.5</v>
      </c>
      <c r="H544" s="1" t="s">
        <v>60</v>
      </c>
      <c r="I544" s="1">
        <v>-196.0</v>
      </c>
      <c r="J544" s="1">
        <v>-0.124893605135135</v>
      </c>
      <c r="K544" s="1" t="s">
        <v>61</v>
      </c>
      <c r="L544" s="1" t="s">
        <v>61</v>
      </c>
      <c r="M544" s="1" t="s">
        <v>62</v>
      </c>
      <c r="N544" s="1">
        <v>148.0</v>
      </c>
      <c r="O544" s="1">
        <v>0.0594923674193548</v>
      </c>
      <c r="P544" s="1" t="s">
        <v>61</v>
      </c>
      <c r="Q544" s="1" t="s">
        <v>61</v>
      </c>
      <c r="R544" s="1">
        <f t="shared" si="1"/>
        <v>0.05949236742</v>
      </c>
      <c r="S544" s="1">
        <f t="shared" si="2"/>
        <v>148</v>
      </c>
      <c r="T544" s="1">
        <f t="shared" si="3"/>
        <v>2.48</v>
      </c>
      <c r="U544" s="1">
        <f t="shared" si="4"/>
        <v>0</v>
      </c>
      <c r="V544" s="3">
        <f t="shared" si="5"/>
        <v>2</v>
      </c>
      <c r="W544" s="3">
        <f t="shared" si="6"/>
        <v>1</v>
      </c>
      <c r="X544" s="3" t="str">
        <f>IFERROR(__xludf.DUMMYFUNCTION("split(B544,"" "")"),"J.")</f>
        <v>J.</v>
      </c>
      <c r="Y544" s="3" t="str">
        <f>IFERROR(__xludf.DUMMYFUNCTION("""COMPUTED_VALUE"""),"Mason")</f>
        <v>Mason</v>
      </c>
      <c r="AA544" s="3">
        <v>2.0</v>
      </c>
      <c r="AB544" s="3">
        <f t="shared" si="7"/>
        <v>1</v>
      </c>
      <c r="AC544" s="3">
        <f t="shared" si="8"/>
        <v>0</v>
      </c>
      <c r="AD544" s="3">
        <f t="shared" si="9"/>
        <v>2.96</v>
      </c>
      <c r="AE544" s="3">
        <f t="shared" si="10"/>
        <v>-2</v>
      </c>
      <c r="AF544" s="3">
        <f t="shared" si="11"/>
        <v>-1</v>
      </c>
      <c r="AG544" s="3">
        <f t="shared" si="12"/>
        <v>-0.3333333333</v>
      </c>
    </row>
    <row r="545">
      <c r="A545" s="1" t="s">
        <v>11</v>
      </c>
      <c r="B545" s="1" t="s">
        <v>497</v>
      </c>
      <c r="C545" s="1" t="s">
        <v>19</v>
      </c>
      <c r="D545" s="1" t="s">
        <v>164</v>
      </c>
      <c r="E545" s="1" t="s">
        <v>196</v>
      </c>
      <c r="F545" s="1" t="s">
        <v>516</v>
      </c>
      <c r="G545" s="1">
        <v>12.5</v>
      </c>
      <c r="H545" s="1" t="s">
        <v>60</v>
      </c>
      <c r="I545" s="1">
        <v>-117.0</v>
      </c>
      <c r="J545" s="1">
        <v>0.0570387062014977</v>
      </c>
      <c r="K545" s="1" t="s">
        <v>61</v>
      </c>
      <c r="L545" s="1" t="s">
        <v>61</v>
      </c>
      <c r="M545" s="1" t="s">
        <v>62</v>
      </c>
      <c r="N545" s="1">
        <v>-112.0</v>
      </c>
      <c r="O545" s="1">
        <v>-0.124483165826471</v>
      </c>
      <c r="P545" s="1" t="s">
        <v>61</v>
      </c>
      <c r="Q545" s="1" t="s">
        <v>61</v>
      </c>
      <c r="R545" s="1">
        <f t="shared" si="1"/>
        <v>0.0570387062</v>
      </c>
      <c r="S545" s="1">
        <f t="shared" si="2"/>
        <v>-117</v>
      </c>
      <c r="T545" s="1">
        <f t="shared" si="3"/>
        <v>1.854700855</v>
      </c>
      <c r="U545" s="1">
        <f t="shared" si="4"/>
        <v>1</v>
      </c>
      <c r="V545" s="3">
        <f t="shared" si="5"/>
        <v>2</v>
      </c>
      <c r="W545" s="3">
        <f t="shared" si="6"/>
        <v>2</v>
      </c>
      <c r="X545" s="3" t="str">
        <f>IFERROR(__xludf.DUMMYFUNCTION("split(B545,"" "")"),"J.")</f>
        <v>J.</v>
      </c>
      <c r="Y545" s="3" t="str">
        <f>IFERROR(__xludf.DUMMYFUNCTION("""COMPUTED_VALUE"""),"Mason")</f>
        <v>Mason</v>
      </c>
      <c r="AA545" s="3">
        <v>11.0</v>
      </c>
      <c r="AB545" s="3">
        <f t="shared" si="7"/>
        <v>0</v>
      </c>
      <c r="AC545" s="3">
        <f t="shared" si="8"/>
        <v>0</v>
      </c>
      <c r="AD545" s="3">
        <f t="shared" si="9"/>
        <v>1.709401709</v>
      </c>
      <c r="AE545" s="3">
        <f t="shared" si="10"/>
        <v>-2</v>
      </c>
      <c r="AF545" s="3">
        <f t="shared" si="11"/>
        <v>-2</v>
      </c>
      <c r="AG545" s="3">
        <f t="shared" si="12"/>
        <v>-0.12</v>
      </c>
    </row>
    <row r="546">
      <c r="A546" s="1" t="s">
        <v>12</v>
      </c>
      <c r="B546" s="1" t="s">
        <v>285</v>
      </c>
      <c r="C546" s="1" t="s">
        <v>18</v>
      </c>
      <c r="D546" s="1" t="s">
        <v>164</v>
      </c>
      <c r="E546" s="1" t="s">
        <v>196</v>
      </c>
      <c r="F546" s="1" t="s">
        <v>516</v>
      </c>
      <c r="G546" s="1">
        <v>3.5</v>
      </c>
      <c r="H546" s="1" t="s">
        <v>60</v>
      </c>
      <c r="I546" s="1">
        <v>-109.0</v>
      </c>
      <c r="J546" s="1">
        <v>-0.118174641148325</v>
      </c>
      <c r="K546" s="1" t="s">
        <v>61</v>
      </c>
      <c r="L546" s="1" t="s">
        <v>61</v>
      </c>
      <c r="M546" s="1" t="s">
        <v>62</v>
      </c>
      <c r="N546" s="1">
        <v>-121.0</v>
      </c>
      <c r="O546" s="1">
        <v>0.0491529411764705</v>
      </c>
      <c r="P546" s="1" t="s">
        <v>61</v>
      </c>
      <c r="Q546" s="1" t="s">
        <v>61</v>
      </c>
      <c r="R546" s="1">
        <f t="shared" si="1"/>
        <v>0.04915294118</v>
      </c>
      <c r="S546" s="1">
        <f t="shared" si="2"/>
        <v>-121</v>
      </c>
      <c r="T546" s="1">
        <f t="shared" si="3"/>
        <v>1.826446281</v>
      </c>
      <c r="U546" s="1">
        <f t="shared" si="4"/>
        <v>0</v>
      </c>
      <c r="V546" s="3">
        <f t="shared" si="5"/>
        <v>1</v>
      </c>
      <c r="W546" s="3">
        <f t="shared" si="6"/>
        <v>3</v>
      </c>
      <c r="X546" s="3" t="str">
        <f>IFERROR(__xludf.DUMMYFUNCTION("split(B546,"" "")"),"J.")</f>
        <v>J.</v>
      </c>
      <c r="Y546" s="3" t="str">
        <f>IFERROR(__xludf.DUMMYFUNCTION("""COMPUTED_VALUE"""),"Jennings")</f>
        <v>Jennings</v>
      </c>
      <c r="AA546" s="3">
        <v>11.0</v>
      </c>
      <c r="AB546" s="3">
        <f t="shared" si="7"/>
        <v>1</v>
      </c>
      <c r="AC546" s="3">
        <f t="shared" si="8"/>
        <v>0</v>
      </c>
      <c r="AD546" s="3">
        <f t="shared" si="9"/>
        <v>0.826446281</v>
      </c>
      <c r="AE546" s="3">
        <f t="shared" si="10"/>
        <v>-1</v>
      </c>
      <c r="AF546" s="3">
        <f t="shared" si="11"/>
        <v>-3</v>
      </c>
      <c r="AG546" s="3">
        <f t="shared" si="12"/>
        <v>-2.142857143</v>
      </c>
    </row>
    <row r="547">
      <c r="A547" s="1" t="s">
        <v>12</v>
      </c>
      <c r="B547" s="1" t="s">
        <v>163</v>
      </c>
      <c r="C547" s="1" t="s">
        <v>19</v>
      </c>
      <c r="D547" s="1" t="s">
        <v>164</v>
      </c>
      <c r="E547" s="1" t="s">
        <v>196</v>
      </c>
      <c r="F547" s="1" t="s">
        <v>516</v>
      </c>
      <c r="G547" s="1">
        <v>2.5</v>
      </c>
      <c r="H547" s="1" t="s">
        <v>60</v>
      </c>
      <c r="I547" s="1">
        <v>210.0</v>
      </c>
      <c r="J547" s="1">
        <v>-0.110114052762258</v>
      </c>
      <c r="K547" s="1" t="s">
        <v>61</v>
      </c>
      <c r="L547" s="1" t="s">
        <v>61</v>
      </c>
      <c r="M547" s="1" t="s">
        <v>62</v>
      </c>
      <c r="N547" s="1">
        <v>-285.0</v>
      </c>
      <c r="O547" s="1">
        <v>0.0472860428144155</v>
      </c>
      <c r="P547" s="1" t="s">
        <v>61</v>
      </c>
      <c r="Q547" s="1" t="s">
        <v>61</v>
      </c>
      <c r="R547" s="1">
        <f t="shared" si="1"/>
        <v>0.04728604281</v>
      </c>
      <c r="S547" s="1">
        <f t="shared" si="2"/>
        <v>-285</v>
      </c>
      <c r="T547" s="1">
        <f t="shared" si="3"/>
        <v>1.350877193</v>
      </c>
      <c r="U547" s="1">
        <f t="shared" si="4"/>
        <v>0</v>
      </c>
      <c r="V547" s="3">
        <f t="shared" si="5"/>
        <v>1</v>
      </c>
      <c r="W547" s="3">
        <f t="shared" si="6"/>
        <v>3</v>
      </c>
      <c r="X547" s="3" t="str">
        <f>IFERROR(__xludf.DUMMYFUNCTION("split(B547,"" "")"),"K.")</f>
        <v>K.</v>
      </c>
      <c r="Y547" s="3" t="str">
        <f>IFERROR(__xludf.DUMMYFUNCTION("""COMPUTED_VALUE"""),"Juszczyk")</f>
        <v>Juszczyk</v>
      </c>
      <c r="AA547" s="3">
        <v>1.0</v>
      </c>
      <c r="AB547" s="3">
        <f t="shared" si="7"/>
        <v>0</v>
      </c>
      <c r="AC547" s="3">
        <f t="shared" si="8"/>
        <v>1</v>
      </c>
      <c r="AD547" s="3">
        <f t="shared" si="9"/>
        <v>0.350877193</v>
      </c>
      <c r="AE547" s="3">
        <f t="shared" si="10"/>
        <v>0.350877193</v>
      </c>
      <c r="AF547" s="3">
        <f t="shared" si="11"/>
        <v>1.052631579</v>
      </c>
      <c r="AG547" s="3">
        <f t="shared" si="12"/>
        <v>0.6</v>
      </c>
    </row>
    <row r="548">
      <c r="A548" s="1" t="s">
        <v>12</v>
      </c>
      <c r="B548" s="1" t="s">
        <v>556</v>
      </c>
      <c r="C548" s="1" t="s">
        <v>20</v>
      </c>
      <c r="D548" s="1" t="s">
        <v>164</v>
      </c>
      <c r="E548" s="1" t="s">
        <v>196</v>
      </c>
      <c r="F548" s="1" t="s">
        <v>516</v>
      </c>
      <c r="G548" s="1">
        <v>2.5</v>
      </c>
      <c r="H548" s="1" t="s">
        <v>60</v>
      </c>
      <c r="I548" s="1">
        <v>124.0</v>
      </c>
      <c r="J548" s="1">
        <v>-0.107226633319642</v>
      </c>
      <c r="K548" s="1" t="s">
        <v>61</v>
      </c>
      <c r="L548" s="1" t="s">
        <v>61</v>
      </c>
      <c r="M548" s="1" t="s">
        <v>62</v>
      </c>
      <c r="N548" s="1">
        <v>-163.0</v>
      </c>
      <c r="O548" s="1">
        <v>0.0410259669988591</v>
      </c>
      <c r="P548" s="1" t="s">
        <v>61</v>
      </c>
      <c r="Q548" s="1" t="s">
        <v>61</v>
      </c>
      <c r="R548" s="1">
        <f t="shared" si="1"/>
        <v>0.041025967</v>
      </c>
      <c r="S548" s="1">
        <f t="shared" si="2"/>
        <v>-163</v>
      </c>
      <c r="T548" s="1">
        <f t="shared" si="3"/>
        <v>1.613496933</v>
      </c>
      <c r="U548" s="1">
        <f t="shared" si="4"/>
        <v>0</v>
      </c>
      <c r="V548" s="3">
        <f t="shared" si="5"/>
        <v>1</v>
      </c>
      <c r="W548" s="3">
        <f t="shared" si="6"/>
        <v>3</v>
      </c>
      <c r="X548" s="3" t="str">
        <f>IFERROR(__xludf.DUMMYFUNCTION("split(B548,"" "")"),"E.")</f>
        <v>E.</v>
      </c>
      <c r="Y548" s="3" t="str">
        <f>IFERROR(__xludf.DUMMYFUNCTION("""COMPUTED_VALUE"""),"Saubert")</f>
        <v>Saubert</v>
      </c>
      <c r="AA548" s="3">
        <v>2.0</v>
      </c>
      <c r="AB548" s="3">
        <f t="shared" si="7"/>
        <v>0</v>
      </c>
      <c r="AC548" s="3">
        <f t="shared" si="8"/>
        <v>1</v>
      </c>
      <c r="AD548" s="3">
        <f t="shared" si="9"/>
        <v>0.6134969325</v>
      </c>
      <c r="AE548" s="3">
        <f t="shared" si="10"/>
        <v>0.6134969325</v>
      </c>
      <c r="AF548" s="3">
        <f t="shared" si="11"/>
        <v>1.840490798</v>
      </c>
      <c r="AG548" s="3">
        <f t="shared" si="12"/>
        <v>0.2</v>
      </c>
    </row>
    <row r="549">
      <c r="A549" s="1" t="s">
        <v>12</v>
      </c>
      <c r="B549" s="1" t="s">
        <v>332</v>
      </c>
      <c r="C549" s="1" t="s">
        <v>20</v>
      </c>
      <c r="D549" s="1" t="s">
        <v>164</v>
      </c>
      <c r="E549" s="1" t="s">
        <v>196</v>
      </c>
      <c r="F549" s="1" t="s">
        <v>516</v>
      </c>
      <c r="G549" s="1">
        <v>4.5</v>
      </c>
      <c r="H549" s="1" t="s">
        <v>60</v>
      </c>
      <c r="I549" s="1">
        <v>-105.0</v>
      </c>
      <c r="J549" s="1">
        <v>-0.107143902439024</v>
      </c>
      <c r="K549" s="1" t="s">
        <v>61</v>
      </c>
      <c r="L549" s="1" t="s">
        <v>61</v>
      </c>
      <c r="M549" s="1" t="s">
        <v>62</v>
      </c>
      <c r="N549" s="1">
        <v>-125.0</v>
      </c>
      <c r="O549" s="1">
        <v>0.0393999999999999</v>
      </c>
      <c r="P549" s="1" t="s">
        <v>61</v>
      </c>
      <c r="Q549" s="1" t="s">
        <v>61</v>
      </c>
      <c r="R549" s="1">
        <f t="shared" si="1"/>
        <v>0.0394</v>
      </c>
      <c r="S549" s="1">
        <f t="shared" si="2"/>
        <v>-125</v>
      </c>
      <c r="T549" s="1">
        <f t="shared" si="3"/>
        <v>1.8</v>
      </c>
      <c r="U549" s="1">
        <f t="shared" si="4"/>
        <v>0</v>
      </c>
      <c r="V549" s="3">
        <f t="shared" si="5"/>
        <v>1</v>
      </c>
      <c r="W549" s="3">
        <f t="shared" si="6"/>
        <v>3</v>
      </c>
      <c r="X549" s="3" t="str">
        <f>IFERROR(__xludf.DUMMYFUNCTION("split(B549,"" "")"),"G.")</f>
        <v>G.</v>
      </c>
      <c r="Y549" s="3" t="str">
        <f>IFERROR(__xludf.DUMMYFUNCTION("""COMPUTED_VALUE"""),"Kittle")</f>
        <v>Kittle</v>
      </c>
      <c r="AA549" s="3">
        <v>0.0</v>
      </c>
      <c r="AB549" s="3">
        <f t="shared" si="7"/>
        <v>0</v>
      </c>
      <c r="AC549" s="3">
        <f t="shared" si="8"/>
        <v>1</v>
      </c>
      <c r="AD549" s="3">
        <f t="shared" si="9"/>
        <v>0.8</v>
      </c>
      <c r="AE549" s="3">
        <f t="shared" si="10"/>
        <v>0.8</v>
      </c>
      <c r="AF549" s="3">
        <f t="shared" si="11"/>
        <v>2.4</v>
      </c>
      <c r="AG549" s="3">
        <f t="shared" si="12"/>
        <v>1</v>
      </c>
    </row>
    <row r="550">
      <c r="A550" s="1" t="s">
        <v>11</v>
      </c>
      <c r="B550" s="1" t="s">
        <v>332</v>
      </c>
      <c r="C550" s="1" t="s">
        <v>20</v>
      </c>
      <c r="D550" s="1" t="s">
        <v>164</v>
      </c>
      <c r="E550" s="1" t="s">
        <v>196</v>
      </c>
      <c r="F550" s="1" t="s">
        <v>516</v>
      </c>
      <c r="G550" s="1">
        <v>50.5</v>
      </c>
      <c r="H550" s="1" t="s">
        <v>60</v>
      </c>
      <c r="I550" s="1">
        <v>-125.0</v>
      </c>
      <c r="J550" s="1">
        <v>-0.0969781937661111</v>
      </c>
      <c r="K550" s="1" t="s">
        <v>61</v>
      </c>
      <c r="L550" s="1" t="s">
        <v>61</v>
      </c>
      <c r="M550" s="1" t="s">
        <v>62</v>
      </c>
      <c r="N550" s="1">
        <v>-105.0</v>
      </c>
      <c r="O550" s="1">
        <v>0.0292610738629268</v>
      </c>
      <c r="P550" s="1" t="s">
        <v>61</v>
      </c>
      <c r="Q550" s="1" t="s">
        <v>61</v>
      </c>
      <c r="R550" s="1">
        <f t="shared" si="1"/>
        <v>0.02926107386</v>
      </c>
      <c r="S550" s="1">
        <f t="shared" si="2"/>
        <v>-105</v>
      </c>
      <c r="T550" s="1">
        <f t="shared" si="3"/>
        <v>1.952380952</v>
      </c>
      <c r="U550" s="1">
        <f t="shared" si="4"/>
        <v>0</v>
      </c>
      <c r="V550" s="3">
        <f t="shared" si="5"/>
        <v>1</v>
      </c>
      <c r="W550" s="3">
        <f t="shared" si="6"/>
        <v>2</v>
      </c>
      <c r="X550" s="3" t="str">
        <f>IFERROR(__xludf.DUMMYFUNCTION("split(B550,"" "")"),"G.")</f>
        <v>G.</v>
      </c>
      <c r="Y550" s="3" t="str">
        <f>IFERROR(__xludf.DUMMYFUNCTION("""COMPUTED_VALUE"""),"Kittle")</f>
        <v>Kittle</v>
      </c>
      <c r="AA550" s="3">
        <v>0.0</v>
      </c>
      <c r="AB550" s="3">
        <f t="shared" si="7"/>
        <v>0</v>
      </c>
      <c r="AC550" s="3">
        <f t="shared" si="8"/>
        <v>1</v>
      </c>
      <c r="AD550" s="3">
        <f t="shared" si="9"/>
        <v>0.9523809524</v>
      </c>
      <c r="AE550" s="3">
        <f t="shared" si="10"/>
        <v>0.9523809524</v>
      </c>
      <c r="AF550" s="3">
        <f t="shared" si="11"/>
        <v>1.904761905</v>
      </c>
      <c r="AG550" s="3">
        <f t="shared" si="12"/>
        <v>1</v>
      </c>
    </row>
    <row r="551">
      <c r="A551" s="1" t="s">
        <v>16</v>
      </c>
      <c r="B551" s="1" t="s">
        <v>262</v>
      </c>
      <c r="C551" s="1" t="s">
        <v>21</v>
      </c>
      <c r="D551" s="1" t="s">
        <v>164</v>
      </c>
      <c r="E551" s="1" t="s">
        <v>196</v>
      </c>
      <c r="F551" s="1" t="s">
        <v>516</v>
      </c>
      <c r="G551" s="1">
        <v>28.5</v>
      </c>
      <c r="H551" s="1" t="s">
        <v>60</v>
      </c>
      <c r="I551" s="1">
        <v>-133.0</v>
      </c>
      <c r="J551" s="1">
        <v>-0.0902138994420601</v>
      </c>
      <c r="K551" s="1" t="s">
        <v>61</v>
      </c>
      <c r="L551" s="1" t="s">
        <v>61</v>
      </c>
      <c r="M551" s="1" t="s">
        <v>62</v>
      </c>
      <c r="N551" s="1">
        <v>101.0</v>
      </c>
      <c r="O551" s="1">
        <v>0.0218857640298505</v>
      </c>
      <c r="P551" s="1" t="s">
        <v>61</v>
      </c>
      <c r="Q551" s="1" t="s">
        <v>61</v>
      </c>
      <c r="R551" s="1">
        <f t="shared" si="1"/>
        <v>0.02188576403</v>
      </c>
      <c r="S551" s="1">
        <f t="shared" si="2"/>
        <v>101</v>
      </c>
      <c r="T551" s="1">
        <f t="shared" si="3"/>
        <v>2.01</v>
      </c>
      <c r="U551" s="1">
        <f t="shared" si="4"/>
        <v>0</v>
      </c>
      <c r="V551" s="3">
        <f t="shared" si="5"/>
        <v>1</v>
      </c>
      <c r="W551" s="3">
        <f t="shared" si="6"/>
        <v>2</v>
      </c>
      <c r="X551" s="3" t="str">
        <f>IFERROR(__xludf.DUMMYFUNCTION("split(B551,"" "")"),"B.")</f>
        <v>B.</v>
      </c>
      <c r="Y551" s="3" t="str">
        <f>IFERROR(__xludf.DUMMYFUNCTION("""COMPUTED_VALUE"""),"Purdy")</f>
        <v>Purdy</v>
      </c>
      <c r="AA551" s="3">
        <v>30.0</v>
      </c>
      <c r="AB551" s="3">
        <f t="shared" si="7"/>
        <v>1</v>
      </c>
      <c r="AC551" s="3">
        <f t="shared" si="8"/>
        <v>0</v>
      </c>
      <c r="AD551" s="3">
        <f t="shared" si="9"/>
        <v>1.01</v>
      </c>
      <c r="AE551" s="3">
        <f t="shared" si="10"/>
        <v>-1</v>
      </c>
      <c r="AF551" s="3">
        <f t="shared" si="11"/>
        <v>-2</v>
      </c>
      <c r="AG551" s="3">
        <f t="shared" si="12"/>
        <v>-0.05263157895</v>
      </c>
    </row>
    <row r="552">
      <c r="A552" s="1" t="s">
        <v>9</v>
      </c>
      <c r="B552" s="1" t="s">
        <v>255</v>
      </c>
      <c r="C552" s="1" t="s">
        <v>18</v>
      </c>
      <c r="D552" s="1" t="s">
        <v>164</v>
      </c>
      <c r="E552" s="1" t="s">
        <v>196</v>
      </c>
      <c r="F552" s="1" t="s">
        <v>516</v>
      </c>
      <c r="G552" s="1">
        <v>72.5</v>
      </c>
      <c r="H552" s="1" t="s">
        <v>60</v>
      </c>
      <c r="I552" s="1">
        <v>-120.0</v>
      </c>
      <c r="J552" s="1">
        <v>-0.0846360166308504</v>
      </c>
      <c r="K552" s="1" t="s">
        <v>61</v>
      </c>
      <c r="L552" s="1" t="s">
        <v>61</v>
      </c>
      <c r="M552" s="1" t="s">
        <v>62</v>
      </c>
      <c r="N552" s="1">
        <v>-110.0</v>
      </c>
      <c r="O552" s="1">
        <v>0.01536912392698</v>
      </c>
      <c r="P552" s="1" t="s">
        <v>61</v>
      </c>
      <c r="Q552" s="1" t="s">
        <v>61</v>
      </c>
      <c r="R552" s="1">
        <f t="shared" si="1"/>
        <v>0.01536912393</v>
      </c>
      <c r="S552" s="1">
        <f t="shared" si="2"/>
        <v>-110</v>
      </c>
      <c r="T552" s="1">
        <f t="shared" si="3"/>
        <v>1.909090909</v>
      </c>
      <c r="U552" s="1">
        <f t="shared" si="4"/>
        <v>0</v>
      </c>
      <c r="V552" s="3">
        <f t="shared" si="5"/>
        <v>1</v>
      </c>
      <c r="W552" s="3">
        <f t="shared" si="6"/>
        <v>2</v>
      </c>
      <c r="X552" s="3" t="str">
        <f>IFERROR(__xludf.DUMMYFUNCTION("split(B552,"" "")"),"B.")</f>
        <v>B.</v>
      </c>
      <c r="Y552" s="3" t="str">
        <f>IFERROR(__xludf.DUMMYFUNCTION("""COMPUTED_VALUE"""),"Aiyuk")</f>
        <v>Aiyuk</v>
      </c>
      <c r="AA552" s="3">
        <v>48.0</v>
      </c>
      <c r="AB552" s="3">
        <f t="shared" si="7"/>
        <v>0</v>
      </c>
      <c r="AC552" s="3">
        <f t="shared" si="8"/>
        <v>1</v>
      </c>
      <c r="AD552" s="3">
        <f t="shared" si="9"/>
        <v>0.9090909091</v>
      </c>
      <c r="AE552" s="3">
        <f t="shared" si="10"/>
        <v>0.9090909091</v>
      </c>
      <c r="AF552" s="3">
        <f t="shared" si="11"/>
        <v>1.818181818</v>
      </c>
      <c r="AG552" s="3">
        <f t="shared" si="12"/>
        <v>0.3379310345</v>
      </c>
    </row>
    <row r="553">
      <c r="A553" s="1" t="s">
        <v>14</v>
      </c>
      <c r="B553" s="1" t="s">
        <v>262</v>
      </c>
      <c r="C553" s="1" t="s">
        <v>21</v>
      </c>
      <c r="D553" s="1" t="s">
        <v>164</v>
      </c>
      <c r="E553" s="1" t="s">
        <v>196</v>
      </c>
      <c r="F553" s="1" t="s">
        <v>516</v>
      </c>
      <c r="G553" s="1">
        <v>1.5</v>
      </c>
      <c r="H553" s="1" t="s">
        <v>60</v>
      </c>
      <c r="I553" s="1">
        <v>104.0</v>
      </c>
      <c r="J553" s="1">
        <v>0.0149529411764706</v>
      </c>
      <c r="K553" s="1" t="s">
        <v>61</v>
      </c>
      <c r="L553" s="1" t="s">
        <v>61</v>
      </c>
      <c r="M553" s="1" t="s">
        <v>62</v>
      </c>
      <c r="N553" s="1">
        <v>-135.0</v>
      </c>
      <c r="O553" s="1">
        <v>-0.0796106382978724</v>
      </c>
      <c r="P553" s="1" t="s">
        <v>61</v>
      </c>
      <c r="Q553" s="1" t="s">
        <v>61</v>
      </c>
      <c r="R553" s="1">
        <f t="shared" si="1"/>
        <v>0.01495294118</v>
      </c>
      <c r="S553" s="1">
        <f t="shared" si="2"/>
        <v>104</v>
      </c>
      <c r="T553" s="1">
        <f t="shared" si="3"/>
        <v>2.04</v>
      </c>
      <c r="U553" s="1">
        <f t="shared" si="4"/>
        <v>1</v>
      </c>
      <c r="V553" s="3">
        <f t="shared" si="5"/>
        <v>1</v>
      </c>
      <c r="W553" s="3">
        <f t="shared" si="6"/>
        <v>2</v>
      </c>
      <c r="X553" s="3" t="str">
        <f>IFERROR(__xludf.DUMMYFUNCTION("split(B553,"" "")"),"B.")</f>
        <v>B.</v>
      </c>
      <c r="Y553" s="3" t="str">
        <f>IFERROR(__xludf.DUMMYFUNCTION("""COMPUTED_VALUE"""),"Purdy")</f>
        <v>Purdy</v>
      </c>
      <c r="AA553" s="3">
        <v>3.0</v>
      </c>
      <c r="AB553" s="3">
        <f t="shared" si="7"/>
        <v>1</v>
      </c>
      <c r="AC553" s="3">
        <f t="shared" si="8"/>
        <v>1</v>
      </c>
      <c r="AD553" s="3">
        <f t="shared" si="9"/>
        <v>1.04</v>
      </c>
      <c r="AE553" s="3">
        <f t="shared" si="10"/>
        <v>1.04</v>
      </c>
      <c r="AF553" s="3">
        <f t="shared" si="11"/>
        <v>2.08</v>
      </c>
      <c r="AG553" s="3">
        <f t="shared" si="12"/>
        <v>1</v>
      </c>
    </row>
    <row r="554">
      <c r="A554" s="1" t="s">
        <v>8</v>
      </c>
      <c r="B554" s="1" t="s">
        <v>497</v>
      </c>
      <c r="C554" s="1" t="s">
        <v>19</v>
      </c>
      <c r="D554" s="1" t="s">
        <v>164</v>
      </c>
      <c r="E554" s="1" t="s">
        <v>196</v>
      </c>
      <c r="F554" s="1" t="s">
        <v>516</v>
      </c>
      <c r="G554" s="1">
        <v>20.5</v>
      </c>
      <c r="H554" s="1" t="s">
        <v>60</v>
      </c>
      <c r="I554" s="1">
        <v>-123.0</v>
      </c>
      <c r="J554" s="1">
        <v>0.0136747230878923</v>
      </c>
      <c r="K554" s="1" t="s">
        <v>61</v>
      </c>
      <c r="L554" s="1" t="s">
        <v>61</v>
      </c>
      <c r="M554" s="1" t="s">
        <v>62</v>
      </c>
      <c r="N554" s="1">
        <v>-108.0</v>
      </c>
      <c r="O554" s="1">
        <v>-0.0844821577884615</v>
      </c>
      <c r="P554" s="1" t="s">
        <v>61</v>
      </c>
      <c r="Q554" s="1" t="s">
        <v>61</v>
      </c>
      <c r="R554" s="1">
        <f t="shared" si="1"/>
        <v>0.01367472309</v>
      </c>
      <c r="S554" s="1">
        <f t="shared" si="2"/>
        <v>-123</v>
      </c>
      <c r="T554" s="1">
        <f t="shared" si="3"/>
        <v>1.81300813</v>
      </c>
      <c r="U554" s="1">
        <f t="shared" si="4"/>
        <v>1</v>
      </c>
      <c r="V554" s="3">
        <f t="shared" si="5"/>
        <v>1</v>
      </c>
      <c r="W554" s="3">
        <f t="shared" si="6"/>
        <v>3</v>
      </c>
      <c r="X554" s="3" t="str">
        <f>IFERROR(__xludf.DUMMYFUNCTION("split(B554,"" "")"),"J.")</f>
        <v>J.</v>
      </c>
      <c r="Y554" s="3" t="str">
        <f>IFERROR(__xludf.DUMMYFUNCTION("""COMPUTED_VALUE"""),"Mason")</f>
        <v>Mason</v>
      </c>
      <c r="AA554" s="3">
        <v>19.0</v>
      </c>
      <c r="AB554" s="3">
        <f t="shared" si="7"/>
        <v>0</v>
      </c>
      <c r="AC554" s="3">
        <f t="shared" si="8"/>
        <v>0</v>
      </c>
      <c r="AD554" s="3">
        <f t="shared" si="9"/>
        <v>0.8130081301</v>
      </c>
      <c r="AE554" s="3">
        <f t="shared" si="10"/>
        <v>-1</v>
      </c>
      <c r="AF554" s="3">
        <f t="shared" si="11"/>
        <v>-3</v>
      </c>
      <c r="AG554" s="3">
        <f t="shared" si="12"/>
        <v>-0.07317073171</v>
      </c>
    </row>
    <row r="555">
      <c r="A555" s="1" t="s">
        <v>10</v>
      </c>
      <c r="B555" s="1" t="s">
        <v>497</v>
      </c>
      <c r="C555" s="1" t="s">
        <v>19</v>
      </c>
      <c r="D555" s="1" t="s">
        <v>164</v>
      </c>
      <c r="E555" s="1" t="s">
        <v>196</v>
      </c>
      <c r="F555" s="1" t="s">
        <v>516</v>
      </c>
      <c r="G555" s="1">
        <v>94.5</v>
      </c>
      <c r="H555" s="1" t="s">
        <v>60</v>
      </c>
      <c r="I555" s="1">
        <v>-116.0</v>
      </c>
      <c r="J555" s="1">
        <v>-0.0745654141702002</v>
      </c>
      <c r="K555" s="1" t="s">
        <v>61</v>
      </c>
      <c r="L555" s="1" t="s">
        <v>61</v>
      </c>
      <c r="M555" s="1" t="s">
        <v>62</v>
      </c>
      <c r="N555" s="1">
        <v>-113.0</v>
      </c>
      <c r="O555" s="1">
        <v>0.0070584598496135</v>
      </c>
      <c r="P555" s="1" t="s">
        <v>61</v>
      </c>
      <c r="Q555" s="1" t="s">
        <v>61</v>
      </c>
      <c r="R555" s="1">
        <f t="shared" si="1"/>
        <v>0.00705845985</v>
      </c>
      <c r="S555" s="1">
        <f t="shared" si="2"/>
        <v>-113</v>
      </c>
      <c r="T555" s="1">
        <f t="shared" si="3"/>
        <v>1.884955752</v>
      </c>
      <c r="U555" s="1">
        <f t="shared" si="4"/>
        <v>0</v>
      </c>
      <c r="V555" s="3">
        <f t="shared" si="5"/>
        <v>1</v>
      </c>
      <c r="W555" s="3">
        <f t="shared" si="6"/>
        <v>2</v>
      </c>
      <c r="X555" s="3" t="str">
        <f>IFERROR(__xludf.DUMMYFUNCTION("split(B555,"" "")"),"J.")</f>
        <v>J.</v>
      </c>
      <c r="Y555" s="3" t="str">
        <f>IFERROR(__xludf.DUMMYFUNCTION("""COMPUTED_VALUE"""),"Mason")</f>
        <v>Mason</v>
      </c>
      <c r="AA555" s="3">
        <v>77.0</v>
      </c>
      <c r="AB555" s="3">
        <f t="shared" si="7"/>
        <v>0</v>
      </c>
      <c r="AC555" s="3">
        <f t="shared" si="8"/>
        <v>1</v>
      </c>
      <c r="AD555" s="3">
        <f t="shared" si="9"/>
        <v>0.8849557522</v>
      </c>
      <c r="AE555" s="3">
        <f t="shared" si="10"/>
        <v>0.8849557522</v>
      </c>
      <c r="AF555" s="3">
        <f t="shared" si="11"/>
        <v>1.769911504</v>
      </c>
      <c r="AG555" s="3">
        <f t="shared" si="12"/>
        <v>0.1851851852</v>
      </c>
    </row>
    <row r="556">
      <c r="A556" s="1" t="s">
        <v>8</v>
      </c>
      <c r="B556" s="1" t="s">
        <v>557</v>
      </c>
      <c r="C556" s="1" t="s">
        <v>19</v>
      </c>
      <c r="D556" s="1" t="s">
        <v>113</v>
      </c>
      <c r="E556" s="1" t="s">
        <v>83</v>
      </c>
      <c r="F556" s="1" t="s">
        <v>525</v>
      </c>
      <c r="G556" s="1">
        <v>7.5</v>
      </c>
      <c r="H556" s="1" t="s">
        <v>60</v>
      </c>
      <c r="I556" s="1">
        <v>-147.0</v>
      </c>
      <c r="J556" s="1">
        <v>-0.283171818932858</v>
      </c>
      <c r="K556" s="1" t="s">
        <v>61</v>
      </c>
      <c r="L556" s="1" t="s">
        <v>61</v>
      </c>
      <c r="M556" s="1" t="s">
        <v>62</v>
      </c>
      <c r="N556" s="1">
        <v>111.0</v>
      </c>
      <c r="O556" s="1">
        <v>0.2141016079451</v>
      </c>
      <c r="P556" s="1" t="s">
        <v>61</v>
      </c>
      <c r="Q556" s="1" t="s">
        <v>61</v>
      </c>
      <c r="R556" s="1">
        <f t="shared" si="1"/>
        <v>0.2141016079</v>
      </c>
      <c r="S556" s="1">
        <f t="shared" si="2"/>
        <v>111</v>
      </c>
      <c r="T556" s="1">
        <f t="shared" si="3"/>
        <v>2.11</v>
      </c>
      <c r="U556" s="1">
        <f t="shared" si="4"/>
        <v>0</v>
      </c>
      <c r="V556" s="3">
        <f t="shared" si="5"/>
        <v>3</v>
      </c>
      <c r="W556" s="3">
        <f t="shared" si="6"/>
        <v>1</v>
      </c>
      <c r="X556" s="3" t="str">
        <f>IFERROR(__xludf.DUMMYFUNCTION("split(B556,"" "")"),"B.")</f>
        <v>B.</v>
      </c>
      <c r="Y556" s="3" t="str">
        <f>IFERROR(__xludf.DUMMYFUNCTION("""COMPUTED_VALUE"""),"Irving")</f>
        <v>Irving</v>
      </c>
      <c r="AA556" s="3">
        <v>9.0</v>
      </c>
      <c r="AB556" s="3">
        <f t="shared" si="7"/>
        <v>1</v>
      </c>
      <c r="AC556" s="3">
        <f t="shared" si="8"/>
        <v>0</v>
      </c>
      <c r="AD556" s="3">
        <f t="shared" si="9"/>
        <v>3.33</v>
      </c>
      <c r="AE556" s="3">
        <f t="shared" si="10"/>
        <v>-3</v>
      </c>
      <c r="AF556" s="3">
        <f t="shared" si="11"/>
        <v>-1</v>
      </c>
      <c r="AG556" s="3">
        <f t="shared" si="12"/>
        <v>-0.2</v>
      </c>
    </row>
    <row r="557">
      <c r="A557" s="1" t="s">
        <v>12</v>
      </c>
      <c r="B557" s="1" t="s">
        <v>314</v>
      </c>
      <c r="C557" s="1" t="s">
        <v>18</v>
      </c>
      <c r="D557" s="1" t="s">
        <v>113</v>
      </c>
      <c r="E557" s="1" t="s">
        <v>83</v>
      </c>
      <c r="F557" s="1" t="s">
        <v>525</v>
      </c>
      <c r="G557" s="1">
        <v>6.5</v>
      </c>
      <c r="H557" s="1" t="s">
        <v>60</v>
      </c>
      <c r="I557" s="1">
        <v>125.0</v>
      </c>
      <c r="J557" s="1">
        <v>0.0679555555555555</v>
      </c>
      <c r="K557" s="1" t="s">
        <v>61</v>
      </c>
      <c r="L557" s="1" t="s">
        <v>61</v>
      </c>
      <c r="M557" s="1" t="s">
        <v>62</v>
      </c>
      <c r="N557" s="1">
        <v>-165.0</v>
      </c>
      <c r="O557" s="1">
        <v>-0.135041509433962</v>
      </c>
      <c r="P557" s="1" t="s">
        <v>61</v>
      </c>
      <c r="Q557" s="1" t="s">
        <v>61</v>
      </c>
      <c r="R557" s="1">
        <f t="shared" si="1"/>
        <v>0.06795555556</v>
      </c>
      <c r="S557" s="1">
        <f t="shared" si="2"/>
        <v>125</v>
      </c>
      <c r="T557" s="1">
        <f t="shared" si="3"/>
        <v>2.25</v>
      </c>
      <c r="U557" s="1">
        <f t="shared" si="4"/>
        <v>1</v>
      </c>
      <c r="V557" s="3">
        <f t="shared" si="5"/>
        <v>2</v>
      </c>
      <c r="W557" s="3">
        <f t="shared" si="6"/>
        <v>1</v>
      </c>
      <c r="X557" s="3" t="str">
        <f>IFERROR(__xludf.DUMMYFUNCTION("split(B557,"" "")"),"C.")</f>
        <v>C.</v>
      </c>
      <c r="Y557" s="3" t="str">
        <f>IFERROR(__xludf.DUMMYFUNCTION("""COMPUTED_VALUE"""),"Godwin")</f>
        <v>Godwin</v>
      </c>
      <c r="AA557" s="3">
        <v>6.0</v>
      </c>
      <c r="AB557" s="3">
        <f t="shared" si="7"/>
        <v>0</v>
      </c>
      <c r="AC557" s="3">
        <f t="shared" si="8"/>
        <v>0</v>
      </c>
      <c r="AD557" s="3">
        <f t="shared" si="9"/>
        <v>2.5</v>
      </c>
      <c r="AE557" s="3">
        <f t="shared" si="10"/>
        <v>-2</v>
      </c>
      <c r="AF557" s="3">
        <f t="shared" si="11"/>
        <v>-1</v>
      </c>
      <c r="AG557" s="3">
        <f t="shared" si="12"/>
        <v>-0.07692307692</v>
      </c>
    </row>
    <row r="558">
      <c r="A558" s="1" t="s">
        <v>11</v>
      </c>
      <c r="B558" s="1" t="s">
        <v>557</v>
      </c>
      <c r="C558" s="1" t="s">
        <v>19</v>
      </c>
      <c r="D558" s="1" t="s">
        <v>113</v>
      </c>
      <c r="E558" s="1" t="s">
        <v>83</v>
      </c>
      <c r="F558" s="1" t="s">
        <v>525</v>
      </c>
      <c r="G558" s="1">
        <v>7.5</v>
      </c>
      <c r="H558" s="1" t="s">
        <v>60</v>
      </c>
      <c r="I558" s="1">
        <v>-110.0</v>
      </c>
      <c r="J558" s="1">
        <v>0.061281898112481</v>
      </c>
      <c r="K558" s="1" t="s">
        <v>61</v>
      </c>
      <c r="L558" s="1" t="s">
        <v>61</v>
      </c>
      <c r="M558" s="1" t="s">
        <v>62</v>
      </c>
      <c r="N558" s="1">
        <v>-115.0</v>
      </c>
      <c r="O558" s="1">
        <v>-0.119961759972856</v>
      </c>
      <c r="P558" s="1" t="s">
        <v>61</v>
      </c>
      <c r="Q558" s="1" t="s">
        <v>61</v>
      </c>
      <c r="R558" s="1">
        <f t="shared" si="1"/>
        <v>0.06128189811</v>
      </c>
      <c r="S558" s="1">
        <f t="shared" si="2"/>
        <v>-110</v>
      </c>
      <c r="T558" s="1">
        <f t="shared" si="3"/>
        <v>1.909090909</v>
      </c>
      <c r="U558" s="1">
        <f t="shared" si="4"/>
        <v>1</v>
      </c>
      <c r="V558" s="3">
        <f t="shared" si="5"/>
        <v>2</v>
      </c>
      <c r="W558" s="3">
        <f t="shared" si="6"/>
        <v>2</v>
      </c>
      <c r="X558" s="3" t="str">
        <f>IFERROR(__xludf.DUMMYFUNCTION("split(B558,"" "")"),"B.")</f>
        <v>B.</v>
      </c>
      <c r="Y558" s="3" t="str">
        <f>IFERROR(__xludf.DUMMYFUNCTION("""COMPUTED_VALUE"""),"Irving")</f>
        <v>Irving</v>
      </c>
      <c r="AA558" s="3">
        <v>14.0</v>
      </c>
      <c r="AB558" s="3">
        <f t="shared" si="7"/>
        <v>1</v>
      </c>
      <c r="AC558" s="3">
        <f t="shared" si="8"/>
        <v>1</v>
      </c>
      <c r="AD558" s="3">
        <f t="shared" si="9"/>
        <v>1.818181818</v>
      </c>
      <c r="AE558" s="3">
        <f t="shared" si="10"/>
        <v>1.818181818</v>
      </c>
      <c r="AF558" s="3">
        <f t="shared" si="11"/>
        <v>1.818181818</v>
      </c>
      <c r="AG558" s="3">
        <f t="shared" si="12"/>
        <v>0.8666666667</v>
      </c>
    </row>
    <row r="559">
      <c r="A559" s="1" t="s">
        <v>9</v>
      </c>
      <c r="B559" s="1" t="s">
        <v>307</v>
      </c>
      <c r="C559" s="1" t="s">
        <v>18</v>
      </c>
      <c r="D559" s="1" t="s">
        <v>113</v>
      </c>
      <c r="E559" s="1" t="s">
        <v>83</v>
      </c>
      <c r="F559" s="1" t="s">
        <v>525</v>
      </c>
      <c r="G559" s="1">
        <v>24.5</v>
      </c>
      <c r="H559" s="1" t="s">
        <v>60</v>
      </c>
      <c r="I559" s="1">
        <v>-115.0</v>
      </c>
      <c r="J559" s="1">
        <v>0.0606748084030878</v>
      </c>
      <c r="K559" s="1" t="s">
        <v>61</v>
      </c>
      <c r="L559" s="1" t="s">
        <v>61</v>
      </c>
      <c r="M559" s="1" t="s">
        <v>62</v>
      </c>
      <c r="N559" s="1">
        <v>-117.0</v>
      </c>
      <c r="O559" s="1">
        <v>-0.134690590109662</v>
      </c>
      <c r="P559" s="1" t="s">
        <v>61</v>
      </c>
      <c r="Q559" s="1" t="s">
        <v>61</v>
      </c>
      <c r="R559" s="1">
        <f t="shared" si="1"/>
        <v>0.0606748084</v>
      </c>
      <c r="S559" s="1">
        <f t="shared" si="2"/>
        <v>-115</v>
      </c>
      <c r="T559" s="1">
        <f t="shared" si="3"/>
        <v>1.869565217</v>
      </c>
      <c r="U559" s="1">
        <f t="shared" si="4"/>
        <v>1</v>
      </c>
      <c r="V559" s="3">
        <f t="shared" si="5"/>
        <v>2</v>
      </c>
      <c r="W559" s="3">
        <f t="shared" si="6"/>
        <v>2</v>
      </c>
      <c r="X559" s="3" t="str">
        <f>IFERROR(__xludf.DUMMYFUNCTION("split(B559,"" "")"),"J.")</f>
        <v>J.</v>
      </c>
      <c r="Y559" s="3" t="str">
        <f>IFERROR(__xludf.DUMMYFUNCTION("""COMPUTED_VALUE"""),"McMillan")</f>
        <v>McMillan</v>
      </c>
      <c r="AA559" s="3">
        <v>6.0</v>
      </c>
      <c r="AB559" s="3">
        <f t="shared" si="7"/>
        <v>0</v>
      </c>
      <c r="AC559" s="3">
        <f t="shared" si="8"/>
        <v>0</v>
      </c>
      <c r="AD559" s="3">
        <f t="shared" si="9"/>
        <v>1.739130435</v>
      </c>
      <c r="AE559" s="3">
        <f t="shared" si="10"/>
        <v>-2</v>
      </c>
      <c r="AF559" s="3">
        <f t="shared" si="11"/>
        <v>-2</v>
      </c>
      <c r="AG559" s="3">
        <f t="shared" si="12"/>
        <v>-0.7551020408</v>
      </c>
    </row>
    <row r="560">
      <c r="A560" s="1" t="s">
        <v>12</v>
      </c>
      <c r="B560" s="1" t="s">
        <v>557</v>
      </c>
      <c r="C560" s="1" t="s">
        <v>19</v>
      </c>
      <c r="D560" s="1" t="s">
        <v>113</v>
      </c>
      <c r="E560" s="1" t="s">
        <v>83</v>
      </c>
      <c r="F560" s="1" t="s">
        <v>525</v>
      </c>
      <c r="G560" s="1">
        <v>1.5</v>
      </c>
      <c r="H560" s="1" t="s">
        <v>60</v>
      </c>
      <c r="I560" s="1">
        <v>120.0</v>
      </c>
      <c r="J560" s="1">
        <v>-0.1282834121</v>
      </c>
      <c r="K560" s="1" t="s">
        <v>61</v>
      </c>
      <c r="L560" s="1" t="s">
        <v>61</v>
      </c>
      <c r="M560" s="1" t="s">
        <v>62</v>
      </c>
      <c r="N560" s="1">
        <v>-159.0</v>
      </c>
      <c r="O560" s="1">
        <v>0.0598431066685327</v>
      </c>
      <c r="P560" s="1" t="s">
        <v>61</v>
      </c>
      <c r="Q560" s="1" t="s">
        <v>61</v>
      </c>
      <c r="R560" s="1">
        <f t="shared" si="1"/>
        <v>0.05984310667</v>
      </c>
      <c r="S560" s="1">
        <f t="shared" si="2"/>
        <v>-159</v>
      </c>
      <c r="T560" s="1">
        <f t="shared" si="3"/>
        <v>1.628930818</v>
      </c>
      <c r="U560" s="1">
        <f t="shared" si="4"/>
        <v>0</v>
      </c>
      <c r="V560" s="3">
        <f t="shared" si="5"/>
        <v>2</v>
      </c>
      <c r="W560" s="3">
        <f t="shared" si="6"/>
        <v>3</v>
      </c>
      <c r="X560" s="3" t="str">
        <f>IFERROR(__xludf.DUMMYFUNCTION("split(B560,"" "")"),"B.")</f>
        <v>B.</v>
      </c>
      <c r="Y560" s="3" t="str">
        <f>IFERROR(__xludf.DUMMYFUNCTION("""COMPUTED_VALUE"""),"Irving")</f>
        <v>Irving</v>
      </c>
      <c r="AA560" s="3">
        <v>3.0</v>
      </c>
      <c r="AB560" s="3">
        <f t="shared" si="7"/>
        <v>1</v>
      </c>
      <c r="AC560" s="3">
        <f t="shared" si="8"/>
        <v>0</v>
      </c>
      <c r="AD560" s="3">
        <f t="shared" si="9"/>
        <v>1.257861635</v>
      </c>
      <c r="AE560" s="3">
        <f t="shared" si="10"/>
        <v>-2</v>
      </c>
      <c r="AF560" s="3">
        <f t="shared" si="11"/>
        <v>-3</v>
      </c>
      <c r="AG560" s="3">
        <f t="shared" si="12"/>
        <v>-1</v>
      </c>
    </row>
    <row r="561">
      <c r="A561" s="1" t="s">
        <v>12</v>
      </c>
      <c r="B561" s="1" t="s">
        <v>307</v>
      </c>
      <c r="C561" s="1" t="s">
        <v>18</v>
      </c>
      <c r="D561" s="1" t="s">
        <v>113</v>
      </c>
      <c r="E561" s="1" t="s">
        <v>83</v>
      </c>
      <c r="F561" s="1" t="s">
        <v>525</v>
      </c>
      <c r="G561" s="1">
        <v>2.5</v>
      </c>
      <c r="H561" s="1" t="s">
        <v>60</v>
      </c>
      <c r="I561" s="1">
        <v>126.0</v>
      </c>
      <c r="J561" s="1">
        <v>-0.117431965620354</v>
      </c>
      <c r="K561" s="1" t="s">
        <v>61</v>
      </c>
      <c r="L561" s="1" t="s">
        <v>61</v>
      </c>
      <c r="M561" s="1" t="s">
        <v>62</v>
      </c>
      <c r="N561" s="1">
        <v>-164.0</v>
      </c>
      <c r="O561" s="1">
        <v>0.0537481473590909</v>
      </c>
      <c r="P561" s="1" t="s">
        <v>61</v>
      </c>
      <c r="Q561" s="1" t="s">
        <v>61</v>
      </c>
      <c r="R561" s="1">
        <f t="shared" si="1"/>
        <v>0.05374814736</v>
      </c>
      <c r="S561" s="1">
        <f t="shared" si="2"/>
        <v>-164</v>
      </c>
      <c r="T561" s="1">
        <f t="shared" si="3"/>
        <v>1.609756098</v>
      </c>
      <c r="U561" s="1">
        <f t="shared" si="4"/>
        <v>0</v>
      </c>
      <c r="V561" s="3">
        <f t="shared" si="5"/>
        <v>2</v>
      </c>
      <c r="W561" s="3">
        <f t="shared" si="6"/>
        <v>3</v>
      </c>
      <c r="X561" s="3" t="str">
        <f>IFERROR(__xludf.DUMMYFUNCTION("split(B561,"" "")"),"J.")</f>
        <v>J.</v>
      </c>
      <c r="Y561" s="3" t="str">
        <f>IFERROR(__xludf.DUMMYFUNCTION("""COMPUTED_VALUE"""),"McMillan")</f>
        <v>McMillan</v>
      </c>
      <c r="AA561" s="3">
        <v>1.0</v>
      </c>
      <c r="AB561" s="3">
        <f t="shared" si="7"/>
        <v>0</v>
      </c>
      <c r="AC561" s="3">
        <f t="shared" si="8"/>
        <v>1</v>
      </c>
      <c r="AD561" s="3">
        <f t="shared" si="9"/>
        <v>1.219512195</v>
      </c>
      <c r="AE561" s="3">
        <f t="shared" si="10"/>
        <v>1.219512195</v>
      </c>
      <c r="AF561" s="3">
        <f t="shared" si="11"/>
        <v>1.829268293</v>
      </c>
      <c r="AG561" s="3">
        <f t="shared" si="12"/>
        <v>0.6</v>
      </c>
    </row>
    <row r="562">
      <c r="A562" s="1" t="s">
        <v>11</v>
      </c>
      <c r="B562" s="1" t="s">
        <v>314</v>
      </c>
      <c r="C562" s="1" t="s">
        <v>18</v>
      </c>
      <c r="D562" s="1" t="s">
        <v>113</v>
      </c>
      <c r="E562" s="1" t="s">
        <v>83</v>
      </c>
      <c r="F562" s="1" t="s">
        <v>525</v>
      </c>
      <c r="G562" s="1">
        <v>64.5</v>
      </c>
      <c r="H562" s="1" t="s">
        <v>60</v>
      </c>
      <c r="I562" s="1">
        <v>-114.0</v>
      </c>
      <c r="J562" s="1">
        <v>-0.11547001984729</v>
      </c>
      <c r="K562" s="1" t="s">
        <v>61</v>
      </c>
      <c r="L562" s="1" t="s">
        <v>61</v>
      </c>
      <c r="M562" s="1" t="s">
        <v>62</v>
      </c>
      <c r="N562" s="1">
        <v>-114.0</v>
      </c>
      <c r="O562" s="1">
        <v>0.0500288625706054</v>
      </c>
      <c r="P562" s="1" t="s">
        <v>61</v>
      </c>
      <c r="Q562" s="1" t="s">
        <v>61</v>
      </c>
      <c r="R562" s="1">
        <f t="shared" si="1"/>
        <v>0.05002886257</v>
      </c>
      <c r="S562" s="1">
        <f t="shared" si="2"/>
        <v>-114</v>
      </c>
      <c r="T562" s="1">
        <f t="shared" si="3"/>
        <v>1.877192982</v>
      </c>
      <c r="U562" s="1">
        <f t="shared" si="4"/>
        <v>0</v>
      </c>
      <c r="V562" s="3">
        <f t="shared" si="5"/>
        <v>2</v>
      </c>
      <c r="W562" s="3">
        <f t="shared" si="6"/>
        <v>2</v>
      </c>
      <c r="X562" s="3" t="str">
        <f>IFERROR(__xludf.DUMMYFUNCTION("split(B562,"" "")"),"C.")</f>
        <v>C.</v>
      </c>
      <c r="Y562" s="3" t="str">
        <f>IFERROR(__xludf.DUMMYFUNCTION("""COMPUTED_VALUE"""),"Godwin")</f>
        <v>Godwin</v>
      </c>
      <c r="AA562" s="3">
        <v>53.0</v>
      </c>
      <c r="AB562" s="3">
        <f t="shared" si="7"/>
        <v>0</v>
      </c>
      <c r="AC562" s="3">
        <f t="shared" si="8"/>
        <v>1</v>
      </c>
      <c r="AD562" s="3">
        <f t="shared" si="9"/>
        <v>1.754385965</v>
      </c>
      <c r="AE562" s="3">
        <f t="shared" si="10"/>
        <v>1.754385965</v>
      </c>
      <c r="AF562" s="3">
        <f t="shared" si="11"/>
        <v>1.754385965</v>
      </c>
      <c r="AG562" s="3">
        <f t="shared" si="12"/>
        <v>0.1782945736</v>
      </c>
    </row>
    <row r="563">
      <c r="A563" s="1" t="s">
        <v>12</v>
      </c>
      <c r="B563" s="1" t="s">
        <v>417</v>
      </c>
      <c r="C563" s="1" t="s">
        <v>19</v>
      </c>
      <c r="D563" s="1" t="s">
        <v>113</v>
      </c>
      <c r="E563" s="1" t="s">
        <v>83</v>
      </c>
      <c r="F563" s="1" t="s">
        <v>525</v>
      </c>
      <c r="G563" s="1">
        <v>3.5</v>
      </c>
      <c r="H563" s="1" t="s">
        <v>60</v>
      </c>
      <c r="I563" s="1">
        <v>125.0</v>
      </c>
      <c r="J563" s="1">
        <v>-0.113288888888888</v>
      </c>
      <c r="K563" s="1" t="s">
        <v>61</v>
      </c>
      <c r="L563" s="1" t="s">
        <v>61</v>
      </c>
      <c r="M563" s="1" t="s">
        <v>62</v>
      </c>
      <c r="N563" s="1">
        <v>-164.0</v>
      </c>
      <c r="O563" s="1">
        <v>0.0476257575757576</v>
      </c>
      <c r="P563" s="1" t="s">
        <v>61</v>
      </c>
      <c r="Q563" s="1" t="s">
        <v>61</v>
      </c>
      <c r="R563" s="1">
        <f t="shared" si="1"/>
        <v>0.04762575758</v>
      </c>
      <c r="S563" s="1">
        <f t="shared" si="2"/>
        <v>-164</v>
      </c>
      <c r="T563" s="1">
        <f t="shared" si="3"/>
        <v>1.609756098</v>
      </c>
      <c r="U563" s="1">
        <f t="shared" si="4"/>
        <v>0</v>
      </c>
      <c r="V563" s="3">
        <f t="shared" si="5"/>
        <v>1</v>
      </c>
      <c r="W563" s="3">
        <f t="shared" si="6"/>
        <v>3</v>
      </c>
      <c r="X563" s="3" t="str">
        <f>IFERROR(__xludf.DUMMYFUNCTION("split(B563,"" "")"),"R.")</f>
        <v>R.</v>
      </c>
      <c r="Y563" s="3" t="str">
        <f>IFERROR(__xludf.DUMMYFUNCTION("""COMPUTED_VALUE"""),"White")</f>
        <v>White</v>
      </c>
      <c r="AA563" s="3">
        <v>5.0</v>
      </c>
      <c r="AB563" s="3">
        <f t="shared" si="7"/>
        <v>1</v>
      </c>
      <c r="AC563" s="3">
        <f t="shared" si="8"/>
        <v>0</v>
      </c>
      <c r="AD563" s="3">
        <f t="shared" si="9"/>
        <v>0.6097560976</v>
      </c>
      <c r="AE563" s="3">
        <f t="shared" si="10"/>
        <v>-1</v>
      </c>
      <c r="AF563" s="3">
        <f t="shared" si="11"/>
        <v>-3</v>
      </c>
      <c r="AG563" s="3">
        <f t="shared" si="12"/>
        <v>-0.4285714286</v>
      </c>
    </row>
    <row r="564">
      <c r="A564" s="1" t="s">
        <v>10</v>
      </c>
      <c r="B564" s="1" t="s">
        <v>557</v>
      </c>
      <c r="C564" s="1" t="s">
        <v>19</v>
      </c>
      <c r="D564" s="1" t="s">
        <v>113</v>
      </c>
      <c r="E564" s="1" t="s">
        <v>83</v>
      </c>
      <c r="F564" s="1" t="s">
        <v>525</v>
      </c>
      <c r="G564" s="1">
        <v>32.5</v>
      </c>
      <c r="H564" s="1" t="s">
        <v>60</v>
      </c>
      <c r="I564" s="1">
        <v>-119.0</v>
      </c>
      <c r="J564" s="1">
        <v>-0.112333043211286</v>
      </c>
      <c r="K564" s="1" t="s">
        <v>61</v>
      </c>
      <c r="L564" s="1" t="s">
        <v>61</v>
      </c>
      <c r="M564" s="1" t="s">
        <v>62</v>
      </c>
      <c r="N564" s="1">
        <v>-110.0</v>
      </c>
      <c r="O564" s="1">
        <v>0.0451524767123755</v>
      </c>
      <c r="P564" s="1" t="s">
        <v>61</v>
      </c>
      <c r="Q564" s="1" t="s">
        <v>61</v>
      </c>
      <c r="R564" s="1">
        <f t="shared" si="1"/>
        <v>0.04515247671</v>
      </c>
      <c r="S564" s="1">
        <f t="shared" si="2"/>
        <v>-110</v>
      </c>
      <c r="T564" s="1">
        <f t="shared" si="3"/>
        <v>1.909090909</v>
      </c>
      <c r="U564" s="1">
        <f t="shared" si="4"/>
        <v>0</v>
      </c>
      <c r="V564" s="3">
        <f t="shared" si="5"/>
        <v>1</v>
      </c>
      <c r="W564" s="3">
        <f t="shared" si="6"/>
        <v>2</v>
      </c>
      <c r="X564" s="3" t="str">
        <f>IFERROR(__xludf.DUMMYFUNCTION("split(B564,"" "")"),"B.")</f>
        <v>B.</v>
      </c>
      <c r="Y564" s="3" t="str">
        <f>IFERROR(__xludf.DUMMYFUNCTION("""COMPUTED_VALUE"""),"Irving")</f>
        <v>Irving</v>
      </c>
      <c r="AA564" s="3">
        <v>70.0</v>
      </c>
      <c r="AB564" s="3">
        <f t="shared" si="7"/>
        <v>1</v>
      </c>
      <c r="AC564" s="3">
        <f t="shared" si="8"/>
        <v>0</v>
      </c>
      <c r="AD564" s="3">
        <f t="shared" si="9"/>
        <v>0.9090909091</v>
      </c>
      <c r="AE564" s="3">
        <f t="shared" si="10"/>
        <v>-1</v>
      </c>
      <c r="AF564" s="3">
        <f t="shared" si="11"/>
        <v>-2</v>
      </c>
      <c r="AG564" s="3">
        <f t="shared" si="12"/>
        <v>-1.153846154</v>
      </c>
    </row>
    <row r="565">
      <c r="A565" s="1" t="s">
        <v>8</v>
      </c>
      <c r="B565" s="1" t="s">
        <v>253</v>
      </c>
      <c r="C565" s="1" t="s">
        <v>21</v>
      </c>
      <c r="D565" s="1" t="s">
        <v>113</v>
      </c>
      <c r="E565" s="1" t="s">
        <v>83</v>
      </c>
      <c r="F565" s="1" t="s">
        <v>525</v>
      </c>
      <c r="G565" s="1">
        <v>3.5</v>
      </c>
      <c r="H565" s="1" t="s">
        <v>60</v>
      </c>
      <c r="I565" s="1">
        <v>127.0</v>
      </c>
      <c r="J565" s="1">
        <v>-0.111621911909109</v>
      </c>
      <c r="K565" s="1" t="s">
        <v>61</v>
      </c>
      <c r="L565" s="1" t="s">
        <v>61</v>
      </c>
      <c r="M565" s="1" t="s">
        <v>62</v>
      </c>
      <c r="N565" s="1">
        <v>-173.0</v>
      </c>
      <c r="O565" s="1">
        <v>0.0373927519420445</v>
      </c>
      <c r="P565" s="1" t="s">
        <v>61</v>
      </c>
      <c r="Q565" s="1" t="s">
        <v>61</v>
      </c>
      <c r="R565" s="1">
        <f t="shared" si="1"/>
        <v>0.03739275194</v>
      </c>
      <c r="S565" s="1">
        <f t="shared" si="2"/>
        <v>-173</v>
      </c>
      <c r="T565" s="1">
        <f t="shared" si="3"/>
        <v>1.578034682</v>
      </c>
      <c r="U565" s="1">
        <f t="shared" si="4"/>
        <v>0</v>
      </c>
      <c r="V565" s="3">
        <f t="shared" si="5"/>
        <v>1</v>
      </c>
      <c r="W565" s="3">
        <f t="shared" si="6"/>
        <v>3</v>
      </c>
      <c r="X565" s="3" t="str">
        <f>IFERROR(__xludf.DUMMYFUNCTION("split(B565,"" "")"),"B.")</f>
        <v>B.</v>
      </c>
      <c r="Y565" s="3" t="str">
        <f>IFERROR(__xludf.DUMMYFUNCTION("""COMPUTED_VALUE"""),"Mayfield")</f>
        <v>Mayfield</v>
      </c>
      <c r="AA565" s="3">
        <v>0.0</v>
      </c>
      <c r="AB565" s="3">
        <f t="shared" si="7"/>
        <v>0</v>
      </c>
      <c r="AC565" s="3">
        <f t="shared" si="8"/>
        <v>1</v>
      </c>
      <c r="AD565" s="3">
        <f t="shared" si="9"/>
        <v>0.5780346821</v>
      </c>
      <c r="AE565" s="3">
        <f t="shared" si="10"/>
        <v>0.5780346821</v>
      </c>
      <c r="AF565" s="3">
        <f t="shared" si="11"/>
        <v>1.734104046</v>
      </c>
      <c r="AG565" s="3">
        <f t="shared" si="12"/>
        <v>1</v>
      </c>
    </row>
    <row r="566">
      <c r="A566" s="1" t="s">
        <v>10</v>
      </c>
      <c r="B566" s="1" t="s">
        <v>253</v>
      </c>
      <c r="C566" s="1" t="s">
        <v>21</v>
      </c>
      <c r="D566" s="1" t="s">
        <v>113</v>
      </c>
      <c r="E566" s="1" t="s">
        <v>83</v>
      </c>
      <c r="F566" s="1" t="s">
        <v>525</v>
      </c>
      <c r="G566" s="1">
        <v>10.5</v>
      </c>
      <c r="H566" s="1" t="s">
        <v>60</v>
      </c>
      <c r="I566" s="1">
        <v>-127.0</v>
      </c>
      <c r="J566" s="1">
        <v>-0.0949023042460572</v>
      </c>
      <c r="K566" s="1" t="s">
        <v>61</v>
      </c>
      <c r="L566" s="1" t="s">
        <v>61</v>
      </c>
      <c r="M566" s="1" t="s">
        <v>62</v>
      </c>
      <c r="N566" s="1">
        <v>-102.0</v>
      </c>
      <c r="O566" s="1">
        <v>0.0304849679461984</v>
      </c>
      <c r="P566" s="1" t="s">
        <v>61</v>
      </c>
      <c r="Q566" s="1" t="s">
        <v>61</v>
      </c>
      <c r="R566" s="1">
        <f t="shared" si="1"/>
        <v>0.03048496795</v>
      </c>
      <c r="S566" s="1">
        <f t="shared" si="2"/>
        <v>-102</v>
      </c>
      <c r="T566" s="1">
        <f t="shared" si="3"/>
        <v>1.980392157</v>
      </c>
      <c r="U566" s="1">
        <f t="shared" si="4"/>
        <v>0</v>
      </c>
      <c r="V566" s="3">
        <f t="shared" si="5"/>
        <v>1</v>
      </c>
      <c r="W566" s="3">
        <f t="shared" si="6"/>
        <v>2</v>
      </c>
      <c r="X566" s="3" t="str">
        <f>IFERROR(__xludf.DUMMYFUNCTION("split(B566,"" "")"),"B.")</f>
        <v>B.</v>
      </c>
      <c r="Y566" s="3" t="str">
        <f>IFERROR(__xludf.DUMMYFUNCTION("""COMPUTED_VALUE"""),"Mayfield")</f>
        <v>Mayfield</v>
      </c>
      <c r="AA566" s="3">
        <v>0.0</v>
      </c>
      <c r="AB566" s="3">
        <f t="shared" si="7"/>
        <v>0</v>
      </c>
      <c r="AC566" s="3">
        <f t="shared" si="8"/>
        <v>1</v>
      </c>
      <c r="AD566" s="3">
        <f t="shared" si="9"/>
        <v>0.9803921569</v>
      </c>
      <c r="AE566" s="3">
        <f t="shared" si="10"/>
        <v>0.9803921569</v>
      </c>
      <c r="AF566" s="3">
        <f t="shared" si="11"/>
        <v>1.960784314</v>
      </c>
      <c r="AG566" s="3">
        <f t="shared" si="12"/>
        <v>1</v>
      </c>
    </row>
    <row r="567">
      <c r="A567" s="1" t="s">
        <v>9</v>
      </c>
      <c r="B567" s="1" t="s">
        <v>314</v>
      </c>
      <c r="C567" s="1" t="s">
        <v>18</v>
      </c>
      <c r="D567" s="1" t="s">
        <v>113</v>
      </c>
      <c r="E567" s="1" t="s">
        <v>83</v>
      </c>
      <c r="F567" s="1" t="s">
        <v>525</v>
      </c>
      <c r="G567" s="1">
        <v>65.5</v>
      </c>
      <c r="H567" s="1" t="s">
        <v>60</v>
      </c>
      <c r="I567" s="1">
        <v>-115.0</v>
      </c>
      <c r="J567" s="1">
        <v>-0.0999160286260663</v>
      </c>
      <c r="K567" s="1" t="s">
        <v>61</v>
      </c>
      <c r="L567" s="1" t="s">
        <v>61</v>
      </c>
      <c r="M567" s="1" t="s">
        <v>62</v>
      </c>
      <c r="N567" s="1">
        <v>-115.0</v>
      </c>
      <c r="O567" s="1">
        <v>0.030138432919976</v>
      </c>
      <c r="P567" s="1" t="s">
        <v>61</v>
      </c>
      <c r="Q567" s="1" t="s">
        <v>61</v>
      </c>
      <c r="R567" s="1">
        <f t="shared" si="1"/>
        <v>0.03013843292</v>
      </c>
      <c r="S567" s="1">
        <f t="shared" si="2"/>
        <v>-115</v>
      </c>
      <c r="T567" s="1">
        <f t="shared" si="3"/>
        <v>1.869565217</v>
      </c>
      <c r="U567" s="1">
        <f t="shared" si="4"/>
        <v>0</v>
      </c>
      <c r="V567" s="3">
        <f t="shared" si="5"/>
        <v>1</v>
      </c>
      <c r="W567" s="3">
        <f t="shared" si="6"/>
        <v>2</v>
      </c>
      <c r="X567" s="3" t="str">
        <f>IFERROR(__xludf.DUMMYFUNCTION("split(B567,"" "")"),"C.")</f>
        <v>C.</v>
      </c>
      <c r="Y567" s="3" t="str">
        <f>IFERROR(__xludf.DUMMYFUNCTION("""COMPUTED_VALUE"""),"Godwin")</f>
        <v>Godwin</v>
      </c>
      <c r="AA567" s="3">
        <v>53.0</v>
      </c>
      <c r="AB567" s="3">
        <f t="shared" si="7"/>
        <v>0</v>
      </c>
      <c r="AC567" s="3">
        <f t="shared" si="8"/>
        <v>1</v>
      </c>
      <c r="AD567" s="3">
        <f t="shared" si="9"/>
        <v>0.8695652174</v>
      </c>
      <c r="AE567" s="3">
        <f t="shared" si="10"/>
        <v>0.8695652174</v>
      </c>
      <c r="AF567" s="3">
        <f t="shared" si="11"/>
        <v>1.739130435</v>
      </c>
      <c r="AG567" s="3">
        <f t="shared" si="12"/>
        <v>0.1908396947</v>
      </c>
    </row>
    <row r="568">
      <c r="A568" s="1" t="s">
        <v>12</v>
      </c>
      <c r="B568" s="1" t="s">
        <v>481</v>
      </c>
      <c r="C568" s="1" t="s">
        <v>18</v>
      </c>
      <c r="D568" s="1" t="s">
        <v>113</v>
      </c>
      <c r="E568" s="1" t="s">
        <v>83</v>
      </c>
      <c r="F568" s="1" t="s">
        <v>525</v>
      </c>
      <c r="G568" s="1">
        <v>4.5</v>
      </c>
      <c r="H568" s="1" t="s">
        <v>60</v>
      </c>
      <c r="I568" s="1">
        <v>-123.0</v>
      </c>
      <c r="J568" s="1">
        <v>-0.0995143497757848</v>
      </c>
      <c r="K568" s="1" t="s">
        <v>61</v>
      </c>
      <c r="L568" s="1" t="s">
        <v>61</v>
      </c>
      <c r="M568" s="1" t="s">
        <v>62</v>
      </c>
      <c r="N568" s="1">
        <v>-108.0</v>
      </c>
      <c r="O568" s="1">
        <v>0.0287211538461539</v>
      </c>
      <c r="P568" s="1" t="s">
        <v>61</v>
      </c>
      <c r="Q568" s="1" t="s">
        <v>61</v>
      </c>
      <c r="R568" s="1">
        <f t="shared" si="1"/>
        <v>0.02872115385</v>
      </c>
      <c r="S568" s="1">
        <f t="shared" si="2"/>
        <v>-108</v>
      </c>
      <c r="T568" s="1">
        <f t="shared" si="3"/>
        <v>1.925925926</v>
      </c>
      <c r="U568" s="1">
        <f t="shared" si="4"/>
        <v>0</v>
      </c>
      <c r="V568" s="3">
        <f t="shared" si="5"/>
        <v>1</v>
      </c>
      <c r="W568" s="3">
        <f t="shared" si="6"/>
        <v>2</v>
      </c>
      <c r="X568" s="3" t="str">
        <f>IFERROR(__xludf.DUMMYFUNCTION("split(B568,"" "")"),"M.")</f>
        <v>M.</v>
      </c>
      <c r="Y568" s="3" t="str">
        <f>IFERROR(__xludf.DUMMYFUNCTION("""COMPUTED_VALUE"""),"Evans")</f>
        <v>Evans</v>
      </c>
      <c r="AA568" s="3">
        <v>2.0</v>
      </c>
      <c r="AB568" s="3">
        <f t="shared" si="7"/>
        <v>0</v>
      </c>
      <c r="AC568" s="3">
        <f t="shared" si="8"/>
        <v>1</v>
      </c>
      <c r="AD568" s="3">
        <f t="shared" si="9"/>
        <v>0.9259259259</v>
      </c>
      <c r="AE568" s="3">
        <f t="shared" si="10"/>
        <v>0.9259259259</v>
      </c>
      <c r="AF568" s="3">
        <f t="shared" si="11"/>
        <v>1.851851852</v>
      </c>
      <c r="AG568" s="3">
        <f t="shared" si="12"/>
        <v>0.5555555556</v>
      </c>
    </row>
    <row r="569">
      <c r="A569" s="1" t="s">
        <v>17</v>
      </c>
      <c r="B569" s="1" t="s">
        <v>253</v>
      </c>
      <c r="C569" s="1" t="s">
        <v>21</v>
      </c>
      <c r="D569" s="1" t="s">
        <v>113</v>
      </c>
      <c r="E569" s="1" t="s">
        <v>83</v>
      </c>
      <c r="F569" s="1" t="s">
        <v>525</v>
      </c>
      <c r="G569" s="1">
        <v>0.5</v>
      </c>
      <c r="H569" s="1" t="s">
        <v>60</v>
      </c>
      <c r="I569" s="1">
        <v>-116.0</v>
      </c>
      <c r="J569" s="1">
        <v>-0.0877833333333334</v>
      </c>
      <c r="K569" s="1" t="s">
        <v>61</v>
      </c>
      <c r="L569" s="1" t="s">
        <v>61</v>
      </c>
      <c r="M569" s="1" t="s">
        <v>62</v>
      </c>
      <c r="N569" s="1">
        <v>-114.0</v>
      </c>
      <c r="O569" s="1">
        <v>0.0180429906542056</v>
      </c>
      <c r="P569" s="1" t="s">
        <v>61</v>
      </c>
      <c r="Q569" s="1" t="s">
        <v>61</v>
      </c>
      <c r="R569" s="1">
        <f t="shared" si="1"/>
        <v>0.01804299065</v>
      </c>
      <c r="S569" s="1">
        <f t="shared" si="2"/>
        <v>-114</v>
      </c>
      <c r="T569" s="1">
        <f t="shared" si="3"/>
        <v>1.877192982</v>
      </c>
      <c r="U569" s="1">
        <f t="shared" si="4"/>
        <v>0</v>
      </c>
      <c r="V569" s="3">
        <f t="shared" si="5"/>
        <v>1</v>
      </c>
      <c r="W569" s="3">
        <f t="shared" si="6"/>
        <v>2</v>
      </c>
      <c r="X569" s="3" t="str">
        <f>IFERROR(__xludf.DUMMYFUNCTION("split(B569,"" "")"),"B.")</f>
        <v>B.</v>
      </c>
      <c r="Y569" s="3" t="str">
        <f>IFERROR(__xludf.DUMMYFUNCTION("""COMPUTED_VALUE"""),"Mayfield")</f>
        <v>Mayfield</v>
      </c>
      <c r="AA569" s="3">
        <v>1.0</v>
      </c>
      <c r="AB569" s="3">
        <f t="shared" si="7"/>
        <v>1</v>
      </c>
      <c r="AC569" s="3">
        <f t="shared" si="8"/>
        <v>0</v>
      </c>
      <c r="AD569" s="3">
        <f t="shared" si="9"/>
        <v>0.8771929825</v>
      </c>
      <c r="AE569" s="3">
        <f t="shared" si="10"/>
        <v>-1</v>
      </c>
      <c r="AF569" s="3">
        <f t="shared" si="11"/>
        <v>-2</v>
      </c>
      <c r="AG569" s="3">
        <f t="shared" si="12"/>
        <v>-1</v>
      </c>
    </row>
    <row r="570">
      <c r="A570" s="1" t="s">
        <v>11</v>
      </c>
      <c r="B570" s="1" t="s">
        <v>417</v>
      </c>
      <c r="C570" s="1" t="s">
        <v>19</v>
      </c>
      <c r="D570" s="1" t="s">
        <v>113</v>
      </c>
      <c r="E570" s="1" t="s">
        <v>83</v>
      </c>
      <c r="F570" s="1" t="s">
        <v>525</v>
      </c>
      <c r="G570" s="1">
        <v>18.5</v>
      </c>
      <c r="H570" s="1" t="s">
        <v>60</v>
      </c>
      <c r="I570" s="1">
        <v>-117.0</v>
      </c>
      <c r="J570" s="1">
        <v>-0.0689506780017096</v>
      </c>
      <c r="K570" s="1" t="s">
        <v>61</v>
      </c>
      <c r="L570" s="1" t="s">
        <v>61</v>
      </c>
      <c r="M570" s="1" t="s">
        <v>62</v>
      </c>
      <c r="N570" s="1">
        <v>-112.0</v>
      </c>
      <c r="O570" s="1">
        <v>0.00149002255441288</v>
      </c>
      <c r="P570" s="1" t="s">
        <v>61</v>
      </c>
      <c r="Q570" s="1" t="s">
        <v>61</v>
      </c>
      <c r="R570" s="1">
        <f t="shared" si="1"/>
        <v>0.001490022554</v>
      </c>
      <c r="S570" s="1">
        <f t="shared" si="2"/>
        <v>-112</v>
      </c>
      <c r="T570" s="1">
        <f t="shared" si="3"/>
        <v>1.892857143</v>
      </c>
      <c r="U570" s="1">
        <f t="shared" si="4"/>
        <v>0</v>
      </c>
      <c r="V570" s="3">
        <f t="shared" si="5"/>
        <v>1</v>
      </c>
      <c r="W570" s="3">
        <f t="shared" si="6"/>
        <v>2</v>
      </c>
      <c r="X570" s="3" t="str">
        <f>IFERROR(__xludf.DUMMYFUNCTION("split(B570,"" "")"),"R.")</f>
        <v>R.</v>
      </c>
      <c r="Y570" s="3" t="str">
        <f>IFERROR(__xludf.DUMMYFUNCTION("""COMPUTED_VALUE"""),"White")</f>
        <v>White</v>
      </c>
      <c r="AA570" s="3">
        <v>18.0</v>
      </c>
      <c r="AB570" s="3">
        <f t="shared" si="7"/>
        <v>0</v>
      </c>
      <c r="AC570" s="3">
        <f t="shared" si="8"/>
        <v>1</v>
      </c>
      <c r="AD570" s="3">
        <f t="shared" si="9"/>
        <v>0.8928571429</v>
      </c>
      <c r="AE570" s="3">
        <f t="shared" si="10"/>
        <v>0.8928571429</v>
      </c>
      <c r="AF570" s="3">
        <f t="shared" si="11"/>
        <v>1.785714286</v>
      </c>
      <c r="AG570" s="3">
        <f t="shared" si="12"/>
        <v>0.02702702703</v>
      </c>
    </row>
    <row r="571">
      <c r="A571" s="1" t="s">
        <v>9</v>
      </c>
      <c r="B571" s="1" t="s">
        <v>558</v>
      </c>
      <c r="C571" s="1" t="s">
        <v>18</v>
      </c>
      <c r="D571" s="1" t="s">
        <v>100</v>
      </c>
      <c r="E571" s="1" t="s">
        <v>157</v>
      </c>
      <c r="F571" s="1" t="s">
        <v>525</v>
      </c>
      <c r="G571" s="1">
        <v>5.5</v>
      </c>
      <c r="H571" s="1" t="s">
        <v>60</v>
      </c>
      <c r="I571" s="1">
        <v>-120.0</v>
      </c>
      <c r="J571" s="1">
        <v>0.259333225894926</v>
      </c>
      <c r="K571" s="1" t="s">
        <v>61</v>
      </c>
      <c r="L571" s="1" t="s">
        <v>61</v>
      </c>
      <c r="M571" s="1" t="s">
        <v>62</v>
      </c>
      <c r="N571" s="1">
        <v>-110.0</v>
      </c>
      <c r="O571" s="1">
        <v>-0.328564955555105</v>
      </c>
      <c r="P571" s="1" t="s">
        <v>61</v>
      </c>
      <c r="Q571" s="1" t="s">
        <v>61</v>
      </c>
      <c r="R571" s="1">
        <f t="shared" si="1"/>
        <v>0.2593332259</v>
      </c>
      <c r="S571" s="1">
        <f t="shared" si="2"/>
        <v>-120</v>
      </c>
      <c r="T571" s="1">
        <f t="shared" si="3"/>
        <v>1.833333333</v>
      </c>
      <c r="U571" s="1">
        <f t="shared" si="4"/>
        <v>1</v>
      </c>
      <c r="V571" s="3">
        <f t="shared" si="5"/>
        <v>3</v>
      </c>
      <c r="W571" s="3">
        <f t="shared" si="6"/>
        <v>3</v>
      </c>
      <c r="X571" s="3" t="str">
        <f>IFERROR(__xludf.DUMMYFUNCTION("split(B571,"" "")"),"T.")</f>
        <v>T.</v>
      </c>
      <c r="Y571" s="3" t="str">
        <f>IFERROR(__xludf.DUMMYFUNCTION("""COMPUTED_VALUE"""),"Burks")</f>
        <v>Burks</v>
      </c>
      <c r="AA571" s="3">
        <v>9.0</v>
      </c>
      <c r="AB571" s="3">
        <f t="shared" si="7"/>
        <v>1</v>
      </c>
      <c r="AC571" s="3">
        <f t="shared" si="8"/>
        <v>1</v>
      </c>
      <c r="AD571" s="3">
        <f t="shared" si="9"/>
        <v>2.5</v>
      </c>
      <c r="AE571" s="3">
        <f t="shared" si="10"/>
        <v>2.5</v>
      </c>
      <c r="AF571" s="3">
        <f t="shared" si="11"/>
        <v>2.5</v>
      </c>
      <c r="AG571" s="3">
        <f t="shared" si="12"/>
        <v>0.6363636364</v>
      </c>
    </row>
    <row r="572">
      <c r="A572" s="1" t="s">
        <v>12</v>
      </c>
      <c r="B572" s="1" t="s">
        <v>559</v>
      </c>
      <c r="C572" s="1" t="s">
        <v>18</v>
      </c>
      <c r="D572" s="1" t="s">
        <v>100</v>
      </c>
      <c r="E572" s="1" t="s">
        <v>157</v>
      </c>
      <c r="F572" s="1" t="s">
        <v>525</v>
      </c>
      <c r="G572" s="1">
        <v>2.5</v>
      </c>
      <c r="H572" s="1" t="s">
        <v>60</v>
      </c>
      <c r="I572" s="1">
        <v>-158.0</v>
      </c>
      <c r="J572" s="1">
        <v>-0.311498994806201</v>
      </c>
      <c r="K572" s="1" t="s">
        <v>61</v>
      </c>
      <c r="L572" s="1" t="s">
        <v>61</v>
      </c>
      <c r="M572" s="1" t="s">
        <v>62</v>
      </c>
      <c r="N572" s="1">
        <v>120.0</v>
      </c>
      <c r="O572" s="1">
        <v>0.244549730272727</v>
      </c>
      <c r="P572" s="1" t="s">
        <v>61</v>
      </c>
      <c r="Q572" s="1" t="s">
        <v>61</v>
      </c>
      <c r="R572" s="1">
        <f t="shared" si="1"/>
        <v>0.2445497303</v>
      </c>
      <c r="S572" s="1">
        <f t="shared" si="2"/>
        <v>120</v>
      </c>
      <c r="T572" s="1">
        <f t="shared" si="3"/>
        <v>2.2</v>
      </c>
      <c r="U572" s="1">
        <f t="shared" si="4"/>
        <v>0</v>
      </c>
      <c r="V572" s="3">
        <f t="shared" si="5"/>
        <v>3</v>
      </c>
      <c r="W572" s="3">
        <f t="shared" si="6"/>
        <v>1</v>
      </c>
      <c r="X572" s="3" t="str">
        <f>IFERROR(__xludf.DUMMYFUNCTION("split(B572,"" "")"),"T.")</f>
        <v>T.</v>
      </c>
      <c r="Y572" s="3" t="str">
        <f>IFERROR(__xludf.DUMMYFUNCTION("""COMPUTED_VALUE"""),"Boyd")</f>
        <v>Boyd</v>
      </c>
      <c r="AA572" s="3">
        <v>3.0</v>
      </c>
      <c r="AB572" s="3">
        <f t="shared" si="7"/>
        <v>1</v>
      </c>
      <c r="AC572" s="3">
        <f t="shared" si="8"/>
        <v>0</v>
      </c>
      <c r="AD572" s="3">
        <f t="shared" si="9"/>
        <v>3.6</v>
      </c>
      <c r="AE572" s="3">
        <f t="shared" si="10"/>
        <v>-3</v>
      </c>
      <c r="AF572" s="3">
        <f t="shared" si="11"/>
        <v>-1</v>
      </c>
      <c r="AG572" s="3">
        <f t="shared" si="12"/>
        <v>-0.2</v>
      </c>
    </row>
    <row r="573">
      <c r="A573" s="1" t="s">
        <v>12</v>
      </c>
      <c r="B573" s="1" t="s">
        <v>301</v>
      </c>
      <c r="C573" s="1" t="s">
        <v>19</v>
      </c>
      <c r="D573" s="1" t="s">
        <v>100</v>
      </c>
      <c r="E573" s="1" t="s">
        <v>157</v>
      </c>
      <c r="F573" s="1" t="s">
        <v>525</v>
      </c>
      <c r="G573" s="1">
        <v>1.5</v>
      </c>
      <c r="H573" s="1" t="s">
        <v>60</v>
      </c>
      <c r="I573" s="1">
        <v>-150.0</v>
      </c>
      <c r="J573" s="1">
        <v>-0.228195359228</v>
      </c>
      <c r="K573" s="1" t="s">
        <v>61</v>
      </c>
      <c r="L573" s="1" t="s">
        <v>61</v>
      </c>
      <c r="M573" s="1" t="s">
        <v>62</v>
      </c>
      <c r="N573" s="1">
        <v>116.0</v>
      </c>
      <c r="O573" s="1">
        <v>0.165231665773148</v>
      </c>
      <c r="P573" s="1" t="s">
        <v>61</v>
      </c>
      <c r="Q573" s="1" t="s">
        <v>61</v>
      </c>
      <c r="R573" s="1">
        <f t="shared" si="1"/>
        <v>0.1652316658</v>
      </c>
      <c r="S573" s="1">
        <f t="shared" si="2"/>
        <v>116</v>
      </c>
      <c r="T573" s="1">
        <f t="shared" si="3"/>
        <v>2.16</v>
      </c>
      <c r="U573" s="1">
        <f t="shared" si="4"/>
        <v>0</v>
      </c>
      <c r="V573" s="3">
        <f t="shared" si="5"/>
        <v>3</v>
      </c>
      <c r="W573" s="3">
        <f t="shared" si="6"/>
        <v>1</v>
      </c>
      <c r="X573" s="3" t="str">
        <f>IFERROR(__xludf.DUMMYFUNCTION("split(B573,"" "")"),"T.")</f>
        <v>T.</v>
      </c>
      <c r="Y573" s="3" t="str">
        <f>IFERROR(__xludf.DUMMYFUNCTION("""COMPUTED_VALUE"""),"Spears")</f>
        <v>Spears</v>
      </c>
      <c r="AA573" s="3">
        <v>4.0</v>
      </c>
      <c r="AB573" s="3">
        <f t="shared" si="7"/>
        <v>1</v>
      </c>
      <c r="AC573" s="3">
        <f t="shared" si="8"/>
        <v>0</v>
      </c>
      <c r="AD573" s="3">
        <f t="shared" si="9"/>
        <v>3.48</v>
      </c>
      <c r="AE573" s="3">
        <f t="shared" si="10"/>
        <v>-3</v>
      </c>
      <c r="AF573" s="3">
        <f t="shared" si="11"/>
        <v>-1</v>
      </c>
      <c r="AG573" s="3">
        <f t="shared" si="12"/>
        <v>-1.666666667</v>
      </c>
    </row>
    <row r="574">
      <c r="A574" s="1" t="s">
        <v>14</v>
      </c>
      <c r="B574" s="1" t="s">
        <v>275</v>
      </c>
      <c r="C574" s="1" t="s">
        <v>21</v>
      </c>
      <c r="D574" s="1" t="s">
        <v>100</v>
      </c>
      <c r="E574" s="1" t="s">
        <v>157</v>
      </c>
      <c r="F574" s="1" t="s">
        <v>525</v>
      </c>
      <c r="G574" s="1">
        <v>0.5</v>
      </c>
      <c r="H574" s="1" t="s">
        <v>60</v>
      </c>
      <c r="I574" s="1">
        <v>-256.0</v>
      </c>
      <c r="J574" s="1">
        <v>-0.211871147921348</v>
      </c>
      <c r="K574" s="1" t="s">
        <v>61</v>
      </c>
      <c r="L574" s="1" t="s">
        <v>61</v>
      </c>
      <c r="M574" s="1" t="s">
        <v>62</v>
      </c>
      <c r="N574" s="1">
        <v>191.0</v>
      </c>
      <c r="O574" s="1">
        <v>0.149120717044673</v>
      </c>
      <c r="P574" s="1" t="s">
        <v>61</v>
      </c>
      <c r="Q574" s="1" t="s">
        <v>61</v>
      </c>
      <c r="R574" s="1">
        <f t="shared" si="1"/>
        <v>0.149120717</v>
      </c>
      <c r="S574" s="1">
        <f t="shared" si="2"/>
        <v>191</v>
      </c>
      <c r="T574" s="1">
        <f t="shared" si="3"/>
        <v>2.91</v>
      </c>
      <c r="U574" s="1">
        <f t="shared" si="4"/>
        <v>0</v>
      </c>
      <c r="V574" s="3">
        <f t="shared" si="5"/>
        <v>3</v>
      </c>
      <c r="W574" s="3">
        <f t="shared" si="6"/>
        <v>1</v>
      </c>
      <c r="X574" s="3" t="str">
        <f>IFERROR(__xludf.DUMMYFUNCTION("split(B574,"" "")"),"W.")</f>
        <v>W.</v>
      </c>
      <c r="Y574" s="3" t="str">
        <f>IFERROR(__xludf.DUMMYFUNCTION("""COMPUTED_VALUE"""),"Levis")</f>
        <v>Levis</v>
      </c>
      <c r="AA574" s="3">
        <v>2.0</v>
      </c>
      <c r="AB574" s="3">
        <f t="shared" si="7"/>
        <v>1</v>
      </c>
      <c r="AC574" s="3">
        <f t="shared" si="8"/>
        <v>0</v>
      </c>
      <c r="AD574" s="3">
        <f t="shared" si="9"/>
        <v>5.73</v>
      </c>
      <c r="AE574" s="3">
        <f t="shared" si="10"/>
        <v>-3</v>
      </c>
      <c r="AF574" s="3">
        <f t="shared" si="11"/>
        <v>-1</v>
      </c>
      <c r="AG574" s="3">
        <f t="shared" si="12"/>
        <v>-3</v>
      </c>
    </row>
    <row r="575">
      <c r="A575" s="1" t="s">
        <v>12</v>
      </c>
      <c r="B575" s="1" t="s">
        <v>340</v>
      </c>
      <c r="C575" s="1" t="s">
        <v>19</v>
      </c>
      <c r="D575" s="1" t="s">
        <v>100</v>
      </c>
      <c r="E575" s="1" t="s">
        <v>157</v>
      </c>
      <c r="F575" s="1" t="s">
        <v>525</v>
      </c>
      <c r="G575" s="1">
        <v>2.5</v>
      </c>
      <c r="H575" s="1" t="s">
        <v>60</v>
      </c>
      <c r="I575" s="1">
        <v>-101.0</v>
      </c>
      <c r="J575" s="1">
        <v>-0.212382458855721</v>
      </c>
      <c r="K575" s="1" t="s">
        <v>61</v>
      </c>
      <c r="L575" s="1" t="s">
        <v>61</v>
      </c>
      <c r="M575" s="1" t="s">
        <v>62</v>
      </c>
      <c r="N575" s="1">
        <v>-131.0</v>
      </c>
      <c r="O575" s="1">
        <v>0.14280860277619</v>
      </c>
      <c r="P575" s="1" t="s">
        <v>61</v>
      </c>
      <c r="Q575" s="1" t="s">
        <v>61</v>
      </c>
      <c r="R575" s="1">
        <f t="shared" si="1"/>
        <v>0.1428086028</v>
      </c>
      <c r="S575" s="1">
        <f t="shared" si="2"/>
        <v>-131</v>
      </c>
      <c r="T575" s="1">
        <f t="shared" si="3"/>
        <v>1.763358779</v>
      </c>
      <c r="U575" s="1">
        <f t="shared" si="4"/>
        <v>0</v>
      </c>
      <c r="V575" s="3">
        <f t="shared" si="5"/>
        <v>3</v>
      </c>
      <c r="W575" s="3">
        <f t="shared" si="6"/>
        <v>3</v>
      </c>
      <c r="X575" s="3" t="str">
        <f>IFERROR(__xludf.DUMMYFUNCTION("split(B575,"" "")"),"T.")</f>
        <v>T.</v>
      </c>
      <c r="Y575" s="3" t="str">
        <f>IFERROR(__xludf.DUMMYFUNCTION("""COMPUTED_VALUE"""),"Pollard")</f>
        <v>Pollard</v>
      </c>
      <c r="AA575" s="3">
        <v>3.0</v>
      </c>
      <c r="AB575" s="3">
        <f t="shared" si="7"/>
        <v>1</v>
      </c>
      <c r="AC575" s="3">
        <f t="shared" si="8"/>
        <v>0</v>
      </c>
      <c r="AD575" s="3">
        <f t="shared" si="9"/>
        <v>2.290076336</v>
      </c>
      <c r="AE575" s="3">
        <f t="shared" si="10"/>
        <v>-3</v>
      </c>
      <c r="AF575" s="3">
        <f t="shared" si="11"/>
        <v>-3</v>
      </c>
      <c r="AG575" s="3">
        <f t="shared" si="12"/>
        <v>-0.2</v>
      </c>
    </row>
    <row r="576">
      <c r="A576" s="1" t="s">
        <v>11</v>
      </c>
      <c r="B576" s="1" t="s">
        <v>558</v>
      </c>
      <c r="C576" s="1" t="s">
        <v>18</v>
      </c>
      <c r="D576" s="1" t="s">
        <v>100</v>
      </c>
      <c r="E576" s="1" t="s">
        <v>157</v>
      </c>
      <c r="F576" s="1" t="s">
        <v>525</v>
      </c>
      <c r="G576" s="1">
        <v>5.5</v>
      </c>
      <c r="H576" s="1" t="s">
        <v>60</v>
      </c>
      <c r="I576" s="1">
        <v>-106.0</v>
      </c>
      <c r="J576" s="1">
        <v>0.117674193326166</v>
      </c>
      <c r="K576" s="1" t="s">
        <v>61</v>
      </c>
      <c r="L576" s="1" t="s">
        <v>61</v>
      </c>
      <c r="M576" s="1" t="s">
        <v>62</v>
      </c>
      <c r="N576" s="1">
        <v>-122.0</v>
      </c>
      <c r="O576" s="1">
        <v>-0.181765361561856</v>
      </c>
      <c r="P576" s="1" t="s">
        <v>61</v>
      </c>
      <c r="Q576" s="1" t="s">
        <v>61</v>
      </c>
      <c r="R576" s="1">
        <f t="shared" si="1"/>
        <v>0.1176741933</v>
      </c>
      <c r="S576" s="1">
        <f t="shared" si="2"/>
        <v>-106</v>
      </c>
      <c r="T576" s="1">
        <f t="shared" si="3"/>
        <v>1.943396226</v>
      </c>
      <c r="U576" s="1">
        <f t="shared" si="4"/>
        <v>1</v>
      </c>
      <c r="V576" s="3">
        <f t="shared" si="5"/>
        <v>3</v>
      </c>
      <c r="W576" s="3">
        <f t="shared" si="6"/>
        <v>2</v>
      </c>
      <c r="X576" s="3" t="str">
        <f>IFERROR(__xludf.DUMMYFUNCTION("split(B576,"" "")"),"T.")</f>
        <v>T.</v>
      </c>
      <c r="Y576" s="3" t="str">
        <f>IFERROR(__xludf.DUMMYFUNCTION("""COMPUTED_VALUE"""),"Burks")</f>
        <v>Burks</v>
      </c>
      <c r="AA576" s="3">
        <v>9.0</v>
      </c>
      <c r="AB576" s="3">
        <f t="shared" si="7"/>
        <v>1</v>
      </c>
      <c r="AC576" s="3">
        <f t="shared" si="8"/>
        <v>1</v>
      </c>
      <c r="AD576" s="3">
        <f t="shared" si="9"/>
        <v>2.830188679</v>
      </c>
      <c r="AE576" s="3">
        <f t="shared" si="10"/>
        <v>2.830188679</v>
      </c>
      <c r="AF576" s="3">
        <f t="shared" si="11"/>
        <v>1.886792453</v>
      </c>
      <c r="AG576" s="3">
        <f t="shared" si="12"/>
        <v>0.6363636364</v>
      </c>
    </row>
    <row r="577">
      <c r="A577" s="1" t="s">
        <v>8</v>
      </c>
      <c r="B577" s="1" t="s">
        <v>275</v>
      </c>
      <c r="C577" s="1" t="s">
        <v>21</v>
      </c>
      <c r="D577" s="1" t="s">
        <v>100</v>
      </c>
      <c r="E577" s="1" t="s">
        <v>157</v>
      </c>
      <c r="F577" s="1" t="s">
        <v>525</v>
      </c>
      <c r="G577" s="1">
        <v>3.5</v>
      </c>
      <c r="H577" s="1" t="s">
        <v>60</v>
      </c>
      <c r="I577" s="1">
        <v>-106.0</v>
      </c>
      <c r="J577" s="1">
        <v>-0.181811346884585</v>
      </c>
      <c r="K577" s="1" t="s">
        <v>61</v>
      </c>
      <c r="L577" s="1" t="s">
        <v>61</v>
      </c>
      <c r="M577" s="1" t="s">
        <v>62</v>
      </c>
      <c r="N577" s="1">
        <v>-126.0</v>
      </c>
      <c r="O577" s="1">
        <v>0.109703580519305</v>
      </c>
      <c r="P577" s="1" t="s">
        <v>61</v>
      </c>
      <c r="Q577" s="1" t="s">
        <v>61</v>
      </c>
      <c r="R577" s="1">
        <f t="shared" si="1"/>
        <v>0.1097035805</v>
      </c>
      <c r="S577" s="1">
        <f t="shared" si="2"/>
        <v>-126</v>
      </c>
      <c r="T577" s="1">
        <f t="shared" si="3"/>
        <v>1.793650794</v>
      </c>
      <c r="U577" s="1">
        <f t="shared" si="4"/>
        <v>0</v>
      </c>
      <c r="V577" s="3">
        <f t="shared" si="5"/>
        <v>3</v>
      </c>
      <c r="W577" s="3">
        <f t="shared" si="6"/>
        <v>3</v>
      </c>
      <c r="X577" s="3" t="str">
        <f>IFERROR(__xludf.DUMMYFUNCTION("split(B577,"" "")"),"W.")</f>
        <v>W.</v>
      </c>
      <c r="Y577" s="3" t="str">
        <f>IFERROR(__xludf.DUMMYFUNCTION("""COMPUTED_VALUE"""),"Levis")</f>
        <v>Levis</v>
      </c>
      <c r="AA577" s="3">
        <v>3.0</v>
      </c>
      <c r="AB577" s="3">
        <f t="shared" si="7"/>
        <v>0</v>
      </c>
      <c r="AC577" s="3">
        <f t="shared" si="8"/>
        <v>1</v>
      </c>
      <c r="AD577" s="3">
        <f t="shared" si="9"/>
        <v>2.380952381</v>
      </c>
      <c r="AE577" s="3">
        <f t="shared" si="10"/>
        <v>2.380952381</v>
      </c>
      <c r="AF577" s="3">
        <f t="shared" si="11"/>
        <v>2.380952381</v>
      </c>
      <c r="AG577" s="3">
        <f t="shared" si="12"/>
        <v>0.1428571429</v>
      </c>
    </row>
    <row r="578">
      <c r="A578" s="1" t="s">
        <v>12</v>
      </c>
      <c r="B578" s="1" t="s">
        <v>406</v>
      </c>
      <c r="C578" s="1" t="s">
        <v>18</v>
      </c>
      <c r="D578" s="1" t="s">
        <v>100</v>
      </c>
      <c r="E578" s="1" t="s">
        <v>157</v>
      </c>
      <c r="F578" s="1" t="s">
        <v>525</v>
      </c>
      <c r="G578" s="1">
        <v>2.5</v>
      </c>
      <c r="H578" s="1" t="s">
        <v>60</v>
      </c>
      <c r="I578" s="1">
        <v>-135.0</v>
      </c>
      <c r="J578" s="1">
        <v>-0.164607521446808</v>
      </c>
      <c r="K578" s="1" t="s">
        <v>61</v>
      </c>
      <c r="L578" s="1" t="s">
        <v>61</v>
      </c>
      <c r="M578" s="1" t="s">
        <v>62</v>
      </c>
      <c r="N578" s="1">
        <v>103.0</v>
      </c>
      <c r="O578" s="1">
        <v>0.0975348154679803</v>
      </c>
      <c r="P578" s="1" t="s">
        <v>61</v>
      </c>
      <c r="Q578" s="1" t="s">
        <v>61</v>
      </c>
      <c r="R578" s="1">
        <f t="shared" si="1"/>
        <v>0.09753481547</v>
      </c>
      <c r="S578" s="1">
        <f t="shared" si="2"/>
        <v>103</v>
      </c>
      <c r="T578" s="1">
        <f t="shared" si="3"/>
        <v>2.03</v>
      </c>
      <c r="U578" s="1">
        <f t="shared" si="4"/>
        <v>0</v>
      </c>
      <c r="V578" s="3">
        <f t="shared" si="5"/>
        <v>2</v>
      </c>
      <c r="W578" s="3">
        <f t="shared" si="6"/>
        <v>2</v>
      </c>
      <c r="X578" s="3" t="str">
        <f>IFERROR(__xludf.DUMMYFUNCTION("split(B578,"" "")"),"D.")</f>
        <v>D.</v>
      </c>
      <c r="Y578" s="3" t="str">
        <f>IFERROR(__xludf.DUMMYFUNCTION("""COMPUTED_VALUE"""),"Hopkins")</f>
        <v>Hopkins</v>
      </c>
      <c r="AA578" s="3">
        <v>6.0</v>
      </c>
      <c r="AB578" s="3">
        <f t="shared" si="7"/>
        <v>1</v>
      </c>
      <c r="AC578" s="3">
        <f t="shared" si="8"/>
        <v>0</v>
      </c>
      <c r="AD578" s="3">
        <f t="shared" si="9"/>
        <v>2.06</v>
      </c>
      <c r="AE578" s="3">
        <f t="shared" si="10"/>
        <v>-2</v>
      </c>
      <c r="AF578" s="3">
        <f t="shared" si="11"/>
        <v>-2</v>
      </c>
      <c r="AG578" s="3">
        <f t="shared" si="12"/>
        <v>-1.4</v>
      </c>
    </row>
    <row r="579">
      <c r="A579" s="1" t="s">
        <v>12</v>
      </c>
      <c r="B579" s="1" t="s">
        <v>437</v>
      </c>
      <c r="C579" s="1" t="s">
        <v>18</v>
      </c>
      <c r="D579" s="1" t="s">
        <v>100</v>
      </c>
      <c r="E579" s="1" t="s">
        <v>157</v>
      </c>
      <c r="F579" s="1" t="s">
        <v>525</v>
      </c>
      <c r="G579" s="1">
        <v>3.5</v>
      </c>
      <c r="H579" s="1" t="s">
        <v>60</v>
      </c>
      <c r="I579" s="1">
        <v>-119.0</v>
      </c>
      <c r="J579" s="1">
        <v>-0.151933333333333</v>
      </c>
      <c r="K579" s="1" t="s">
        <v>61</v>
      </c>
      <c r="L579" s="1" t="s">
        <v>61</v>
      </c>
      <c r="M579" s="1" t="s">
        <v>62</v>
      </c>
      <c r="N579" s="1">
        <v>-110.0</v>
      </c>
      <c r="O579" s="1">
        <v>0.0847380952380952</v>
      </c>
      <c r="P579" s="1" t="s">
        <v>61</v>
      </c>
      <c r="Q579" s="1" t="s">
        <v>61</v>
      </c>
      <c r="R579" s="1">
        <f t="shared" si="1"/>
        <v>0.08473809524</v>
      </c>
      <c r="S579" s="1">
        <f t="shared" si="2"/>
        <v>-110</v>
      </c>
      <c r="T579" s="1">
        <f t="shared" si="3"/>
        <v>1.909090909</v>
      </c>
      <c r="U579" s="1">
        <f t="shared" si="4"/>
        <v>0</v>
      </c>
      <c r="V579" s="3">
        <f t="shared" si="5"/>
        <v>2</v>
      </c>
      <c r="W579" s="3">
        <f t="shared" si="6"/>
        <v>2</v>
      </c>
      <c r="X579" s="3" t="str">
        <f>IFERROR(__xludf.DUMMYFUNCTION("split(B579,"" "")"),"C.")</f>
        <v>C.</v>
      </c>
      <c r="Y579" s="3" t="str">
        <f>IFERROR(__xludf.DUMMYFUNCTION("""COMPUTED_VALUE"""),"Ridley")</f>
        <v>Ridley</v>
      </c>
      <c r="AA579" s="3">
        <v>1.0</v>
      </c>
      <c r="AB579" s="3">
        <f t="shared" si="7"/>
        <v>0</v>
      </c>
      <c r="AC579" s="3">
        <f t="shared" si="8"/>
        <v>1</v>
      </c>
      <c r="AD579" s="3">
        <f t="shared" si="9"/>
        <v>1.818181818</v>
      </c>
      <c r="AE579" s="3">
        <f t="shared" si="10"/>
        <v>1.818181818</v>
      </c>
      <c r="AF579" s="3">
        <f t="shared" si="11"/>
        <v>1.818181818</v>
      </c>
      <c r="AG579" s="3">
        <f t="shared" si="12"/>
        <v>0.7142857143</v>
      </c>
    </row>
    <row r="580">
      <c r="A580" s="1" t="s">
        <v>9</v>
      </c>
      <c r="B580" s="1" t="s">
        <v>406</v>
      </c>
      <c r="C580" s="1" t="s">
        <v>18</v>
      </c>
      <c r="D580" s="1" t="s">
        <v>100</v>
      </c>
      <c r="E580" s="1" t="s">
        <v>157</v>
      </c>
      <c r="F580" s="1" t="s">
        <v>525</v>
      </c>
      <c r="G580" s="1">
        <v>29.5</v>
      </c>
      <c r="H580" s="1" t="s">
        <v>60</v>
      </c>
      <c r="I580" s="1">
        <v>-115.0</v>
      </c>
      <c r="J580" s="1">
        <v>0.0718500519248814</v>
      </c>
      <c r="K580" s="1" t="s">
        <v>61</v>
      </c>
      <c r="L580" s="1" t="s">
        <v>61</v>
      </c>
      <c r="M580" s="1" t="s">
        <v>62</v>
      </c>
      <c r="N580" s="1">
        <v>-115.0</v>
      </c>
      <c r="O580" s="1">
        <v>-0.141547559713613</v>
      </c>
      <c r="P580" s="1" t="s">
        <v>61</v>
      </c>
      <c r="Q580" s="1" t="s">
        <v>61</v>
      </c>
      <c r="R580" s="1">
        <f t="shared" si="1"/>
        <v>0.07185005192</v>
      </c>
      <c r="S580" s="1">
        <f t="shared" si="2"/>
        <v>-115</v>
      </c>
      <c r="T580" s="1">
        <f t="shared" si="3"/>
        <v>1.869565217</v>
      </c>
      <c r="U580" s="1">
        <f t="shared" si="4"/>
        <v>1</v>
      </c>
      <c r="V580" s="3">
        <f t="shared" si="5"/>
        <v>2</v>
      </c>
      <c r="W580" s="3">
        <f t="shared" si="6"/>
        <v>2</v>
      </c>
      <c r="X580" s="3" t="str">
        <f>IFERROR(__xludf.DUMMYFUNCTION("split(B580,"" "")"),"D.")</f>
        <v>D.</v>
      </c>
      <c r="Y580" s="3" t="str">
        <f>IFERROR(__xludf.DUMMYFUNCTION("""COMPUTED_VALUE"""),"Hopkins")</f>
        <v>Hopkins</v>
      </c>
      <c r="AA580" s="3">
        <v>73.0</v>
      </c>
      <c r="AB580" s="3">
        <f t="shared" si="7"/>
        <v>1</v>
      </c>
      <c r="AC580" s="3">
        <f t="shared" si="8"/>
        <v>1</v>
      </c>
      <c r="AD580" s="3">
        <f t="shared" si="9"/>
        <v>1.739130435</v>
      </c>
      <c r="AE580" s="3">
        <f t="shared" si="10"/>
        <v>1.739130435</v>
      </c>
      <c r="AF580" s="3">
        <f t="shared" si="11"/>
        <v>1.739130435</v>
      </c>
      <c r="AG580" s="3">
        <f t="shared" si="12"/>
        <v>1.474576271</v>
      </c>
    </row>
    <row r="581">
      <c r="A581" s="1" t="s">
        <v>15</v>
      </c>
      <c r="B581" s="1" t="s">
        <v>275</v>
      </c>
      <c r="C581" s="1" t="s">
        <v>21</v>
      </c>
      <c r="D581" s="1" t="s">
        <v>100</v>
      </c>
      <c r="E581" s="1" t="s">
        <v>157</v>
      </c>
      <c r="F581" s="1" t="s">
        <v>525</v>
      </c>
      <c r="G581" s="1">
        <v>18.5</v>
      </c>
      <c r="H581" s="1" t="s">
        <v>60</v>
      </c>
      <c r="I581" s="1">
        <v>101.0</v>
      </c>
      <c r="J581" s="1">
        <v>-0.130112028896617</v>
      </c>
      <c r="K581" s="1" t="s">
        <v>61</v>
      </c>
      <c r="L581" s="1" t="s">
        <v>61</v>
      </c>
      <c r="M581" s="1" t="s">
        <v>62</v>
      </c>
      <c r="N581" s="1">
        <v>-133.0</v>
      </c>
      <c r="O581" s="1">
        <v>0.0617840848380257</v>
      </c>
      <c r="P581" s="1" t="s">
        <v>61</v>
      </c>
      <c r="Q581" s="1" t="s">
        <v>61</v>
      </c>
      <c r="R581" s="1">
        <f t="shared" si="1"/>
        <v>0.06178408484</v>
      </c>
      <c r="S581" s="1">
        <f t="shared" si="2"/>
        <v>-133</v>
      </c>
      <c r="T581" s="1">
        <f t="shared" si="3"/>
        <v>1.751879699</v>
      </c>
      <c r="U581" s="1">
        <f t="shared" si="4"/>
        <v>0</v>
      </c>
      <c r="V581" s="3">
        <f t="shared" si="5"/>
        <v>2</v>
      </c>
      <c r="W581" s="3">
        <f t="shared" si="6"/>
        <v>3</v>
      </c>
      <c r="X581" s="3" t="str">
        <f>IFERROR(__xludf.DUMMYFUNCTION("split(B581,"" "")"),"W.")</f>
        <v>W.</v>
      </c>
      <c r="Y581" s="3" t="str">
        <f>IFERROR(__xludf.DUMMYFUNCTION("""COMPUTED_VALUE"""),"Levis")</f>
        <v>Levis</v>
      </c>
      <c r="AA581" s="3">
        <v>26.0</v>
      </c>
      <c r="AB581" s="3">
        <f t="shared" si="7"/>
        <v>1</v>
      </c>
      <c r="AC581" s="3">
        <f t="shared" si="8"/>
        <v>0</v>
      </c>
      <c r="AD581" s="3">
        <f t="shared" si="9"/>
        <v>1.503759398</v>
      </c>
      <c r="AE581" s="3">
        <f t="shared" si="10"/>
        <v>-2</v>
      </c>
      <c r="AF581" s="3">
        <f t="shared" si="11"/>
        <v>-3</v>
      </c>
      <c r="AG581" s="3">
        <f t="shared" si="12"/>
        <v>-0.4054054054</v>
      </c>
    </row>
    <row r="582">
      <c r="A582" s="1" t="s">
        <v>11</v>
      </c>
      <c r="B582" s="1" t="s">
        <v>559</v>
      </c>
      <c r="C582" s="1" t="s">
        <v>18</v>
      </c>
      <c r="D582" s="1" t="s">
        <v>100</v>
      </c>
      <c r="E582" s="1" t="s">
        <v>157</v>
      </c>
      <c r="F582" s="1" t="s">
        <v>525</v>
      </c>
      <c r="G582" s="1">
        <v>27.5</v>
      </c>
      <c r="H582" s="1" t="s">
        <v>60</v>
      </c>
      <c r="I582" s="1">
        <v>-114.0</v>
      </c>
      <c r="J582" s="1">
        <v>-0.109619703046224</v>
      </c>
      <c r="K582" s="1" t="s">
        <v>61</v>
      </c>
      <c r="L582" s="1" t="s">
        <v>61</v>
      </c>
      <c r="M582" s="1" t="s">
        <v>62</v>
      </c>
      <c r="N582" s="1">
        <v>-114.0</v>
      </c>
      <c r="O582" s="1">
        <v>0.0442284614726956</v>
      </c>
      <c r="P582" s="1" t="s">
        <v>61</v>
      </c>
      <c r="Q582" s="1" t="s">
        <v>61</v>
      </c>
      <c r="R582" s="1">
        <f t="shared" si="1"/>
        <v>0.04422846147</v>
      </c>
      <c r="S582" s="1">
        <f t="shared" si="2"/>
        <v>-114</v>
      </c>
      <c r="T582" s="1">
        <f t="shared" si="3"/>
        <v>1.877192982</v>
      </c>
      <c r="U582" s="1">
        <f t="shared" si="4"/>
        <v>0</v>
      </c>
      <c r="V582" s="3">
        <f t="shared" si="5"/>
        <v>1</v>
      </c>
      <c r="W582" s="3">
        <f t="shared" si="6"/>
        <v>2</v>
      </c>
      <c r="X582" s="3" t="str">
        <f>IFERROR(__xludf.DUMMYFUNCTION("split(B582,"" "")"),"T.")</f>
        <v>T.</v>
      </c>
      <c r="Y582" s="3" t="str">
        <f>IFERROR(__xludf.DUMMYFUNCTION("""COMPUTED_VALUE"""),"Boyd")</f>
        <v>Boyd</v>
      </c>
      <c r="AA582" s="3">
        <v>33.0</v>
      </c>
      <c r="AB582" s="3">
        <f t="shared" si="7"/>
        <v>1</v>
      </c>
      <c r="AC582" s="3">
        <f t="shared" si="8"/>
        <v>0</v>
      </c>
      <c r="AD582" s="3">
        <f t="shared" si="9"/>
        <v>0.8771929825</v>
      </c>
      <c r="AE582" s="3">
        <f t="shared" si="10"/>
        <v>-1</v>
      </c>
      <c r="AF582" s="3">
        <f t="shared" si="11"/>
        <v>-2</v>
      </c>
      <c r="AG582" s="3">
        <f t="shared" si="12"/>
        <v>-0.2</v>
      </c>
    </row>
    <row r="583">
      <c r="A583" s="1" t="s">
        <v>9</v>
      </c>
      <c r="B583" s="1" t="s">
        <v>340</v>
      </c>
      <c r="C583" s="1" t="s">
        <v>19</v>
      </c>
      <c r="D583" s="1" t="s">
        <v>100</v>
      </c>
      <c r="E583" s="1" t="s">
        <v>157</v>
      </c>
      <c r="F583" s="1" t="s">
        <v>525</v>
      </c>
      <c r="G583" s="1">
        <v>83.5</v>
      </c>
      <c r="H583" s="1" t="s">
        <v>60</v>
      </c>
      <c r="I583" s="1">
        <v>-108.0</v>
      </c>
      <c r="J583" s="1">
        <v>-0.120112208609752</v>
      </c>
      <c r="K583" s="1" t="s">
        <v>61</v>
      </c>
      <c r="L583" s="1" t="s">
        <v>61</v>
      </c>
      <c r="M583" s="1" t="s">
        <v>62</v>
      </c>
      <c r="N583" s="1">
        <v>-126.0</v>
      </c>
      <c r="O583" s="1">
        <v>0.0433403877541762</v>
      </c>
      <c r="P583" s="1" t="s">
        <v>61</v>
      </c>
      <c r="Q583" s="1" t="s">
        <v>61</v>
      </c>
      <c r="R583" s="1">
        <f t="shared" si="1"/>
        <v>0.04334038775</v>
      </c>
      <c r="S583" s="1">
        <f t="shared" si="2"/>
        <v>-126</v>
      </c>
      <c r="T583" s="1">
        <f t="shared" si="3"/>
        <v>1.793650794</v>
      </c>
      <c r="U583" s="1">
        <f t="shared" si="4"/>
        <v>0</v>
      </c>
      <c r="V583" s="3">
        <f t="shared" si="5"/>
        <v>1</v>
      </c>
      <c r="W583" s="3">
        <f t="shared" si="6"/>
        <v>3</v>
      </c>
      <c r="X583" s="3" t="str">
        <f>IFERROR(__xludf.DUMMYFUNCTION("split(B583,"" "")"),"T.")</f>
        <v>T.</v>
      </c>
      <c r="Y583" s="3" t="str">
        <f>IFERROR(__xludf.DUMMYFUNCTION("""COMPUTED_VALUE"""),"Pollard")</f>
        <v>Pollard</v>
      </c>
      <c r="AA583" s="3">
        <v>29.0</v>
      </c>
      <c r="AB583" s="3">
        <f t="shared" si="7"/>
        <v>0</v>
      </c>
      <c r="AC583" s="3">
        <f t="shared" si="8"/>
        <v>1</v>
      </c>
      <c r="AD583" s="3">
        <f t="shared" si="9"/>
        <v>0.7936507937</v>
      </c>
      <c r="AE583" s="3">
        <f t="shared" si="10"/>
        <v>0.7936507937</v>
      </c>
      <c r="AF583" s="3">
        <f t="shared" si="11"/>
        <v>2.380952381</v>
      </c>
      <c r="AG583" s="3">
        <f t="shared" si="12"/>
        <v>0.6526946108</v>
      </c>
    </row>
    <row r="584">
      <c r="A584" s="1" t="s">
        <v>10</v>
      </c>
      <c r="B584" s="1" t="s">
        <v>340</v>
      </c>
      <c r="C584" s="1" t="s">
        <v>19</v>
      </c>
      <c r="D584" s="1" t="s">
        <v>100</v>
      </c>
      <c r="E584" s="1" t="s">
        <v>157</v>
      </c>
      <c r="F584" s="1" t="s">
        <v>525</v>
      </c>
      <c r="G584" s="1">
        <v>64.5</v>
      </c>
      <c r="H584" s="1" t="s">
        <v>60</v>
      </c>
      <c r="I584" s="1">
        <v>-109.0</v>
      </c>
      <c r="J584" s="1">
        <v>-0.101474428027915</v>
      </c>
      <c r="K584" s="1" t="s">
        <v>61</v>
      </c>
      <c r="L584" s="1" t="s">
        <v>61</v>
      </c>
      <c r="M584" s="1" t="s">
        <v>62</v>
      </c>
      <c r="N584" s="1">
        <v>-122.0</v>
      </c>
      <c r="O584" s="1">
        <v>0.0303997111857508</v>
      </c>
      <c r="P584" s="1" t="s">
        <v>61</v>
      </c>
      <c r="Q584" s="1" t="s">
        <v>61</v>
      </c>
      <c r="R584" s="1">
        <f t="shared" si="1"/>
        <v>0.03039971119</v>
      </c>
      <c r="S584" s="1">
        <f t="shared" si="2"/>
        <v>-122</v>
      </c>
      <c r="T584" s="1">
        <f t="shared" si="3"/>
        <v>1.819672131</v>
      </c>
      <c r="U584" s="1">
        <f t="shared" si="4"/>
        <v>0</v>
      </c>
      <c r="V584" s="3">
        <f t="shared" si="5"/>
        <v>1</v>
      </c>
      <c r="W584" s="3">
        <f t="shared" si="6"/>
        <v>3</v>
      </c>
      <c r="X584" s="3" t="str">
        <f>IFERROR(__xludf.DUMMYFUNCTION("split(B584,"" "")"),"T.")</f>
        <v>T.</v>
      </c>
      <c r="Y584" s="3" t="str">
        <f>IFERROR(__xludf.DUMMYFUNCTION("""COMPUTED_VALUE"""),"Pollard")</f>
        <v>Pollard</v>
      </c>
      <c r="AA584" s="3">
        <v>14.0</v>
      </c>
      <c r="AB584" s="3">
        <f t="shared" si="7"/>
        <v>0</v>
      </c>
      <c r="AC584" s="3">
        <f t="shared" si="8"/>
        <v>1</v>
      </c>
      <c r="AD584" s="3">
        <f t="shared" si="9"/>
        <v>0.8196721311</v>
      </c>
      <c r="AE584" s="3">
        <f t="shared" si="10"/>
        <v>0.8196721311</v>
      </c>
      <c r="AF584" s="3">
        <f t="shared" si="11"/>
        <v>2.459016393</v>
      </c>
      <c r="AG584" s="3">
        <f t="shared" si="12"/>
        <v>0.7829457364</v>
      </c>
    </row>
    <row r="585">
      <c r="A585" s="1" t="s">
        <v>16</v>
      </c>
      <c r="B585" s="1" t="s">
        <v>275</v>
      </c>
      <c r="C585" s="1" t="s">
        <v>21</v>
      </c>
      <c r="D585" s="1" t="s">
        <v>100</v>
      </c>
      <c r="E585" s="1" t="s">
        <v>157</v>
      </c>
      <c r="F585" s="1" t="s">
        <v>525</v>
      </c>
      <c r="G585" s="1">
        <v>28.5</v>
      </c>
      <c r="H585" s="1" t="s">
        <v>60</v>
      </c>
      <c r="I585" s="1">
        <v>-109.0</v>
      </c>
      <c r="J585" s="1">
        <v>-0.0960387825358849</v>
      </c>
      <c r="K585" s="1" t="s">
        <v>61</v>
      </c>
      <c r="L585" s="1" t="s">
        <v>61</v>
      </c>
      <c r="M585" s="1" t="s">
        <v>62</v>
      </c>
      <c r="N585" s="1">
        <v>-120.0</v>
      </c>
      <c r="O585" s="1">
        <v>0.0290262120909091</v>
      </c>
      <c r="P585" s="1" t="s">
        <v>61</v>
      </c>
      <c r="Q585" s="1" t="s">
        <v>61</v>
      </c>
      <c r="R585" s="1">
        <f t="shared" si="1"/>
        <v>0.02902621209</v>
      </c>
      <c r="S585" s="1">
        <f t="shared" si="2"/>
        <v>-120</v>
      </c>
      <c r="T585" s="1">
        <f t="shared" si="3"/>
        <v>1.833333333</v>
      </c>
      <c r="U585" s="1">
        <f t="shared" si="4"/>
        <v>0</v>
      </c>
      <c r="V585" s="3">
        <f t="shared" si="5"/>
        <v>1</v>
      </c>
      <c r="W585" s="3">
        <f t="shared" si="6"/>
        <v>3</v>
      </c>
      <c r="X585" s="3" t="str">
        <f>IFERROR(__xludf.DUMMYFUNCTION("split(B585,"" "")"),"W.")</f>
        <v>W.</v>
      </c>
      <c r="Y585" s="3" t="str">
        <f>IFERROR(__xludf.DUMMYFUNCTION("""COMPUTED_VALUE"""),"Levis")</f>
        <v>Levis</v>
      </c>
      <c r="AA585" s="3">
        <v>34.0</v>
      </c>
      <c r="AB585" s="3">
        <f t="shared" si="7"/>
        <v>1</v>
      </c>
      <c r="AC585" s="3">
        <f t="shared" si="8"/>
        <v>0</v>
      </c>
      <c r="AD585" s="3">
        <f t="shared" si="9"/>
        <v>0.8333333333</v>
      </c>
      <c r="AE585" s="3">
        <f t="shared" si="10"/>
        <v>-1</v>
      </c>
      <c r="AF585" s="3">
        <f t="shared" si="11"/>
        <v>-3</v>
      </c>
      <c r="AG585" s="3">
        <f t="shared" si="12"/>
        <v>-0.1929824561</v>
      </c>
    </row>
    <row r="586">
      <c r="A586" s="1" t="s">
        <v>17</v>
      </c>
      <c r="B586" s="1" t="s">
        <v>275</v>
      </c>
      <c r="C586" s="1" t="s">
        <v>21</v>
      </c>
      <c r="D586" s="1" t="s">
        <v>100</v>
      </c>
      <c r="E586" s="1" t="s">
        <v>157</v>
      </c>
      <c r="F586" s="1" t="s">
        <v>525</v>
      </c>
      <c r="G586" s="1">
        <v>0.5</v>
      </c>
      <c r="H586" s="1" t="s">
        <v>60</v>
      </c>
      <c r="I586" s="1">
        <v>-115.0</v>
      </c>
      <c r="J586" s="1">
        <v>-0.0955837209302326</v>
      </c>
      <c r="K586" s="1" t="s">
        <v>61</v>
      </c>
      <c r="L586" s="1" t="s">
        <v>61</v>
      </c>
      <c r="M586" s="1" t="s">
        <v>62</v>
      </c>
      <c r="N586" s="1">
        <v>-114.0</v>
      </c>
      <c r="O586" s="1">
        <v>0.0279897196261682</v>
      </c>
      <c r="P586" s="1" t="s">
        <v>61</v>
      </c>
      <c r="Q586" s="1" t="s">
        <v>61</v>
      </c>
      <c r="R586" s="1">
        <f t="shared" si="1"/>
        <v>0.02798971963</v>
      </c>
      <c r="S586" s="1">
        <f t="shared" si="2"/>
        <v>-114</v>
      </c>
      <c r="T586" s="1">
        <f t="shared" si="3"/>
        <v>1.877192982</v>
      </c>
      <c r="U586" s="1">
        <f t="shared" si="4"/>
        <v>0</v>
      </c>
      <c r="V586" s="3">
        <f t="shared" si="5"/>
        <v>1</v>
      </c>
      <c r="W586" s="3">
        <f t="shared" si="6"/>
        <v>2</v>
      </c>
      <c r="X586" s="3" t="str">
        <f>IFERROR(__xludf.DUMMYFUNCTION("split(B586,"" "")"),"W.")</f>
        <v>W.</v>
      </c>
      <c r="Y586" s="3" t="str">
        <f>IFERROR(__xludf.DUMMYFUNCTION("""COMPUTED_VALUE"""),"Levis")</f>
        <v>Levis</v>
      </c>
      <c r="AA586" s="3">
        <v>2.0</v>
      </c>
      <c r="AB586" s="3">
        <f t="shared" si="7"/>
        <v>1</v>
      </c>
      <c r="AC586" s="3">
        <f t="shared" si="8"/>
        <v>0</v>
      </c>
      <c r="AD586" s="3">
        <f t="shared" si="9"/>
        <v>0.8771929825</v>
      </c>
      <c r="AE586" s="3">
        <f t="shared" si="10"/>
        <v>-1</v>
      </c>
      <c r="AF586" s="3">
        <f t="shared" si="11"/>
        <v>-2</v>
      </c>
      <c r="AG586" s="3">
        <f t="shared" si="12"/>
        <v>-3</v>
      </c>
    </row>
    <row r="587">
      <c r="A587" s="1" t="s">
        <v>10</v>
      </c>
      <c r="B587" s="1" t="s">
        <v>275</v>
      </c>
      <c r="C587" s="1" t="s">
        <v>21</v>
      </c>
      <c r="D587" s="1" t="s">
        <v>100</v>
      </c>
      <c r="E587" s="1" t="s">
        <v>157</v>
      </c>
      <c r="F587" s="1" t="s">
        <v>525</v>
      </c>
      <c r="G587" s="1">
        <v>13.5</v>
      </c>
      <c r="H587" s="1" t="s">
        <v>60</v>
      </c>
      <c r="I587" s="1">
        <v>-116.0</v>
      </c>
      <c r="J587" s="1">
        <v>-0.0966407875804711</v>
      </c>
      <c r="K587" s="1" t="s">
        <v>61</v>
      </c>
      <c r="L587" s="1" t="s">
        <v>61</v>
      </c>
      <c r="M587" s="1" t="s">
        <v>62</v>
      </c>
      <c r="N587" s="1">
        <v>-114.0</v>
      </c>
      <c r="O587" s="1">
        <v>0.0268639043636227</v>
      </c>
      <c r="P587" s="1" t="s">
        <v>61</v>
      </c>
      <c r="Q587" s="1" t="s">
        <v>61</v>
      </c>
      <c r="R587" s="1">
        <f t="shared" si="1"/>
        <v>0.02686390436</v>
      </c>
      <c r="S587" s="1">
        <f t="shared" si="2"/>
        <v>-114</v>
      </c>
      <c r="T587" s="1">
        <f t="shared" si="3"/>
        <v>1.877192982</v>
      </c>
      <c r="U587" s="1">
        <f t="shared" si="4"/>
        <v>0</v>
      </c>
      <c r="V587" s="3">
        <f t="shared" si="5"/>
        <v>1</v>
      </c>
      <c r="W587" s="3">
        <f t="shared" si="6"/>
        <v>2</v>
      </c>
      <c r="X587" s="3" t="str">
        <f>IFERROR(__xludf.DUMMYFUNCTION("split(B587,"" "")"),"W.")</f>
        <v>W.</v>
      </c>
      <c r="Y587" s="3" t="str">
        <f>IFERROR(__xludf.DUMMYFUNCTION("""COMPUTED_VALUE"""),"Levis")</f>
        <v>Levis</v>
      </c>
      <c r="AA587" s="3">
        <v>12.0</v>
      </c>
      <c r="AB587" s="3">
        <f t="shared" si="7"/>
        <v>0</v>
      </c>
      <c r="AC587" s="3">
        <f t="shared" si="8"/>
        <v>1</v>
      </c>
      <c r="AD587" s="3">
        <f t="shared" si="9"/>
        <v>0.8771929825</v>
      </c>
      <c r="AE587" s="3">
        <f t="shared" si="10"/>
        <v>0.8771929825</v>
      </c>
      <c r="AF587" s="3">
        <f t="shared" si="11"/>
        <v>1.754385965</v>
      </c>
      <c r="AG587" s="3">
        <f t="shared" si="12"/>
        <v>0.1111111111</v>
      </c>
    </row>
    <row r="588">
      <c r="A588" s="1" t="s">
        <v>12</v>
      </c>
      <c r="B588" s="1" t="s">
        <v>558</v>
      </c>
      <c r="C588" s="1" t="s">
        <v>18</v>
      </c>
      <c r="D588" s="1" t="s">
        <v>100</v>
      </c>
      <c r="E588" s="1" t="s">
        <v>157</v>
      </c>
      <c r="F588" s="1" t="s">
        <v>525</v>
      </c>
      <c r="G588" s="1">
        <v>0.5</v>
      </c>
      <c r="H588" s="1" t="s">
        <v>60</v>
      </c>
      <c r="I588" s="1">
        <v>-161.0</v>
      </c>
      <c r="J588" s="1">
        <v>-0.0878331529659004</v>
      </c>
      <c r="K588" s="1" t="s">
        <v>61</v>
      </c>
      <c r="L588" s="1" t="s">
        <v>61</v>
      </c>
      <c r="M588" s="1" t="s">
        <v>62</v>
      </c>
      <c r="N588" s="1">
        <v>122.0</v>
      </c>
      <c r="O588" s="1">
        <v>0.0205376257842341</v>
      </c>
      <c r="P588" s="1" t="s">
        <v>61</v>
      </c>
      <c r="Q588" s="1" t="s">
        <v>61</v>
      </c>
      <c r="R588" s="1">
        <f t="shared" si="1"/>
        <v>0.02053762578</v>
      </c>
      <c r="S588" s="1">
        <f t="shared" si="2"/>
        <v>122</v>
      </c>
      <c r="T588" s="1">
        <f t="shared" si="3"/>
        <v>2.22</v>
      </c>
      <c r="U588" s="1">
        <f t="shared" si="4"/>
        <v>0</v>
      </c>
      <c r="V588" s="3">
        <f t="shared" si="5"/>
        <v>1</v>
      </c>
      <c r="W588" s="3">
        <f t="shared" si="6"/>
        <v>1</v>
      </c>
      <c r="X588" s="3" t="str">
        <f>IFERROR(__xludf.DUMMYFUNCTION("split(B588,"" "")"),"T.")</f>
        <v>T.</v>
      </c>
      <c r="Y588" s="3" t="str">
        <f>IFERROR(__xludf.DUMMYFUNCTION("""COMPUTED_VALUE"""),"Burks")</f>
        <v>Burks</v>
      </c>
      <c r="AA588" s="3">
        <v>1.0</v>
      </c>
      <c r="AB588" s="3">
        <f t="shared" si="7"/>
        <v>1</v>
      </c>
      <c r="AC588" s="3">
        <f t="shared" si="8"/>
        <v>0</v>
      </c>
      <c r="AD588" s="3">
        <f t="shared" si="9"/>
        <v>1.22</v>
      </c>
      <c r="AE588" s="3">
        <f t="shared" si="10"/>
        <v>-1</v>
      </c>
      <c r="AF588" s="3">
        <f t="shared" si="11"/>
        <v>-1</v>
      </c>
      <c r="AG588" s="3">
        <f t="shared" si="12"/>
        <v>-1</v>
      </c>
    </row>
    <row r="589">
      <c r="A589" s="1" t="s">
        <v>9</v>
      </c>
      <c r="B589" s="1" t="s">
        <v>301</v>
      </c>
      <c r="C589" s="1" t="s">
        <v>19</v>
      </c>
      <c r="D589" s="1" t="s">
        <v>100</v>
      </c>
      <c r="E589" s="1" t="s">
        <v>157</v>
      </c>
      <c r="F589" s="1" t="s">
        <v>525</v>
      </c>
      <c r="G589" s="1">
        <v>40.5</v>
      </c>
      <c r="H589" s="1" t="s">
        <v>60</v>
      </c>
      <c r="I589" s="1">
        <v>-117.0</v>
      </c>
      <c r="J589" s="1">
        <v>0.0154330608061156</v>
      </c>
      <c r="K589" s="1" t="s">
        <v>61</v>
      </c>
      <c r="L589" s="1" t="s">
        <v>61</v>
      </c>
      <c r="M589" s="1" t="s">
        <v>62</v>
      </c>
      <c r="N589" s="1">
        <v>-115.0</v>
      </c>
      <c r="O589" s="1">
        <v>-0.0894396526705403</v>
      </c>
      <c r="P589" s="1" t="s">
        <v>61</v>
      </c>
      <c r="Q589" s="1" t="s">
        <v>61</v>
      </c>
      <c r="R589" s="1">
        <f t="shared" si="1"/>
        <v>0.01543306081</v>
      </c>
      <c r="S589" s="1">
        <f t="shared" si="2"/>
        <v>-117</v>
      </c>
      <c r="T589" s="1">
        <f t="shared" si="3"/>
        <v>1.854700855</v>
      </c>
      <c r="U589" s="1">
        <f t="shared" si="4"/>
        <v>1</v>
      </c>
      <c r="V589" s="3">
        <f t="shared" si="5"/>
        <v>1</v>
      </c>
      <c r="W589" s="3">
        <f t="shared" si="6"/>
        <v>2</v>
      </c>
      <c r="X589" s="3" t="str">
        <f>IFERROR(__xludf.DUMMYFUNCTION("split(B589,"" "")"),"T.")</f>
        <v>T.</v>
      </c>
      <c r="Y589" s="3" t="str">
        <f>IFERROR(__xludf.DUMMYFUNCTION("""COMPUTED_VALUE"""),"Spears")</f>
        <v>Spears</v>
      </c>
      <c r="AA589" s="3">
        <v>61.0</v>
      </c>
      <c r="AB589" s="3">
        <f t="shared" si="7"/>
        <v>1</v>
      </c>
      <c r="AC589" s="3">
        <f t="shared" si="8"/>
        <v>1</v>
      </c>
      <c r="AD589" s="3">
        <f t="shared" si="9"/>
        <v>0.8547008547</v>
      </c>
      <c r="AE589" s="3">
        <f t="shared" si="10"/>
        <v>0.8547008547</v>
      </c>
      <c r="AF589" s="3">
        <f t="shared" si="11"/>
        <v>1.709401709</v>
      </c>
      <c r="AG589" s="3">
        <f t="shared" si="12"/>
        <v>0.5061728395</v>
      </c>
    </row>
    <row r="590">
      <c r="A590" s="1" t="s">
        <v>8</v>
      </c>
      <c r="B590" s="1" t="s">
        <v>340</v>
      </c>
      <c r="C590" s="1" t="s">
        <v>19</v>
      </c>
      <c r="D590" s="1" t="s">
        <v>100</v>
      </c>
      <c r="E590" s="1" t="s">
        <v>157</v>
      </c>
      <c r="F590" s="1" t="s">
        <v>525</v>
      </c>
      <c r="G590" s="1">
        <v>15.5</v>
      </c>
      <c r="H590" s="1" t="s">
        <v>60</v>
      </c>
      <c r="I590" s="1">
        <v>101.0</v>
      </c>
      <c r="J590" s="1">
        <v>-0.0821127526691543</v>
      </c>
      <c r="K590" s="1" t="s">
        <v>61</v>
      </c>
      <c r="L590" s="1" t="s">
        <v>61</v>
      </c>
      <c r="M590" s="1" t="s">
        <v>62</v>
      </c>
      <c r="N590" s="1">
        <v>-135.0</v>
      </c>
      <c r="O590" s="1">
        <v>0.0101465996914892</v>
      </c>
      <c r="P590" s="1" t="s">
        <v>61</v>
      </c>
      <c r="Q590" s="1" t="s">
        <v>61</v>
      </c>
      <c r="R590" s="1">
        <f t="shared" si="1"/>
        <v>0.01014659969</v>
      </c>
      <c r="S590" s="1">
        <f t="shared" si="2"/>
        <v>-135</v>
      </c>
      <c r="T590" s="1">
        <f t="shared" si="3"/>
        <v>1.740740741</v>
      </c>
      <c r="U590" s="1">
        <f t="shared" si="4"/>
        <v>0</v>
      </c>
      <c r="V590" s="3">
        <f t="shared" si="5"/>
        <v>1</v>
      </c>
      <c r="W590" s="3">
        <f t="shared" si="6"/>
        <v>3</v>
      </c>
      <c r="X590" s="3" t="str">
        <f>IFERROR(__xludf.DUMMYFUNCTION("split(B590,"" "")"),"T.")</f>
        <v>T.</v>
      </c>
      <c r="Y590" s="3" t="str">
        <f>IFERROR(__xludf.DUMMYFUNCTION("""COMPUTED_VALUE"""),"Pollard")</f>
        <v>Pollard</v>
      </c>
      <c r="AA590" s="3">
        <v>6.0</v>
      </c>
      <c r="AB590" s="3">
        <f t="shared" si="7"/>
        <v>0</v>
      </c>
      <c r="AC590" s="3">
        <f t="shared" si="8"/>
        <v>1</v>
      </c>
      <c r="AD590" s="3">
        <f t="shared" si="9"/>
        <v>0.7407407407</v>
      </c>
      <c r="AE590" s="3">
        <f t="shared" si="10"/>
        <v>0.7407407407</v>
      </c>
      <c r="AF590" s="3">
        <f t="shared" si="11"/>
        <v>2.222222222</v>
      </c>
      <c r="AG590" s="3">
        <f t="shared" si="12"/>
        <v>0.6129032258</v>
      </c>
    </row>
    <row r="591">
      <c r="A591" s="1" t="s">
        <v>11</v>
      </c>
      <c r="B591" s="1" t="s">
        <v>301</v>
      </c>
      <c r="C591" s="1" t="s">
        <v>19</v>
      </c>
      <c r="D591" s="1" t="s">
        <v>100</v>
      </c>
      <c r="E591" s="1" t="s">
        <v>157</v>
      </c>
      <c r="F591" s="1" t="s">
        <v>525</v>
      </c>
      <c r="G591" s="1">
        <v>10.5</v>
      </c>
      <c r="H591" s="1" t="s">
        <v>60</v>
      </c>
      <c r="I591" s="1">
        <v>-115.0</v>
      </c>
      <c r="J591" s="1">
        <v>0.00736708337469982</v>
      </c>
      <c r="K591" s="1" t="s">
        <v>61</v>
      </c>
      <c r="L591" s="1" t="s">
        <v>61</v>
      </c>
      <c r="M591" s="1" t="s">
        <v>62</v>
      </c>
      <c r="N591" s="1">
        <v>-114.0</v>
      </c>
      <c r="O591" s="1">
        <v>-0.0749394025006492</v>
      </c>
      <c r="P591" s="1" t="s">
        <v>61</v>
      </c>
      <c r="Q591" s="1" t="s">
        <v>61</v>
      </c>
      <c r="R591" s="1">
        <f t="shared" si="1"/>
        <v>0.007367083375</v>
      </c>
      <c r="S591" s="1">
        <f t="shared" si="2"/>
        <v>-115</v>
      </c>
      <c r="T591" s="1">
        <f t="shared" si="3"/>
        <v>1.869565217</v>
      </c>
      <c r="U591" s="1">
        <f t="shared" si="4"/>
        <v>1</v>
      </c>
      <c r="V591" s="3">
        <f t="shared" si="5"/>
        <v>1</v>
      </c>
      <c r="W591" s="3">
        <f t="shared" si="6"/>
        <v>2</v>
      </c>
      <c r="X591" s="3" t="str">
        <f>IFERROR(__xludf.DUMMYFUNCTION("split(B591,"" "")"),"T.")</f>
        <v>T.</v>
      </c>
      <c r="Y591" s="3" t="str">
        <f>IFERROR(__xludf.DUMMYFUNCTION("""COMPUTED_VALUE"""),"Spears")</f>
        <v>Spears</v>
      </c>
      <c r="AA591" s="3">
        <v>54.0</v>
      </c>
      <c r="AB591" s="3">
        <f t="shared" si="7"/>
        <v>1</v>
      </c>
      <c r="AC591" s="3">
        <f t="shared" si="8"/>
        <v>1</v>
      </c>
      <c r="AD591" s="3">
        <f t="shared" si="9"/>
        <v>0.8695652174</v>
      </c>
      <c r="AE591" s="3">
        <f t="shared" si="10"/>
        <v>0.8695652174</v>
      </c>
      <c r="AF591" s="3">
        <f t="shared" si="11"/>
        <v>1.739130435</v>
      </c>
      <c r="AG591" s="3">
        <f t="shared" si="12"/>
        <v>4.142857143</v>
      </c>
    </row>
    <row r="592">
      <c r="A592" s="1" t="s">
        <v>9</v>
      </c>
      <c r="B592" s="1" t="s">
        <v>559</v>
      </c>
      <c r="C592" s="1" t="s">
        <v>18</v>
      </c>
      <c r="D592" s="1" t="s">
        <v>100</v>
      </c>
      <c r="E592" s="1" t="s">
        <v>157</v>
      </c>
      <c r="F592" s="1" t="s">
        <v>525</v>
      </c>
      <c r="G592" s="1">
        <v>28.5</v>
      </c>
      <c r="H592" s="1" t="s">
        <v>60</v>
      </c>
      <c r="I592" s="1">
        <v>-116.0</v>
      </c>
      <c r="J592" s="1">
        <v>0.00483385027945515</v>
      </c>
      <c r="K592" s="1" t="s">
        <v>61</v>
      </c>
      <c r="L592" s="1" t="s">
        <v>61</v>
      </c>
      <c r="M592" s="1" t="s">
        <v>62</v>
      </c>
      <c r="N592" s="1">
        <v>-117.0</v>
      </c>
      <c r="O592" s="1">
        <v>-0.0809872195512623</v>
      </c>
      <c r="P592" s="1" t="s">
        <v>61</v>
      </c>
      <c r="Q592" s="1" t="s">
        <v>61</v>
      </c>
      <c r="R592" s="1">
        <f t="shared" si="1"/>
        <v>0.004833850279</v>
      </c>
      <c r="S592" s="1">
        <f t="shared" si="2"/>
        <v>-116</v>
      </c>
      <c r="T592" s="1">
        <f t="shared" si="3"/>
        <v>1.862068966</v>
      </c>
      <c r="U592" s="1">
        <f t="shared" si="4"/>
        <v>1</v>
      </c>
      <c r="V592" s="3">
        <f t="shared" si="5"/>
        <v>1</v>
      </c>
      <c r="W592" s="3">
        <f t="shared" si="6"/>
        <v>2</v>
      </c>
      <c r="X592" s="3" t="str">
        <f>IFERROR(__xludf.DUMMYFUNCTION("split(B592,"" "")"),"T.")</f>
        <v>T.</v>
      </c>
      <c r="Y592" s="3" t="str">
        <f>IFERROR(__xludf.DUMMYFUNCTION("""COMPUTED_VALUE"""),"Boyd")</f>
        <v>Boyd</v>
      </c>
      <c r="AA592" s="3">
        <v>33.0</v>
      </c>
      <c r="AB592" s="3">
        <f t="shared" si="7"/>
        <v>1</v>
      </c>
      <c r="AC592" s="3">
        <f t="shared" si="8"/>
        <v>1</v>
      </c>
      <c r="AD592" s="3">
        <f t="shared" si="9"/>
        <v>0.8620689655</v>
      </c>
      <c r="AE592" s="3">
        <f t="shared" si="10"/>
        <v>0.8620689655</v>
      </c>
      <c r="AF592" s="3">
        <f t="shared" si="11"/>
        <v>1.724137931</v>
      </c>
      <c r="AG592" s="3">
        <f t="shared" si="12"/>
        <v>0.1578947368</v>
      </c>
    </row>
    <row r="593">
      <c r="A593" s="1" t="s">
        <v>8</v>
      </c>
      <c r="B593" s="1" t="s">
        <v>320</v>
      </c>
      <c r="C593" s="1" t="s">
        <v>21</v>
      </c>
      <c r="D593" s="1" t="s">
        <v>114</v>
      </c>
      <c r="E593" s="1" t="s">
        <v>67</v>
      </c>
      <c r="F593" s="1" t="s">
        <v>528</v>
      </c>
      <c r="G593" s="1">
        <v>9.5</v>
      </c>
      <c r="H593" s="1" t="s">
        <v>60</v>
      </c>
      <c r="I593" s="1">
        <v>-126.0</v>
      </c>
      <c r="J593" s="1">
        <v>-0.217564025650481</v>
      </c>
      <c r="K593" s="1" t="s">
        <v>61</v>
      </c>
      <c r="L593" s="1" t="s">
        <v>61</v>
      </c>
      <c r="M593" s="1" t="s">
        <v>62</v>
      </c>
      <c r="N593" s="1">
        <v>-107.0</v>
      </c>
      <c r="O593" s="1">
        <v>0.143140737598064</v>
      </c>
      <c r="P593" s="1" t="s">
        <v>61</v>
      </c>
      <c r="Q593" s="1" t="s">
        <v>61</v>
      </c>
      <c r="R593" s="1">
        <f t="shared" si="1"/>
        <v>0.1431407376</v>
      </c>
      <c r="S593" s="1">
        <f t="shared" si="2"/>
        <v>-107</v>
      </c>
      <c r="T593" s="1">
        <f t="shared" si="3"/>
        <v>1.934579439</v>
      </c>
      <c r="U593" s="1">
        <f t="shared" si="4"/>
        <v>0</v>
      </c>
      <c r="V593" s="3">
        <f t="shared" si="5"/>
        <v>3</v>
      </c>
      <c r="W593" s="3">
        <f t="shared" si="6"/>
        <v>2</v>
      </c>
      <c r="X593" s="3" t="str">
        <f>IFERROR(__xludf.DUMMYFUNCTION("split(B593,"" "")"),"J.")</f>
        <v>J.</v>
      </c>
      <c r="Y593" s="3" t="str">
        <f>IFERROR(__xludf.DUMMYFUNCTION("""COMPUTED_VALUE"""),"Daniels")</f>
        <v>Daniels</v>
      </c>
      <c r="AA593" s="3">
        <v>12.0</v>
      </c>
      <c r="AB593" s="3">
        <f t="shared" si="7"/>
        <v>1</v>
      </c>
      <c r="AC593" s="3">
        <f t="shared" si="8"/>
        <v>0</v>
      </c>
      <c r="AD593" s="3">
        <f t="shared" si="9"/>
        <v>2.803738318</v>
      </c>
      <c r="AE593" s="3">
        <f t="shared" si="10"/>
        <v>-3</v>
      </c>
      <c r="AF593" s="3">
        <f t="shared" si="11"/>
        <v>-2</v>
      </c>
      <c r="AG593" s="3">
        <f t="shared" si="12"/>
        <v>-0.2631578947</v>
      </c>
    </row>
    <row r="594">
      <c r="A594" s="1" t="s">
        <v>12</v>
      </c>
      <c r="B594" s="1" t="s">
        <v>249</v>
      </c>
      <c r="C594" s="1" t="s">
        <v>18</v>
      </c>
      <c r="D594" s="1" t="s">
        <v>114</v>
      </c>
      <c r="E594" s="1" t="s">
        <v>67</v>
      </c>
      <c r="F594" s="1" t="s">
        <v>528</v>
      </c>
      <c r="G594" s="1">
        <v>3.5</v>
      </c>
      <c r="H594" s="1" t="s">
        <v>60</v>
      </c>
      <c r="I594" s="1">
        <v>-167.0</v>
      </c>
      <c r="J594" s="1">
        <v>-0.209205617977528</v>
      </c>
      <c r="K594" s="1" t="s">
        <v>61</v>
      </c>
      <c r="L594" s="1" t="s">
        <v>61</v>
      </c>
      <c r="M594" s="1" t="s">
        <v>62</v>
      </c>
      <c r="N594" s="1">
        <v>126.0</v>
      </c>
      <c r="O594" s="1">
        <v>0.141266371681415</v>
      </c>
      <c r="P594" s="1" t="s">
        <v>61</v>
      </c>
      <c r="Q594" s="1" t="s">
        <v>61</v>
      </c>
      <c r="R594" s="1">
        <f t="shared" si="1"/>
        <v>0.1412663717</v>
      </c>
      <c r="S594" s="1">
        <f t="shared" si="2"/>
        <v>126</v>
      </c>
      <c r="T594" s="1">
        <f t="shared" si="3"/>
        <v>2.26</v>
      </c>
      <c r="U594" s="1">
        <f t="shared" si="4"/>
        <v>0</v>
      </c>
      <c r="V594" s="3">
        <f t="shared" si="5"/>
        <v>3</v>
      </c>
      <c r="W594" s="3">
        <f t="shared" si="6"/>
        <v>1</v>
      </c>
      <c r="X594" s="3" t="str">
        <f>IFERROR(__xludf.DUMMYFUNCTION("split(B594,"" "")"),"T.")</f>
        <v>T.</v>
      </c>
      <c r="Y594" s="3" t="str">
        <f>IFERROR(__xludf.DUMMYFUNCTION("""COMPUTED_VALUE"""),"McLaurin")</f>
        <v>McLaurin</v>
      </c>
      <c r="AA594" s="3">
        <v>4.0</v>
      </c>
      <c r="AB594" s="3">
        <f t="shared" si="7"/>
        <v>1</v>
      </c>
      <c r="AC594" s="3">
        <f t="shared" si="8"/>
        <v>0</v>
      </c>
      <c r="AD594" s="3">
        <f t="shared" si="9"/>
        <v>3.78</v>
      </c>
      <c r="AE594" s="3">
        <f t="shared" si="10"/>
        <v>-3</v>
      </c>
      <c r="AF594" s="3">
        <f t="shared" si="11"/>
        <v>-1</v>
      </c>
      <c r="AG594" s="3">
        <f t="shared" si="12"/>
        <v>-0.1428571429</v>
      </c>
    </row>
    <row r="595">
      <c r="A595" s="1" t="s">
        <v>10</v>
      </c>
      <c r="B595" s="1" t="s">
        <v>320</v>
      </c>
      <c r="C595" s="1" t="s">
        <v>21</v>
      </c>
      <c r="D595" s="1" t="s">
        <v>114</v>
      </c>
      <c r="E595" s="1" t="s">
        <v>67</v>
      </c>
      <c r="F595" s="1" t="s">
        <v>528</v>
      </c>
      <c r="G595" s="1">
        <v>51.5</v>
      </c>
      <c r="H595" s="1" t="s">
        <v>60</v>
      </c>
      <c r="I595" s="1">
        <v>-115.0</v>
      </c>
      <c r="J595" s="1">
        <v>-0.176211085373571</v>
      </c>
      <c r="K595" s="1" t="s">
        <v>61</v>
      </c>
      <c r="L595" s="1" t="s">
        <v>61</v>
      </c>
      <c r="M595" s="1" t="s">
        <v>62</v>
      </c>
      <c r="N595" s="1">
        <v>-110.0</v>
      </c>
      <c r="O595" s="1">
        <v>0.117533729446188</v>
      </c>
      <c r="P595" s="1" t="s">
        <v>61</v>
      </c>
      <c r="Q595" s="1" t="s">
        <v>61</v>
      </c>
      <c r="R595" s="1">
        <f t="shared" si="1"/>
        <v>0.1175337294</v>
      </c>
      <c r="S595" s="1">
        <f t="shared" si="2"/>
        <v>-110</v>
      </c>
      <c r="T595" s="1">
        <f t="shared" si="3"/>
        <v>1.909090909</v>
      </c>
      <c r="U595" s="1">
        <f t="shared" si="4"/>
        <v>0</v>
      </c>
      <c r="V595" s="3">
        <f t="shared" si="5"/>
        <v>3</v>
      </c>
      <c r="W595" s="3">
        <f t="shared" si="6"/>
        <v>2</v>
      </c>
      <c r="X595" s="3" t="str">
        <f>IFERROR(__xludf.DUMMYFUNCTION("split(B595,"" "")"),"J.")</f>
        <v>J.</v>
      </c>
      <c r="Y595" s="3" t="str">
        <f>IFERROR(__xludf.DUMMYFUNCTION("""COMPUTED_VALUE"""),"Daniels")</f>
        <v>Daniels</v>
      </c>
      <c r="AA595" s="3">
        <v>39.0</v>
      </c>
      <c r="AB595" s="3">
        <f t="shared" si="7"/>
        <v>0</v>
      </c>
      <c r="AC595" s="3">
        <f t="shared" si="8"/>
        <v>1</v>
      </c>
      <c r="AD595" s="3">
        <f t="shared" si="9"/>
        <v>2.727272727</v>
      </c>
      <c r="AE595" s="3">
        <f t="shared" si="10"/>
        <v>2.727272727</v>
      </c>
      <c r="AF595" s="3">
        <f t="shared" si="11"/>
        <v>1.818181818</v>
      </c>
      <c r="AG595" s="3">
        <f t="shared" si="12"/>
        <v>0.2427184466</v>
      </c>
    </row>
    <row r="596">
      <c r="A596" s="1" t="s">
        <v>12</v>
      </c>
      <c r="B596" s="1" t="s">
        <v>264</v>
      </c>
      <c r="C596" s="1" t="s">
        <v>19</v>
      </c>
      <c r="D596" s="1" t="s">
        <v>114</v>
      </c>
      <c r="E596" s="1" t="s">
        <v>67</v>
      </c>
      <c r="F596" s="1" t="s">
        <v>528</v>
      </c>
      <c r="G596" s="1">
        <v>2.5</v>
      </c>
      <c r="H596" s="1" t="s">
        <v>60</v>
      </c>
      <c r="I596" s="1">
        <v>141.0</v>
      </c>
      <c r="J596" s="1">
        <v>-0.143333498210788</v>
      </c>
      <c r="K596" s="1" t="s">
        <v>61</v>
      </c>
      <c r="L596" s="1" t="s">
        <v>61</v>
      </c>
      <c r="M596" s="1" t="s">
        <v>62</v>
      </c>
      <c r="N596" s="1">
        <v>-187.0</v>
      </c>
      <c r="O596" s="1">
        <v>0.0768273102494773</v>
      </c>
      <c r="P596" s="1" t="s">
        <v>61</v>
      </c>
      <c r="Q596" s="1" t="s">
        <v>61</v>
      </c>
      <c r="R596" s="1">
        <f t="shared" si="1"/>
        <v>0.07682731025</v>
      </c>
      <c r="S596" s="1">
        <f t="shared" si="2"/>
        <v>-187</v>
      </c>
      <c r="T596" s="1">
        <f t="shared" si="3"/>
        <v>1.534759358</v>
      </c>
      <c r="U596" s="1">
        <f t="shared" si="4"/>
        <v>0</v>
      </c>
      <c r="V596" s="3">
        <f t="shared" si="5"/>
        <v>2</v>
      </c>
      <c r="W596" s="3">
        <f t="shared" si="6"/>
        <v>3</v>
      </c>
      <c r="X596" s="3" t="str">
        <f>IFERROR(__xludf.DUMMYFUNCTION("split(B596,"" "")"),"B.")</f>
        <v>B.</v>
      </c>
      <c r="Y596" s="3" t="str">
        <f>IFERROR(__xludf.DUMMYFUNCTION("""COMPUTED_VALUE"""),"Robinson")</f>
        <v>Robinson</v>
      </c>
      <c r="AA596" s="3">
        <v>1.0</v>
      </c>
      <c r="AB596" s="3">
        <f t="shared" si="7"/>
        <v>0</v>
      </c>
      <c r="AC596" s="3">
        <f t="shared" si="8"/>
        <v>1</v>
      </c>
      <c r="AD596" s="3">
        <f t="shared" si="9"/>
        <v>1.069518717</v>
      </c>
      <c r="AE596" s="3">
        <f t="shared" si="10"/>
        <v>1.069518717</v>
      </c>
      <c r="AF596" s="3">
        <f t="shared" si="11"/>
        <v>1.604278075</v>
      </c>
      <c r="AG596" s="3">
        <f t="shared" si="12"/>
        <v>0.6</v>
      </c>
    </row>
    <row r="597">
      <c r="A597" s="1" t="s">
        <v>15</v>
      </c>
      <c r="B597" s="1" t="s">
        <v>320</v>
      </c>
      <c r="C597" s="1" t="s">
        <v>21</v>
      </c>
      <c r="D597" s="1" t="s">
        <v>114</v>
      </c>
      <c r="E597" s="1" t="s">
        <v>67</v>
      </c>
      <c r="F597" s="1" t="s">
        <v>528</v>
      </c>
      <c r="G597" s="1">
        <v>18.5</v>
      </c>
      <c r="H597" s="1" t="s">
        <v>60</v>
      </c>
      <c r="I597" s="1">
        <v>-114.0</v>
      </c>
      <c r="J597" s="1">
        <v>-0.143763079205607</v>
      </c>
      <c r="K597" s="1" t="s">
        <v>61</v>
      </c>
      <c r="L597" s="1" t="s">
        <v>61</v>
      </c>
      <c r="M597" s="1" t="s">
        <v>62</v>
      </c>
      <c r="N597" s="1">
        <v>-115.0</v>
      </c>
      <c r="O597" s="1">
        <v>0.0761622501976743</v>
      </c>
      <c r="P597" s="1" t="s">
        <v>61</v>
      </c>
      <c r="Q597" s="1" t="s">
        <v>61</v>
      </c>
      <c r="R597" s="1">
        <f t="shared" si="1"/>
        <v>0.0761622502</v>
      </c>
      <c r="S597" s="1">
        <f t="shared" si="2"/>
        <v>-115</v>
      </c>
      <c r="T597" s="1">
        <f t="shared" si="3"/>
        <v>1.869565217</v>
      </c>
      <c r="U597" s="1">
        <f t="shared" si="4"/>
        <v>0</v>
      </c>
      <c r="V597" s="3">
        <f t="shared" si="5"/>
        <v>2</v>
      </c>
      <c r="W597" s="3">
        <f t="shared" si="6"/>
        <v>2</v>
      </c>
      <c r="X597" s="3" t="str">
        <f>IFERROR(__xludf.DUMMYFUNCTION("split(B597,"" "")"),"J.")</f>
        <v>J.</v>
      </c>
      <c r="Y597" s="3" t="str">
        <f>IFERROR(__xludf.DUMMYFUNCTION("""COMPUTED_VALUE"""),"Daniels")</f>
        <v>Daniels</v>
      </c>
      <c r="AA597" s="3">
        <v>21.0</v>
      </c>
      <c r="AB597" s="3">
        <f t="shared" si="7"/>
        <v>1</v>
      </c>
      <c r="AC597" s="3">
        <f t="shared" si="8"/>
        <v>0</v>
      </c>
      <c r="AD597" s="3">
        <f t="shared" si="9"/>
        <v>1.739130435</v>
      </c>
      <c r="AE597" s="3">
        <f t="shared" si="10"/>
        <v>-2</v>
      </c>
      <c r="AF597" s="3">
        <f t="shared" si="11"/>
        <v>-2</v>
      </c>
      <c r="AG597" s="3">
        <f t="shared" si="12"/>
        <v>-0.1351351351</v>
      </c>
    </row>
    <row r="598">
      <c r="A598" s="1" t="s">
        <v>16</v>
      </c>
      <c r="B598" s="1" t="s">
        <v>320</v>
      </c>
      <c r="C598" s="1" t="s">
        <v>21</v>
      </c>
      <c r="D598" s="1" t="s">
        <v>114</v>
      </c>
      <c r="E598" s="1" t="s">
        <v>67</v>
      </c>
      <c r="F598" s="1" t="s">
        <v>528</v>
      </c>
      <c r="G598" s="1">
        <v>28.5</v>
      </c>
      <c r="H598" s="1" t="s">
        <v>60</v>
      </c>
      <c r="I598" s="1">
        <v>-127.0</v>
      </c>
      <c r="J598" s="1">
        <v>-0.121026318678413</v>
      </c>
      <c r="K598" s="1" t="s">
        <v>61</v>
      </c>
      <c r="L598" s="1" t="s">
        <v>61</v>
      </c>
      <c r="M598" s="1" t="s">
        <v>62</v>
      </c>
      <c r="N598" s="1">
        <v>-104.0</v>
      </c>
      <c r="O598" s="1">
        <v>0.0517439476156863</v>
      </c>
      <c r="P598" s="1" t="s">
        <v>61</v>
      </c>
      <c r="Q598" s="1" t="s">
        <v>61</v>
      </c>
      <c r="R598" s="1">
        <f t="shared" si="1"/>
        <v>0.05174394762</v>
      </c>
      <c r="S598" s="1">
        <f t="shared" si="2"/>
        <v>-104</v>
      </c>
      <c r="T598" s="1">
        <f t="shared" si="3"/>
        <v>1.961538462</v>
      </c>
      <c r="U598" s="1">
        <f t="shared" si="4"/>
        <v>0</v>
      </c>
      <c r="V598" s="3">
        <f t="shared" si="5"/>
        <v>2</v>
      </c>
      <c r="W598" s="3">
        <f t="shared" si="6"/>
        <v>2</v>
      </c>
      <c r="X598" s="3" t="str">
        <f>IFERROR(__xludf.DUMMYFUNCTION("split(B598,"" "")"),"J.")</f>
        <v>J.</v>
      </c>
      <c r="Y598" s="3" t="str">
        <f>IFERROR(__xludf.DUMMYFUNCTION("""COMPUTED_VALUE"""),"Daniels")</f>
        <v>Daniels</v>
      </c>
      <c r="AA598" s="3">
        <v>23.0</v>
      </c>
      <c r="AB598" s="3">
        <f t="shared" si="7"/>
        <v>0</v>
      </c>
      <c r="AC598" s="3">
        <f t="shared" si="8"/>
        <v>1</v>
      </c>
      <c r="AD598" s="3">
        <f t="shared" si="9"/>
        <v>1.923076923</v>
      </c>
      <c r="AE598" s="3">
        <f t="shared" si="10"/>
        <v>1.923076923</v>
      </c>
      <c r="AF598" s="3">
        <f t="shared" si="11"/>
        <v>1.923076923</v>
      </c>
      <c r="AG598" s="3">
        <f t="shared" si="12"/>
        <v>0.1929824561</v>
      </c>
    </row>
    <row r="599">
      <c r="A599" s="1" t="s">
        <v>14</v>
      </c>
      <c r="B599" s="1" t="s">
        <v>320</v>
      </c>
      <c r="C599" s="1" t="s">
        <v>21</v>
      </c>
      <c r="D599" s="1" t="s">
        <v>114</v>
      </c>
      <c r="E599" s="1" t="s">
        <v>67</v>
      </c>
      <c r="F599" s="1" t="s">
        <v>528</v>
      </c>
      <c r="G599" s="1">
        <v>1.5</v>
      </c>
      <c r="H599" s="1" t="s">
        <v>60</v>
      </c>
      <c r="I599" s="1">
        <v>188.0</v>
      </c>
      <c r="J599" s="1">
        <v>0.0480125</v>
      </c>
      <c r="K599" s="1" t="s">
        <v>61</v>
      </c>
      <c r="L599" s="1" t="s">
        <v>61</v>
      </c>
      <c r="M599" s="1" t="s">
        <v>62</v>
      </c>
      <c r="N599" s="1">
        <v>-255.0</v>
      </c>
      <c r="O599" s="1">
        <v>-0.113538028169014</v>
      </c>
      <c r="P599" s="1" t="s">
        <v>61</v>
      </c>
      <c r="Q599" s="1" t="s">
        <v>61</v>
      </c>
      <c r="R599" s="1">
        <f t="shared" si="1"/>
        <v>0.0480125</v>
      </c>
      <c r="S599" s="1">
        <f t="shared" si="2"/>
        <v>188</v>
      </c>
      <c r="T599" s="1">
        <f t="shared" si="3"/>
        <v>2.88</v>
      </c>
      <c r="U599" s="1">
        <f t="shared" si="4"/>
        <v>1</v>
      </c>
      <c r="V599" s="3">
        <f t="shared" si="5"/>
        <v>1</v>
      </c>
      <c r="W599" s="3">
        <f t="shared" si="6"/>
        <v>1</v>
      </c>
      <c r="X599" s="3" t="str">
        <f>IFERROR(__xludf.DUMMYFUNCTION("split(B599,"" "")"),"J.")</f>
        <v>J.</v>
      </c>
      <c r="Y599" s="3" t="str">
        <f>IFERROR(__xludf.DUMMYFUNCTION("""COMPUTED_VALUE"""),"Daniels")</f>
        <v>Daniels</v>
      </c>
      <c r="AA599" s="3">
        <v>2.0</v>
      </c>
      <c r="AB599" s="3">
        <f t="shared" si="7"/>
        <v>1</v>
      </c>
      <c r="AC599" s="3">
        <f t="shared" si="8"/>
        <v>1</v>
      </c>
      <c r="AD599" s="3">
        <f t="shared" si="9"/>
        <v>1.88</v>
      </c>
      <c r="AE599" s="3">
        <f t="shared" si="10"/>
        <v>1.88</v>
      </c>
      <c r="AF599" s="3">
        <f t="shared" si="11"/>
        <v>1.88</v>
      </c>
      <c r="AG599" s="3">
        <f t="shared" si="12"/>
        <v>0.3333333333</v>
      </c>
    </row>
    <row r="600">
      <c r="A600" s="1" t="s">
        <v>8</v>
      </c>
      <c r="B600" s="1" t="s">
        <v>264</v>
      </c>
      <c r="C600" s="1" t="s">
        <v>19</v>
      </c>
      <c r="D600" s="1" t="s">
        <v>114</v>
      </c>
      <c r="E600" s="1" t="s">
        <v>67</v>
      </c>
      <c r="F600" s="1" t="s">
        <v>528</v>
      </c>
      <c r="G600" s="1">
        <v>13.5</v>
      </c>
      <c r="H600" s="1" t="s">
        <v>60</v>
      </c>
      <c r="I600" s="1">
        <v>-107.0</v>
      </c>
      <c r="J600" s="1">
        <v>-0.113557914138647</v>
      </c>
      <c r="K600" s="1" t="s">
        <v>61</v>
      </c>
      <c r="L600" s="1" t="s">
        <v>61</v>
      </c>
      <c r="M600" s="1" t="s">
        <v>62</v>
      </c>
      <c r="N600" s="1">
        <v>-126.0</v>
      </c>
      <c r="O600" s="1">
        <v>0.0391198281665573</v>
      </c>
      <c r="P600" s="1" t="s">
        <v>61</v>
      </c>
      <c r="Q600" s="1" t="s">
        <v>61</v>
      </c>
      <c r="R600" s="1">
        <f t="shared" si="1"/>
        <v>0.03911982817</v>
      </c>
      <c r="S600" s="1">
        <f t="shared" si="2"/>
        <v>-126</v>
      </c>
      <c r="T600" s="1">
        <f t="shared" si="3"/>
        <v>1.793650794</v>
      </c>
      <c r="U600" s="1">
        <f t="shared" si="4"/>
        <v>0</v>
      </c>
      <c r="V600" s="3">
        <f t="shared" si="5"/>
        <v>1</v>
      </c>
      <c r="W600" s="3">
        <f t="shared" si="6"/>
        <v>3</v>
      </c>
      <c r="X600" s="3" t="str">
        <f>IFERROR(__xludf.DUMMYFUNCTION("split(B600,"" "")"),"B.")</f>
        <v>B.</v>
      </c>
      <c r="Y600" s="3" t="str">
        <f>IFERROR(__xludf.DUMMYFUNCTION("""COMPUTED_VALUE"""),"Robinson")</f>
        <v>Robinson</v>
      </c>
      <c r="AA600" s="3">
        <v>16.0</v>
      </c>
      <c r="AB600" s="3">
        <f t="shared" si="7"/>
        <v>1</v>
      </c>
      <c r="AC600" s="3">
        <f t="shared" si="8"/>
        <v>0</v>
      </c>
      <c r="AD600" s="3">
        <f t="shared" si="9"/>
        <v>0.7936507937</v>
      </c>
      <c r="AE600" s="3">
        <f t="shared" si="10"/>
        <v>-1</v>
      </c>
      <c r="AF600" s="3">
        <f t="shared" si="11"/>
        <v>-3</v>
      </c>
      <c r="AG600" s="3">
        <f t="shared" si="12"/>
        <v>-0.1851851852</v>
      </c>
    </row>
    <row r="601">
      <c r="A601" s="1" t="s">
        <v>17</v>
      </c>
      <c r="B601" s="1" t="s">
        <v>320</v>
      </c>
      <c r="C601" s="1" t="s">
        <v>21</v>
      </c>
      <c r="D601" s="1" t="s">
        <v>114</v>
      </c>
      <c r="E601" s="1" t="s">
        <v>67</v>
      </c>
      <c r="F601" s="1" t="s">
        <v>528</v>
      </c>
      <c r="G601" s="1">
        <v>0.5</v>
      </c>
      <c r="H601" s="1" t="s">
        <v>60</v>
      </c>
      <c r="I601" s="1">
        <v>-121.0</v>
      </c>
      <c r="J601" s="1">
        <v>-0.0997660633484163</v>
      </c>
      <c r="K601" s="1" t="s">
        <v>61</v>
      </c>
      <c r="L601" s="1" t="s">
        <v>61</v>
      </c>
      <c r="M601" s="1" t="s">
        <v>62</v>
      </c>
      <c r="N601" s="1">
        <v>-108.0</v>
      </c>
      <c r="O601" s="1">
        <v>0.0330173076923078</v>
      </c>
      <c r="P601" s="1" t="s">
        <v>61</v>
      </c>
      <c r="Q601" s="1" t="s">
        <v>61</v>
      </c>
      <c r="R601" s="1">
        <f t="shared" si="1"/>
        <v>0.03301730769</v>
      </c>
      <c r="S601" s="1">
        <f t="shared" si="2"/>
        <v>-108</v>
      </c>
      <c r="T601" s="1">
        <f t="shared" si="3"/>
        <v>1.925925926</v>
      </c>
      <c r="U601" s="1">
        <f t="shared" si="4"/>
        <v>0</v>
      </c>
      <c r="V601" s="3">
        <f t="shared" si="5"/>
        <v>1</v>
      </c>
      <c r="W601" s="3">
        <f t="shared" si="6"/>
        <v>2</v>
      </c>
      <c r="X601" s="3" t="str">
        <f>IFERROR(__xludf.DUMMYFUNCTION("split(B601,"" "")"),"J.")</f>
        <v>J.</v>
      </c>
      <c r="Y601" s="3" t="str">
        <f>IFERROR(__xludf.DUMMYFUNCTION("""COMPUTED_VALUE"""),"Daniels")</f>
        <v>Daniels</v>
      </c>
      <c r="AA601" s="3">
        <v>0.0</v>
      </c>
      <c r="AB601" s="3">
        <f t="shared" si="7"/>
        <v>0</v>
      </c>
      <c r="AC601" s="3">
        <f t="shared" si="8"/>
        <v>1</v>
      </c>
      <c r="AD601" s="3">
        <f t="shared" si="9"/>
        <v>0.9259259259</v>
      </c>
      <c r="AE601" s="3">
        <f t="shared" si="10"/>
        <v>0.9259259259</v>
      </c>
      <c r="AF601" s="3">
        <f t="shared" si="11"/>
        <v>1.851851852</v>
      </c>
      <c r="AG601" s="3">
        <f t="shared" si="12"/>
        <v>1</v>
      </c>
    </row>
    <row r="602">
      <c r="A602" s="1" t="s">
        <v>9</v>
      </c>
      <c r="B602" s="1" t="s">
        <v>264</v>
      </c>
      <c r="C602" s="1" t="s">
        <v>19</v>
      </c>
      <c r="D602" s="1" t="s">
        <v>114</v>
      </c>
      <c r="E602" s="1" t="s">
        <v>67</v>
      </c>
      <c r="F602" s="1" t="s">
        <v>528</v>
      </c>
      <c r="G602" s="1">
        <v>68.5</v>
      </c>
      <c r="H602" s="1" t="s">
        <v>60</v>
      </c>
      <c r="I602" s="1">
        <v>-115.0</v>
      </c>
      <c r="J602" s="1">
        <v>-0.0918595776396574</v>
      </c>
      <c r="K602" s="1" t="s">
        <v>61</v>
      </c>
      <c r="L602" s="1" t="s">
        <v>61</v>
      </c>
      <c r="M602" s="1" t="s">
        <v>62</v>
      </c>
      <c r="N602" s="1">
        <v>-117.0</v>
      </c>
      <c r="O602" s="1">
        <v>0.0178015057845889</v>
      </c>
      <c r="P602" s="1" t="s">
        <v>61</v>
      </c>
      <c r="Q602" s="1" t="s">
        <v>61</v>
      </c>
      <c r="R602" s="1">
        <f t="shared" si="1"/>
        <v>0.01780150578</v>
      </c>
      <c r="S602" s="1">
        <f t="shared" si="2"/>
        <v>-117</v>
      </c>
      <c r="T602" s="1">
        <f t="shared" si="3"/>
        <v>1.854700855</v>
      </c>
      <c r="U602" s="1">
        <f t="shared" si="4"/>
        <v>0</v>
      </c>
      <c r="V602" s="3">
        <f t="shared" si="5"/>
        <v>1</v>
      </c>
      <c r="W602" s="3">
        <f t="shared" si="6"/>
        <v>2</v>
      </c>
      <c r="X602" s="3" t="str">
        <f>IFERROR(__xludf.DUMMYFUNCTION("split(B602,"" "")"),"B.")</f>
        <v>B.</v>
      </c>
      <c r="Y602" s="3" t="str">
        <f>IFERROR(__xludf.DUMMYFUNCTION("""COMPUTED_VALUE"""),"Robinson")</f>
        <v>Robinson</v>
      </c>
      <c r="AA602" s="3">
        <v>37.0</v>
      </c>
      <c r="AB602" s="3">
        <f t="shared" si="7"/>
        <v>0</v>
      </c>
      <c r="AC602" s="3">
        <f t="shared" si="8"/>
        <v>1</v>
      </c>
      <c r="AD602" s="3">
        <f t="shared" si="9"/>
        <v>0.8547008547</v>
      </c>
      <c r="AE602" s="3">
        <f t="shared" si="10"/>
        <v>0.8547008547</v>
      </c>
      <c r="AF602" s="3">
        <f t="shared" si="11"/>
        <v>1.709401709</v>
      </c>
      <c r="AG602" s="3">
        <f t="shared" si="12"/>
        <v>0.4598540146</v>
      </c>
    </row>
    <row r="603">
      <c r="A603" s="1" t="s">
        <v>12</v>
      </c>
      <c r="B603" s="1" t="s">
        <v>488</v>
      </c>
      <c r="C603" s="1" t="s">
        <v>20</v>
      </c>
      <c r="D603" s="1" t="s">
        <v>114</v>
      </c>
      <c r="E603" s="1" t="s">
        <v>67</v>
      </c>
      <c r="F603" s="1" t="s">
        <v>528</v>
      </c>
      <c r="G603" s="1">
        <v>3.5</v>
      </c>
      <c r="H603" s="1" t="s">
        <v>60</v>
      </c>
      <c r="I603" s="1">
        <v>129.0</v>
      </c>
      <c r="J603" s="1">
        <v>-0.0763375545851528</v>
      </c>
      <c r="K603" s="1" t="s">
        <v>61</v>
      </c>
      <c r="L603" s="1" t="s">
        <v>61</v>
      </c>
      <c r="M603" s="1" t="s">
        <v>62</v>
      </c>
      <c r="N603" s="1">
        <v>-170.0</v>
      </c>
      <c r="O603" s="1">
        <v>0.0100333333333333</v>
      </c>
      <c r="P603" s="1" t="s">
        <v>61</v>
      </c>
      <c r="Q603" s="1" t="s">
        <v>61</v>
      </c>
      <c r="R603" s="1">
        <f t="shared" si="1"/>
        <v>0.01003333333</v>
      </c>
      <c r="S603" s="1">
        <f t="shared" si="2"/>
        <v>-170</v>
      </c>
      <c r="T603" s="1">
        <f t="shared" si="3"/>
        <v>1.588235294</v>
      </c>
      <c r="U603" s="1">
        <f t="shared" si="4"/>
        <v>0</v>
      </c>
      <c r="V603" s="3">
        <f t="shared" si="5"/>
        <v>1</v>
      </c>
      <c r="W603" s="3">
        <f t="shared" si="6"/>
        <v>3</v>
      </c>
      <c r="X603" s="3" t="str">
        <f>IFERROR(__xludf.DUMMYFUNCTION("split(B603,"" "")"),"Z.")</f>
        <v>Z.</v>
      </c>
      <c r="Y603" s="3" t="str">
        <f>IFERROR(__xludf.DUMMYFUNCTION("""COMPUTED_VALUE"""),"Ertz")</f>
        <v>Ertz</v>
      </c>
      <c r="AA603" s="3">
        <v>5.0</v>
      </c>
      <c r="AB603" s="3">
        <f t="shared" si="7"/>
        <v>1</v>
      </c>
      <c r="AC603" s="3">
        <f t="shared" si="8"/>
        <v>0</v>
      </c>
      <c r="AD603" s="3">
        <f t="shared" si="9"/>
        <v>0.5882352941</v>
      </c>
      <c r="AE603" s="3">
        <f t="shared" si="10"/>
        <v>-1</v>
      </c>
      <c r="AF603" s="3">
        <f t="shared" si="11"/>
        <v>-3</v>
      </c>
      <c r="AG603" s="3">
        <f t="shared" si="12"/>
        <v>-0.4285714286</v>
      </c>
    </row>
    <row r="604">
      <c r="A604" s="1" t="s">
        <v>10</v>
      </c>
      <c r="B604" s="1" t="s">
        <v>264</v>
      </c>
      <c r="C604" s="1" t="s">
        <v>19</v>
      </c>
      <c r="D604" s="1" t="s">
        <v>114</v>
      </c>
      <c r="E604" s="1" t="s">
        <v>67</v>
      </c>
      <c r="F604" s="1" t="s">
        <v>528</v>
      </c>
      <c r="G604" s="1">
        <v>53.5</v>
      </c>
      <c r="H604" s="1" t="s">
        <v>60</v>
      </c>
      <c r="I604" s="1">
        <v>-116.0</v>
      </c>
      <c r="J604" s="1">
        <v>-0.0819872137016561</v>
      </c>
      <c r="K604" s="1" t="s">
        <v>61</v>
      </c>
      <c r="L604" s="1" t="s">
        <v>61</v>
      </c>
      <c r="M604" s="1" t="s">
        <v>62</v>
      </c>
      <c r="N604" s="1">
        <v>-116.0</v>
      </c>
      <c r="O604" s="1">
        <v>0.00791889834352088</v>
      </c>
      <c r="P604" s="1" t="s">
        <v>61</v>
      </c>
      <c r="Q604" s="1" t="s">
        <v>61</v>
      </c>
      <c r="R604" s="1">
        <f t="shared" si="1"/>
        <v>0.007918898344</v>
      </c>
      <c r="S604" s="1">
        <f t="shared" si="2"/>
        <v>-116</v>
      </c>
      <c r="T604" s="1">
        <f t="shared" si="3"/>
        <v>1.862068966</v>
      </c>
      <c r="U604" s="1">
        <f t="shared" si="4"/>
        <v>0</v>
      </c>
      <c r="V604" s="3">
        <f t="shared" si="5"/>
        <v>1</v>
      </c>
      <c r="W604" s="3">
        <f t="shared" si="6"/>
        <v>2</v>
      </c>
      <c r="X604" s="3" t="str">
        <f>IFERROR(__xludf.DUMMYFUNCTION("split(B604,"" "")"),"B.")</f>
        <v>B.</v>
      </c>
      <c r="Y604" s="3" t="str">
        <f>IFERROR(__xludf.DUMMYFUNCTION("""COMPUTED_VALUE"""),"Robinson")</f>
        <v>Robinson</v>
      </c>
      <c r="AA604" s="3">
        <v>33.0</v>
      </c>
      <c r="AB604" s="3">
        <f t="shared" si="7"/>
        <v>0</v>
      </c>
      <c r="AC604" s="3">
        <f t="shared" si="8"/>
        <v>1</v>
      </c>
      <c r="AD604" s="3">
        <f t="shared" si="9"/>
        <v>0.8620689655</v>
      </c>
      <c r="AE604" s="3">
        <f t="shared" si="10"/>
        <v>0.8620689655</v>
      </c>
      <c r="AF604" s="3">
        <f t="shared" si="11"/>
        <v>1.724137931</v>
      </c>
      <c r="AG604" s="3">
        <f t="shared" si="12"/>
        <v>0.3831775701</v>
      </c>
    </row>
    <row r="605">
      <c r="A605" s="1" t="s">
        <v>11</v>
      </c>
      <c r="B605" s="1" t="s">
        <v>249</v>
      </c>
      <c r="C605" s="1" t="s">
        <v>18</v>
      </c>
      <c r="D605" s="1" t="s">
        <v>114</v>
      </c>
      <c r="E605" s="1" t="s">
        <v>67</v>
      </c>
      <c r="F605" s="1" t="s">
        <v>528</v>
      </c>
      <c r="G605" s="1">
        <v>46.5</v>
      </c>
      <c r="H605" s="1" t="s">
        <v>60</v>
      </c>
      <c r="I605" s="1">
        <v>-119.0</v>
      </c>
      <c r="J605" s="1">
        <v>-0.0717804695229679</v>
      </c>
      <c r="K605" s="1" t="s">
        <v>61</v>
      </c>
      <c r="L605" s="1" t="s">
        <v>61</v>
      </c>
      <c r="M605" s="1" t="s">
        <v>62</v>
      </c>
      <c r="N605" s="1">
        <v>-110.0</v>
      </c>
      <c r="O605" s="1">
        <v>0.00459159037104761</v>
      </c>
      <c r="P605" s="1" t="s">
        <v>61</v>
      </c>
      <c r="Q605" s="1" t="s">
        <v>61</v>
      </c>
      <c r="R605" s="1">
        <f t="shared" si="1"/>
        <v>0.004591590371</v>
      </c>
      <c r="S605" s="1">
        <f t="shared" si="2"/>
        <v>-110</v>
      </c>
      <c r="T605" s="1">
        <f t="shared" si="3"/>
        <v>1.909090909</v>
      </c>
      <c r="U605" s="1">
        <f t="shared" si="4"/>
        <v>0</v>
      </c>
      <c r="V605" s="3">
        <f t="shared" si="5"/>
        <v>1</v>
      </c>
      <c r="W605" s="3">
        <f t="shared" si="6"/>
        <v>2</v>
      </c>
      <c r="X605" s="3" t="str">
        <f>IFERROR(__xludf.DUMMYFUNCTION("split(B605,"" "")"),"T.")</f>
        <v>T.</v>
      </c>
      <c r="Y605" s="3" t="str">
        <f>IFERROR(__xludf.DUMMYFUNCTION("""COMPUTED_VALUE"""),"McLaurin")</f>
        <v>McLaurin</v>
      </c>
      <c r="AA605" s="3">
        <v>100.0</v>
      </c>
      <c r="AB605" s="3">
        <f t="shared" si="7"/>
        <v>1</v>
      </c>
      <c r="AC605" s="3">
        <f t="shared" si="8"/>
        <v>0</v>
      </c>
      <c r="AD605" s="3">
        <f t="shared" si="9"/>
        <v>0.9090909091</v>
      </c>
      <c r="AE605" s="3">
        <f t="shared" si="10"/>
        <v>-1</v>
      </c>
      <c r="AF605" s="3">
        <f t="shared" si="11"/>
        <v>-2</v>
      </c>
      <c r="AG605" s="3">
        <f t="shared" si="12"/>
        <v>-1.150537634</v>
      </c>
    </row>
    <row r="606">
      <c r="A606" s="1" t="s">
        <v>9</v>
      </c>
      <c r="B606" s="1" t="s">
        <v>249</v>
      </c>
      <c r="C606" s="1" t="s">
        <v>18</v>
      </c>
      <c r="D606" s="1" t="s">
        <v>114</v>
      </c>
      <c r="E606" s="1" t="s">
        <v>67</v>
      </c>
      <c r="F606" s="1" t="s">
        <v>528</v>
      </c>
      <c r="G606" s="1">
        <v>46.5</v>
      </c>
      <c r="H606" s="1" t="s">
        <v>60</v>
      </c>
      <c r="I606" s="1">
        <v>-115.0</v>
      </c>
      <c r="J606" s="1">
        <v>1.17349168038405E-6</v>
      </c>
      <c r="K606" s="1" t="s">
        <v>61</v>
      </c>
      <c r="L606" s="1" t="s">
        <v>61</v>
      </c>
      <c r="M606" s="1" t="s">
        <v>62</v>
      </c>
      <c r="N606" s="1">
        <v>-117.0</v>
      </c>
      <c r="O606" s="1">
        <v>-0.0740211529577521</v>
      </c>
      <c r="P606" s="1" t="s">
        <v>61</v>
      </c>
      <c r="Q606" s="1" t="s">
        <v>61</v>
      </c>
      <c r="R606" s="1">
        <f t="shared" si="1"/>
        <v>0.00000117349168</v>
      </c>
      <c r="S606" s="1">
        <f t="shared" si="2"/>
        <v>-115</v>
      </c>
      <c r="T606" s="1">
        <f t="shared" si="3"/>
        <v>1.869565217</v>
      </c>
      <c r="U606" s="1">
        <f t="shared" si="4"/>
        <v>1</v>
      </c>
      <c r="V606" s="3">
        <f t="shared" si="5"/>
        <v>1</v>
      </c>
      <c r="W606" s="3">
        <f t="shared" si="6"/>
        <v>2</v>
      </c>
      <c r="X606" s="3" t="str">
        <f>IFERROR(__xludf.DUMMYFUNCTION("split(B606,"" "")"),"T.")</f>
        <v>T.</v>
      </c>
      <c r="Y606" s="3" t="str">
        <f>IFERROR(__xludf.DUMMYFUNCTION("""COMPUTED_VALUE"""),"McLaurin")</f>
        <v>McLaurin</v>
      </c>
      <c r="AA606" s="3">
        <v>100.0</v>
      </c>
      <c r="AB606" s="3">
        <f t="shared" si="7"/>
        <v>1</v>
      </c>
      <c r="AC606" s="3">
        <f t="shared" si="8"/>
        <v>1</v>
      </c>
      <c r="AD606" s="3">
        <f t="shared" si="9"/>
        <v>0.8695652174</v>
      </c>
      <c r="AE606" s="3">
        <f t="shared" si="10"/>
        <v>0.8695652174</v>
      </c>
      <c r="AF606" s="3">
        <f t="shared" si="11"/>
        <v>1.739130435</v>
      </c>
      <c r="AG606" s="3">
        <f t="shared" si="12"/>
        <v>1.150537634</v>
      </c>
    </row>
    <row r="607">
      <c r="AF607" s="3">
        <f t="shared" si="11"/>
        <v>0</v>
      </c>
    </row>
    <row r="608">
      <c r="AF608" s="3">
        <f t="shared" si="11"/>
        <v>0</v>
      </c>
    </row>
    <row r="609">
      <c r="AF609" s="3">
        <f t="shared" si="11"/>
        <v>0</v>
      </c>
    </row>
    <row r="610">
      <c r="AF610" s="3">
        <f t="shared" si="11"/>
        <v>0</v>
      </c>
    </row>
    <row r="611">
      <c r="AF611" s="3">
        <f t="shared" si="11"/>
        <v>0</v>
      </c>
    </row>
    <row r="612">
      <c r="AF612" s="3">
        <f t="shared" si="11"/>
        <v>0</v>
      </c>
    </row>
    <row r="613">
      <c r="AF613" s="3">
        <f t="shared" si="11"/>
        <v>0</v>
      </c>
    </row>
    <row r="614">
      <c r="AF614" s="3">
        <f t="shared" si="11"/>
        <v>0</v>
      </c>
    </row>
    <row r="615">
      <c r="AF615" s="3">
        <f t="shared" si="11"/>
        <v>0</v>
      </c>
    </row>
    <row r="616">
      <c r="AF616" s="3">
        <f t="shared" si="11"/>
        <v>0</v>
      </c>
    </row>
    <row r="617">
      <c r="AF617" s="3">
        <f t="shared" si="11"/>
        <v>0</v>
      </c>
    </row>
    <row r="618">
      <c r="AF618" s="3">
        <f t="shared" si="11"/>
        <v>0</v>
      </c>
    </row>
    <row r="619">
      <c r="AF619" s="3">
        <f t="shared" si="11"/>
        <v>0</v>
      </c>
    </row>
    <row r="620">
      <c r="AF620" s="3">
        <f t="shared" si="11"/>
        <v>0</v>
      </c>
    </row>
    <row r="621">
      <c r="AF621" s="3">
        <f t="shared" si="11"/>
        <v>0</v>
      </c>
    </row>
    <row r="622">
      <c r="AF622" s="3">
        <f t="shared" si="11"/>
        <v>0</v>
      </c>
    </row>
    <row r="623">
      <c r="AF623" s="3">
        <f t="shared" si="11"/>
        <v>0</v>
      </c>
    </row>
    <row r="624">
      <c r="AF624" s="3">
        <f t="shared" si="11"/>
        <v>0</v>
      </c>
    </row>
    <row r="625">
      <c r="AF625" s="3">
        <f t="shared" si="11"/>
        <v>0</v>
      </c>
    </row>
    <row r="626">
      <c r="AF626" s="3">
        <f t="shared" si="11"/>
        <v>0</v>
      </c>
    </row>
    <row r="627">
      <c r="AF627" s="3">
        <f t="shared" si="11"/>
        <v>0</v>
      </c>
    </row>
    <row r="628">
      <c r="AF628" s="3">
        <f t="shared" si="11"/>
        <v>0</v>
      </c>
    </row>
    <row r="629">
      <c r="AF629" s="3">
        <f t="shared" si="11"/>
        <v>0</v>
      </c>
    </row>
    <row r="630">
      <c r="AF630" s="3">
        <f t="shared" si="11"/>
        <v>0</v>
      </c>
    </row>
    <row r="631">
      <c r="AF631" s="3">
        <f t="shared" si="11"/>
        <v>0</v>
      </c>
    </row>
  </sheetData>
  <conditionalFormatting sqref="AG2:AG606">
    <cfRule type="colorScale" priority="1">
      <colorScale>
        <cfvo type="min"/>
        <cfvo type="formula" val="-0.1428571429"/>
        <cfvo type="max"/>
        <color rgb="FFB6D7A8"/>
        <color rgb="FFEFEFEF"/>
        <color rgb="FF93C47D"/>
      </colorScale>
    </cfRule>
  </conditionalFormatting>
  <conditionalFormatting sqref="AK19:AK30">
    <cfRule type="colorScale" priority="2">
      <colorScale>
        <cfvo type="min"/>
        <cfvo type="max"/>
        <color rgb="FFD9EAD3"/>
        <color rgb="FF57BB8A"/>
      </colorScale>
    </cfRule>
  </conditionalFormatting>
  <conditionalFormatting sqref="O1:O997">
    <cfRule type="cellIs" dxfId="0" priority="3" operator="greaterThan">
      <formula>0</formula>
    </cfRule>
  </conditionalFormatting>
  <conditionalFormatting sqref="J1:J997">
    <cfRule type="cellIs" dxfId="0" priority="4" operator="greaterThan">
      <formula>0</formula>
    </cfRule>
  </conditionalFormatting>
  <conditionalFormatting sqref="AN19:AN30">
    <cfRule type="colorScale" priority="5">
      <colorScale>
        <cfvo type="min"/>
        <cfvo type="percentile" val="50"/>
        <cfvo type="max"/>
        <color rgb="FFDD7E6B"/>
        <color rgb="FFFFFFFF"/>
        <color rgb="FF57BB8A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SUM(AE2:AE99946)</f>
        <v>-26.5107477</v>
      </c>
      <c r="AH1" s="2">
        <f>COUNTIF(AC:AC,1)/COUNT(AC:AC)</f>
        <v>0.4710144928</v>
      </c>
      <c r="AI1" s="3">
        <f>COUNTIF(AC:AC,1)</f>
        <v>195</v>
      </c>
      <c r="AJ1" s="1">
        <f>COUNT(AC:AC)-AI1</f>
        <v>219</v>
      </c>
      <c r="AK1" s="1">
        <f>SUM(AF2:AF999)</f>
        <v>-89.36438568</v>
      </c>
      <c r="AL1" s="1"/>
      <c r="AM1" s="1"/>
      <c r="AN1" s="1"/>
      <c r="AO1" s="1"/>
      <c r="AP1" s="1"/>
      <c r="AQ1" s="1"/>
      <c r="AR1" s="1"/>
    </row>
    <row r="2">
      <c r="A2" s="1" t="s">
        <v>12</v>
      </c>
      <c r="B2" s="1" t="s">
        <v>488</v>
      </c>
      <c r="C2" s="1" t="s">
        <v>20</v>
      </c>
      <c r="D2" s="1" t="s">
        <v>114</v>
      </c>
      <c r="E2" s="1" t="s">
        <v>105</v>
      </c>
      <c r="F2" s="1" t="s">
        <v>560</v>
      </c>
      <c r="G2" s="1">
        <v>2.5</v>
      </c>
      <c r="H2" s="1" t="s">
        <v>60</v>
      </c>
      <c r="I2" s="1">
        <v>-176.0</v>
      </c>
      <c r="J2" s="1">
        <v>-0.226842248586956</v>
      </c>
      <c r="K2" s="1" t="s">
        <v>61</v>
      </c>
      <c r="L2" s="1" t="s">
        <v>61</v>
      </c>
      <c r="M2" s="1" t="s">
        <v>62</v>
      </c>
      <c r="N2" s="1">
        <v>133.0</v>
      </c>
      <c r="O2" s="1">
        <v>0.159969358841201</v>
      </c>
      <c r="P2" s="1" t="s">
        <v>61</v>
      </c>
      <c r="Q2" s="1" t="s">
        <v>61</v>
      </c>
      <c r="R2" s="1">
        <f t="shared" ref="R2:R415" si="1">if(O2&gt;0, O2, J2)</f>
        <v>0.1599693588</v>
      </c>
      <c r="S2" s="1">
        <f t="shared" ref="S2:S415" si="2">if(O2&gt;0,N2,I2)</f>
        <v>133</v>
      </c>
      <c r="T2" s="1">
        <f t="shared" ref="T2:T415" si="3">if(S2&gt;0, S2/100, -100/S2) + 1</f>
        <v>2.33</v>
      </c>
      <c r="U2" s="1">
        <f t="shared" ref="U2:U415" si="4">if(and(M2="under", O2&gt;0),0,1)</f>
        <v>0</v>
      </c>
      <c r="V2" s="3">
        <f t="shared" ref="V2:V415" si="5">IF(R2&lt;0.05, 1,if(R2&gt;0.1,3,2))</f>
        <v>3</v>
      </c>
      <c r="W2" s="3">
        <f t="shared" ref="W2:W415" si="6">IFS(T2&gt;2.1, 1, T2&lt;1.85,3, TRUE,2)</f>
        <v>1</v>
      </c>
      <c r="X2" s="3" t="str">
        <f>IFERROR(__xludf.DUMMYFUNCTION("split(B2,"" "")"),"Z.")</f>
        <v>Z.</v>
      </c>
      <c r="Y2" s="3" t="str">
        <f>IFERROR(__xludf.DUMMYFUNCTION("""COMPUTED_VALUE"""),"Ertz")</f>
        <v>Ertz</v>
      </c>
      <c r="AA2" s="3">
        <v>3.0</v>
      </c>
      <c r="AB2" s="3">
        <f t="shared" ref="AB2:AB415" si="7">if(AA2&lt;G2,0,1)</f>
        <v>1</v>
      </c>
      <c r="AC2" s="3">
        <f t="shared" ref="AC2:AC415" si="8">if(AB2=U2,1,0)</f>
        <v>0</v>
      </c>
      <c r="AD2" s="3">
        <f t="shared" ref="AD2:AD415" si="9">if(S2&lt;0, (100/(-S2))*V2, (S2/100)*V2)</f>
        <v>3.99</v>
      </c>
      <c r="AE2" s="3">
        <f t="shared" ref="AE2:AE415" si="10">if(T2&gt;4, 0, if(AC2=1,AD2,-V2))</f>
        <v>-3</v>
      </c>
      <c r="AF2" s="3">
        <f t="shared" ref="AF2:AF415" si="11">IF(AC2=0, -W2, (W2*T2)-W2)</f>
        <v>-1</v>
      </c>
      <c r="AG2" s="3">
        <f t="shared" ref="AG2:AG415" si="12">if(AC2 = 1, ABS((AA2-G2)/G2), ABS((AA2-G2)/G2)*-1)</f>
        <v>-0.2</v>
      </c>
    </row>
    <row r="3">
      <c r="A3" s="1" t="s">
        <v>11</v>
      </c>
      <c r="B3" s="1" t="s">
        <v>561</v>
      </c>
      <c r="C3" s="1" t="s">
        <v>18</v>
      </c>
      <c r="D3" s="1" t="s">
        <v>114</v>
      </c>
      <c r="E3" s="1" t="s">
        <v>105</v>
      </c>
      <c r="F3" s="1" t="s">
        <v>560</v>
      </c>
      <c r="G3" s="1">
        <v>29.5</v>
      </c>
      <c r="H3" s="1" t="s">
        <v>60</v>
      </c>
      <c r="I3" s="1">
        <v>-115.0</v>
      </c>
      <c r="J3" s="1">
        <v>-0.164303100961516</v>
      </c>
      <c r="K3" s="1" t="s">
        <v>61</v>
      </c>
      <c r="L3" s="1" t="s">
        <v>61</v>
      </c>
      <c r="M3" s="1" t="s">
        <v>62</v>
      </c>
      <c r="N3" s="1">
        <v>-114.0</v>
      </c>
      <c r="O3" s="1">
        <v>0.096726448811531</v>
      </c>
      <c r="P3" s="1" t="s">
        <v>61</v>
      </c>
      <c r="Q3" s="1" t="s">
        <v>61</v>
      </c>
      <c r="R3" s="1">
        <f t="shared" si="1"/>
        <v>0.09672644881</v>
      </c>
      <c r="S3" s="1">
        <f t="shared" si="2"/>
        <v>-114</v>
      </c>
      <c r="T3" s="1">
        <f t="shared" si="3"/>
        <v>1.877192982</v>
      </c>
      <c r="U3" s="1">
        <f t="shared" si="4"/>
        <v>0</v>
      </c>
      <c r="V3" s="3">
        <f t="shared" si="5"/>
        <v>2</v>
      </c>
      <c r="W3" s="3">
        <f t="shared" si="6"/>
        <v>2</v>
      </c>
      <c r="X3" s="3" t="str">
        <f>IFERROR(__xludf.DUMMYFUNCTION("split(B3,"" "")"),"N.")</f>
        <v>N.</v>
      </c>
      <c r="Y3" s="3" t="str">
        <f>IFERROR(__xludf.DUMMYFUNCTION("""COMPUTED_VALUE"""),"Brown")</f>
        <v>Brown</v>
      </c>
      <c r="AA3" s="3">
        <v>26.0</v>
      </c>
      <c r="AB3" s="3">
        <f t="shared" si="7"/>
        <v>0</v>
      </c>
      <c r="AC3" s="3">
        <f t="shared" si="8"/>
        <v>1</v>
      </c>
      <c r="AD3" s="3">
        <f t="shared" si="9"/>
        <v>1.754385965</v>
      </c>
      <c r="AE3" s="3">
        <f t="shared" si="10"/>
        <v>1.754385965</v>
      </c>
      <c r="AF3" s="3">
        <f t="shared" si="11"/>
        <v>1.754385965</v>
      </c>
      <c r="AG3" s="3">
        <f t="shared" si="12"/>
        <v>0.1186440678</v>
      </c>
    </row>
    <row r="4">
      <c r="A4" s="1" t="s">
        <v>11</v>
      </c>
      <c r="B4" s="1" t="s">
        <v>264</v>
      </c>
      <c r="C4" s="1" t="s">
        <v>19</v>
      </c>
      <c r="D4" s="1" t="s">
        <v>114</v>
      </c>
      <c r="E4" s="1" t="s">
        <v>105</v>
      </c>
      <c r="F4" s="1" t="s">
        <v>560</v>
      </c>
      <c r="G4" s="1">
        <v>15.5</v>
      </c>
      <c r="H4" s="1" t="s">
        <v>60</v>
      </c>
      <c r="I4" s="1">
        <v>-140.0</v>
      </c>
      <c r="J4" s="1">
        <v>-0.117978677423115</v>
      </c>
      <c r="K4" s="1" t="s">
        <v>61</v>
      </c>
      <c r="L4" s="1" t="s">
        <v>61</v>
      </c>
      <c r="M4" s="1" t="s">
        <v>62</v>
      </c>
      <c r="N4" s="1">
        <v>105.0</v>
      </c>
      <c r="O4" s="1">
        <v>0.0468994272270619</v>
      </c>
      <c r="P4" s="1" t="s">
        <v>61</v>
      </c>
      <c r="Q4" s="1" t="s">
        <v>61</v>
      </c>
      <c r="R4" s="1">
        <f t="shared" si="1"/>
        <v>0.04689942723</v>
      </c>
      <c r="S4" s="1">
        <f t="shared" si="2"/>
        <v>105</v>
      </c>
      <c r="T4" s="1">
        <f t="shared" si="3"/>
        <v>2.05</v>
      </c>
      <c r="U4" s="1">
        <f t="shared" si="4"/>
        <v>0</v>
      </c>
      <c r="V4" s="3">
        <f t="shared" si="5"/>
        <v>1</v>
      </c>
      <c r="W4" s="3">
        <f t="shared" si="6"/>
        <v>2</v>
      </c>
      <c r="X4" s="3" t="str">
        <f>IFERROR(__xludf.DUMMYFUNCTION("split(B4,"" "")"),"B.")</f>
        <v>B.</v>
      </c>
      <c r="Y4" s="3" t="str">
        <f>IFERROR(__xludf.DUMMYFUNCTION("""COMPUTED_VALUE"""),"Robinson")</f>
        <v>Robinson</v>
      </c>
      <c r="AA4" s="3">
        <v>12.0</v>
      </c>
      <c r="AB4" s="3">
        <f t="shared" si="7"/>
        <v>0</v>
      </c>
      <c r="AC4" s="3">
        <f t="shared" si="8"/>
        <v>1</v>
      </c>
      <c r="AD4" s="3">
        <f t="shared" si="9"/>
        <v>1.05</v>
      </c>
      <c r="AE4" s="3">
        <f t="shared" si="10"/>
        <v>1.05</v>
      </c>
      <c r="AF4" s="3">
        <f t="shared" si="11"/>
        <v>2.1</v>
      </c>
      <c r="AG4" s="3">
        <f t="shared" si="12"/>
        <v>0.2258064516</v>
      </c>
      <c r="AH4" s="1" t="s">
        <v>18</v>
      </c>
      <c r="AI4" s="3">
        <f t="shared" ref="AI4:AI7" si="13">COUNTIFS(C:C, "="&amp;AH4, AC:AC, "=1")</f>
        <v>55</v>
      </c>
      <c r="AJ4" s="3">
        <f t="shared" ref="AJ4:AJ7" si="14">countif(C:C, "="&amp;AH4)</f>
        <v>140</v>
      </c>
      <c r="AK4" s="3">
        <f t="shared" ref="AK4:AK7" si="15">AI4/AJ4</f>
        <v>0.3928571429</v>
      </c>
    </row>
    <row r="5">
      <c r="A5" s="1" t="s">
        <v>10</v>
      </c>
      <c r="B5" s="1" t="s">
        <v>264</v>
      </c>
      <c r="C5" s="1" t="s">
        <v>19</v>
      </c>
      <c r="D5" s="1" t="s">
        <v>114</v>
      </c>
      <c r="E5" s="1" t="s">
        <v>105</v>
      </c>
      <c r="F5" s="1" t="s">
        <v>560</v>
      </c>
      <c r="G5" s="1">
        <v>62.5</v>
      </c>
      <c r="H5" s="1" t="s">
        <v>60</v>
      </c>
      <c r="I5" s="1">
        <v>-114.0</v>
      </c>
      <c r="J5" s="1">
        <v>-0.110317689531126</v>
      </c>
      <c r="K5" s="1" t="s">
        <v>61</v>
      </c>
      <c r="L5" s="1" t="s">
        <v>61</v>
      </c>
      <c r="M5" s="1" t="s">
        <v>62</v>
      </c>
      <c r="N5" s="1">
        <v>-115.0</v>
      </c>
      <c r="O5" s="1">
        <v>0.0426950939921478</v>
      </c>
      <c r="P5" s="1" t="s">
        <v>61</v>
      </c>
      <c r="Q5" s="1" t="s">
        <v>61</v>
      </c>
      <c r="R5" s="1">
        <f t="shared" si="1"/>
        <v>0.04269509399</v>
      </c>
      <c r="S5" s="1">
        <f t="shared" si="2"/>
        <v>-115</v>
      </c>
      <c r="T5" s="1">
        <f t="shared" si="3"/>
        <v>1.869565217</v>
      </c>
      <c r="U5" s="1">
        <f t="shared" si="4"/>
        <v>0</v>
      </c>
      <c r="V5" s="3">
        <f t="shared" si="5"/>
        <v>1</v>
      </c>
      <c r="W5" s="3">
        <f t="shared" si="6"/>
        <v>2</v>
      </c>
      <c r="X5" s="3" t="str">
        <f>IFERROR(__xludf.DUMMYFUNCTION("split(B5,"" "")"),"B.")</f>
        <v>B.</v>
      </c>
      <c r="Y5" s="3" t="str">
        <f>IFERROR(__xludf.DUMMYFUNCTION("""COMPUTED_VALUE"""),"Robinson")</f>
        <v>Robinson</v>
      </c>
      <c r="AA5" s="3">
        <v>101.0</v>
      </c>
      <c r="AB5" s="3">
        <f t="shared" si="7"/>
        <v>1</v>
      </c>
      <c r="AC5" s="3">
        <f t="shared" si="8"/>
        <v>0</v>
      </c>
      <c r="AD5" s="3">
        <f t="shared" si="9"/>
        <v>0.8695652174</v>
      </c>
      <c r="AE5" s="3">
        <f t="shared" si="10"/>
        <v>-1</v>
      </c>
      <c r="AF5" s="3">
        <f t="shared" si="11"/>
        <v>-2</v>
      </c>
      <c r="AG5" s="3">
        <f t="shared" si="12"/>
        <v>-0.616</v>
      </c>
      <c r="AH5" s="1" t="s">
        <v>19</v>
      </c>
      <c r="AI5" s="3">
        <f t="shared" si="13"/>
        <v>62</v>
      </c>
      <c r="AJ5" s="3">
        <f t="shared" si="14"/>
        <v>113</v>
      </c>
      <c r="AK5" s="3">
        <f t="shared" si="15"/>
        <v>0.5486725664</v>
      </c>
    </row>
    <row r="6">
      <c r="A6" s="1" t="s">
        <v>10</v>
      </c>
      <c r="B6" s="1" t="s">
        <v>320</v>
      </c>
      <c r="C6" s="1" t="s">
        <v>21</v>
      </c>
      <c r="D6" s="1" t="s">
        <v>114</v>
      </c>
      <c r="E6" s="1" t="s">
        <v>105</v>
      </c>
      <c r="F6" s="1" t="s">
        <v>560</v>
      </c>
      <c r="G6" s="1">
        <v>47.5</v>
      </c>
      <c r="H6" s="1" t="s">
        <v>60</v>
      </c>
      <c r="I6" s="1">
        <v>-113.0</v>
      </c>
      <c r="J6" s="1">
        <v>-0.108959260348388</v>
      </c>
      <c r="K6" s="1" t="s">
        <v>61</v>
      </c>
      <c r="L6" s="1" t="s">
        <v>61</v>
      </c>
      <c r="M6" s="1" t="s">
        <v>62</v>
      </c>
      <c r="N6" s="1">
        <v>-116.0</v>
      </c>
      <c r="O6" s="1">
        <v>0.041397431455479</v>
      </c>
      <c r="P6" s="1" t="s">
        <v>61</v>
      </c>
      <c r="Q6" s="1" t="s">
        <v>61</v>
      </c>
      <c r="R6" s="1">
        <f t="shared" si="1"/>
        <v>0.04139743146</v>
      </c>
      <c r="S6" s="1">
        <f t="shared" si="2"/>
        <v>-116</v>
      </c>
      <c r="T6" s="1">
        <f t="shared" si="3"/>
        <v>1.862068966</v>
      </c>
      <c r="U6" s="1">
        <f t="shared" si="4"/>
        <v>0</v>
      </c>
      <c r="V6" s="3">
        <f t="shared" si="5"/>
        <v>1</v>
      </c>
      <c r="W6" s="3">
        <f t="shared" si="6"/>
        <v>2</v>
      </c>
      <c r="X6" s="3" t="str">
        <f>IFERROR(__xludf.DUMMYFUNCTION("split(B6,"" "")"),"J.")</f>
        <v>J.</v>
      </c>
      <c r="Y6" s="3" t="str">
        <f>IFERROR(__xludf.DUMMYFUNCTION("""COMPUTED_VALUE"""),"Daniels")</f>
        <v>Daniels</v>
      </c>
      <c r="AA6" s="3">
        <v>47.0</v>
      </c>
      <c r="AB6" s="3">
        <f t="shared" si="7"/>
        <v>0</v>
      </c>
      <c r="AC6" s="3">
        <f t="shared" si="8"/>
        <v>1</v>
      </c>
      <c r="AD6" s="3">
        <f t="shared" si="9"/>
        <v>0.8620689655</v>
      </c>
      <c r="AE6" s="3">
        <f t="shared" si="10"/>
        <v>0.8620689655</v>
      </c>
      <c r="AF6" s="3">
        <f t="shared" si="11"/>
        <v>1.724137931</v>
      </c>
      <c r="AG6" s="3">
        <f t="shared" si="12"/>
        <v>0.01052631579</v>
      </c>
      <c r="AH6" s="1" t="s">
        <v>20</v>
      </c>
      <c r="AI6" s="3">
        <f t="shared" si="13"/>
        <v>17</v>
      </c>
      <c r="AJ6" s="3">
        <f t="shared" si="14"/>
        <v>36</v>
      </c>
      <c r="AK6" s="3">
        <f t="shared" si="15"/>
        <v>0.4722222222</v>
      </c>
    </row>
    <row r="7">
      <c r="A7" s="1" t="s">
        <v>16</v>
      </c>
      <c r="B7" s="1" t="s">
        <v>320</v>
      </c>
      <c r="C7" s="1" t="s">
        <v>21</v>
      </c>
      <c r="D7" s="1" t="s">
        <v>114</v>
      </c>
      <c r="E7" s="1" t="s">
        <v>105</v>
      </c>
      <c r="F7" s="1" t="s">
        <v>560</v>
      </c>
      <c r="G7" s="1">
        <v>27.5</v>
      </c>
      <c r="H7" s="1" t="s">
        <v>60</v>
      </c>
      <c r="I7" s="1">
        <v>-128.0</v>
      </c>
      <c r="J7" s="1">
        <v>-0.109371247017544</v>
      </c>
      <c r="K7" s="1" t="s">
        <v>61</v>
      </c>
      <c r="L7" s="1" t="s">
        <v>61</v>
      </c>
      <c r="M7" s="1" t="s">
        <v>62</v>
      </c>
      <c r="N7" s="1">
        <v>-103.0</v>
      </c>
      <c r="O7" s="1">
        <v>0.0405578307862068</v>
      </c>
      <c r="P7" s="1" t="s">
        <v>61</v>
      </c>
      <c r="Q7" s="1" t="s">
        <v>61</v>
      </c>
      <c r="R7" s="1">
        <f t="shared" si="1"/>
        <v>0.04055783079</v>
      </c>
      <c r="S7" s="1">
        <f t="shared" si="2"/>
        <v>-103</v>
      </c>
      <c r="T7" s="1">
        <f t="shared" si="3"/>
        <v>1.970873786</v>
      </c>
      <c r="U7" s="1">
        <f t="shared" si="4"/>
        <v>0</v>
      </c>
      <c r="V7" s="3">
        <f t="shared" si="5"/>
        <v>1</v>
      </c>
      <c r="W7" s="3">
        <f t="shared" si="6"/>
        <v>2</v>
      </c>
      <c r="X7" s="3" t="str">
        <f>IFERROR(__xludf.DUMMYFUNCTION("split(B7,"" "")"),"J.")</f>
        <v>J.</v>
      </c>
      <c r="Y7" s="3" t="str">
        <f>IFERROR(__xludf.DUMMYFUNCTION("""COMPUTED_VALUE"""),"Daniels")</f>
        <v>Daniels</v>
      </c>
      <c r="AA7" s="3">
        <v>30.0</v>
      </c>
      <c r="AB7" s="3">
        <f t="shared" si="7"/>
        <v>1</v>
      </c>
      <c r="AC7" s="3">
        <f t="shared" si="8"/>
        <v>0</v>
      </c>
      <c r="AD7" s="3">
        <f t="shared" si="9"/>
        <v>0.9708737864</v>
      </c>
      <c r="AE7" s="3">
        <f t="shared" si="10"/>
        <v>-1</v>
      </c>
      <c r="AF7" s="3">
        <f t="shared" si="11"/>
        <v>-2</v>
      </c>
      <c r="AG7" s="3">
        <f t="shared" si="12"/>
        <v>-0.09090909091</v>
      </c>
      <c r="AH7" s="1" t="s">
        <v>21</v>
      </c>
      <c r="AI7" s="3">
        <f t="shared" si="13"/>
        <v>61</v>
      </c>
      <c r="AJ7" s="3">
        <f t="shared" si="14"/>
        <v>125</v>
      </c>
      <c r="AK7" s="3">
        <f t="shared" si="15"/>
        <v>0.488</v>
      </c>
    </row>
    <row r="8">
      <c r="A8" s="1" t="s">
        <v>17</v>
      </c>
      <c r="B8" s="1" t="s">
        <v>320</v>
      </c>
      <c r="C8" s="1" t="s">
        <v>21</v>
      </c>
      <c r="D8" s="1" t="s">
        <v>114</v>
      </c>
      <c r="E8" s="1" t="s">
        <v>105</v>
      </c>
      <c r="F8" s="1" t="s">
        <v>560</v>
      </c>
      <c r="G8" s="1">
        <v>0.5</v>
      </c>
      <c r="H8" s="1" t="s">
        <v>60</v>
      </c>
      <c r="I8" s="1">
        <v>-120.0</v>
      </c>
      <c r="J8" s="1">
        <v>-0.100654545454545</v>
      </c>
      <c r="K8" s="1" t="s">
        <v>61</v>
      </c>
      <c r="L8" s="1" t="s">
        <v>61</v>
      </c>
      <c r="M8" s="1" t="s">
        <v>62</v>
      </c>
      <c r="N8" s="1">
        <v>-108.0</v>
      </c>
      <c r="O8" s="1">
        <v>0.0359692307692308</v>
      </c>
      <c r="P8" s="1" t="s">
        <v>61</v>
      </c>
      <c r="Q8" s="1" t="s">
        <v>61</v>
      </c>
      <c r="R8" s="1">
        <f t="shared" si="1"/>
        <v>0.03596923077</v>
      </c>
      <c r="S8" s="1">
        <f t="shared" si="2"/>
        <v>-108</v>
      </c>
      <c r="T8" s="1">
        <f t="shared" si="3"/>
        <v>1.925925926</v>
      </c>
      <c r="U8" s="1">
        <f t="shared" si="4"/>
        <v>0</v>
      </c>
      <c r="V8" s="3">
        <f t="shared" si="5"/>
        <v>1</v>
      </c>
      <c r="W8" s="3">
        <f t="shared" si="6"/>
        <v>2</v>
      </c>
      <c r="X8" s="3" t="str">
        <f>IFERROR(__xludf.DUMMYFUNCTION("split(B8,"" "")"),"J.")</f>
        <v>J.</v>
      </c>
      <c r="Y8" s="3" t="str">
        <f>IFERROR(__xludf.DUMMYFUNCTION("""COMPUTED_VALUE"""),"Daniels")</f>
        <v>Daniels</v>
      </c>
      <c r="AA8" s="3">
        <v>1.0</v>
      </c>
      <c r="AB8" s="3">
        <f t="shared" si="7"/>
        <v>1</v>
      </c>
      <c r="AC8" s="3">
        <f t="shared" si="8"/>
        <v>0</v>
      </c>
      <c r="AD8" s="3">
        <f t="shared" si="9"/>
        <v>0.9259259259</v>
      </c>
      <c r="AE8" s="3">
        <f t="shared" si="10"/>
        <v>-1</v>
      </c>
      <c r="AF8" s="3">
        <f t="shared" si="11"/>
        <v>-2</v>
      </c>
      <c r="AG8" s="3">
        <f t="shared" si="12"/>
        <v>-1</v>
      </c>
    </row>
    <row r="9">
      <c r="A9" s="1" t="s">
        <v>15</v>
      </c>
      <c r="B9" s="1" t="s">
        <v>320</v>
      </c>
      <c r="C9" s="1" t="s">
        <v>21</v>
      </c>
      <c r="D9" s="1" t="s">
        <v>114</v>
      </c>
      <c r="E9" s="1" t="s">
        <v>105</v>
      </c>
      <c r="F9" s="1" t="s">
        <v>560</v>
      </c>
      <c r="G9" s="1">
        <v>18.5</v>
      </c>
      <c r="H9" s="1" t="s">
        <v>60</v>
      </c>
      <c r="I9" s="1">
        <v>-135.0</v>
      </c>
      <c r="J9" s="1">
        <v>-0.0776094564255319</v>
      </c>
      <c r="K9" s="1" t="s">
        <v>61</v>
      </c>
      <c r="L9" s="1" t="s">
        <v>61</v>
      </c>
      <c r="M9" s="1" t="s">
        <v>62</v>
      </c>
      <c r="N9" s="1">
        <v>105.0</v>
      </c>
      <c r="O9" s="1">
        <v>0.0153425476097561</v>
      </c>
      <c r="P9" s="1" t="s">
        <v>61</v>
      </c>
      <c r="Q9" s="1" t="s">
        <v>61</v>
      </c>
      <c r="R9" s="1">
        <f t="shared" si="1"/>
        <v>0.01534254761</v>
      </c>
      <c r="S9" s="1">
        <f t="shared" si="2"/>
        <v>105</v>
      </c>
      <c r="T9" s="1">
        <f t="shared" si="3"/>
        <v>2.05</v>
      </c>
      <c r="U9" s="1">
        <f t="shared" si="4"/>
        <v>0</v>
      </c>
      <c r="V9" s="3">
        <f t="shared" si="5"/>
        <v>1</v>
      </c>
      <c r="W9" s="3">
        <f t="shared" si="6"/>
        <v>2</v>
      </c>
      <c r="X9" s="3" t="str">
        <f>IFERROR(__xludf.DUMMYFUNCTION("split(B9,"" "")"),"J.")</f>
        <v>J.</v>
      </c>
      <c r="Y9" s="3" t="str">
        <f>IFERROR(__xludf.DUMMYFUNCTION("""COMPUTED_VALUE"""),"Daniels")</f>
        <v>Daniels</v>
      </c>
      <c r="AA9" s="3">
        <v>26.0</v>
      </c>
      <c r="AB9" s="3">
        <f t="shared" si="7"/>
        <v>1</v>
      </c>
      <c r="AC9" s="3">
        <f t="shared" si="8"/>
        <v>0</v>
      </c>
      <c r="AD9" s="3">
        <f t="shared" si="9"/>
        <v>1.05</v>
      </c>
      <c r="AE9" s="3">
        <f t="shared" si="10"/>
        <v>-1</v>
      </c>
      <c r="AF9" s="3">
        <f t="shared" si="11"/>
        <v>-2</v>
      </c>
      <c r="AG9" s="3">
        <f t="shared" si="12"/>
        <v>-0.4054054054</v>
      </c>
    </row>
    <row r="10">
      <c r="A10" s="1" t="s">
        <v>11</v>
      </c>
      <c r="B10" s="1" t="s">
        <v>488</v>
      </c>
      <c r="C10" s="1" t="s">
        <v>20</v>
      </c>
      <c r="D10" s="1" t="s">
        <v>114</v>
      </c>
      <c r="E10" s="1" t="s">
        <v>105</v>
      </c>
      <c r="F10" s="1" t="s">
        <v>560</v>
      </c>
      <c r="G10" s="1">
        <v>28.5</v>
      </c>
      <c r="H10" s="1" t="s">
        <v>60</v>
      </c>
      <c r="I10" s="1">
        <v>-116.0</v>
      </c>
      <c r="J10" s="1">
        <v>-0.0787866547558333</v>
      </c>
      <c r="K10" s="1" t="s">
        <v>61</v>
      </c>
      <c r="L10" s="1" t="s">
        <v>61</v>
      </c>
      <c r="M10" s="1" t="s">
        <v>62</v>
      </c>
      <c r="N10" s="1">
        <v>-113.0</v>
      </c>
      <c r="O10" s="1">
        <v>0.0112682822227409</v>
      </c>
      <c r="P10" s="1" t="s">
        <v>61</v>
      </c>
      <c r="Q10" s="1" t="s">
        <v>61</v>
      </c>
      <c r="R10" s="1">
        <f t="shared" si="1"/>
        <v>0.01126828222</v>
      </c>
      <c r="S10" s="1">
        <f t="shared" si="2"/>
        <v>-113</v>
      </c>
      <c r="T10" s="1">
        <f t="shared" si="3"/>
        <v>1.884955752</v>
      </c>
      <c r="U10" s="1">
        <f t="shared" si="4"/>
        <v>0</v>
      </c>
      <c r="V10" s="3">
        <f t="shared" si="5"/>
        <v>1</v>
      </c>
      <c r="W10" s="3">
        <f t="shared" si="6"/>
        <v>2</v>
      </c>
      <c r="X10" s="3" t="str">
        <f>IFERROR(__xludf.DUMMYFUNCTION("split(B10,"" "")"),"Z.")</f>
        <v>Z.</v>
      </c>
      <c r="Y10" s="3" t="str">
        <f>IFERROR(__xludf.DUMMYFUNCTION("""COMPUTED_VALUE"""),"Ertz")</f>
        <v>Ertz</v>
      </c>
      <c r="AA10" s="3">
        <v>22.0</v>
      </c>
      <c r="AB10" s="3">
        <f t="shared" si="7"/>
        <v>0</v>
      </c>
      <c r="AC10" s="3">
        <f t="shared" si="8"/>
        <v>1</v>
      </c>
      <c r="AD10" s="3">
        <f t="shared" si="9"/>
        <v>0.8849557522</v>
      </c>
      <c r="AE10" s="3">
        <f t="shared" si="10"/>
        <v>0.8849557522</v>
      </c>
      <c r="AF10" s="3">
        <f t="shared" si="11"/>
        <v>1.769911504</v>
      </c>
      <c r="AG10" s="3">
        <f t="shared" si="12"/>
        <v>0.2280701754</v>
      </c>
    </row>
    <row r="11">
      <c r="A11" s="1" t="s">
        <v>11</v>
      </c>
      <c r="B11" s="1" t="s">
        <v>249</v>
      </c>
      <c r="C11" s="1" t="s">
        <v>18</v>
      </c>
      <c r="D11" s="1" t="s">
        <v>114</v>
      </c>
      <c r="E11" s="1" t="s">
        <v>105</v>
      </c>
      <c r="F11" s="1" t="s">
        <v>560</v>
      </c>
      <c r="G11" s="1">
        <v>57.5</v>
      </c>
      <c r="H11" s="1" t="s">
        <v>60</v>
      </c>
      <c r="I11" s="1">
        <v>-115.0</v>
      </c>
      <c r="J11" s="1">
        <v>-0.0756070095403715</v>
      </c>
      <c r="K11" s="1" t="s">
        <v>61</v>
      </c>
      <c r="L11" s="1" t="s">
        <v>61</v>
      </c>
      <c r="M11" s="1" t="s">
        <v>62</v>
      </c>
      <c r="N11" s="1">
        <v>-114.0</v>
      </c>
      <c r="O11" s="1">
        <v>0.00797144056897136</v>
      </c>
      <c r="P11" s="1" t="s">
        <v>61</v>
      </c>
      <c r="Q11" s="1" t="s">
        <v>61</v>
      </c>
      <c r="R11" s="1">
        <f t="shared" si="1"/>
        <v>0.007971440569</v>
      </c>
      <c r="S11" s="1">
        <f t="shared" si="2"/>
        <v>-114</v>
      </c>
      <c r="T11" s="1">
        <f t="shared" si="3"/>
        <v>1.877192982</v>
      </c>
      <c r="U11" s="1">
        <f t="shared" si="4"/>
        <v>0</v>
      </c>
      <c r="V11" s="3">
        <f t="shared" si="5"/>
        <v>1</v>
      </c>
      <c r="W11" s="3">
        <f t="shared" si="6"/>
        <v>2</v>
      </c>
      <c r="X11" s="3" t="str">
        <f>IFERROR(__xludf.DUMMYFUNCTION("split(B11,"" "")"),"T.")</f>
        <v>T.</v>
      </c>
      <c r="Y11" s="3" t="str">
        <f>IFERROR(__xludf.DUMMYFUNCTION("""COMPUTED_VALUE"""),"McLaurin")</f>
        <v>McLaurin</v>
      </c>
      <c r="AA11" s="3">
        <v>52.0</v>
      </c>
      <c r="AB11" s="3">
        <f t="shared" si="7"/>
        <v>0</v>
      </c>
      <c r="AC11" s="3">
        <f t="shared" si="8"/>
        <v>1</v>
      </c>
      <c r="AD11" s="3">
        <f t="shared" si="9"/>
        <v>0.8771929825</v>
      </c>
      <c r="AE11" s="3">
        <f t="shared" si="10"/>
        <v>0.8771929825</v>
      </c>
      <c r="AF11" s="3">
        <f t="shared" si="11"/>
        <v>1.754385965</v>
      </c>
      <c r="AG11" s="3">
        <f t="shared" si="12"/>
        <v>0.09565217391</v>
      </c>
      <c r="AH11" s="1" t="s">
        <v>209</v>
      </c>
      <c r="AI11" s="3">
        <f>COUNTIFs(AC:AC, "=1", AB:AB, "=0")</f>
        <v>142</v>
      </c>
      <c r="AJ11" s="3">
        <f>countif(AB:AB, "=0")</f>
        <v>215</v>
      </c>
      <c r="AK11" s="3">
        <f t="shared" ref="AK11:AK12" si="16">AI11/AJ11</f>
        <v>0.6604651163</v>
      </c>
      <c r="AL11" s="3">
        <f>sumifs(AE:AE,U:U, "=0")</f>
        <v>-10.83982512</v>
      </c>
    </row>
    <row r="12">
      <c r="A12" s="1" t="s">
        <v>13</v>
      </c>
      <c r="B12" s="1" t="s">
        <v>320</v>
      </c>
      <c r="C12" s="1" t="s">
        <v>21</v>
      </c>
      <c r="D12" s="1" t="s">
        <v>114</v>
      </c>
      <c r="E12" s="1" t="s">
        <v>105</v>
      </c>
      <c r="F12" s="1" t="s">
        <v>560</v>
      </c>
      <c r="G12" s="1">
        <v>210.5</v>
      </c>
      <c r="H12" s="1" t="s">
        <v>60</v>
      </c>
      <c r="I12" s="1">
        <v>-111.0</v>
      </c>
      <c r="J12" s="1">
        <v>0.00654208985781934</v>
      </c>
      <c r="K12" s="1" t="s">
        <v>61</v>
      </c>
      <c r="L12" s="1" t="s">
        <v>61</v>
      </c>
      <c r="M12" s="1" t="s">
        <v>62</v>
      </c>
      <c r="N12" s="1">
        <v>-118.0</v>
      </c>
      <c r="O12" s="1">
        <v>-0.0738798327192655</v>
      </c>
      <c r="P12" s="1" t="s">
        <v>61</v>
      </c>
      <c r="Q12" s="1" t="s">
        <v>61</v>
      </c>
      <c r="R12" s="1">
        <f t="shared" si="1"/>
        <v>0.006542089858</v>
      </c>
      <c r="S12" s="1">
        <f t="shared" si="2"/>
        <v>-111</v>
      </c>
      <c r="T12" s="1">
        <f t="shared" si="3"/>
        <v>1.900900901</v>
      </c>
      <c r="U12" s="1">
        <f t="shared" si="4"/>
        <v>1</v>
      </c>
      <c r="V12" s="3">
        <f t="shared" si="5"/>
        <v>1</v>
      </c>
      <c r="W12" s="3">
        <f t="shared" si="6"/>
        <v>2</v>
      </c>
      <c r="X12" s="3" t="str">
        <f>IFERROR(__xludf.DUMMYFUNCTION("split(B12,"" "")"),"J.")</f>
        <v>J.</v>
      </c>
      <c r="Y12" s="3" t="str">
        <f>IFERROR(__xludf.DUMMYFUNCTION("""COMPUTED_VALUE"""),"Daniels")</f>
        <v>Daniels</v>
      </c>
      <c r="AA12" s="3">
        <v>233.0</v>
      </c>
      <c r="AB12" s="3">
        <f t="shared" si="7"/>
        <v>1</v>
      </c>
      <c r="AC12" s="3">
        <f t="shared" si="8"/>
        <v>1</v>
      </c>
      <c r="AD12" s="3">
        <f t="shared" si="9"/>
        <v>0.9009009009</v>
      </c>
      <c r="AE12" s="3">
        <f t="shared" si="10"/>
        <v>0.9009009009</v>
      </c>
      <c r="AF12" s="3">
        <f t="shared" si="11"/>
        <v>1.801801802</v>
      </c>
      <c r="AG12" s="3">
        <f t="shared" si="12"/>
        <v>0.106888361</v>
      </c>
      <c r="AH12" s="1" t="s">
        <v>206</v>
      </c>
      <c r="AI12" s="3">
        <f>COUNTIFs(AC:AC, "=1", AB:AB, "=1")</f>
        <v>53</v>
      </c>
      <c r="AJ12" s="3">
        <f>countif(AB:AB, "=1")</f>
        <v>199</v>
      </c>
      <c r="AK12" s="3">
        <f t="shared" si="16"/>
        <v>0.2663316583</v>
      </c>
      <c r="AL12" s="3">
        <f>sumifs(AE:AE,U:U, "=1")</f>
        <v>-15.67092258</v>
      </c>
    </row>
    <row r="13">
      <c r="A13" s="1" t="s">
        <v>12</v>
      </c>
      <c r="B13" s="1" t="s">
        <v>340</v>
      </c>
      <c r="C13" s="1" t="s">
        <v>19</v>
      </c>
      <c r="D13" s="1" t="s">
        <v>100</v>
      </c>
      <c r="E13" s="1" t="s">
        <v>94</v>
      </c>
      <c r="F13" s="1" t="s">
        <v>562</v>
      </c>
      <c r="G13" s="1">
        <v>2.5</v>
      </c>
      <c r="H13" s="1" t="s">
        <v>60</v>
      </c>
      <c r="I13" s="1">
        <v>-131.0</v>
      </c>
      <c r="J13" s="1">
        <v>-0.275282049567099</v>
      </c>
      <c r="K13" s="1" t="s">
        <v>61</v>
      </c>
      <c r="L13" s="1" t="s">
        <v>61</v>
      </c>
      <c r="M13" s="1" t="s">
        <v>62</v>
      </c>
      <c r="N13" s="1">
        <v>100.0</v>
      </c>
      <c r="O13" s="1">
        <v>0.208195267249999</v>
      </c>
      <c r="P13" s="1" t="s">
        <v>61</v>
      </c>
      <c r="Q13" s="1" t="s">
        <v>61</v>
      </c>
      <c r="R13" s="1">
        <f t="shared" si="1"/>
        <v>0.2081952672</v>
      </c>
      <c r="S13" s="1">
        <f t="shared" si="2"/>
        <v>100</v>
      </c>
      <c r="T13" s="1">
        <f t="shared" si="3"/>
        <v>2</v>
      </c>
      <c r="U13" s="1">
        <f t="shared" si="4"/>
        <v>0</v>
      </c>
      <c r="V13" s="3">
        <f t="shared" si="5"/>
        <v>3</v>
      </c>
      <c r="W13" s="3">
        <f t="shared" si="6"/>
        <v>2</v>
      </c>
      <c r="X13" s="3" t="str">
        <f>IFERROR(__xludf.DUMMYFUNCTION("split(B13,"" "")"),"T.")</f>
        <v>T.</v>
      </c>
      <c r="Y13" s="3" t="str">
        <f>IFERROR(__xludf.DUMMYFUNCTION("""COMPUTED_VALUE"""),"Pollard")</f>
        <v>Pollard</v>
      </c>
      <c r="AA13" s="3">
        <v>2.0</v>
      </c>
      <c r="AB13" s="3">
        <f t="shared" si="7"/>
        <v>0</v>
      </c>
      <c r="AC13" s="3">
        <f t="shared" si="8"/>
        <v>1</v>
      </c>
      <c r="AD13" s="3">
        <f t="shared" si="9"/>
        <v>3</v>
      </c>
      <c r="AE13" s="3">
        <f t="shared" si="10"/>
        <v>3</v>
      </c>
      <c r="AF13" s="3">
        <f t="shared" si="11"/>
        <v>2</v>
      </c>
      <c r="AG13" s="3">
        <f t="shared" si="12"/>
        <v>0.2</v>
      </c>
    </row>
    <row r="14">
      <c r="A14" s="1" t="s">
        <v>12</v>
      </c>
      <c r="B14" s="1" t="s">
        <v>559</v>
      </c>
      <c r="C14" s="1" t="s">
        <v>18</v>
      </c>
      <c r="D14" s="1" t="s">
        <v>100</v>
      </c>
      <c r="E14" s="1" t="s">
        <v>94</v>
      </c>
      <c r="F14" s="1" t="s">
        <v>562</v>
      </c>
      <c r="G14" s="1">
        <v>2.5</v>
      </c>
      <c r="H14" s="1" t="s">
        <v>60</v>
      </c>
      <c r="I14" s="1">
        <v>-124.0</v>
      </c>
      <c r="J14" s="1">
        <v>-0.245166248794642</v>
      </c>
      <c r="K14" s="1" t="s">
        <v>61</v>
      </c>
      <c r="L14" s="1" t="s">
        <v>61</v>
      </c>
      <c r="M14" s="1" t="s">
        <v>62</v>
      </c>
      <c r="N14" s="1">
        <v>-106.0</v>
      </c>
      <c r="O14" s="1">
        <v>0.177030922882524</v>
      </c>
      <c r="P14" s="1" t="s">
        <v>61</v>
      </c>
      <c r="Q14" s="1" t="s">
        <v>61</v>
      </c>
      <c r="R14" s="1">
        <f t="shared" si="1"/>
        <v>0.1770309229</v>
      </c>
      <c r="S14" s="1">
        <f t="shared" si="2"/>
        <v>-106</v>
      </c>
      <c r="T14" s="1">
        <f t="shared" si="3"/>
        <v>1.943396226</v>
      </c>
      <c r="U14" s="1">
        <f t="shared" si="4"/>
        <v>0</v>
      </c>
      <c r="V14" s="3">
        <f t="shared" si="5"/>
        <v>3</v>
      </c>
      <c r="W14" s="3">
        <f t="shared" si="6"/>
        <v>2</v>
      </c>
      <c r="X14" s="3" t="str">
        <f>IFERROR(__xludf.DUMMYFUNCTION("split(B14,"" "")"),"T.")</f>
        <v>T.</v>
      </c>
      <c r="Y14" s="3" t="str">
        <f>IFERROR(__xludf.DUMMYFUNCTION("""COMPUTED_VALUE"""),"Boyd")</f>
        <v>Boyd</v>
      </c>
      <c r="AA14" s="3">
        <v>2.0</v>
      </c>
      <c r="AB14" s="3">
        <f t="shared" si="7"/>
        <v>0</v>
      </c>
      <c r="AC14" s="3">
        <f t="shared" si="8"/>
        <v>1</v>
      </c>
      <c r="AD14" s="3">
        <f t="shared" si="9"/>
        <v>2.830188679</v>
      </c>
      <c r="AE14" s="3">
        <f t="shared" si="10"/>
        <v>2.830188679</v>
      </c>
      <c r="AF14" s="3">
        <f t="shared" si="11"/>
        <v>1.886792453</v>
      </c>
      <c r="AG14" s="3">
        <f t="shared" si="12"/>
        <v>0.2</v>
      </c>
    </row>
    <row r="15">
      <c r="A15" s="1" t="s">
        <v>14</v>
      </c>
      <c r="B15" s="1" t="s">
        <v>275</v>
      </c>
      <c r="C15" s="1" t="s">
        <v>21</v>
      </c>
      <c r="D15" s="1" t="s">
        <v>100</v>
      </c>
      <c r="E15" s="1" t="s">
        <v>94</v>
      </c>
      <c r="F15" s="1" t="s">
        <v>562</v>
      </c>
      <c r="G15" s="1">
        <v>0.5</v>
      </c>
      <c r="H15" s="1" t="s">
        <v>60</v>
      </c>
      <c r="I15" s="1">
        <v>-254.0</v>
      </c>
      <c r="J15" s="1">
        <v>-0.229112751694915</v>
      </c>
      <c r="K15" s="1" t="s">
        <v>61</v>
      </c>
      <c r="L15" s="1" t="s">
        <v>61</v>
      </c>
      <c r="M15" s="1" t="s">
        <v>62</v>
      </c>
      <c r="N15" s="1">
        <v>192.0</v>
      </c>
      <c r="O15" s="1">
        <v>0.169132582534246</v>
      </c>
      <c r="P15" s="1" t="s">
        <v>61</v>
      </c>
      <c r="Q15" s="1" t="s">
        <v>61</v>
      </c>
      <c r="R15" s="1">
        <f t="shared" si="1"/>
        <v>0.1691325825</v>
      </c>
      <c r="S15" s="1">
        <f t="shared" si="2"/>
        <v>192</v>
      </c>
      <c r="T15" s="1">
        <f t="shared" si="3"/>
        <v>2.92</v>
      </c>
      <c r="U15" s="1">
        <f t="shared" si="4"/>
        <v>0</v>
      </c>
      <c r="V15" s="3">
        <f t="shared" si="5"/>
        <v>3</v>
      </c>
      <c r="W15" s="3">
        <f t="shared" si="6"/>
        <v>1</v>
      </c>
      <c r="X15" s="3" t="str">
        <f>IFERROR(__xludf.DUMMYFUNCTION("split(B15,"" "")"),"W.")</f>
        <v>W.</v>
      </c>
      <c r="Y15" s="3" t="str">
        <f>IFERROR(__xludf.DUMMYFUNCTION("""COMPUTED_VALUE"""),"Levis")</f>
        <v>Levis</v>
      </c>
      <c r="AA15" s="3">
        <v>0.0</v>
      </c>
      <c r="AB15" s="3">
        <f t="shared" si="7"/>
        <v>0</v>
      </c>
      <c r="AC15" s="3">
        <f t="shared" si="8"/>
        <v>1</v>
      </c>
      <c r="AD15" s="3">
        <f t="shared" si="9"/>
        <v>5.76</v>
      </c>
      <c r="AE15" s="3">
        <f t="shared" si="10"/>
        <v>5.76</v>
      </c>
      <c r="AF15" s="3">
        <f t="shared" si="11"/>
        <v>1.92</v>
      </c>
      <c r="AG15" s="3">
        <f t="shared" si="12"/>
        <v>1</v>
      </c>
      <c r="AH15" s="1" t="s">
        <v>216</v>
      </c>
      <c r="AI15" s="3">
        <f>COUNTIFS(AC:AC, "=1",V:V, "=1")/COUNTIF(V:V, "=1")</f>
        <v>0.4528301887</v>
      </c>
      <c r="AJ15" s="3">
        <f>SUMIF(V:V, "=1", AE:AE)</f>
        <v>-32.25609225</v>
      </c>
      <c r="AK15" s="3">
        <f>AVERAGEIF(V:V, "=1",T:T)</f>
        <v>1.887791503</v>
      </c>
      <c r="AL15" s="7">
        <f t="shared" ref="AL15:AL16" si="17">if(AK15&gt;2, (AK15-1)/100, (-100/(AK15-1)))</f>
        <v>-112.6390595</v>
      </c>
    </row>
    <row r="16">
      <c r="A16" s="1" t="s">
        <v>8</v>
      </c>
      <c r="B16" s="1" t="s">
        <v>275</v>
      </c>
      <c r="C16" s="1" t="s">
        <v>21</v>
      </c>
      <c r="D16" s="1" t="s">
        <v>100</v>
      </c>
      <c r="E16" s="1" t="s">
        <v>94</v>
      </c>
      <c r="F16" s="1" t="s">
        <v>562</v>
      </c>
      <c r="G16" s="1">
        <v>3.5</v>
      </c>
      <c r="H16" s="1" t="s">
        <v>60</v>
      </c>
      <c r="I16" s="1">
        <v>-112.0</v>
      </c>
      <c r="J16" s="1">
        <v>-0.20229643134085</v>
      </c>
      <c r="K16" s="1" t="s">
        <v>61</v>
      </c>
      <c r="L16" s="1" t="s">
        <v>61</v>
      </c>
      <c r="M16" s="1" t="s">
        <v>62</v>
      </c>
      <c r="N16" s="1">
        <v>-120.0</v>
      </c>
      <c r="O16" s="1">
        <v>0.128539146059601</v>
      </c>
      <c r="P16" s="1" t="s">
        <v>61</v>
      </c>
      <c r="Q16" s="1" t="s">
        <v>61</v>
      </c>
      <c r="R16" s="1">
        <f t="shared" si="1"/>
        <v>0.1285391461</v>
      </c>
      <c r="S16" s="1">
        <f t="shared" si="2"/>
        <v>-120</v>
      </c>
      <c r="T16" s="1">
        <f t="shared" si="3"/>
        <v>1.833333333</v>
      </c>
      <c r="U16" s="1">
        <f t="shared" si="4"/>
        <v>0</v>
      </c>
      <c r="V16" s="3">
        <f t="shared" si="5"/>
        <v>3</v>
      </c>
      <c r="W16" s="3">
        <f t="shared" si="6"/>
        <v>3</v>
      </c>
      <c r="X16" s="3" t="str">
        <f>IFERROR(__xludf.DUMMYFUNCTION("split(B16,"" "")"),"W.")</f>
        <v>W.</v>
      </c>
      <c r="Y16" s="3" t="str">
        <f>IFERROR(__xludf.DUMMYFUNCTION("""COMPUTED_VALUE"""),"Levis")</f>
        <v>Levis</v>
      </c>
      <c r="AA16" s="3">
        <v>2.0</v>
      </c>
      <c r="AB16" s="3">
        <f t="shared" si="7"/>
        <v>0</v>
      </c>
      <c r="AC16" s="3">
        <f t="shared" si="8"/>
        <v>1</v>
      </c>
      <c r="AD16" s="3">
        <f t="shared" si="9"/>
        <v>2.5</v>
      </c>
      <c r="AE16" s="3">
        <f t="shared" si="10"/>
        <v>2.5</v>
      </c>
      <c r="AF16" s="3">
        <f t="shared" si="11"/>
        <v>2.5</v>
      </c>
      <c r="AG16" s="3">
        <f t="shared" si="12"/>
        <v>0.4285714286</v>
      </c>
      <c r="AH16" s="1" t="s">
        <v>219</v>
      </c>
      <c r="AI16" s="3">
        <f>COUNTIFS(AC:AC, "=1",V:V, "=2")/COUNTIF(V:V, "=2")</f>
        <v>0.5092592593</v>
      </c>
      <c r="AJ16" s="3">
        <f>SUMIF(V:V, "=2", AE:AE)</f>
        <v>-5.119647877</v>
      </c>
      <c r="AK16" s="3">
        <f>AVERAGEIF(V:V, "=2",T:T)</f>
        <v>1.936281499</v>
      </c>
      <c r="AL16" s="7">
        <f t="shared" si="17"/>
        <v>-106.8054855</v>
      </c>
    </row>
    <row r="17">
      <c r="A17" s="1" t="s">
        <v>16</v>
      </c>
      <c r="B17" s="1" t="s">
        <v>275</v>
      </c>
      <c r="C17" s="1" t="s">
        <v>21</v>
      </c>
      <c r="D17" s="1" t="s">
        <v>100</v>
      </c>
      <c r="E17" s="1" t="s">
        <v>94</v>
      </c>
      <c r="F17" s="1" t="s">
        <v>562</v>
      </c>
      <c r="G17" s="1">
        <v>29.5</v>
      </c>
      <c r="H17" s="1" t="s">
        <v>60</v>
      </c>
      <c r="I17" s="1">
        <v>-126.0</v>
      </c>
      <c r="J17" s="1">
        <v>-0.149620902610619</v>
      </c>
      <c r="K17" s="1" t="s">
        <v>61</v>
      </c>
      <c r="L17" s="1" t="s">
        <v>61</v>
      </c>
      <c r="M17" s="1" t="s">
        <v>62</v>
      </c>
      <c r="N17" s="1">
        <v>-105.0</v>
      </c>
      <c r="O17" s="1">
        <v>0.0799034643390244</v>
      </c>
      <c r="P17" s="1" t="s">
        <v>61</v>
      </c>
      <c r="Q17" s="1" t="s">
        <v>61</v>
      </c>
      <c r="R17" s="1">
        <f t="shared" si="1"/>
        <v>0.07990346434</v>
      </c>
      <c r="S17" s="1">
        <f t="shared" si="2"/>
        <v>-105</v>
      </c>
      <c r="T17" s="1">
        <f t="shared" si="3"/>
        <v>1.952380952</v>
      </c>
      <c r="U17" s="1">
        <f t="shared" si="4"/>
        <v>0</v>
      </c>
      <c r="V17" s="3">
        <f t="shared" si="5"/>
        <v>2</v>
      </c>
      <c r="W17" s="3">
        <f t="shared" si="6"/>
        <v>2</v>
      </c>
      <c r="X17" s="3" t="str">
        <f>IFERROR(__xludf.DUMMYFUNCTION("split(B17,"" "")"),"W.")</f>
        <v>W.</v>
      </c>
      <c r="Y17" s="3" t="str">
        <f>IFERROR(__xludf.DUMMYFUNCTION("""COMPUTED_VALUE"""),"Levis")</f>
        <v>Levis</v>
      </c>
      <c r="AA17" s="3">
        <v>4.0</v>
      </c>
      <c r="AB17" s="3">
        <f t="shared" si="7"/>
        <v>0</v>
      </c>
      <c r="AC17" s="3">
        <f t="shared" si="8"/>
        <v>1</v>
      </c>
      <c r="AD17" s="3">
        <f t="shared" si="9"/>
        <v>1.904761905</v>
      </c>
      <c r="AE17" s="3">
        <f t="shared" si="10"/>
        <v>1.904761905</v>
      </c>
      <c r="AF17" s="3">
        <f t="shared" si="11"/>
        <v>1.904761905</v>
      </c>
      <c r="AG17" s="3">
        <f t="shared" si="12"/>
        <v>0.8644067797</v>
      </c>
      <c r="AH17" s="1" t="s">
        <v>222</v>
      </c>
      <c r="AI17" s="3">
        <f>COUNTIFS(AC:AC, "=1",V:V, "=3")/COUNTIF(V:V, "=3")</f>
        <v>0.4680851064</v>
      </c>
      <c r="AJ17" s="3">
        <f>SUMIF(V:V, "=3", AE:AE)</f>
        <v>10.86499243</v>
      </c>
      <c r="AK17" s="3">
        <f>AVERAGEIF(V:V, "=3",T:T)</f>
        <v>2.429910001</v>
      </c>
      <c r="AL17" s="7">
        <f>if(AK17&gt;2, (AK17-1)*100, (-100/(AK17-1)))</f>
        <v>142.9910001</v>
      </c>
    </row>
    <row r="18">
      <c r="A18" s="1" t="s">
        <v>11</v>
      </c>
      <c r="B18" s="1" t="s">
        <v>558</v>
      </c>
      <c r="C18" s="1" t="s">
        <v>18</v>
      </c>
      <c r="D18" s="1" t="s">
        <v>100</v>
      </c>
      <c r="E18" s="1" t="s">
        <v>94</v>
      </c>
      <c r="F18" s="1" t="s">
        <v>562</v>
      </c>
      <c r="G18" s="1">
        <v>6.5</v>
      </c>
      <c r="H18" s="1" t="s">
        <v>60</v>
      </c>
      <c r="I18" s="1">
        <v>-116.0</v>
      </c>
      <c r="J18" s="1">
        <v>0.0768743555680184</v>
      </c>
      <c r="K18" s="1" t="s">
        <v>61</v>
      </c>
      <c r="L18" s="1" t="s">
        <v>61</v>
      </c>
      <c r="M18" s="1" t="s">
        <v>62</v>
      </c>
      <c r="N18" s="1">
        <v>-111.0</v>
      </c>
      <c r="O18" s="1">
        <v>-0.139924774838806</v>
      </c>
      <c r="P18" s="1" t="s">
        <v>61</v>
      </c>
      <c r="Q18" s="1" t="s">
        <v>61</v>
      </c>
      <c r="R18" s="1">
        <f t="shared" si="1"/>
        <v>0.07687435557</v>
      </c>
      <c r="S18" s="1">
        <f t="shared" si="2"/>
        <v>-116</v>
      </c>
      <c r="T18" s="1">
        <f t="shared" si="3"/>
        <v>1.862068966</v>
      </c>
      <c r="U18" s="1">
        <f t="shared" si="4"/>
        <v>1</v>
      </c>
      <c r="V18" s="3">
        <f t="shared" si="5"/>
        <v>2</v>
      </c>
      <c r="W18" s="3">
        <f t="shared" si="6"/>
        <v>2</v>
      </c>
      <c r="X18" s="3" t="str">
        <f>IFERROR(__xludf.DUMMYFUNCTION("split(B18,"" "")"),"T.")</f>
        <v>T.</v>
      </c>
      <c r="Y18" s="3" t="str">
        <f>IFERROR(__xludf.DUMMYFUNCTION("""COMPUTED_VALUE"""),"Burks")</f>
        <v>Burks</v>
      </c>
      <c r="AA18" s="3">
        <v>13.0</v>
      </c>
      <c r="AB18" s="3">
        <f t="shared" si="7"/>
        <v>1</v>
      </c>
      <c r="AC18" s="3">
        <f t="shared" si="8"/>
        <v>1</v>
      </c>
      <c r="AD18" s="3">
        <f t="shared" si="9"/>
        <v>1.724137931</v>
      </c>
      <c r="AE18" s="3">
        <f t="shared" si="10"/>
        <v>1.724137931</v>
      </c>
      <c r="AF18" s="3">
        <f t="shared" si="11"/>
        <v>1.724137931</v>
      </c>
      <c r="AG18" s="3">
        <f t="shared" si="12"/>
        <v>1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</row>
    <row r="19">
      <c r="A19" s="1" t="s">
        <v>8</v>
      </c>
      <c r="B19" s="1" t="s">
        <v>340</v>
      </c>
      <c r="C19" s="1" t="s">
        <v>19</v>
      </c>
      <c r="D19" s="1" t="s">
        <v>100</v>
      </c>
      <c r="E19" s="1" t="s">
        <v>94</v>
      </c>
      <c r="F19" s="1" t="s">
        <v>562</v>
      </c>
      <c r="G19" s="1">
        <v>12.5</v>
      </c>
      <c r="H19" s="1" t="s">
        <v>60</v>
      </c>
      <c r="I19" s="1">
        <v>-124.0</v>
      </c>
      <c r="J19" s="1">
        <v>-0.129359889267857</v>
      </c>
      <c r="K19" s="1" t="s">
        <v>61</v>
      </c>
      <c r="L19" s="1" t="s">
        <v>61</v>
      </c>
      <c r="M19" s="1" t="s">
        <v>62</v>
      </c>
      <c r="N19" s="1">
        <v>-108.0</v>
      </c>
      <c r="O19" s="1">
        <v>0.0565721173638462</v>
      </c>
      <c r="P19" s="1" t="s">
        <v>61</v>
      </c>
      <c r="Q19" s="1" t="s">
        <v>61</v>
      </c>
      <c r="R19" s="1">
        <f t="shared" si="1"/>
        <v>0.05657211736</v>
      </c>
      <c r="S19" s="1">
        <f t="shared" si="2"/>
        <v>-108</v>
      </c>
      <c r="T19" s="1">
        <f t="shared" si="3"/>
        <v>1.925925926</v>
      </c>
      <c r="U19" s="1">
        <f t="shared" si="4"/>
        <v>0</v>
      </c>
      <c r="V19" s="3">
        <f t="shared" si="5"/>
        <v>2</v>
      </c>
      <c r="W19" s="3">
        <f t="shared" si="6"/>
        <v>2</v>
      </c>
      <c r="X19" s="3" t="str">
        <f>IFERROR(__xludf.DUMMYFUNCTION("split(B19,"" "")"),"T.")</f>
        <v>T.</v>
      </c>
      <c r="Y19" s="3" t="str">
        <f>IFERROR(__xludf.DUMMYFUNCTION("""COMPUTED_VALUE"""),"Pollard")</f>
        <v>Pollard</v>
      </c>
      <c r="AA19" s="3">
        <v>22.0</v>
      </c>
      <c r="AB19" s="3">
        <f t="shared" si="7"/>
        <v>1</v>
      </c>
      <c r="AC19" s="3">
        <f t="shared" si="8"/>
        <v>0</v>
      </c>
      <c r="AD19" s="3">
        <f t="shared" si="9"/>
        <v>1.851851852</v>
      </c>
      <c r="AE19" s="3">
        <f t="shared" si="10"/>
        <v>-2</v>
      </c>
      <c r="AF19" s="3">
        <f t="shared" si="11"/>
        <v>-2</v>
      </c>
      <c r="AG19" s="3">
        <f t="shared" si="12"/>
        <v>-0.76</v>
      </c>
      <c r="AH19" s="1" t="s">
        <v>8</v>
      </c>
      <c r="AI19" s="3">
        <f t="shared" ref="AI19:AI21" si="18">COUNTIFs(A:A, "=" &amp; AH19, AC:AC, "=1")</f>
        <v>21</v>
      </c>
      <c r="AJ19" s="3">
        <f t="shared" ref="AJ19:AJ21" si="19">countif(A:A, "=" &amp; AH19)</f>
        <v>39</v>
      </c>
      <c r="AK19" s="3">
        <f t="shared" ref="AK19:AK21" si="20">AI19/AJ19</f>
        <v>0.5384615385</v>
      </c>
      <c r="AL19" s="3">
        <f t="shared" ref="AL19:AL21" si="21">SUMIFS(AE:AE, A:A,"=" &amp; AH19,AC:AC, "=1")</f>
        <v>42.30799711</v>
      </c>
      <c r="AM19" s="3">
        <f t="shared" ref="AM19:AM21" si="22">SUMIFS(AE:AE, A:A,"=" &amp; AH19,AC:AC, "=0")</f>
        <v>-43</v>
      </c>
      <c r="AN19" s="3">
        <f t="shared" ref="AN19:AN21" si="23">AL19+AM19</f>
        <v>-0.6920028946</v>
      </c>
      <c r="AO19" s="4">
        <f t="shared" ref="AO19:AO21" si="24">IFERROR( countifs(A:A, "="&amp;AH19, U:U, "=1", AC:AC, "=1")/countifs(A:A, "="&amp;AH19, U:U, "=1"), 0)</f>
        <v>1</v>
      </c>
      <c r="AP19" s="4">
        <f t="shared" ref="AP19:AP21" si="25">IFERROR( countifs(A:A, "="&amp;AH19, U:U, "=0", AC:AC, "=1")/countifs(A:A, "="&amp;AH19, U:U, "=0"), 0)</f>
        <v>0.5135135135</v>
      </c>
      <c r="AQ19" s="5">
        <f t="shared" ref="AQ19:AQ21" si="26">iferror(IFS(AND(AP19 &gt; 0.5, AO19 &gt; 0.5), 1, AND(AP19 &lt;= 0.5, AO19 &lt;= 0.5), -1), 0)
</f>
        <v>1</v>
      </c>
      <c r="AR19" s="5">
        <f t="shared" ref="AR19:AR21" si="27">if(AN19&lt;0, -1, 1)</f>
        <v>-1</v>
      </c>
    </row>
    <row r="20">
      <c r="A20" s="1" t="s">
        <v>17</v>
      </c>
      <c r="B20" s="1" t="s">
        <v>275</v>
      </c>
      <c r="C20" s="1" t="s">
        <v>21</v>
      </c>
      <c r="D20" s="1" t="s">
        <v>100</v>
      </c>
      <c r="E20" s="1" t="s">
        <v>94</v>
      </c>
      <c r="F20" s="1" t="s">
        <v>562</v>
      </c>
      <c r="G20" s="1">
        <v>0.5</v>
      </c>
      <c r="H20" s="1" t="s">
        <v>60</v>
      </c>
      <c r="I20" s="1">
        <v>-132.0</v>
      </c>
      <c r="J20" s="1">
        <v>-0.116165517241379</v>
      </c>
      <c r="K20" s="1" t="s">
        <v>61</v>
      </c>
      <c r="L20" s="1" t="s">
        <v>61</v>
      </c>
      <c r="M20" s="1" t="s">
        <v>62</v>
      </c>
      <c r="N20" s="1">
        <v>100.0</v>
      </c>
      <c r="O20" s="1">
        <v>0.0472</v>
      </c>
      <c r="P20" s="1" t="s">
        <v>61</v>
      </c>
      <c r="Q20" s="1" t="s">
        <v>61</v>
      </c>
      <c r="R20" s="1">
        <f t="shared" si="1"/>
        <v>0.0472</v>
      </c>
      <c r="S20" s="1">
        <f t="shared" si="2"/>
        <v>100</v>
      </c>
      <c r="T20" s="1">
        <f t="shared" si="3"/>
        <v>2</v>
      </c>
      <c r="U20" s="1">
        <f t="shared" si="4"/>
        <v>0</v>
      </c>
      <c r="V20" s="3">
        <f t="shared" si="5"/>
        <v>1</v>
      </c>
      <c r="W20" s="3">
        <f t="shared" si="6"/>
        <v>2</v>
      </c>
      <c r="X20" s="3" t="str">
        <f>IFERROR(__xludf.DUMMYFUNCTION("split(B20,"" "")"),"W.")</f>
        <v>W.</v>
      </c>
      <c r="Y20" s="3" t="str">
        <f>IFERROR(__xludf.DUMMYFUNCTION("""COMPUTED_VALUE"""),"Levis")</f>
        <v>Levis</v>
      </c>
      <c r="AA20" s="3">
        <v>1.0</v>
      </c>
      <c r="AB20" s="3">
        <f t="shared" si="7"/>
        <v>1</v>
      </c>
      <c r="AC20" s="3">
        <f t="shared" si="8"/>
        <v>0</v>
      </c>
      <c r="AD20" s="3">
        <f t="shared" si="9"/>
        <v>1</v>
      </c>
      <c r="AE20" s="3">
        <f t="shared" si="10"/>
        <v>-1</v>
      </c>
      <c r="AF20" s="3">
        <f t="shared" si="11"/>
        <v>-2</v>
      </c>
      <c r="AG20" s="3">
        <f t="shared" si="12"/>
        <v>-1</v>
      </c>
      <c r="AH20" s="1" t="s">
        <v>9</v>
      </c>
      <c r="AI20" s="3">
        <f t="shared" si="18"/>
        <v>22</v>
      </c>
      <c r="AJ20" s="3">
        <f t="shared" si="19"/>
        <v>54</v>
      </c>
      <c r="AK20" s="3">
        <f t="shared" si="20"/>
        <v>0.4074074074</v>
      </c>
      <c r="AL20" s="3">
        <f t="shared" si="21"/>
        <v>26.74153065</v>
      </c>
      <c r="AM20" s="3">
        <f t="shared" si="22"/>
        <v>-47</v>
      </c>
      <c r="AN20" s="3">
        <f t="shared" si="23"/>
        <v>-20.25846935</v>
      </c>
      <c r="AO20" s="4">
        <f t="shared" si="24"/>
        <v>0.4193548387</v>
      </c>
      <c r="AP20" s="4">
        <f t="shared" si="25"/>
        <v>0.3913043478</v>
      </c>
      <c r="AQ20" s="5">
        <f t="shared" si="26"/>
        <v>-1</v>
      </c>
      <c r="AR20" s="5">
        <f t="shared" si="27"/>
        <v>-1</v>
      </c>
    </row>
    <row r="21">
      <c r="A21" s="1" t="s">
        <v>12</v>
      </c>
      <c r="B21" s="1" t="s">
        <v>301</v>
      </c>
      <c r="C21" s="1" t="s">
        <v>19</v>
      </c>
      <c r="D21" s="1" t="s">
        <v>100</v>
      </c>
      <c r="E21" s="1" t="s">
        <v>94</v>
      </c>
      <c r="F21" s="1" t="s">
        <v>562</v>
      </c>
      <c r="G21" s="1">
        <v>2.5</v>
      </c>
      <c r="H21" s="1" t="s">
        <v>60</v>
      </c>
      <c r="I21" s="1">
        <v>138.0</v>
      </c>
      <c r="J21" s="1">
        <v>-0.112119349998319</v>
      </c>
      <c r="K21" s="1" t="s">
        <v>61</v>
      </c>
      <c r="L21" s="1" t="s">
        <v>61</v>
      </c>
      <c r="M21" s="1" t="s">
        <v>62</v>
      </c>
      <c r="N21" s="1">
        <v>-182.0</v>
      </c>
      <c r="O21" s="1">
        <v>0.0465670100865248</v>
      </c>
      <c r="P21" s="1" t="s">
        <v>61</v>
      </c>
      <c r="Q21" s="1" t="s">
        <v>61</v>
      </c>
      <c r="R21" s="1">
        <f t="shared" si="1"/>
        <v>0.04656701009</v>
      </c>
      <c r="S21" s="1">
        <f t="shared" si="2"/>
        <v>-182</v>
      </c>
      <c r="T21" s="1">
        <f t="shared" si="3"/>
        <v>1.549450549</v>
      </c>
      <c r="U21" s="1">
        <f t="shared" si="4"/>
        <v>0</v>
      </c>
      <c r="V21" s="3">
        <f t="shared" si="5"/>
        <v>1</v>
      </c>
      <c r="W21" s="3">
        <f t="shared" si="6"/>
        <v>3</v>
      </c>
      <c r="X21" s="3" t="str">
        <f>IFERROR(__xludf.DUMMYFUNCTION("split(B21,"" "")"),"T.")</f>
        <v>T.</v>
      </c>
      <c r="Y21" s="3" t="str">
        <f>IFERROR(__xludf.DUMMYFUNCTION("""COMPUTED_VALUE"""),"Spears")</f>
        <v>Spears</v>
      </c>
      <c r="AA21" s="3">
        <v>2.0</v>
      </c>
      <c r="AB21" s="3">
        <f t="shared" si="7"/>
        <v>0</v>
      </c>
      <c r="AC21" s="3">
        <f t="shared" si="8"/>
        <v>1</v>
      </c>
      <c r="AD21" s="3">
        <f t="shared" si="9"/>
        <v>0.5494505495</v>
      </c>
      <c r="AE21" s="3">
        <f t="shared" si="10"/>
        <v>0.5494505495</v>
      </c>
      <c r="AF21" s="3">
        <f t="shared" si="11"/>
        <v>1.648351648</v>
      </c>
      <c r="AG21" s="3">
        <f t="shared" si="12"/>
        <v>0.2</v>
      </c>
      <c r="AH21" s="1" t="s">
        <v>10</v>
      </c>
      <c r="AI21" s="3">
        <f t="shared" si="18"/>
        <v>31</v>
      </c>
      <c r="AJ21" s="3">
        <f t="shared" si="19"/>
        <v>58</v>
      </c>
      <c r="AK21" s="3">
        <f t="shared" si="20"/>
        <v>0.5344827586</v>
      </c>
      <c r="AL21" s="3">
        <f t="shared" si="21"/>
        <v>49.79999638</v>
      </c>
      <c r="AM21" s="3">
        <f t="shared" si="22"/>
        <v>-29</v>
      </c>
      <c r="AN21" s="3">
        <f t="shared" si="23"/>
        <v>20.79999638</v>
      </c>
      <c r="AO21" s="4">
        <f t="shared" si="24"/>
        <v>0.4090909091</v>
      </c>
      <c r="AP21" s="4">
        <f t="shared" si="25"/>
        <v>0.6111111111</v>
      </c>
      <c r="AQ21" s="5">
        <f t="shared" si="26"/>
        <v>0</v>
      </c>
      <c r="AR21" s="5">
        <f t="shared" si="27"/>
        <v>1</v>
      </c>
    </row>
    <row r="22">
      <c r="A22" s="1" t="s">
        <v>11</v>
      </c>
      <c r="B22" s="1" t="s">
        <v>559</v>
      </c>
      <c r="C22" s="1" t="s">
        <v>18</v>
      </c>
      <c r="D22" s="1" t="s">
        <v>100</v>
      </c>
      <c r="E22" s="1" t="s">
        <v>94</v>
      </c>
      <c r="F22" s="1" t="s">
        <v>562</v>
      </c>
      <c r="G22" s="1">
        <v>25.5</v>
      </c>
      <c r="H22" s="1" t="s">
        <v>60</v>
      </c>
      <c r="I22" s="1">
        <v>-117.0</v>
      </c>
      <c r="J22" s="1">
        <v>-0.114343865620746</v>
      </c>
      <c r="K22" s="1" t="s">
        <v>61</v>
      </c>
      <c r="L22" s="1" t="s">
        <v>61</v>
      </c>
      <c r="M22" s="1" t="s">
        <v>62</v>
      </c>
      <c r="N22" s="1">
        <v>-115.0</v>
      </c>
      <c r="O22" s="1">
        <v>0.0403014263518943</v>
      </c>
      <c r="P22" s="1" t="s">
        <v>61</v>
      </c>
      <c r="Q22" s="1" t="s">
        <v>61</v>
      </c>
      <c r="R22" s="1">
        <f t="shared" si="1"/>
        <v>0.04030142635</v>
      </c>
      <c r="S22" s="1">
        <f t="shared" si="2"/>
        <v>-115</v>
      </c>
      <c r="T22" s="1">
        <f t="shared" si="3"/>
        <v>1.869565217</v>
      </c>
      <c r="U22" s="1">
        <f t="shared" si="4"/>
        <v>0</v>
      </c>
      <c r="V22" s="3">
        <f t="shared" si="5"/>
        <v>1</v>
      </c>
      <c r="W22" s="3">
        <f t="shared" si="6"/>
        <v>2</v>
      </c>
      <c r="X22" s="3" t="str">
        <f>IFERROR(__xludf.DUMMYFUNCTION("split(B22,"" "")"),"T.")</f>
        <v>T.</v>
      </c>
      <c r="Y22" s="3" t="str">
        <f>IFERROR(__xludf.DUMMYFUNCTION("""COMPUTED_VALUE"""),"Boyd")</f>
        <v>Boyd</v>
      </c>
      <c r="AA22" s="3">
        <v>31.0</v>
      </c>
      <c r="AB22" s="3">
        <f t="shared" si="7"/>
        <v>1</v>
      </c>
      <c r="AC22" s="3">
        <f t="shared" si="8"/>
        <v>0</v>
      </c>
      <c r="AD22" s="3">
        <f t="shared" si="9"/>
        <v>0.8695652174</v>
      </c>
      <c r="AE22" s="3">
        <f t="shared" si="10"/>
        <v>-1</v>
      </c>
      <c r="AF22" s="3">
        <f t="shared" si="11"/>
        <v>-2</v>
      </c>
      <c r="AG22" s="3">
        <f t="shared" si="12"/>
        <v>-0.2156862745</v>
      </c>
      <c r="AO22" s="4"/>
      <c r="AP22" s="4"/>
      <c r="AQ22" s="5"/>
      <c r="AR22" s="5"/>
    </row>
    <row r="23">
      <c r="A23" s="1" t="s">
        <v>10</v>
      </c>
      <c r="B23" s="1" t="s">
        <v>275</v>
      </c>
      <c r="C23" s="1" t="s">
        <v>21</v>
      </c>
      <c r="D23" s="1" t="s">
        <v>100</v>
      </c>
      <c r="E23" s="1" t="s">
        <v>94</v>
      </c>
      <c r="F23" s="1" t="s">
        <v>562</v>
      </c>
      <c r="G23" s="1">
        <v>15.5</v>
      </c>
      <c r="H23" s="1" t="s">
        <v>60</v>
      </c>
      <c r="I23" s="1">
        <v>-107.0</v>
      </c>
      <c r="J23" s="1">
        <v>-0.0970547933516182</v>
      </c>
      <c r="K23" s="1" t="s">
        <v>61</v>
      </c>
      <c r="L23" s="1" t="s">
        <v>61</v>
      </c>
      <c r="M23" s="1" t="s">
        <v>62</v>
      </c>
      <c r="N23" s="1">
        <v>-122.0</v>
      </c>
      <c r="O23" s="1">
        <v>0.0305896824910708</v>
      </c>
      <c r="P23" s="1" t="s">
        <v>61</v>
      </c>
      <c r="Q23" s="1" t="s">
        <v>61</v>
      </c>
      <c r="R23" s="1">
        <f t="shared" si="1"/>
        <v>0.03058968249</v>
      </c>
      <c r="S23" s="1">
        <f t="shared" si="2"/>
        <v>-122</v>
      </c>
      <c r="T23" s="1">
        <f t="shared" si="3"/>
        <v>1.819672131</v>
      </c>
      <c r="U23" s="1">
        <f t="shared" si="4"/>
        <v>0</v>
      </c>
      <c r="V23" s="3">
        <f t="shared" si="5"/>
        <v>1</v>
      </c>
      <c r="W23" s="3">
        <f t="shared" si="6"/>
        <v>3</v>
      </c>
      <c r="X23" s="3" t="str">
        <f>IFERROR(__xludf.DUMMYFUNCTION("split(B23,"" "")"),"W.")</f>
        <v>W.</v>
      </c>
      <c r="Y23" s="3" t="str">
        <f>IFERROR(__xludf.DUMMYFUNCTION("""COMPUTED_VALUE"""),"Levis")</f>
        <v>Levis</v>
      </c>
      <c r="AA23" s="3">
        <v>5.0</v>
      </c>
      <c r="AB23" s="3">
        <f t="shared" si="7"/>
        <v>0</v>
      </c>
      <c r="AC23" s="3">
        <f t="shared" si="8"/>
        <v>1</v>
      </c>
      <c r="AD23" s="3">
        <f t="shared" si="9"/>
        <v>0.8196721311</v>
      </c>
      <c r="AE23" s="3">
        <f t="shared" si="10"/>
        <v>0.8196721311</v>
      </c>
      <c r="AF23" s="3">
        <f t="shared" si="11"/>
        <v>2.459016393</v>
      </c>
      <c r="AG23" s="3">
        <f t="shared" si="12"/>
        <v>0.6774193548</v>
      </c>
      <c r="AH23" s="1" t="s">
        <v>11</v>
      </c>
      <c r="AI23" s="3">
        <f t="shared" ref="AI23:AI24" si="28">COUNTIFs(A:A, "=" &amp; AH23, AC:AC, "=1")</f>
        <v>33</v>
      </c>
      <c r="AJ23" s="3">
        <f t="shared" ref="AJ23:AJ24" si="29">countif(A:A, "=" &amp; AH23)</f>
        <v>81</v>
      </c>
      <c r="AK23" s="3">
        <f t="shared" ref="AK23:AK24" si="30">AI23/AJ23</f>
        <v>0.4074074074</v>
      </c>
      <c r="AL23" s="3">
        <f t="shared" ref="AL23:AL24" si="31">SUMIFS(AE:AE, A:A,"=" &amp; AH23,AC:AC, "=1")</f>
        <v>38.67159207</v>
      </c>
      <c r="AM23" s="3">
        <f t="shared" ref="AM23:AM24" si="32">SUMIFS(AE:AE, A:A,"=" &amp; AH23,AC:AC, "=0")</f>
        <v>-64</v>
      </c>
      <c r="AN23" s="3">
        <f t="shared" ref="AN23:AN24" si="33">AL23+AM23</f>
        <v>-25.32840793</v>
      </c>
      <c r="AO23" s="4">
        <f t="shared" ref="AO23:AO24" si="34">IFERROR( countifs(A:A, "="&amp;AH23, U:U, "=1", AC:AC, "=1")/countifs(A:A, "="&amp;AH23, U:U, "=1"), 0)</f>
        <v>0.5263157895</v>
      </c>
      <c r="AP23" s="4">
        <f t="shared" ref="AP23:AP24" si="35">IFERROR( countifs(A:A, "="&amp;AH23, U:U, "=0", AC:AC, "=1")/countifs(A:A, "="&amp;AH23, U:U, "=0"), 0)</f>
        <v>0.3709677419</v>
      </c>
      <c r="AQ23" s="5">
        <f t="shared" ref="AQ23:AQ24" si="36">iferror(IFS(AND(AP23 &gt; 0.5, AO23 &gt; 0.5), 1, AND(AP23 &lt;= 0.5, AO23 &lt;= 0.5), -1), 0)
</f>
        <v>0</v>
      </c>
      <c r="AR23" s="5">
        <f t="shared" ref="AR23:AR24" si="37">if(AN23&lt;0, -1, 1)</f>
        <v>-1</v>
      </c>
    </row>
    <row r="24">
      <c r="A24" s="1" t="s">
        <v>12</v>
      </c>
      <c r="B24" s="1" t="s">
        <v>563</v>
      </c>
      <c r="C24" s="1" t="s">
        <v>20</v>
      </c>
      <c r="D24" s="1" t="s">
        <v>100</v>
      </c>
      <c r="E24" s="1" t="s">
        <v>94</v>
      </c>
      <c r="F24" s="1" t="s">
        <v>562</v>
      </c>
      <c r="G24" s="1">
        <v>1.5</v>
      </c>
      <c r="H24" s="1" t="s">
        <v>60</v>
      </c>
      <c r="I24" s="1">
        <v>142.0</v>
      </c>
      <c r="J24" s="1">
        <v>-0.0965488626899173</v>
      </c>
      <c r="K24" s="1" t="s">
        <v>61</v>
      </c>
      <c r="L24" s="1" t="s">
        <v>61</v>
      </c>
      <c r="M24" s="1" t="s">
        <v>62</v>
      </c>
      <c r="N24" s="1">
        <v>-188.0</v>
      </c>
      <c r="O24" s="1">
        <v>0.0305395896161111</v>
      </c>
      <c r="P24" s="1" t="s">
        <v>61</v>
      </c>
      <c r="Q24" s="1" t="s">
        <v>61</v>
      </c>
      <c r="R24" s="1">
        <f t="shared" si="1"/>
        <v>0.03053958962</v>
      </c>
      <c r="S24" s="1">
        <f t="shared" si="2"/>
        <v>-188</v>
      </c>
      <c r="T24" s="1">
        <f t="shared" si="3"/>
        <v>1.531914894</v>
      </c>
      <c r="U24" s="1">
        <f t="shared" si="4"/>
        <v>0</v>
      </c>
      <c r="V24" s="3">
        <f t="shared" si="5"/>
        <v>1</v>
      </c>
      <c r="W24" s="3">
        <f t="shared" si="6"/>
        <v>3</v>
      </c>
      <c r="X24" s="3" t="str">
        <f>IFERROR(__xludf.DUMMYFUNCTION("split(B24,"" "")"),"J.")</f>
        <v>J.</v>
      </c>
      <c r="Y24" s="3" t="str">
        <f>IFERROR(__xludf.DUMMYFUNCTION("""COMPUTED_VALUE"""),"Whyle")</f>
        <v>Whyle</v>
      </c>
      <c r="AA24" s="3">
        <v>1.0</v>
      </c>
      <c r="AB24" s="3">
        <f t="shared" si="7"/>
        <v>0</v>
      </c>
      <c r="AC24" s="3">
        <f t="shared" si="8"/>
        <v>1</v>
      </c>
      <c r="AD24" s="3">
        <f t="shared" si="9"/>
        <v>0.5319148936</v>
      </c>
      <c r="AE24" s="3">
        <f t="shared" si="10"/>
        <v>0.5319148936</v>
      </c>
      <c r="AF24" s="3">
        <f t="shared" si="11"/>
        <v>1.595744681</v>
      </c>
      <c r="AG24" s="3">
        <f t="shared" si="12"/>
        <v>0.3333333333</v>
      </c>
      <c r="AH24" s="1" t="s">
        <v>12</v>
      </c>
      <c r="AI24" s="3">
        <f t="shared" si="28"/>
        <v>53</v>
      </c>
      <c r="AJ24" s="3">
        <f t="shared" si="29"/>
        <v>97</v>
      </c>
      <c r="AK24" s="3">
        <f t="shared" si="30"/>
        <v>0.5463917526</v>
      </c>
      <c r="AL24" s="3">
        <f t="shared" si="31"/>
        <v>104.7748548</v>
      </c>
      <c r="AM24" s="3">
        <f t="shared" si="32"/>
        <v>-92</v>
      </c>
      <c r="AN24" s="3">
        <f t="shared" si="33"/>
        <v>12.77485481</v>
      </c>
      <c r="AO24" s="4">
        <f t="shared" si="34"/>
        <v>0.4705882353</v>
      </c>
      <c r="AP24" s="4">
        <f t="shared" si="35"/>
        <v>0.5625</v>
      </c>
      <c r="AQ24" s="5">
        <f t="shared" si="36"/>
        <v>0</v>
      </c>
      <c r="AR24" s="5">
        <f t="shared" si="37"/>
        <v>1</v>
      </c>
    </row>
    <row r="25">
      <c r="A25" s="1" t="s">
        <v>12</v>
      </c>
      <c r="B25" s="1" t="s">
        <v>406</v>
      </c>
      <c r="C25" s="1" t="s">
        <v>18</v>
      </c>
      <c r="D25" s="1" t="s">
        <v>100</v>
      </c>
      <c r="E25" s="1" t="s">
        <v>94</v>
      </c>
      <c r="F25" s="1" t="s">
        <v>562</v>
      </c>
      <c r="G25" s="1">
        <v>3.5</v>
      </c>
      <c r="H25" s="1" t="s">
        <v>60</v>
      </c>
      <c r="I25" s="1">
        <v>111.0</v>
      </c>
      <c r="J25" s="1">
        <v>-0.0846388625592416</v>
      </c>
      <c r="K25" s="1" t="s">
        <v>61</v>
      </c>
      <c r="L25" s="1" t="s">
        <v>61</v>
      </c>
      <c r="M25" s="1" t="s">
        <v>62</v>
      </c>
      <c r="N25" s="1">
        <v>-145.0</v>
      </c>
      <c r="O25" s="1">
        <v>0.0188816326530611</v>
      </c>
      <c r="P25" s="1" t="s">
        <v>61</v>
      </c>
      <c r="Q25" s="1" t="s">
        <v>61</v>
      </c>
      <c r="R25" s="1">
        <f t="shared" si="1"/>
        <v>0.01888163265</v>
      </c>
      <c r="S25" s="1">
        <f t="shared" si="2"/>
        <v>-145</v>
      </c>
      <c r="T25" s="1">
        <f t="shared" si="3"/>
        <v>1.689655172</v>
      </c>
      <c r="U25" s="1">
        <f t="shared" si="4"/>
        <v>0</v>
      </c>
      <c r="V25" s="3">
        <f t="shared" si="5"/>
        <v>1</v>
      </c>
      <c r="W25" s="3">
        <f t="shared" si="6"/>
        <v>3</v>
      </c>
      <c r="X25" s="3" t="str">
        <f>IFERROR(__xludf.DUMMYFUNCTION("split(B25,"" "")"),"D.")</f>
        <v>D.</v>
      </c>
      <c r="Y25" s="3" t="str">
        <f>IFERROR(__xludf.DUMMYFUNCTION("""COMPUTED_VALUE"""),"Hopkins")</f>
        <v>Hopkins</v>
      </c>
      <c r="AA25" s="3">
        <v>2.0</v>
      </c>
      <c r="AB25" s="3">
        <f t="shared" si="7"/>
        <v>0</v>
      </c>
      <c r="AC25" s="3">
        <f t="shared" si="8"/>
        <v>1</v>
      </c>
      <c r="AD25" s="3">
        <f t="shared" si="9"/>
        <v>0.6896551724</v>
      </c>
      <c r="AE25" s="3">
        <f t="shared" si="10"/>
        <v>0.6896551724</v>
      </c>
      <c r="AF25" s="3">
        <f t="shared" si="11"/>
        <v>2.068965517</v>
      </c>
      <c r="AG25" s="3">
        <f t="shared" si="12"/>
        <v>0.4285714286</v>
      </c>
      <c r="AO25" s="4"/>
      <c r="AP25" s="4"/>
      <c r="AQ25" s="5"/>
      <c r="AR25" s="5"/>
    </row>
    <row r="26">
      <c r="A26" s="1" t="s">
        <v>9</v>
      </c>
      <c r="B26" s="1" t="s">
        <v>406</v>
      </c>
      <c r="C26" s="1" t="s">
        <v>18</v>
      </c>
      <c r="D26" s="1" t="s">
        <v>100</v>
      </c>
      <c r="E26" s="1" t="s">
        <v>94</v>
      </c>
      <c r="F26" s="1" t="s">
        <v>562</v>
      </c>
      <c r="G26" s="1">
        <v>36.5</v>
      </c>
      <c r="H26" s="1" t="s">
        <v>60</v>
      </c>
      <c r="I26" s="1">
        <v>-114.0</v>
      </c>
      <c r="J26" s="1">
        <v>0.0176168912552333</v>
      </c>
      <c r="K26" s="1" t="s">
        <v>61</v>
      </c>
      <c r="L26" s="1" t="s">
        <v>61</v>
      </c>
      <c r="M26" s="1" t="s">
        <v>62</v>
      </c>
      <c r="N26" s="1">
        <v>-118.0</v>
      </c>
      <c r="O26" s="1">
        <v>-0.0916158778888599</v>
      </c>
      <c r="P26" s="1" t="s">
        <v>61</v>
      </c>
      <c r="Q26" s="1" t="s">
        <v>61</v>
      </c>
      <c r="R26" s="1">
        <f t="shared" si="1"/>
        <v>0.01761689126</v>
      </c>
      <c r="S26" s="1">
        <f t="shared" si="2"/>
        <v>-114</v>
      </c>
      <c r="T26" s="1">
        <f t="shared" si="3"/>
        <v>1.877192982</v>
      </c>
      <c r="U26" s="1">
        <f t="shared" si="4"/>
        <v>1</v>
      </c>
      <c r="V26" s="3">
        <f t="shared" si="5"/>
        <v>1</v>
      </c>
      <c r="W26" s="3">
        <f t="shared" si="6"/>
        <v>2</v>
      </c>
      <c r="X26" s="3" t="str">
        <f>IFERROR(__xludf.DUMMYFUNCTION("split(B26,"" "")"),"D.")</f>
        <v>D.</v>
      </c>
      <c r="Y26" s="3" t="str">
        <f>IFERROR(__xludf.DUMMYFUNCTION("""COMPUTED_VALUE"""),"Hopkins")</f>
        <v>Hopkins</v>
      </c>
      <c r="AA26" s="3">
        <v>31.0</v>
      </c>
      <c r="AB26" s="3">
        <f t="shared" si="7"/>
        <v>0</v>
      </c>
      <c r="AC26" s="3">
        <f t="shared" si="8"/>
        <v>0</v>
      </c>
      <c r="AD26" s="3">
        <f t="shared" si="9"/>
        <v>0.8771929825</v>
      </c>
      <c r="AE26" s="3">
        <f t="shared" si="10"/>
        <v>-1</v>
      </c>
      <c r="AF26" s="3">
        <f t="shared" si="11"/>
        <v>-2</v>
      </c>
      <c r="AG26" s="3">
        <f t="shared" si="12"/>
        <v>-0.1506849315</v>
      </c>
      <c r="AH26" s="1" t="s">
        <v>13</v>
      </c>
      <c r="AI26" s="3">
        <f t="shared" ref="AI26:AI30" si="38">COUNTIFs(A:A, "=" &amp; AH26, AC:AC, "=1")</f>
        <v>4</v>
      </c>
      <c r="AJ26" s="3">
        <f t="shared" ref="AJ26:AJ30" si="39">countif(A:A, "=" &amp; AH26)</f>
        <v>9</v>
      </c>
      <c r="AK26" s="3">
        <f t="shared" ref="AK26:AK30" si="40">AI26/AJ26</f>
        <v>0.4444444444</v>
      </c>
      <c r="AL26" s="3">
        <f t="shared" ref="AL26:AL30" si="41">SUMIFS(AE:AE, A:A,"=" &amp; AH26,AC:AC, "=1")</f>
        <v>3.532888479</v>
      </c>
      <c r="AM26" s="3">
        <f t="shared" ref="AM26:AM30" si="42">SUMIFS(AE:AE, A:A,"=" &amp; AH26,AC:AC, "=0")</f>
        <v>-5</v>
      </c>
      <c r="AN26" s="3">
        <f t="shared" ref="AN26:AN30" si="43">AL26+AM26</f>
        <v>-1.467111521</v>
      </c>
      <c r="AO26" s="4">
        <f t="shared" ref="AO26:AO30" si="44">IFERROR( countifs(A:A, "="&amp;AH26, U:U, "=1", AC:AC, "=1")/countifs(A:A, "="&amp;AH26, U:U, "=1"), 0)</f>
        <v>0.5</v>
      </c>
      <c r="AP26" s="4">
        <f t="shared" ref="AP26:AP30" si="45">IFERROR( countifs(A:A, "="&amp;AH26, U:U, "=0", AC:AC, "=1")/countifs(A:A, "="&amp;AH26, U:U, "=0"), 0)</f>
        <v>0</v>
      </c>
      <c r="AQ26" s="5">
        <f t="shared" ref="AQ26:AQ30" si="46">iferror(IFS(AND(AP26 &gt; 0.5, AO26 &gt; 0.5), 1, AND(AP26 &lt;= 0.5, AO26 &lt;= 0.5), -1), 0)
</f>
        <v>-1</v>
      </c>
      <c r="AR26" s="5">
        <f t="shared" ref="AR26:AR30" si="47">if(AN26&lt;0, -1, 1)</f>
        <v>-1</v>
      </c>
    </row>
    <row r="27">
      <c r="A27" s="1" t="s">
        <v>9</v>
      </c>
      <c r="B27" s="1" t="s">
        <v>301</v>
      </c>
      <c r="C27" s="1" t="s">
        <v>19</v>
      </c>
      <c r="D27" s="1" t="s">
        <v>100</v>
      </c>
      <c r="E27" s="1" t="s">
        <v>94</v>
      </c>
      <c r="F27" s="1" t="s">
        <v>562</v>
      </c>
      <c r="G27" s="1">
        <v>40.5</v>
      </c>
      <c r="H27" s="1" t="s">
        <v>60</v>
      </c>
      <c r="I27" s="1">
        <v>-115.0</v>
      </c>
      <c r="J27" s="1">
        <v>0.0167698758635523</v>
      </c>
      <c r="K27" s="1" t="s">
        <v>61</v>
      </c>
      <c r="L27" s="1" t="s">
        <v>61</v>
      </c>
      <c r="M27" s="1" t="s">
        <v>62</v>
      </c>
      <c r="N27" s="1">
        <v>-117.0</v>
      </c>
      <c r="O27" s="1">
        <v>-0.0907689505690166</v>
      </c>
      <c r="P27" s="1" t="s">
        <v>61</v>
      </c>
      <c r="Q27" s="1" t="s">
        <v>61</v>
      </c>
      <c r="R27" s="1">
        <f t="shared" si="1"/>
        <v>0.01676987586</v>
      </c>
      <c r="S27" s="1">
        <f t="shared" si="2"/>
        <v>-115</v>
      </c>
      <c r="T27" s="1">
        <f t="shared" si="3"/>
        <v>1.869565217</v>
      </c>
      <c r="U27" s="1">
        <f t="shared" si="4"/>
        <v>1</v>
      </c>
      <c r="V27" s="3">
        <f t="shared" si="5"/>
        <v>1</v>
      </c>
      <c r="W27" s="3">
        <f t="shared" si="6"/>
        <v>2</v>
      </c>
      <c r="X27" s="3" t="str">
        <f>IFERROR(__xludf.DUMMYFUNCTION("split(B27,"" "")"),"T.")</f>
        <v>T.</v>
      </c>
      <c r="Y27" s="3" t="str">
        <f>IFERROR(__xludf.DUMMYFUNCTION("""COMPUTED_VALUE"""),"Spears")</f>
        <v>Spears</v>
      </c>
      <c r="AA27" s="3">
        <v>39.0</v>
      </c>
      <c r="AB27" s="3">
        <f t="shared" si="7"/>
        <v>0</v>
      </c>
      <c r="AC27" s="3">
        <f t="shared" si="8"/>
        <v>0</v>
      </c>
      <c r="AD27" s="3">
        <f t="shared" si="9"/>
        <v>0.8695652174</v>
      </c>
      <c r="AE27" s="3">
        <f t="shared" si="10"/>
        <v>-1</v>
      </c>
      <c r="AF27" s="3">
        <f t="shared" si="11"/>
        <v>-2</v>
      </c>
      <c r="AG27" s="3">
        <f t="shared" si="12"/>
        <v>-0.03703703704</v>
      </c>
      <c r="AH27" s="1" t="s">
        <v>14</v>
      </c>
      <c r="AI27" s="3">
        <f t="shared" si="38"/>
        <v>8</v>
      </c>
      <c r="AJ27" s="3">
        <f t="shared" si="39"/>
        <v>18</v>
      </c>
      <c r="AK27" s="3">
        <f t="shared" si="40"/>
        <v>0.4444444444</v>
      </c>
      <c r="AL27" s="3">
        <f t="shared" si="41"/>
        <v>27.41</v>
      </c>
      <c r="AM27" s="3">
        <f t="shared" si="42"/>
        <v>-21</v>
      </c>
      <c r="AN27" s="3">
        <f t="shared" si="43"/>
        <v>6.41</v>
      </c>
      <c r="AO27" s="4">
        <f t="shared" si="44"/>
        <v>0.5</v>
      </c>
      <c r="AP27" s="4">
        <f t="shared" si="45"/>
        <v>0.4166666667</v>
      </c>
      <c r="AQ27" s="5">
        <f t="shared" si="46"/>
        <v>-1</v>
      </c>
      <c r="AR27" s="5">
        <f t="shared" si="47"/>
        <v>1</v>
      </c>
    </row>
    <row r="28">
      <c r="A28" s="1" t="s">
        <v>9</v>
      </c>
      <c r="B28" s="1" t="s">
        <v>559</v>
      </c>
      <c r="C28" s="1" t="s">
        <v>18</v>
      </c>
      <c r="D28" s="1" t="s">
        <v>100</v>
      </c>
      <c r="E28" s="1" t="s">
        <v>94</v>
      </c>
      <c r="F28" s="1" t="s">
        <v>562</v>
      </c>
      <c r="G28" s="1">
        <v>26.5</v>
      </c>
      <c r="H28" s="1" t="s">
        <v>60</v>
      </c>
      <c r="I28" s="1">
        <v>-115.0</v>
      </c>
      <c r="J28" s="1">
        <v>0.0141098842107195</v>
      </c>
      <c r="K28" s="1" t="s">
        <v>61</v>
      </c>
      <c r="L28" s="1" t="s">
        <v>61</v>
      </c>
      <c r="M28" s="1" t="s">
        <v>62</v>
      </c>
      <c r="N28" s="1">
        <v>-118.0</v>
      </c>
      <c r="O28" s="1">
        <v>-0.0902605854323833</v>
      </c>
      <c r="P28" s="1" t="s">
        <v>61</v>
      </c>
      <c r="Q28" s="1" t="s">
        <v>61</v>
      </c>
      <c r="R28" s="1">
        <f t="shared" si="1"/>
        <v>0.01410988421</v>
      </c>
      <c r="S28" s="1">
        <f t="shared" si="2"/>
        <v>-115</v>
      </c>
      <c r="T28" s="1">
        <f t="shared" si="3"/>
        <v>1.869565217</v>
      </c>
      <c r="U28" s="1">
        <f t="shared" si="4"/>
        <v>1</v>
      </c>
      <c r="V28" s="3">
        <f t="shared" si="5"/>
        <v>1</v>
      </c>
      <c r="W28" s="3">
        <f t="shared" si="6"/>
        <v>2</v>
      </c>
      <c r="X28" s="3" t="str">
        <f>IFERROR(__xludf.DUMMYFUNCTION("split(B28,"" "")"),"T.")</f>
        <v>T.</v>
      </c>
      <c r="Y28" s="3" t="str">
        <f>IFERROR(__xludf.DUMMYFUNCTION("""COMPUTED_VALUE"""),"Boyd")</f>
        <v>Boyd</v>
      </c>
      <c r="AA28" s="3">
        <v>31.0</v>
      </c>
      <c r="AB28" s="3">
        <f t="shared" si="7"/>
        <v>1</v>
      </c>
      <c r="AC28" s="3">
        <f t="shared" si="8"/>
        <v>1</v>
      </c>
      <c r="AD28" s="3">
        <f t="shared" si="9"/>
        <v>0.8695652174</v>
      </c>
      <c r="AE28" s="3">
        <f t="shared" si="10"/>
        <v>0.8695652174</v>
      </c>
      <c r="AF28" s="3">
        <f t="shared" si="11"/>
        <v>1.739130435</v>
      </c>
      <c r="AG28" s="3">
        <f t="shared" si="12"/>
        <v>0.1698113208</v>
      </c>
      <c r="AH28" s="1" t="s">
        <v>15</v>
      </c>
      <c r="AI28" s="3">
        <f t="shared" si="38"/>
        <v>7</v>
      </c>
      <c r="AJ28" s="3">
        <f t="shared" si="39"/>
        <v>21</v>
      </c>
      <c r="AK28" s="3">
        <f t="shared" si="40"/>
        <v>0.3333333333</v>
      </c>
      <c r="AL28" s="3">
        <f t="shared" si="41"/>
        <v>8.96637887</v>
      </c>
      <c r="AM28" s="3">
        <f t="shared" si="42"/>
        <v>-21</v>
      </c>
      <c r="AN28" s="3">
        <f t="shared" si="43"/>
        <v>-12.03362113</v>
      </c>
      <c r="AO28" s="4">
        <f t="shared" si="44"/>
        <v>0.2</v>
      </c>
      <c r="AP28" s="4">
        <f t="shared" si="45"/>
        <v>0.6666666667</v>
      </c>
      <c r="AQ28" s="5">
        <f t="shared" si="46"/>
        <v>0</v>
      </c>
      <c r="AR28" s="5">
        <f t="shared" si="47"/>
        <v>-1</v>
      </c>
    </row>
    <row r="29">
      <c r="A29" s="1" t="s">
        <v>9</v>
      </c>
      <c r="B29" s="1" t="s">
        <v>340</v>
      </c>
      <c r="C29" s="1" t="s">
        <v>19</v>
      </c>
      <c r="D29" s="1" t="s">
        <v>100</v>
      </c>
      <c r="E29" s="1" t="s">
        <v>94</v>
      </c>
      <c r="F29" s="1" t="s">
        <v>562</v>
      </c>
      <c r="G29" s="1">
        <v>68.5</v>
      </c>
      <c r="H29" s="1" t="s">
        <v>60</v>
      </c>
      <c r="I29" s="1">
        <v>-119.0</v>
      </c>
      <c r="J29" s="1">
        <v>-0.0900782345231262</v>
      </c>
      <c r="K29" s="1" t="s">
        <v>61</v>
      </c>
      <c r="L29" s="1" t="s">
        <v>61</v>
      </c>
      <c r="M29" s="1" t="s">
        <v>62</v>
      </c>
      <c r="N29" s="1">
        <v>-114.0</v>
      </c>
      <c r="O29" s="1">
        <v>0.0139388412665593</v>
      </c>
      <c r="P29" s="1" t="s">
        <v>61</v>
      </c>
      <c r="Q29" s="1" t="s">
        <v>61</v>
      </c>
      <c r="R29" s="1">
        <f t="shared" si="1"/>
        <v>0.01393884127</v>
      </c>
      <c r="S29" s="1">
        <f t="shared" si="2"/>
        <v>-114</v>
      </c>
      <c r="T29" s="1">
        <f t="shared" si="3"/>
        <v>1.877192982</v>
      </c>
      <c r="U29" s="1">
        <f t="shared" si="4"/>
        <v>0</v>
      </c>
      <c r="V29" s="3">
        <f t="shared" si="5"/>
        <v>1</v>
      </c>
      <c r="W29" s="3">
        <f t="shared" si="6"/>
        <v>2</v>
      </c>
      <c r="X29" s="3" t="str">
        <f>IFERROR(__xludf.DUMMYFUNCTION("split(B29,"" "")"),"T.")</f>
        <v>T.</v>
      </c>
      <c r="Y29" s="3" t="str">
        <f>IFERROR(__xludf.DUMMYFUNCTION("""COMPUTED_VALUE"""),"Pollard")</f>
        <v>Pollard</v>
      </c>
      <c r="AA29" s="3">
        <v>108.0</v>
      </c>
      <c r="AB29" s="3">
        <f t="shared" si="7"/>
        <v>1</v>
      </c>
      <c r="AC29" s="3">
        <f t="shared" si="8"/>
        <v>0</v>
      </c>
      <c r="AD29" s="3">
        <f t="shared" si="9"/>
        <v>0.8771929825</v>
      </c>
      <c r="AE29" s="3">
        <f t="shared" si="10"/>
        <v>-1</v>
      </c>
      <c r="AF29" s="3">
        <f t="shared" si="11"/>
        <v>-2</v>
      </c>
      <c r="AG29" s="3">
        <f t="shared" si="12"/>
        <v>-0.5766423358</v>
      </c>
      <c r="AH29" s="1" t="s">
        <v>16</v>
      </c>
      <c r="AI29" s="3">
        <f t="shared" si="38"/>
        <v>7</v>
      </c>
      <c r="AJ29" s="3">
        <f t="shared" si="39"/>
        <v>15</v>
      </c>
      <c r="AK29" s="3">
        <f t="shared" si="40"/>
        <v>0.4666666667</v>
      </c>
      <c r="AL29" s="3">
        <f t="shared" si="41"/>
        <v>11.50000102</v>
      </c>
      <c r="AM29" s="3">
        <f t="shared" si="42"/>
        <v>-10</v>
      </c>
      <c r="AN29" s="3">
        <f t="shared" si="43"/>
        <v>1.500001022</v>
      </c>
      <c r="AO29" s="4">
        <f t="shared" si="44"/>
        <v>0.1666666667</v>
      </c>
      <c r="AP29" s="4">
        <f t="shared" si="45"/>
        <v>0.6666666667</v>
      </c>
      <c r="AQ29" s="5">
        <f t="shared" si="46"/>
        <v>0</v>
      </c>
      <c r="AR29" s="5">
        <f t="shared" si="47"/>
        <v>1</v>
      </c>
    </row>
    <row r="30">
      <c r="A30" s="1" t="s">
        <v>12</v>
      </c>
      <c r="B30" s="1" t="s">
        <v>437</v>
      </c>
      <c r="C30" s="1" t="s">
        <v>18</v>
      </c>
      <c r="D30" s="1" t="s">
        <v>100</v>
      </c>
      <c r="E30" s="1" t="s">
        <v>94</v>
      </c>
      <c r="F30" s="1" t="s">
        <v>562</v>
      </c>
      <c r="G30" s="1">
        <v>3.5</v>
      </c>
      <c r="H30" s="1" t="s">
        <v>60</v>
      </c>
      <c r="I30" s="1">
        <v>106.0</v>
      </c>
      <c r="J30" s="1">
        <v>-0.0782398058252427</v>
      </c>
      <c r="K30" s="1" t="s">
        <v>61</v>
      </c>
      <c r="L30" s="1" t="s">
        <v>61</v>
      </c>
      <c r="M30" s="1" t="s">
        <v>62</v>
      </c>
      <c r="N30" s="1">
        <v>-138.0</v>
      </c>
      <c r="O30" s="1">
        <v>0.0129840336134454</v>
      </c>
      <c r="P30" s="1" t="s">
        <v>61</v>
      </c>
      <c r="Q30" s="1" t="s">
        <v>61</v>
      </c>
      <c r="R30" s="1">
        <f t="shared" si="1"/>
        <v>0.01298403361</v>
      </c>
      <c r="S30" s="1">
        <f t="shared" si="2"/>
        <v>-138</v>
      </c>
      <c r="T30" s="1">
        <f t="shared" si="3"/>
        <v>1.724637681</v>
      </c>
      <c r="U30" s="1">
        <f t="shared" si="4"/>
        <v>0</v>
      </c>
      <c r="V30" s="3">
        <f t="shared" si="5"/>
        <v>1</v>
      </c>
      <c r="W30" s="3">
        <f t="shared" si="6"/>
        <v>3</v>
      </c>
      <c r="X30" s="3" t="str">
        <f>IFERROR(__xludf.DUMMYFUNCTION("split(B30,"" "")"),"C.")</f>
        <v>C.</v>
      </c>
      <c r="Y30" s="3" t="str">
        <f>IFERROR(__xludf.DUMMYFUNCTION("""COMPUTED_VALUE"""),"Ridley")</f>
        <v>Ridley</v>
      </c>
      <c r="AA30" s="3">
        <v>1.0</v>
      </c>
      <c r="AB30" s="3">
        <f t="shared" si="7"/>
        <v>0</v>
      </c>
      <c r="AC30" s="3">
        <f t="shared" si="8"/>
        <v>1</v>
      </c>
      <c r="AD30" s="3">
        <f t="shared" si="9"/>
        <v>0.7246376812</v>
      </c>
      <c r="AE30" s="3">
        <f t="shared" si="10"/>
        <v>0.7246376812</v>
      </c>
      <c r="AF30" s="3">
        <f t="shared" si="11"/>
        <v>2.173913043</v>
      </c>
      <c r="AG30" s="3">
        <f t="shared" si="12"/>
        <v>0.7142857143</v>
      </c>
      <c r="AH30" s="1" t="s">
        <v>17</v>
      </c>
      <c r="AI30" s="3">
        <f t="shared" si="38"/>
        <v>9</v>
      </c>
      <c r="AJ30" s="3">
        <f t="shared" si="39"/>
        <v>22</v>
      </c>
      <c r="AK30" s="3">
        <f t="shared" si="40"/>
        <v>0.4090909091</v>
      </c>
      <c r="AL30" s="3">
        <f t="shared" si="41"/>
        <v>13.78401292</v>
      </c>
      <c r="AM30" s="3">
        <f t="shared" si="42"/>
        <v>-22</v>
      </c>
      <c r="AN30" s="3">
        <f t="shared" si="43"/>
        <v>-8.215987076</v>
      </c>
      <c r="AO30" s="4">
        <f t="shared" si="44"/>
        <v>0</v>
      </c>
      <c r="AP30" s="4">
        <f t="shared" si="45"/>
        <v>0.4090909091</v>
      </c>
      <c r="AQ30" s="5">
        <f t="shared" si="46"/>
        <v>-1</v>
      </c>
      <c r="AR30" s="5">
        <f t="shared" si="47"/>
        <v>-1</v>
      </c>
    </row>
    <row r="31">
      <c r="A31" s="1" t="s">
        <v>15</v>
      </c>
      <c r="B31" s="1" t="s">
        <v>275</v>
      </c>
      <c r="C31" s="1" t="s">
        <v>21</v>
      </c>
      <c r="D31" s="1" t="s">
        <v>100</v>
      </c>
      <c r="E31" s="1" t="s">
        <v>94</v>
      </c>
      <c r="F31" s="1" t="s">
        <v>562</v>
      </c>
      <c r="G31" s="1">
        <v>19.5</v>
      </c>
      <c r="H31" s="1" t="s">
        <v>60</v>
      </c>
      <c r="I31" s="1">
        <v>103.0</v>
      </c>
      <c r="J31" s="1">
        <v>-0.0671588240620689</v>
      </c>
      <c r="K31" s="1" t="s">
        <v>61</v>
      </c>
      <c r="L31" s="1" t="s">
        <v>61</v>
      </c>
      <c r="M31" s="1" t="s">
        <v>62</v>
      </c>
      <c r="N31" s="1">
        <v>-135.0</v>
      </c>
      <c r="O31" s="1">
        <v>7.3025136170135E-5</v>
      </c>
      <c r="P31" s="1" t="s">
        <v>61</v>
      </c>
      <c r="Q31" s="1" t="s">
        <v>61</v>
      </c>
      <c r="R31" s="1">
        <f t="shared" si="1"/>
        <v>0.00007302513617</v>
      </c>
      <c r="S31" s="1">
        <f t="shared" si="2"/>
        <v>-135</v>
      </c>
      <c r="T31" s="1">
        <f t="shared" si="3"/>
        <v>1.740740741</v>
      </c>
      <c r="U31" s="1">
        <f t="shared" si="4"/>
        <v>0</v>
      </c>
      <c r="V31" s="3">
        <f t="shared" si="5"/>
        <v>1</v>
      </c>
      <c r="W31" s="3">
        <f t="shared" si="6"/>
        <v>3</v>
      </c>
      <c r="X31" s="3" t="str">
        <f>IFERROR(__xludf.DUMMYFUNCTION("split(B31,"" "")"),"W.")</f>
        <v>W.</v>
      </c>
      <c r="Y31" s="3" t="str">
        <f>IFERROR(__xludf.DUMMYFUNCTION("""COMPUTED_VALUE"""),"Levis")</f>
        <v>Levis</v>
      </c>
      <c r="AA31" s="3">
        <v>3.0</v>
      </c>
      <c r="AB31" s="3">
        <f t="shared" si="7"/>
        <v>0</v>
      </c>
      <c r="AC31" s="3">
        <f t="shared" si="8"/>
        <v>1</v>
      </c>
      <c r="AD31" s="3">
        <f t="shared" si="9"/>
        <v>0.7407407407</v>
      </c>
      <c r="AE31" s="3">
        <f t="shared" si="10"/>
        <v>0.7407407407</v>
      </c>
      <c r="AF31" s="3">
        <f t="shared" si="11"/>
        <v>2.222222222</v>
      </c>
      <c r="AG31" s="3">
        <f t="shared" si="12"/>
        <v>0.8461538462</v>
      </c>
      <c r="AJ31" s="1" t="s">
        <v>512</v>
      </c>
      <c r="AK31" s="1" t="s">
        <v>513</v>
      </c>
    </row>
    <row r="32">
      <c r="A32" s="1" t="s">
        <v>17</v>
      </c>
      <c r="B32" s="1" t="s">
        <v>253</v>
      </c>
      <c r="C32" s="1" t="s">
        <v>21</v>
      </c>
      <c r="D32" s="1" t="s">
        <v>113</v>
      </c>
      <c r="E32" s="1" t="s">
        <v>156</v>
      </c>
      <c r="F32" s="1" t="s">
        <v>564</v>
      </c>
      <c r="G32" s="1">
        <v>0.5</v>
      </c>
      <c r="H32" s="1" t="s">
        <v>60</v>
      </c>
      <c r="I32" s="1">
        <v>-125.0</v>
      </c>
      <c r="J32" s="1">
        <v>-0.106055555555555</v>
      </c>
      <c r="K32" s="1" t="s">
        <v>61</v>
      </c>
      <c r="L32" s="1" t="s">
        <v>61</v>
      </c>
      <c r="M32" s="1" t="s">
        <v>62</v>
      </c>
      <c r="N32" s="1">
        <v>-104.0</v>
      </c>
      <c r="O32" s="1">
        <v>0.0406960784313725</v>
      </c>
      <c r="P32" s="1" t="s">
        <v>61</v>
      </c>
      <c r="Q32" s="1" t="s">
        <v>61</v>
      </c>
      <c r="R32" s="1">
        <f t="shared" si="1"/>
        <v>0.04069607843</v>
      </c>
      <c r="S32" s="1">
        <f t="shared" si="2"/>
        <v>-104</v>
      </c>
      <c r="T32" s="1">
        <f t="shared" si="3"/>
        <v>1.961538462</v>
      </c>
      <c r="U32" s="1">
        <f t="shared" si="4"/>
        <v>0</v>
      </c>
      <c r="V32" s="3">
        <f t="shared" si="5"/>
        <v>1</v>
      </c>
      <c r="W32" s="3">
        <f t="shared" si="6"/>
        <v>2</v>
      </c>
      <c r="X32" s="3" t="str">
        <f>IFERROR(__xludf.DUMMYFUNCTION("split(B32,"" "")"),"B.")</f>
        <v>B.</v>
      </c>
      <c r="Y32" s="3" t="str">
        <f>IFERROR(__xludf.DUMMYFUNCTION("""COMPUTED_VALUE"""),"Mayfield")</f>
        <v>Mayfield</v>
      </c>
      <c r="AA32" s="3">
        <v>0.0</v>
      </c>
      <c r="AB32" s="3">
        <f t="shared" si="7"/>
        <v>0</v>
      </c>
      <c r="AC32" s="3">
        <f t="shared" si="8"/>
        <v>1</v>
      </c>
      <c r="AD32" s="3">
        <f t="shared" si="9"/>
        <v>0.9615384615</v>
      </c>
      <c r="AE32" s="3">
        <f t="shared" si="10"/>
        <v>0.9615384615</v>
      </c>
      <c r="AF32" s="3">
        <f t="shared" si="11"/>
        <v>1.923076923</v>
      </c>
      <c r="AG32" s="3">
        <f t="shared" si="12"/>
        <v>1</v>
      </c>
      <c r="AH32" s="1" t="s">
        <v>514</v>
      </c>
      <c r="AI32" s="3">
        <f>COUNTIFS(AG2:AG999, "&gt;1.7", AC2:AC999,"=1", U2:U999, "=1") + countifs(U2:U999, "=0", AA2:AA999, "=0")</f>
        <v>37</v>
      </c>
      <c r="AJ32" s="3">
        <f>COUNTIFS(AG2:AG999, "&gt;1.7", AC2:AC999,"=1", U2:U999, "=1")</f>
        <v>11</v>
      </c>
      <c r="AK32" s="3">
        <f>AI32-AJ32</f>
        <v>26</v>
      </c>
    </row>
    <row r="33">
      <c r="A33" s="1" t="s">
        <v>11</v>
      </c>
      <c r="B33" s="1" t="s">
        <v>314</v>
      </c>
      <c r="C33" s="1" t="s">
        <v>18</v>
      </c>
      <c r="D33" s="1" t="s">
        <v>113</v>
      </c>
      <c r="E33" s="1" t="s">
        <v>156</v>
      </c>
      <c r="F33" s="1" t="s">
        <v>564</v>
      </c>
      <c r="G33" s="1">
        <v>63.5</v>
      </c>
      <c r="H33" s="1" t="s">
        <v>60</v>
      </c>
      <c r="I33" s="1">
        <v>-115.0</v>
      </c>
      <c r="J33" s="1">
        <v>-0.106057905603156</v>
      </c>
      <c r="K33" s="1" t="s">
        <v>61</v>
      </c>
      <c r="L33" s="1" t="s">
        <v>61</v>
      </c>
      <c r="M33" s="1" t="s">
        <v>62</v>
      </c>
      <c r="N33" s="1">
        <v>-114.0</v>
      </c>
      <c r="O33" s="1">
        <v>0.0384155822320537</v>
      </c>
      <c r="P33" s="1" t="s">
        <v>61</v>
      </c>
      <c r="Q33" s="1" t="s">
        <v>61</v>
      </c>
      <c r="R33" s="1">
        <f t="shared" si="1"/>
        <v>0.03841558223</v>
      </c>
      <c r="S33" s="1">
        <f t="shared" si="2"/>
        <v>-114</v>
      </c>
      <c r="T33" s="1">
        <f t="shared" si="3"/>
        <v>1.877192982</v>
      </c>
      <c r="U33" s="1">
        <f t="shared" si="4"/>
        <v>0</v>
      </c>
      <c r="V33" s="3">
        <f t="shared" si="5"/>
        <v>1</v>
      </c>
      <c r="W33" s="3">
        <f t="shared" si="6"/>
        <v>2</v>
      </c>
      <c r="X33" s="3" t="str">
        <f>IFERROR(__xludf.DUMMYFUNCTION("split(B33,"" "")"),"C.")</f>
        <v>C.</v>
      </c>
      <c r="Y33" s="3" t="str">
        <f>IFERROR(__xludf.DUMMYFUNCTION("""COMPUTED_VALUE"""),"Godwin")</f>
        <v>Godwin</v>
      </c>
      <c r="AA33" s="3">
        <v>69.0</v>
      </c>
      <c r="AB33" s="3">
        <f t="shared" si="7"/>
        <v>1</v>
      </c>
      <c r="AC33" s="3">
        <f t="shared" si="8"/>
        <v>0</v>
      </c>
      <c r="AD33" s="3">
        <f t="shared" si="9"/>
        <v>0.8771929825</v>
      </c>
      <c r="AE33" s="3">
        <f t="shared" si="10"/>
        <v>-1</v>
      </c>
      <c r="AF33" s="3">
        <f t="shared" si="11"/>
        <v>-2</v>
      </c>
      <c r="AG33" s="3">
        <f t="shared" si="12"/>
        <v>-0.08661417323</v>
      </c>
    </row>
    <row r="34">
      <c r="A34" s="1" t="s">
        <v>10</v>
      </c>
      <c r="B34" s="1" t="s">
        <v>253</v>
      </c>
      <c r="C34" s="1" t="s">
        <v>21</v>
      </c>
      <c r="D34" s="1" t="s">
        <v>113</v>
      </c>
      <c r="E34" s="1" t="s">
        <v>156</v>
      </c>
      <c r="F34" s="1" t="s">
        <v>564</v>
      </c>
      <c r="G34" s="1">
        <v>12.5</v>
      </c>
      <c r="H34" s="1" t="s">
        <v>60</v>
      </c>
      <c r="I34" s="1">
        <v>-109.0</v>
      </c>
      <c r="J34" s="1">
        <v>-0.0849751902103334</v>
      </c>
      <c r="K34" s="1" t="s">
        <v>61</v>
      </c>
      <c r="L34" s="1" t="s">
        <v>61</v>
      </c>
      <c r="M34" s="1" t="s">
        <v>62</v>
      </c>
      <c r="N34" s="1">
        <v>-120.0</v>
      </c>
      <c r="O34" s="1">
        <v>0.0179957168397801</v>
      </c>
      <c r="P34" s="1" t="s">
        <v>61</v>
      </c>
      <c r="Q34" s="1" t="s">
        <v>61</v>
      </c>
      <c r="R34" s="1">
        <f t="shared" si="1"/>
        <v>0.01799571684</v>
      </c>
      <c r="S34" s="1">
        <f t="shared" si="2"/>
        <v>-120</v>
      </c>
      <c r="T34" s="1">
        <f t="shared" si="3"/>
        <v>1.833333333</v>
      </c>
      <c r="U34" s="1">
        <f t="shared" si="4"/>
        <v>0</v>
      </c>
      <c r="V34" s="3">
        <f t="shared" si="5"/>
        <v>1</v>
      </c>
      <c r="W34" s="3">
        <f t="shared" si="6"/>
        <v>3</v>
      </c>
      <c r="X34" s="3" t="str">
        <f>IFERROR(__xludf.DUMMYFUNCTION("split(B34,"" "")"),"B.")</f>
        <v>B.</v>
      </c>
      <c r="Y34" s="3" t="str">
        <f>IFERROR(__xludf.DUMMYFUNCTION("""COMPUTED_VALUE"""),"Mayfield")</f>
        <v>Mayfield</v>
      </c>
      <c r="AA34" s="3">
        <v>10.0</v>
      </c>
      <c r="AB34" s="3">
        <f t="shared" si="7"/>
        <v>0</v>
      </c>
      <c r="AC34" s="3">
        <f t="shared" si="8"/>
        <v>1</v>
      </c>
      <c r="AD34" s="3">
        <f t="shared" si="9"/>
        <v>0.8333333333</v>
      </c>
      <c r="AE34" s="3">
        <f t="shared" si="10"/>
        <v>0.8333333333</v>
      </c>
      <c r="AF34" s="3">
        <f t="shared" si="11"/>
        <v>2.5</v>
      </c>
      <c r="AG34" s="3">
        <f t="shared" si="12"/>
        <v>0.2</v>
      </c>
    </row>
    <row r="35">
      <c r="A35" s="1" t="s">
        <v>11</v>
      </c>
      <c r="B35" s="1" t="s">
        <v>112</v>
      </c>
      <c r="C35" s="1" t="s">
        <v>20</v>
      </c>
      <c r="D35" s="1" t="s">
        <v>113</v>
      </c>
      <c r="E35" s="1" t="s">
        <v>156</v>
      </c>
      <c r="F35" s="1" t="s">
        <v>564</v>
      </c>
      <c r="G35" s="1">
        <v>25.5</v>
      </c>
      <c r="H35" s="1" t="s">
        <v>60</v>
      </c>
      <c r="I35" s="1">
        <v>-117.0</v>
      </c>
      <c r="J35" s="1">
        <v>-0.079989952109129</v>
      </c>
      <c r="K35" s="1" t="s">
        <v>61</v>
      </c>
      <c r="L35" s="1" t="s">
        <v>61</v>
      </c>
      <c r="M35" s="1" t="s">
        <v>62</v>
      </c>
      <c r="N35" s="1">
        <v>-112.0</v>
      </c>
      <c r="O35" s="1">
        <v>0.0126082545311448</v>
      </c>
      <c r="P35" s="1" t="s">
        <v>61</v>
      </c>
      <c r="Q35" s="1" t="s">
        <v>61</v>
      </c>
      <c r="R35" s="1">
        <f t="shared" si="1"/>
        <v>0.01260825453</v>
      </c>
      <c r="S35" s="1">
        <f t="shared" si="2"/>
        <v>-112</v>
      </c>
      <c r="T35" s="1">
        <f t="shared" si="3"/>
        <v>1.892857143</v>
      </c>
      <c r="U35" s="1">
        <f t="shared" si="4"/>
        <v>0</v>
      </c>
      <c r="V35" s="3">
        <f t="shared" si="5"/>
        <v>1</v>
      </c>
      <c r="W35" s="3">
        <f t="shared" si="6"/>
        <v>2</v>
      </c>
      <c r="X35" s="3" t="str">
        <f>IFERROR(__xludf.DUMMYFUNCTION("split(B35,"" "")"),"C.")</f>
        <v>C.</v>
      </c>
      <c r="Y35" s="3" t="str">
        <f>IFERROR(__xludf.DUMMYFUNCTION("""COMPUTED_VALUE"""),"Otton")</f>
        <v>Otton</v>
      </c>
      <c r="AA35" s="3">
        <v>52.0</v>
      </c>
      <c r="AB35" s="3">
        <f t="shared" si="7"/>
        <v>1</v>
      </c>
      <c r="AC35" s="3">
        <f t="shared" si="8"/>
        <v>0</v>
      </c>
      <c r="AD35" s="3">
        <f t="shared" si="9"/>
        <v>0.8928571429</v>
      </c>
      <c r="AE35" s="3">
        <f t="shared" si="10"/>
        <v>-1</v>
      </c>
      <c r="AF35" s="3">
        <f t="shared" si="11"/>
        <v>-2</v>
      </c>
      <c r="AG35" s="3">
        <f t="shared" si="12"/>
        <v>-1.039215686</v>
      </c>
    </row>
    <row r="36">
      <c r="A36" s="1" t="s">
        <v>8</v>
      </c>
      <c r="B36" s="1" t="s">
        <v>497</v>
      </c>
      <c r="C36" s="1" t="s">
        <v>19</v>
      </c>
      <c r="D36" s="1" t="s">
        <v>164</v>
      </c>
      <c r="E36" s="1" t="s">
        <v>66</v>
      </c>
      <c r="F36" s="1" t="s">
        <v>560</v>
      </c>
      <c r="G36" s="1">
        <v>19.5</v>
      </c>
      <c r="H36" s="1" t="s">
        <v>60</v>
      </c>
      <c r="I36" s="1">
        <v>-121.0</v>
      </c>
      <c r="J36" s="1">
        <v>0.0874973777027149</v>
      </c>
      <c r="K36" s="1" t="s">
        <v>61</v>
      </c>
      <c r="L36" s="1" t="s">
        <v>61</v>
      </c>
      <c r="M36" s="1" t="s">
        <v>62</v>
      </c>
      <c r="N36" s="1">
        <v>-111.0</v>
      </c>
      <c r="O36" s="1">
        <v>-0.161060434265402</v>
      </c>
      <c r="P36" s="1" t="s">
        <v>61</v>
      </c>
      <c r="Q36" s="1" t="s">
        <v>61</v>
      </c>
      <c r="R36" s="1">
        <f t="shared" si="1"/>
        <v>0.0874973777</v>
      </c>
      <c r="S36" s="1">
        <f t="shared" si="2"/>
        <v>-121</v>
      </c>
      <c r="T36" s="1">
        <f t="shared" si="3"/>
        <v>1.826446281</v>
      </c>
      <c r="U36" s="1">
        <f t="shared" si="4"/>
        <v>1</v>
      </c>
      <c r="V36" s="3">
        <f t="shared" si="5"/>
        <v>2</v>
      </c>
      <c r="W36" s="3">
        <f t="shared" si="6"/>
        <v>3</v>
      </c>
      <c r="X36" s="3" t="str">
        <f>IFERROR(__xludf.DUMMYFUNCTION("split(B36,"" "")"),"J.")</f>
        <v>J.</v>
      </c>
      <c r="Y36" s="3" t="str">
        <f>IFERROR(__xludf.DUMMYFUNCTION("""COMPUTED_VALUE"""),"Mason")</f>
        <v>Mason</v>
      </c>
      <c r="AA36" s="3">
        <v>24.0</v>
      </c>
      <c r="AB36" s="3">
        <f t="shared" si="7"/>
        <v>1</v>
      </c>
      <c r="AC36" s="3">
        <f t="shared" si="8"/>
        <v>1</v>
      </c>
      <c r="AD36" s="3">
        <f t="shared" si="9"/>
        <v>1.652892562</v>
      </c>
      <c r="AE36" s="3">
        <f t="shared" si="10"/>
        <v>1.652892562</v>
      </c>
      <c r="AF36" s="3">
        <f t="shared" si="11"/>
        <v>2.479338843</v>
      </c>
      <c r="AG36" s="3">
        <f t="shared" si="12"/>
        <v>0.2307692308</v>
      </c>
    </row>
    <row r="37">
      <c r="A37" s="1" t="s">
        <v>11</v>
      </c>
      <c r="B37" s="1" t="s">
        <v>497</v>
      </c>
      <c r="C37" s="1" t="s">
        <v>19</v>
      </c>
      <c r="D37" s="1" t="s">
        <v>164</v>
      </c>
      <c r="E37" s="1" t="s">
        <v>66</v>
      </c>
      <c r="F37" s="1" t="s">
        <v>560</v>
      </c>
      <c r="G37" s="1">
        <v>10.5</v>
      </c>
      <c r="H37" s="1" t="s">
        <v>60</v>
      </c>
      <c r="I37" s="1">
        <v>-115.0</v>
      </c>
      <c r="J37" s="1">
        <v>0.0871441189172883</v>
      </c>
      <c r="K37" s="1" t="s">
        <v>61</v>
      </c>
      <c r="L37" s="1" t="s">
        <v>61</v>
      </c>
      <c r="M37" s="1" t="s">
        <v>62</v>
      </c>
      <c r="N37" s="1">
        <v>-113.0</v>
      </c>
      <c r="O37" s="1">
        <v>-0.152506003243921</v>
      </c>
      <c r="P37" s="1" t="s">
        <v>61</v>
      </c>
      <c r="Q37" s="1" t="s">
        <v>61</v>
      </c>
      <c r="R37" s="1">
        <f t="shared" si="1"/>
        <v>0.08714411892</v>
      </c>
      <c r="S37" s="1">
        <f t="shared" si="2"/>
        <v>-115</v>
      </c>
      <c r="T37" s="1">
        <f t="shared" si="3"/>
        <v>1.869565217</v>
      </c>
      <c r="U37" s="1">
        <f t="shared" si="4"/>
        <v>1</v>
      </c>
      <c r="V37" s="3">
        <f t="shared" si="5"/>
        <v>2</v>
      </c>
      <c r="W37" s="3">
        <f t="shared" si="6"/>
        <v>2</v>
      </c>
      <c r="X37" s="3" t="str">
        <f>IFERROR(__xludf.DUMMYFUNCTION("split(B37,"" "")"),"J.")</f>
        <v>J.</v>
      </c>
      <c r="Y37" s="3" t="str">
        <f>IFERROR(__xludf.DUMMYFUNCTION("""COMPUTED_VALUE"""),"Mason")</f>
        <v>Mason</v>
      </c>
      <c r="AA37" s="3">
        <v>37.0</v>
      </c>
      <c r="AB37" s="3">
        <f t="shared" si="7"/>
        <v>1</v>
      </c>
      <c r="AC37" s="3">
        <f t="shared" si="8"/>
        <v>1</v>
      </c>
      <c r="AD37" s="3">
        <f t="shared" si="9"/>
        <v>1.739130435</v>
      </c>
      <c r="AE37" s="3">
        <f t="shared" si="10"/>
        <v>1.739130435</v>
      </c>
      <c r="AF37" s="3">
        <f t="shared" si="11"/>
        <v>1.739130435</v>
      </c>
      <c r="AG37" s="3">
        <f t="shared" si="12"/>
        <v>2.523809524</v>
      </c>
    </row>
    <row r="38">
      <c r="A38" s="1" t="s">
        <v>15</v>
      </c>
      <c r="B38" s="1" t="s">
        <v>262</v>
      </c>
      <c r="C38" s="1" t="s">
        <v>21</v>
      </c>
      <c r="D38" s="1" t="s">
        <v>164</v>
      </c>
      <c r="E38" s="1" t="s">
        <v>66</v>
      </c>
      <c r="F38" s="1" t="s">
        <v>560</v>
      </c>
      <c r="G38" s="1">
        <v>20.5</v>
      </c>
      <c r="H38" s="1" t="s">
        <v>60</v>
      </c>
      <c r="I38" s="1">
        <v>105.0</v>
      </c>
      <c r="J38" s="1">
        <v>0.0637926829268292</v>
      </c>
      <c r="K38" s="1" t="s">
        <v>61</v>
      </c>
      <c r="L38" s="1" t="s">
        <v>61</v>
      </c>
      <c r="M38" s="1" t="s">
        <v>62</v>
      </c>
      <c r="N38" s="1">
        <v>-137.0</v>
      </c>
      <c r="O38" s="1">
        <v>-0.129643459915611</v>
      </c>
      <c r="P38" s="1" t="s">
        <v>61</v>
      </c>
      <c r="Q38" s="1" t="s">
        <v>61</v>
      </c>
      <c r="R38" s="1">
        <f t="shared" si="1"/>
        <v>0.06379268293</v>
      </c>
      <c r="S38" s="1">
        <f t="shared" si="2"/>
        <v>105</v>
      </c>
      <c r="T38" s="1">
        <f t="shared" si="3"/>
        <v>2.05</v>
      </c>
      <c r="U38" s="1">
        <f t="shared" si="4"/>
        <v>1</v>
      </c>
      <c r="V38" s="3">
        <f t="shared" si="5"/>
        <v>2</v>
      </c>
      <c r="W38" s="3">
        <f t="shared" si="6"/>
        <v>2</v>
      </c>
      <c r="X38" s="3" t="str">
        <f>IFERROR(__xludf.DUMMYFUNCTION("split(B38,"" "")"),"B.")</f>
        <v>B.</v>
      </c>
      <c r="Y38" s="3" t="str">
        <f>IFERROR(__xludf.DUMMYFUNCTION("""COMPUTED_VALUE"""),"Purdy")</f>
        <v>Purdy</v>
      </c>
      <c r="AA38" s="3">
        <v>15.0</v>
      </c>
      <c r="AB38" s="3">
        <f t="shared" si="7"/>
        <v>0</v>
      </c>
      <c r="AC38" s="3">
        <f t="shared" si="8"/>
        <v>0</v>
      </c>
      <c r="AD38" s="3">
        <f t="shared" si="9"/>
        <v>2.1</v>
      </c>
      <c r="AE38" s="3">
        <f t="shared" si="10"/>
        <v>-2</v>
      </c>
      <c r="AF38" s="3">
        <f t="shared" si="11"/>
        <v>-2</v>
      </c>
      <c r="AG38" s="3">
        <f t="shared" si="12"/>
        <v>-0.2682926829</v>
      </c>
    </row>
    <row r="39">
      <c r="A39" s="1" t="s">
        <v>13</v>
      </c>
      <c r="B39" s="1" t="s">
        <v>262</v>
      </c>
      <c r="C39" s="1" t="s">
        <v>21</v>
      </c>
      <c r="D39" s="1" t="s">
        <v>164</v>
      </c>
      <c r="E39" s="1" t="s">
        <v>66</v>
      </c>
      <c r="F39" s="1" t="s">
        <v>560</v>
      </c>
      <c r="G39" s="1">
        <v>233.5</v>
      </c>
      <c r="H39" s="1" t="s">
        <v>60</v>
      </c>
      <c r="I39" s="1">
        <v>-115.0</v>
      </c>
      <c r="J39" s="1">
        <v>0.0119953488372088</v>
      </c>
      <c r="K39" s="1" t="s">
        <v>61</v>
      </c>
      <c r="L39" s="1" t="s">
        <v>61</v>
      </c>
      <c r="M39" s="1" t="s">
        <v>62</v>
      </c>
      <c r="N39" s="1">
        <v>-115.0</v>
      </c>
      <c r="O39" s="1">
        <v>-0.0818046511627904</v>
      </c>
      <c r="P39" s="1" t="s">
        <v>61</v>
      </c>
      <c r="Q39" s="1" t="s">
        <v>61</v>
      </c>
      <c r="R39" s="1">
        <f t="shared" si="1"/>
        <v>0.01199534884</v>
      </c>
      <c r="S39" s="1">
        <f t="shared" si="2"/>
        <v>-115</v>
      </c>
      <c r="T39" s="1">
        <f t="shared" si="3"/>
        <v>1.869565217</v>
      </c>
      <c r="U39" s="1">
        <f t="shared" si="4"/>
        <v>1</v>
      </c>
      <c r="V39" s="3">
        <f t="shared" si="5"/>
        <v>1</v>
      </c>
      <c r="W39" s="3">
        <f t="shared" si="6"/>
        <v>2</v>
      </c>
      <c r="X39" s="3" t="str">
        <f>IFERROR(__xludf.DUMMYFUNCTION("split(B39,"" "")"),"B.")</f>
        <v>B.</v>
      </c>
      <c r="Y39" s="3" t="str">
        <f>IFERROR(__xludf.DUMMYFUNCTION("""COMPUTED_VALUE"""),"Purdy")</f>
        <v>Purdy</v>
      </c>
      <c r="AA39" s="3">
        <v>288.0</v>
      </c>
      <c r="AB39" s="3">
        <f t="shared" si="7"/>
        <v>1</v>
      </c>
      <c r="AC39" s="3">
        <f t="shared" si="8"/>
        <v>1</v>
      </c>
      <c r="AD39" s="3">
        <f t="shared" si="9"/>
        <v>0.8695652174</v>
      </c>
      <c r="AE39" s="3">
        <f t="shared" si="10"/>
        <v>0.8695652174</v>
      </c>
      <c r="AF39" s="3">
        <f t="shared" si="11"/>
        <v>1.739130435</v>
      </c>
      <c r="AG39" s="3">
        <f t="shared" si="12"/>
        <v>0.2334047109</v>
      </c>
    </row>
    <row r="40">
      <c r="A40" s="1" t="s">
        <v>11</v>
      </c>
      <c r="B40" s="1" t="s">
        <v>285</v>
      </c>
      <c r="C40" s="1" t="s">
        <v>18</v>
      </c>
      <c r="D40" s="1" t="s">
        <v>164</v>
      </c>
      <c r="E40" s="1" t="s">
        <v>66</v>
      </c>
      <c r="F40" s="1" t="s">
        <v>560</v>
      </c>
      <c r="G40" s="1">
        <v>49.5</v>
      </c>
      <c r="H40" s="1" t="s">
        <v>60</v>
      </c>
      <c r="I40" s="1">
        <v>-113.0</v>
      </c>
      <c r="J40" s="1">
        <v>-0.0812296235742957</v>
      </c>
      <c r="K40" s="1" t="s">
        <v>61</v>
      </c>
      <c r="L40" s="1" t="s">
        <v>61</v>
      </c>
      <c r="M40" s="1" t="s">
        <v>62</v>
      </c>
      <c r="N40" s="1">
        <v>-120.0</v>
      </c>
      <c r="O40" s="1">
        <v>0.00522787719972717</v>
      </c>
      <c r="P40" s="1" t="s">
        <v>61</v>
      </c>
      <c r="Q40" s="1" t="s">
        <v>61</v>
      </c>
      <c r="R40" s="1">
        <f t="shared" si="1"/>
        <v>0.0052278772</v>
      </c>
      <c r="S40" s="1">
        <f t="shared" si="2"/>
        <v>-120</v>
      </c>
      <c r="T40" s="1">
        <f t="shared" si="3"/>
        <v>1.833333333</v>
      </c>
      <c r="U40" s="1">
        <f t="shared" si="4"/>
        <v>0</v>
      </c>
      <c r="V40" s="3">
        <f t="shared" si="5"/>
        <v>1</v>
      </c>
      <c r="W40" s="3">
        <f t="shared" si="6"/>
        <v>3</v>
      </c>
      <c r="X40" s="3" t="str">
        <f>IFERROR(__xludf.DUMMYFUNCTION("split(B40,"" "")"),"J.")</f>
        <v>J.</v>
      </c>
      <c r="Y40" s="3" t="str">
        <f>IFERROR(__xludf.DUMMYFUNCTION("""COMPUTED_VALUE"""),"Jennings")</f>
        <v>Jennings</v>
      </c>
      <c r="AA40" s="3">
        <v>88.0</v>
      </c>
      <c r="AB40" s="3">
        <f t="shared" si="7"/>
        <v>1</v>
      </c>
      <c r="AC40" s="3">
        <f t="shared" si="8"/>
        <v>0</v>
      </c>
      <c r="AD40" s="3">
        <f t="shared" si="9"/>
        <v>0.8333333333</v>
      </c>
      <c r="AE40" s="3">
        <f t="shared" si="10"/>
        <v>-1</v>
      </c>
      <c r="AF40" s="3">
        <f t="shared" si="11"/>
        <v>-3</v>
      </c>
      <c r="AG40" s="3">
        <f t="shared" si="12"/>
        <v>-0.7777777778</v>
      </c>
    </row>
    <row r="41">
      <c r="A41" s="1" t="s">
        <v>9</v>
      </c>
      <c r="B41" s="1" t="s">
        <v>497</v>
      </c>
      <c r="C41" s="1" t="s">
        <v>19</v>
      </c>
      <c r="D41" s="1" t="s">
        <v>164</v>
      </c>
      <c r="E41" s="1" t="s">
        <v>66</v>
      </c>
      <c r="F41" s="1" t="s">
        <v>560</v>
      </c>
      <c r="G41" s="1">
        <v>100.0</v>
      </c>
      <c r="H41" s="1" t="s">
        <v>60</v>
      </c>
      <c r="I41" s="1">
        <v>-115.0</v>
      </c>
      <c r="J41" s="1">
        <v>0.00247976286189</v>
      </c>
      <c r="K41" s="1" t="s">
        <v>61</v>
      </c>
      <c r="L41" s="1" t="s">
        <v>61</v>
      </c>
      <c r="M41" s="1" t="s">
        <v>62</v>
      </c>
      <c r="N41" s="1">
        <v>-117.0</v>
      </c>
      <c r="O41" s="1">
        <v>-0.0763053648415918</v>
      </c>
      <c r="P41" s="1" t="s">
        <v>61</v>
      </c>
      <c r="Q41" s="1" t="s">
        <v>61</v>
      </c>
      <c r="R41" s="1">
        <f t="shared" si="1"/>
        <v>0.002479762862</v>
      </c>
      <c r="S41" s="1">
        <f t="shared" si="2"/>
        <v>-115</v>
      </c>
      <c r="T41" s="1">
        <f t="shared" si="3"/>
        <v>1.869565217</v>
      </c>
      <c r="U41" s="1">
        <f t="shared" si="4"/>
        <v>1</v>
      </c>
      <c r="V41" s="3">
        <f t="shared" si="5"/>
        <v>1</v>
      </c>
      <c r="W41" s="3">
        <f t="shared" si="6"/>
        <v>2</v>
      </c>
      <c r="X41" s="3" t="str">
        <f>IFERROR(__xludf.DUMMYFUNCTION("split(B41,"" "")"),"J.")</f>
        <v>J.</v>
      </c>
      <c r="Y41" s="3" t="str">
        <f>IFERROR(__xludf.DUMMYFUNCTION("""COMPUTED_VALUE"""),"Mason")</f>
        <v>Mason</v>
      </c>
      <c r="AA41" s="3">
        <v>160.0</v>
      </c>
      <c r="AB41" s="3">
        <f t="shared" si="7"/>
        <v>1</v>
      </c>
      <c r="AC41" s="3">
        <f t="shared" si="8"/>
        <v>1</v>
      </c>
      <c r="AD41" s="3">
        <f t="shared" si="9"/>
        <v>0.8695652174</v>
      </c>
      <c r="AE41" s="3">
        <f t="shared" si="10"/>
        <v>0.8695652174</v>
      </c>
      <c r="AF41" s="3">
        <f t="shared" si="11"/>
        <v>1.739130435</v>
      </c>
      <c r="AG41" s="3">
        <f t="shared" si="12"/>
        <v>0.6</v>
      </c>
    </row>
    <row r="42">
      <c r="A42" s="1" t="s">
        <v>8</v>
      </c>
      <c r="B42" s="1" t="s">
        <v>500</v>
      </c>
      <c r="C42" s="1" t="s">
        <v>21</v>
      </c>
      <c r="D42" s="1" t="s">
        <v>82</v>
      </c>
      <c r="E42" s="1" t="s">
        <v>197</v>
      </c>
      <c r="F42" s="1" t="s">
        <v>565</v>
      </c>
      <c r="G42" s="1">
        <v>2.5</v>
      </c>
      <c r="H42" s="1" t="s">
        <v>60</v>
      </c>
      <c r="I42" s="1">
        <v>-158.0</v>
      </c>
      <c r="J42" s="1">
        <v>-0.246273307890961</v>
      </c>
      <c r="K42" s="1" t="s">
        <v>61</v>
      </c>
      <c r="L42" s="1" t="s">
        <v>61</v>
      </c>
      <c r="M42" s="1" t="s">
        <v>62</v>
      </c>
      <c r="N42" s="1">
        <v>117.0</v>
      </c>
      <c r="O42" s="1">
        <v>0.173053978967134</v>
      </c>
      <c r="P42" s="1" t="s">
        <v>61</v>
      </c>
      <c r="Q42" s="1" t="s">
        <v>61</v>
      </c>
      <c r="R42" s="1">
        <f t="shared" si="1"/>
        <v>0.173053979</v>
      </c>
      <c r="S42" s="1">
        <f t="shared" si="2"/>
        <v>117</v>
      </c>
      <c r="T42" s="1">
        <f t="shared" si="3"/>
        <v>2.17</v>
      </c>
      <c r="U42" s="1">
        <f t="shared" si="4"/>
        <v>0</v>
      </c>
      <c r="V42" s="3">
        <f t="shared" si="5"/>
        <v>3</v>
      </c>
      <c r="W42" s="3">
        <f t="shared" si="6"/>
        <v>1</v>
      </c>
      <c r="X42" s="3" t="str">
        <f>IFERROR(__xludf.DUMMYFUNCTION("split(B42,"" "")"),"G.")</f>
        <v>G.</v>
      </c>
      <c r="Y42" s="3" t="str">
        <f>IFERROR(__xludf.DUMMYFUNCTION("""COMPUTED_VALUE"""),"Smith")</f>
        <v>Smith</v>
      </c>
      <c r="AA42" s="3">
        <v>5.0</v>
      </c>
      <c r="AB42" s="3">
        <f t="shared" si="7"/>
        <v>1</v>
      </c>
      <c r="AC42" s="3">
        <f t="shared" si="8"/>
        <v>0</v>
      </c>
      <c r="AD42" s="3">
        <f t="shared" si="9"/>
        <v>3.51</v>
      </c>
      <c r="AE42" s="3">
        <f t="shared" si="10"/>
        <v>-3</v>
      </c>
      <c r="AF42" s="3">
        <f t="shared" si="11"/>
        <v>-1</v>
      </c>
      <c r="AG42" s="3">
        <f t="shared" si="12"/>
        <v>-1</v>
      </c>
    </row>
    <row r="43">
      <c r="A43" s="1" t="s">
        <v>12</v>
      </c>
      <c r="B43" s="1" t="s">
        <v>480</v>
      </c>
      <c r="C43" s="1" t="s">
        <v>18</v>
      </c>
      <c r="D43" s="1" t="s">
        <v>82</v>
      </c>
      <c r="E43" s="1" t="s">
        <v>197</v>
      </c>
      <c r="F43" s="1" t="s">
        <v>565</v>
      </c>
      <c r="G43" s="1">
        <v>3.5</v>
      </c>
      <c r="H43" s="1" t="s">
        <v>60</v>
      </c>
      <c r="I43" s="1">
        <v>-162.0</v>
      </c>
      <c r="J43" s="1">
        <v>-0.193296946564885</v>
      </c>
      <c r="K43" s="1" t="s">
        <v>61</v>
      </c>
      <c r="L43" s="1" t="s">
        <v>61</v>
      </c>
      <c r="M43" s="1" t="s">
        <v>62</v>
      </c>
      <c r="N43" s="1">
        <v>123.0</v>
      </c>
      <c r="O43" s="1">
        <v>0.126559192825112</v>
      </c>
      <c r="P43" s="1" t="s">
        <v>61</v>
      </c>
      <c r="Q43" s="1" t="s">
        <v>61</v>
      </c>
      <c r="R43" s="1">
        <f t="shared" si="1"/>
        <v>0.1265591928</v>
      </c>
      <c r="S43" s="1">
        <f t="shared" si="2"/>
        <v>123</v>
      </c>
      <c r="T43" s="1">
        <f t="shared" si="3"/>
        <v>2.23</v>
      </c>
      <c r="U43" s="1">
        <f t="shared" si="4"/>
        <v>0</v>
      </c>
      <c r="V43" s="3">
        <f t="shared" si="5"/>
        <v>3</v>
      </c>
      <c r="W43" s="3">
        <f t="shared" si="6"/>
        <v>1</v>
      </c>
      <c r="X43" s="3" t="str">
        <f>IFERROR(__xludf.DUMMYFUNCTION("split(B43,"" "")"),"T.")</f>
        <v>T.</v>
      </c>
      <c r="Y43" s="3" t="str">
        <f>IFERROR(__xludf.DUMMYFUNCTION("""COMPUTED_VALUE"""),"Lockett")</f>
        <v>Lockett</v>
      </c>
      <c r="AA43" s="3">
        <v>5.0</v>
      </c>
      <c r="AB43" s="3">
        <f t="shared" si="7"/>
        <v>1</v>
      </c>
      <c r="AC43" s="3">
        <f t="shared" si="8"/>
        <v>0</v>
      </c>
      <c r="AD43" s="3">
        <f t="shared" si="9"/>
        <v>3.69</v>
      </c>
      <c r="AE43" s="3">
        <f t="shared" si="10"/>
        <v>-3</v>
      </c>
      <c r="AF43" s="3">
        <f t="shared" si="11"/>
        <v>-1</v>
      </c>
      <c r="AG43" s="3">
        <f t="shared" si="12"/>
        <v>-0.4285714286</v>
      </c>
    </row>
    <row r="44">
      <c r="A44" s="1" t="s">
        <v>12</v>
      </c>
      <c r="B44" s="1" t="s">
        <v>81</v>
      </c>
      <c r="C44" s="1" t="s">
        <v>20</v>
      </c>
      <c r="D44" s="1" t="s">
        <v>82</v>
      </c>
      <c r="E44" s="1" t="s">
        <v>197</v>
      </c>
      <c r="F44" s="1" t="s">
        <v>565</v>
      </c>
      <c r="G44" s="1">
        <v>2.5</v>
      </c>
      <c r="H44" s="1" t="s">
        <v>60</v>
      </c>
      <c r="I44" s="1">
        <v>-140.0</v>
      </c>
      <c r="J44" s="1">
        <v>-0.181530516166666</v>
      </c>
      <c r="K44" s="1" t="s">
        <v>61</v>
      </c>
      <c r="L44" s="1" t="s">
        <v>61</v>
      </c>
      <c r="M44" s="1" t="s">
        <v>62</v>
      </c>
      <c r="N44" s="1">
        <v>106.0</v>
      </c>
      <c r="O44" s="1">
        <v>0.112759824660194</v>
      </c>
      <c r="P44" s="1" t="s">
        <v>61</v>
      </c>
      <c r="Q44" s="1" t="s">
        <v>61</v>
      </c>
      <c r="R44" s="1">
        <f t="shared" si="1"/>
        <v>0.1127598247</v>
      </c>
      <c r="S44" s="1">
        <f t="shared" si="2"/>
        <v>106</v>
      </c>
      <c r="T44" s="1">
        <f t="shared" si="3"/>
        <v>2.06</v>
      </c>
      <c r="U44" s="1">
        <f t="shared" si="4"/>
        <v>0</v>
      </c>
      <c r="V44" s="3">
        <f t="shared" si="5"/>
        <v>3</v>
      </c>
      <c r="W44" s="3">
        <f t="shared" si="6"/>
        <v>2</v>
      </c>
      <c r="X44" s="3" t="str">
        <f>IFERROR(__xludf.DUMMYFUNCTION("split(B44,"" "")"),"N.")</f>
        <v>N.</v>
      </c>
      <c r="Y44" s="3" t="str">
        <f>IFERROR(__xludf.DUMMYFUNCTION("""COMPUTED_VALUE"""),"Fant")</f>
        <v>Fant</v>
      </c>
      <c r="AA44" s="3">
        <v>2.0</v>
      </c>
      <c r="AB44" s="3">
        <f t="shared" si="7"/>
        <v>0</v>
      </c>
      <c r="AC44" s="3">
        <f t="shared" si="8"/>
        <v>1</v>
      </c>
      <c r="AD44" s="3">
        <f t="shared" si="9"/>
        <v>3.18</v>
      </c>
      <c r="AE44" s="3">
        <f t="shared" si="10"/>
        <v>3.18</v>
      </c>
      <c r="AF44" s="3">
        <f t="shared" si="11"/>
        <v>2.12</v>
      </c>
      <c r="AG44" s="3">
        <f t="shared" si="12"/>
        <v>0.2</v>
      </c>
    </row>
    <row r="45">
      <c r="A45" s="1" t="s">
        <v>12</v>
      </c>
      <c r="B45" s="1" t="s">
        <v>387</v>
      </c>
      <c r="C45" s="1" t="s">
        <v>18</v>
      </c>
      <c r="D45" s="1" t="s">
        <v>82</v>
      </c>
      <c r="E45" s="1" t="s">
        <v>197</v>
      </c>
      <c r="F45" s="1" t="s">
        <v>565</v>
      </c>
      <c r="G45" s="1">
        <v>5.5</v>
      </c>
      <c r="H45" s="1" t="s">
        <v>60</v>
      </c>
      <c r="I45" s="1">
        <v>123.0</v>
      </c>
      <c r="J45" s="1">
        <v>0.0847695067264573</v>
      </c>
      <c r="K45" s="1" t="s">
        <v>61</v>
      </c>
      <c r="L45" s="1" t="s">
        <v>61</v>
      </c>
      <c r="M45" s="1" t="s">
        <v>62</v>
      </c>
      <c r="N45" s="1">
        <v>-162.0</v>
      </c>
      <c r="O45" s="1">
        <v>-0.151520610687022</v>
      </c>
      <c r="P45" s="1" t="s">
        <v>61</v>
      </c>
      <c r="Q45" s="1" t="s">
        <v>61</v>
      </c>
      <c r="R45" s="1">
        <f t="shared" si="1"/>
        <v>0.08476950673</v>
      </c>
      <c r="S45" s="1">
        <f t="shared" si="2"/>
        <v>123</v>
      </c>
      <c r="T45" s="1">
        <f t="shared" si="3"/>
        <v>2.23</v>
      </c>
      <c r="U45" s="1">
        <f t="shared" si="4"/>
        <v>1</v>
      </c>
      <c r="V45" s="3">
        <f t="shared" si="5"/>
        <v>2</v>
      </c>
      <c r="W45" s="3">
        <f t="shared" si="6"/>
        <v>1</v>
      </c>
      <c r="X45" s="3" t="str">
        <f>IFERROR(__xludf.DUMMYFUNCTION("split(B45,"" "")"),"D.")</f>
        <v>D.</v>
      </c>
      <c r="Y45" s="3" t="str">
        <f>IFERROR(__xludf.DUMMYFUNCTION("""COMPUTED_VALUE"""),"Metcalf")</f>
        <v>Metcalf</v>
      </c>
      <c r="AA45" s="3">
        <v>7.0</v>
      </c>
      <c r="AB45" s="3">
        <f t="shared" si="7"/>
        <v>1</v>
      </c>
      <c r="AC45" s="3">
        <f t="shared" si="8"/>
        <v>1</v>
      </c>
      <c r="AD45" s="3">
        <f t="shared" si="9"/>
        <v>2.46</v>
      </c>
      <c r="AE45" s="3">
        <f t="shared" si="10"/>
        <v>2.46</v>
      </c>
      <c r="AF45" s="3">
        <f t="shared" si="11"/>
        <v>1.23</v>
      </c>
      <c r="AG45" s="3">
        <f t="shared" si="12"/>
        <v>0.2727272727</v>
      </c>
    </row>
    <row r="46">
      <c r="A46" s="1" t="s">
        <v>15</v>
      </c>
      <c r="B46" s="1" t="s">
        <v>500</v>
      </c>
      <c r="C46" s="1" t="s">
        <v>21</v>
      </c>
      <c r="D46" s="1" t="s">
        <v>82</v>
      </c>
      <c r="E46" s="1" t="s">
        <v>197</v>
      </c>
      <c r="F46" s="1" t="s">
        <v>565</v>
      </c>
      <c r="G46" s="1">
        <v>23.5</v>
      </c>
      <c r="H46" s="1" t="s">
        <v>60</v>
      </c>
      <c r="I46" s="1">
        <v>100.0</v>
      </c>
      <c r="J46" s="1">
        <v>0.0766999999999999</v>
      </c>
      <c r="K46" s="1" t="s">
        <v>61</v>
      </c>
      <c r="L46" s="1" t="s">
        <v>61</v>
      </c>
      <c r="M46" s="1" t="s">
        <v>62</v>
      </c>
      <c r="N46" s="1">
        <v>-132.0</v>
      </c>
      <c r="O46" s="1">
        <v>-0.145679310344827</v>
      </c>
      <c r="P46" s="1" t="s">
        <v>61</v>
      </c>
      <c r="Q46" s="1" t="s">
        <v>61</v>
      </c>
      <c r="R46" s="1">
        <f t="shared" si="1"/>
        <v>0.0767</v>
      </c>
      <c r="S46" s="1">
        <f t="shared" si="2"/>
        <v>100</v>
      </c>
      <c r="T46" s="1">
        <f t="shared" si="3"/>
        <v>2</v>
      </c>
      <c r="U46" s="1">
        <f t="shared" si="4"/>
        <v>1</v>
      </c>
      <c r="V46" s="3">
        <f t="shared" si="5"/>
        <v>2</v>
      </c>
      <c r="W46" s="3">
        <f t="shared" si="6"/>
        <v>2</v>
      </c>
      <c r="X46" s="3" t="str">
        <f>IFERROR(__xludf.DUMMYFUNCTION("split(B46,"" "")"),"G.")</f>
        <v>G.</v>
      </c>
      <c r="Y46" s="3" t="str">
        <f>IFERROR(__xludf.DUMMYFUNCTION("""COMPUTED_VALUE"""),"Smith")</f>
        <v>Smith</v>
      </c>
      <c r="AA46" s="3">
        <v>38.0</v>
      </c>
      <c r="AB46" s="3">
        <f t="shared" si="7"/>
        <v>1</v>
      </c>
      <c r="AC46" s="3">
        <f t="shared" si="8"/>
        <v>1</v>
      </c>
      <c r="AD46" s="3">
        <f t="shared" si="9"/>
        <v>2</v>
      </c>
      <c r="AE46" s="3">
        <f t="shared" si="10"/>
        <v>2</v>
      </c>
      <c r="AF46" s="3">
        <f t="shared" si="11"/>
        <v>2</v>
      </c>
      <c r="AG46" s="3">
        <f t="shared" si="12"/>
        <v>0.6170212766</v>
      </c>
    </row>
    <row r="47">
      <c r="A47" s="1" t="s">
        <v>17</v>
      </c>
      <c r="B47" s="1" t="s">
        <v>500</v>
      </c>
      <c r="C47" s="1" t="s">
        <v>21</v>
      </c>
      <c r="D47" s="1" t="s">
        <v>82</v>
      </c>
      <c r="E47" s="1" t="s">
        <v>197</v>
      </c>
      <c r="F47" s="1" t="s">
        <v>565</v>
      </c>
      <c r="G47" s="1">
        <v>0.5</v>
      </c>
      <c r="H47" s="1" t="s">
        <v>60</v>
      </c>
      <c r="I47" s="1">
        <v>-134.0</v>
      </c>
      <c r="J47" s="1">
        <v>-0.118035042735042</v>
      </c>
      <c r="K47" s="1" t="s">
        <v>61</v>
      </c>
      <c r="L47" s="1" t="s">
        <v>61</v>
      </c>
      <c r="M47" s="1" t="s">
        <v>62</v>
      </c>
      <c r="N47" s="1">
        <v>102.0</v>
      </c>
      <c r="O47" s="1">
        <v>0.050349504950495</v>
      </c>
      <c r="P47" s="1" t="s">
        <v>61</v>
      </c>
      <c r="Q47" s="1" t="s">
        <v>61</v>
      </c>
      <c r="R47" s="1">
        <f t="shared" si="1"/>
        <v>0.05034950495</v>
      </c>
      <c r="S47" s="1">
        <f t="shared" si="2"/>
        <v>102</v>
      </c>
      <c r="T47" s="1">
        <f t="shared" si="3"/>
        <v>2.02</v>
      </c>
      <c r="U47" s="1">
        <f t="shared" si="4"/>
        <v>0</v>
      </c>
      <c r="V47" s="3">
        <f t="shared" si="5"/>
        <v>2</v>
      </c>
      <c r="W47" s="3">
        <f t="shared" si="6"/>
        <v>2</v>
      </c>
      <c r="X47" s="3" t="str">
        <f>IFERROR(__xludf.DUMMYFUNCTION("split(B47,"" "")"),"G.")</f>
        <v>G.</v>
      </c>
      <c r="Y47" s="3" t="str">
        <f>IFERROR(__xludf.DUMMYFUNCTION("""COMPUTED_VALUE"""),"Smith")</f>
        <v>Smith</v>
      </c>
      <c r="AA47" s="3">
        <v>1.0</v>
      </c>
      <c r="AB47" s="3">
        <f t="shared" si="7"/>
        <v>1</v>
      </c>
      <c r="AC47" s="3">
        <f t="shared" si="8"/>
        <v>0</v>
      </c>
      <c r="AD47" s="3">
        <f t="shared" si="9"/>
        <v>2.04</v>
      </c>
      <c r="AE47" s="3">
        <f t="shared" si="10"/>
        <v>-2</v>
      </c>
      <c r="AF47" s="3">
        <f t="shared" si="11"/>
        <v>-2</v>
      </c>
      <c r="AG47" s="3">
        <f t="shared" si="12"/>
        <v>-1</v>
      </c>
    </row>
    <row r="48">
      <c r="A48" s="1" t="s">
        <v>12</v>
      </c>
      <c r="B48" s="1" t="s">
        <v>490</v>
      </c>
      <c r="C48" s="1" t="s">
        <v>19</v>
      </c>
      <c r="D48" s="1" t="s">
        <v>82</v>
      </c>
      <c r="E48" s="1" t="s">
        <v>197</v>
      </c>
      <c r="F48" s="1" t="s">
        <v>565</v>
      </c>
      <c r="G48" s="1">
        <v>2.5</v>
      </c>
      <c r="H48" s="1" t="s">
        <v>60</v>
      </c>
      <c r="I48" s="1">
        <v>128.0</v>
      </c>
      <c r="J48" s="1">
        <v>-0.110994767157894</v>
      </c>
      <c r="K48" s="1" t="s">
        <v>61</v>
      </c>
      <c r="L48" s="1" t="s">
        <v>61</v>
      </c>
      <c r="M48" s="1" t="s">
        <v>62</v>
      </c>
      <c r="N48" s="1">
        <v>-168.0</v>
      </c>
      <c r="O48" s="1">
        <v>0.0455324032537315</v>
      </c>
      <c r="P48" s="1" t="s">
        <v>61</v>
      </c>
      <c r="Q48" s="1" t="s">
        <v>61</v>
      </c>
      <c r="R48" s="1">
        <f t="shared" si="1"/>
        <v>0.04553240325</v>
      </c>
      <c r="S48" s="1">
        <f t="shared" si="2"/>
        <v>-168</v>
      </c>
      <c r="T48" s="1">
        <f t="shared" si="3"/>
        <v>1.595238095</v>
      </c>
      <c r="U48" s="1">
        <f t="shared" si="4"/>
        <v>0</v>
      </c>
      <c r="V48" s="3">
        <f t="shared" si="5"/>
        <v>1</v>
      </c>
      <c r="W48" s="3">
        <f t="shared" si="6"/>
        <v>3</v>
      </c>
      <c r="X48" s="3" t="str">
        <f>IFERROR(__xludf.DUMMYFUNCTION("split(B48,"" "")"),"K.")</f>
        <v>K.</v>
      </c>
      <c r="Y48" s="3" t="str">
        <f>IFERROR(__xludf.DUMMYFUNCTION("""COMPUTED_VALUE"""),"Walker")</f>
        <v>Walker</v>
      </c>
      <c r="Z48" s="3" t="str">
        <f>IFERROR(__xludf.DUMMYFUNCTION("""COMPUTED_VALUE"""),"III")</f>
        <v>III</v>
      </c>
      <c r="AA48" s="3">
        <v>4.0</v>
      </c>
      <c r="AB48" s="3">
        <f t="shared" si="7"/>
        <v>1</v>
      </c>
      <c r="AC48" s="3">
        <f t="shared" si="8"/>
        <v>0</v>
      </c>
      <c r="AD48" s="3">
        <f t="shared" si="9"/>
        <v>0.5952380952</v>
      </c>
      <c r="AE48" s="3">
        <f t="shared" si="10"/>
        <v>-1</v>
      </c>
      <c r="AF48" s="3">
        <f t="shared" si="11"/>
        <v>-3</v>
      </c>
      <c r="AG48" s="3">
        <f t="shared" si="12"/>
        <v>-0.6</v>
      </c>
    </row>
    <row r="49">
      <c r="A49" s="1" t="s">
        <v>11</v>
      </c>
      <c r="B49" s="1" t="s">
        <v>334</v>
      </c>
      <c r="C49" s="1" t="s">
        <v>18</v>
      </c>
      <c r="D49" s="1" t="s">
        <v>82</v>
      </c>
      <c r="E49" s="1" t="s">
        <v>197</v>
      </c>
      <c r="F49" s="1" t="s">
        <v>565</v>
      </c>
      <c r="G49" s="1">
        <v>48.5</v>
      </c>
      <c r="H49" s="1" t="s">
        <v>60</v>
      </c>
      <c r="I49" s="1">
        <v>-124.0</v>
      </c>
      <c r="J49" s="1">
        <v>-0.0790953036164642</v>
      </c>
      <c r="K49" s="1" t="s">
        <v>61</v>
      </c>
      <c r="L49" s="1" t="s">
        <v>61</v>
      </c>
      <c r="M49" s="1" t="s">
        <v>62</v>
      </c>
      <c r="N49" s="1">
        <v>-104.0</v>
      </c>
      <c r="O49" s="1">
        <v>0.0157513390124117</v>
      </c>
      <c r="P49" s="1" t="s">
        <v>61</v>
      </c>
      <c r="Q49" s="1" t="s">
        <v>61</v>
      </c>
      <c r="R49" s="1">
        <f t="shared" si="1"/>
        <v>0.01575133901</v>
      </c>
      <c r="S49" s="1">
        <f t="shared" si="2"/>
        <v>-104</v>
      </c>
      <c r="T49" s="1">
        <f t="shared" si="3"/>
        <v>1.961538462</v>
      </c>
      <c r="U49" s="1">
        <f t="shared" si="4"/>
        <v>0</v>
      </c>
      <c r="V49" s="3">
        <f t="shared" si="5"/>
        <v>1</v>
      </c>
      <c r="W49" s="3">
        <f t="shared" si="6"/>
        <v>2</v>
      </c>
      <c r="X49" s="3" t="str">
        <f>IFERROR(__xludf.DUMMYFUNCTION("split(B49,"" "")"),"J.")</f>
        <v>J.</v>
      </c>
      <c r="Y49" s="3" t="str">
        <f>IFERROR(__xludf.DUMMYFUNCTION("""COMPUTED_VALUE"""),"Smith-Njigba")</f>
        <v>Smith-Njigba</v>
      </c>
      <c r="AA49" s="3">
        <v>51.0</v>
      </c>
      <c r="AB49" s="3">
        <f t="shared" si="7"/>
        <v>1</v>
      </c>
      <c r="AC49" s="3">
        <f t="shared" si="8"/>
        <v>0</v>
      </c>
      <c r="AD49" s="3">
        <f t="shared" si="9"/>
        <v>0.9615384615</v>
      </c>
      <c r="AE49" s="3">
        <f t="shared" si="10"/>
        <v>-1</v>
      </c>
      <c r="AF49" s="3">
        <f t="shared" si="11"/>
        <v>-2</v>
      </c>
      <c r="AG49" s="3">
        <f t="shared" si="12"/>
        <v>-0.05154639175</v>
      </c>
    </row>
    <row r="50">
      <c r="A50" s="1" t="s">
        <v>11</v>
      </c>
      <c r="B50" s="1" t="s">
        <v>480</v>
      </c>
      <c r="C50" s="1" t="s">
        <v>18</v>
      </c>
      <c r="D50" s="1" t="s">
        <v>82</v>
      </c>
      <c r="E50" s="1" t="s">
        <v>197</v>
      </c>
      <c r="F50" s="1" t="s">
        <v>565</v>
      </c>
      <c r="G50" s="1">
        <v>43.5</v>
      </c>
      <c r="H50" s="1" t="s">
        <v>60</v>
      </c>
      <c r="I50" s="1">
        <v>-114.0</v>
      </c>
      <c r="J50" s="1">
        <v>-0.0690219294427102</v>
      </c>
      <c r="K50" s="1" t="s">
        <v>61</v>
      </c>
      <c r="L50" s="1" t="s">
        <v>61</v>
      </c>
      <c r="M50" s="1" t="s">
        <v>62</v>
      </c>
      <c r="N50" s="1">
        <v>-115.0</v>
      </c>
      <c r="O50" s="1">
        <v>0.00139970023216295</v>
      </c>
      <c r="P50" s="1" t="s">
        <v>61</v>
      </c>
      <c r="Q50" s="1" t="s">
        <v>61</v>
      </c>
      <c r="R50" s="1">
        <f t="shared" si="1"/>
        <v>0.001399700232</v>
      </c>
      <c r="S50" s="1">
        <f t="shared" si="2"/>
        <v>-115</v>
      </c>
      <c r="T50" s="1">
        <f t="shared" si="3"/>
        <v>1.869565217</v>
      </c>
      <c r="U50" s="1">
        <f t="shared" si="4"/>
        <v>0</v>
      </c>
      <c r="V50" s="3">
        <f t="shared" si="5"/>
        <v>1</v>
      </c>
      <c r="W50" s="3">
        <f t="shared" si="6"/>
        <v>2</v>
      </c>
      <c r="X50" s="3" t="str">
        <f>IFERROR(__xludf.DUMMYFUNCTION("split(B50,"" "")"),"T.")</f>
        <v>T.</v>
      </c>
      <c r="Y50" s="3" t="str">
        <f>IFERROR(__xludf.DUMMYFUNCTION("""COMPUTED_VALUE"""),"Lockett")</f>
        <v>Lockett</v>
      </c>
      <c r="AA50" s="3">
        <v>61.0</v>
      </c>
      <c r="AB50" s="3">
        <f t="shared" si="7"/>
        <v>1</v>
      </c>
      <c r="AC50" s="3">
        <f t="shared" si="8"/>
        <v>0</v>
      </c>
      <c r="AD50" s="3">
        <f t="shared" si="9"/>
        <v>0.8695652174</v>
      </c>
      <c r="AE50" s="3">
        <f t="shared" si="10"/>
        <v>-1</v>
      </c>
      <c r="AF50" s="3">
        <f t="shared" si="11"/>
        <v>-2</v>
      </c>
      <c r="AG50" s="3">
        <f t="shared" si="12"/>
        <v>-0.4022988506</v>
      </c>
    </row>
    <row r="51">
      <c r="A51" s="1" t="s">
        <v>9</v>
      </c>
      <c r="B51" s="1" t="s">
        <v>490</v>
      </c>
      <c r="C51" s="1" t="s">
        <v>19</v>
      </c>
      <c r="D51" s="1" t="s">
        <v>82</v>
      </c>
      <c r="E51" s="1" t="s">
        <v>197</v>
      </c>
      <c r="F51" s="1" t="s">
        <v>565</v>
      </c>
      <c r="G51" s="1">
        <v>71.5</v>
      </c>
      <c r="H51" s="1" t="s">
        <v>60</v>
      </c>
      <c r="I51" s="1">
        <v>-115.0</v>
      </c>
      <c r="J51" s="1">
        <v>-0.0774109134961952</v>
      </c>
      <c r="K51" s="1" t="s">
        <v>61</v>
      </c>
      <c r="L51" s="1" t="s">
        <v>61</v>
      </c>
      <c r="M51" s="1" t="s">
        <v>62</v>
      </c>
      <c r="N51" s="1">
        <v>-118.0</v>
      </c>
      <c r="O51" s="1">
        <v>0.00124724199075565</v>
      </c>
      <c r="P51" s="1" t="s">
        <v>61</v>
      </c>
      <c r="Q51" s="1" t="s">
        <v>61</v>
      </c>
      <c r="R51" s="1">
        <f t="shared" si="1"/>
        <v>0.001247241991</v>
      </c>
      <c r="S51" s="1">
        <f t="shared" si="2"/>
        <v>-118</v>
      </c>
      <c r="T51" s="1">
        <f t="shared" si="3"/>
        <v>1.847457627</v>
      </c>
      <c r="U51" s="1">
        <f t="shared" si="4"/>
        <v>0</v>
      </c>
      <c r="V51" s="3">
        <f t="shared" si="5"/>
        <v>1</v>
      </c>
      <c r="W51" s="3">
        <f t="shared" si="6"/>
        <v>3</v>
      </c>
      <c r="X51" s="3" t="str">
        <f>IFERROR(__xludf.DUMMYFUNCTION("split(B51,"" "")"),"K.")</f>
        <v>K.</v>
      </c>
      <c r="Y51" s="3" t="str">
        <f>IFERROR(__xludf.DUMMYFUNCTION("""COMPUTED_VALUE"""),"Walker")</f>
        <v>Walker</v>
      </c>
      <c r="Z51" s="3" t="str">
        <f>IFERROR(__xludf.DUMMYFUNCTION("""COMPUTED_VALUE"""),"III")</f>
        <v>III</v>
      </c>
      <c r="AA51" s="3">
        <v>116.0</v>
      </c>
      <c r="AB51" s="3">
        <f t="shared" si="7"/>
        <v>1</v>
      </c>
      <c r="AC51" s="3">
        <f t="shared" si="8"/>
        <v>0</v>
      </c>
      <c r="AD51" s="3">
        <f t="shared" si="9"/>
        <v>0.8474576271</v>
      </c>
      <c r="AE51" s="3">
        <f t="shared" si="10"/>
        <v>-1</v>
      </c>
      <c r="AF51" s="3">
        <f t="shared" si="11"/>
        <v>-3</v>
      </c>
      <c r="AG51" s="3">
        <f t="shared" si="12"/>
        <v>-0.6223776224</v>
      </c>
    </row>
    <row r="52">
      <c r="A52" s="1" t="s">
        <v>12</v>
      </c>
      <c r="B52" s="1" t="s">
        <v>123</v>
      </c>
      <c r="C52" s="1" t="s">
        <v>19</v>
      </c>
      <c r="D52" s="1" t="s">
        <v>110</v>
      </c>
      <c r="E52" s="1" t="s">
        <v>71</v>
      </c>
      <c r="F52" s="1" t="s">
        <v>564</v>
      </c>
      <c r="G52" s="1">
        <v>2.5</v>
      </c>
      <c r="H52" s="1" t="s">
        <v>60</v>
      </c>
      <c r="I52" s="1">
        <v>-115.0</v>
      </c>
      <c r="J52" s="1">
        <v>-0.247933074279069</v>
      </c>
      <c r="K52" s="1" t="s">
        <v>61</v>
      </c>
      <c r="L52" s="1" t="s">
        <v>61</v>
      </c>
      <c r="M52" s="1" t="s">
        <v>62</v>
      </c>
      <c r="N52" s="1">
        <v>-115.0</v>
      </c>
      <c r="O52" s="1">
        <v>0.17815803542093</v>
      </c>
      <c r="P52" s="1" t="s">
        <v>61</v>
      </c>
      <c r="Q52" s="1" t="s">
        <v>61</v>
      </c>
      <c r="R52" s="1">
        <f t="shared" si="1"/>
        <v>0.1781580354</v>
      </c>
      <c r="S52" s="1">
        <f t="shared" si="2"/>
        <v>-115</v>
      </c>
      <c r="T52" s="1">
        <f t="shared" si="3"/>
        <v>1.869565217</v>
      </c>
      <c r="U52" s="1">
        <f t="shared" si="4"/>
        <v>0</v>
      </c>
      <c r="V52" s="3">
        <f t="shared" si="5"/>
        <v>3</v>
      </c>
      <c r="W52" s="3">
        <f t="shared" si="6"/>
        <v>2</v>
      </c>
      <c r="X52" s="3" t="str">
        <f>IFERROR(__xludf.DUMMYFUNCTION("split(B52,"" "")"),"N.")</f>
        <v>N.</v>
      </c>
      <c r="Y52" s="3" t="str">
        <f>IFERROR(__xludf.DUMMYFUNCTION("""COMPUTED_VALUE"""),"Harris")</f>
        <v>Harris</v>
      </c>
      <c r="AA52" s="3">
        <v>3.0</v>
      </c>
      <c r="AB52" s="3">
        <f t="shared" si="7"/>
        <v>1</v>
      </c>
      <c r="AC52" s="3">
        <f t="shared" si="8"/>
        <v>0</v>
      </c>
      <c r="AD52" s="3">
        <f t="shared" si="9"/>
        <v>2.608695652</v>
      </c>
      <c r="AE52" s="3">
        <f t="shared" si="10"/>
        <v>-3</v>
      </c>
      <c r="AF52" s="3">
        <f t="shared" si="11"/>
        <v>-2</v>
      </c>
      <c r="AG52" s="3">
        <f t="shared" si="12"/>
        <v>-0.2</v>
      </c>
    </row>
    <row r="53">
      <c r="A53" s="1" t="s">
        <v>14</v>
      </c>
      <c r="B53" s="1" t="s">
        <v>555</v>
      </c>
      <c r="C53" s="1" t="s">
        <v>21</v>
      </c>
      <c r="D53" s="1" t="s">
        <v>110</v>
      </c>
      <c r="E53" s="1" t="s">
        <v>71</v>
      </c>
      <c r="F53" s="1" t="s">
        <v>564</v>
      </c>
      <c r="G53" s="1">
        <v>0.5</v>
      </c>
      <c r="H53" s="1" t="s">
        <v>60</v>
      </c>
      <c r="I53" s="1">
        <v>-229.0</v>
      </c>
      <c r="J53" s="1">
        <v>-0.202377409756838</v>
      </c>
      <c r="K53" s="1" t="s">
        <v>61</v>
      </c>
      <c r="L53" s="1" t="s">
        <v>61</v>
      </c>
      <c r="M53" s="1" t="s">
        <v>62</v>
      </c>
      <c r="N53" s="1">
        <v>170.0</v>
      </c>
      <c r="O53" s="1">
        <v>0.135964695592592</v>
      </c>
      <c r="P53" s="1" t="s">
        <v>61</v>
      </c>
      <c r="Q53" s="1" t="s">
        <v>61</v>
      </c>
      <c r="R53" s="1">
        <f t="shared" si="1"/>
        <v>0.1359646956</v>
      </c>
      <c r="S53" s="1">
        <f t="shared" si="2"/>
        <v>170</v>
      </c>
      <c r="T53" s="1">
        <f t="shared" si="3"/>
        <v>2.7</v>
      </c>
      <c r="U53" s="1">
        <f t="shared" si="4"/>
        <v>0</v>
      </c>
      <c r="V53" s="3">
        <f t="shared" si="5"/>
        <v>3</v>
      </c>
      <c r="W53" s="3">
        <f t="shared" si="6"/>
        <v>1</v>
      </c>
      <c r="X53" s="3" t="str">
        <f>IFERROR(__xludf.DUMMYFUNCTION("split(B53,"" "")"),"J.")</f>
        <v>J.</v>
      </c>
      <c r="Y53" s="3" t="str">
        <f>IFERROR(__xludf.DUMMYFUNCTION("""COMPUTED_VALUE"""),"Fields")</f>
        <v>Fields</v>
      </c>
      <c r="AA53" s="3">
        <v>1.0</v>
      </c>
      <c r="AB53" s="3">
        <f t="shared" si="7"/>
        <v>1</v>
      </c>
      <c r="AC53" s="3">
        <f t="shared" si="8"/>
        <v>0</v>
      </c>
      <c r="AD53" s="3">
        <f t="shared" si="9"/>
        <v>5.1</v>
      </c>
      <c r="AE53" s="3">
        <f t="shared" si="10"/>
        <v>-3</v>
      </c>
      <c r="AF53" s="3">
        <f t="shared" si="11"/>
        <v>-1</v>
      </c>
      <c r="AG53" s="3">
        <f t="shared" si="12"/>
        <v>-1</v>
      </c>
    </row>
    <row r="54">
      <c r="A54" s="1" t="s">
        <v>8</v>
      </c>
      <c r="B54" s="1" t="s">
        <v>555</v>
      </c>
      <c r="C54" s="1" t="s">
        <v>21</v>
      </c>
      <c r="D54" s="1" t="s">
        <v>110</v>
      </c>
      <c r="E54" s="1" t="s">
        <v>71</v>
      </c>
      <c r="F54" s="1" t="s">
        <v>564</v>
      </c>
      <c r="G54" s="1">
        <v>8.5</v>
      </c>
      <c r="H54" s="1" t="s">
        <v>60</v>
      </c>
      <c r="I54" s="1">
        <v>105.0</v>
      </c>
      <c r="J54" s="1">
        <v>-0.193596714954013</v>
      </c>
      <c r="K54" s="1" t="s">
        <v>61</v>
      </c>
      <c r="L54" s="1" t="s">
        <v>61</v>
      </c>
      <c r="M54" s="1" t="s">
        <v>62</v>
      </c>
      <c r="N54" s="1">
        <v>-141.0</v>
      </c>
      <c r="O54" s="1">
        <v>0.12072843492376</v>
      </c>
      <c r="P54" s="1" t="s">
        <v>61</v>
      </c>
      <c r="Q54" s="1" t="s">
        <v>61</v>
      </c>
      <c r="R54" s="1">
        <f t="shared" si="1"/>
        <v>0.1207284349</v>
      </c>
      <c r="S54" s="1">
        <f t="shared" si="2"/>
        <v>-141</v>
      </c>
      <c r="T54" s="1">
        <f t="shared" si="3"/>
        <v>1.709219858</v>
      </c>
      <c r="U54" s="1">
        <f t="shared" si="4"/>
        <v>0</v>
      </c>
      <c r="V54" s="3">
        <f t="shared" si="5"/>
        <v>3</v>
      </c>
      <c r="W54" s="3">
        <f t="shared" si="6"/>
        <v>3</v>
      </c>
      <c r="X54" s="3" t="str">
        <f>IFERROR(__xludf.DUMMYFUNCTION("split(B54,"" "")"),"J.")</f>
        <v>J.</v>
      </c>
      <c r="Y54" s="3" t="str">
        <f>IFERROR(__xludf.DUMMYFUNCTION("""COMPUTED_VALUE"""),"Fields")</f>
        <v>Fields</v>
      </c>
      <c r="AA54" s="3">
        <v>10.0</v>
      </c>
      <c r="AB54" s="3">
        <f t="shared" si="7"/>
        <v>1</v>
      </c>
      <c r="AC54" s="3">
        <f t="shared" si="8"/>
        <v>0</v>
      </c>
      <c r="AD54" s="3">
        <f t="shared" si="9"/>
        <v>2.127659574</v>
      </c>
      <c r="AE54" s="3">
        <f t="shared" si="10"/>
        <v>-3</v>
      </c>
      <c r="AF54" s="3">
        <f t="shared" si="11"/>
        <v>-3</v>
      </c>
      <c r="AG54" s="3">
        <f t="shared" si="12"/>
        <v>-0.1764705882</v>
      </c>
    </row>
    <row r="55">
      <c r="A55" s="1" t="s">
        <v>15</v>
      </c>
      <c r="B55" s="1" t="s">
        <v>555</v>
      </c>
      <c r="C55" s="1" t="s">
        <v>21</v>
      </c>
      <c r="D55" s="1" t="s">
        <v>110</v>
      </c>
      <c r="E55" s="1" t="s">
        <v>71</v>
      </c>
      <c r="F55" s="1" t="s">
        <v>564</v>
      </c>
      <c r="G55" s="1">
        <v>17.5</v>
      </c>
      <c r="H55" s="1" t="s">
        <v>60</v>
      </c>
      <c r="I55" s="1">
        <v>-104.0</v>
      </c>
      <c r="J55" s="1">
        <v>-0.185048362083333</v>
      </c>
      <c r="K55" s="1" t="s">
        <v>61</v>
      </c>
      <c r="L55" s="1" t="s">
        <v>61</v>
      </c>
      <c r="M55" s="1" t="s">
        <v>62</v>
      </c>
      <c r="N55" s="1">
        <v>-125.0</v>
      </c>
      <c r="O55" s="1">
        <v>0.119694810361111</v>
      </c>
      <c r="P55" s="1" t="s">
        <v>61</v>
      </c>
      <c r="Q55" s="1" t="s">
        <v>61</v>
      </c>
      <c r="R55" s="1">
        <f t="shared" si="1"/>
        <v>0.1196948104</v>
      </c>
      <c r="S55" s="1">
        <f t="shared" si="2"/>
        <v>-125</v>
      </c>
      <c r="T55" s="1">
        <f t="shared" si="3"/>
        <v>1.8</v>
      </c>
      <c r="U55" s="1">
        <f t="shared" si="4"/>
        <v>0</v>
      </c>
      <c r="V55" s="3">
        <f t="shared" si="5"/>
        <v>3</v>
      </c>
      <c r="W55" s="3">
        <f t="shared" si="6"/>
        <v>3</v>
      </c>
      <c r="X55" s="3" t="str">
        <f>IFERROR(__xludf.DUMMYFUNCTION("split(B55,"" "")"),"J.")</f>
        <v>J.</v>
      </c>
      <c r="Y55" s="3" t="str">
        <f>IFERROR(__xludf.DUMMYFUNCTION("""COMPUTED_VALUE"""),"Fields")</f>
        <v>Fields</v>
      </c>
      <c r="AA55" s="3">
        <v>22.0</v>
      </c>
      <c r="AB55" s="3">
        <f t="shared" si="7"/>
        <v>1</v>
      </c>
      <c r="AC55" s="3">
        <f t="shared" si="8"/>
        <v>0</v>
      </c>
      <c r="AD55" s="3">
        <f t="shared" si="9"/>
        <v>2.4</v>
      </c>
      <c r="AE55" s="3">
        <f t="shared" si="10"/>
        <v>-3</v>
      </c>
      <c r="AF55" s="3">
        <f t="shared" si="11"/>
        <v>-3</v>
      </c>
      <c r="AG55" s="3">
        <f t="shared" si="12"/>
        <v>-0.2571428571</v>
      </c>
    </row>
    <row r="56">
      <c r="A56" s="1" t="s">
        <v>16</v>
      </c>
      <c r="B56" s="1" t="s">
        <v>555</v>
      </c>
      <c r="C56" s="1" t="s">
        <v>21</v>
      </c>
      <c r="D56" s="1" t="s">
        <v>110</v>
      </c>
      <c r="E56" s="1" t="s">
        <v>71</v>
      </c>
      <c r="F56" s="1" t="s">
        <v>564</v>
      </c>
      <c r="G56" s="1">
        <v>26.5</v>
      </c>
      <c r="H56" s="1" t="s">
        <v>60</v>
      </c>
      <c r="I56" s="1">
        <v>-108.0</v>
      </c>
      <c r="J56" s="1">
        <v>-0.128878711014423</v>
      </c>
      <c r="K56" s="1" t="s">
        <v>61</v>
      </c>
      <c r="L56" s="1" t="s">
        <v>61</v>
      </c>
      <c r="M56" s="1" t="s">
        <v>62</v>
      </c>
      <c r="N56" s="1">
        <v>-121.0</v>
      </c>
      <c r="O56" s="1">
        <v>0.0621432850140724</v>
      </c>
      <c r="P56" s="1" t="s">
        <v>61</v>
      </c>
      <c r="Q56" s="1" t="s">
        <v>61</v>
      </c>
      <c r="R56" s="1">
        <f t="shared" si="1"/>
        <v>0.06214328501</v>
      </c>
      <c r="S56" s="1">
        <f t="shared" si="2"/>
        <v>-121</v>
      </c>
      <c r="T56" s="1">
        <f t="shared" si="3"/>
        <v>1.826446281</v>
      </c>
      <c r="U56" s="1">
        <f t="shared" si="4"/>
        <v>0</v>
      </c>
      <c r="V56" s="3">
        <f t="shared" si="5"/>
        <v>2</v>
      </c>
      <c r="W56" s="3">
        <f t="shared" si="6"/>
        <v>3</v>
      </c>
      <c r="X56" s="3" t="str">
        <f>IFERROR(__xludf.DUMMYFUNCTION("split(B56,"" "")"),"J.")</f>
        <v>J.</v>
      </c>
      <c r="Y56" s="3" t="str">
        <f>IFERROR(__xludf.DUMMYFUNCTION("""COMPUTED_VALUE"""),"Fields")</f>
        <v>Fields</v>
      </c>
      <c r="AA56" s="3">
        <v>34.0</v>
      </c>
      <c r="AB56" s="3">
        <f t="shared" si="7"/>
        <v>1</v>
      </c>
      <c r="AC56" s="3">
        <f t="shared" si="8"/>
        <v>0</v>
      </c>
      <c r="AD56" s="3">
        <f t="shared" si="9"/>
        <v>1.652892562</v>
      </c>
      <c r="AE56" s="3">
        <f t="shared" si="10"/>
        <v>-2</v>
      </c>
      <c r="AF56" s="3">
        <f t="shared" si="11"/>
        <v>-3</v>
      </c>
      <c r="AG56" s="3">
        <f t="shared" si="12"/>
        <v>-0.2830188679</v>
      </c>
    </row>
    <row r="57">
      <c r="A57" s="1" t="s">
        <v>12</v>
      </c>
      <c r="B57" s="1" t="s">
        <v>566</v>
      </c>
      <c r="C57" s="1" t="s">
        <v>18</v>
      </c>
      <c r="D57" s="1" t="s">
        <v>110</v>
      </c>
      <c r="E57" s="1" t="s">
        <v>71</v>
      </c>
      <c r="F57" s="1" t="s">
        <v>564</v>
      </c>
      <c r="G57" s="1">
        <v>0.5</v>
      </c>
      <c r="H57" s="1" t="s">
        <v>60</v>
      </c>
      <c r="I57" s="1">
        <v>-160.0</v>
      </c>
      <c r="J57" s="1">
        <v>-0.0970799733223077</v>
      </c>
      <c r="K57" s="1" t="s">
        <v>61</v>
      </c>
      <c r="L57" s="1" t="s">
        <v>61</v>
      </c>
      <c r="M57" s="1" t="s">
        <v>62</v>
      </c>
      <c r="N57" s="1">
        <v>125.0</v>
      </c>
      <c r="O57" s="1">
        <v>0.0372501913946667</v>
      </c>
      <c r="P57" s="1" t="s">
        <v>61</v>
      </c>
      <c r="Q57" s="1" t="s">
        <v>61</v>
      </c>
      <c r="R57" s="1">
        <f t="shared" si="1"/>
        <v>0.03725019139</v>
      </c>
      <c r="S57" s="1">
        <f t="shared" si="2"/>
        <v>125</v>
      </c>
      <c r="T57" s="1">
        <f t="shared" si="3"/>
        <v>2.25</v>
      </c>
      <c r="U57" s="1">
        <f t="shared" si="4"/>
        <v>0</v>
      </c>
      <c r="V57" s="3">
        <f t="shared" si="5"/>
        <v>1</v>
      </c>
      <c r="W57" s="3">
        <f t="shared" si="6"/>
        <v>1</v>
      </c>
      <c r="X57" s="3" t="str">
        <f>IFERROR(__xludf.DUMMYFUNCTION("split(B57,"" "")"),"S.")</f>
        <v>S.</v>
      </c>
      <c r="Y57" s="3" t="str">
        <f>IFERROR(__xludf.DUMMYFUNCTION("""COMPUTED_VALUE"""),"Miller")</f>
        <v>Miller</v>
      </c>
      <c r="AA57" s="3">
        <v>0.0</v>
      </c>
      <c r="AB57" s="3">
        <f t="shared" si="7"/>
        <v>0</v>
      </c>
      <c r="AC57" s="3">
        <f t="shared" si="8"/>
        <v>1</v>
      </c>
      <c r="AD57" s="3">
        <f t="shared" si="9"/>
        <v>1.25</v>
      </c>
      <c r="AE57" s="3">
        <f t="shared" si="10"/>
        <v>1.25</v>
      </c>
      <c r="AF57" s="3">
        <f t="shared" si="11"/>
        <v>1.25</v>
      </c>
      <c r="AG57" s="3">
        <f t="shared" si="12"/>
        <v>1</v>
      </c>
    </row>
    <row r="58">
      <c r="A58" s="1" t="s">
        <v>11</v>
      </c>
      <c r="B58" s="1" t="s">
        <v>415</v>
      </c>
      <c r="C58" s="1" t="s">
        <v>18</v>
      </c>
      <c r="D58" s="1" t="s">
        <v>110</v>
      </c>
      <c r="E58" s="1" t="s">
        <v>71</v>
      </c>
      <c r="F58" s="1" t="s">
        <v>564</v>
      </c>
      <c r="G58" s="1">
        <v>49.5</v>
      </c>
      <c r="H58" s="1" t="s">
        <v>60</v>
      </c>
      <c r="I58" s="1">
        <v>-127.0</v>
      </c>
      <c r="J58" s="1">
        <v>-0.0978720908591541</v>
      </c>
      <c r="K58" s="1" t="s">
        <v>61</v>
      </c>
      <c r="L58" s="1" t="s">
        <v>61</v>
      </c>
      <c r="M58" s="1" t="s">
        <v>62</v>
      </c>
      <c r="N58" s="1">
        <v>-104.0</v>
      </c>
      <c r="O58" s="1">
        <v>0.0285964723402745</v>
      </c>
      <c r="P58" s="1" t="s">
        <v>61</v>
      </c>
      <c r="Q58" s="1" t="s">
        <v>61</v>
      </c>
      <c r="R58" s="1">
        <f t="shared" si="1"/>
        <v>0.02859647234</v>
      </c>
      <c r="S58" s="1">
        <f t="shared" si="2"/>
        <v>-104</v>
      </c>
      <c r="T58" s="1">
        <f t="shared" si="3"/>
        <v>1.961538462</v>
      </c>
      <c r="U58" s="1">
        <f t="shared" si="4"/>
        <v>0</v>
      </c>
      <c r="V58" s="3">
        <f t="shared" si="5"/>
        <v>1</v>
      </c>
      <c r="W58" s="3">
        <f t="shared" si="6"/>
        <v>2</v>
      </c>
      <c r="X58" s="3" t="str">
        <f>IFERROR(__xludf.DUMMYFUNCTION("split(B58,"" "")"),"G.")</f>
        <v>G.</v>
      </c>
      <c r="Y58" s="3" t="str">
        <f>IFERROR(__xludf.DUMMYFUNCTION("""COMPUTED_VALUE"""),"Pickens")</f>
        <v>Pickens</v>
      </c>
      <c r="AA58" s="3">
        <v>113.0</v>
      </c>
      <c r="AB58" s="3">
        <f t="shared" si="7"/>
        <v>1</v>
      </c>
      <c r="AC58" s="3">
        <f t="shared" si="8"/>
        <v>0</v>
      </c>
      <c r="AD58" s="3">
        <f t="shared" si="9"/>
        <v>0.9615384615</v>
      </c>
      <c r="AE58" s="3">
        <f t="shared" si="10"/>
        <v>-1</v>
      </c>
      <c r="AF58" s="3">
        <f t="shared" si="11"/>
        <v>-2</v>
      </c>
      <c r="AG58" s="3">
        <f t="shared" si="12"/>
        <v>-1.282828283</v>
      </c>
    </row>
    <row r="59">
      <c r="A59" s="1" t="s">
        <v>12</v>
      </c>
      <c r="B59" s="1" t="s">
        <v>489</v>
      </c>
      <c r="C59" s="1" t="s">
        <v>20</v>
      </c>
      <c r="D59" s="1" t="s">
        <v>110</v>
      </c>
      <c r="E59" s="1" t="s">
        <v>71</v>
      </c>
      <c r="F59" s="1" t="s">
        <v>564</v>
      </c>
      <c r="G59" s="1">
        <v>3.5</v>
      </c>
      <c r="H59" s="1" t="s">
        <v>60</v>
      </c>
      <c r="I59" s="1">
        <v>127.0</v>
      </c>
      <c r="J59" s="1">
        <v>-0.0937286343612334</v>
      </c>
      <c r="K59" s="1" t="s">
        <v>61</v>
      </c>
      <c r="L59" s="1" t="s">
        <v>61</v>
      </c>
      <c r="M59" s="1" t="s">
        <v>62</v>
      </c>
      <c r="N59" s="1">
        <v>-169.0</v>
      </c>
      <c r="O59" s="1">
        <v>0.0249472118959107</v>
      </c>
      <c r="P59" s="1" t="s">
        <v>61</v>
      </c>
      <c r="Q59" s="1" t="s">
        <v>61</v>
      </c>
      <c r="R59" s="1">
        <f t="shared" si="1"/>
        <v>0.0249472119</v>
      </c>
      <c r="S59" s="1">
        <f t="shared" si="2"/>
        <v>-169</v>
      </c>
      <c r="T59" s="1">
        <f t="shared" si="3"/>
        <v>1.591715976</v>
      </c>
      <c r="U59" s="1">
        <f t="shared" si="4"/>
        <v>0</v>
      </c>
      <c r="V59" s="3">
        <f t="shared" si="5"/>
        <v>1</v>
      </c>
      <c r="W59" s="3">
        <f t="shared" si="6"/>
        <v>3</v>
      </c>
      <c r="X59" s="3" t="str">
        <f>IFERROR(__xludf.DUMMYFUNCTION("split(B59,"" "")"),"P.")</f>
        <v>P.</v>
      </c>
      <c r="Y59" s="3" t="str">
        <f>IFERROR(__xludf.DUMMYFUNCTION("""COMPUTED_VALUE"""),"Freiermuth")</f>
        <v>Freiermuth</v>
      </c>
      <c r="AA59" s="3">
        <v>5.0</v>
      </c>
      <c r="AB59" s="3">
        <f t="shared" si="7"/>
        <v>1</v>
      </c>
      <c r="AC59" s="3">
        <f t="shared" si="8"/>
        <v>0</v>
      </c>
      <c r="AD59" s="3">
        <f t="shared" si="9"/>
        <v>0.5917159763</v>
      </c>
      <c r="AE59" s="3">
        <f t="shared" si="10"/>
        <v>-1</v>
      </c>
      <c r="AF59" s="3">
        <f t="shared" si="11"/>
        <v>-3</v>
      </c>
      <c r="AG59" s="3">
        <f t="shared" si="12"/>
        <v>-0.4285714286</v>
      </c>
    </row>
    <row r="60">
      <c r="A60" s="1" t="s">
        <v>11</v>
      </c>
      <c r="B60" s="1" t="s">
        <v>489</v>
      </c>
      <c r="C60" s="1" t="s">
        <v>20</v>
      </c>
      <c r="D60" s="1" t="s">
        <v>110</v>
      </c>
      <c r="E60" s="1" t="s">
        <v>71</v>
      </c>
      <c r="F60" s="1" t="s">
        <v>564</v>
      </c>
      <c r="G60" s="1">
        <v>28.5</v>
      </c>
      <c r="H60" s="1" t="s">
        <v>60</v>
      </c>
      <c r="I60" s="1">
        <v>-115.0</v>
      </c>
      <c r="J60" s="1">
        <v>-0.0916364879513489</v>
      </c>
      <c r="K60" s="1" t="s">
        <v>61</v>
      </c>
      <c r="L60" s="1" t="s">
        <v>61</v>
      </c>
      <c r="M60" s="1" t="s">
        <v>62</v>
      </c>
      <c r="N60" s="1">
        <v>-114.0</v>
      </c>
      <c r="O60" s="1">
        <v>0.0240646878358674</v>
      </c>
      <c r="P60" s="1" t="s">
        <v>61</v>
      </c>
      <c r="Q60" s="1" t="s">
        <v>61</v>
      </c>
      <c r="R60" s="1">
        <f t="shared" si="1"/>
        <v>0.02406468784</v>
      </c>
      <c r="S60" s="1">
        <f t="shared" si="2"/>
        <v>-114</v>
      </c>
      <c r="T60" s="1">
        <f t="shared" si="3"/>
        <v>1.877192982</v>
      </c>
      <c r="U60" s="1">
        <f t="shared" si="4"/>
        <v>0</v>
      </c>
      <c r="V60" s="3">
        <f t="shared" si="5"/>
        <v>1</v>
      </c>
      <c r="W60" s="3">
        <f t="shared" si="6"/>
        <v>2</v>
      </c>
      <c r="X60" s="3" t="str">
        <f>IFERROR(__xludf.DUMMYFUNCTION("split(B60,"" "")"),"P.")</f>
        <v>P.</v>
      </c>
      <c r="Y60" s="3" t="str">
        <f>IFERROR(__xludf.DUMMYFUNCTION("""COMPUTED_VALUE"""),"Freiermuth")</f>
        <v>Freiermuth</v>
      </c>
      <c r="AA60" s="3">
        <v>57.0</v>
      </c>
      <c r="AB60" s="3">
        <f t="shared" si="7"/>
        <v>1</v>
      </c>
      <c r="AC60" s="3">
        <f t="shared" si="8"/>
        <v>0</v>
      </c>
      <c r="AD60" s="3">
        <f t="shared" si="9"/>
        <v>0.8771929825</v>
      </c>
      <c r="AE60" s="3">
        <f t="shared" si="10"/>
        <v>-1</v>
      </c>
      <c r="AF60" s="3">
        <f t="shared" si="11"/>
        <v>-2</v>
      </c>
      <c r="AG60" s="3">
        <f t="shared" si="12"/>
        <v>-1</v>
      </c>
    </row>
    <row r="61">
      <c r="A61" s="1" t="s">
        <v>10</v>
      </c>
      <c r="B61" s="1" t="s">
        <v>555</v>
      </c>
      <c r="C61" s="1" t="s">
        <v>21</v>
      </c>
      <c r="D61" s="1" t="s">
        <v>110</v>
      </c>
      <c r="E61" s="1" t="s">
        <v>71</v>
      </c>
      <c r="F61" s="1" t="s">
        <v>564</v>
      </c>
      <c r="G61" s="1">
        <v>40.5</v>
      </c>
      <c r="H61" s="1" t="s">
        <v>60</v>
      </c>
      <c r="I61" s="1">
        <v>-112.0</v>
      </c>
      <c r="J61" s="1">
        <v>-0.0861778339062781</v>
      </c>
      <c r="K61" s="1" t="s">
        <v>61</v>
      </c>
      <c r="L61" s="1" t="s">
        <v>61</v>
      </c>
      <c r="M61" s="1" t="s">
        <v>62</v>
      </c>
      <c r="N61" s="1">
        <v>-117.0</v>
      </c>
      <c r="O61" s="1">
        <v>0.0187444485432684</v>
      </c>
      <c r="P61" s="1" t="s">
        <v>61</v>
      </c>
      <c r="Q61" s="1" t="s">
        <v>61</v>
      </c>
      <c r="R61" s="1">
        <f t="shared" si="1"/>
        <v>0.01874444854</v>
      </c>
      <c r="S61" s="1">
        <f t="shared" si="2"/>
        <v>-117</v>
      </c>
      <c r="T61" s="1">
        <f t="shared" si="3"/>
        <v>1.854700855</v>
      </c>
      <c r="U61" s="1">
        <f t="shared" si="4"/>
        <v>0</v>
      </c>
      <c r="V61" s="3">
        <f t="shared" si="5"/>
        <v>1</v>
      </c>
      <c r="W61" s="3">
        <f t="shared" si="6"/>
        <v>2</v>
      </c>
      <c r="X61" s="3" t="str">
        <f>IFERROR(__xludf.DUMMYFUNCTION("split(B61,"" "")"),"J.")</f>
        <v>J.</v>
      </c>
      <c r="Y61" s="3" t="str">
        <f>IFERROR(__xludf.DUMMYFUNCTION("""COMPUTED_VALUE"""),"Fields")</f>
        <v>Fields</v>
      </c>
      <c r="AA61" s="3">
        <v>55.0</v>
      </c>
      <c r="AB61" s="3">
        <f t="shared" si="7"/>
        <v>1</v>
      </c>
      <c r="AC61" s="3">
        <f t="shared" si="8"/>
        <v>0</v>
      </c>
      <c r="AD61" s="3">
        <f t="shared" si="9"/>
        <v>0.8547008547</v>
      </c>
      <c r="AE61" s="3">
        <f t="shared" si="10"/>
        <v>-1</v>
      </c>
      <c r="AF61" s="3">
        <f t="shared" si="11"/>
        <v>-2</v>
      </c>
      <c r="AG61" s="3">
        <f t="shared" si="12"/>
        <v>-0.3580246914</v>
      </c>
    </row>
    <row r="62">
      <c r="A62" s="1" t="s">
        <v>11</v>
      </c>
      <c r="B62" s="1" t="s">
        <v>566</v>
      </c>
      <c r="C62" s="1" t="s">
        <v>18</v>
      </c>
      <c r="D62" s="1" t="s">
        <v>110</v>
      </c>
      <c r="E62" s="1" t="s">
        <v>71</v>
      </c>
      <c r="F62" s="1" t="s">
        <v>564</v>
      </c>
      <c r="G62" s="1">
        <v>15.5</v>
      </c>
      <c r="H62" s="1" t="s">
        <v>60</v>
      </c>
      <c r="I62" s="1">
        <v>-120.0</v>
      </c>
      <c r="J62" s="1">
        <v>-0.087295758746574</v>
      </c>
      <c r="K62" s="1" t="s">
        <v>61</v>
      </c>
      <c r="L62" s="1" t="s">
        <v>61</v>
      </c>
      <c r="M62" s="1" t="s">
        <v>62</v>
      </c>
      <c r="N62" s="1">
        <v>-110.0</v>
      </c>
      <c r="O62" s="1">
        <v>0.0180532076984328</v>
      </c>
      <c r="P62" s="1" t="s">
        <v>61</v>
      </c>
      <c r="Q62" s="1" t="s">
        <v>61</v>
      </c>
      <c r="R62" s="1">
        <f t="shared" si="1"/>
        <v>0.0180532077</v>
      </c>
      <c r="S62" s="1">
        <f t="shared" si="2"/>
        <v>-110</v>
      </c>
      <c r="T62" s="1">
        <f t="shared" si="3"/>
        <v>1.909090909</v>
      </c>
      <c r="U62" s="1">
        <f t="shared" si="4"/>
        <v>0</v>
      </c>
      <c r="V62" s="3">
        <f t="shared" si="5"/>
        <v>1</v>
      </c>
      <c r="W62" s="3">
        <f t="shared" si="6"/>
        <v>2</v>
      </c>
      <c r="X62" s="3" t="str">
        <f>IFERROR(__xludf.DUMMYFUNCTION("split(B62,"" "")"),"S.")</f>
        <v>S.</v>
      </c>
      <c r="Y62" s="3" t="str">
        <f>IFERROR(__xludf.DUMMYFUNCTION("""COMPUTED_VALUE"""),"Miller")</f>
        <v>Miller</v>
      </c>
      <c r="AA62" s="3">
        <v>0.0</v>
      </c>
      <c r="AB62" s="3">
        <f t="shared" si="7"/>
        <v>0</v>
      </c>
      <c r="AC62" s="3">
        <f t="shared" si="8"/>
        <v>1</v>
      </c>
      <c r="AD62" s="3">
        <f t="shared" si="9"/>
        <v>0.9090909091</v>
      </c>
      <c r="AE62" s="3">
        <f t="shared" si="10"/>
        <v>0.9090909091</v>
      </c>
      <c r="AF62" s="3">
        <f t="shared" si="11"/>
        <v>1.818181818</v>
      </c>
      <c r="AG62" s="3">
        <f t="shared" si="12"/>
        <v>1</v>
      </c>
    </row>
    <row r="63">
      <c r="A63" s="1" t="s">
        <v>10</v>
      </c>
      <c r="B63" s="1" t="s">
        <v>123</v>
      </c>
      <c r="C63" s="1" t="s">
        <v>19</v>
      </c>
      <c r="D63" s="1" t="s">
        <v>110</v>
      </c>
      <c r="E63" s="1" t="s">
        <v>71</v>
      </c>
      <c r="F63" s="1" t="s">
        <v>564</v>
      </c>
      <c r="G63" s="1">
        <v>66.0</v>
      </c>
      <c r="H63" s="1" t="s">
        <v>60</v>
      </c>
      <c r="I63" s="1">
        <v>-113.0</v>
      </c>
      <c r="J63" s="1">
        <v>-0.0836340353175279</v>
      </c>
      <c r="K63" s="1" t="s">
        <v>61</v>
      </c>
      <c r="L63" s="1" t="s">
        <v>61</v>
      </c>
      <c r="M63" s="1" t="s">
        <v>62</v>
      </c>
      <c r="N63" s="1">
        <v>-118.0</v>
      </c>
      <c r="O63" s="1">
        <v>0.0127226444602034</v>
      </c>
      <c r="P63" s="1" t="s">
        <v>61</v>
      </c>
      <c r="Q63" s="1" t="s">
        <v>61</v>
      </c>
      <c r="R63" s="1">
        <f t="shared" si="1"/>
        <v>0.01272264446</v>
      </c>
      <c r="S63" s="1">
        <f t="shared" si="2"/>
        <v>-118</v>
      </c>
      <c r="T63" s="1">
        <f t="shared" si="3"/>
        <v>1.847457627</v>
      </c>
      <c r="U63" s="1">
        <f t="shared" si="4"/>
        <v>0</v>
      </c>
      <c r="V63" s="3">
        <f t="shared" si="5"/>
        <v>1</v>
      </c>
      <c r="W63" s="3">
        <f t="shared" si="6"/>
        <v>3</v>
      </c>
      <c r="X63" s="3" t="str">
        <f>IFERROR(__xludf.DUMMYFUNCTION("split(B63,"" "")"),"N.")</f>
        <v>N.</v>
      </c>
      <c r="Y63" s="3" t="str">
        <f>IFERROR(__xludf.DUMMYFUNCTION("""COMPUTED_VALUE"""),"Harris")</f>
        <v>Harris</v>
      </c>
      <c r="AA63" s="3">
        <v>19.0</v>
      </c>
      <c r="AB63" s="3">
        <f t="shared" si="7"/>
        <v>0</v>
      </c>
      <c r="AC63" s="3">
        <f t="shared" si="8"/>
        <v>1</v>
      </c>
      <c r="AD63" s="3">
        <f t="shared" si="9"/>
        <v>0.8474576271</v>
      </c>
      <c r="AE63" s="3">
        <f t="shared" si="10"/>
        <v>0.8474576271</v>
      </c>
      <c r="AF63" s="3">
        <f t="shared" si="11"/>
        <v>2.542372881</v>
      </c>
      <c r="AG63" s="3">
        <f t="shared" si="12"/>
        <v>0.7121212121</v>
      </c>
    </row>
    <row r="64">
      <c r="A64" s="1" t="s">
        <v>14</v>
      </c>
      <c r="B64" s="1" t="s">
        <v>338</v>
      </c>
      <c r="C64" s="1" t="s">
        <v>21</v>
      </c>
      <c r="D64" s="1" t="s">
        <v>156</v>
      </c>
      <c r="E64" s="1" t="s">
        <v>113</v>
      </c>
      <c r="F64" s="1" t="s">
        <v>564</v>
      </c>
      <c r="G64" s="1">
        <v>1.5</v>
      </c>
      <c r="H64" s="1" t="s">
        <v>60</v>
      </c>
      <c r="I64" s="1">
        <v>175.0</v>
      </c>
      <c r="J64" s="1">
        <v>0.0534636363636363</v>
      </c>
      <c r="K64" s="1" t="s">
        <v>61</v>
      </c>
      <c r="L64" s="1" t="s">
        <v>61</v>
      </c>
      <c r="M64" s="1" t="s">
        <v>62</v>
      </c>
      <c r="N64" s="1">
        <v>-241.0</v>
      </c>
      <c r="O64" s="1">
        <v>-0.12384486803519</v>
      </c>
      <c r="P64" s="1" t="s">
        <v>61</v>
      </c>
      <c r="Q64" s="1" t="s">
        <v>61</v>
      </c>
      <c r="R64" s="1">
        <f t="shared" si="1"/>
        <v>0.05346363636</v>
      </c>
      <c r="S64" s="1">
        <f t="shared" si="2"/>
        <v>175</v>
      </c>
      <c r="T64" s="1">
        <f t="shared" si="3"/>
        <v>2.75</v>
      </c>
      <c r="U64" s="1">
        <f t="shared" si="4"/>
        <v>1</v>
      </c>
      <c r="V64" s="3">
        <f t="shared" si="5"/>
        <v>2</v>
      </c>
      <c r="W64" s="3">
        <f t="shared" si="6"/>
        <v>1</v>
      </c>
      <c r="X64" s="3" t="str">
        <f>IFERROR(__xludf.DUMMYFUNCTION("split(B64,"" "")"),"J.")</f>
        <v>J.</v>
      </c>
      <c r="Y64" s="3" t="str">
        <f>IFERROR(__xludf.DUMMYFUNCTION("""COMPUTED_VALUE"""),"Hurts")</f>
        <v>Hurts</v>
      </c>
      <c r="AA64" s="3">
        <v>1.0</v>
      </c>
      <c r="AB64" s="3">
        <f t="shared" si="7"/>
        <v>0</v>
      </c>
      <c r="AC64" s="3">
        <f t="shared" si="8"/>
        <v>0</v>
      </c>
      <c r="AD64" s="3">
        <f t="shared" si="9"/>
        <v>3.5</v>
      </c>
      <c r="AE64" s="3">
        <f t="shared" si="10"/>
        <v>-2</v>
      </c>
      <c r="AF64" s="3">
        <f t="shared" si="11"/>
        <v>-1</v>
      </c>
      <c r="AG64" s="3">
        <f t="shared" si="12"/>
        <v>-0.3333333333</v>
      </c>
    </row>
    <row r="65">
      <c r="A65" s="1" t="s">
        <v>13</v>
      </c>
      <c r="B65" s="1" t="s">
        <v>338</v>
      </c>
      <c r="C65" s="1" t="s">
        <v>21</v>
      </c>
      <c r="D65" s="1" t="s">
        <v>156</v>
      </c>
      <c r="E65" s="1" t="s">
        <v>113</v>
      </c>
      <c r="F65" s="1" t="s">
        <v>564</v>
      </c>
      <c r="G65" s="1">
        <v>205.5</v>
      </c>
      <c r="H65" s="1" t="s">
        <v>60</v>
      </c>
      <c r="I65" s="1">
        <v>-115.0</v>
      </c>
      <c r="J65" s="1">
        <v>0.0393664786511622</v>
      </c>
      <c r="K65" s="1" t="s">
        <v>61</v>
      </c>
      <c r="L65" s="1" t="s">
        <v>61</v>
      </c>
      <c r="M65" s="1" t="s">
        <v>62</v>
      </c>
      <c r="N65" s="1">
        <v>-114.0</v>
      </c>
      <c r="O65" s="1">
        <v>-0.106967775314952</v>
      </c>
      <c r="P65" s="1" t="s">
        <v>61</v>
      </c>
      <c r="Q65" s="1" t="s">
        <v>61</v>
      </c>
      <c r="R65" s="1">
        <f t="shared" si="1"/>
        <v>0.03936647865</v>
      </c>
      <c r="S65" s="1">
        <f t="shared" si="2"/>
        <v>-115</v>
      </c>
      <c r="T65" s="1">
        <f t="shared" si="3"/>
        <v>1.869565217</v>
      </c>
      <c r="U65" s="1">
        <f t="shared" si="4"/>
        <v>1</v>
      </c>
      <c r="V65" s="3">
        <f t="shared" si="5"/>
        <v>1</v>
      </c>
      <c r="W65" s="3">
        <f t="shared" si="6"/>
        <v>2</v>
      </c>
      <c r="X65" s="3" t="str">
        <f>IFERROR(__xludf.DUMMYFUNCTION("split(B65,"" "")"),"J.")</f>
        <v>J.</v>
      </c>
      <c r="Y65" s="3" t="str">
        <f>IFERROR(__xludf.DUMMYFUNCTION("""COMPUTED_VALUE"""),"Hurts")</f>
        <v>Hurts</v>
      </c>
      <c r="AA65" s="3">
        <v>158.0</v>
      </c>
      <c r="AB65" s="3">
        <f t="shared" si="7"/>
        <v>0</v>
      </c>
      <c r="AC65" s="3">
        <f t="shared" si="8"/>
        <v>0</v>
      </c>
      <c r="AD65" s="3">
        <f t="shared" si="9"/>
        <v>0.8695652174</v>
      </c>
      <c r="AE65" s="3">
        <f t="shared" si="10"/>
        <v>-1</v>
      </c>
      <c r="AF65" s="3">
        <f t="shared" si="11"/>
        <v>-2</v>
      </c>
      <c r="AG65" s="3">
        <f t="shared" si="12"/>
        <v>-0.2311435523</v>
      </c>
    </row>
    <row r="66">
      <c r="A66" s="1" t="s">
        <v>10</v>
      </c>
      <c r="B66" s="1" t="s">
        <v>155</v>
      </c>
      <c r="C66" s="1" t="s">
        <v>19</v>
      </c>
      <c r="D66" s="1" t="s">
        <v>156</v>
      </c>
      <c r="E66" s="1" t="s">
        <v>113</v>
      </c>
      <c r="F66" s="1" t="s">
        <v>564</v>
      </c>
      <c r="G66" s="1">
        <v>78.5</v>
      </c>
      <c r="H66" s="1" t="s">
        <v>60</v>
      </c>
      <c r="I66" s="1">
        <v>-114.0</v>
      </c>
      <c r="J66" s="1">
        <v>-0.108972436922663</v>
      </c>
      <c r="K66" s="1" t="s">
        <v>61</v>
      </c>
      <c r="L66" s="1" t="s">
        <v>61</v>
      </c>
      <c r="M66" s="1" t="s">
        <v>62</v>
      </c>
      <c r="N66" s="1">
        <v>-116.0</v>
      </c>
      <c r="O66" s="1">
        <v>0.0392033865044758</v>
      </c>
      <c r="P66" s="1" t="s">
        <v>61</v>
      </c>
      <c r="Q66" s="1" t="s">
        <v>61</v>
      </c>
      <c r="R66" s="1">
        <f t="shared" si="1"/>
        <v>0.0392033865</v>
      </c>
      <c r="S66" s="1">
        <f t="shared" si="2"/>
        <v>-116</v>
      </c>
      <c r="T66" s="1">
        <f t="shared" si="3"/>
        <v>1.862068966</v>
      </c>
      <c r="U66" s="1">
        <f t="shared" si="4"/>
        <v>0</v>
      </c>
      <c r="V66" s="3">
        <f t="shared" si="5"/>
        <v>1</v>
      </c>
      <c r="W66" s="3">
        <f t="shared" si="6"/>
        <v>2</v>
      </c>
      <c r="X66" s="3" t="str">
        <f>IFERROR(__xludf.DUMMYFUNCTION("split(B66,"" "")"),"S.")</f>
        <v>S.</v>
      </c>
      <c r="Y66" s="3" t="str">
        <f>IFERROR(__xludf.DUMMYFUNCTION("""COMPUTED_VALUE"""),"Barkley")</f>
        <v>Barkley</v>
      </c>
      <c r="AA66" s="3">
        <v>84.0</v>
      </c>
      <c r="AB66" s="3">
        <f t="shared" si="7"/>
        <v>1</v>
      </c>
      <c r="AC66" s="3">
        <f t="shared" si="8"/>
        <v>0</v>
      </c>
      <c r="AD66" s="3">
        <f t="shared" si="9"/>
        <v>0.8620689655</v>
      </c>
      <c r="AE66" s="3">
        <f t="shared" si="10"/>
        <v>-1</v>
      </c>
      <c r="AF66" s="3">
        <f t="shared" si="11"/>
        <v>-2</v>
      </c>
      <c r="AG66" s="3">
        <f t="shared" si="12"/>
        <v>-0.07006369427</v>
      </c>
    </row>
    <row r="67">
      <c r="A67" s="1" t="s">
        <v>10</v>
      </c>
      <c r="B67" s="1" t="s">
        <v>305</v>
      </c>
      <c r="C67" s="1" t="s">
        <v>20</v>
      </c>
      <c r="D67" s="1" t="s">
        <v>165</v>
      </c>
      <c r="E67" s="1" t="s">
        <v>83</v>
      </c>
      <c r="F67" s="1" t="s">
        <v>564</v>
      </c>
      <c r="G67" s="1">
        <v>0.5</v>
      </c>
      <c r="H67" s="1" t="s">
        <v>60</v>
      </c>
      <c r="I67" s="1">
        <v>900.0</v>
      </c>
      <c r="J67" s="1">
        <v>0.512694062013695</v>
      </c>
      <c r="K67" s="1" t="s">
        <v>61</v>
      </c>
      <c r="L67" s="1" t="s">
        <v>61</v>
      </c>
      <c r="M67" s="1" t="s">
        <v>62</v>
      </c>
      <c r="N67" s="1">
        <v>-2500.0</v>
      </c>
      <c r="O67" s="1">
        <v>-0.574197929501811</v>
      </c>
      <c r="P67" s="1" t="s">
        <v>61</v>
      </c>
      <c r="Q67" s="1" t="s">
        <v>61</v>
      </c>
      <c r="R67" s="1">
        <f t="shared" si="1"/>
        <v>0.512694062</v>
      </c>
      <c r="S67" s="1">
        <f t="shared" si="2"/>
        <v>900</v>
      </c>
      <c r="T67" s="1">
        <f t="shared" si="3"/>
        <v>10</v>
      </c>
      <c r="U67" s="1">
        <f t="shared" si="4"/>
        <v>1</v>
      </c>
      <c r="V67" s="3">
        <f t="shared" si="5"/>
        <v>3</v>
      </c>
      <c r="W67" s="3">
        <f t="shared" si="6"/>
        <v>1</v>
      </c>
      <c r="X67" s="3" t="str">
        <f>IFERROR(__xludf.DUMMYFUNCTION("split(B67,"" "")"),"T.")</f>
        <v>T.</v>
      </c>
      <c r="Y67" s="3" t="str">
        <f>IFERROR(__xludf.DUMMYFUNCTION("""COMPUTED_VALUE"""),"Conklin")</f>
        <v>Conklin</v>
      </c>
      <c r="AA67" s="3">
        <f> iferror(VLOOKUP(Y67, 'Stat data'!C$2:Z9871,MATCH(A67,'Stat data'!C$1:Z$1,0), False), 0)</f>
        <v>0</v>
      </c>
      <c r="AB67" s="3">
        <f t="shared" si="7"/>
        <v>0</v>
      </c>
      <c r="AC67" s="3">
        <f t="shared" si="8"/>
        <v>0</v>
      </c>
      <c r="AD67" s="3">
        <f t="shared" si="9"/>
        <v>27</v>
      </c>
      <c r="AE67" s="3">
        <f t="shared" si="10"/>
        <v>0</v>
      </c>
      <c r="AF67" s="3">
        <f t="shared" si="11"/>
        <v>-1</v>
      </c>
      <c r="AG67" s="3">
        <f t="shared" si="12"/>
        <v>-1</v>
      </c>
    </row>
    <row r="68">
      <c r="A68" s="1" t="s">
        <v>12</v>
      </c>
      <c r="B68" s="1" t="s">
        <v>291</v>
      </c>
      <c r="C68" s="1" t="s">
        <v>18</v>
      </c>
      <c r="D68" s="1" t="s">
        <v>165</v>
      </c>
      <c r="E68" s="1" t="s">
        <v>83</v>
      </c>
      <c r="F68" s="1" t="s">
        <v>564</v>
      </c>
      <c r="G68" s="1">
        <v>2.5</v>
      </c>
      <c r="H68" s="1" t="s">
        <v>60</v>
      </c>
      <c r="I68" s="1">
        <v>-120.0</v>
      </c>
      <c r="J68" s="1">
        <v>-0.33539866215</v>
      </c>
      <c r="K68" s="1" t="s">
        <v>61</v>
      </c>
      <c r="L68" s="1" t="s">
        <v>61</v>
      </c>
      <c r="M68" s="1" t="s">
        <v>62</v>
      </c>
      <c r="N68" s="1">
        <v>-110.0</v>
      </c>
      <c r="O68" s="1">
        <v>0.266141315429999</v>
      </c>
      <c r="P68" s="1" t="s">
        <v>61</v>
      </c>
      <c r="Q68" s="1" t="s">
        <v>61</v>
      </c>
      <c r="R68" s="1">
        <f t="shared" si="1"/>
        <v>0.2661413154</v>
      </c>
      <c r="S68" s="1">
        <f t="shared" si="2"/>
        <v>-110</v>
      </c>
      <c r="T68" s="1">
        <f t="shared" si="3"/>
        <v>1.909090909</v>
      </c>
      <c r="U68" s="1">
        <f t="shared" si="4"/>
        <v>0</v>
      </c>
      <c r="V68" s="3">
        <f t="shared" si="5"/>
        <v>3</v>
      </c>
      <c r="W68" s="3">
        <f t="shared" si="6"/>
        <v>2</v>
      </c>
      <c r="X68" s="3" t="str">
        <f>IFERROR(__xludf.DUMMYFUNCTION("split(B68,"" "")"),"A.")</f>
        <v>A.</v>
      </c>
      <c r="Y68" s="3" t="str">
        <f>IFERROR(__xludf.DUMMYFUNCTION("""COMPUTED_VALUE"""),"Lazard")</f>
        <v>Lazard</v>
      </c>
      <c r="AA68" s="3">
        <v>5.0</v>
      </c>
      <c r="AB68" s="3">
        <f t="shared" si="7"/>
        <v>1</v>
      </c>
      <c r="AC68" s="3">
        <f t="shared" si="8"/>
        <v>0</v>
      </c>
      <c r="AD68" s="3">
        <f t="shared" si="9"/>
        <v>2.727272727</v>
      </c>
      <c r="AE68" s="3">
        <f t="shared" si="10"/>
        <v>-3</v>
      </c>
      <c r="AF68" s="3">
        <f t="shared" si="11"/>
        <v>-2</v>
      </c>
      <c r="AG68" s="3">
        <f t="shared" si="12"/>
        <v>-1</v>
      </c>
    </row>
    <row r="69">
      <c r="A69" s="1" t="s">
        <v>12</v>
      </c>
      <c r="B69" s="1" t="s">
        <v>554</v>
      </c>
      <c r="C69" s="1" t="s">
        <v>19</v>
      </c>
      <c r="D69" s="1" t="s">
        <v>165</v>
      </c>
      <c r="E69" s="1" t="s">
        <v>83</v>
      </c>
      <c r="F69" s="1" t="s">
        <v>564</v>
      </c>
      <c r="G69" s="1">
        <v>2.5</v>
      </c>
      <c r="H69" s="1" t="s">
        <v>60</v>
      </c>
      <c r="I69" s="1">
        <v>115.0</v>
      </c>
      <c r="J69" s="1">
        <v>-0.21626691742093</v>
      </c>
      <c r="K69" s="1" t="s">
        <v>61</v>
      </c>
      <c r="L69" s="1" t="s">
        <v>61</v>
      </c>
      <c r="M69" s="1" t="s">
        <v>62</v>
      </c>
      <c r="N69" s="1">
        <v>-150.0</v>
      </c>
      <c r="O69" s="1">
        <v>0.151156803019999</v>
      </c>
      <c r="P69" s="1" t="s">
        <v>61</v>
      </c>
      <c r="Q69" s="1" t="s">
        <v>61</v>
      </c>
      <c r="R69" s="1">
        <f t="shared" si="1"/>
        <v>0.151156803</v>
      </c>
      <c r="S69" s="1">
        <f t="shared" si="2"/>
        <v>-150</v>
      </c>
      <c r="T69" s="1">
        <f t="shared" si="3"/>
        <v>1.666666667</v>
      </c>
      <c r="U69" s="1">
        <f t="shared" si="4"/>
        <v>0</v>
      </c>
      <c r="V69" s="3">
        <f t="shared" si="5"/>
        <v>3</v>
      </c>
      <c r="W69" s="3">
        <f t="shared" si="6"/>
        <v>3</v>
      </c>
      <c r="X69" s="3" t="str">
        <f>IFERROR(__xludf.DUMMYFUNCTION("split(B69,"" "")"),"B.")</f>
        <v>B.</v>
      </c>
      <c r="Y69" s="3" t="str">
        <f>IFERROR(__xludf.DUMMYFUNCTION("""COMPUTED_VALUE"""),"Allen")</f>
        <v>Allen</v>
      </c>
      <c r="AA69" s="3">
        <v>1.0</v>
      </c>
      <c r="AB69" s="3">
        <f t="shared" si="7"/>
        <v>0</v>
      </c>
      <c r="AC69" s="3">
        <f t="shared" si="8"/>
        <v>1</v>
      </c>
      <c r="AD69" s="3">
        <f t="shared" si="9"/>
        <v>2</v>
      </c>
      <c r="AE69" s="3">
        <f t="shared" si="10"/>
        <v>2</v>
      </c>
      <c r="AF69" s="3">
        <f t="shared" si="11"/>
        <v>2</v>
      </c>
      <c r="AG69" s="3">
        <f t="shared" si="12"/>
        <v>0.6</v>
      </c>
    </row>
    <row r="70">
      <c r="A70" s="1" t="s">
        <v>12</v>
      </c>
      <c r="B70" s="1" t="s">
        <v>305</v>
      </c>
      <c r="C70" s="1" t="s">
        <v>20</v>
      </c>
      <c r="D70" s="1" t="s">
        <v>165</v>
      </c>
      <c r="E70" s="1" t="s">
        <v>83</v>
      </c>
      <c r="F70" s="1" t="s">
        <v>564</v>
      </c>
      <c r="G70" s="1">
        <v>2.5</v>
      </c>
      <c r="H70" s="1" t="s">
        <v>60</v>
      </c>
      <c r="I70" s="1">
        <v>-136.0</v>
      </c>
      <c r="J70" s="1">
        <v>-0.21396927868644</v>
      </c>
      <c r="K70" s="1" t="s">
        <v>61</v>
      </c>
      <c r="L70" s="1" t="s">
        <v>61</v>
      </c>
      <c r="M70" s="1" t="s">
        <v>62</v>
      </c>
      <c r="N70" s="1">
        <v>103.0</v>
      </c>
      <c r="O70" s="1">
        <v>0.145086944679803</v>
      </c>
      <c r="P70" s="1" t="s">
        <v>61</v>
      </c>
      <c r="Q70" s="1" t="s">
        <v>61</v>
      </c>
      <c r="R70" s="1">
        <f t="shared" si="1"/>
        <v>0.1450869447</v>
      </c>
      <c r="S70" s="1">
        <f t="shared" si="2"/>
        <v>103</v>
      </c>
      <c r="T70" s="1">
        <f t="shared" si="3"/>
        <v>2.03</v>
      </c>
      <c r="U70" s="1">
        <f t="shared" si="4"/>
        <v>0</v>
      </c>
      <c r="V70" s="3">
        <f t="shared" si="5"/>
        <v>3</v>
      </c>
      <c r="W70" s="3">
        <f t="shared" si="6"/>
        <v>2</v>
      </c>
      <c r="X70" s="3" t="str">
        <f>IFERROR(__xludf.DUMMYFUNCTION("split(B70,"" "")"),"T.")</f>
        <v>T.</v>
      </c>
      <c r="Y70" s="3" t="str">
        <f>IFERROR(__xludf.DUMMYFUNCTION("""COMPUTED_VALUE"""),"Conklin")</f>
        <v>Conklin</v>
      </c>
      <c r="AA70" s="3">
        <v>4.0</v>
      </c>
      <c r="AB70" s="3">
        <f t="shared" si="7"/>
        <v>1</v>
      </c>
      <c r="AC70" s="3">
        <f t="shared" si="8"/>
        <v>0</v>
      </c>
      <c r="AD70" s="3">
        <f t="shared" si="9"/>
        <v>3.09</v>
      </c>
      <c r="AE70" s="3">
        <f t="shared" si="10"/>
        <v>-3</v>
      </c>
      <c r="AF70" s="3">
        <f t="shared" si="11"/>
        <v>-2</v>
      </c>
      <c r="AG70" s="3">
        <f t="shared" si="12"/>
        <v>-0.6</v>
      </c>
    </row>
    <row r="71">
      <c r="A71" s="1" t="s">
        <v>11</v>
      </c>
      <c r="B71" s="1" t="s">
        <v>291</v>
      </c>
      <c r="C71" s="1" t="s">
        <v>18</v>
      </c>
      <c r="D71" s="1" t="s">
        <v>165</v>
      </c>
      <c r="E71" s="1" t="s">
        <v>83</v>
      </c>
      <c r="F71" s="1" t="s">
        <v>564</v>
      </c>
      <c r="G71" s="1">
        <v>30.5</v>
      </c>
      <c r="H71" s="1" t="s">
        <v>60</v>
      </c>
      <c r="I71" s="1">
        <v>-111.0</v>
      </c>
      <c r="J71" s="1">
        <v>-0.1983205500639</v>
      </c>
      <c r="K71" s="1" t="s">
        <v>61</v>
      </c>
      <c r="L71" s="1" t="s">
        <v>61</v>
      </c>
      <c r="M71" s="1" t="s">
        <v>62</v>
      </c>
      <c r="N71" s="1">
        <v>-118.0</v>
      </c>
      <c r="O71" s="1">
        <v>0.131020130985825</v>
      </c>
      <c r="P71" s="1" t="s">
        <v>61</v>
      </c>
      <c r="Q71" s="1" t="s">
        <v>61</v>
      </c>
      <c r="R71" s="1">
        <f t="shared" si="1"/>
        <v>0.131020131</v>
      </c>
      <c r="S71" s="1">
        <f t="shared" si="2"/>
        <v>-118</v>
      </c>
      <c r="T71" s="1">
        <f t="shared" si="3"/>
        <v>1.847457627</v>
      </c>
      <c r="U71" s="1">
        <f t="shared" si="4"/>
        <v>0</v>
      </c>
      <c r="V71" s="3">
        <f t="shared" si="5"/>
        <v>3</v>
      </c>
      <c r="W71" s="3">
        <f t="shared" si="6"/>
        <v>3</v>
      </c>
      <c r="X71" s="3" t="str">
        <f>IFERROR(__xludf.DUMMYFUNCTION("split(B71,"" "")"),"A.")</f>
        <v>A.</v>
      </c>
      <c r="Y71" s="3" t="str">
        <f>IFERROR(__xludf.DUMMYFUNCTION("""COMPUTED_VALUE"""),"Lazard")</f>
        <v>Lazard</v>
      </c>
      <c r="AA71" s="3">
        <v>58.0</v>
      </c>
      <c r="AB71" s="3">
        <f t="shared" si="7"/>
        <v>1</v>
      </c>
      <c r="AC71" s="3">
        <f t="shared" si="8"/>
        <v>0</v>
      </c>
      <c r="AD71" s="3">
        <f t="shared" si="9"/>
        <v>2.542372881</v>
      </c>
      <c r="AE71" s="3">
        <f t="shared" si="10"/>
        <v>-3</v>
      </c>
      <c r="AF71" s="3">
        <f t="shared" si="11"/>
        <v>-3</v>
      </c>
      <c r="AG71" s="3">
        <f t="shared" si="12"/>
        <v>-0.9016393443</v>
      </c>
    </row>
    <row r="72">
      <c r="A72" s="1" t="s">
        <v>10</v>
      </c>
      <c r="B72" s="1" t="s">
        <v>554</v>
      </c>
      <c r="C72" s="1" t="s">
        <v>19</v>
      </c>
      <c r="D72" s="1" t="s">
        <v>165</v>
      </c>
      <c r="E72" s="1" t="s">
        <v>83</v>
      </c>
      <c r="F72" s="1" t="s">
        <v>564</v>
      </c>
      <c r="G72" s="1">
        <v>34.5</v>
      </c>
      <c r="H72" s="1" t="s">
        <v>60</v>
      </c>
      <c r="I72" s="1">
        <v>-115.0</v>
      </c>
      <c r="J72" s="1">
        <v>-0.165606867839646</v>
      </c>
      <c r="K72" s="1" t="s">
        <v>61</v>
      </c>
      <c r="L72" s="1" t="s">
        <v>61</v>
      </c>
      <c r="M72" s="1" t="s">
        <v>62</v>
      </c>
      <c r="N72" s="1">
        <v>-114.0</v>
      </c>
      <c r="O72" s="1">
        <v>0.0980452958294268</v>
      </c>
      <c r="P72" s="1" t="s">
        <v>61</v>
      </c>
      <c r="Q72" s="1" t="s">
        <v>61</v>
      </c>
      <c r="R72" s="1">
        <f t="shared" si="1"/>
        <v>0.09804529583</v>
      </c>
      <c r="S72" s="1">
        <f t="shared" si="2"/>
        <v>-114</v>
      </c>
      <c r="T72" s="1">
        <f t="shared" si="3"/>
        <v>1.877192982</v>
      </c>
      <c r="U72" s="1">
        <f t="shared" si="4"/>
        <v>0</v>
      </c>
      <c r="V72" s="3">
        <f t="shared" si="5"/>
        <v>2</v>
      </c>
      <c r="W72" s="3">
        <f t="shared" si="6"/>
        <v>2</v>
      </c>
      <c r="X72" s="3" t="str">
        <f>IFERROR(__xludf.DUMMYFUNCTION("split(B72,"" "")"),"B.")</f>
        <v>B.</v>
      </c>
      <c r="Y72" s="3" t="str">
        <f>IFERROR(__xludf.DUMMYFUNCTION("""COMPUTED_VALUE"""),"Allen")</f>
        <v>Allen</v>
      </c>
      <c r="AA72" s="3">
        <v>34.0</v>
      </c>
      <c r="AB72" s="3">
        <f t="shared" si="7"/>
        <v>0</v>
      </c>
      <c r="AC72" s="3">
        <f t="shared" si="8"/>
        <v>1</v>
      </c>
      <c r="AD72" s="3">
        <f t="shared" si="9"/>
        <v>1.754385965</v>
      </c>
      <c r="AE72" s="3">
        <f t="shared" si="10"/>
        <v>1.754385965</v>
      </c>
      <c r="AF72" s="3">
        <f t="shared" si="11"/>
        <v>1.754385965</v>
      </c>
      <c r="AG72" s="3">
        <f t="shared" si="12"/>
        <v>0.01449275362</v>
      </c>
    </row>
    <row r="73">
      <c r="A73" s="1" t="s">
        <v>10</v>
      </c>
      <c r="B73" s="1" t="s">
        <v>330</v>
      </c>
      <c r="C73" s="1" t="s">
        <v>21</v>
      </c>
      <c r="D73" s="1" t="s">
        <v>165</v>
      </c>
      <c r="E73" s="1" t="s">
        <v>83</v>
      </c>
      <c r="F73" s="1" t="s">
        <v>564</v>
      </c>
      <c r="G73" s="1">
        <v>3.5</v>
      </c>
      <c r="H73" s="1" t="s">
        <v>60</v>
      </c>
      <c r="I73" s="1">
        <v>-106.0</v>
      </c>
      <c r="J73" s="1">
        <v>0.0908408748345691</v>
      </c>
      <c r="K73" s="1" t="s">
        <v>61</v>
      </c>
      <c r="L73" s="1" t="s">
        <v>61</v>
      </c>
      <c r="M73" s="1" t="s">
        <v>62</v>
      </c>
      <c r="N73" s="1">
        <v>-123.0</v>
      </c>
      <c r="O73" s="1">
        <v>-0.156946784150597</v>
      </c>
      <c r="P73" s="1" t="s">
        <v>61</v>
      </c>
      <c r="Q73" s="1" t="s">
        <v>61</v>
      </c>
      <c r="R73" s="1">
        <f t="shared" si="1"/>
        <v>0.09084087483</v>
      </c>
      <c r="S73" s="1">
        <f t="shared" si="2"/>
        <v>-106</v>
      </c>
      <c r="T73" s="1">
        <f t="shared" si="3"/>
        <v>1.943396226</v>
      </c>
      <c r="U73" s="1">
        <f t="shared" si="4"/>
        <v>1</v>
      </c>
      <c r="V73" s="3">
        <f t="shared" si="5"/>
        <v>2</v>
      </c>
      <c r="W73" s="3">
        <f t="shared" si="6"/>
        <v>2</v>
      </c>
      <c r="X73" s="3" t="str">
        <f>IFERROR(__xludf.DUMMYFUNCTION("split(B73,"" "")"),"A.")</f>
        <v>A.</v>
      </c>
      <c r="Y73" s="3" t="str">
        <f>IFERROR(__xludf.DUMMYFUNCTION("""COMPUTED_VALUE"""),"Rodgers")</f>
        <v>Rodgers</v>
      </c>
      <c r="AA73" s="3">
        <v>26.0</v>
      </c>
      <c r="AB73" s="3">
        <f t="shared" si="7"/>
        <v>1</v>
      </c>
      <c r="AC73" s="3">
        <f t="shared" si="8"/>
        <v>1</v>
      </c>
      <c r="AD73" s="3">
        <f t="shared" si="9"/>
        <v>1.886792453</v>
      </c>
      <c r="AE73" s="3">
        <f t="shared" si="10"/>
        <v>1.886792453</v>
      </c>
      <c r="AF73" s="3">
        <f t="shared" si="11"/>
        <v>1.886792453</v>
      </c>
      <c r="AG73" s="3">
        <f t="shared" si="12"/>
        <v>6.428571429</v>
      </c>
    </row>
    <row r="74">
      <c r="A74" s="1" t="s">
        <v>12</v>
      </c>
      <c r="B74" s="1" t="s">
        <v>303</v>
      </c>
      <c r="C74" s="1" t="s">
        <v>18</v>
      </c>
      <c r="D74" s="1" t="s">
        <v>165</v>
      </c>
      <c r="E74" s="1" t="s">
        <v>83</v>
      </c>
      <c r="F74" s="1" t="s">
        <v>564</v>
      </c>
      <c r="G74" s="1">
        <v>2.5</v>
      </c>
      <c r="H74" s="1" t="s">
        <v>60</v>
      </c>
      <c r="I74" s="1">
        <v>-116.0</v>
      </c>
      <c r="J74" s="1">
        <v>-0.156334507222222</v>
      </c>
      <c r="K74" s="1" t="s">
        <v>61</v>
      </c>
      <c r="L74" s="1" t="s">
        <v>61</v>
      </c>
      <c r="M74" s="1" t="s">
        <v>62</v>
      </c>
      <c r="N74" s="1">
        <v>-114.0</v>
      </c>
      <c r="O74" s="1">
        <v>0.0865868086841121</v>
      </c>
      <c r="P74" s="1" t="s">
        <v>61</v>
      </c>
      <c r="Q74" s="1" t="s">
        <v>61</v>
      </c>
      <c r="R74" s="1">
        <f t="shared" si="1"/>
        <v>0.08658680868</v>
      </c>
      <c r="S74" s="1">
        <f t="shared" si="2"/>
        <v>-114</v>
      </c>
      <c r="T74" s="1">
        <f t="shared" si="3"/>
        <v>1.877192982</v>
      </c>
      <c r="U74" s="1">
        <f t="shared" si="4"/>
        <v>0</v>
      </c>
      <c r="V74" s="3">
        <f t="shared" si="5"/>
        <v>2</v>
      </c>
      <c r="W74" s="3">
        <f t="shared" si="6"/>
        <v>2</v>
      </c>
      <c r="X74" s="3" t="str">
        <f>IFERROR(__xludf.DUMMYFUNCTION("split(B74,"" "")"),"M.")</f>
        <v>M.</v>
      </c>
      <c r="Y74" s="3" t="str">
        <f>IFERROR(__xludf.DUMMYFUNCTION("""COMPUTED_VALUE"""),"Williams")</f>
        <v>Williams</v>
      </c>
      <c r="AA74" s="3">
        <v>2.0</v>
      </c>
      <c r="AB74" s="3">
        <f t="shared" si="7"/>
        <v>0</v>
      </c>
      <c r="AC74" s="3">
        <f t="shared" si="8"/>
        <v>1</v>
      </c>
      <c r="AD74" s="3">
        <f t="shared" si="9"/>
        <v>1.754385965</v>
      </c>
      <c r="AE74" s="3">
        <f t="shared" si="10"/>
        <v>1.754385965</v>
      </c>
      <c r="AF74" s="3">
        <f t="shared" si="11"/>
        <v>1.754385965</v>
      </c>
      <c r="AG74" s="3">
        <f t="shared" si="12"/>
        <v>0.2</v>
      </c>
    </row>
    <row r="75">
      <c r="A75" s="1" t="s">
        <v>9</v>
      </c>
      <c r="B75" s="1" t="s">
        <v>303</v>
      </c>
      <c r="C75" s="1" t="s">
        <v>18</v>
      </c>
      <c r="D75" s="1" t="s">
        <v>165</v>
      </c>
      <c r="E75" s="1" t="s">
        <v>83</v>
      </c>
      <c r="F75" s="1" t="s">
        <v>564</v>
      </c>
      <c r="G75" s="1">
        <v>32.5</v>
      </c>
      <c r="H75" s="1" t="s">
        <v>60</v>
      </c>
      <c r="I75" s="1">
        <v>-115.0</v>
      </c>
      <c r="J75" s="1">
        <v>0.0421230123497819</v>
      </c>
      <c r="K75" s="1" t="s">
        <v>61</v>
      </c>
      <c r="L75" s="1" t="s">
        <v>61</v>
      </c>
      <c r="M75" s="1" t="s">
        <v>62</v>
      </c>
      <c r="N75" s="1">
        <v>-117.0</v>
      </c>
      <c r="O75" s="1">
        <v>-0.116162390583353</v>
      </c>
      <c r="P75" s="1" t="s">
        <v>61</v>
      </c>
      <c r="Q75" s="1" t="s">
        <v>61</v>
      </c>
      <c r="R75" s="1">
        <f t="shared" si="1"/>
        <v>0.04212301235</v>
      </c>
      <c r="S75" s="1">
        <f t="shared" si="2"/>
        <v>-115</v>
      </c>
      <c r="T75" s="1">
        <f t="shared" si="3"/>
        <v>1.869565217</v>
      </c>
      <c r="U75" s="1">
        <f t="shared" si="4"/>
        <v>1</v>
      </c>
      <c r="V75" s="3">
        <f t="shared" si="5"/>
        <v>1</v>
      </c>
      <c r="W75" s="3">
        <f t="shared" si="6"/>
        <v>2</v>
      </c>
      <c r="X75" s="3" t="str">
        <f>IFERROR(__xludf.DUMMYFUNCTION("split(B75,"" "")"),"M.")</f>
        <v>M.</v>
      </c>
      <c r="Y75" s="3" t="str">
        <f>IFERROR(__xludf.DUMMYFUNCTION("""COMPUTED_VALUE"""),"Williams")</f>
        <v>Williams</v>
      </c>
      <c r="AA75" s="3">
        <v>80.0</v>
      </c>
      <c r="AB75" s="3">
        <f t="shared" si="7"/>
        <v>1</v>
      </c>
      <c r="AC75" s="3">
        <f t="shared" si="8"/>
        <v>1</v>
      </c>
      <c r="AD75" s="3">
        <f t="shared" si="9"/>
        <v>0.8695652174</v>
      </c>
      <c r="AE75" s="3">
        <f t="shared" si="10"/>
        <v>0.8695652174</v>
      </c>
      <c r="AF75" s="3">
        <f t="shared" si="11"/>
        <v>1.739130435</v>
      </c>
      <c r="AG75" s="3">
        <f t="shared" si="12"/>
        <v>1.461538462</v>
      </c>
    </row>
    <row r="76">
      <c r="A76" s="1" t="s">
        <v>11</v>
      </c>
      <c r="B76" s="1" t="s">
        <v>336</v>
      </c>
      <c r="C76" s="1" t="s">
        <v>19</v>
      </c>
      <c r="D76" s="1" t="s">
        <v>165</v>
      </c>
      <c r="E76" s="1" t="s">
        <v>83</v>
      </c>
      <c r="F76" s="1" t="s">
        <v>564</v>
      </c>
      <c r="G76" s="1">
        <v>27.5</v>
      </c>
      <c r="H76" s="1" t="s">
        <v>60</v>
      </c>
      <c r="I76" s="1">
        <v>-116.0</v>
      </c>
      <c r="J76" s="1">
        <v>-0.100065296381106</v>
      </c>
      <c r="K76" s="1" t="s">
        <v>61</v>
      </c>
      <c r="L76" s="1" t="s">
        <v>61</v>
      </c>
      <c r="M76" s="1" t="s">
        <v>62</v>
      </c>
      <c r="N76" s="1">
        <v>-113.0</v>
      </c>
      <c r="O76" s="1">
        <v>0.0325889086417863</v>
      </c>
      <c r="P76" s="1" t="s">
        <v>61</v>
      </c>
      <c r="Q76" s="1" t="s">
        <v>61</v>
      </c>
      <c r="R76" s="1">
        <f t="shared" si="1"/>
        <v>0.03258890864</v>
      </c>
      <c r="S76" s="1">
        <f t="shared" si="2"/>
        <v>-113</v>
      </c>
      <c r="T76" s="1">
        <f t="shared" si="3"/>
        <v>1.884955752</v>
      </c>
      <c r="U76" s="1">
        <f t="shared" si="4"/>
        <v>0</v>
      </c>
      <c r="V76" s="3">
        <f t="shared" si="5"/>
        <v>1</v>
      </c>
      <c r="W76" s="3">
        <f t="shared" si="6"/>
        <v>2</v>
      </c>
      <c r="X76" s="3" t="str">
        <f>IFERROR(__xludf.DUMMYFUNCTION("split(B76,"" "")"),"B.")</f>
        <v>B.</v>
      </c>
      <c r="Y76" s="3" t="str">
        <f>IFERROR(__xludf.DUMMYFUNCTION("""COMPUTED_VALUE"""),"Hall")</f>
        <v>Hall</v>
      </c>
      <c r="AA76" s="3">
        <v>14.0</v>
      </c>
      <c r="AB76" s="3">
        <f t="shared" si="7"/>
        <v>0</v>
      </c>
      <c r="AC76" s="3">
        <f t="shared" si="8"/>
        <v>1</v>
      </c>
      <c r="AD76" s="3">
        <f t="shared" si="9"/>
        <v>0.8849557522</v>
      </c>
      <c r="AE76" s="3">
        <f t="shared" si="10"/>
        <v>0.8849557522</v>
      </c>
      <c r="AF76" s="3">
        <f t="shared" si="11"/>
        <v>1.769911504</v>
      </c>
      <c r="AG76" s="3">
        <f t="shared" si="12"/>
        <v>0.4909090909</v>
      </c>
    </row>
    <row r="77">
      <c r="A77" s="1" t="s">
        <v>9</v>
      </c>
      <c r="B77" s="1" t="s">
        <v>554</v>
      </c>
      <c r="C77" s="1" t="s">
        <v>19</v>
      </c>
      <c r="D77" s="1" t="s">
        <v>165</v>
      </c>
      <c r="E77" s="1" t="s">
        <v>83</v>
      </c>
      <c r="F77" s="1" t="s">
        <v>564</v>
      </c>
      <c r="G77" s="1">
        <v>48.5</v>
      </c>
      <c r="H77" s="1" t="s">
        <v>60</v>
      </c>
      <c r="I77" s="1">
        <v>-118.0</v>
      </c>
      <c r="J77" s="1">
        <v>-0.0965039348132121</v>
      </c>
      <c r="K77" s="1" t="s">
        <v>61</v>
      </c>
      <c r="L77" s="1" t="s">
        <v>61</v>
      </c>
      <c r="M77" s="1" t="s">
        <v>62</v>
      </c>
      <c r="N77" s="1">
        <v>-114.0</v>
      </c>
      <c r="O77" s="1">
        <v>0.0225930555129882</v>
      </c>
      <c r="P77" s="1" t="s">
        <v>61</v>
      </c>
      <c r="Q77" s="1" t="s">
        <v>61</v>
      </c>
      <c r="R77" s="1">
        <f t="shared" si="1"/>
        <v>0.02259305551</v>
      </c>
      <c r="S77" s="1">
        <f t="shared" si="2"/>
        <v>-114</v>
      </c>
      <c r="T77" s="1">
        <f t="shared" si="3"/>
        <v>1.877192982</v>
      </c>
      <c r="U77" s="1">
        <f t="shared" si="4"/>
        <v>0</v>
      </c>
      <c r="V77" s="3">
        <f t="shared" si="5"/>
        <v>1</v>
      </c>
      <c r="W77" s="3">
        <f t="shared" si="6"/>
        <v>2</v>
      </c>
      <c r="X77" s="3" t="str">
        <f>IFERROR(__xludf.DUMMYFUNCTION("split(B77,"" "")"),"B.")</f>
        <v>B.</v>
      </c>
      <c r="Y77" s="3" t="str">
        <f>IFERROR(__xludf.DUMMYFUNCTION("""COMPUTED_VALUE"""),"Allen")</f>
        <v>Allen</v>
      </c>
      <c r="AA77" s="3">
        <v>46.0</v>
      </c>
      <c r="AB77" s="3">
        <f t="shared" si="7"/>
        <v>0</v>
      </c>
      <c r="AC77" s="3">
        <f t="shared" si="8"/>
        <v>1</v>
      </c>
      <c r="AD77" s="3">
        <f t="shared" si="9"/>
        <v>0.8771929825</v>
      </c>
      <c r="AE77" s="3">
        <f t="shared" si="10"/>
        <v>0.8771929825</v>
      </c>
      <c r="AF77" s="3">
        <f t="shared" si="11"/>
        <v>1.754385965</v>
      </c>
      <c r="AG77" s="3">
        <f t="shared" si="12"/>
        <v>0.05154639175</v>
      </c>
    </row>
    <row r="78">
      <c r="A78" s="1" t="s">
        <v>9</v>
      </c>
      <c r="B78" s="1" t="s">
        <v>336</v>
      </c>
      <c r="C78" s="1" t="s">
        <v>19</v>
      </c>
      <c r="D78" s="1" t="s">
        <v>165</v>
      </c>
      <c r="E78" s="1" t="s">
        <v>83</v>
      </c>
      <c r="F78" s="1" t="s">
        <v>564</v>
      </c>
      <c r="G78" s="1">
        <v>98.5</v>
      </c>
      <c r="H78" s="1" t="s">
        <v>60</v>
      </c>
      <c r="I78" s="1">
        <v>-115.0</v>
      </c>
      <c r="J78" s="1">
        <v>-0.0950765753324877</v>
      </c>
      <c r="K78" s="1" t="s">
        <v>61</v>
      </c>
      <c r="L78" s="1" t="s">
        <v>61</v>
      </c>
      <c r="M78" s="1" t="s">
        <v>62</v>
      </c>
      <c r="N78" s="1">
        <v>-117.0</v>
      </c>
      <c r="O78" s="1">
        <v>0.0210367642817155</v>
      </c>
      <c r="P78" s="1" t="s">
        <v>61</v>
      </c>
      <c r="Q78" s="1" t="s">
        <v>61</v>
      </c>
      <c r="R78" s="1">
        <f t="shared" si="1"/>
        <v>0.02103676428</v>
      </c>
      <c r="S78" s="1">
        <f t="shared" si="2"/>
        <v>-117</v>
      </c>
      <c r="T78" s="1">
        <f t="shared" si="3"/>
        <v>1.854700855</v>
      </c>
      <c r="U78" s="1">
        <f t="shared" si="4"/>
        <v>0</v>
      </c>
      <c r="V78" s="3">
        <f t="shared" si="5"/>
        <v>1</v>
      </c>
      <c r="W78" s="3">
        <f t="shared" si="6"/>
        <v>2</v>
      </c>
      <c r="X78" s="3" t="str">
        <f>IFERROR(__xludf.DUMMYFUNCTION("split(B78,"" "")"),"B.")</f>
        <v>B.</v>
      </c>
      <c r="Y78" s="3" t="str">
        <f>IFERROR(__xludf.DUMMYFUNCTION("""COMPUTED_VALUE"""),"Hall")</f>
        <v>Hall</v>
      </c>
      <c r="AA78" s="3">
        <v>18.0</v>
      </c>
      <c r="AB78" s="3">
        <f t="shared" si="7"/>
        <v>0</v>
      </c>
      <c r="AC78" s="3">
        <f t="shared" si="8"/>
        <v>1</v>
      </c>
      <c r="AD78" s="3">
        <f t="shared" si="9"/>
        <v>0.8547008547</v>
      </c>
      <c r="AE78" s="3">
        <f t="shared" si="10"/>
        <v>0.8547008547</v>
      </c>
      <c r="AF78" s="3">
        <f t="shared" si="11"/>
        <v>1.709401709</v>
      </c>
      <c r="AG78" s="3">
        <f t="shared" si="12"/>
        <v>0.8172588832</v>
      </c>
    </row>
    <row r="79">
      <c r="A79" s="1" t="s">
        <v>10</v>
      </c>
      <c r="B79" s="1" t="s">
        <v>336</v>
      </c>
      <c r="C79" s="1" t="s">
        <v>19</v>
      </c>
      <c r="D79" s="1" t="s">
        <v>165</v>
      </c>
      <c r="E79" s="1" t="s">
        <v>83</v>
      </c>
      <c r="F79" s="1" t="s">
        <v>564</v>
      </c>
      <c r="G79" s="1">
        <v>66.5</v>
      </c>
      <c r="H79" s="1" t="s">
        <v>60</v>
      </c>
      <c r="I79" s="1">
        <v>-116.0</v>
      </c>
      <c r="J79" s="1">
        <v>-0.088760090125063</v>
      </c>
      <c r="K79" s="1" t="s">
        <v>61</v>
      </c>
      <c r="L79" s="1" t="s">
        <v>61</v>
      </c>
      <c r="M79" s="1" t="s">
        <v>62</v>
      </c>
      <c r="N79" s="1">
        <v>-114.0</v>
      </c>
      <c r="O79" s="1">
        <v>0.0189693230878706</v>
      </c>
      <c r="P79" s="1" t="s">
        <v>61</v>
      </c>
      <c r="Q79" s="1" t="s">
        <v>61</v>
      </c>
      <c r="R79" s="1">
        <f t="shared" si="1"/>
        <v>0.01896932309</v>
      </c>
      <c r="S79" s="1">
        <f t="shared" si="2"/>
        <v>-114</v>
      </c>
      <c r="T79" s="1">
        <f t="shared" si="3"/>
        <v>1.877192982</v>
      </c>
      <c r="U79" s="1">
        <f t="shared" si="4"/>
        <v>0</v>
      </c>
      <c r="V79" s="3">
        <f t="shared" si="5"/>
        <v>1</v>
      </c>
      <c r="W79" s="3">
        <f t="shared" si="6"/>
        <v>2</v>
      </c>
      <c r="X79" s="3" t="str">
        <f>IFERROR(__xludf.DUMMYFUNCTION("split(B79,"" "")"),"B.")</f>
        <v>B.</v>
      </c>
      <c r="Y79" s="3" t="str">
        <f>IFERROR(__xludf.DUMMYFUNCTION("""COMPUTED_VALUE"""),"Hall")</f>
        <v>Hall</v>
      </c>
      <c r="AA79" s="3">
        <v>4.0</v>
      </c>
      <c r="AB79" s="3">
        <f t="shared" si="7"/>
        <v>0</v>
      </c>
      <c r="AC79" s="3">
        <f t="shared" si="8"/>
        <v>1</v>
      </c>
      <c r="AD79" s="3">
        <f t="shared" si="9"/>
        <v>0.8771929825</v>
      </c>
      <c r="AE79" s="3">
        <f t="shared" si="10"/>
        <v>0.8771929825</v>
      </c>
      <c r="AF79" s="3">
        <f t="shared" si="11"/>
        <v>1.754385965</v>
      </c>
      <c r="AG79" s="3">
        <f t="shared" si="12"/>
        <v>0.9398496241</v>
      </c>
    </row>
    <row r="80">
      <c r="A80" s="1" t="s">
        <v>12</v>
      </c>
      <c r="B80" s="1" t="s">
        <v>336</v>
      </c>
      <c r="C80" s="1" t="s">
        <v>19</v>
      </c>
      <c r="D80" s="1" t="s">
        <v>165</v>
      </c>
      <c r="E80" s="1" t="s">
        <v>83</v>
      </c>
      <c r="F80" s="1" t="s">
        <v>564</v>
      </c>
      <c r="G80" s="1">
        <v>4.5</v>
      </c>
      <c r="H80" s="1" t="s">
        <v>60</v>
      </c>
      <c r="I80" s="1">
        <v>118.0</v>
      </c>
      <c r="J80" s="1">
        <v>-0.0770697247706422</v>
      </c>
      <c r="K80" s="1" t="s">
        <v>61</v>
      </c>
      <c r="L80" s="1" t="s">
        <v>61</v>
      </c>
      <c r="M80" s="1" t="s">
        <v>62</v>
      </c>
      <c r="N80" s="1">
        <v>-155.0</v>
      </c>
      <c r="O80" s="1">
        <v>0.0105176470588235</v>
      </c>
      <c r="P80" s="1" t="s">
        <v>61</v>
      </c>
      <c r="Q80" s="1" t="s">
        <v>61</v>
      </c>
      <c r="R80" s="1">
        <f t="shared" si="1"/>
        <v>0.01051764706</v>
      </c>
      <c r="S80" s="1">
        <f t="shared" si="2"/>
        <v>-155</v>
      </c>
      <c r="T80" s="1">
        <f t="shared" si="3"/>
        <v>1.64516129</v>
      </c>
      <c r="U80" s="1">
        <f t="shared" si="4"/>
        <v>0</v>
      </c>
      <c r="V80" s="3">
        <f t="shared" si="5"/>
        <v>1</v>
      </c>
      <c r="W80" s="3">
        <f t="shared" si="6"/>
        <v>3</v>
      </c>
      <c r="X80" s="3" t="str">
        <f>IFERROR(__xludf.DUMMYFUNCTION("split(B80,"" "")"),"B.")</f>
        <v>B.</v>
      </c>
      <c r="Y80" s="3" t="str">
        <f>IFERROR(__xludf.DUMMYFUNCTION("""COMPUTED_VALUE"""),"Hall")</f>
        <v>Hall</v>
      </c>
      <c r="AA80" s="3">
        <v>2.0</v>
      </c>
      <c r="AB80" s="3">
        <f t="shared" si="7"/>
        <v>0</v>
      </c>
      <c r="AC80" s="3">
        <f t="shared" si="8"/>
        <v>1</v>
      </c>
      <c r="AD80" s="3">
        <f t="shared" si="9"/>
        <v>0.6451612903</v>
      </c>
      <c r="AE80" s="3">
        <f t="shared" si="10"/>
        <v>0.6451612903</v>
      </c>
      <c r="AF80" s="3">
        <f t="shared" si="11"/>
        <v>1.935483871</v>
      </c>
      <c r="AG80" s="3">
        <f t="shared" si="12"/>
        <v>0.5555555556</v>
      </c>
    </row>
    <row r="81">
      <c r="A81" s="1" t="s">
        <v>14</v>
      </c>
      <c r="B81" s="1" t="s">
        <v>260</v>
      </c>
      <c r="C81" s="1" t="s">
        <v>21</v>
      </c>
      <c r="D81" s="1" t="s">
        <v>147</v>
      </c>
      <c r="E81" s="1" t="s">
        <v>88</v>
      </c>
      <c r="F81" s="1" t="s">
        <v>567</v>
      </c>
      <c r="G81" s="1">
        <v>0.5</v>
      </c>
      <c r="H81" s="1" t="s">
        <v>60</v>
      </c>
      <c r="I81" s="1">
        <v>-274.0</v>
      </c>
      <c r="J81" s="1">
        <v>-0.224545238743315</v>
      </c>
      <c r="K81" s="1" t="s">
        <v>61</v>
      </c>
      <c r="L81" s="1" t="s">
        <v>61</v>
      </c>
      <c r="M81" s="1" t="s">
        <v>62</v>
      </c>
      <c r="N81" s="1">
        <v>204.0</v>
      </c>
      <c r="O81" s="1">
        <v>0.162983287138157</v>
      </c>
      <c r="P81" s="1" t="s">
        <v>61</v>
      </c>
      <c r="Q81" s="1" t="s">
        <v>61</v>
      </c>
      <c r="R81" s="1">
        <f t="shared" si="1"/>
        <v>0.1629832871</v>
      </c>
      <c r="S81" s="1">
        <f t="shared" si="2"/>
        <v>204</v>
      </c>
      <c r="T81" s="1">
        <f t="shared" si="3"/>
        <v>3.04</v>
      </c>
      <c r="U81" s="1">
        <f t="shared" si="4"/>
        <v>0</v>
      </c>
      <c r="V81" s="3">
        <f t="shared" si="5"/>
        <v>3</v>
      </c>
      <c r="W81" s="3">
        <f t="shared" si="6"/>
        <v>1</v>
      </c>
      <c r="X81" s="3" t="str">
        <f>IFERROR(__xludf.DUMMYFUNCTION("split(B81,"" "")"),"D.")</f>
        <v>D.</v>
      </c>
      <c r="Y81" s="3" t="str">
        <f>IFERROR(__xludf.DUMMYFUNCTION("""COMPUTED_VALUE"""),"Jones")</f>
        <v>Jones</v>
      </c>
      <c r="AA81" s="3">
        <v>0.0</v>
      </c>
      <c r="AB81" s="3">
        <f t="shared" si="7"/>
        <v>0</v>
      </c>
      <c r="AC81" s="3">
        <f t="shared" si="8"/>
        <v>1</v>
      </c>
      <c r="AD81" s="3">
        <f t="shared" si="9"/>
        <v>6.12</v>
      </c>
      <c r="AE81" s="3">
        <f t="shared" si="10"/>
        <v>6.12</v>
      </c>
      <c r="AF81" s="3">
        <f t="shared" si="11"/>
        <v>2.04</v>
      </c>
      <c r="AG81" s="3">
        <f t="shared" si="12"/>
        <v>1</v>
      </c>
    </row>
    <row r="82">
      <c r="A82" s="1" t="s">
        <v>12</v>
      </c>
      <c r="B82" s="1" t="s">
        <v>270</v>
      </c>
      <c r="C82" s="1" t="s">
        <v>19</v>
      </c>
      <c r="D82" s="1" t="s">
        <v>147</v>
      </c>
      <c r="E82" s="1" t="s">
        <v>88</v>
      </c>
      <c r="F82" s="1" t="s">
        <v>567</v>
      </c>
      <c r="G82" s="1">
        <v>2.5</v>
      </c>
      <c r="H82" s="1" t="s">
        <v>60</v>
      </c>
      <c r="I82" s="1">
        <v>-109.0</v>
      </c>
      <c r="J82" s="1">
        <v>-0.211225426124401</v>
      </c>
      <c r="K82" s="1" t="s">
        <v>61</v>
      </c>
      <c r="L82" s="1" t="s">
        <v>61</v>
      </c>
      <c r="M82" s="1" t="s">
        <v>62</v>
      </c>
      <c r="N82" s="1">
        <v>-122.0</v>
      </c>
      <c r="O82" s="1">
        <v>0.140143933122522</v>
      </c>
      <c r="P82" s="1" t="s">
        <v>61</v>
      </c>
      <c r="Q82" s="1" t="s">
        <v>61</v>
      </c>
      <c r="R82" s="1">
        <f t="shared" si="1"/>
        <v>0.1401439331</v>
      </c>
      <c r="S82" s="1">
        <f t="shared" si="2"/>
        <v>-122</v>
      </c>
      <c r="T82" s="1">
        <f t="shared" si="3"/>
        <v>1.819672131</v>
      </c>
      <c r="U82" s="1">
        <f t="shared" si="4"/>
        <v>0</v>
      </c>
      <c r="V82" s="3">
        <f t="shared" si="5"/>
        <v>3</v>
      </c>
      <c r="W82" s="3">
        <f t="shared" si="6"/>
        <v>3</v>
      </c>
      <c r="X82" s="3" t="str">
        <f>IFERROR(__xludf.DUMMYFUNCTION("split(B82,"" "")"),"D.")</f>
        <v>D.</v>
      </c>
      <c r="Y82" s="3" t="str">
        <f>IFERROR(__xludf.DUMMYFUNCTION("""COMPUTED_VALUE"""),"Singletary")</f>
        <v>Singletary</v>
      </c>
      <c r="AA82" s="3">
        <v>1.0</v>
      </c>
      <c r="AB82" s="3">
        <f t="shared" si="7"/>
        <v>0</v>
      </c>
      <c r="AC82" s="3">
        <f t="shared" si="8"/>
        <v>1</v>
      </c>
      <c r="AD82" s="3">
        <f t="shared" si="9"/>
        <v>2.459016393</v>
      </c>
      <c r="AE82" s="3">
        <f t="shared" si="10"/>
        <v>2.459016393</v>
      </c>
      <c r="AF82" s="3">
        <f t="shared" si="11"/>
        <v>2.459016393</v>
      </c>
      <c r="AG82" s="3">
        <f t="shared" si="12"/>
        <v>0.6</v>
      </c>
    </row>
    <row r="83">
      <c r="A83" s="1" t="s">
        <v>8</v>
      </c>
      <c r="B83" s="1" t="s">
        <v>260</v>
      </c>
      <c r="C83" s="1" t="s">
        <v>21</v>
      </c>
      <c r="D83" s="1" t="s">
        <v>147</v>
      </c>
      <c r="E83" s="1" t="s">
        <v>88</v>
      </c>
      <c r="F83" s="1" t="s">
        <v>567</v>
      </c>
      <c r="G83" s="1">
        <v>6.5</v>
      </c>
      <c r="H83" s="1" t="s">
        <v>60</v>
      </c>
      <c r="I83" s="1">
        <v>-109.0</v>
      </c>
      <c r="J83" s="1">
        <v>-0.199616363022301</v>
      </c>
      <c r="K83" s="1" t="s">
        <v>61</v>
      </c>
      <c r="L83" s="1" t="s">
        <v>61</v>
      </c>
      <c r="M83" s="1" t="s">
        <v>62</v>
      </c>
      <c r="N83" s="1">
        <v>-122.0</v>
      </c>
      <c r="O83" s="1">
        <v>0.128548379474893</v>
      </c>
      <c r="P83" s="1" t="s">
        <v>61</v>
      </c>
      <c r="Q83" s="1" t="s">
        <v>61</v>
      </c>
      <c r="R83" s="1">
        <f t="shared" si="1"/>
        <v>0.1285483795</v>
      </c>
      <c r="S83" s="1">
        <f t="shared" si="2"/>
        <v>-122</v>
      </c>
      <c r="T83" s="1">
        <f t="shared" si="3"/>
        <v>1.819672131</v>
      </c>
      <c r="U83" s="1">
        <f t="shared" si="4"/>
        <v>0</v>
      </c>
      <c r="V83" s="3">
        <f t="shared" si="5"/>
        <v>3</v>
      </c>
      <c r="W83" s="3">
        <f t="shared" si="6"/>
        <v>3</v>
      </c>
      <c r="X83" s="3" t="str">
        <f>IFERROR(__xludf.DUMMYFUNCTION("split(B83,"" "")"),"D.")</f>
        <v>D.</v>
      </c>
      <c r="Y83" s="3" t="str">
        <f>IFERROR(__xludf.DUMMYFUNCTION("""COMPUTED_VALUE"""),"Jones")</f>
        <v>Jones</v>
      </c>
      <c r="AA83" s="3">
        <v>4.0</v>
      </c>
      <c r="AB83" s="3">
        <f t="shared" si="7"/>
        <v>0</v>
      </c>
      <c r="AC83" s="3">
        <f t="shared" si="8"/>
        <v>1</v>
      </c>
      <c r="AD83" s="3">
        <f t="shared" si="9"/>
        <v>2.459016393</v>
      </c>
      <c r="AE83" s="3">
        <f t="shared" si="10"/>
        <v>2.459016393</v>
      </c>
      <c r="AF83" s="3">
        <f t="shared" si="11"/>
        <v>2.459016393</v>
      </c>
      <c r="AG83" s="3">
        <f t="shared" si="12"/>
        <v>0.3846153846</v>
      </c>
    </row>
    <row r="84">
      <c r="A84" s="1" t="s">
        <v>12</v>
      </c>
      <c r="B84" s="1" t="s">
        <v>477</v>
      </c>
      <c r="C84" s="1" t="s">
        <v>20</v>
      </c>
      <c r="D84" s="1" t="s">
        <v>147</v>
      </c>
      <c r="E84" s="1" t="s">
        <v>88</v>
      </c>
      <c r="F84" s="1" t="s">
        <v>567</v>
      </c>
      <c r="G84" s="1">
        <v>1.5</v>
      </c>
      <c r="H84" s="1" t="s">
        <v>60</v>
      </c>
      <c r="I84" s="1">
        <v>-133.0</v>
      </c>
      <c r="J84" s="1">
        <v>-0.177157262901287</v>
      </c>
      <c r="K84" s="1" t="s">
        <v>61</v>
      </c>
      <c r="L84" s="1" t="s">
        <v>61</v>
      </c>
      <c r="M84" s="1" t="s">
        <v>62</v>
      </c>
      <c r="N84" s="1">
        <v>102.0</v>
      </c>
      <c r="O84" s="1">
        <v>0.111298724039603</v>
      </c>
      <c r="P84" s="1" t="s">
        <v>61</v>
      </c>
      <c r="Q84" s="1" t="s">
        <v>61</v>
      </c>
      <c r="R84" s="1">
        <f t="shared" si="1"/>
        <v>0.111298724</v>
      </c>
      <c r="S84" s="1">
        <f t="shared" si="2"/>
        <v>102</v>
      </c>
      <c r="T84" s="1">
        <f t="shared" si="3"/>
        <v>2.02</v>
      </c>
      <c r="U84" s="1">
        <f t="shared" si="4"/>
        <v>0</v>
      </c>
      <c r="V84" s="3">
        <f t="shared" si="5"/>
        <v>3</v>
      </c>
      <c r="W84" s="3">
        <f t="shared" si="6"/>
        <v>2</v>
      </c>
      <c r="X84" s="3" t="str">
        <f>IFERROR(__xludf.DUMMYFUNCTION("split(B84,"" "")"),"T.")</f>
        <v>T.</v>
      </c>
      <c r="Y84" s="3" t="str">
        <f>IFERROR(__xludf.DUMMYFUNCTION("""COMPUTED_VALUE"""),"Johnson")</f>
        <v>Johnson</v>
      </c>
      <c r="AA84" s="3">
        <v>1.0</v>
      </c>
      <c r="AB84" s="3">
        <f t="shared" si="7"/>
        <v>0</v>
      </c>
      <c r="AC84" s="3">
        <f t="shared" si="8"/>
        <v>1</v>
      </c>
      <c r="AD84" s="3">
        <f t="shared" si="9"/>
        <v>3.06</v>
      </c>
      <c r="AE84" s="3">
        <f t="shared" si="10"/>
        <v>3.06</v>
      </c>
      <c r="AF84" s="3">
        <f t="shared" si="11"/>
        <v>2.04</v>
      </c>
      <c r="AG84" s="3">
        <f t="shared" si="12"/>
        <v>0.3333333333</v>
      </c>
    </row>
    <row r="85">
      <c r="A85" s="1" t="s">
        <v>9</v>
      </c>
      <c r="B85" s="1" t="s">
        <v>568</v>
      </c>
      <c r="C85" s="1" t="s">
        <v>19</v>
      </c>
      <c r="D85" s="1" t="s">
        <v>147</v>
      </c>
      <c r="E85" s="1" t="s">
        <v>88</v>
      </c>
      <c r="F85" s="1" t="s">
        <v>567</v>
      </c>
      <c r="G85" s="1">
        <v>20.5</v>
      </c>
      <c r="H85" s="1" t="s">
        <v>60</v>
      </c>
      <c r="I85" s="1">
        <v>-117.0</v>
      </c>
      <c r="J85" s="1">
        <v>0.101378017823507</v>
      </c>
      <c r="K85" s="1" t="s">
        <v>61</v>
      </c>
      <c r="L85" s="1" t="s">
        <v>61</v>
      </c>
      <c r="M85" s="1" t="s">
        <v>62</v>
      </c>
      <c r="N85" s="1">
        <v>-115.0</v>
      </c>
      <c r="O85" s="1">
        <v>-0.175440043478401</v>
      </c>
      <c r="P85" s="1" t="s">
        <v>61</v>
      </c>
      <c r="Q85" s="1" t="s">
        <v>61</v>
      </c>
      <c r="R85" s="1">
        <f t="shared" si="1"/>
        <v>0.1013780178</v>
      </c>
      <c r="S85" s="1">
        <f t="shared" si="2"/>
        <v>-117</v>
      </c>
      <c r="T85" s="1">
        <f t="shared" si="3"/>
        <v>1.854700855</v>
      </c>
      <c r="U85" s="1">
        <f t="shared" si="4"/>
        <v>1</v>
      </c>
      <c r="V85" s="3">
        <f t="shared" si="5"/>
        <v>3</v>
      </c>
      <c r="W85" s="3">
        <f t="shared" si="6"/>
        <v>2</v>
      </c>
      <c r="X85" s="3" t="str">
        <f>IFERROR(__xludf.DUMMYFUNCTION("split(B85,"" "")"),"T.")</f>
        <v>T.</v>
      </c>
      <c r="Y85" s="3" t="str">
        <f>IFERROR(__xludf.DUMMYFUNCTION("""COMPUTED_VALUE"""),"Tracy")</f>
        <v>Tracy</v>
      </c>
      <c r="AA85" s="3">
        <v>21.0</v>
      </c>
      <c r="AB85" s="3">
        <f t="shared" si="7"/>
        <v>1</v>
      </c>
      <c r="AC85" s="3">
        <f t="shared" si="8"/>
        <v>1</v>
      </c>
      <c r="AD85" s="3">
        <f t="shared" si="9"/>
        <v>2.564102564</v>
      </c>
      <c r="AE85" s="3">
        <f t="shared" si="10"/>
        <v>2.564102564</v>
      </c>
      <c r="AF85" s="3">
        <f t="shared" si="11"/>
        <v>1.709401709</v>
      </c>
      <c r="AG85" s="3">
        <f t="shared" si="12"/>
        <v>0.0243902439</v>
      </c>
    </row>
    <row r="86">
      <c r="A86" s="1" t="s">
        <v>12</v>
      </c>
      <c r="B86" s="1" t="s">
        <v>478</v>
      </c>
      <c r="C86" s="1" t="s">
        <v>18</v>
      </c>
      <c r="D86" s="1" t="s">
        <v>147</v>
      </c>
      <c r="E86" s="1" t="s">
        <v>88</v>
      </c>
      <c r="F86" s="1" t="s">
        <v>567</v>
      </c>
      <c r="G86" s="1">
        <v>6.5</v>
      </c>
      <c r="H86" s="1" t="s">
        <v>60</v>
      </c>
      <c r="I86" s="1">
        <v>110.0</v>
      </c>
      <c r="J86" s="1">
        <v>0.0981047619047619</v>
      </c>
      <c r="K86" s="1" t="s">
        <v>61</v>
      </c>
      <c r="L86" s="1" t="s">
        <v>61</v>
      </c>
      <c r="M86" s="1" t="s">
        <v>62</v>
      </c>
      <c r="N86" s="1">
        <v>-142.0</v>
      </c>
      <c r="O86" s="1">
        <v>-0.161059504132231</v>
      </c>
      <c r="P86" s="1" t="s">
        <v>61</v>
      </c>
      <c r="Q86" s="1" t="s">
        <v>61</v>
      </c>
      <c r="R86" s="1">
        <f t="shared" si="1"/>
        <v>0.0981047619</v>
      </c>
      <c r="S86" s="1">
        <f t="shared" si="2"/>
        <v>110</v>
      </c>
      <c r="T86" s="1">
        <f t="shared" si="3"/>
        <v>2.1</v>
      </c>
      <c r="U86" s="1">
        <f t="shared" si="4"/>
        <v>1</v>
      </c>
      <c r="V86" s="3">
        <f t="shared" si="5"/>
        <v>2</v>
      </c>
      <c r="W86" s="3">
        <f t="shared" si="6"/>
        <v>2</v>
      </c>
      <c r="X86" s="3" t="str">
        <f>IFERROR(__xludf.DUMMYFUNCTION("split(B86,"" "")"),"M.")</f>
        <v>M.</v>
      </c>
      <c r="Y86" s="3" t="str">
        <f>IFERROR(__xludf.DUMMYFUNCTION("""COMPUTED_VALUE"""),"Nabers")</f>
        <v>Nabers</v>
      </c>
      <c r="AA86" s="3">
        <v>12.0</v>
      </c>
      <c r="AB86" s="3">
        <f t="shared" si="7"/>
        <v>1</v>
      </c>
      <c r="AC86" s="3">
        <f t="shared" si="8"/>
        <v>1</v>
      </c>
      <c r="AD86" s="3">
        <f t="shared" si="9"/>
        <v>2.2</v>
      </c>
      <c r="AE86" s="3">
        <f t="shared" si="10"/>
        <v>2.2</v>
      </c>
      <c r="AF86" s="3">
        <f t="shared" si="11"/>
        <v>2.2</v>
      </c>
      <c r="AG86" s="3">
        <f t="shared" si="12"/>
        <v>0.8461538462</v>
      </c>
    </row>
    <row r="87">
      <c r="A87" s="1" t="s">
        <v>11</v>
      </c>
      <c r="B87" s="1" t="s">
        <v>568</v>
      </c>
      <c r="C87" s="1" t="s">
        <v>19</v>
      </c>
      <c r="D87" s="1" t="s">
        <v>147</v>
      </c>
      <c r="E87" s="1" t="s">
        <v>88</v>
      </c>
      <c r="F87" s="1" t="s">
        <v>567</v>
      </c>
      <c r="G87" s="1">
        <v>5.5</v>
      </c>
      <c r="H87" s="1" t="s">
        <v>60</v>
      </c>
      <c r="I87" s="1">
        <v>-116.0</v>
      </c>
      <c r="J87" s="1">
        <v>0.0761120100004263</v>
      </c>
      <c r="K87" s="1" t="s">
        <v>61</v>
      </c>
      <c r="L87" s="1" t="s">
        <v>61</v>
      </c>
      <c r="M87" s="1" t="s">
        <v>62</v>
      </c>
      <c r="N87" s="1">
        <v>-113.0</v>
      </c>
      <c r="O87" s="1">
        <v>-0.143614269487812</v>
      </c>
      <c r="P87" s="1" t="s">
        <v>61</v>
      </c>
      <c r="Q87" s="1" t="s">
        <v>61</v>
      </c>
      <c r="R87" s="1">
        <f t="shared" si="1"/>
        <v>0.07611201</v>
      </c>
      <c r="S87" s="1">
        <f t="shared" si="2"/>
        <v>-116</v>
      </c>
      <c r="T87" s="1">
        <f t="shared" si="3"/>
        <v>1.862068966</v>
      </c>
      <c r="U87" s="1">
        <f t="shared" si="4"/>
        <v>1</v>
      </c>
      <c r="V87" s="3">
        <f t="shared" si="5"/>
        <v>2</v>
      </c>
      <c r="W87" s="3">
        <f t="shared" si="6"/>
        <v>2</v>
      </c>
      <c r="X87" s="3" t="str">
        <f>IFERROR(__xludf.DUMMYFUNCTION("split(B87,"" "")"),"T.")</f>
        <v>T.</v>
      </c>
      <c r="Y87" s="3" t="str">
        <f>IFERROR(__xludf.DUMMYFUNCTION("""COMPUTED_VALUE"""),"Tracy")</f>
        <v>Tracy</v>
      </c>
      <c r="AA87" s="3">
        <v>19.0</v>
      </c>
      <c r="AB87" s="3">
        <f t="shared" si="7"/>
        <v>1</v>
      </c>
      <c r="AC87" s="3">
        <f t="shared" si="8"/>
        <v>1</v>
      </c>
      <c r="AD87" s="3">
        <f t="shared" si="9"/>
        <v>1.724137931</v>
      </c>
      <c r="AE87" s="3">
        <f t="shared" si="10"/>
        <v>1.724137931</v>
      </c>
      <c r="AF87" s="3">
        <f t="shared" si="11"/>
        <v>1.724137931</v>
      </c>
      <c r="AG87" s="3">
        <f t="shared" si="12"/>
        <v>2.454545455</v>
      </c>
    </row>
    <row r="88">
      <c r="A88" s="1" t="s">
        <v>8</v>
      </c>
      <c r="B88" s="1" t="s">
        <v>270</v>
      </c>
      <c r="C88" s="1" t="s">
        <v>19</v>
      </c>
      <c r="D88" s="1" t="s">
        <v>147</v>
      </c>
      <c r="E88" s="1" t="s">
        <v>88</v>
      </c>
      <c r="F88" s="1" t="s">
        <v>567</v>
      </c>
      <c r="G88" s="1">
        <v>14.5</v>
      </c>
      <c r="H88" s="1" t="s">
        <v>60</v>
      </c>
      <c r="I88" s="1">
        <v>-107.0</v>
      </c>
      <c r="J88" s="1">
        <v>-0.13054959437198</v>
      </c>
      <c r="K88" s="1" t="s">
        <v>61</v>
      </c>
      <c r="L88" s="1" t="s">
        <v>61</v>
      </c>
      <c r="M88" s="1" t="s">
        <v>62</v>
      </c>
      <c r="N88" s="1">
        <v>-123.0</v>
      </c>
      <c r="O88" s="1">
        <v>0.0620919157984304</v>
      </c>
      <c r="P88" s="1" t="s">
        <v>61</v>
      </c>
      <c r="Q88" s="1" t="s">
        <v>61</v>
      </c>
      <c r="R88" s="1">
        <f t="shared" si="1"/>
        <v>0.0620919158</v>
      </c>
      <c r="S88" s="1">
        <f t="shared" si="2"/>
        <v>-123</v>
      </c>
      <c r="T88" s="1">
        <f t="shared" si="3"/>
        <v>1.81300813</v>
      </c>
      <c r="U88" s="1">
        <f t="shared" si="4"/>
        <v>0</v>
      </c>
      <c r="V88" s="3">
        <f t="shared" si="5"/>
        <v>2</v>
      </c>
      <c r="W88" s="3">
        <f t="shared" si="6"/>
        <v>3</v>
      </c>
      <c r="X88" s="3" t="str">
        <f>IFERROR(__xludf.DUMMYFUNCTION("split(B88,"" "")"),"D.")</f>
        <v>D.</v>
      </c>
      <c r="Y88" s="3" t="str">
        <f>IFERROR(__xludf.DUMMYFUNCTION("""COMPUTED_VALUE"""),"Singletary")</f>
        <v>Singletary</v>
      </c>
      <c r="AA88" s="3">
        <v>14.0</v>
      </c>
      <c r="AB88" s="3">
        <f t="shared" si="7"/>
        <v>0</v>
      </c>
      <c r="AC88" s="3">
        <f t="shared" si="8"/>
        <v>1</v>
      </c>
      <c r="AD88" s="3">
        <f t="shared" si="9"/>
        <v>1.62601626</v>
      </c>
      <c r="AE88" s="3">
        <f t="shared" si="10"/>
        <v>1.62601626</v>
      </c>
      <c r="AF88" s="3">
        <f t="shared" si="11"/>
        <v>2.43902439</v>
      </c>
      <c r="AG88" s="3">
        <f t="shared" si="12"/>
        <v>0.03448275862</v>
      </c>
    </row>
    <row r="89">
      <c r="A89" s="1" t="s">
        <v>11</v>
      </c>
      <c r="B89" s="1" t="s">
        <v>354</v>
      </c>
      <c r="C89" s="1" t="s">
        <v>18</v>
      </c>
      <c r="D89" s="1" t="s">
        <v>147</v>
      </c>
      <c r="E89" s="1" t="s">
        <v>88</v>
      </c>
      <c r="F89" s="1" t="s">
        <v>567</v>
      </c>
      <c r="G89" s="1">
        <v>36.5</v>
      </c>
      <c r="H89" s="1" t="s">
        <v>60</v>
      </c>
      <c r="I89" s="1">
        <v>-116.0</v>
      </c>
      <c r="J89" s="1">
        <v>-0.128228481207407</v>
      </c>
      <c r="K89" s="1" t="s">
        <v>61</v>
      </c>
      <c r="L89" s="1" t="s">
        <v>61</v>
      </c>
      <c r="M89" s="1" t="s">
        <v>62</v>
      </c>
      <c r="N89" s="1">
        <v>-114.0</v>
      </c>
      <c r="O89" s="1">
        <v>0.05847811926643</v>
      </c>
      <c r="P89" s="1" t="s">
        <v>61</v>
      </c>
      <c r="Q89" s="1" t="s">
        <v>61</v>
      </c>
      <c r="R89" s="1">
        <f t="shared" si="1"/>
        <v>0.05847811927</v>
      </c>
      <c r="S89" s="1">
        <f t="shared" si="2"/>
        <v>-114</v>
      </c>
      <c r="T89" s="1">
        <f t="shared" si="3"/>
        <v>1.877192982</v>
      </c>
      <c r="U89" s="1">
        <f t="shared" si="4"/>
        <v>0</v>
      </c>
      <c r="V89" s="3">
        <f t="shared" si="5"/>
        <v>2</v>
      </c>
      <c r="W89" s="3">
        <f t="shared" si="6"/>
        <v>2</v>
      </c>
      <c r="X89" s="3" t="str">
        <f>IFERROR(__xludf.DUMMYFUNCTION("split(B89,"" "")"),"W.")</f>
        <v>W.</v>
      </c>
      <c r="Y89" s="3" t="str">
        <f>IFERROR(__xludf.DUMMYFUNCTION("""COMPUTED_VALUE"""),"Robinson")</f>
        <v>Robinson</v>
      </c>
      <c r="AA89" s="3">
        <v>71.0</v>
      </c>
      <c r="AB89" s="3">
        <f t="shared" si="7"/>
        <v>1</v>
      </c>
      <c r="AC89" s="3">
        <f t="shared" si="8"/>
        <v>0</v>
      </c>
      <c r="AD89" s="3">
        <f t="shared" si="9"/>
        <v>1.754385965</v>
      </c>
      <c r="AE89" s="3">
        <f t="shared" si="10"/>
        <v>-2</v>
      </c>
      <c r="AF89" s="3">
        <f t="shared" si="11"/>
        <v>-2</v>
      </c>
      <c r="AG89" s="3">
        <f t="shared" si="12"/>
        <v>-0.9452054795</v>
      </c>
    </row>
    <row r="90">
      <c r="A90" s="1" t="s">
        <v>17</v>
      </c>
      <c r="B90" s="1" t="s">
        <v>260</v>
      </c>
      <c r="C90" s="1" t="s">
        <v>21</v>
      </c>
      <c r="D90" s="1" t="s">
        <v>147</v>
      </c>
      <c r="E90" s="1" t="s">
        <v>88</v>
      </c>
      <c r="F90" s="1" t="s">
        <v>567</v>
      </c>
      <c r="G90" s="1">
        <v>0.5</v>
      </c>
      <c r="H90" s="1" t="s">
        <v>60</v>
      </c>
      <c r="I90" s="1">
        <v>-131.0</v>
      </c>
      <c r="J90" s="1">
        <v>-0.121056277056277</v>
      </c>
      <c r="K90" s="1" t="s">
        <v>61</v>
      </c>
      <c r="L90" s="1" t="s">
        <v>61</v>
      </c>
      <c r="M90" s="1" t="s">
        <v>62</v>
      </c>
      <c r="N90" s="1">
        <v>100.0</v>
      </c>
      <c r="O90" s="1">
        <v>0.05395</v>
      </c>
      <c r="P90" s="1" t="s">
        <v>61</v>
      </c>
      <c r="Q90" s="1" t="s">
        <v>61</v>
      </c>
      <c r="R90" s="1">
        <f t="shared" si="1"/>
        <v>0.05395</v>
      </c>
      <c r="S90" s="1">
        <f t="shared" si="2"/>
        <v>100</v>
      </c>
      <c r="T90" s="1">
        <f t="shared" si="3"/>
        <v>2</v>
      </c>
      <c r="U90" s="1">
        <f t="shared" si="4"/>
        <v>0</v>
      </c>
      <c r="V90" s="3">
        <f t="shared" si="5"/>
        <v>2</v>
      </c>
      <c r="W90" s="3">
        <f t="shared" si="6"/>
        <v>2</v>
      </c>
      <c r="X90" s="3" t="str">
        <f>IFERROR(__xludf.DUMMYFUNCTION("split(B90,"" "")"),"D.")</f>
        <v>D.</v>
      </c>
      <c r="Y90" s="3" t="str">
        <f>IFERROR(__xludf.DUMMYFUNCTION("""COMPUTED_VALUE"""),"Jones")</f>
        <v>Jones</v>
      </c>
      <c r="AA90" s="3">
        <v>1.0</v>
      </c>
      <c r="AB90" s="3">
        <f t="shared" si="7"/>
        <v>1</v>
      </c>
      <c r="AC90" s="3">
        <f t="shared" si="8"/>
        <v>0</v>
      </c>
      <c r="AD90" s="3">
        <f t="shared" si="9"/>
        <v>2</v>
      </c>
      <c r="AE90" s="3">
        <f t="shared" si="10"/>
        <v>-2</v>
      </c>
      <c r="AF90" s="3">
        <f t="shared" si="11"/>
        <v>-2</v>
      </c>
      <c r="AG90" s="3">
        <f t="shared" si="12"/>
        <v>-1</v>
      </c>
    </row>
    <row r="91">
      <c r="A91" s="1" t="s">
        <v>9</v>
      </c>
      <c r="B91" s="1" t="s">
        <v>270</v>
      </c>
      <c r="C91" s="1" t="s">
        <v>19</v>
      </c>
      <c r="D91" s="1" t="s">
        <v>147</v>
      </c>
      <c r="E91" s="1" t="s">
        <v>88</v>
      </c>
      <c r="F91" s="1" t="s">
        <v>567</v>
      </c>
      <c r="G91" s="1">
        <v>78.5</v>
      </c>
      <c r="H91" s="1" t="s">
        <v>60</v>
      </c>
      <c r="I91" s="1">
        <v>-117.0</v>
      </c>
      <c r="J91" s="1">
        <v>-0.116774328752857</v>
      </c>
      <c r="K91" s="1" t="s">
        <v>61</v>
      </c>
      <c r="L91" s="1" t="s">
        <v>61</v>
      </c>
      <c r="M91" s="1" t="s">
        <v>62</v>
      </c>
      <c r="N91" s="1">
        <v>-115.0</v>
      </c>
      <c r="O91" s="1">
        <v>0.042672505768723</v>
      </c>
      <c r="P91" s="1" t="s">
        <v>61</v>
      </c>
      <c r="Q91" s="1" t="s">
        <v>61</v>
      </c>
      <c r="R91" s="1">
        <f t="shared" si="1"/>
        <v>0.04267250577</v>
      </c>
      <c r="S91" s="1">
        <f t="shared" si="2"/>
        <v>-115</v>
      </c>
      <c r="T91" s="1">
        <f t="shared" si="3"/>
        <v>1.869565217</v>
      </c>
      <c r="U91" s="1">
        <f t="shared" si="4"/>
        <v>0</v>
      </c>
      <c r="V91" s="3">
        <f t="shared" si="5"/>
        <v>1</v>
      </c>
      <c r="W91" s="3">
        <f t="shared" si="6"/>
        <v>2</v>
      </c>
      <c r="X91" s="3" t="str">
        <f>IFERROR(__xludf.DUMMYFUNCTION("split(B91,"" "")"),"D.")</f>
        <v>D.</v>
      </c>
      <c r="Y91" s="3" t="str">
        <f>IFERROR(__xludf.DUMMYFUNCTION("""COMPUTED_VALUE"""),"Singletary")</f>
        <v>Singletary</v>
      </c>
      <c r="AA91" s="3">
        <v>38.0</v>
      </c>
      <c r="AB91" s="3">
        <f t="shared" si="7"/>
        <v>0</v>
      </c>
      <c r="AC91" s="3">
        <f t="shared" si="8"/>
        <v>1</v>
      </c>
      <c r="AD91" s="3">
        <f t="shared" si="9"/>
        <v>0.8695652174</v>
      </c>
      <c r="AE91" s="3">
        <f t="shared" si="10"/>
        <v>0.8695652174</v>
      </c>
      <c r="AF91" s="3">
        <f t="shared" si="11"/>
        <v>1.739130435</v>
      </c>
      <c r="AG91" s="3">
        <f t="shared" si="12"/>
        <v>0.5159235669</v>
      </c>
    </row>
    <row r="92">
      <c r="A92" s="1" t="s">
        <v>12</v>
      </c>
      <c r="B92" s="1" t="s">
        <v>354</v>
      </c>
      <c r="C92" s="1" t="s">
        <v>18</v>
      </c>
      <c r="D92" s="1" t="s">
        <v>147</v>
      </c>
      <c r="E92" s="1" t="s">
        <v>88</v>
      </c>
      <c r="F92" s="1" t="s">
        <v>567</v>
      </c>
      <c r="G92" s="1">
        <v>4.5</v>
      </c>
      <c r="H92" s="1" t="s">
        <v>60</v>
      </c>
      <c r="I92" s="1">
        <v>115.0</v>
      </c>
      <c r="J92" s="1">
        <v>-0.106309302325581</v>
      </c>
      <c r="K92" s="1" t="s">
        <v>61</v>
      </c>
      <c r="L92" s="1" t="s">
        <v>61</v>
      </c>
      <c r="M92" s="1" t="s">
        <v>62</v>
      </c>
      <c r="N92" s="1">
        <v>-152.0</v>
      </c>
      <c r="O92" s="1">
        <v>0.0380047619047619</v>
      </c>
      <c r="P92" s="1" t="s">
        <v>61</v>
      </c>
      <c r="Q92" s="1" t="s">
        <v>61</v>
      </c>
      <c r="R92" s="1">
        <f t="shared" si="1"/>
        <v>0.0380047619</v>
      </c>
      <c r="S92" s="1">
        <f t="shared" si="2"/>
        <v>-152</v>
      </c>
      <c r="T92" s="1">
        <f t="shared" si="3"/>
        <v>1.657894737</v>
      </c>
      <c r="U92" s="1">
        <f t="shared" si="4"/>
        <v>0</v>
      </c>
      <c r="V92" s="3">
        <f t="shared" si="5"/>
        <v>1</v>
      </c>
      <c r="W92" s="3">
        <f t="shared" si="6"/>
        <v>3</v>
      </c>
      <c r="X92" s="3" t="str">
        <f>IFERROR(__xludf.DUMMYFUNCTION("split(B92,"" "")"),"W.")</f>
        <v>W.</v>
      </c>
      <c r="Y92" s="3" t="str">
        <f>IFERROR(__xludf.DUMMYFUNCTION("""COMPUTED_VALUE"""),"Robinson")</f>
        <v>Robinson</v>
      </c>
      <c r="AA92" s="3">
        <v>11.0</v>
      </c>
      <c r="AB92" s="3">
        <f t="shared" si="7"/>
        <v>1</v>
      </c>
      <c r="AC92" s="3">
        <f t="shared" si="8"/>
        <v>0</v>
      </c>
      <c r="AD92" s="3">
        <f t="shared" si="9"/>
        <v>0.6578947368</v>
      </c>
      <c r="AE92" s="3">
        <f t="shared" si="10"/>
        <v>-1</v>
      </c>
      <c r="AF92" s="3">
        <f t="shared" si="11"/>
        <v>-3</v>
      </c>
      <c r="AG92" s="3">
        <f t="shared" si="12"/>
        <v>-1.444444444</v>
      </c>
    </row>
    <row r="93">
      <c r="A93" s="1" t="s">
        <v>9</v>
      </c>
      <c r="B93" s="1" t="s">
        <v>478</v>
      </c>
      <c r="C93" s="1" t="s">
        <v>18</v>
      </c>
      <c r="D93" s="1" t="s">
        <v>147</v>
      </c>
      <c r="E93" s="1" t="s">
        <v>88</v>
      </c>
      <c r="F93" s="1" t="s">
        <v>567</v>
      </c>
      <c r="G93" s="1">
        <v>73.5</v>
      </c>
      <c r="H93" s="1" t="s">
        <v>60</v>
      </c>
      <c r="I93" s="1">
        <v>-116.0</v>
      </c>
      <c r="J93" s="1">
        <v>-0.110071753028325</v>
      </c>
      <c r="K93" s="1" t="s">
        <v>61</v>
      </c>
      <c r="L93" s="1" t="s">
        <v>61</v>
      </c>
      <c r="M93" s="1" t="s">
        <v>62</v>
      </c>
      <c r="N93" s="1">
        <v>-116.0</v>
      </c>
      <c r="O93" s="1">
        <v>0.0359872335128571</v>
      </c>
      <c r="P93" s="1" t="s">
        <v>61</v>
      </c>
      <c r="Q93" s="1" t="s">
        <v>61</v>
      </c>
      <c r="R93" s="1">
        <f t="shared" si="1"/>
        <v>0.03598723351</v>
      </c>
      <c r="S93" s="1">
        <f t="shared" si="2"/>
        <v>-116</v>
      </c>
      <c r="T93" s="1">
        <f t="shared" si="3"/>
        <v>1.862068966</v>
      </c>
      <c r="U93" s="1">
        <f t="shared" si="4"/>
        <v>0</v>
      </c>
      <c r="V93" s="3">
        <f t="shared" si="5"/>
        <v>1</v>
      </c>
      <c r="W93" s="3">
        <f t="shared" si="6"/>
        <v>2</v>
      </c>
      <c r="X93" s="3" t="str">
        <f>IFERROR(__xludf.DUMMYFUNCTION("split(B93,"" "")"),"M.")</f>
        <v>M.</v>
      </c>
      <c r="Y93" s="3" t="str">
        <f>IFERROR(__xludf.DUMMYFUNCTION("""COMPUTED_VALUE"""),"Nabers")</f>
        <v>Nabers</v>
      </c>
      <c r="AA93" s="3">
        <v>111.0</v>
      </c>
      <c r="AB93" s="3">
        <f t="shared" si="7"/>
        <v>1</v>
      </c>
      <c r="AC93" s="3">
        <f t="shared" si="8"/>
        <v>0</v>
      </c>
      <c r="AD93" s="3">
        <f t="shared" si="9"/>
        <v>0.8620689655</v>
      </c>
      <c r="AE93" s="3">
        <f t="shared" si="10"/>
        <v>-1</v>
      </c>
      <c r="AF93" s="3">
        <f t="shared" si="11"/>
        <v>-2</v>
      </c>
      <c r="AG93" s="3">
        <f t="shared" si="12"/>
        <v>-0.5102040816</v>
      </c>
    </row>
    <row r="94">
      <c r="A94" s="1" t="s">
        <v>10</v>
      </c>
      <c r="B94" s="1" t="s">
        <v>260</v>
      </c>
      <c r="C94" s="1" t="s">
        <v>21</v>
      </c>
      <c r="D94" s="1" t="s">
        <v>147</v>
      </c>
      <c r="E94" s="1" t="s">
        <v>88</v>
      </c>
      <c r="F94" s="1" t="s">
        <v>567</v>
      </c>
      <c r="G94" s="1">
        <v>32.5</v>
      </c>
      <c r="H94" s="1" t="s">
        <v>60</v>
      </c>
      <c r="I94" s="1">
        <v>-116.0</v>
      </c>
      <c r="J94" s="1">
        <v>-0.089415640655622</v>
      </c>
      <c r="K94" s="1" t="s">
        <v>61</v>
      </c>
      <c r="L94" s="1" t="s">
        <v>61</v>
      </c>
      <c r="M94" s="1" t="s">
        <v>62</v>
      </c>
      <c r="N94" s="1">
        <v>-114.0</v>
      </c>
      <c r="O94" s="1">
        <v>0.0197253614721512</v>
      </c>
      <c r="P94" s="1" t="s">
        <v>61</v>
      </c>
      <c r="Q94" s="1" t="s">
        <v>61</v>
      </c>
      <c r="R94" s="1">
        <f t="shared" si="1"/>
        <v>0.01972536147</v>
      </c>
      <c r="S94" s="1">
        <f t="shared" si="2"/>
        <v>-114</v>
      </c>
      <c r="T94" s="1">
        <f t="shared" si="3"/>
        <v>1.877192982</v>
      </c>
      <c r="U94" s="1">
        <f t="shared" si="4"/>
        <v>0</v>
      </c>
      <c r="V94" s="3">
        <f t="shared" si="5"/>
        <v>1</v>
      </c>
      <c r="W94" s="3">
        <f t="shared" si="6"/>
        <v>2</v>
      </c>
      <c r="X94" s="3" t="str">
        <f>IFERROR(__xludf.DUMMYFUNCTION("split(B94,"" "")"),"D.")</f>
        <v>D.</v>
      </c>
      <c r="Y94" s="3" t="str">
        <f>IFERROR(__xludf.DUMMYFUNCTION("""COMPUTED_VALUE"""),"Jones")</f>
        <v>Jones</v>
      </c>
      <c r="AA94" s="3">
        <v>3.0</v>
      </c>
      <c r="AB94" s="3">
        <f t="shared" si="7"/>
        <v>0</v>
      </c>
      <c r="AC94" s="3">
        <f t="shared" si="8"/>
        <v>1</v>
      </c>
      <c r="AD94" s="3">
        <f t="shared" si="9"/>
        <v>0.8771929825</v>
      </c>
      <c r="AE94" s="3">
        <f t="shared" si="10"/>
        <v>0.8771929825</v>
      </c>
      <c r="AF94" s="3">
        <f t="shared" si="11"/>
        <v>1.754385965</v>
      </c>
      <c r="AG94" s="3">
        <f t="shared" si="12"/>
        <v>0.9076923077</v>
      </c>
    </row>
    <row r="95">
      <c r="A95" s="1" t="s">
        <v>11</v>
      </c>
      <c r="B95" s="1" t="s">
        <v>478</v>
      </c>
      <c r="C95" s="1" t="s">
        <v>18</v>
      </c>
      <c r="D95" s="1" t="s">
        <v>147</v>
      </c>
      <c r="E95" s="1" t="s">
        <v>88</v>
      </c>
      <c r="F95" s="1" t="s">
        <v>567</v>
      </c>
      <c r="G95" s="1">
        <v>71.5</v>
      </c>
      <c r="H95" s="1" t="s">
        <v>60</v>
      </c>
      <c r="I95" s="1">
        <v>-115.0</v>
      </c>
      <c r="J95" s="1">
        <v>-0.0741356714611993</v>
      </c>
      <c r="K95" s="1" t="s">
        <v>61</v>
      </c>
      <c r="L95" s="1" t="s">
        <v>61</v>
      </c>
      <c r="M95" s="1" t="s">
        <v>62</v>
      </c>
      <c r="N95" s="1">
        <v>-110.0</v>
      </c>
      <c r="O95" s="1">
        <v>0.0154361156250647</v>
      </c>
      <c r="P95" s="1" t="s">
        <v>61</v>
      </c>
      <c r="Q95" s="1" t="s">
        <v>61</v>
      </c>
      <c r="R95" s="1">
        <f t="shared" si="1"/>
        <v>0.01543611563</v>
      </c>
      <c r="S95" s="1">
        <f t="shared" si="2"/>
        <v>-110</v>
      </c>
      <c r="T95" s="1">
        <f t="shared" si="3"/>
        <v>1.909090909</v>
      </c>
      <c r="U95" s="1">
        <f t="shared" si="4"/>
        <v>0</v>
      </c>
      <c r="V95" s="3">
        <f t="shared" si="5"/>
        <v>1</v>
      </c>
      <c r="W95" s="3">
        <f t="shared" si="6"/>
        <v>2</v>
      </c>
      <c r="X95" s="3" t="str">
        <f>IFERROR(__xludf.DUMMYFUNCTION("split(B95,"" "")"),"M.")</f>
        <v>M.</v>
      </c>
      <c r="Y95" s="3" t="str">
        <f>IFERROR(__xludf.DUMMYFUNCTION("""COMPUTED_VALUE"""),"Nabers")</f>
        <v>Nabers</v>
      </c>
      <c r="AA95" s="3">
        <v>115.0</v>
      </c>
      <c r="AB95" s="3">
        <f t="shared" si="7"/>
        <v>1</v>
      </c>
      <c r="AC95" s="3">
        <f t="shared" si="8"/>
        <v>0</v>
      </c>
      <c r="AD95" s="3">
        <f t="shared" si="9"/>
        <v>0.9090909091</v>
      </c>
      <c r="AE95" s="3">
        <f t="shared" si="10"/>
        <v>-1</v>
      </c>
      <c r="AF95" s="3">
        <f t="shared" si="11"/>
        <v>-2</v>
      </c>
      <c r="AG95" s="3">
        <f t="shared" si="12"/>
        <v>-0.6083916084</v>
      </c>
    </row>
    <row r="96">
      <c r="A96" s="1" t="s">
        <v>10</v>
      </c>
      <c r="B96" s="1" t="s">
        <v>270</v>
      </c>
      <c r="C96" s="1" t="s">
        <v>19</v>
      </c>
      <c r="D96" s="1" t="s">
        <v>147</v>
      </c>
      <c r="E96" s="1" t="s">
        <v>88</v>
      </c>
      <c r="F96" s="1" t="s">
        <v>567</v>
      </c>
      <c r="G96" s="1">
        <v>59.5</v>
      </c>
      <c r="H96" s="1" t="s">
        <v>60</v>
      </c>
      <c r="I96" s="1">
        <v>-116.0</v>
      </c>
      <c r="J96" s="1">
        <v>-0.081878809909453</v>
      </c>
      <c r="K96" s="1" t="s">
        <v>61</v>
      </c>
      <c r="L96" s="1" t="s">
        <v>61</v>
      </c>
      <c r="M96" s="1" t="s">
        <v>62</v>
      </c>
      <c r="N96" s="1">
        <v>-114.0</v>
      </c>
      <c r="O96" s="1">
        <v>0.0121369233165531</v>
      </c>
      <c r="P96" s="1" t="s">
        <v>61</v>
      </c>
      <c r="Q96" s="1" t="s">
        <v>61</v>
      </c>
      <c r="R96" s="1">
        <f t="shared" si="1"/>
        <v>0.01213692332</v>
      </c>
      <c r="S96" s="1">
        <f t="shared" si="2"/>
        <v>-114</v>
      </c>
      <c r="T96" s="1">
        <f t="shared" si="3"/>
        <v>1.877192982</v>
      </c>
      <c r="U96" s="1">
        <f t="shared" si="4"/>
        <v>0</v>
      </c>
      <c r="V96" s="3">
        <f t="shared" si="5"/>
        <v>1</v>
      </c>
      <c r="W96" s="3">
        <f t="shared" si="6"/>
        <v>2</v>
      </c>
      <c r="X96" s="3" t="str">
        <f>IFERROR(__xludf.DUMMYFUNCTION("split(B96,"" "")"),"D.")</f>
        <v>D.</v>
      </c>
      <c r="Y96" s="3" t="str">
        <f>IFERROR(__xludf.DUMMYFUNCTION("""COMPUTED_VALUE"""),"Singletary")</f>
        <v>Singletary</v>
      </c>
      <c r="AA96" s="3">
        <v>24.0</v>
      </c>
      <c r="AB96" s="3">
        <f t="shared" si="7"/>
        <v>0</v>
      </c>
      <c r="AC96" s="3">
        <f t="shared" si="8"/>
        <v>1</v>
      </c>
      <c r="AD96" s="3">
        <f t="shared" si="9"/>
        <v>0.8771929825</v>
      </c>
      <c r="AE96" s="3">
        <f t="shared" si="10"/>
        <v>0.8771929825</v>
      </c>
      <c r="AF96" s="3">
        <f t="shared" si="11"/>
        <v>1.754385965</v>
      </c>
      <c r="AG96" s="3">
        <f t="shared" si="12"/>
        <v>0.5966386555</v>
      </c>
    </row>
    <row r="97">
      <c r="A97" s="1" t="s">
        <v>13</v>
      </c>
      <c r="B97" s="1" t="s">
        <v>260</v>
      </c>
      <c r="C97" s="1" t="s">
        <v>21</v>
      </c>
      <c r="D97" s="1" t="s">
        <v>147</v>
      </c>
      <c r="E97" s="1" t="s">
        <v>88</v>
      </c>
      <c r="F97" s="1" t="s">
        <v>567</v>
      </c>
      <c r="G97" s="1">
        <v>201.5</v>
      </c>
      <c r="H97" s="1" t="s">
        <v>60</v>
      </c>
      <c r="I97" s="1">
        <v>-112.0</v>
      </c>
      <c r="J97" s="1">
        <v>0.00508441179245255</v>
      </c>
      <c r="K97" s="1" t="s">
        <v>61</v>
      </c>
      <c r="L97" s="1" t="s">
        <v>61</v>
      </c>
      <c r="M97" s="1" t="s">
        <v>62</v>
      </c>
      <c r="N97" s="1">
        <v>-111.0</v>
      </c>
      <c r="O97" s="1">
        <v>-0.0594049657962083</v>
      </c>
      <c r="P97" s="1" t="s">
        <v>61</v>
      </c>
      <c r="Q97" s="1" t="s">
        <v>61</v>
      </c>
      <c r="R97" s="1">
        <f t="shared" si="1"/>
        <v>0.005084411792</v>
      </c>
      <c r="S97" s="1">
        <f t="shared" si="2"/>
        <v>-112</v>
      </c>
      <c r="T97" s="1">
        <f t="shared" si="3"/>
        <v>1.892857143</v>
      </c>
      <c r="U97" s="1">
        <f t="shared" si="4"/>
        <v>1</v>
      </c>
      <c r="V97" s="3">
        <f t="shared" si="5"/>
        <v>1</v>
      </c>
      <c r="W97" s="3">
        <f t="shared" si="6"/>
        <v>2</v>
      </c>
      <c r="X97" s="3" t="str">
        <f>IFERROR(__xludf.DUMMYFUNCTION("split(B97,"" "")"),"D.")</f>
        <v>D.</v>
      </c>
      <c r="Y97" s="3" t="str">
        <f>IFERROR(__xludf.DUMMYFUNCTION("""COMPUTED_VALUE"""),"Jones")</f>
        <v>Jones</v>
      </c>
      <c r="AA97" s="3">
        <v>281.0</v>
      </c>
      <c r="AB97" s="3">
        <f t="shared" si="7"/>
        <v>1</v>
      </c>
      <c r="AC97" s="3">
        <f t="shared" si="8"/>
        <v>1</v>
      </c>
      <c r="AD97" s="3">
        <f t="shared" si="9"/>
        <v>0.8928571429</v>
      </c>
      <c r="AE97" s="3">
        <f t="shared" si="10"/>
        <v>0.8928571429</v>
      </c>
      <c r="AF97" s="3">
        <f t="shared" si="11"/>
        <v>1.785714286</v>
      </c>
      <c r="AG97" s="3">
        <f t="shared" si="12"/>
        <v>0.3945409429</v>
      </c>
    </row>
    <row r="98">
      <c r="A98" s="1" t="s">
        <v>12</v>
      </c>
      <c r="B98" s="1" t="s">
        <v>282</v>
      </c>
      <c r="C98" s="1" t="s">
        <v>19</v>
      </c>
      <c r="D98" s="1" t="s">
        <v>58</v>
      </c>
      <c r="E98" s="1" t="s">
        <v>109</v>
      </c>
      <c r="F98" s="1" t="s">
        <v>564</v>
      </c>
      <c r="G98" s="1">
        <v>4.0</v>
      </c>
      <c r="H98" s="1" t="s">
        <v>60</v>
      </c>
      <c r="I98" s="1">
        <v>-135.0</v>
      </c>
      <c r="J98" s="1">
        <v>-0.219908510638297</v>
      </c>
      <c r="K98" s="1" t="s">
        <v>61</v>
      </c>
      <c r="L98" s="1" t="s">
        <v>61</v>
      </c>
      <c r="M98" s="1" t="s">
        <v>62</v>
      </c>
      <c r="N98" s="1">
        <v>-103.0</v>
      </c>
      <c r="O98" s="1">
        <v>0.151197536945812</v>
      </c>
      <c r="P98" s="1" t="s">
        <v>61</v>
      </c>
      <c r="Q98" s="1" t="s">
        <v>61</v>
      </c>
      <c r="R98" s="1">
        <f t="shared" si="1"/>
        <v>0.1511975369</v>
      </c>
      <c r="S98" s="1">
        <f t="shared" si="2"/>
        <v>-103</v>
      </c>
      <c r="T98" s="1">
        <f t="shared" si="3"/>
        <v>1.970873786</v>
      </c>
      <c r="U98" s="1">
        <f t="shared" si="4"/>
        <v>0</v>
      </c>
      <c r="V98" s="3">
        <f t="shared" si="5"/>
        <v>3</v>
      </c>
      <c r="W98" s="3">
        <f t="shared" si="6"/>
        <v>2</v>
      </c>
      <c r="X98" s="3" t="str">
        <f>IFERROR(__xludf.DUMMYFUNCTION("split(B98,"" "")"),"A.")</f>
        <v>A.</v>
      </c>
      <c r="Y98" s="3" t="str">
        <f>IFERROR(__xludf.DUMMYFUNCTION("""COMPUTED_VALUE"""),"Kamara")</f>
        <v>Kamara</v>
      </c>
      <c r="AA98" s="3">
        <v>7.0</v>
      </c>
      <c r="AB98" s="3">
        <f t="shared" si="7"/>
        <v>1</v>
      </c>
      <c r="AC98" s="3">
        <f t="shared" si="8"/>
        <v>0</v>
      </c>
      <c r="AD98" s="3">
        <f t="shared" si="9"/>
        <v>2.912621359</v>
      </c>
      <c r="AE98" s="3">
        <f t="shared" si="10"/>
        <v>-3</v>
      </c>
      <c r="AF98" s="3">
        <f t="shared" si="11"/>
        <v>-2</v>
      </c>
      <c r="AG98" s="3">
        <f t="shared" si="12"/>
        <v>-0.75</v>
      </c>
    </row>
    <row r="99">
      <c r="A99" s="1" t="s">
        <v>12</v>
      </c>
      <c r="B99" s="1" t="s">
        <v>428</v>
      </c>
      <c r="C99" s="1" t="s">
        <v>18</v>
      </c>
      <c r="D99" s="1" t="s">
        <v>58</v>
      </c>
      <c r="E99" s="1" t="s">
        <v>109</v>
      </c>
      <c r="F99" s="1" t="s">
        <v>564</v>
      </c>
      <c r="G99" s="1">
        <v>3.5</v>
      </c>
      <c r="H99" s="1" t="s">
        <v>60</v>
      </c>
      <c r="I99" s="1">
        <v>-106.0</v>
      </c>
      <c r="J99" s="1">
        <v>-0.190263106796116</v>
      </c>
      <c r="K99" s="1" t="s">
        <v>61</v>
      </c>
      <c r="L99" s="1" t="s">
        <v>61</v>
      </c>
      <c r="M99" s="1" t="s">
        <v>62</v>
      </c>
      <c r="N99" s="1">
        <v>-123.0</v>
      </c>
      <c r="O99" s="1">
        <v>0.124130493273542</v>
      </c>
      <c r="P99" s="1" t="s">
        <v>61</v>
      </c>
      <c r="Q99" s="1" t="s">
        <v>61</v>
      </c>
      <c r="R99" s="1">
        <f t="shared" si="1"/>
        <v>0.1241304933</v>
      </c>
      <c r="S99" s="1">
        <f t="shared" si="2"/>
        <v>-123</v>
      </c>
      <c r="T99" s="1">
        <f t="shared" si="3"/>
        <v>1.81300813</v>
      </c>
      <c r="U99" s="1">
        <f t="shared" si="4"/>
        <v>0</v>
      </c>
      <c r="V99" s="3">
        <f t="shared" si="5"/>
        <v>3</v>
      </c>
      <c r="W99" s="3">
        <f t="shared" si="6"/>
        <v>3</v>
      </c>
      <c r="X99" s="3" t="str">
        <f>IFERROR(__xludf.DUMMYFUNCTION("split(B99,"" "")"),"R.")</f>
        <v>R.</v>
      </c>
      <c r="Y99" s="3" t="str">
        <f>IFERROR(__xludf.DUMMYFUNCTION("""COMPUTED_VALUE"""),"Shaheed")</f>
        <v>Shaheed</v>
      </c>
      <c r="AA99" s="3">
        <v>8.0</v>
      </c>
      <c r="AB99" s="3">
        <f t="shared" si="7"/>
        <v>1</v>
      </c>
      <c r="AC99" s="3">
        <f t="shared" si="8"/>
        <v>0</v>
      </c>
      <c r="AD99" s="3">
        <f t="shared" si="9"/>
        <v>2.43902439</v>
      </c>
      <c r="AE99" s="3">
        <f t="shared" si="10"/>
        <v>-3</v>
      </c>
      <c r="AF99" s="3">
        <f t="shared" si="11"/>
        <v>-3</v>
      </c>
      <c r="AG99" s="3">
        <f t="shared" si="12"/>
        <v>-1.285714286</v>
      </c>
    </row>
    <row r="100">
      <c r="A100" s="1" t="s">
        <v>10</v>
      </c>
      <c r="B100" s="1" t="s">
        <v>287</v>
      </c>
      <c r="C100" s="1" t="s">
        <v>21</v>
      </c>
      <c r="D100" s="1" t="s">
        <v>58</v>
      </c>
      <c r="E100" s="1" t="s">
        <v>109</v>
      </c>
      <c r="F100" s="1" t="s">
        <v>564</v>
      </c>
      <c r="G100" s="1">
        <v>1.5</v>
      </c>
      <c r="H100" s="1" t="s">
        <v>60</v>
      </c>
      <c r="I100" s="1">
        <v>-108.0</v>
      </c>
      <c r="J100" s="1">
        <v>0.107767559843002</v>
      </c>
      <c r="K100" s="1" t="s">
        <v>61</v>
      </c>
      <c r="L100" s="1" t="s">
        <v>61</v>
      </c>
      <c r="M100" s="1" t="s">
        <v>62</v>
      </c>
      <c r="N100" s="1">
        <v>-121.0</v>
      </c>
      <c r="O100" s="1">
        <v>-0.17450940932709</v>
      </c>
      <c r="P100" s="1" t="s">
        <v>61</v>
      </c>
      <c r="Q100" s="1" t="s">
        <v>61</v>
      </c>
      <c r="R100" s="1">
        <f t="shared" si="1"/>
        <v>0.1077675598</v>
      </c>
      <c r="S100" s="1">
        <f t="shared" si="2"/>
        <v>-108</v>
      </c>
      <c r="T100" s="1">
        <f t="shared" si="3"/>
        <v>1.925925926</v>
      </c>
      <c r="U100" s="1">
        <f t="shared" si="4"/>
        <v>1</v>
      </c>
      <c r="V100" s="3">
        <f t="shared" si="5"/>
        <v>3</v>
      </c>
      <c r="W100" s="3">
        <f t="shared" si="6"/>
        <v>2</v>
      </c>
      <c r="X100" s="3" t="str">
        <f>IFERROR(__xludf.DUMMYFUNCTION("split(B100,"" "")"),"D.")</f>
        <v>D.</v>
      </c>
      <c r="Y100" s="3" t="str">
        <f>IFERROR(__xludf.DUMMYFUNCTION("""COMPUTED_VALUE"""),"Carr")</f>
        <v>Carr</v>
      </c>
      <c r="AA100" s="3">
        <v>5.0</v>
      </c>
      <c r="AB100" s="3">
        <f t="shared" si="7"/>
        <v>1</v>
      </c>
      <c r="AC100" s="3">
        <f t="shared" si="8"/>
        <v>1</v>
      </c>
      <c r="AD100" s="3">
        <f t="shared" si="9"/>
        <v>2.777777778</v>
      </c>
      <c r="AE100" s="3">
        <f t="shared" si="10"/>
        <v>2.777777778</v>
      </c>
      <c r="AF100" s="3">
        <f t="shared" si="11"/>
        <v>1.851851852</v>
      </c>
      <c r="AG100" s="3">
        <f t="shared" si="12"/>
        <v>2.333333333</v>
      </c>
    </row>
    <row r="101">
      <c r="A101" s="1" t="s">
        <v>8</v>
      </c>
      <c r="B101" s="1" t="s">
        <v>282</v>
      </c>
      <c r="C101" s="1" t="s">
        <v>19</v>
      </c>
      <c r="D101" s="1" t="s">
        <v>58</v>
      </c>
      <c r="E101" s="1" t="s">
        <v>109</v>
      </c>
      <c r="F101" s="1" t="s">
        <v>564</v>
      </c>
      <c r="G101" s="1">
        <v>16.5</v>
      </c>
      <c r="H101" s="1" t="s">
        <v>60</v>
      </c>
      <c r="I101" s="1">
        <v>-110.0</v>
      </c>
      <c r="J101" s="1">
        <v>-0.171161683561904</v>
      </c>
      <c r="K101" s="1" t="s">
        <v>61</v>
      </c>
      <c r="L101" s="1" t="s">
        <v>61</v>
      </c>
      <c r="M101" s="1" t="s">
        <v>62</v>
      </c>
      <c r="N101" s="1">
        <v>-120.0</v>
      </c>
      <c r="O101" s="1">
        <v>0.101890655716363</v>
      </c>
      <c r="P101" s="1" t="s">
        <v>61</v>
      </c>
      <c r="Q101" s="1" t="s">
        <v>61</v>
      </c>
      <c r="R101" s="1">
        <f t="shared" si="1"/>
        <v>0.1018906557</v>
      </c>
      <c r="S101" s="1">
        <f t="shared" si="2"/>
        <v>-120</v>
      </c>
      <c r="T101" s="1">
        <f t="shared" si="3"/>
        <v>1.833333333</v>
      </c>
      <c r="U101" s="1">
        <f t="shared" si="4"/>
        <v>0</v>
      </c>
      <c r="V101" s="3">
        <f t="shared" si="5"/>
        <v>3</v>
      </c>
      <c r="W101" s="3">
        <f t="shared" si="6"/>
        <v>3</v>
      </c>
      <c r="X101" s="3" t="str">
        <f>IFERROR(__xludf.DUMMYFUNCTION("split(B101,"" "")"),"A.")</f>
        <v>A.</v>
      </c>
      <c r="Y101" s="3" t="str">
        <f>IFERROR(__xludf.DUMMYFUNCTION("""COMPUTED_VALUE"""),"Kamara")</f>
        <v>Kamara</v>
      </c>
      <c r="AA101" s="3">
        <v>19.0</v>
      </c>
      <c r="AB101" s="3">
        <f t="shared" si="7"/>
        <v>1</v>
      </c>
      <c r="AC101" s="3">
        <f t="shared" si="8"/>
        <v>0</v>
      </c>
      <c r="AD101" s="3">
        <f t="shared" si="9"/>
        <v>2.5</v>
      </c>
      <c r="AE101" s="3">
        <f t="shared" si="10"/>
        <v>-3</v>
      </c>
      <c r="AF101" s="3">
        <f t="shared" si="11"/>
        <v>-3</v>
      </c>
      <c r="AG101" s="3">
        <f t="shared" si="12"/>
        <v>-0.1515151515</v>
      </c>
    </row>
    <row r="102">
      <c r="A102" s="1" t="s">
        <v>9</v>
      </c>
      <c r="B102" s="1" t="s">
        <v>282</v>
      </c>
      <c r="C102" s="1" t="s">
        <v>19</v>
      </c>
      <c r="D102" s="1" t="s">
        <v>58</v>
      </c>
      <c r="E102" s="1" t="s">
        <v>109</v>
      </c>
      <c r="F102" s="1" t="s">
        <v>564</v>
      </c>
      <c r="G102" s="1">
        <v>100.5</v>
      </c>
      <c r="H102" s="1" t="s">
        <v>60</v>
      </c>
      <c r="I102" s="1">
        <v>-115.0</v>
      </c>
      <c r="J102" s="1">
        <v>-0.173103450437863</v>
      </c>
      <c r="K102" s="1" t="s">
        <v>61</v>
      </c>
      <c r="L102" s="1" t="s">
        <v>61</v>
      </c>
      <c r="M102" s="1" t="s">
        <v>62</v>
      </c>
      <c r="N102" s="1">
        <v>-117.0</v>
      </c>
      <c r="O102" s="1">
        <v>0.0990833899034082</v>
      </c>
      <c r="P102" s="1" t="s">
        <v>61</v>
      </c>
      <c r="Q102" s="1" t="s">
        <v>61</v>
      </c>
      <c r="R102" s="1">
        <f t="shared" si="1"/>
        <v>0.0990833899</v>
      </c>
      <c r="S102" s="1">
        <f t="shared" si="2"/>
        <v>-117</v>
      </c>
      <c r="T102" s="1">
        <f t="shared" si="3"/>
        <v>1.854700855</v>
      </c>
      <c r="U102" s="1">
        <f t="shared" si="4"/>
        <v>0</v>
      </c>
      <c r="V102" s="3">
        <f t="shared" si="5"/>
        <v>2</v>
      </c>
      <c r="W102" s="3">
        <f t="shared" si="6"/>
        <v>2</v>
      </c>
      <c r="X102" s="3" t="str">
        <f>IFERROR(__xludf.DUMMYFUNCTION("split(B102,"" "")"),"A.")</f>
        <v>A.</v>
      </c>
      <c r="Y102" s="3" t="str">
        <f>IFERROR(__xludf.DUMMYFUNCTION("""COMPUTED_VALUE"""),"Kamara")</f>
        <v>Kamara</v>
      </c>
      <c r="AA102" s="3">
        <v>119.0</v>
      </c>
      <c r="AB102" s="3">
        <f t="shared" si="7"/>
        <v>1</v>
      </c>
      <c r="AC102" s="3">
        <f t="shared" si="8"/>
        <v>0</v>
      </c>
      <c r="AD102" s="3">
        <f t="shared" si="9"/>
        <v>1.709401709</v>
      </c>
      <c r="AE102" s="3">
        <f t="shared" si="10"/>
        <v>-2</v>
      </c>
      <c r="AF102" s="3">
        <f t="shared" si="11"/>
        <v>-2</v>
      </c>
      <c r="AG102" s="3">
        <f t="shared" si="12"/>
        <v>-0.184079602</v>
      </c>
    </row>
    <row r="103">
      <c r="A103" s="1" t="s">
        <v>17</v>
      </c>
      <c r="B103" s="1" t="s">
        <v>287</v>
      </c>
      <c r="C103" s="1" t="s">
        <v>21</v>
      </c>
      <c r="D103" s="1" t="s">
        <v>58</v>
      </c>
      <c r="E103" s="1" t="s">
        <v>109</v>
      </c>
      <c r="F103" s="1" t="s">
        <v>564</v>
      </c>
      <c r="G103" s="1">
        <v>0.5</v>
      </c>
      <c r="H103" s="1" t="s">
        <v>60</v>
      </c>
      <c r="I103" s="1">
        <v>-145.0</v>
      </c>
      <c r="J103" s="1">
        <v>-0.150395918367346</v>
      </c>
      <c r="K103" s="1" t="s">
        <v>61</v>
      </c>
      <c r="L103" s="1" t="s">
        <v>61</v>
      </c>
      <c r="M103" s="1" t="s">
        <v>62</v>
      </c>
      <c r="N103" s="1">
        <v>111.0</v>
      </c>
      <c r="O103" s="1">
        <v>0.0846189573459715</v>
      </c>
      <c r="P103" s="1" t="s">
        <v>61</v>
      </c>
      <c r="Q103" s="1" t="s">
        <v>61</v>
      </c>
      <c r="R103" s="1">
        <f t="shared" si="1"/>
        <v>0.08461895735</v>
      </c>
      <c r="S103" s="1">
        <f t="shared" si="2"/>
        <v>111</v>
      </c>
      <c r="T103" s="1">
        <f t="shared" si="3"/>
        <v>2.11</v>
      </c>
      <c r="U103" s="1">
        <f t="shared" si="4"/>
        <v>0</v>
      </c>
      <c r="V103" s="3">
        <f t="shared" si="5"/>
        <v>2</v>
      </c>
      <c r="W103" s="3">
        <f t="shared" si="6"/>
        <v>1</v>
      </c>
      <c r="X103" s="3" t="str">
        <f>IFERROR(__xludf.DUMMYFUNCTION("split(B103,"" "")"),"D.")</f>
        <v>D.</v>
      </c>
      <c r="Y103" s="3" t="str">
        <f>IFERROR(__xludf.DUMMYFUNCTION("""COMPUTED_VALUE"""),"Carr")</f>
        <v>Carr</v>
      </c>
      <c r="AA103" s="3">
        <v>1.0</v>
      </c>
      <c r="AB103" s="3">
        <f t="shared" si="7"/>
        <v>1</v>
      </c>
      <c r="AC103" s="3">
        <f t="shared" si="8"/>
        <v>0</v>
      </c>
      <c r="AD103" s="3">
        <f t="shared" si="9"/>
        <v>2.22</v>
      </c>
      <c r="AE103" s="3">
        <f t="shared" si="10"/>
        <v>-2</v>
      </c>
      <c r="AF103" s="3">
        <f t="shared" si="11"/>
        <v>-1</v>
      </c>
      <c r="AG103" s="3">
        <f t="shared" si="12"/>
        <v>-1</v>
      </c>
    </row>
    <row r="104">
      <c r="A104" s="1" t="s">
        <v>10</v>
      </c>
      <c r="B104" s="1" t="s">
        <v>282</v>
      </c>
      <c r="C104" s="1" t="s">
        <v>19</v>
      </c>
      <c r="D104" s="1" t="s">
        <v>58</v>
      </c>
      <c r="E104" s="1" t="s">
        <v>109</v>
      </c>
      <c r="F104" s="1" t="s">
        <v>564</v>
      </c>
      <c r="G104" s="1">
        <v>66.5</v>
      </c>
      <c r="H104" s="1" t="s">
        <v>60</v>
      </c>
      <c r="I104" s="1">
        <v>-110.0</v>
      </c>
      <c r="J104" s="1">
        <v>-0.146688438178248</v>
      </c>
      <c r="K104" s="1" t="s">
        <v>61</v>
      </c>
      <c r="L104" s="1" t="s">
        <v>61</v>
      </c>
      <c r="M104" s="1" t="s">
        <v>62</v>
      </c>
      <c r="N104" s="1">
        <v>-120.0</v>
      </c>
      <c r="O104" s="1">
        <v>0.0774642689634478</v>
      </c>
      <c r="P104" s="1" t="s">
        <v>61</v>
      </c>
      <c r="Q104" s="1" t="s">
        <v>61</v>
      </c>
      <c r="R104" s="1">
        <f t="shared" si="1"/>
        <v>0.07746426896</v>
      </c>
      <c r="S104" s="1">
        <f t="shared" si="2"/>
        <v>-120</v>
      </c>
      <c r="T104" s="1">
        <f t="shared" si="3"/>
        <v>1.833333333</v>
      </c>
      <c r="U104" s="1">
        <f t="shared" si="4"/>
        <v>0</v>
      </c>
      <c r="V104" s="3">
        <f t="shared" si="5"/>
        <v>2</v>
      </c>
      <c r="W104" s="3">
        <f t="shared" si="6"/>
        <v>3</v>
      </c>
      <c r="X104" s="3" t="str">
        <f>IFERROR(__xludf.DUMMYFUNCTION("split(B104,"" "")"),"A.")</f>
        <v>A.</v>
      </c>
      <c r="Y104" s="3" t="str">
        <f>IFERROR(__xludf.DUMMYFUNCTION("""COMPUTED_VALUE"""),"Kamara")</f>
        <v>Kamara</v>
      </c>
      <c r="AA104" s="3">
        <v>77.0</v>
      </c>
      <c r="AB104" s="3">
        <f t="shared" si="7"/>
        <v>1</v>
      </c>
      <c r="AC104" s="3">
        <f t="shared" si="8"/>
        <v>0</v>
      </c>
      <c r="AD104" s="3">
        <f t="shared" si="9"/>
        <v>1.666666667</v>
      </c>
      <c r="AE104" s="3">
        <f t="shared" si="10"/>
        <v>-2</v>
      </c>
      <c r="AF104" s="3">
        <f t="shared" si="11"/>
        <v>-3</v>
      </c>
      <c r="AG104" s="3">
        <f t="shared" si="12"/>
        <v>-0.1578947368</v>
      </c>
    </row>
    <row r="105">
      <c r="A105" s="1" t="s">
        <v>12</v>
      </c>
      <c r="B105" s="1" t="s">
        <v>491</v>
      </c>
      <c r="C105" s="1" t="s">
        <v>18</v>
      </c>
      <c r="D105" s="1" t="s">
        <v>58</v>
      </c>
      <c r="E105" s="1" t="s">
        <v>109</v>
      </c>
      <c r="F105" s="1" t="s">
        <v>564</v>
      </c>
      <c r="G105" s="1">
        <v>5.5</v>
      </c>
      <c r="H105" s="1" t="s">
        <v>60</v>
      </c>
      <c r="I105" s="1">
        <v>113.0</v>
      </c>
      <c r="J105" s="1">
        <v>0.0628164319248826</v>
      </c>
      <c r="K105" s="1" t="s">
        <v>61</v>
      </c>
      <c r="L105" s="1" t="s">
        <v>61</v>
      </c>
      <c r="M105" s="1" t="s">
        <v>62</v>
      </c>
      <c r="N105" s="1">
        <v>-149.0</v>
      </c>
      <c r="O105" s="1">
        <v>-0.130693574297188</v>
      </c>
      <c r="P105" s="1" t="s">
        <v>61</v>
      </c>
      <c r="Q105" s="1" t="s">
        <v>61</v>
      </c>
      <c r="R105" s="1">
        <f t="shared" si="1"/>
        <v>0.06281643192</v>
      </c>
      <c r="S105" s="1">
        <f t="shared" si="2"/>
        <v>113</v>
      </c>
      <c r="T105" s="1">
        <f t="shared" si="3"/>
        <v>2.13</v>
      </c>
      <c r="U105" s="1">
        <f t="shared" si="4"/>
        <v>1</v>
      </c>
      <c r="V105" s="3">
        <f t="shared" si="5"/>
        <v>2</v>
      </c>
      <c r="W105" s="3">
        <f t="shared" si="6"/>
        <v>1</v>
      </c>
      <c r="X105" s="3" t="str">
        <f>IFERROR(__xludf.DUMMYFUNCTION("split(B105,"" "")"),"C.")</f>
        <v>C.</v>
      </c>
      <c r="Y105" s="3" t="str">
        <f>IFERROR(__xludf.DUMMYFUNCTION("""COMPUTED_VALUE"""),"Olave")</f>
        <v>Olave</v>
      </c>
      <c r="AA105" s="3">
        <v>8.0</v>
      </c>
      <c r="AB105" s="3">
        <f t="shared" si="7"/>
        <v>1</v>
      </c>
      <c r="AC105" s="3">
        <f t="shared" si="8"/>
        <v>1</v>
      </c>
      <c r="AD105" s="3">
        <f t="shared" si="9"/>
        <v>2.26</v>
      </c>
      <c r="AE105" s="3">
        <f t="shared" si="10"/>
        <v>2.26</v>
      </c>
      <c r="AF105" s="3">
        <f t="shared" si="11"/>
        <v>1.13</v>
      </c>
      <c r="AG105" s="3">
        <f t="shared" si="12"/>
        <v>0.4545454545</v>
      </c>
    </row>
    <row r="106">
      <c r="A106" s="1" t="s">
        <v>11</v>
      </c>
      <c r="B106" s="1" t="s">
        <v>428</v>
      </c>
      <c r="C106" s="1" t="s">
        <v>18</v>
      </c>
      <c r="D106" s="1" t="s">
        <v>58</v>
      </c>
      <c r="E106" s="1" t="s">
        <v>109</v>
      </c>
      <c r="F106" s="1" t="s">
        <v>564</v>
      </c>
      <c r="G106" s="1">
        <v>47.5</v>
      </c>
      <c r="H106" s="1" t="s">
        <v>60</v>
      </c>
      <c r="I106" s="1">
        <v>-113.0</v>
      </c>
      <c r="J106" s="1">
        <v>-0.117033789280563</v>
      </c>
      <c r="K106" s="1" t="s">
        <v>61</v>
      </c>
      <c r="L106" s="1" t="s">
        <v>61</v>
      </c>
      <c r="M106" s="1" t="s">
        <v>62</v>
      </c>
      <c r="N106" s="1">
        <v>-115.0</v>
      </c>
      <c r="O106" s="1">
        <v>0.0515932497748139</v>
      </c>
      <c r="P106" s="1" t="s">
        <v>61</v>
      </c>
      <c r="Q106" s="1" t="s">
        <v>61</v>
      </c>
      <c r="R106" s="1">
        <f t="shared" si="1"/>
        <v>0.05159324977</v>
      </c>
      <c r="S106" s="1">
        <f t="shared" si="2"/>
        <v>-115</v>
      </c>
      <c r="T106" s="1">
        <f t="shared" si="3"/>
        <v>1.869565217</v>
      </c>
      <c r="U106" s="1">
        <f t="shared" si="4"/>
        <v>0</v>
      </c>
      <c r="V106" s="3">
        <f t="shared" si="5"/>
        <v>2</v>
      </c>
      <c r="W106" s="3">
        <f t="shared" si="6"/>
        <v>2</v>
      </c>
      <c r="X106" s="3" t="str">
        <f>IFERROR(__xludf.DUMMYFUNCTION("split(B106,"" "")"),"R.")</f>
        <v>R.</v>
      </c>
      <c r="Y106" s="3" t="str">
        <f>IFERROR(__xludf.DUMMYFUNCTION("""COMPUTED_VALUE"""),"Shaheed")</f>
        <v>Shaheed</v>
      </c>
      <c r="AA106" s="3">
        <v>83.0</v>
      </c>
      <c r="AB106" s="3">
        <f t="shared" si="7"/>
        <v>1</v>
      </c>
      <c r="AC106" s="3">
        <f t="shared" si="8"/>
        <v>0</v>
      </c>
      <c r="AD106" s="3">
        <f t="shared" si="9"/>
        <v>1.739130435</v>
      </c>
      <c r="AE106" s="3">
        <f t="shared" si="10"/>
        <v>-2</v>
      </c>
      <c r="AF106" s="3">
        <f t="shared" si="11"/>
        <v>-2</v>
      </c>
      <c r="AG106" s="3">
        <f t="shared" si="12"/>
        <v>-0.7473684211</v>
      </c>
    </row>
    <row r="107">
      <c r="A107" s="1" t="s">
        <v>11</v>
      </c>
      <c r="B107" s="1" t="s">
        <v>282</v>
      </c>
      <c r="C107" s="1" t="s">
        <v>19</v>
      </c>
      <c r="D107" s="1" t="s">
        <v>58</v>
      </c>
      <c r="E107" s="1" t="s">
        <v>109</v>
      </c>
      <c r="F107" s="1" t="s">
        <v>564</v>
      </c>
      <c r="G107" s="1">
        <v>29.0</v>
      </c>
      <c r="H107" s="1" t="s">
        <v>60</v>
      </c>
      <c r="I107" s="1">
        <v>-105.0</v>
      </c>
      <c r="J107" s="1">
        <v>-0.106641384600468</v>
      </c>
      <c r="K107" s="1" t="s">
        <v>61</v>
      </c>
      <c r="L107" s="1" t="s">
        <v>61</v>
      </c>
      <c r="M107" s="1" t="s">
        <v>62</v>
      </c>
      <c r="N107" s="1">
        <v>-123.0</v>
      </c>
      <c r="O107" s="1">
        <v>0.044059260659229</v>
      </c>
      <c r="P107" s="1" t="s">
        <v>61</v>
      </c>
      <c r="Q107" s="1" t="s">
        <v>61</v>
      </c>
      <c r="R107" s="1">
        <f t="shared" si="1"/>
        <v>0.04405926066</v>
      </c>
      <c r="S107" s="1">
        <f t="shared" si="2"/>
        <v>-123</v>
      </c>
      <c r="T107" s="1">
        <f t="shared" si="3"/>
        <v>1.81300813</v>
      </c>
      <c r="U107" s="1">
        <f t="shared" si="4"/>
        <v>0</v>
      </c>
      <c r="V107" s="3">
        <f t="shared" si="5"/>
        <v>1</v>
      </c>
      <c r="W107" s="3">
        <f t="shared" si="6"/>
        <v>3</v>
      </c>
      <c r="X107" s="3" t="str">
        <f>IFERROR(__xludf.DUMMYFUNCTION("split(B107,"" "")"),"A.")</f>
        <v>A.</v>
      </c>
      <c r="Y107" s="3" t="str">
        <f>IFERROR(__xludf.DUMMYFUNCTION("""COMPUTED_VALUE"""),"Kamara")</f>
        <v>Kamara</v>
      </c>
      <c r="AA107" s="3">
        <v>42.0</v>
      </c>
      <c r="AB107" s="3">
        <f t="shared" si="7"/>
        <v>1</v>
      </c>
      <c r="AC107" s="3">
        <f t="shared" si="8"/>
        <v>0</v>
      </c>
      <c r="AD107" s="3">
        <f t="shared" si="9"/>
        <v>0.8130081301</v>
      </c>
      <c r="AE107" s="3">
        <f t="shared" si="10"/>
        <v>-1</v>
      </c>
      <c r="AF107" s="3">
        <f t="shared" si="11"/>
        <v>-3</v>
      </c>
      <c r="AG107" s="3">
        <f t="shared" si="12"/>
        <v>-0.4482758621</v>
      </c>
    </row>
    <row r="108">
      <c r="A108" s="1" t="s">
        <v>16</v>
      </c>
      <c r="B108" s="1" t="s">
        <v>287</v>
      </c>
      <c r="C108" s="1" t="s">
        <v>21</v>
      </c>
      <c r="D108" s="1" t="s">
        <v>58</v>
      </c>
      <c r="E108" s="1" t="s">
        <v>109</v>
      </c>
      <c r="F108" s="1" t="s">
        <v>564</v>
      </c>
      <c r="G108" s="1">
        <v>30.5</v>
      </c>
      <c r="H108" s="1" t="s">
        <v>60</v>
      </c>
      <c r="I108" s="1">
        <v>-123.0</v>
      </c>
      <c r="J108" s="1">
        <v>-0.0766309852466368</v>
      </c>
      <c r="K108" s="1" t="s">
        <v>61</v>
      </c>
      <c r="L108" s="1" t="s">
        <v>61</v>
      </c>
      <c r="M108" s="1" t="s">
        <v>62</v>
      </c>
      <c r="N108" s="1">
        <v>-106.0</v>
      </c>
      <c r="O108" s="1">
        <v>0.0104779431679611</v>
      </c>
      <c r="P108" s="1" t="s">
        <v>61</v>
      </c>
      <c r="Q108" s="1" t="s">
        <v>61</v>
      </c>
      <c r="R108" s="1">
        <f t="shared" si="1"/>
        <v>0.01047794317</v>
      </c>
      <c r="S108" s="1">
        <f t="shared" si="2"/>
        <v>-106</v>
      </c>
      <c r="T108" s="1">
        <f t="shared" si="3"/>
        <v>1.943396226</v>
      </c>
      <c r="U108" s="1">
        <f t="shared" si="4"/>
        <v>0</v>
      </c>
      <c r="V108" s="3">
        <f t="shared" si="5"/>
        <v>1</v>
      </c>
      <c r="W108" s="3">
        <f t="shared" si="6"/>
        <v>2</v>
      </c>
      <c r="X108" s="3" t="str">
        <f>IFERROR(__xludf.DUMMYFUNCTION("split(B108,"" "")"),"D.")</f>
        <v>D.</v>
      </c>
      <c r="Y108" s="3" t="str">
        <f>IFERROR(__xludf.DUMMYFUNCTION("""COMPUTED_VALUE"""),"Carr")</f>
        <v>Carr</v>
      </c>
      <c r="AA108" s="3">
        <v>36.0</v>
      </c>
      <c r="AB108" s="3">
        <f t="shared" si="7"/>
        <v>1</v>
      </c>
      <c r="AC108" s="3">
        <f t="shared" si="8"/>
        <v>0</v>
      </c>
      <c r="AD108" s="3">
        <f t="shared" si="9"/>
        <v>0.9433962264</v>
      </c>
      <c r="AE108" s="3">
        <f t="shared" si="10"/>
        <v>-1</v>
      </c>
      <c r="AF108" s="3">
        <f t="shared" si="11"/>
        <v>-2</v>
      </c>
      <c r="AG108" s="3">
        <f t="shared" si="12"/>
        <v>-0.1803278689</v>
      </c>
    </row>
    <row r="109">
      <c r="A109" s="1" t="s">
        <v>12</v>
      </c>
      <c r="B109" s="1" t="s">
        <v>140</v>
      </c>
      <c r="C109" s="1" t="s">
        <v>20</v>
      </c>
      <c r="D109" s="1" t="s">
        <v>66</v>
      </c>
      <c r="E109" s="1" t="s">
        <v>164</v>
      </c>
      <c r="F109" s="1" t="s">
        <v>560</v>
      </c>
      <c r="G109" s="1">
        <v>2.5</v>
      </c>
      <c r="H109" s="1" t="s">
        <v>60</v>
      </c>
      <c r="I109" s="1">
        <v>-156.0</v>
      </c>
      <c r="J109" s="1">
        <v>-0.266734517109374</v>
      </c>
      <c r="K109" s="1" t="s">
        <v>61</v>
      </c>
      <c r="L109" s="1" t="s">
        <v>61</v>
      </c>
      <c r="M109" s="1" t="s">
        <v>62</v>
      </c>
      <c r="N109" s="1">
        <v>117.0</v>
      </c>
      <c r="O109" s="1">
        <v>0.19652274829493</v>
      </c>
      <c r="P109" s="1" t="s">
        <v>61</v>
      </c>
      <c r="Q109" s="1" t="s">
        <v>61</v>
      </c>
      <c r="R109" s="1">
        <f t="shared" si="1"/>
        <v>0.1965227483</v>
      </c>
      <c r="S109" s="1">
        <f t="shared" si="2"/>
        <v>117</v>
      </c>
      <c r="T109" s="1">
        <f t="shared" si="3"/>
        <v>2.17</v>
      </c>
      <c r="U109" s="1">
        <f t="shared" si="4"/>
        <v>0</v>
      </c>
      <c r="V109" s="3">
        <f t="shared" si="5"/>
        <v>3</v>
      </c>
      <c r="W109" s="3">
        <f t="shared" si="6"/>
        <v>1</v>
      </c>
      <c r="X109" s="3" t="str">
        <f>IFERROR(__xludf.DUMMYFUNCTION("split(B109,"" "")"),"H.")</f>
        <v>H.</v>
      </c>
      <c r="Y109" s="3" t="str">
        <f>IFERROR(__xludf.DUMMYFUNCTION("""COMPUTED_VALUE"""),"Henry")</f>
        <v>Henry</v>
      </c>
      <c r="AA109" s="3">
        <v>2.0</v>
      </c>
      <c r="AB109" s="3">
        <f t="shared" si="7"/>
        <v>0</v>
      </c>
      <c r="AC109" s="3">
        <f t="shared" si="8"/>
        <v>1</v>
      </c>
      <c r="AD109" s="3">
        <f t="shared" si="9"/>
        <v>3.51</v>
      </c>
      <c r="AE109" s="3">
        <f t="shared" si="10"/>
        <v>3.51</v>
      </c>
      <c r="AF109" s="3">
        <f t="shared" si="11"/>
        <v>1.17</v>
      </c>
      <c r="AG109" s="3">
        <f t="shared" si="12"/>
        <v>0.2</v>
      </c>
    </row>
    <row r="110">
      <c r="A110" s="1" t="s">
        <v>9</v>
      </c>
      <c r="B110" s="1" t="s">
        <v>170</v>
      </c>
      <c r="C110" s="1" t="s">
        <v>18</v>
      </c>
      <c r="D110" s="1" t="s">
        <v>66</v>
      </c>
      <c r="E110" s="1" t="s">
        <v>164</v>
      </c>
      <c r="F110" s="1" t="s">
        <v>560</v>
      </c>
      <c r="G110" s="1">
        <v>19.5</v>
      </c>
      <c r="H110" s="1" t="s">
        <v>60</v>
      </c>
      <c r="I110" s="1">
        <v>-119.0</v>
      </c>
      <c r="J110" s="1">
        <v>0.109234168537192</v>
      </c>
      <c r="K110" s="1" t="s">
        <v>61</v>
      </c>
      <c r="L110" s="1" t="s">
        <v>61</v>
      </c>
      <c r="M110" s="1" t="s">
        <v>62</v>
      </c>
      <c r="N110" s="1">
        <v>-115.0</v>
      </c>
      <c r="O110" s="1">
        <v>-0.187464862074845</v>
      </c>
      <c r="P110" s="1" t="s">
        <v>61</v>
      </c>
      <c r="Q110" s="1" t="s">
        <v>61</v>
      </c>
      <c r="R110" s="1">
        <f t="shared" si="1"/>
        <v>0.1092341685</v>
      </c>
      <c r="S110" s="1">
        <f t="shared" si="2"/>
        <v>-119</v>
      </c>
      <c r="T110" s="1">
        <f t="shared" si="3"/>
        <v>1.840336134</v>
      </c>
      <c r="U110" s="1">
        <f t="shared" si="4"/>
        <v>1</v>
      </c>
      <c r="V110" s="3">
        <f t="shared" si="5"/>
        <v>3</v>
      </c>
      <c r="W110" s="3">
        <f t="shared" si="6"/>
        <v>3</v>
      </c>
      <c r="X110" s="3" t="str">
        <f>IFERROR(__xludf.DUMMYFUNCTION("split(B110,"" "")"),"J.")</f>
        <v>J.</v>
      </c>
      <c r="Y110" s="3" t="str">
        <f>IFERROR(__xludf.DUMMYFUNCTION("""COMPUTED_VALUE"""),"Polk")</f>
        <v>Polk</v>
      </c>
      <c r="AA110" s="3">
        <v>30.0</v>
      </c>
      <c r="AB110" s="3">
        <f t="shared" si="7"/>
        <v>1</v>
      </c>
      <c r="AC110" s="3">
        <f t="shared" si="8"/>
        <v>1</v>
      </c>
      <c r="AD110" s="3">
        <f t="shared" si="9"/>
        <v>2.521008403</v>
      </c>
      <c r="AE110" s="3">
        <f t="shared" si="10"/>
        <v>2.521008403</v>
      </c>
      <c r="AF110" s="3">
        <f t="shared" si="11"/>
        <v>2.521008403</v>
      </c>
      <c r="AG110" s="3">
        <f t="shared" si="12"/>
        <v>0.5384615385</v>
      </c>
    </row>
    <row r="111">
      <c r="A111" s="1" t="s">
        <v>12</v>
      </c>
      <c r="B111" s="1" t="s">
        <v>552</v>
      </c>
      <c r="C111" s="1" t="s">
        <v>20</v>
      </c>
      <c r="D111" s="1" t="s">
        <v>66</v>
      </c>
      <c r="E111" s="1" t="s">
        <v>164</v>
      </c>
      <c r="F111" s="1" t="s">
        <v>560</v>
      </c>
      <c r="G111" s="1">
        <v>1.5</v>
      </c>
      <c r="H111" s="1" t="s">
        <v>60</v>
      </c>
      <c r="I111" s="1">
        <v>-107.0</v>
      </c>
      <c r="J111" s="1">
        <v>-0.165896778024154</v>
      </c>
      <c r="K111" s="1" t="s">
        <v>61</v>
      </c>
      <c r="L111" s="1" t="s">
        <v>61</v>
      </c>
      <c r="M111" s="1" t="s">
        <v>62</v>
      </c>
      <c r="N111" s="1">
        <v>-125.0</v>
      </c>
      <c r="O111" s="1">
        <v>0.0934462947277777</v>
      </c>
      <c r="P111" s="1" t="s">
        <v>61</v>
      </c>
      <c r="Q111" s="1" t="s">
        <v>61</v>
      </c>
      <c r="R111" s="1">
        <f t="shared" si="1"/>
        <v>0.09344629473</v>
      </c>
      <c r="S111" s="1">
        <f t="shared" si="2"/>
        <v>-125</v>
      </c>
      <c r="T111" s="1">
        <f t="shared" si="3"/>
        <v>1.8</v>
      </c>
      <c r="U111" s="1">
        <f t="shared" si="4"/>
        <v>0</v>
      </c>
      <c r="V111" s="3">
        <f t="shared" si="5"/>
        <v>2</v>
      </c>
      <c r="W111" s="3">
        <f t="shared" si="6"/>
        <v>3</v>
      </c>
      <c r="X111" s="3" t="str">
        <f>IFERROR(__xludf.DUMMYFUNCTION("split(B111,"" "")"),"A.")</f>
        <v>A.</v>
      </c>
      <c r="Y111" s="3" t="str">
        <f>IFERROR(__xludf.DUMMYFUNCTION("""COMPUTED_VALUE"""),"Hooper")</f>
        <v>Hooper</v>
      </c>
      <c r="AA111" s="3">
        <v>2.0</v>
      </c>
      <c r="AB111" s="3">
        <f t="shared" si="7"/>
        <v>1</v>
      </c>
      <c r="AC111" s="3">
        <f t="shared" si="8"/>
        <v>0</v>
      </c>
      <c r="AD111" s="3">
        <f t="shared" si="9"/>
        <v>1.6</v>
      </c>
      <c r="AE111" s="3">
        <f t="shared" si="10"/>
        <v>-2</v>
      </c>
      <c r="AF111" s="3">
        <f t="shared" si="11"/>
        <v>-3</v>
      </c>
      <c r="AG111" s="3">
        <f t="shared" si="12"/>
        <v>-0.3333333333</v>
      </c>
    </row>
    <row r="112">
      <c r="A112" s="1" t="s">
        <v>11</v>
      </c>
      <c r="B112" s="1" t="s">
        <v>383</v>
      </c>
      <c r="C112" s="1" t="s">
        <v>19</v>
      </c>
      <c r="D112" s="1" t="s">
        <v>66</v>
      </c>
      <c r="E112" s="1" t="s">
        <v>164</v>
      </c>
      <c r="F112" s="1" t="s">
        <v>560</v>
      </c>
      <c r="G112" s="1">
        <v>6.5</v>
      </c>
      <c r="H112" s="1" t="s">
        <v>60</v>
      </c>
      <c r="I112" s="1">
        <v>-114.0</v>
      </c>
      <c r="J112" s="1">
        <v>0.0829990936488569</v>
      </c>
      <c r="K112" s="1" t="s">
        <v>61</v>
      </c>
      <c r="L112" s="1" t="s">
        <v>61</v>
      </c>
      <c r="M112" s="1" t="s">
        <v>62</v>
      </c>
      <c r="N112" s="1">
        <v>-114.0</v>
      </c>
      <c r="O112" s="1">
        <v>-0.148364966759696</v>
      </c>
      <c r="P112" s="1" t="s">
        <v>61</v>
      </c>
      <c r="Q112" s="1" t="s">
        <v>61</v>
      </c>
      <c r="R112" s="1">
        <f t="shared" si="1"/>
        <v>0.08299909365</v>
      </c>
      <c r="S112" s="1">
        <f t="shared" si="2"/>
        <v>-114</v>
      </c>
      <c r="T112" s="1">
        <f t="shared" si="3"/>
        <v>1.877192982</v>
      </c>
      <c r="U112" s="1">
        <f t="shared" si="4"/>
        <v>1</v>
      </c>
      <c r="V112" s="3">
        <f t="shared" si="5"/>
        <v>2</v>
      </c>
      <c r="W112" s="3">
        <f t="shared" si="6"/>
        <v>2</v>
      </c>
      <c r="X112" s="3" t="str">
        <f>IFERROR(__xludf.DUMMYFUNCTION("split(B112,"" "")"),"A.")</f>
        <v>A.</v>
      </c>
      <c r="Y112" s="3" t="str">
        <f>IFERROR(__xludf.DUMMYFUNCTION("""COMPUTED_VALUE"""),"Gibson")</f>
        <v>Gibson</v>
      </c>
      <c r="AA112" s="3">
        <v>67.0</v>
      </c>
      <c r="AB112" s="3">
        <f t="shared" si="7"/>
        <v>1</v>
      </c>
      <c r="AC112" s="3">
        <f t="shared" si="8"/>
        <v>1</v>
      </c>
      <c r="AD112" s="3">
        <f t="shared" si="9"/>
        <v>1.754385965</v>
      </c>
      <c r="AE112" s="3">
        <f t="shared" si="10"/>
        <v>1.754385965</v>
      </c>
      <c r="AF112" s="3">
        <f t="shared" si="11"/>
        <v>1.754385965</v>
      </c>
      <c r="AG112" s="3">
        <f t="shared" si="12"/>
        <v>9.307692308</v>
      </c>
    </row>
    <row r="113">
      <c r="A113" s="1" t="s">
        <v>12</v>
      </c>
      <c r="B113" s="1" t="s">
        <v>383</v>
      </c>
      <c r="C113" s="1" t="s">
        <v>19</v>
      </c>
      <c r="D113" s="1" t="s">
        <v>66</v>
      </c>
      <c r="E113" s="1" t="s">
        <v>164</v>
      </c>
      <c r="F113" s="1" t="s">
        <v>560</v>
      </c>
      <c r="G113" s="1">
        <v>2.5</v>
      </c>
      <c r="H113" s="1" t="s">
        <v>60</v>
      </c>
      <c r="I113" s="1">
        <v>125.0</v>
      </c>
      <c r="J113" s="1">
        <v>-0.138538197388888</v>
      </c>
      <c r="K113" s="1" t="s">
        <v>61</v>
      </c>
      <c r="L113" s="1" t="s">
        <v>61</v>
      </c>
      <c r="M113" s="1" t="s">
        <v>62</v>
      </c>
      <c r="N113" s="1">
        <v>-165.0</v>
      </c>
      <c r="O113" s="1">
        <v>0.0714514891490564</v>
      </c>
      <c r="P113" s="1" t="s">
        <v>61</v>
      </c>
      <c r="Q113" s="1" t="s">
        <v>61</v>
      </c>
      <c r="R113" s="1">
        <f t="shared" si="1"/>
        <v>0.07145148915</v>
      </c>
      <c r="S113" s="1">
        <f t="shared" si="2"/>
        <v>-165</v>
      </c>
      <c r="T113" s="1">
        <f t="shared" si="3"/>
        <v>1.606060606</v>
      </c>
      <c r="U113" s="1">
        <f t="shared" si="4"/>
        <v>0</v>
      </c>
      <c r="V113" s="3">
        <f t="shared" si="5"/>
        <v>2</v>
      </c>
      <c r="W113" s="3">
        <f t="shared" si="6"/>
        <v>3</v>
      </c>
      <c r="X113" s="3" t="str">
        <f>IFERROR(__xludf.DUMMYFUNCTION("split(B113,"" "")"),"A.")</f>
        <v>A.</v>
      </c>
      <c r="Y113" s="3" t="str">
        <f>IFERROR(__xludf.DUMMYFUNCTION("""COMPUTED_VALUE"""),"Gibson")</f>
        <v>Gibson</v>
      </c>
      <c r="AA113" s="3">
        <v>3.0</v>
      </c>
      <c r="AB113" s="3">
        <f t="shared" si="7"/>
        <v>1</v>
      </c>
      <c r="AC113" s="3">
        <f t="shared" si="8"/>
        <v>0</v>
      </c>
      <c r="AD113" s="3">
        <f t="shared" si="9"/>
        <v>1.212121212</v>
      </c>
      <c r="AE113" s="3">
        <f t="shared" si="10"/>
        <v>-2</v>
      </c>
      <c r="AF113" s="3">
        <f t="shared" si="11"/>
        <v>-3</v>
      </c>
      <c r="AG113" s="3">
        <f t="shared" si="12"/>
        <v>-0.2</v>
      </c>
    </row>
    <row r="114">
      <c r="A114" s="1" t="s">
        <v>11</v>
      </c>
      <c r="B114" s="1" t="s">
        <v>140</v>
      </c>
      <c r="C114" s="1" t="s">
        <v>20</v>
      </c>
      <c r="D114" s="1" t="s">
        <v>66</v>
      </c>
      <c r="E114" s="1" t="s">
        <v>164</v>
      </c>
      <c r="F114" s="1" t="s">
        <v>560</v>
      </c>
      <c r="G114" s="1">
        <v>28.5</v>
      </c>
      <c r="H114" s="1" t="s">
        <v>60</v>
      </c>
      <c r="I114" s="1">
        <v>-119.0</v>
      </c>
      <c r="J114" s="1">
        <v>-0.108731392920867</v>
      </c>
      <c r="K114" s="1" t="s">
        <v>61</v>
      </c>
      <c r="L114" s="1" t="s">
        <v>61</v>
      </c>
      <c r="M114" s="1" t="s">
        <v>62</v>
      </c>
      <c r="N114" s="1">
        <v>-113.0</v>
      </c>
      <c r="O114" s="1">
        <v>0.03486062819778</v>
      </c>
      <c r="P114" s="1" t="s">
        <v>61</v>
      </c>
      <c r="Q114" s="1" t="s">
        <v>61</v>
      </c>
      <c r="R114" s="1">
        <f t="shared" si="1"/>
        <v>0.0348606282</v>
      </c>
      <c r="S114" s="1">
        <f t="shared" si="2"/>
        <v>-113</v>
      </c>
      <c r="T114" s="1">
        <f t="shared" si="3"/>
        <v>1.884955752</v>
      </c>
      <c r="U114" s="1">
        <f t="shared" si="4"/>
        <v>0</v>
      </c>
      <c r="V114" s="3">
        <f t="shared" si="5"/>
        <v>1</v>
      </c>
      <c r="W114" s="3">
        <f t="shared" si="6"/>
        <v>2</v>
      </c>
      <c r="X114" s="3" t="str">
        <f>IFERROR(__xludf.DUMMYFUNCTION("split(B114,"" "")"),"H.")</f>
        <v>H.</v>
      </c>
      <c r="Y114" s="3" t="str">
        <f>IFERROR(__xludf.DUMMYFUNCTION("""COMPUTED_VALUE"""),"Henry")</f>
        <v>Henry</v>
      </c>
      <c r="AA114" s="3">
        <v>12.0</v>
      </c>
      <c r="AB114" s="3">
        <f t="shared" si="7"/>
        <v>0</v>
      </c>
      <c r="AC114" s="3">
        <f t="shared" si="8"/>
        <v>1</v>
      </c>
      <c r="AD114" s="3">
        <f t="shared" si="9"/>
        <v>0.8849557522</v>
      </c>
      <c r="AE114" s="3">
        <f t="shared" si="10"/>
        <v>0.8849557522</v>
      </c>
      <c r="AF114" s="3">
        <f t="shared" si="11"/>
        <v>1.769911504</v>
      </c>
      <c r="AG114" s="3">
        <f t="shared" si="12"/>
        <v>0.5789473684</v>
      </c>
    </row>
    <row r="115">
      <c r="A115" s="1" t="s">
        <v>11</v>
      </c>
      <c r="B115" s="1" t="s">
        <v>131</v>
      </c>
      <c r="C115" s="1" t="s">
        <v>18</v>
      </c>
      <c r="D115" s="1" t="s">
        <v>66</v>
      </c>
      <c r="E115" s="1" t="s">
        <v>164</v>
      </c>
      <c r="F115" s="1" t="s">
        <v>560</v>
      </c>
      <c r="G115" s="1">
        <v>32.5</v>
      </c>
      <c r="H115" s="1" t="s">
        <v>60</v>
      </c>
      <c r="I115" s="1">
        <v>-114.0</v>
      </c>
      <c r="J115" s="1">
        <v>-0.0793876540360279</v>
      </c>
      <c r="K115" s="1" t="s">
        <v>61</v>
      </c>
      <c r="L115" s="1" t="s">
        <v>61</v>
      </c>
      <c r="M115" s="1" t="s">
        <v>62</v>
      </c>
      <c r="N115" s="1">
        <v>-116.0</v>
      </c>
      <c r="O115" s="1">
        <v>0.00964994249766482</v>
      </c>
      <c r="P115" s="1" t="s">
        <v>61</v>
      </c>
      <c r="Q115" s="1" t="s">
        <v>61</v>
      </c>
      <c r="R115" s="1">
        <f t="shared" si="1"/>
        <v>0.009649942498</v>
      </c>
      <c r="S115" s="1">
        <f t="shared" si="2"/>
        <v>-116</v>
      </c>
      <c r="T115" s="1">
        <f t="shared" si="3"/>
        <v>1.862068966</v>
      </c>
      <c r="U115" s="1">
        <f t="shared" si="4"/>
        <v>0</v>
      </c>
      <c r="V115" s="3">
        <f t="shared" si="5"/>
        <v>1</v>
      </c>
      <c r="W115" s="3">
        <f t="shared" si="6"/>
        <v>2</v>
      </c>
      <c r="X115" s="3" t="str">
        <f>IFERROR(__xludf.DUMMYFUNCTION("split(B115,"" "")"),"D.")</f>
        <v>D.</v>
      </c>
      <c r="Y115" s="3" t="str">
        <f>IFERROR(__xludf.DUMMYFUNCTION("""COMPUTED_VALUE"""),"Douglas")</f>
        <v>Douglas</v>
      </c>
      <c r="AA115" s="3">
        <v>13.0</v>
      </c>
      <c r="AB115" s="3">
        <f t="shared" si="7"/>
        <v>0</v>
      </c>
      <c r="AC115" s="3">
        <f t="shared" si="8"/>
        <v>1</v>
      </c>
      <c r="AD115" s="3">
        <f t="shared" si="9"/>
        <v>0.8620689655</v>
      </c>
      <c r="AE115" s="3">
        <f t="shared" si="10"/>
        <v>0.8620689655</v>
      </c>
      <c r="AF115" s="3">
        <f t="shared" si="11"/>
        <v>1.724137931</v>
      </c>
      <c r="AG115" s="3">
        <f t="shared" si="12"/>
        <v>0.6</v>
      </c>
    </row>
    <row r="116">
      <c r="A116" s="1" t="s">
        <v>9</v>
      </c>
      <c r="B116" s="1" t="s">
        <v>476</v>
      </c>
      <c r="C116" s="1" t="s">
        <v>19</v>
      </c>
      <c r="D116" s="1" t="s">
        <v>66</v>
      </c>
      <c r="E116" s="1" t="s">
        <v>164</v>
      </c>
      <c r="F116" s="1" t="s">
        <v>560</v>
      </c>
      <c r="G116" s="1">
        <v>71.5</v>
      </c>
      <c r="H116" s="1" t="s">
        <v>60</v>
      </c>
      <c r="I116" s="1">
        <v>-116.0</v>
      </c>
      <c r="J116" s="1">
        <v>-0.0799178957394848</v>
      </c>
      <c r="K116" s="1" t="s">
        <v>61</v>
      </c>
      <c r="L116" s="1" t="s">
        <v>61</v>
      </c>
      <c r="M116" s="1" t="s">
        <v>62</v>
      </c>
      <c r="N116" s="1">
        <v>-116.0</v>
      </c>
      <c r="O116" s="1">
        <v>0.00584075905780223</v>
      </c>
      <c r="P116" s="1" t="s">
        <v>61</v>
      </c>
      <c r="Q116" s="1" t="s">
        <v>61</v>
      </c>
      <c r="R116" s="1">
        <f t="shared" si="1"/>
        <v>0.005840759058</v>
      </c>
      <c r="S116" s="1">
        <f t="shared" si="2"/>
        <v>-116</v>
      </c>
      <c r="T116" s="1">
        <f t="shared" si="3"/>
        <v>1.862068966</v>
      </c>
      <c r="U116" s="1">
        <f t="shared" si="4"/>
        <v>0</v>
      </c>
      <c r="V116" s="3">
        <f t="shared" si="5"/>
        <v>1</v>
      </c>
      <c r="W116" s="3">
        <f t="shared" si="6"/>
        <v>2</v>
      </c>
      <c r="X116" s="3" t="str">
        <f>IFERROR(__xludf.DUMMYFUNCTION("split(B116,"" "")"),"R.")</f>
        <v>R.</v>
      </c>
      <c r="Y116" s="3" t="str">
        <f>IFERROR(__xludf.DUMMYFUNCTION("""COMPUTED_VALUE"""),"Stevenson")</f>
        <v>Stevenson</v>
      </c>
      <c r="AA116" s="3">
        <v>62.0</v>
      </c>
      <c r="AB116" s="3">
        <f t="shared" si="7"/>
        <v>0</v>
      </c>
      <c r="AC116" s="3">
        <f t="shared" si="8"/>
        <v>1</v>
      </c>
      <c r="AD116" s="3">
        <f t="shared" si="9"/>
        <v>0.8620689655</v>
      </c>
      <c r="AE116" s="3">
        <f t="shared" si="10"/>
        <v>0.8620689655</v>
      </c>
      <c r="AF116" s="3">
        <f t="shared" si="11"/>
        <v>1.724137931</v>
      </c>
      <c r="AG116" s="3">
        <f t="shared" si="12"/>
        <v>0.1328671329</v>
      </c>
    </row>
    <row r="117">
      <c r="A117" s="1" t="s">
        <v>11</v>
      </c>
      <c r="B117" s="1" t="s">
        <v>552</v>
      </c>
      <c r="C117" s="1" t="s">
        <v>20</v>
      </c>
      <c r="D117" s="1" t="s">
        <v>66</v>
      </c>
      <c r="E117" s="1" t="s">
        <v>164</v>
      </c>
      <c r="F117" s="1" t="s">
        <v>560</v>
      </c>
      <c r="G117" s="1">
        <v>11.5</v>
      </c>
      <c r="H117" s="1" t="s">
        <v>60</v>
      </c>
      <c r="I117" s="1">
        <v>-111.0</v>
      </c>
      <c r="J117" s="1">
        <v>0.00484693037391226</v>
      </c>
      <c r="K117" s="1" t="s">
        <v>61</v>
      </c>
      <c r="L117" s="1" t="s">
        <v>61</v>
      </c>
      <c r="M117" s="1" t="s">
        <v>62</v>
      </c>
      <c r="N117" s="1">
        <v>-122.0</v>
      </c>
      <c r="O117" s="1">
        <v>-0.0803851748506869</v>
      </c>
      <c r="P117" s="1" t="s">
        <v>61</v>
      </c>
      <c r="Q117" s="1" t="s">
        <v>61</v>
      </c>
      <c r="R117" s="1">
        <f t="shared" si="1"/>
        <v>0.004846930374</v>
      </c>
      <c r="S117" s="1">
        <f t="shared" si="2"/>
        <v>-111</v>
      </c>
      <c r="T117" s="1">
        <f t="shared" si="3"/>
        <v>1.900900901</v>
      </c>
      <c r="U117" s="1">
        <f t="shared" si="4"/>
        <v>1</v>
      </c>
      <c r="V117" s="3">
        <f t="shared" si="5"/>
        <v>1</v>
      </c>
      <c r="W117" s="3">
        <f t="shared" si="6"/>
        <v>2</v>
      </c>
      <c r="X117" s="3" t="str">
        <f>IFERROR(__xludf.DUMMYFUNCTION("split(B117,"" "")"),"A.")</f>
        <v>A.</v>
      </c>
      <c r="Y117" s="3" t="str">
        <f>IFERROR(__xludf.DUMMYFUNCTION("""COMPUTED_VALUE"""),"Hooper")</f>
        <v>Hooper</v>
      </c>
      <c r="AA117" s="3">
        <v>13.0</v>
      </c>
      <c r="AB117" s="3">
        <f t="shared" si="7"/>
        <v>1</v>
      </c>
      <c r="AC117" s="3">
        <f t="shared" si="8"/>
        <v>1</v>
      </c>
      <c r="AD117" s="3">
        <f t="shared" si="9"/>
        <v>0.9009009009</v>
      </c>
      <c r="AE117" s="3">
        <f t="shared" si="10"/>
        <v>0.9009009009</v>
      </c>
      <c r="AF117" s="3">
        <f t="shared" si="11"/>
        <v>1.801801802</v>
      </c>
      <c r="AG117" s="3">
        <f t="shared" si="12"/>
        <v>0.1304347826</v>
      </c>
    </row>
    <row r="118">
      <c r="A118" s="1" t="s">
        <v>9</v>
      </c>
      <c r="B118" s="1" t="s">
        <v>131</v>
      </c>
      <c r="C118" s="1" t="s">
        <v>18</v>
      </c>
      <c r="D118" s="1" t="s">
        <v>66</v>
      </c>
      <c r="E118" s="1" t="s">
        <v>164</v>
      </c>
      <c r="F118" s="1" t="s">
        <v>560</v>
      </c>
      <c r="G118" s="1">
        <v>36.5</v>
      </c>
      <c r="H118" s="1" t="s">
        <v>60</v>
      </c>
      <c r="I118" s="1">
        <v>-115.0</v>
      </c>
      <c r="J118" s="1">
        <v>3.01654682846153E-4</v>
      </c>
      <c r="K118" s="1" t="s">
        <v>61</v>
      </c>
      <c r="L118" s="1" t="s">
        <v>61</v>
      </c>
      <c r="M118" s="1" t="s">
        <v>62</v>
      </c>
      <c r="N118" s="1">
        <v>-120.0</v>
      </c>
      <c r="O118" s="1">
        <v>-0.0806373950371559</v>
      </c>
      <c r="P118" s="1" t="s">
        <v>61</v>
      </c>
      <c r="Q118" s="1" t="s">
        <v>61</v>
      </c>
      <c r="R118" s="1">
        <f t="shared" si="1"/>
        <v>0.0003016546828</v>
      </c>
      <c r="S118" s="1">
        <f t="shared" si="2"/>
        <v>-115</v>
      </c>
      <c r="T118" s="1">
        <f t="shared" si="3"/>
        <v>1.869565217</v>
      </c>
      <c r="U118" s="1">
        <f t="shared" si="4"/>
        <v>1</v>
      </c>
      <c r="V118" s="3">
        <f t="shared" si="5"/>
        <v>1</v>
      </c>
      <c r="W118" s="3">
        <f t="shared" si="6"/>
        <v>2</v>
      </c>
      <c r="X118" s="3" t="str">
        <f>IFERROR(__xludf.DUMMYFUNCTION("split(B118,"" "")"),"D.")</f>
        <v>D.</v>
      </c>
      <c r="Y118" s="3" t="str">
        <f>IFERROR(__xludf.DUMMYFUNCTION("""COMPUTED_VALUE"""),"Douglas")</f>
        <v>Douglas</v>
      </c>
      <c r="AA118" s="3">
        <v>13.0</v>
      </c>
      <c r="AB118" s="3">
        <f t="shared" si="7"/>
        <v>0</v>
      </c>
      <c r="AC118" s="3">
        <f t="shared" si="8"/>
        <v>0</v>
      </c>
      <c r="AD118" s="3">
        <f t="shared" si="9"/>
        <v>0.8695652174</v>
      </c>
      <c r="AE118" s="3">
        <f t="shared" si="10"/>
        <v>-1</v>
      </c>
      <c r="AF118" s="3">
        <f t="shared" si="11"/>
        <v>-2</v>
      </c>
      <c r="AG118" s="3">
        <f t="shared" si="12"/>
        <v>-0.6438356164</v>
      </c>
    </row>
    <row r="119">
      <c r="A119" s="1" t="s">
        <v>10</v>
      </c>
      <c r="B119" s="1" t="s">
        <v>379</v>
      </c>
      <c r="C119" s="1" t="s">
        <v>18</v>
      </c>
      <c r="D119" s="1" t="s">
        <v>146</v>
      </c>
      <c r="E119" s="1" t="s">
        <v>157</v>
      </c>
      <c r="F119" s="1" t="s">
        <v>564</v>
      </c>
      <c r="G119" s="1">
        <v>0.5</v>
      </c>
      <c r="H119" s="1" t="s">
        <v>60</v>
      </c>
      <c r="I119" s="1">
        <v>564.0</v>
      </c>
      <c r="J119" s="1">
        <v>0.462120098687624</v>
      </c>
      <c r="K119" s="1" t="s">
        <v>61</v>
      </c>
      <c r="L119" s="1" t="s">
        <v>61</v>
      </c>
      <c r="M119" s="1" t="s">
        <v>62</v>
      </c>
      <c r="N119" s="1">
        <v>-1136.0</v>
      </c>
      <c r="O119" s="1">
        <v>-0.531777179474611</v>
      </c>
      <c r="P119" s="1" t="s">
        <v>61</v>
      </c>
      <c r="Q119" s="1" t="s">
        <v>61</v>
      </c>
      <c r="R119" s="1">
        <f t="shared" si="1"/>
        <v>0.4621200987</v>
      </c>
      <c r="S119" s="1">
        <f t="shared" si="2"/>
        <v>564</v>
      </c>
      <c r="T119" s="1">
        <f t="shared" si="3"/>
        <v>6.64</v>
      </c>
      <c r="U119" s="1">
        <f t="shared" si="4"/>
        <v>1</v>
      </c>
      <c r="V119" s="3">
        <f t="shared" si="5"/>
        <v>3</v>
      </c>
      <c r="W119" s="3">
        <f t="shared" si="6"/>
        <v>1</v>
      </c>
      <c r="X119" s="3" t="str">
        <f>IFERROR(__xludf.DUMMYFUNCTION("split(B119,"" "")"),"J.")</f>
        <v>J.</v>
      </c>
      <c r="Y119" s="3" t="str">
        <f>IFERROR(__xludf.DUMMYFUNCTION("""COMPUTED_VALUE"""),"Jefferson")</f>
        <v>Jefferson</v>
      </c>
      <c r="AA119" s="3">
        <v>0.0</v>
      </c>
      <c r="AB119" s="3">
        <f t="shared" si="7"/>
        <v>0</v>
      </c>
      <c r="AC119" s="3">
        <f t="shared" si="8"/>
        <v>0</v>
      </c>
      <c r="AD119" s="3">
        <f t="shared" si="9"/>
        <v>16.92</v>
      </c>
      <c r="AE119" s="3">
        <f t="shared" si="10"/>
        <v>0</v>
      </c>
      <c r="AF119" s="3">
        <f t="shared" si="11"/>
        <v>-1</v>
      </c>
      <c r="AG119" s="3">
        <f t="shared" si="12"/>
        <v>-1</v>
      </c>
    </row>
    <row r="120">
      <c r="A120" s="1" t="s">
        <v>8</v>
      </c>
      <c r="B120" s="1" t="s">
        <v>304</v>
      </c>
      <c r="C120" s="1" t="s">
        <v>19</v>
      </c>
      <c r="D120" s="1" t="s">
        <v>146</v>
      </c>
      <c r="E120" s="1" t="s">
        <v>157</v>
      </c>
      <c r="F120" s="1" t="s">
        <v>564</v>
      </c>
      <c r="G120" s="1">
        <v>13.5</v>
      </c>
      <c r="H120" s="1" t="s">
        <v>60</v>
      </c>
      <c r="I120" s="1">
        <v>-115.0</v>
      </c>
      <c r="J120" s="1">
        <v>-0.156228809135813</v>
      </c>
      <c r="K120" s="1" t="s">
        <v>61</v>
      </c>
      <c r="L120" s="1" t="s">
        <v>61</v>
      </c>
      <c r="M120" s="1" t="s">
        <v>62</v>
      </c>
      <c r="N120" s="1">
        <v>-116.0</v>
      </c>
      <c r="O120" s="1">
        <v>0.0843150231410739</v>
      </c>
      <c r="P120" s="1" t="s">
        <v>61</v>
      </c>
      <c r="Q120" s="1" t="s">
        <v>61</v>
      </c>
      <c r="R120" s="1">
        <f t="shared" si="1"/>
        <v>0.08431502314</v>
      </c>
      <c r="S120" s="1">
        <f t="shared" si="2"/>
        <v>-116</v>
      </c>
      <c r="T120" s="1">
        <f t="shared" si="3"/>
        <v>1.862068966</v>
      </c>
      <c r="U120" s="1">
        <f t="shared" si="4"/>
        <v>0</v>
      </c>
      <c r="V120" s="3">
        <f t="shared" si="5"/>
        <v>2</v>
      </c>
      <c r="W120" s="3">
        <f t="shared" si="6"/>
        <v>2</v>
      </c>
      <c r="X120" s="3" t="str">
        <f>IFERROR(__xludf.DUMMYFUNCTION("split(B120,"" "")"),"A.")</f>
        <v>A.</v>
      </c>
      <c r="Y120" s="3" t="str">
        <f>IFERROR(__xludf.DUMMYFUNCTION("""COMPUTED_VALUE"""),"Jones")</f>
        <v>Jones</v>
      </c>
      <c r="AA120" s="3">
        <v>22.0</v>
      </c>
      <c r="AB120" s="3">
        <f t="shared" si="7"/>
        <v>1</v>
      </c>
      <c r="AC120" s="3">
        <f t="shared" si="8"/>
        <v>0</v>
      </c>
      <c r="AD120" s="3">
        <f t="shared" si="9"/>
        <v>1.724137931</v>
      </c>
      <c r="AE120" s="3">
        <f t="shared" si="10"/>
        <v>-2</v>
      </c>
      <c r="AF120" s="3">
        <f t="shared" si="11"/>
        <v>-2</v>
      </c>
      <c r="AG120" s="3">
        <f t="shared" si="12"/>
        <v>-0.6296296296</v>
      </c>
    </row>
    <row r="121">
      <c r="A121" s="1" t="s">
        <v>11</v>
      </c>
      <c r="B121" s="1" t="s">
        <v>304</v>
      </c>
      <c r="C121" s="1" t="s">
        <v>19</v>
      </c>
      <c r="D121" s="1" t="s">
        <v>146</v>
      </c>
      <c r="E121" s="1" t="s">
        <v>157</v>
      </c>
      <c r="F121" s="1" t="s">
        <v>564</v>
      </c>
      <c r="G121" s="1">
        <v>30.5</v>
      </c>
      <c r="H121" s="1" t="s">
        <v>60</v>
      </c>
      <c r="I121" s="1">
        <v>-115.0</v>
      </c>
      <c r="J121" s="1">
        <v>-0.1491151765804</v>
      </c>
      <c r="K121" s="1" t="s">
        <v>61</v>
      </c>
      <c r="L121" s="1" t="s">
        <v>61</v>
      </c>
      <c r="M121" s="1" t="s">
        <v>62</v>
      </c>
      <c r="N121" s="1">
        <v>-115.0</v>
      </c>
      <c r="O121" s="1">
        <v>0.0794274530674599</v>
      </c>
      <c r="P121" s="1" t="s">
        <v>61</v>
      </c>
      <c r="Q121" s="1" t="s">
        <v>61</v>
      </c>
      <c r="R121" s="1">
        <f t="shared" si="1"/>
        <v>0.07942745307</v>
      </c>
      <c r="S121" s="1">
        <f t="shared" si="2"/>
        <v>-115</v>
      </c>
      <c r="T121" s="1">
        <f t="shared" si="3"/>
        <v>1.869565217</v>
      </c>
      <c r="U121" s="1">
        <f t="shared" si="4"/>
        <v>0</v>
      </c>
      <c r="V121" s="3">
        <f t="shared" si="5"/>
        <v>2</v>
      </c>
      <c r="W121" s="3">
        <f t="shared" si="6"/>
        <v>2</v>
      </c>
      <c r="X121" s="3" t="str">
        <f>IFERROR(__xludf.DUMMYFUNCTION("split(B121,"" "")"),"A.")</f>
        <v>A.</v>
      </c>
      <c r="Y121" s="3" t="str">
        <f>IFERROR(__xludf.DUMMYFUNCTION("""COMPUTED_VALUE"""),"Jones")</f>
        <v>Jones</v>
      </c>
      <c r="AA121" s="3">
        <v>46.0</v>
      </c>
      <c r="AB121" s="3">
        <f t="shared" si="7"/>
        <v>1</v>
      </c>
      <c r="AC121" s="3">
        <f t="shared" si="8"/>
        <v>0</v>
      </c>
      <c r="AD121" s="3">
        <f t="shared" si="9"/>
        <v>1.739130435</v>
      </c>
      <c r="AE121" s="3">
        <f t="shared" si="10"/>
        <v>-2</v>
      </c>
      <c r="AF121" s="3">
        <f t="shared" si="11"/>
        <v>-2</v>
      </c>
      <c r="AG121" s="3">
        <f t="shared" si="12"/>
        <v>-0.5081967213</v>
      </c>
    </row>
    <row r="122">
      <c r="A122" s="1" t="s">
        <v>15</v>
      </c>
      <c r="B122" s="1" t="s">
        <v>145</v>
      </c>
      <c r="C122" s="1" t="s">
        <v>21</v>
      </c>
      <c r="D122" s="1" t="s">
        <v>146</v>
      </c>
      <c r="E122" s="1" t="s">
        <v>157</v>
      </c>
      <c r="F122" s="1" t="s">
        <v>564</v>
      </c>
      <c r="G122" s="1">
        <v>20.5</v>
      </c>
      <c r="H122" s="1" t="s">
        <v>60</v>
      </c>
      <c r="I122" s="1">
        <v>105.0</v>
      </c>
      <c r="J122" s="1">
        <v>0.0638439024390243</v>
      </c>
      <c r="K122" s="1" t="s">
        <v>61</v>
      </c>
      <c r="L122" s="1" t="s">
        <v>61</v>
      </c>
      <c r="M122" s="1" t="s">
        <v>62</v>
      </c>
      <c r="N122" s="1">
        <v>-137.0</v>
      </c>
      <c r="O122" s="1">
        <v>-0.129701265822784</v>
      </c>
      <c r="P122" s="1" t="s">
        <v>61</v>
      </c>
      <c r="Q122" s="1" t="s">
        <v>61</v>
      </c>
      <c r="R122" s="1">
        <f t="shared" si="1"/>
        <v>0.06384390244</v>
      </c>
      <c r="S122" s="1">
        <f t="shared" si="2"/>
        <v>105</v>
      </c>
      <c r="T122" s="1">
        <f t="shared" si="3"/>
        <v>2.05</v>
      </c>
      <c r="U122" s="1">
        <f t="shared" si="4"/>
        <v>1</v>
      </c>
      <c r="V122" s="3">
        <f t="shared" si="5"/>
        <v>2</v>
      </c>
      <c r="W122" s="3">
        <f t="shared" si="6"/>
        <v>2</v>
      </c>
      <c r="X122" s="3" t="str">
        <f>IFERROR(__xludf.DUMMYFUNCTION("split(B122,"" "")"),"S.")</f>
        <v>S.</v>
      </c>
      <c r="Y122" s="3" t="str">
        <f>IFERROR(__xludf.DUMMYFUNCTION("""COMPUTED_VALUE"""),"Darnold")</f>
        <v>Darnold</v>
      </c>
      <c r="AA122" s="3">
        <v>20.0</v>
      </c>
      <c r="AB122" s="3">
        <f t="shared" si="7"/>
        <v>0</v>
      </c>
      <c r="AC122" s="3">
        <f t="shared" si="8"/>
        <v>0</v>
      </c>
      <c r="AD122" s="3">
        <f t="shared" si="9"/>
        <v>2.1</v>
      </c>
      <c r="AE122" s="3">
        <f t="shared" si="10"/>
        <v>-2</v>
      </c>
      <c r="AF122" s="3">
        <f t="shared" si="11"/>
        <v>-2</v>
      </c>
      <c r="AG122" s="3">
        <f t="shared" si="12"/>
        <v>-0.0243902439</v>
      </c>
    </row>
    <row r="123">
      <c r="A123" s="1" t="s">
        <v>12</v>
      </c>
      <c r="B123" s="1" t="s">
        <v>175</v>
      </c>
      <c r="C123" s="1" t="s">
        <v>18</v>
      </c>
      <c r="D123" s="1" t="s">
        <v>146</v>
      </c>
      <c r="E123" s="1" t="s">
        <v>157</v>
      </c>
      <c r="F123" s="1" t="s">
        <v>564</v>
      </c>
      <c r="G123" s="1">
        <v>3.5</v>
      </c>
      <c r="H123" s="1" t="s">
        <v>60</v>
      </c>
      <c r="I123" s="1">
        <v>-115.0</v>
      </c>
      <c r="J123" s="1">
        <v>-0.129830232558139</v>
      </c>
      <c r="K123" s="1" t="s">
        <v>61</v>
      </c>
      <c r="L123" s="1" t="s">
        <v>61</v>
      </c>
      <c r="M123" s="1" t="s">
        <v>62</v>
      </c>
      <c r="N123" s="1">
        <v>-115.0</v>
      </c>
      <c r="O123" s="1">
        <v>0.0600697674418604</v>
      </c>
      <c r="P123" s="1" t="s">
        <v>61</v>
      </c>
      <c r="Q123" s="1" t="s">
        <v>61</v>
      </c>
      <c r="R123" s="1">
        <f t="shared" si="1"/>
        <v>0.06006976744</v>
      </c>
      <c r="S123" s="1">
        <f t="shared" si="2"/>
        <v>-115</v>
      </c>
      <c r="T123" s="1">
        <f t="shared" si="3"/>
        <v>1.869565217</v>
      </c>
      <c r="U123" s="1">
        <f t="shared" si="4"/>
        <v>0</v>
      </c>
      <c r="V123" s="3">
        <f t="shared" si="5"/>
        <v>2</v>
      </c>
      <c r="W123" s="3">
        <f t="shared" si="6"/>
        <v>2</v>
      </c>
      <c r="X123" s="3" t="str">
        <f>IFERROR(__xludf.DUMMYFUNCTION("split(B123,"" "")"),"J.")</f>
        <v>J.</v>
      </c>
      <c r="Y123" s="3" t="str">
        <f>IFERROR(__xludf.DUMMYFUNCTION("""COMPUTED_VALUE"""),"Addison")</f>
        <v>Addison</v>
      </c>
      <c r="AA123" s="3">
        <v>3.0</v>
      </c>
      <c r="AB123" s="3">
        <f t="shared" si="7"/>
        <v>0</v>
      </c>
      <c r="AC123" s="3">
        <f t="shared" si="8"/>
        <v>1</v>
      </c>
      <c r="AD123" s="3">
        <f t="shared" si="9"/>
        <v>1.739130435</v>
      </c>
      <c r="AE123" s="3">
        <f t="shared" si="10"/>
        <v>1.739130435</v>
      </c>
      <c r="AF123" s="3">
        <f t="shared" si="11"/>
        <v>1.739130435</v>
      </c>
      <c r="AG123" s="3">
        <f t="shared" si="12"/>
        <v>0.1428571429</v>
      </c>
    </row>
    <row r="124">
      <c r="A124" s="1" t="s">
        <v>8</v>
      </c>
      <c r="B124" s="1" t="s">
        <v>145</v>
      </c>
      <c r="C124" s="1" t="s">
        <v>21</v>
      </c>
      <c r="D124" s="1" t="s">
        <v>146</v>
      </c>
      <c r="E124" s="1" t="s">
        <v>157</v>
      </c>
      <c r="F124" s="1" t="s">
        <v>564</v>
      </c>
      <c r="G124" s="1">
        <v>3.5</v>
      </c>
      <c r="H124" s="1" t="s">
        <v>60</v>
      </c>
      <c r="I124" s="1">
        <v>120.0</v>
      </c>
      <c r="J124" s="1">
        <v>-0.131530292322382</v>
      </c>
      <c r="K124" s="1" t="s">
        <v>61</v>
      </c>
      <c r="L124" s="1" t="s">
        <v>61</v>
      </c>
      <c r="M124" s="1" t="s">
        <v>62</v>
      </c>
      <c r="N124" s="1">
        <v>-162.0</v>
      </c>
      <c r="O124" s="1">
        <v>0.0586488428234647</v>
      </c>
      <c r="P124" s="1" t="s">
        <v>61</v>
      </c>
      <c r="Q124" s="1" t="s">
        <v>61</v>
      </c>
      <c r="R124" s="1">
        <f t="shared" si="1"/>
        <v>0.05864884282</v>
      </c>
      <c r="S124" s="1">
        <f t="shared" si="2"/>
        <v>-162</v>
      </c>
      <c r="T124" s="1">
        <f t="shared" si="3"/>
        <v>1.617283951</v>
      </c>
      <c r="U124" s="1">
        <f t="shared" si="4"/>
        <v>0</v>
      </c>
      <c r="V124" s="3">
        <f t="shared" si="5"/>
        <v>2</v>
      </c>
      <c r="W124" s="3">
        <f t="shared" si="6"/>
        <v>3</v>
      </c>
      <c r="X124" s="3" t="str">
        <f>IFERROR(__xludf.DUMMYFUNCTION("split(B124,"" "")"),"S.")</f>
        <v>S.</v>
      </c>
      <c r="Y124" s="3" t="str">
        <f>IFERROR(__xludf.DUMMYFUNCTION("""COMPUTED_VALUE"""),"Darnold")</f>
        <v>Darnold</v>
      </c>
      <c r="AA124" s="3">
        <v>7.0</v>
      </c>
      <c r="AB124" s="3">
        <f t="shared" si="7"/>
        <v>1</v>
      </c>
      <c r="AC124" s="3">
        <f t="shared" si="8"/>
        <v>0</v>
      </c>
      <c r="AD124" s="3">
        <f t="shared" si="9"/>
        <v>1.234567901</v>
      </c>
      <c r="AE124" s="3">
        <f t="shared" si="10"/>
        <v>-2</v>
      </c>
      <c r="AF124" s="3">
        <f t="shared" si="11"/>
        <v>-3</v>
      </c>
      <c r="AG124" s="3">
        <f t="shared" si="12"/>
        <v>-1</v>
      </c>
    </row>
    <row r="125">
      <c r="A125" s="1" t="s">
        <v>17</v>
      </c>
      <c r="B125" s="1" t="s">
        <v>145</v>
      </c>
      <c r="C125" s="1" t="s">
        <v>21</v>
      </c>
      <c r="D125" s="1" t="s">
        <v>146</v>
      </c>
      <c r="E125" s="1" t="s">
        <v>157</v>
      </c>
      <c r="F125" s="1" t="s">
        <v>564</v>
      </c>
      <c r="G125" s="1">
        <v>0.5</v>
      </c>
      <c r="H125" s="1" t="s">
        <v>60</v>
      </c>
      <c r="I125" s="1">
        <v>-138.0</v>
      </c>
      <c r="J125" s="1">
        <v>-0.118073949579831</v>
      </c>
      <c r="K125" s="1" t="s">
        <v>61</v>
      </c>
      <c r="L125" s="1" t="s">
        <v>61</v>
      </c>
      <c r="M125" s="1" t="s">
        <v>62</v>
      </c>
      <c r="N125" s="1">
        <v>105.0</v>
      </c>
      <c r="O125" s="1">
        <v>0.0504439024390243</v>
      </c>
      <c r="P125" s="1" t="s">
        <v>61</v>
      </c>
      <c r="Q125" s="1" t="s">
        <v>61</v>
      </c>
      <c r="R125" s="1">
        <f t="shared" si="1"/>
        <v>0.05044390244</v>
      </c>
      <c r="S125" s="1">
        <f t="shared" si="2"/>
        <v>105</v>
      </c>
      <c r="T125" s="1">
        <f t="shared" si="3"/>
        <v>2.05</v>
      </c>
      <c r="U125" s="1">
        <f t="shared" si="4"/>
        <v>0</v>
      </c>
      <c r="V125" s="3">
        <f t="shared" si="5"/>
        <v>2</v>
      </c>
      <c r="W125" s="3">
        <f t="shared" si="6"/>
        <v>2</v>
      </c>
      <c r="X125" s="3" t="str">
        <f>IFERROR(__xludf.DUMMYFUNCTION("split(B125,"" "")"),"S.")</f>
        <v>S.</v>
      </c>
      <c r="Y125" s="3" t="str">
        <f>IFERROR(__xludf.DUMMYFUNCTION("""COMPUTED_VALUE"""),"Darnold")</f>
        <v>Darnold</v>
      </c>
      <c r="AA125" s="3">
        <v>1.0</v>
      </c>
      <c r="AB125" s="3">
        <f t="shared" si="7"/>
        <v>1</v>
      </c>
      <c r="AC125" s="3">
        <f t="shared" si="8"/>
        <v>0</v>
      </c>
      <c r="AD125" s="3">
        <f t="shared" si="9"/>
        <v>2.1</v>
      </c>
      <c r="AE125" s="3">
        <f t="shared" si="10"/>
        <v>-2</v>
      </c>
      <c r="AF125" s="3">
        <f t="shared" si="11"/>
        <v>-2</v>
      </c>
      <c r="AG125" s="3">
        <f t="shared" si="12"/>
        <v>-1</v>
      </c>
    </row>
    <row r="126">
      <c r="A126" s="1" t="s">
        <v>9</v>
      </c>
      <c r="B126" s="1" t="s">
        <v>379</v>
      </c>
      <c r="C126" s="1" t="s">
        <v>18</v>
      </c>
      <c r="D126" s="1" t="s">
        <v>146</v>
      </c>
      <c r="E126" s="1" t="s">
        <v>157</v>
      </c>
      <c r="F126" s="1" t="s">
        <v>564</v>
      </c>
      <c r="G126" s="1">
        <v>80.5</v>
      </c>
      <c r="H126" s="1" t="s">
        <v>60</v>
      </c>
      <c r="I126" s="1">
        <v>-117.0</v>
      </c>
      <c r="J126" s="1">
        <v>-0.0944807214850648</v>
      </c>
      <c r="K126" s="1" t="s">
        <v>61</v>
      </c>
      <c r="L126" s="1" t="s">
        <v>61</v>
      </c>
      <c r="M126" s="1" t="s">
        <v>62</v>
      </c>
      <c r="N126" s="1">
        <v>-115.0</v>
      </c>
      <c r="O126" s="1">
        <v>0.020460274635339</v>
      </c>
      <c r="P126" s="1" t="s">
        <v>61</v>
      </c>
      <c r="Q126" s="1" t="s">
        <v>61</v>
      </c>
      <c r="R126" s="1">
        <f t="shared" si="1"/>
        <v>0.02046027464</v>
      </c>
      <c r="S126" s="1">
        <f t="shared" si="2"/>
        <v>-115</v>
      </c>
      <c r="T126" s="1">
        <f t="shared" si="3"/>
        <v>1.869565217</v>
      </c>
      <c r="U126" s="1">
        <f t="shared" si="4"/>
        <v>0</v>
      </c>
      <c r="V126" s="3">
        <f t="shared" si="5"/>
        <v>1</v>
      </c>
      <c r="W126" s="3">
        <f t="shared" si="6"/>
        <v>2</v>
      </c>
      <c r="X126" s="3" t="str">
        <f>IFERROR(__xludf.DUMMYFUNCTION("split(B126,"" "")"),"J.")</f>
        <v>J.</v>
      </c>
      <c r="Y126" s="3" t="str">
        <f>IFERROR(__xludf.DUMMYFUNCTION("""COMPUTED_VALUE"""),"Jefferson")</f>
        <v>Jefferson</v>
      </c>
      <c r="AA126" s="3">
        <v>85.0</v>
      </c>
      <c r="AB126" s="3">
        <f t="shared" si="7"/>
        <v>1</v>
      </c>
      <c r="AC126" s="3">
        <f t="shared" si="8"/>
        <v>0</v>
      </c>
      <c r="AD126" s="3">
        <f t="shared" si="9"/>
        <v>0.8695652174</v>
      </c>
      <c r="AE126" s="3">
        <f t="shared" si="10"/>
        <v>-1</v>
      </c>
      <c r="AF126" s="3">
        <f t="shared" si="11"/>
        <v>-2</v>
      </c>
      <c r="AG126" s="3">
        <f t="shared" si="12"/>
        <v>-0.05590062112</v>
      </c>
    </row>
    <row r="127">
      <c r="A127" s="1" t="s">
        <v>10</v>
      </c>
      <c r="B127" s="1" t="s">
        <v>304</v>
      </c>
      <c r="C127" s="1" t="s">
        <v>19</v>
      </c>
      <c r="D127" s="1" t="s">
        <v>146</v>
      </c>
      <c r="E127" s="1" t="s">
        <v>157</v>
      </c>
      <c r="F127" s="1" t="s">
        <v>564</v>
      </c>
      <c r="G127" s="1">
        <v>58.5</v>
      </c>
      <c r="H127" s="1" t="s">
        <v>60</v>
      </c>
      <c r="I127" s="1">
        <v>-117.0</v>
      </c>
      <c r="J127" s="1">
        <v>-0.0883139467884775</v>
      </c>
      <c r="K127" s="1" t="s">
        <v>61</v>
      </c>
      <c r="L127" s="1" t="s">
        <v>61</v>
      </c>
      <c r="M127" s="1" t="s">
        <v>62</v>
      </c>
      <c r="N127" s="1">
        <v>-113.0</v>
      </c>
      <c r="O127" s="1">
        <v>0.0186325099578059</v>
      </c>
      <c r="P127" s="1" t="s">
        <v>61</v>
      </c>
      <c r="Q127" s="1" t="s">
        <v>61</v>
      </c>
      <c r="R127" s="1">
        <f t="shared" si="1"/>
        <v>0.01863250996</v>
      </c>
      <c r="S127" s="1">
        <f t="shared" si="2"/>
        <v>-113</v>
      </c>
      <c r="T127" s="1">
        <f t="shared" si="3"/>
        <v>1.884955752</v>
      </c>
      <c r="U127" s="1">
        <f t="shared" si="4"/>
        <v>0</v>
      </c>
      <c r="V127" s="3">
        <f t="shared" si="5"/>
        <v>1</v>
      </c>
      <c r="W127" s="3">
        <f t="shared" si="6"/>
        <v>2</v>
      </c>
      <c r="X127" s="3" t="str">
        <f>IFERROR(__xludf.DUMMYFUNCTION("split(B127,"" "")"),"A.")</f>
        <v>A.</v>
      </c>
      <c r="Y127" s="3" t="str">
        <f>IFERROR(__xludf.DUMMYFUNCTION("""COMPUTED_VALUE"""),"Jones")</f>
        <v>Jones</v>
      </c>
      <c r="AA127" s="3">
        <v>93.0</v>
      </c>
      <c r="AB127" s="3">
        <f t="shared" si="7"/>
        <v>1</v>
      </c>
      <c r="AC127" s="3">
        <f t="shared" si="8"/>
        <v>0</v>
      </c>
      <c r="AD127" s="3">
        <f t="shared" si="9"/>
        <v>0.8849557522</v>
      </c>
      <c r="AE127" s="3">
        <f t="shared" si="10"/>
        <v>-1</v>
      </c>
      <c r="AF127" s="3">
        <f t="shared" si="11"/>
        <v>-2</v>
      </c>
      <c r="AG127" s="3">
        <f t="shared" si="12"/>
        <v>-0.5897435897</v>
      </c>
    </row>
    <row r="128">
      <c r="A128" s="1" t="s">
        <v>12</v>
      </c>
      <c r="B128" s="1" t="s">
        <v>379</v>
      </c>
      <c r="C128" s="1" t="s">
        <v>18</v>
      </c>
      <c r="D128" s="1" t="s">
        <v>146</v>
      </c>
      <c r="E128" s="1" t="s">
        <v>157</v>
      </c>
      <c r="F128" s="1" t="s">
        <v>564</v>
      </c>
      <c r="G128" s="1">
        <v>5.5</v>
      </c>
      <c r="H128" s="1" t="s">
        <v>60</v>
      </c>
      <c r="I128" s="1">
        <v>-139.0</v>
      </c>
      <c r="J128" s="1">
        <v>0.0162518828451883</v>
      </c>
      <c r="K128" s="1" t="s">
        <v>61</v>
      </c>
      <c r="L128" s="1" t="s">
        <v>61</v>
      </c>
      <c r="M128" s="1" t="s">
        <v>62</v>
      </c>
      <c r="N128" s="1">
        <v>106.0</v>
      </c>
      <c r="O128" s="1">
        <v>-0.0832854368932039</v>
      </c>
      <c r="P128" s="1" t="s">
        <v>61</v>
      </c>
      <c r="Q128" s="1" t="s">
        <v>61</v>
      </c>
      <c r="R128" s="1">
        <f t="shared" si="1"/>
        <v>0.01625188285</v>
      </c>
      <c r="S128" s="1">
        <f t="shared" si="2"/>
        <v>-139</v>
      </c>
      <c r="T128" s="1">
        <f t="shared" si="3"/>
        <v>1.71942446</v>
      </c>
      <c r="U128" s="1">
        <f t="shared" si="4"/>
        <v>1</v>
      </c>
      <c r="V128" s="3">
        <f t="shared" si="5"/>
        <v>1</v>
      </c>
      <c r="W128" s="3">
        <f t="shared" si="6"/>
        <v>3</v>
      </c>
      <c r="X128" s="3" t="str">
        <f>IFERROR(__xludf.DUMMYFUNCTION("split(B128,"" "")"),"J.")</f>
        <v>J.</v>
      </c>
      <c r="Y128" s="3" t="str">
        <f>IFERROR(__xludf.DUMMYFUNCTION("""COMPUTED_VALUE"""),"Jefferson")</f>
        <v>Jefferson</v>
      </c>
      <c r="AA128" s="3">
        <v>6.0</v>
      </c>
      <c r="AB128" s="3">
        <f t="shared" si="7"/>
        <v>1</v>
      </c>
      <c r="AC128" s="3">
        <f t="shared" si="8"/>
        <v>1</v>
      </c>
      <c r="AD128" s="3">
        <f t="shared" si="9"/>
        <v>0.7194244604</v>
      </c>
      <c r="AE128" s="3">
        <f t="shared" si="10"/>
        <v>0.7194244604</v>
      </c>
      <c r="AF128" s="3">
        <f t="shared" si="11"/>
        <v>2.158273381</v>
      </c>
      <c r="AG128" s="3">
        <f t="shared" si="12"/>
        <v>0.09090909091</v>
      </c>
    </row>
    <row r="129">
      <c r="A129" s="1" t="s">
        <v>10</v>
      </c>
      <c r="B129" s="1" t="s">
        <v>175</v>
      </c>
      <c r="C129" s="1" t="s">
        <v>18</v>
      </c>
      <c r="D129" s="1" t="s">
        <v>146</v>
      </c>
      <c r="E129" s="1" t="s">
        <v>157</v>
      </c>
      <c r="F129" s="1" t="s">
        <v>564</v>
      </c>
      <c r="G129" s="1">
        <v>5.5</v>
      </c>
      <c r="H129" s="1" t="s">
        <v>60</v>
      </c>
      <c r="I129" s="1">
        <v>105.0</v>
      </c>
      <c r="J129" s="1">
        <v>0.00825251980253233</v>
      </c>
      <c r="K129" s="1" t="s">
        <v>61</v>
      </c>
      <c r="L129" s="1" t="s">
        <v>61</v>
      </c>
      <c r="M129" s="1" t="s">
        <v>62</v>
      </c>
      <c r="N129" s="1">
        <v>-140.0</v>
      </c>
      <c r="O129" s="1">
        <v>-0.0793987031084397</v>
      </c>
      <c r="P129" s="1" t="s">
        <v>61</v>
      </c>
      <c r="Q129" s="1" t="s">
        <v>61</v>
      </c>
      <c r="R129" s="1">
        <f t="shared" si="1"/>
        <v>0.008252519803</v>
      </c>
      <c r="S129" s="1">
        <f t="shared" si="2"/>
        <v>105</v>
      </c>
      <c r="T129" s="1">
        <f t="shared" si="3"/>
        <v>2.05</v>
      </c>
      <c r="U129" s="1">
        <f t="shared" si="4"/>
        <v>1</v>
      </c>
      <c r="V129" s="3">
        <f t="shared" si="5"/>
        <v>1</v>
      </c>
      <c r="W129" s="3">
        <f t="shared" si="6"/>
        <v>2</v>
      </c>
      <c r="X129" s="3" t="str">
        <f>IFERROR(__xludf.DUMMYFUNCTION("split(B129,"" "")"),"J.")</f>
        <v>J.</v>
      </c>
      <c r="Y129" s="3" t="str">
        <f>IFERROR(__xludf.DUMMYFUNCTION("""COMPUTED_VALUE"""),"Addison")</f>
        <v>Addison</v>
      </c>
      <c r="AA129" s="3">
        <v>7.0</v>
      </c>
      <c r="AB129" s="3">
        <f t="shared" si="7"/>
        <v>1</v>
      </c>
      <c r="AC129" s="3">
        <f t="shared" si="8"/>
        <v>1</v>
      </c>
      <c r="AD129" s="3">
        <f t="shared" si="9"/>
        <v>1.05</v>
      </c>
      <c r="AE129" s="3">
        <f t="shared" si="10"/>
        <v>1.05</v>
      </c>
      <c r="AF129" s="3">
        <f t="shared" si="11"/>
        <v>2.1</v>
      </c>
      <c r="AG129" s="3">
        <f t="shared" si="12"/>
        <v>0.2727272727</v>
      </c>
    </row>
    <row r="130">
      <c r="A130" s="1" t="s">
        <v>12</v>
      </c>
      <c r="B130" s="1" t="s">
        <v>304</v>
      </c>
      <c r="C130" s="1" t="s">
        <v>19</v>
      </c>
      <c r="D130" s="1" t="s">
        <v>146</v>
      </c>
      <c r="E130" s="1" t="s">
        <v>157</v>
      </c>
      <c r="F130" s="1" t="s">
        <v>564</v>
      </c>
      <c r="G130" s="1">
        <v>4.5</v>
      </c>
      <c r="H130" s="1" t="s">
        <v>60</v>
      </c>
      <c r="I130" s="1">
        <v>155.0</v>
      </c>
      <c r="J130" s="1">
        <v>-0.062478431372549</v>
      </c>
      <c r="K130" s="1" t="s">
        <v>61</v>
      </c>
      <c r="L130" s="1" t="s">
        <v>61</v>
      </c>
      <c r="M130" s="1" t="s">
        <v>62</v>
      </c>
      <c r="N130" s="1">
        <v>-200.0</v>
      </c>
      <c r="O130" s="1">
        <v>0.00366666666666659</v>
      </c>
      <c r="P130" s="1" t="s">
        <v>61</v>
      </c>
      <c r="Q130" s="1" t="s">
        <v>61</v>
      </c>
      <c r="R130" s="1">
        <f t="shared" si="1"/>
        <v>0.003666666667</v>
      </c>
      <c r="S130" s="1">
        <f t="shared" si="2"/>
        <v>-200</v>
      </c>
      <c r="T130" s="1">
        <f t="shared" si="3"/>
        <v>1.5</v>
      </c>
      <c r="U130" s="1">
        <f t="shared" si="4"/>
        <v>0</v>
      </c>
      <c r="V130" s="3">
        <f t="shared" si="5"/>
        <v>1</v>
      </c>
      <c r="W130" s="3">
        <f t="shared" si="6"/>
        <v>3</v>
      </c>
      <c r="X130" s="3" t="str">
        <f>IFERROR(__xludf.DUMMYFUNCTION("split(B130,"" "")"),"A.")</f>
        <v>A.</v>
      </c>
      <c r="Y130" s="3" t="str">
        <f>IFERROR(__xludf.DUMMYFUNCTION("""COMPUTED_VALUE"""),"Jones")</f>
        <v>Jones</v>
      </c>
      <c r="AA130" s="3">
        <v>4.0</v>
      </c>
      <c r="AB130" s="3">
        <f t="shared" si="7"/>
        <v>0</v>
      </c>
      <c r="AC130" s="3">
        <f t="shared" si="8"/>
        <v>1</v>
      </c>
      <c r="AD130" s="3">
        <f t="shared" si="9"/>
        <v>0.5</v>
      </c>
      <c r="AE130" s="3">
        <f t="shared" si="10"/>
        <v>0.5</v>
      </c>
      <c r="AF130" s="3">
        <f t="shared" si="11"/>
        <v>1.5</v>
      </c>
      <c r="AG130" s="3">
        <f t="shared" si="12"/>
        <v>0.1111111111</v>
      </c>
    </row>
    <row r="131">
      <c r="A131" s="1" t="s">
        <v>10</v>
      </c>
      <c r="B131" s="1" t="s">
        <v>475</v>
      </c>
      <c r="C131" s="1" t="s">
        <v>18</v>
      </c>
      <c r="D131" s="1" t="s">
        <v>94</v>
      </c>
      <c r="E131" s="1" t="s">
        <v>100</v>
      </c>
      <c r="F131" s="1" t="s">
        <v>562</v>
      </c>
      <c r="G131" s="1">
        <v>0.5</v>
      </c>
      <c r="H131" s="1" t="s">
        <v>60</v>
      </c>
      <c r="I131" s="1">
        <v>212.0</v>
      </c>
      <c r="J131" s="1">
        <v>0.300110574610092</v>
      </c>
      <c r="K131" s="1" t="s">
        <v>61</v>
      </c>
      <c r="L131" s="1" t="s">
        <v>61</v>
      </c>
      <c r="M131" s="1" t="s">
        <v>62</v>
      </c>
      <c r="N131" s="1">
        <v>-297.0</v>
      </c>
      <c r="O131" s="1">
        <v>-0.368696191788289</v>
      </c>
      <c r="P131" s="1" t="s">
        <v>61</v>
      </c>
      <c r="Q131" s="1" t="s">
        <v>61</v>
      </c>
      <c r="R131" s="1">
        <f t="shared" si="1"/>
        <v>0.3001105746</v>
      </c>
      <c r="S131" s="1">
        <f t="shared" si="2"/>
        <v>212</v>
      </c>
      <c r="T131" s="1">
        <f t="shared" si="3"/>
        <v>3.12</v>
      </c>
      <c r="U131" s="1">
        <f t="shared" si="4"/>
        <v>1</v>
      </c>
      <c r="V131" s="3">
        <f t="shared" si="5"/>
        <v>3</v>
      </c>
      <c r="W131" s="3">
        <f t="shared" si="6"/>
        <v>1</v>
      </c>
      <c r="X131" s="3" t="str">
        <f>IFERROR(__xludf.DUMMYFUNCTION("split(B131,"" "")"),"J.")</f>
        <v>J.</v>
      </c>
      <c r="Y131" s="3" t="str">
        <f>IFERROR(__xludf.DUMMYFUNCTION("""COMPUTED_VALUE"""),"Waddle")</f>
        <v>Waddle</v>
      </c>
      <c r="AA131" s="3">
        <v>0.0</v>
      </c>
      <c r="AB131" s="3">
        <f t="shared" si="7"/>
        <v>0</v>
      </c>
      <c r="AC131" s="3">
        <f t="shared" si="8"/>
        <v>0</v>
      </c>
      <c r="AD131" s="3">
        <f t="shared" si="9"/>
        <v>6.36</v>
      </c>
      <c r="AE131" s="3">
        <f t="shared" si="10"/>
        <v>-3</v>
      </c>
      <c r="AF131" s="3">
        <f t="shared" si="11"/>
        <v>-1</v>
      </c>
      <c r="AG131" s="3">
        <f t="shared" si="12"/>
        <v>-1</v>
      </c>
    </row>
    <row r="132">
      <c r="A132" s="1" t="s">
        <v>10</v>
      </c>
      <c r="B132" s="1" t="s">
        <v>441</v>
      </c>
      <c r="C132" s="1" t="s">
        <v>18</v>
      </c>
      <c r="D132" s="1" t="s">
        <v>94</v>
      </c>
      <c r="E132" s="1" t="s">
        <v>100</v>
      </c>
      <c r="F132" s="1" t="s">
        <v>562</v>
      </c>
      <c r="G132" s="1">
        <v>0.5</v>
      </c>
      <c r="H132" s="1" t="s">
        <v>60</v>
      </c>
      <c r="I132" s="1">
        <v>183.0</v>
      </c>
      <c r="J132" s="1">
        <v>0.274211785046063</v>
      </c>
      <c r="K132" s="1" t="s">
        <v>61</v>
      </c>
      <c r="L132" s="1" t="s">
        <v>61</v>
      </c>
      <c r="M132" s="1" t="s">
        <v>62</v>
      </c>
      <c r="N132" s="1">
        <v>-248.0</v>
      </c>
      <c r="O132" s="1">
        <v>-0.340168464224497</v>
      </c>
      <c r="P132" s="1" t="s">
        <v>61</v>
      </c>
      <c r="Q132" s="1" t="s">
        <v>61</v>
      </c>
      <c r="R132" s="1">
        <f t="shared" si="1"/>
        <v>0.274211785</v>
      </c>
      <c r="S132" s="1">
        <f t="shared" si="2"/>
        <v>183</v>
      </c>
      <c r="T132" s="1">
        <f t="shared" si="3"/>
        <v>2.83</v>
      </c>
      <c r="U132" s="1">
        <f t="shared" si="4"/>
        <v>1</v>
      </c>
      <c r="V132" s="3">
        <f t="shared" si="5"/>
        <v>3</v>
      </c>
      <c r="W132" s="3">
        <f t="shared" si="6"/>
        <v>1</v>
      </c>
      <c r="X132" s="3" t="str">
        <f>IFERROR(__xludf.DUMMYFUNCTION("split(B132,"" "")"),"T.")</f>
        <v>T.</v>
      </c>
      <c r="Y132" s="3" t="str">
        <f>IFERROR(__xludf.DUMMYFUNCTION("""COMPUTED_VALUE"""),"Hill")</f>
        <v>Hill</v>
      </c>
      <c r="AA132" s="3">
        <v>19.0</v>
      </c>
      <c r="AB132" s="3">
        <f t="shared" si="7"/>
        <v>1</v>
      </c>
      <c r="AC132" s="3">
        <f t="shared" si="8"/>
        <v>1</v>
      </c>
      <c r="AD132" s="3">
        <f t="shared" si="9"/>
        <v>5.49</v>
      </c>
      <c r="AE132" s="3">
        <f t="shared" si="10"/>
        <v>5.49</v>
      </c>
      <c r="AF132" s="3">
        <f t="shared" si="11"/>
        <v>1.83</v>
      </c>
      <c r="AG132" s="3">
        <f t="shared" si="12"/>
        <v>37</v>
      </c>
    </row>
    <row r="133">
      <c r="A133" s="1" t="s">
        <v>8</v>
      </c>
      <c r="B133" s="1" t="s">
        <v>569</v>
      </c>
      <c r="C133" s="1" t="s">
        <v>21</v>
      </c>
      <c r="D133" s="1" t="s">
        <v>94</v>
      </c>
      <c r="E133" s="1" t="s">
        <v>100</v>
      </c>
      <c r="F133" s="1" t="s">
        <v>562</v>
      </c>
      <c r="G133" s="1">
        <v>7.5</v>
      </c>
      <c r="H133" s="1" t="s">
        <v>60</v>
      </c>
      <c r="I133" s="1">
        <v>-109.0</v>
      </c>
      <c r="J133" s="1">
        <v>-0.251773201179206</v>
      </c>
      <c r="K133" s="1" t="s">
        <v>61</v>
      </c>
      <c r="L133" s="1" t="s">
        <v>61</v>
      </c>
      <c r="M133" s="1" t="s">
        <v>62</v>
      </c>
      <c r="N133" s="1">
        <v>-124.0</v>
      </c>
      <c r="O133" s="1">
        <v>0.176645887578585</v>
      </c>
      <c r="P133" s="1" t="s">
        <v>61</v>
      </c>
      <c r="Q133" s="1" t="s">
        <v>61</v>
      </c>
      <c r="R133" s="1">
        <f t="shared" si="1"/>
        <v>0.1766458876</v>
      </c>
      <c r="S133" s="1">
        <f t="shared" si="2"/>
        <v>-124</v>
      </c>
      <c r="T133" s="1">
        <f t="shared" si="3"/>
        <v>1.806451613</v>
      </c>
      <c r="U133" s="1">
        <f t="shared" si="4"/>
        <v>0</v>
      </c>
      <c r="V133" s="3">
        <f t="shared" si="5"/>
        <v>3</v>
      </c>
      <c r="W133" s="3">
        <f t="shared" si="6"/>
        <v>3</v>
      </c>
      <c r="X133" s="3" t="str">
        <f>IFERROR(__xludf.DUMMYFUNCTION("split(B133,"" "")"),"T.")</f>
        <v>T.</v>
      </c>
      <c r="Y133" s="3" t="str">
        <f>IFERROR(__xludf.DUMMYFUNCTION("""COMPUTED_VALUE"""),"Huntley")</f>
        <v>Huntley</v>
      </c>
      <c r="AA133" s="3">
        <v>8.0</v>
      </c>
      <c r="AB133" s="3">
        <f t="shared" si="7"/>
        <v>1</v>
      </c>
      <c r="AC133" s="3">
        <f t="shared" si="8"/>
        <v>0</v>
      </c>
      <c r="AD133" s="3">
        <f t="shared" si="9"/>
        <v>2.419354839</v>
      </c>
      <c r="AE133" s="3">
        <f t="shared" si="10"/>
        <v>-3</v>
      </c>
      <c r="AF133" s="3">
        <f t="shared" si="11"/>
        <v>-3</v>
      </c>
      <c r="AG133" s="3">
        <f t="shared" si="12"/>
        <v>-0.06666666667</v>
      </c>
    </row>
    <row r="134">
      <c r="A134" s="1" t="s">
        <v>12</v>
      </c>
      <c r="B134" s="1" t="s">
        <v>220</v>
      </c>
      <c r="C134" s="1" t="s">
        <v>20</v>
      </c>
      <c r="D134" s="1" t="s">
        <v>94</v>
      </c>
      <c r="E134" s="1" t="s">
        <v>100</v>
      </c>
      <c r="F134" s="1" t="s">
        <v>562</v>
      </c>
      <c r="G134" s="1">
        <v>1.5</v>
      </c>
      <c r="H134" s="1" t="s">
        <v>60</v>
      </c>
      <c r="I134" s="1">
        <v>-163.0</v>
      </c>
      <c r="J134" s="1">
        <v>-0.22630891011787</v>
      </c>
      <c r="K134" s="1" t="s">
        <v>61</v>
      </c>
      <c r="L134" s="1" t="s">
        <v>61</v>
      </c>
      <c r="M134" s="1" t="s">
        <v>62</v>
      </c>
      <c r="N134" s="1">
        <v>124.0</v>
      </c>
      <c r="O134" s="1">
        <v>0.16011492571875</v>
      </c>
      <c r="P134" s="1" t="s">
        <v>61</v>
      </c>
      <c r="Q134" s="1" t="s">
        <v>61</v>
      </c>
      <c r="R134" s="1">
        <f t="shared" si="1"/>
        <v>0.1601149257</v>
      </c>
      <c r="S134" s="1">
        <f t="shared" si="2"/>
        <v>124</v>
      </c>
      <c r="T134" s="1">
        <f t="shared" si="3"/>
        <v>2.24</v>
      </c>
      <c r="U134" s="1">
        <f t="shared" si="4"/>
        <v>0</v>
      </c>
      <c r="V134" s="3">
        <f t="shared" si="5"/>
        <v>3</v>
      </c>
      <c r="W134" s="3">
        <f t="shared" si="6"/>
        <v>1</v>
      </c>
      <c r="X134" s="3" t="str">
        <f>IFERROR(__xludf.DUMMYFUNCTION("split(B134,"" "")"),"J.")</f>
        <v>J.</v>
      </c>
      <c r="Y134" s="3" t="str">
        <f>IFERROR(__xludf.DUMMYFUNCTION("""COMPUTED_VALUE"""),"Smith")</f>
        <v>Smith</v>
      </c>
      <c r="AA134" s="3">
        <v>0.0</v>
      </c>
      <c r="AB134" s="3">
        <f t="shared" si="7"/>
        <v>0</v>
      </c>
      <c r="AC134" s="3">
        <f t="shared" si="8"/>
        <v>1</v>
      </c>
      <c r="AD134" s="3">
        <f t="shared" si="9"/>
        <v>3.72</v>
      </c>
      <c r="AE134" s="3">
        <f t="shared" si="10"/>
        <v>3.72</v>
      </c>
      <c r="AF134" s="3">
        <f t="shared" si="11"/>
        <v>1.24</v>
      </c>
      <c r="AG134" s="3">
        <f t="shared" si="12"/>
        <v>1</v>
      </c>
    </row>
    <row r="135">
      <c r="A135" s="1" t="s">
        <v>12</v>
      </c>
      <c r="B135" s="1" t="s">
        <v>289</v>
      </c>
      <c r="C135" s="1" t="s">
        <v>19</v>
      </c>
      <c r="D135" s="1" t="s">
        <v>94</v>
      </c>
      <c r="E135" s="1" t="s">
        <v>100</v>
      </c>
      <c r="F135" s="1" t="s">
        <v>562</v>
      </c>
      <c r="G135" s="1">
        <v>3.5</v>
      </c>
      <c r="H135" s="1" t="s">
        <v>60</v>
      </c>
      <c r="I135" s="1">
        <v>-115.0</v>
      </c>
      <c r="J135" s="1">
        <v>-0.199437209302325</v>
      </c>
      <c r="K135" s="1" t="s">
        <v>61</v>
      </c>
      <c r="L135" s="1" t="s">
        <v>61</v>
      </c>
      <c r="M135" s="1" t="s">
        <v>62</v>
      </c>
      <c r="N135" s="1">
        <v>-115.0</v>
      </c>
      <c r="O135" s="1">
        <v>0.129662790697674</v>
      </c>
      <c r="P135" s="1" t="s">
        <v>61</v>
      </c>
      <c r="Q135" s="1" t="s">
        <v>61</v>
      </c>
      <c r="R135" s="1">
        <f t="shared" si="1"/>
        <v>0.1296627907</v>
      </c>
      <c r="S135" s="1">
        <f t="shared" si="2"/>
        <v>-115</v>
      </c>
      <c r="T135" s="1">
        <f t="shared" si="3"/>
        <v>1.869565217</v>
      </c>
      <c r="U135" s="1">
        <f t="shared" si="4"/>
        <v>0</v>
      </c>
      <c r="V135" s="3">
        <f t="shared" si="5"/>
        <v>3</v>
      </c>
      <c r="W135" s="3">
        <f t="shared" si="6"/>
        <v>2</v>
      </c>
      <c r="X135" s="3" t="str">
        <f>IFERROR(__xludf.DUMMYFUNCTION("split(B135,"" "")"),"D.")</f>
        <v>D.</v>
      </c>
      <c r="Y135" s="3" t="str">
        <f>IFERROR(__xludf.DUMMYFUNCTION("""COMPUTED_VALUE"""),"Achane")</f>
        <v>Achane</v>
      </c>
      <c r="AA135" s="3">
        <v>3.0</v>
      </c>
      <c r="AB135" s="3">
        <f t="shared" si="7"/>
        <v>0</v>
      </c>
      <c r="AC135" s="3">
        <f t="shared" si="8"/>
        <v>1</v>
      </c>
      <c r="AD135" s="3">
        <f t="shared" si="9"/>
        <v>2.608695652</v>
      </c>
      <c r="AE135" s="3">
        <f t="shared" si="10"/>
        <v>2.608695652</v>
      </c>
      <c r="AF135" s="3">
        <f t="shared" si="11"/>
        <v>1.739130435</v>
      </c>
      <c r="AG135" s="3">
        <f t="shared" si="12"/>
        <v>0.1428571429</v>
      </c>
    </row>
    <row r="136">
      <c r="A136" s="1" t="s">
        <v>14</v>
      </c>
      <c r="B136" s="1" t="s">
        <v>569</v>
      </c>
      <c r="C136" s="1" t="s">
        <v>21</v>
      </c>
      <c r="D136" s="1" t="s">
        <v>94</v>
      </c>
      <c r="E136" s="1" t="s">
        <v>100</v>
      </c>
      <c r="F136" s="1" t="s">
        <v>562</v>
      </c>
      <c r="G136" s="1">
        <v>0.5</v>
      </c>
      <c r="H136" s="1" t="s">
        <v>60</v>
      </c>
      <c r="I136" s="1">
        <v>-201.0</v>
      </c>
      <c r="J136" s="1">
        <v>-0.181572534252491</v>
      </c>
      <c r="K136" s="1" t="s">
        <v>61</v>
      </c>
      <c r="L136" s="1" t="s">
        <v>61</v>
      </c>
      <c r="M136" s="1" t="s">
        <v>62</v>
      </c>
      <c r="N136" s="1">
        <v>154.0</v>
      </c>
      <c r="O136" s="1">
        <v>0.120097373267716</v>
      </c>
      <c r="P136" s="1" t="s">
        <v>61</v>
      </c>
      <c r="Q136" s="1" t="s">
        <v>61</v>
      </c>
      <c r="R136" s="1">
        <f t="shared" si="1"/>
        <v>0.1200973733</v>
      </c>
      <c r="S136" s="1">
        <f t="shared" si="2"/>
        <v>154</v>
      </c>
      <c r="T136" s="1">
        <f t="shared" si="3"/>
        <v>2.54</v>
      </c>
      <c r="U136" s="1">
        <f t="shared" si="4"/>
        <v>0</v>
      </c>
      <c r="V136" s="3">
        <f t="shared" si="5"/>
        <v>3</v>
      </c>
      <c r="W136" s="3">
        <f t="shared" si="6"/>
        <v>1</v>
      </c>
      <c r="X136" s="3" t="str">
        <f>IFERROR(__xludf.DUMMYFUNCTION("split(B136,"" "")"),"T.")</f>
        <v>T.</v>
      </c>
      <c r="Y136" s="3" t="str">
        <f>IFERROR(__xludf.DUMMYFUNCTION("""COMPUTED_VALUE"""),"Huntley")</f>
        <v>Huntley</v>
      </c>
      <c r="AA136" s="3">
        <v>0.0</v>
      </c>
      <c r="AB136" s="3">
        <f t="shared" si="7"/>
        <v>0</v>
      </c>
      <c r="AC136" s="3">
        <f t="shared" si="8"/>
        <v>1</v>
      </c>
      <c r="AD136" s="3">
        <f t="shared" si="9"/>
        <v>4.62</v>
      </c>
      <c r="AE136" s="3">
        <f t="shared" si="10"/>
        <v>4.62</v>
      </c>
      <c r="AF136" s="3">
        <f t="shared" si="11"/>
        <v>1.54</v>
      </c>
      <c r="AG136" s="3">
        <f t="shared" si="12"/>
        <v>1</v>
      </c>
    </row>
    <row r="137">
      <c r="A137" s="1" t="s">
        <v>8</v>
      </c>
      <c r="B137" s="1" t="s">
        <v>289</v>
      </c>
      <c r="C137" s="1" t="s">
        <v>19</v>
      </c>
      <c r="D137" s="1" t="s">
        <v>94</v>
      </c>
      <c r="E137" s="1" t="s">
        <v>100</v>
      </c>
      <c r="F137" s="1" t="s">
        <v>562</v>
      </c>
      <c r="G137" s="1">
        <v>14.5</v>
      </c>
      <c r="H137" s="1" t="s">
        <v>60</v>
      </c>
      <c r="I137" s="1">
        <v>-105.0</v>
      </c>
      <c r="J137" s="1">
        <v>-0.15054367906</v>
      </c>
      <c r="K137" s="1" t="s">
        <v>61</v>
      </c>
      <c r="L137" s="1" t="s">
        <v>61</v>
      </c>
      <c r="M137" s="1" t="s">
        <v>62</v>
      </c>
      <c r="N137" s="1">
        <v>-127.0</v>
      </c>
      <c r="O137" s="1">
        <v>0.0788696336707973</v>
      </c>
      <c r="P137" s="1" t="s">
        <v>61</v>
      </c>
      <c r="Q137" s="1" t="s">
        <v>61</v>
      </c>
      <c r="R137" s="1">
        <f t="shared" si="1"/>
        <v>0.07886963367</v>
      </c>
      <c r="S137" s="1">
        <f t="shared" si="2"/>
        <v>-127</v>
      </c>
      <c r="T137" s="1">
        <f t="shared" si="3"/>
        <v>1.787401575</v>
      </c>
      <c r="U137" s="1">
        <f t="shared" si="4"/>
        <v>0</v>
      </c>
      <c r="V137" s="3">
        <f t="shared" si="5"/>
        <v>2</v>
      </c>
      <c r="W137" s="3">
        <f t="shared" si="6"/>
        <v>3</v>
      </c>
      <c r="X137" s="3" t="str">
        <f>IFERROR(__xludf.DUMMYFUNCTION("split(B137,"" "")"),"D.")</f>
        <v>D.</v>
      </c>
      <c r="Y137" s="3" t="str">
        <f>IFERROR(__xludf.DUMMYFUNCTION("""COMPUTED_VALUE"""),"Achane")</f>
        <v>Achane</v>
      </c>
      <c r="AA137" s="3">
        <v>10.0</v>
      </c>
      <c r="AB137" s="3">
        <f t="shared" si="7"/>
        <v>0</v>
      </c>
      <c r="AC137" s="3">
        <f t="shared" si="8"/>
        <v>1</v>
      </c>
      <c r="AD137" s="3">
        <f t="shared" si="9"/>
        <v>1.57480315</v>
      </c>
      <c r="AE137" s="3">
        <f t="shared" si="10"/>
        <v>1.57480315</v>
      </c>
      <c r="AF137" s="3">
        <f t="shared" si="11"/>
        <v>2.362204724</v>
      </c>
      <c r="AG137" s="3">
        <f t="shared" si="12"/>
        <v>0.3103448276</v>
      </c>
    </row>
    <row r="138">
      <c r="A138" s="1" t="s">
        <v>9</v>
      </c>
      <c r="B138" s="1" t="s">
        <v>289</v>
      </c>
      <c r="C138" s="1" t="s">
        <v>19</v>
      </c>
      <c r="D138" s="1" t="s">
        <v>94</v>
      </c>
      <c r="E138" s="1" t="s">
        <v>100</v>
      </c>
      <c r="F138" s="1" t="s">
        <v>562</v>
      </c>
      <c r="G138" s="1">
        <v>93.5</v>
      </c>
      <c r="H138" s="1" t="s">
        <v>60</v>
      </c>
      <c r="I138" s="1">
        <v>-116.0</v>
      </c>
      <c r="J138" s="1">
        <v>-0.150211330454859</v>
      </c>
      <c r="K138" s="1" t="s">
        <v>61</v>
      </c>
      <c r="L138" s="1" t="s">
        <v>61</v>
      </c>
      <c r="M138" s="1" t="s">
        <v>62</v>
      </c>
      <c r="N138" s="1">
        <v>-116.0</v>
      </c>
      <c r="O138" s="1">
        <v>0.0761639022236364</v>
      </c>
      <c r="P138" s="1" t="s">
        <v>61</v>
      </c>
      <c r="Q138" s="1" t="s">
        <v>61</v>
      </c>
      <c r="R138" s="1">
        <f t="shared" si="1"/>
        <v>0.07616390222</v>
      </c>
      <c r="S138" s="1">
        <f t="shared" si="2"/>
        <v>-116</v>
      </c>
      <c r="T138" s="1">
        <f t="shared" si="3"/>
        <v>1.862068966</v>
      </c>
      <c r="U138" s="1">
        <f t="shared" si="4"/>
        <v>0</v>
      </c>
      <c r="V138" s="3">
        <f t="shared" si="5"/>
        <v>2</v>
      </c>
      <c r="W138" s="3">
        <f t="shared" si="6"/>
        <v>2</v>
      </c>
      <c r="X138" s="3" t="str">
        <f>IFERROR(__xludf.DUMMYFUNCTION("split(B138,"" "")"),"D.")</f>
        <v>D.</v>
      </c>
      <c r="Y138" s="3" t="str">
        <f>IFERROR(__xludf.DUMMYFUNCTION("""COMPUTED_VALUE"""),"Achane")</f>
        <v>Achane</v>
      </c>
      <c r="AA138" s="3">
        <v>29.0</v>
      </c>
      <c r="AB138" s="3">
        <f t="shared" si="7"/>
        <v>0</v>
      </c>
      <c r="AC138" s="3">
        <f t="shared" si="8"/>
        <v>1</v>
      </c>
      <c r="AD138" s="3">
        <f t="shared" si="9"/>
        <v>1.724137931</v>
      </c>
      <c r="AE138" s="3">
        <f t="shared" si="10"/>
        <v>1.724137931</v>
      </c>
      <c r="AF138" s="3">
        <f t="shared" si="11"/>
        <v>1.724137931</v>
      </c>
      <c r="AG138" s="3">
        <f t="shared" si="12"/>
        <v>0.6898395722</v>
      </c>
    </row>
    <row r="139">
      <c r="A139" s="1" t="s">
        <v>11</v>
      </c>
      <c r="B139" s="1" t="s">
        <v>289</v>
      </c>
      <c r="C139" s="1" t="s">
        <v>19</v>
      </c>
      <c r="D139" s="1" t="s">
        <v>94</v>
      </c>
      <c r="E139" s="1" t="s">
        <v>100</v>
      </c>
      <c r="F139" s="1" t="s">
        <v>562</v>
      </c>
      <c r="G139" s="1">
        <v>25.5</v>
      </c>
      <c r="H139" s="1" t="s">
        <v>60</v>
      </c>
      <c r="I139" s="1">
        <v>-118.0</v>
      </c>
      <c r="J139" s="1">
        <v>-0.122942052806834</v>
      </c>
      <c r="K139" s="1" t="s">
        <v>61</v>
      </c>
      <c r="L139" s="1" t="s">
        <v>61</v>
      </c>
      <c r="M139" s="1" t="s">
        <v>62</v>
      </c>
      <c r="N139" s="1">
        <v>-112.0</v>
      </c>
      <c r="O139" s="1">
        <v>0.0533948472326264</v>
      </c>
      <c r="P139" s="1" t="s">
        <v>61</v>
      </c>
      <c r="Q139" s="1" t="s">
        <v>61</v>
      </c>
      <c r="R139" s="1">
        <f t="shared" si="1"/>
        <v>0.05339484723</v>
      </c>
      <c r="S139" s="1">
        <f t="shared" si="2"/>
        <v>-112</v>
      </c>
      <c r="T139" s="1">
        <f t="shared" si="3"/>
        <v>1.892857143</v>
      </c>
      <c r="U139" s="1">
        <f t="shared" si="4"/>
        <v>0</v>
      </c>
      <c r="V139" s="3">
        <f t="shared" si="5"/>
        <v>2</v>
      </c>
      <c r="W139" s="3">
        <f t="shared" si="6"/>
        <v>2</v>
      </c>
      <c r="X139" s="3" t="str">
        <f>IFERROR(__xludf.DUMMYFUNCTION("split(B139,"" "")"),"D.")</f>
        <v>D.</v>
      </c>
      <c r="Y139" s="3" t="str">
        <f>IFERROR(__xludf.DUMMYFUNCTION("""COMPUTED_VALUE"""),"Achane")</f>
        <v>Achane</v>
      </c>
      <c r="AA139" s="3">
        <v>14.0</v>
      </c>
      <c r="AB139" s="3">
        <f t="shared" si="7"/>
        <v>0</v>
      </c>
      <c r="AC139" s="3">
        <f t="shared" si="8"/>
        <v>1</v>
      </c>
      <c r="AD139" s="3">
        <f t="shared" si="9"/>
        <v>1.785714286</v>
      </c>
      <c r="AE139" s="3">
        <f t="shared" si="10"/>
        <v>1.785714286</v>
      </c>
      <c r="AF139" s="3">
        <f t="shared" si="11"/>
        <v>1.785714286</v>
      </c>
      <c r="AG139" s="3">
        <f t="shared" si="12"/>
        <v>0.4509803922</v>
      </c>
    </row>
    <row r="140">
      <c r="A140" s="1" t="s">
        <v>10</v>
      </c>
      <c r="B140" s="1" t="s">
        <v>289</v>
      </c>
      <c r="C140" s="1" t="s">
        <v>19</v>
      </c>
      <c r="D140" s="1" t="s">
        <v>94</v>
      </c>
      <c r="E140" s="1" t="s">
        <v>100</v>
      </c>
      <c r="F140" s="1" t="s">
        <v>562</v>
      </c>
      <c r="G140" s="1">
        <v>62.5</v>
      </c>
      <c r="H140" s="1" t="s">
        <v>60</v>
      </c>
      <c r="I140" s="1">
        <v>-116.0</v>
      </c>
      <c r="J140" s="1">
        <v>-0.115177846282441</v>
      </c>
      <c r="K140" s="1" t="s">
        <v>61</v>
      </c>
      <c r="L140" s="1" t="s">
        <v>61</v>
      </c>
      <c r="M140" s="1" t="s">
        <v>62</v>
      </c>
      <c r="N140" s="1">
        <v>-113.0</v>
      </c>
      <c r="O140" s="1">
        <v>0.0476295825060322</v>
      </c>
      <c r="P140" s="1" t="s">
        <v>61</v>
      </c>
      <c r="Q140" s="1" t="s">
        <v>61</v>
      </c>
      <c r="R140" s="1">
        <f t="shared" si="1"/>
        <v>0.04762958251</v>
      </c>
      <c r="S140" s="1">
        <f t="shared" si="2"/>
        <v>-113</v>
      </c>
      <c r="T140" s="1">
        <f t="shared" si="3"/>
        <v>1.884955752</v>
      </c>
      <c r="U140" s="1">
        <f t="shared" si="4"/>
        <v>0</v>
      </c>
      <c r="V140" s="3">
        <f t="shared" si="5"/>
        <v>1</v>
      </c>
      <c r="W140" s="3">
        <f t="shared" si="6"/>
        <v>2</v>
      </c>
      <c r="X140" s="3" t="str">
        <f>IFERROR(__xludf.DUMMYFUNCTION("split(B140,"" "")"),"D.")</f>
        <v>D.</v>
      </c>
      <c r="Y140" s="3" t="str">
        <f>IFERROR(__xludf.DUMMYFUNCTION("""COMPUTED_VALUE"""),"Achane")</f>
        <v>Achane</v>
      </c>
      <c r="AA140" s="3">
        <v>15.0</v>
      </c>
      <c r="AB140" s="3">
        <f t="shared" si="7"/>
        <v>0</v>
      </c>
      <c r="AC140" s="3">
        <f t="shared" si="8"/>
        <v>1</v>
      </c>
      <c r="AD140" s="3">
        <f t="shared" si="9"/>
        <v>0.8849557522</v>
      </c>
      <c r="AE140" s="3">
        <f t="shared" si="10"/>
        <v>0.8849557522</v>
      </c>
      <c r="AF140" s="3">
        <f t="shared" si="11"/>
        <v>1.769911504</v>
      </c>
      <c r="AG140" s="3">
        <f t="shared" si="12"/>
        <v>0.76</v>
      </c>
    </row>
    <row r="141">
      <c r="A141" s="1" t="s">
        <v>13</v>
      </c>
      <c r="B141" s="1" t="s">
        <v>569</v>
      </c>
      <c r="C141" s="1" t="s">
        <v>21</v>
      </c>
      <c r="D141" s="1" t="s">
        <v>94</v>
      </c>
      <c r="E141" s="1" t="s">
        <v>100</v>
      </c>
      <c r="F141" s="1" t="s">
        <v>562</v>
      </c>
      <c r="G141" s="1">
        <v>166.5</v>
      </c>
      <c r="H141" s="1" t="s">
        <v>60</v>
      </c>
      <c r="I141" s="1">
        <v>-116.0</v>
      </c>
      <c r="J141" s="1">
        <v>0.0389356503981476</v>
      </c>
      <c r="K141" s="1" t="s">
        <v>61</v>
      </c>
      <c r="L141" s="1" t="s">
        <v>61</v>
      </c>
      <c r="M141" s="1" t="s">
        <v>62</v>
      </c>
      <c r="N141" s="1">
        <v>-112.0</v>
      </c>
      <c r="O141" s="1">
        <v>-0.104284832756226</v>
      </c>
      <c r="P141" s="1" t="s">
        <v>61</v>
      </c>
      <c r="Q141" s="1" t="s">
        <v>61</v>
      </c>
      <c r="R141" s="1">
        <f t="shared" si="1"/>
        <v>0.0389356504</v>
      </c>
      <c r="S141" s="1">
        <f t="shared" si="2"/>
        <v>-116</v>
      </c>
      <c r="T141" s="1">
        <f t="shared" si="3"/>
        <v>1.862068966</v>
      </c>
      <c r="U141" s="1">
        <f t="shared" si="4"/>
        <v>1</v>
      </c>
      <c r="V141" s="3">
        <f t="shared" si="5"/>
        <v>1</v>
      </c>
      <c r="W141" s="3">
        <f t="shared" si="6"/>
        <v>2</v>
      </c>
      <c r="X141" s="3" t="str">
        <f>IFERROR(__xludf.DUMMYFUNCTION("split(B141,"" "")"),"T.")</f>
        <v>T.</v>
      </c>
      <c r="Y141" s="3" t="str">
        <f>IFERROR(__xludf.DUMMYFUNCTION("""COMPUTED_VALUE"""),"Huntley")</f>
        <v>Huntley</v>
      </c>
      <c r="AA141" s="3">
        <v>96.0</v>
      </c>
      <c r="AB141" s="3">
        <f t="shared" si="7"/>
        <v>0</v>
      </c>
      <c r="AC141" s="3">
        <f t="shared" si="8"/>
        <v>0</v>
      </c>
      <c r="AD141" s="3">
        <f t="shared" si="9"/>
        <v>0.8620689655</v>
      </c>
      <c r="AE141" s="3">
        <f t="shared" si="10"/>
        <v>-1</v>
      </c>
      <c r="AF141" s="3">
        <f t="shared" si="11"/>
        <v>-2</v>
      </c>
      <c r="AG141" s="3">
        <f t="shared" si="12"/>
        <v>-0.4234234234</v>
      </c>
    </row>
    <row r="142">
      <c r="A142" s="1" t="s">
        <v>10</v>
      </c>
      <c r="B142" s="1" t="s">
        <v>569</v>
      </c>
      <c r="C142" s="1" t="s">
        <v>21</v>
      </c>
      <c r="D142" s="1" t="s">
        <v>94</v>
      </c>
      <c r="E142" s="1" t="s">
        <v>100</v>
      </c>
      <c r="F142" s="1" t="s">
        <v>562</v>
      </c>
      <c r="G142" s="1">
        <v>33.5</v>
      </c>
      <c r="H142" s="1" t="s">
        <v>60</v>
      </c>
      <c r="I142" s="1">
        <v>-109.0</v>
      </c>
      <c r="J142" s="1">
        <v>-0.0934420776115056</v>
      </c>
      <c r="K142" s="1" t="s">
        <v>61</v>
      </c>
      <c r="L142" s="1" t="s">
        <v>61</v>
      </c>
      <c r="M142" s="1" t="s">
        <v>62</v>
      </c>
      <c r="N142" s="1">
        <v>-120.0</v>
      </c>
      <c r="O142" s="1">
        <v>0.0264579684771165</v>
      </c>
      <c r="P142" s="1" t="s">
        <v>61</v>
      </c>
      <c r="Q142" s="1" t="s">
        <v>61</v>
      </c>
      <c r="R142" s="1">
        <f t="shared" si="1"/>
        <v>0.02645796848</v>
      </c>
      <c r="S142" s="1">
        <f t="shared" si="2"/>
        <v>-120</v>
      </c>
      <c r="T142" s="1">
        <f t="shared" si="3"/>
        <v>1.833333333</v>
      </c>
      <c r="U142" s="1">
        <f t="shared" si="4"/>
        <v>0</v>
      </c>
      <c r="V142" s="3">
        <f t="shared" si="5"/>
        <v>1</v>
      </c>
      <c r="W142" s="3">
        <f t="shared" si="6"/>
        <v>3</v>
      </c>
      <c r="X142" s="3" t="str">
        <f>IFERROR(__xludf.DUMMYFUNCTION("split(B142,"" "")"),"T.")</f>
        <v>T.</v>
      </c>
      <c r="Y142" s="3" t="str">
        <f>IFERROR(__xludf.DUMMYFUNCTION("""COMPUTED_VALUE"""),"Huntley")</f>
        <v>Huntley</v>
      </c>
      <c r="AA142" s="3">
        <v>40.0</v>
      </c>
      <c r="AB142" s="3">
        <f t="shared" si="7"/>
        <v>1</v>
      </c>
      <c r="AC142" s="3">
        <f t="shared" si="8"/>
        <v>0</v>
      </c>
      <c r="AD142" s="3">
        <f t="shared" si="9"/>
        <v>0.8333333333</v>
      </c>
      <c r="AE142" s="3">
        <f t="shared" si="10"/>
        <v>-1</v>
      </c>
      <c r="AF142" s="3">
        <f t="shared" si="11"/>
        <v>-3</v>
      </c>
      <c r="AG142" s="3">
        <f t="shared" si="12"/>
        <v>-0.1940298507</v>
      </c>
    </row>
    <row r="143">
      <c r="A143" s="1" t="s">
        <v>9</v>
      </c>
      <c r="B143" s="1" t="s">
        <v>475</v>
      </c>
      <c r="C143" s="1" t="s">
        <v>18</v>
      </c>
      <c r="D143" s="1" t="s">
        <v>94</v>
      </c>
      <c r="E143" s="1" t="s">
        <v>100</v>
      </c>
      <c r="F143" s="1" t="s">
        <v>562</v>
      </c>
      <c r="G143" s="1">
        <v>38.5</v>
      </c>
      <c r="H143" s="1" t="s">
        <v>60</v>
      </c>
      <c r="I143" s="1">
        <v>-117.0</v>
      </c>
      <c r="J143" s="1">
        <v>0.0252237255481243</v>
      </c>
      <c r="K143" s="1" t="s">
        <v>61</v>
      </c>
      <c r="L143" s="1" t="s">
        <v>61</v>
      </c>
      <c r="M143" s="1" t="s">
        <v>62</v>
      </c>
      <c r="N143" s="1">
        <v>-115.0</v>
      </c>
      <c r="O143" s="1">
        <v>-0.0992609567931835</v>
      </c>
      <c r="P143" s="1" t="s">
        <v>61</v>
      </c>
      <c r="Q143" s="1" t="s">
        <v>61</v>
      </c>
      <c r="R143" s="1">
        <f t="shared" si="1"/>
        <v>0.02522372555</v>
      </c>
      <c r="S143" s="1">
        <f t="shared" si="2"/>
        <v>-117</v>
      </c>
      <c r="T143" s="1">
        <f t="shared" si="3"/>
        <v>1.854700855</v>
      </c>
      <c r="U143" s="1">
        <f t="shared" si="4"/>
        <v>1</v>
      </c>
      <c r="V143" s="3">
        <f t="shared" si="5"/>
        <v>1</v>
      </c>
      <c r="W143" s="3">
        <f t="shared" si="6"/>
        <v>2</v>
      </c>
      <c r="X143" s="3" t="str">
        <f>IFERROR(__xludf.DUMMYFUNCTION("split(B143,"" "")"),"J.")</f>
        <v>J.</v>
      </c>
      <c r="Y143" s="3" t="str">
        <f>IFERROR(__xludf.DUMMYFUNCTION("""COMPUTED_VALUE"""),"Waddle")</f>
        <v>Waddle</v>
      </c>
      <c r="AA143" s="3">
        <v>36.0</v>
      </c>
      <c r="AB143" s="3">
        <f t="shared" si="7"/>
        <v>0</v>
      </c>
      <c r="AC143" s="3">
        <f t="shared" si="8"/>
        <v>0</v>
      </c>
      <c r="AD143" s="3">
        <f t="shared" si="9"/>
        <v>0.8547008547</v>
      </c>
      <c r="AE143" s="3">
        <f t="shared" si="10"/>
        <v>-1</v>
      </c>
      <c r="AF143" s="3">
        <f t="shared" si="11"/>
        <v>-2</v>
      </c>
      <c r="AG143" s="3">
        <f t="shared" si="12"/>
        <v>-0.06493506494</v>
      </c>
    </row>
    <row r="144">
      <c r="A144" s="1" t="s">
        <v>17</v>
      </c>
      <c r="B144" s="1" t="s">
        <v>569</v>
      </c>
      <c r="C144" s="1" t="s">
        <v>21</v>
      </c>
      <c r="D144" s="1" t="s">
        <v>94</v>
      </c>
      <c r="E144" s="1" t="s">
        <v>100</v>
      </c>
      <c r="F144" s="1" t="s">
        <v>562</v>
      </c>
      <c r="G144" s="1">
        <v>0.5</v>
      </c>
      <c r="H144" s="1" t="s">
        <v>60</v>
      </c>
      <c r="I144" s="1">
        <v>-111.0</v>
      </c>
      <c r="J144" s="1">
        <v>-0.0785189573459716</v>
      </c>
      <c r="K144" s="1" t="s">
        <v>61</v>
      </c>
      <c r="L144" s="1" t="s">
        <v>61</v>
      </c>
      <c r="M144" s="1" t="s">
        <v>62</v>
      </c>
      <c r="N144" s="1">
        <v>-118.0</v>
      </c>
      <c r="O144" s="1">
        <v>0.0111614678899082</v>
      </c>
      <c r="P144" s="1" t="s">
        <v>61</v>
      </c>
      <c r="Q144" s="1" t="s">
        <v>61</v>
      </c>
      <c r="R144" s="1">
        <f t="shared" si="1"/>
        <v>0.01116146789</v>
      </c>
      <c r="S144" s="1">
        <f t="shared" si="2"/>
        <v>-118</v>
      </c>
      <c r="T144" s="1">
        <f t="shared" si="3"/>
        <v>1.847457627</v>
      </c>
      <c r="U144" s="1">
        <f t="shared" si="4"/>
        <v>0</v>
      </c>
      <c r="V144" s="3">
        <f t="shared" si="5"/>
        <v>1</v>
      </c>
      <c r="W144" s="3">
        <f t="shared" si="6"/>
        <v>3</v>
      </c>
      <c r="X144" s="3" t="str">
        <f>IFERROR(__xludf.DUMMYFUNCTION("split(B144,"" "")"),"T.")</f>
        <v>T.</v>
      </c>
      <c r="Y144" s="3" t="str">
        <f>IFERROR(__xludf.DUMMYFUNCTION("""COMPUTED_VALUE"""),"Huntley")</f>
        <v>Huntley</v>
      </c>
      <c r="AA144" s="3">
        <v>0.0</v>
      </c>
      <c r="AB144" s="3">
        <f t="shared" si="7"/>
        <v>0</v>
      </c>
      <c r="AC144" s="3">
        <f t="shared" si="8"/>
        <v>1</v>
      </c>
      <c r="AD144" s="3">
        <f t="shared" si="9"/>
        <v>0.8474576271</v>
      </c>
      <c r="AE144" s="3">
        <f t="shared" si="10"/>
        <v>0.8474576271</v>
      </c>
      <c r="AF144" s="3">
        <f t="shared" si="11"/>
        <v>2.542372881</v>
      </c>
      <c r="AG144" s="3">
        <f t="shared" si="12"/>
        <v>1</v>
      </c>
    </row>
    <row r="145">
      <c r="A145" s="1" t="s">
        <v>15</v>
      </c>
      <c r="B145" s="1" t="s">
        <v>569</v>
      </c>
      <c r="C145" s="1" t="s">
        <v>21</v>
      </c>
      <c r="D145" s="1" t="s">
        <v>94</v>
      </c>
      <c r="E145" s="1" t="s">
        <v>100</v>
      </c>
      <c r="F145" s="1" t="s">
        <v>562</v>
      </c>
      <c r="G145" s="1">
        <v>16.5</v>
      </c>
      <c r="H145" s="1" t="s">
        <v>60</v>
      </c>
      <c r="I145" s="1">
        <v>-112.0</v>
      </c>
      <c r="J145" s="1">
        <v>-0.0700385995990567</v>
      </c>
      <c r="K145" s="1" t="s">
        <v>61</v>
      </c>
      <c r="L145" s="1" t="s">
        <v>61</v>
      </c>
      <c r="M145" s="1" t="s">
        <v>62</v>
      </c>
      <c r="N145" s="1">
        <v>-118.0</v>
      </c>
      <c r="O145" s="1">
        <v>4.72477411467942E-4</v>
      </c>
      <c r="P145" s="1" t="s">
        <v>61</v>
      </c>
      <c r="Q145" s="1" t="s">
        <v>61</v>
      </c>
      <c r="R145" s="1">
        <f t="shared" si="1"/>
        <v>0.0004724774115</v>
      </c>
      <c r="S145" s="1">
        <f t="shared" si="2"/>
        <v>-118</v>
      </c>
      <c r="T145" s="1">
        <f t="shared" si="3"/>
        <v>1.847457627</v>
      </c>
      <c r="U145" s="1">
        <f t="shared" si="4"/>
        <v>0</v>
      </c>
      <c r="V145" s="3">
        <f t="shared" si="5"/>
        <v>1</v>
      </c>
      <c r="W145" s="3">
        <f t="shared" si="6"/>
        <v>3</v>
      </c>
      <c r="X145" s="3" t="str">
        <f>IFERROR(__xludf.DUMMYFUNCTION("split(B145,"" "")"),"T.")</f>
        <v>T.</v>
      </c>
      <c r="Y145" s="3" t="str">
        <f>IFERROR(__xludf.DUMMYFUNCTION("""COMPUTED_VALUE"""),"Huntley")</f>
        <v>Huntley</v>
      </c>
      <c r="AA145" s="3">
        <v>14.0</v>
      </c>
      <c r="AB145" s="3">
        <f t="shared" si="7"/>
        <v>0</v>
      </c>
      <c r="AC145" s="3">
        <f t="shared" si="8"/>
        <v>1</v>
      </c>
      <c r="AD145" s="3">
        <f t="shared" si="9"/>
        <v>0.8474576271</v>
      </c>
      <c r="AE145" s="3">
        <f t="shared" si="10"/>
        <v>0.8474576271</v>
      </c>
      <c r="AF145" s="3">
        <f t="shared" si="11"/>
        <v>2.542372881</v>
      </c>
      <c r="AG145" s="3">
        <f t="shared" si="12"/>
        <v>0.1515151515</v>
      </c>
    </row>
    <row r="146">
      <c r="A146" s="1" t="s">
        <v>12</v>
      </c>
      <c r="B146" s="1" t="s">
        <v>475</v>
      </c>
      <c r="C146" s="1" t="s">
        <v>18</v>
      </c>
      <c r="D146" s="1" t="s">
        <v>94</v>
      </c>
      <c r="E146" s="1" t="s">
        <v>100</v>
      </c>
      <c r="F146" s="1" t="s">
        <v>562</v>
      </c>
      <c r="G146" s="1">
        <v>3.5</v>
      </c>
      <c r="H146" s="1" t="s">
        <v>60</v>
      </c>
      <c r="I146" s="1">
        <v>-102.0</v>
      </c>
      <c r="J146" s="1">
        <v>-0.0664009900990098</v>
      </c>
      <c r="K146" s="1" t="s">
        <v>61</v>
      </c>
      <c r="L146" s="1" t="s">
        <v>61</v>
      </c>
      <c r="M146" s="1" t="s">
        <v>62</v>
      </c>
      <c r="N146" s="1">
        <v>-128.0</v>
      </c>
      <c r="O146" s="1">
        <v>4.03508771931182E-5</v>
      </c>
      <c r="P146" s="1" t="s">
        <v>61</v>
      </c>
      <c r="Q146" s="1" t="s">
        <v>61</v>
      </c>
      <c r="R146" s="1">
        <f t="shared" si="1"/>
        <v>0.00004035087719</v>
      </c>
      <c r="S146" s="1">
        <f t="shared" si="2"/>
        <v>-128</v>
      </c>
      <c r="T146" s="1">
        <f t="shared" si="3"/>
        <v>1.78125</v>
      </c>
      <c r="U146" s="1">
        <f t="shared" si="4"/>
        <v>0</v>
      </c>
      <c r="V146" s="3">
        <f t="shared" si="5"/>
        <v>1</v>
      </c>
      <c r="W146" s="3">
        <f t="shared" si="6"/>
        <v>3</v>
      </c>
      <c r="X146" s="3" t="str">
        <f>IFERROR(__xludf.DUMMYFUNCTION("split(B146,"" "")"),"J.")</f>
        <v>J.</v>
      </c>
      <c r="Y146" s="3" t="str">
        <f>IFERROR(__xludf.DUMMYFUNCTION("""COMPUTED_VALUE"""),"Waddle")</f>
        <v>Waddle</v>
      </c>
      <c r="AA146" s="3">
        <v>4.0</v>
      </c>
      <c r="AB146" s="3">
        <f t="shared" si="7"/>
        <v>1</v>
      </c>
      <c r="AC146" s="3">
        <f t="shared" si="8"/>
        <v>0</v>
      </c>
      <c r="AD146" s="3">
        <f t="shared" si="9"/>
        <v>0.78125</v>
      </c>
      <c r="AE146" s="3">
        <f t="shared" si="10"/>
        <v>-1</v>
      </c>
      <c r="AF146" s="3">
        <f t="shared" si="11"/>
        <v>-3</v>
      </c>
      <c r="AG146" s="3">
        <f t="shared" si="12"/>
        <v>-0.1428571429</v>
      </c>
    </row>
    <row r="147">
      <c r="A147" s="1" t="s">
        <v>10</v>
      </c>
      <c r="B147" s="1" t="s">
        <v>486</v>
      </c>
      <c r="C147" s="1" t="s">
        <v>18</v>
      </c>
      <c r="D147" s="1" t="s">
        <v>134</v>
      </c>
      <c r="E147" s="1" t="s">
        <v>89</v>
      </c>
      <c r="F147" s="1" t="s">
        <v>570</v>
      </c>
      <c r="G147" s="1">
        <v>0.5</v>
      </c>
      <c r="H147" s="1" t="s">
        <v>60</v>
      </c>
      <c r="I147" s="1">
        <v>260.0</v>
      </c>
      <c r="J147" s="1">
        <v>0.373828324148215</v>
      </c>
      <c r="K147" s="1" t="s">
        <v>61</v>
      </c>
      <c r="L147" s="1" t="s">
        <v>61</v>
      </c>
      <c r="M147" s="1" t="s">
        <v>62</v>
      </c>
      <c r="N147" s="1">
        <v>-377.0</v>
      </c>
      <c r="O147" s="1">
        <v>-0.441981939634509</v>
      </c>
      <c r="P147" s="1" t="s">
        <v>61</v>
      </c>
      <c r="Q147" s="1" t="s">
        <v>61</v>
      </c>
      <c r="R147" s="1">
        <f t="shared" si="1"/>
        <v>0.3738283241</v>
      </c>
      <c r="S147" s="1">
        <f t="shared" si="2"/>
        <v>260</v>
      </c>
      <c r="T147" s="1">
        <f t="shared" si="3"/>
        <v>3.6</v>
      </c>
      <c r="U147" s="1">
        <f t="shared" si="4"/>
        <v>1</v>
      </c>
      <c r="V147" s="3">
        <f t="shared" si="5"/>
        <v>3</v>
      </c>
      <c r="W147" s="3">
        <f t="shared" si="6"/>
        <v>1</v>
      </c>
      <c r="X147" s="3" t="str">
        <f>IFERROR(__xludf.DUMMYFUNCTION("split(B147,"" "")"),"T.")</f>
        <v>T.</v>
      </c>
      <c r="Y147" s="3" t="str">
        <f>IFERROR(__xludf.DUMMYFUNCTION("""COMPUTED_VALUE"""),"Tucker")</f>
        <v>Tucker</v>
      </c>
      <c r="AA147" s="3">
        <v>3.0</v>
      </c>
      <c r="AB147" s="3">
        <f t="shared" si="7"/>
        <v>1</v>
      </c>
      <c r="AC147" s="3">
        <f t="shared" si="8"/>
        <v>1</v>
      </c>
      <c r="AD147" s="3">
        <f t="shared" si="9"/>
        <v>7.8</v>
      </c>
      <c r="AE147" s="3">
        <f t="shared" si="10"/>
        <v>7.8</v>
      </c>
      <c r="AF147" s="3">
        <f t="shared" si="11"/>
        <v>2.6</v>
      </c>
      <c r="AG147" s="3">
        <f t="shared" si="12"/>
        <v>5</v>
      </c>
    </row>
    <row r="148">
      <c r="A148" s="1" t="s">
        <v>12</v>
      </c>
      <c r="B148" s="1" t="s">
        <v>494</v>
      </c>
      <c r="C148" s="1" t="s">
        <v>20</v>
      </c>
      <c r="D148" s="1" t="s">
        <v>134</v>
      </c>
      <c r="E148" s="1" t="s">
        <v>89</v>
      </c>
      <c r="F148" s="1" t="s">
        <v>570</v>
      </c>
      <c r="G148" s="1">
        <v>3.5</v>
      </c>
      <c r="H148" s="1" t="s">
        <v>60</v>
      </c>
      <c r="I148" s="1">
        <v>-172.0</v>
      </c>
      <c r="J148" s="1">
        <v>-0.238189705882352</v>
      </c>
      <c r="K148" s="1" t="s">
        <v>61</v>
      </c>
      <c r="L148" s="1" t="s">
        <v>61</v>
      </c>
      <c r="M148" s="1" t="s">
        <v>62</v>
      </c>
      <c r="N148" s="1">
        <v>131.0</v>
      </c>
      <c r="O148" s="1">
        <v>0.172942857142857</v>
      </c>
      <c r="P148" s="1" t="s">
        <v>61</v>
      </c>
      <c r="Q148" s="1" t="s">
        <v>61</v>
      </c>
      <c r="R148" s="1">
        <f t="shared" si="1"/>
        <v>0.1729428571</v>
      </c>
      <c r="S148" s="1">
        <f t="shared" si="2"/>
        <v>131</v>
      </c>
      <c r="T148" s="1">
        <f t="shared" si="3"/>
        <v>2.31</v>
      </c>
      <c r="U148" s="1">
        <f t="shared" si="4"/>
        <v>0</v>
      </c>
      <c r="V148" s="3">
        <f t="shared" si="5"/>
        <v>3</v>
      </c>
      <c r="W148" s="3">
        <f t="shared" si="6"/>
        <v>1</v>
      </c>
      <c r="X148" s="3" t="str">
        <f>IFERROR(__xludf.DUMMYFUNCTION("split(B148,"" "")"),"B.")</f>
        <v>B.</v>
      </c>
      <c r="Y148" s="3" t="str">
        <f>IFERROR(__xludf.DUMMYFUNCTION("""COMPUTED_VALUE"""),"Bowers")</f>
        <v>Bowers</v>
      </c>
      <c r="AA148" s="3">
        <v>2.0</v>
      </c>
      <c r="AB148" s="3">
        <f t="shared" si="7"/>
        <v>0</v>
      </c>
      <c r="AC148" s="3">
        <f t="shared" si="8"/>
        <v>1</v>
      </c>
      <c r="AD148" s="3">
        <f t="shared" si="9"/>
        <v>3.93</v>
      </c>
      <c r="AE148" s="3">
        <f t="shared" si="10"/>
        <v>3.93</v>
      </c>
      <c r="AF148" s="3">
        <f t="shared" si="11"/>
        <v>1.31</v>
      </c>
      <c r="AG148" s="3">
        <f t="shared" si="12"/>
        <v>0.4285714286</v>
      </c>
    </row>
    <row r="149">
      <c r="A149" s="1" t="s">
        <v>12</v>
      </c>
      <c r="B149" s="1" t="s">
        <v>486</v>
      </c>
      <c r="C149" s="1" t="s">
        <v>18</v>
      </c>
      <c r="D149" s="1" t="s">
        <v>134</v>
      </c>
      <c r="E149" s="1" t="s">
        <v>89</v>
      </c>
      <c r="F149" s="1" t="s">
        <v>570</v>
      </c>
      <c r="G149" s="1">
        <v>2.5</v>
      </c>
      <c r="H149" s="1" t="s">
        <v>60</v>
      </c>
      <c r="I149" s="1">
        <v>108.0</v>
      </c>
      <c r="J149" s="1">
        <v>-0.212221366734615</v>
      </c>
      <c r="K149" s="1" t="s">
        <v>61</v>
      </c>
      <c r="L149" s="1" t="s">
        <v>61</v>
      </c>
      <c r="M149" s="1" t="s">
        <v>62</v>
      </c>
      <c r="N149" s="1">
        <v>-142.0</v>
      </c>
      <c r="O149" s="1">
        <v>0.144695067641322</v>
      </c>
      <c r="P149" s="1" t="s">
        <v>61</v>
      </c>
      <c r="Q149" s="1" t="s">
        <v>61</v>
      </c>
      <c r="R149" s="1">
        <f t="shared" si="1"/>
        <v>0.1446950676</v>
      </c>
      <c r="S149" s="1">
        <f t="shared" si="2"/>
        <v>-142</v>
      </c>
      <c r="T149" s="1">
        <f t="shared" si="3"/>
        <v>1.704225352</v>
      </c>
      <c r="U149" s="1">
        <f t="shared" si="4"/>
        <v>0</v>
      </c>
      <c r="V149" s="3">
        <f t="shared" si="5"/>
        <v>3</v>
      </c>
      <c r="W149" s="3">
        <f t="shared" si="6"/>
        <v>3</v>
      </c>
      <c r="X149" s="3" t="str">
        <f>IFERROR(__xludf.DUMMYFUNCTION("split(B149,"" "")"),"T.")</f>
        <v>T.</v>
      </c>
      <c r="Y149" s="3" t="str">
        <f>IFERROR(__xludf.DUMMYFUNCTION("""COMPUTED_VALUE"""),"Tucker")</f>
        <v>Tucker</v>
      </c>
      <c r="AA149" s="3">
        <v>5.0</v>
      </c>
      <c r="AB149" s="3">
        <f t="shared" si="7"/>
        <v>1</v>
      </c>
      <c r="AC149" s="3">
        <f t="shared" si="8"/>
        <v>0</v>
      </c>
      <c r="AD149" s="3">
        <f t="shared" si="9"/>
        <v>2.112676056</v>
      </c>
      <c r="AE149" s="3">
        <f t="shared" si="10"/>
        <v>-3</v>
      </c>
      <c r="AF149" s="3">
        <f t="shared" si="11"/>
        <v>-3</v>
      </c>
      <c r="AG149" s="3">
        <f t="shared" si="12"/>
        <v>-1</v>
      </c>
    </row>
    <row r="150">
      <c r="A150" s="1" t="s">
        <v>12</v>
      </c>
      <c r="B150" s="1" t="s">
        <v>133</v>
      </c>
      <c r="C150" s="1" t="s">
        <v>19</v>
      </c>
      <c r="D150" s="1" t="s">
        <v>134</v>
      </c>
      <c r="E150" s="1" t="s">
        <v>89</v>
      </c>
      <c r="F150" s="1" t="s">
        <v>570</v>
      </c>
      <c r="G150" s="1">
        <v>1.5</v>
      </c>
      <c r="H150" s="1" t="s">
        <v>60</v>
      </c>
      <c r="I150" s="1">
        <v>-107.0</v>
      </c>
      <c r="J150" s="1">
        <v>-0.178001327821256</v>
      </c>
      <c r="K150" s="1" t="s">
        <v>61</v>
      </c>
      <c r="L150" s="1" t="s">
        <v>61</v>
      </c>
      <c r="M150" s="1" t="s">
        <v>62</v>
      </c>
      <c r="N150" s="1">
        <v>-123.0</v>
      </c>
      <c r="O150" s="1">
        <v>0.109522632630358</v>
      </c>
      <c r="P150" s="1" t="s">
        <v>61</v>
      </c>
      <c r="Q150" s="1" t="s">
        <v>61</v>
      </c>
      <c r="R150" s="1">
        <f t="shared" si="1"/>
        <v>0.1095226326</v>
      </c>
      <c r="S150" s="1">
        <f t="shared" si="2"/>
        <v>-123</v>
      </c>
      <c r="T150" s="1">
        <f t="shared" si="3"/>
        <v>1.81300813</v>
      </c>
      <c r="U150" s="1">
        <f t="shared" si="4"/>
        <v>0</v>
      </c>
      <c r="V150" s="3">
        <f t="shared" si="5"/>
        <v>3</v>
      </c>
      <c r="W150" s="3">
        <f t="shared" si="6"/>
        <v>3</v>
      </c>
      <c r="X150" s="3" t="str">
        <f>IFERROR(__xludf.DUMMYFUNCTION("split(B150,"" "")"),"Z.")</f>
        <v>Z.</v>
      </c>
      <c r="Y150" s="3" t="str">
        <f>IFERROR(__xludf.DUMMYFUNCTION("""COMPUTED_VALUE"""),"White")</f>
        <v>White</v>
      </c>
      <c r="AA150" s="3">
        <v>0.0</v>
      </c>
      <c r="AB150" s="3">
        <f t="shared" si="7"/>
        <v>0</v>
      </c>
      <c r="AC150" s="3">
        <f t="shared" si="8"/>
        <v>1</v>
      </c>
      <c r="AD150" s="3">
        <f t="shared" si="9"/>
        <v>2.43902439</v>
      </c>
      <c r="AE150" s="3">
        <f t="shared" si="10"/>
        <v>2.43902439</v>
      </c>
      <c r="AF150" s="3">
        <f t="shared" si="11"/>
        <v>2.43902439</v>
      </c>
      <c r="AG150" s="3">
        <f t="shared" si="12"/>
        <v>1</v>
      </c>
    </row>
    <row r="151">
      <c r="A151" s="1" t="s">
        <v>16</v>
      </c>
      <c r="B151" s="1" t="s">
        <v>474</v>
      </c>
      <c r="C151" s="1" t="s">
        <v>21</v>
      </c>
      <c r="D151" s="1" t="s">
        <v>134</v>
      </c>
      <c r="E151" s="1" t="s">
        <v>89</v>
      </c>
      <c r="F151" s="1" t="s">
        <v>570</v>
      </c>
      <c r="G151" s="1">
        <v>31.5</v>
      </c>
      <c r="H151" s="1" t="s">
        <v>60</v>
      </c>
      <c r="I151" s="1">
        <v>-120.0</v>
      </c>
      <c r="J151" s="1">
        <v>-0.130505609590909</v>
      </c>
      <c r="K151" s="1" t="s">
        <v>61</v>
      </c>
      <c r="L151" s="1" t="s">
        <v>61</v>
      </c>
      <c r="M151" s="1" t="s">
        <v>62</v>
      </c>
      <c r="N151" s="1">
        <v>-109.0</v>
      </c>
      <c r="O151" s="1">
        <v>0.0635127520569378</v>
      </c>
      <c r="P151" s="1" t="s">
        <v>61</v>
      </c>
      <c r="Q151" s="1" t="s">
        <v>61</v>
      </c>
      <c r="R151" s="1">
        <f t="shared" si="1"/>
        <v>0.06351275206</v>
      </c>
      <c r="S151" s="1">
        <f t="shared" si="2"/>
        <v>-109</v>
      </c>
      <c r="T151" s="1">
        <f t="shared" si="3"/>
        <v>1.917431193</v>
      </c>
      <c r="U151" s="1">
        <f t="shared" si="4"/>
        <v>0</v>
      </c>
      <c r="V151" s="3">
        <f t="shared" si="5"/>
        <v>2</v>
      </c>
      <c r="W151" s="3">
        <f t="shared" si="6"/>
        <v>2</v>
      </c>
      <c r="X151" s="3" t="str">
        <f>IFERROR(__xludf.DUMMYFUNCTION("split(B151,"" "")"),"G.")</f>
        <v>G.</v>
      </c>
      <c r="Y151" s="3" t="str">
        <f>IFERROR(__xludf.DUMMYFUNCTION("""COMPUTED_VALUE"""),"Minshew")</f>
        <v>Minshew</v>
      </c>
      <c r="AA151" s="3">
        <v>24.0</v>
      </c>
      <c r="AB151" s="3">
        <f t="shared" si="7"/>
        <v>0</v>
      </c>
      <c r="AC151" s="3">
        <f t="shared" si="8"/>
        <v>1</v>
      </c>
      <c r="AD151" s="3">
        <f t="shared" si="9"/>
        <v>1.834862385</v>
      </c>
      <c r="AE151" s="3">
        <f t="shared" si="10"/>
        <v>1.834862385</v>
      </c>
      <c r="AF151" s="3">
        <f t="shared" si="11"/>
        <v>1.834862385</v>
      </c>
      <c r="AG151" s="3">
        <f t="shared" si="12"/>
        <v>0.2380952381</v>
      </c>
    </row>
    <row r="152">
      <c r="A152" s="1" t="s">
        <v>8</v>
      </c>
      <c r="B152" s="1" t="s">
        <v>133</v>
      </c>
      <c r="C152" s="1" t="s">
        <v>19</v>
      </c>
      <c r="D152" s="1" t="s">
        <v>134</v>
      </c>
      <c r="E152" s="1" t="s">
        <v>89</v>
      </c>
      <c r="F152" s="1" t="s">
        <v>570</v>
      </c>
      <c r="G152" s="1">
        <v>11.5</v>
      </c>
      <c r="H152" s="1" t="s">
        <v>60</v>
      </c>
      <c r="I152" s="1">
        <v>-139.0</v>
      </c>
      <c r="J152" s="1">
        <v>-0.118722131798075</v>
      </c>
      <c r="K152" s="1" t="s">
        <v>61</v>
      </c>
      <c r="L152" s="1" t="s">
        <v>61</v>
      </c>
      <c r="M152" s="1" t="s">
        <v>62</v>
      </c>
      <c r="N152" s="1">
        <v>104.0</v>
      </c>
      <c r="O152" s="1">
        <v>0.0469073014693137</v>
      </c>
      <c r="P152" s="1" t="s">
        <v>61</v>
      </c>
      <c r="Q152" s="1" t="s">
        <v>61</v>
      </c>
      <c r="R152" s="1">
        <f t="shared" si="1"/>
        <v>0.04690730147</v>
      </c>
      <c r="S152" s="1">
        <f t="shared" si="2"/>
        <v>104</v>
      </c>
      <c r="T152" s="1">
        <f t="shared" si="3"/>
        <v>2.04</v>
      </c>
      <c r="U152" s="1">
        <f t="shared" si="4"/>
        <v>0</v>
      </c>
      <c r="V152" s="3">
        <f t="shared" si="5"/>
        <v>1</v>
      </c>
      <c r="W152" s="3">
        <f t="shared" si="6"/>
        <v>2</v>
      </c>
      <c r="X152" s="3" t="str">
        <f>IFERROR(__xludf.DUMMYFUNCTION("split(B152,"" "")"),"Z.")</f>
        <v>Z.</v>
      </c>
      <c r="Y152" s="3" t="str">
        <f>IFERROR(__xludf.DUMMYFUNCTION("""COMPUTED_VALUE"""),"White")</f>
        <v>White</v>
      </c>
      <c r="AA152" s="3">
        <v>17.0</v>
      </c>
      <c r="AB152" s="3">
        <f t="shared" si="7"/>
        <v>1</v>
      </c>
      <c r="AC152" s="3">
        <f t="shared" si="8"/>
        <v>0</v>
      </c>
      <c r="AD152" s="3">
        <f t="shared" si="9"/>
        <v>1.04</v>
      </c>
      <c r="AE152" s="3">
        <f t="shared" si="10"/>
        <v>-1</v>
      </c>
      <c r="AF152" s="3">
        <f t="shared" si="11"/>
        <v>-2</v>
      </c>
      <c r="AG152" s="3">
        <f t="shared" si="12"/>
        <v>-0.4782608696</v>
      </c>
    </row>
    <row r="153">
      <c r="A153" s="1" t="s">
        <v>11</v>
      </c>
      <c r="B153" s="1" t="s">
        <v>494</v>
      </c>
      <c r="C153" s="1" t="s">
        <v>20</v>
      </c>
      <c r="D153" s="1" t="s">
        <v>134</v>
      </c>
      <c r="E153" s="1" t="s">
        <v>89</v>
      </c>
      <c r="F153" s="1" t="s">
        <v>570</v>
      </c>
      <c r="G153" s="1">
        <v>40.5</v>
      </c>
      <c r="H153" s="1" t="s">
        <v>60</v>
      </c>
      <c r="I153" s="1">
        <v>-112.0</v>
      </c>
      <c r="J153" s="1">
        <v>-0.112553862093962</v>
      </c>
      <c r="K153" s="1" t="s">
        <v>61</v>
      </c>
      <c r="L153" s="1" t="s">
        <v>61</v>
      </c>
      <c r="M153" s="1" t="s">
        <v>62</v>
      </c>
      <c r="N153" s="1">
        <v>-117.0</v>
      </c>
      <c r="O153" s="1">
        <v>0.045059620878131</v>
      </c>
      <c r="P153" s="1" t="s">
        <v>61</v>
      </c>
      <c r="Q153" s="1" t="s">
        <v>61</v>
      </c>
      <c r="R153" s="1">
        <f t="shared" si="1"/>
        <v>0.04505962088</v>
      </c>
      <c r="S153" s="1">
        <f t="shared" si="2"/>
        <v>-117</v>
      </c>
      <c r="T153" s="1">
        <f t="shared" si="3"/>
        <v>1.854700855</v>
      </c>
      <c r="U153" s="1">
        <f t="shared" si="4"/>
        <v>0</v>
      </c>
      <c r="V153" s="3">
        <f t="shared" si="5"/>
        <v>1</v>
      </c>
      <c r="W153" s="3">
        <f t="shared" si="6"/>
        <v>2</v>
      </c>
      <c r="X153" s="3" t="str">
        <f>IFERROR(__xludf.DUMMYFUNCTION("split(B153,"" "")"),"B.")</f>
        <v>B.</v>
      </c>
      <c r="Y153" s="3" t="str">
        <f>IFERROR(__xludf.DUMMYFUNCTION("""COMPUTED_VALUE"""),"Bowers")</f>
        <v>Bowers</v>
      </c>
      <c r="AA153" s="3">
        <v>19.0</v>
      </c>
      <c r="AB153" s="3">
        <f t="shared" si="7"/>
        <v>0</v>
      </c>
      <c r="AC153" s="3">
        <f t="shared" si="8"/>
        <v>1</v>
      </c>
      <c r="AD153" s="3">
        <f t="shared" si="9"/>
        <v>0.8547008547</v>
      </c>
      <c r="AE153" s="3">
        <f t="shared" si="10"/>
        <v>0.8547008547</v>
      </c>
      <c r="AF153" s="3">
        <f t="shared" si="11"/>
        <v>1.709401709</v>
      </c>
      <c r="AG153" s="3">
        <f t="shared" si="12"/>
        <v>0.5308641975</v>
      </c>
    </row>
    <row r="154">
      <c r="A154" s="1" t="s">
        <v>11</v>
      </c>
      <c r="B154" s="1" t="s">
        <v>486</v>
      </c>
      <c r="C154" s="1" t="s">
        <v>18</v>
      </c>
      <c r="D154" s="1" t="s">
        <v>134</v>
      </c>
      <c r="E154" s="1" t="s">
        <v>89</v>
      </c>
      <c r="F154" s="1" t="s">
        <v>570</v>
      </c>
      <c r="G154" s="1">
        <v>22.5</v>
      </c>
      <c r="H154" s="1" t="s">
        <v>60</v>
      </c>
      <c r="I154" s="1">
        <v>-115.0</v>
      </c>
      <c r="J154" s="1">
        <v>-0.106542362015246</v>
      </c>
      <c r="K154" s="1" t="s">
        <v>61</v>
      </c>
      <c r="L154" s="1" t="s">
        <v>61</v>
      </c>
      <c r="M154" s="1" t="s">
        <v>62</v>
      </c>
      <c r="N154" s="1">
        <v>-113.0</v>
      </c>
      <c r="O154" s="1">
        <v>0.041150454702367</v>
      </c>
      <c r="P154" s="1" t="s">
        <v>61</v>
      </c>
      <c r="Q154" s="1" t="s">
        <v>61</v>
      </c>
      <c r="R154" s="1">
        <f t="shared" si="1"/>
        <v>0.0411504547</v>
      </c>
      <c r="S154" s="1">
        <f t="shared" si="2"/>
        <v>-113</v>
      </c>
      <c r="T154" s="1">
        <f t="shared" si="3"/>
        <v>1.884955752</v>
      </c>
      <c r="U154" s="1">
        <f t="shared" si="4"/>
        <v>0</v>
      </c>
      <c r="V154" s="3">
        <f t="shared" si="5"/>
        <v>1</v>
      </c>
      <c r="W154" s="3">
        <f t="shared" si="6"/>
        <v>2</v>
      </c>
      <c r="X154" s="3" t="str">
        <f>IFERROR(__xludf.DUMMYFUNCTION("split(B154,"" "")"),"T.")</f>
        <v>T.</v>
      </c>
      <c r="Y154" s="3" t="str">
        <f>IFERROR(__xludf.DUMMYFUNCTION("""COMPUTED_VALUE"""),"Tucker")</f>
        <v>Tucker</v>
      </c>
      <c r="AA154" s="3">
        <v>41.0</v>
      </c>
      <c r="AB154" s="3">
        <f t="shared" si="7"/>
        <v>1</v>
      </c>
      <c r="AC154" s="3">
        <f t="shared" si="8"/>
        <v>0</v>
      </c>
      <c r="AD154" s="3">
        <f t="shared" si="9"/>
        <v>0.8849557522</v>
      </c>
      <c r="AE154" s="3">
        <f t="shared" si="10"/>
        <v>-1</v>
      </c>
      <c r="AF154" s="3">
        <f t="shared" si="11"/>
        <v>-2</v>
      </c>
      <c r="AG154" s="3">
        <f t="shared" si="12"/>
        <v>-0.8222222222</v>
      </c>
    </row>
    <row r="155">
      <c r="A155" s="1" t="s">
        <v>17</v>
      </c>
      <c r="B155" s="1" t="s">
        <v>474</v>
      </c>
      <c r="C155" s="1" t="s">
        <v>21</v>
      </c>
      <c r="D155" s="1" t="s">
        <v>134</v>
      </c>
      <c r="E155" s="1" t="s">
        <v>89</v>
      </c>
      <c r="F155" s="1" t="s">
        <v>570</v>
      </c>
      <c r="G155" s="1">
        <v>0.5</v>
      </c>
      <c r="H155" s="1" t="s">
        <v>60</v>
      </c>
      <c r="I155" s="1">
        <v>-120.0</v>
      </c>
      <c r="J155" s="1">
        <v>-0.10310909090909</v>
      </c>
      <c r="K155" s="1" t="s">
        <v>61</v>
      </c>
      <c r="L155" s="1" t="s">
        <v>61</v>
      </c>
      <c r="M155" s="1" t="s">
        <v>62</v>
      </c>
      <c r="N155" s="1">
        <v>-108.0</v>
      </c>
      <c r="O155" s="1">
        <v>0.0384173076923078</v>
      </c>
      <c r="P155" s="1" t="s">
        <v>61</v>
      </c>
      <c r="Q155" s="1" t="s">
        <v>61</v>
      </c>
      <c r="R155" s="1">
        <f t="shared" si="1"/>
        <v>0.03841730769</v>
      </c>
      <c r="S155" s="1">
        <f t="shared" si="2"/>
        <v>-108</v>
      </c>
      <c r="T155" s="1">
        <f t="shared" si="3"/>
        <v>1.925925926</v>
      </c>
      <c r="U155" s="1">
        <f t="shared" si="4"/>
        <v>0</v>
      </c>
      <c r="V155" s="3">
        <f t="shared" si="5"/>
        <v>1</v>
      </c>
      <c r="W155" s="3">
        <f t="shared" si="6"/>
        <v>2</v>
      </c>
      <c r="X155" s="3" t="str">
        <f>IFERROR(__xludf.DUMMYFUNCTION("split(B155,"" "")"),"G.")</f>
        <v>G.</v>
      </c>
      <c r="Y155" s="3" t="str">
        <f>IFERROR(__xludf.DUMMYFUNCTION("""COMPUTED_VALUE"""),"Minshew")</f>
        <v>Minshew</v>
      </c>
      <c r="AA155" s="3">
        <v>0.0</v>
      </c>
      <c r="AB155" s="3">
        <f t="shared" si="7"/>
        <v>0</v>
      </c>
      <c r="AC155" s="3">
        <f t="shared" si="8"/>
        <v>1</v>
      </c>
      <c r="AD155" s="3">
        <f t="shared" si="9"/>
        <v>0.9259259259</v>
      </c>
      <c r="AE155" s="3">
        <f t="shared" si="10"/>
        <v>0.9259259259</v>
      </c>
      <c r="AF155" s="3">
        <f t="shared" si="11"/>
        <v>1.851851852</v>
      </c>
      <c r="AG155" s="3">
        <f t="shared" si="12"/>
        <v>1</v>
      </c>
    </row>
    <row r="156">
      <c r="A156" s="1" t="s">
        <v>12</v>
      </c>
      <c r="B156" s="1" t="s">
        <v>278</v>
      </c>
      <c r="C156" s="1" t="s">
        <v>18</v>
      </c>
      <c r="D156" s="1" t="s">
        <v>134</v>
      </c>
      <c r="E156" s="1" t="s">
        <v>89</v>
      </c>
      <c r="F156" s="1" t="s">
        <v>570</v>
      </c>
      <c r="G156" s="1">
        <v>3.5</v>
      </c>
      <c r="H156" s="1" t="s">
        <v>60</v>
      </c>
      <c r="I156" s="1">
        <v>105.0</v>
      </c>
      <c r="J156" s="1">
        <v>-0.10470243902439</v>
      </c>
      <c r="K156" s="1" t="s">
        <v>61</v>
      </c>
      <c r="L156" s="1" t="s">
        <v>61</v>
      </c>
      <c r="M156" s="1" t="s">
        <v>62</v>
      </c>
      <c r="N156" s="1">
        <v>-138.0</v>
      </c>
      <c r="O156" s="1">
        <v>0.0370521008403361</v>
      </c>
      <c r="P156" s="1" t="s">
        <v>61</v>
      </c>
      <c r="Q156" s="1" t="s">
        <v>61</v>
      </c>
      <c r="R156" s="1">
        <f t="shared" si="1"/>
        <v>0.03705210084</v>
      </c>
      <c r="S156" s="1">
        <f t="shared" si="2"/>
        <v>-138</v>
      </c>
      <c r="T156" s="1">
        <f t="shared" si="3"/>
        <v>1.724637681</v>
      </c>
      <c r="U156" s="1">
        <f t="shared" si="4"/>
        <v>0</v>
      </c>
      <c r="V156" s="3">
        <f t="shared" si="5"/>
        <v>1</v>
      </c>
      <c r="W156" s="3">
        <f t="shared" si="6"/>
        <v>3</v>
      </c>
      <c r="X156" s="3" t="str">
        <f>IFERROR(__xludf.DUMMYFUNCTION("split(B156,"" "")"),"J.")</f>
        <v>J.</v>
      </c>
      <c r="Y156" s="3" t="str">
        <f>IFERROR(__xludf.DUMMYFUNCTION("""COMPUTED_VALUE"""),"Meyers")</f>
        <v>Meyers</v>
      </c>
      <c r="AA156" s="3">
        <v>5.0</v>
      </c>
      <c r="AB156" s="3">
        <f t="shared" si="7"/>
        <v>1</v>
      </c>
      <c r="AC156" s="3">
        <f t="shared" si="8"/>
        <v>0</v>
      </c>
      <c r="AD156" s="3">
        <f t="shared" si="9"/>
        <v>0.7246376812</v>
      </c>
      <c r="AE156" s="3">
        <f t="shared" si="10"/>
        <v>-1</v>
      </c>
      <c r="AF156" s="3">
        <f t="shared" si="11"/>
        <v>-3</v>
      </c>
      <c r="AG156" s="3">
        <f t="shared" si="12"/>
        <v>-0.4285714286</v>
      </c>
    </row>
    <row r="157">
      <c r="A157" s="1" t="s">
        <v>9</v>
      </c>
      <c r="B157" s="1" t="s">
        <v>486</v>
      </c>
      <c r="C157" s="1" t="s">
        <v>18</v>
      </c>
      <c r="D157" s="1" t="s">
        <v>134</v>
      </c>
      <c r="E157" s="1" t="s">
        <v>89</v>
      </c>
      <c r="F157" s="1" t="s">
        <v>570</v>
      </c>
      <c r="G157" s="1">
        <v>24.5</v>
      </c>
      <c r="H157" s="1" t="s">
        <v>60</v>
      </c>
      <c r="I157" s="1">
        <v>-119.0</v>
      </c>
      <c r="J157" s="1">
        <v>0.0349408403115665</v>
      </c>
      <c r="K157" s="1" t="s">
        <v>61</v>
      </c>
      <c r="L157" s="1" t="s">
        <v>61</v>
      </c>
      <c r="M157" s="1" t="s">
        <v>62</v>
      </c>
      <c r="N157" s="1">
        <v>-114.0</v>
      </c>
      <c r="O157" s="1">
        <v>-0.110966767253203</v>
      </c>
      <c r="P157" s="1" t="s">
        <v>61</v>
      </c>
      <c r="Q157" s="1" t="s">
        <v>61</v>
      </c>
      <c r="R157" s="1">
        <f t="shared" si="1"/>
        <v>0.03494084031</v>
      </c>
      <c r="S157" s="1">
        <f t="shared" si="2"/>
        <v>-119</v>
      </c>
      <c r="T157" s="1">
        <f t="shared" si="3"/>
        <v>1.840336134</v>
      </c>
      <c r="U157" s="1">
        <f t="shared" si="4"/>
        <v>1</v>
      </c>
      <c r="V157" s="3">
        <f t="shared" si="5"/>
        <v>1</v>
      </c>
      <c r="W157" s="3">
        <f t="shared" si="6"/>
        <v>3</v>
      </c>
      <c r="X157" s="3" t="str">
        <f>IFERROR(__xludf.DUMMYFUNCTION("split(B157,"" "")"),"T.")</f>
        <v>T.</v>
      </c>
      <c r="Y157" s="3" t="str">
        <f>IFERROR(__xludf.DUMMYFUNCTION("""COMPUTED_VALUE"""),"Tucker")</f>
        <v>Tucker</v>
      </c>
      <c r="AA157" s="3">
        <v>44.0</v>
      </c>
      <c r="AB157" s="3">
        <f t="shared" si="7"/>
        <v>1</v>
      </c>
      <c r="AC157" s="3">
        <f t="shared" si="8"/>
        <v>1</v>
      </c>
      <c r="AD157" s="3">
        <f t="shared" si="9"/>
        <v>0.8403361345</v>
      </c>
      <c r="AE157" s="3">
        <f t="shared" si="10"/>
        <v>0.8403361345</v>
      </c>
      <c r="AF157" s="3">
        <f t="shared" si="11"/>
        <v>2.521008403</v>
      </c>
      <c r="AG157" s="3">
        <f t="shared" si="12"/>
        <v>0.7959183673</v>
      </c>
    </row>
    <row r="158">
      <c r="A158" s="1" t="s">
        <v>8</v>
      </c>
      <c r="B158" s="1" t="s">
        <v>474</v>
      </c>
      <c r="C158" s="1" t="s">
        <v>21</v>
      </c>
      <c r="D158" s="1" t="s">
        <v>134</v>
      </c>
      <c r="E158" s="1" t="s">
        <v>89</v>
      </c>
      <c r="F158" s="1" t="s">
        <v>570</v>
      </c>
      <c r="G158" s="1">
        <v>2.5</v>
      </c>
      <c r="H158" s="1" t="s">
        <v>60</v>
      </c>
      <c r="I158" s="1">
        <v>112.0</v>
      </c>
      <c r="J158" s="1">
        <v>-0.106141057519906</v>
      </c>
      <c r="K158" s="1" t="s">
        <v>61</v>
      </c>
      <c r="L158" s="1" t="s">
        <v>61</v>
      </c>
      <c r="M158" s="1" t="s">
        <v>62</v>
      </c>
      <c r="N158" s="1">
        <v>-151.0</v>
      </c>
      <c r="O158" s="1">
        <v>0.0328552765127794</v>
      </c>
      <c r="P158" s="1" t="s">
        <v>61</v>
      </c>
      <c r="Q158" s="1" t="s">
        <v>61</v>
      </c>
      <c r="R158" s="1">
        <f t="shared" si="1"/>
        <v>0.03285527651</v>
      </c>
      <c r="S158" s="1">
        <f t="shared" si="2"/>
        <v>-151</v>
      </c>
      <c r="T158" s="1">
        <f t="shared" si="3"/>
        <v>1.662251656</v>
      </c>
      <c r="U158" s="1">
        <f t="shared" si="4"/>
        <v>0</v>
      </c>
      <c r="V158" s="3">
        <f t="shared" si="5"/>
        <v>1</v>
      </c>
      <c r="W158" s="3">
        <f t="shared" si="6"/>
        <v>3</v>
      </c>
      <c r="X158" s="3" t="str">
        <f>IFERROR(__xludf.DUMMYFUNCTION("split(B158,"" "")"),"G.")</f>
        <v>G.</v>
      </c>
      <c r="Y158" s="3" t="str">
        <f>IFERROR(__xludf.DUMMYFUNCTION("""COMPUTED_VALUE"""),"Minshew")</f>
        <v>Minshew</v>
      </c>
      <c r="AA158" s="3">
        <v>2.0</v>
      </c>
      <c r="AB158" s="3">
        <f t="shared" si="7"/>
        <v>0</v>
      </c>
      <c r="AC158" s="3">
        <f t="shared" si="8"/>
        <v>1</v>
      </c>
      <c r="AD158" s="3">
        <f t="shared" si="9"/>
        <v>0.6622516556</v>
      </c>
      <c r="AE158" s="3">
        <f t="shared" si="10"/>
        <v>0.6622516556</v>
      </c>
      <c r="AF158" s="3">
        <f t="shared" si="11"/>
        <v>1.986754967</v>
      </c>
      <c r="AG158" s="3">
        <f t="shared" si="12"/>
        <v>0.2</v>
      </c>
    </row>
    <row r="159">
      <c r="A159" s="1" t="s">
        <v>11</v>
      </c>
      <c r="B159" s="1" t="s">
        <v>278</v>
      </c>
      <c r="C159" s="1" t="s">
        <v>18</v>
      </c>
      <c r="D159" s="1" t="s">
        <v>134</v>
      </c>
      <c r="E159" s="1" t="s">
        <v>89</v>
      </c>
      <c r="F159" s="1" t="s">
        <v>570</v>
      </c>
      <c r="G159" s="1">
        <v>36.5</v>
      </c>
      <c r="H159" s="1" t="s">
        <v>60</v>
      </c>
      <c r="I159" s="1">
        <v>-115.0</v>
      </c>
      <c r="J159" s="1">
        <v>-0.0922114698370699</v>
      </c>
      <c r="K159" s="1" t="s">
        <v>61</v>
      </c>
      <c r="L159" s="1" t="s">
        <v>61</v>
      </c>
      <c r="M159" s="1" t="s">
        <v>62</v>
      </c>
      <c r="N159" s="1">
        <v>-114.0</v>
      </c>
      <c r="O159" s="1">
        <v>0.0246350238300272</v>
      </c>
      <c r="P159" s="1" t="s">
        <v>61</v>
      </c>
      <c r="Q159" s="1" t="s">
        <v>61</v>
      </c>
      <c r="R159" s="1">
        <f t="shared" si="1"/>
        <v>0.02463502383</v>
      </c>
      <c r="S159" s="1">
        <f t="shared" si="2"/>
        <v>-114</v>
      </c>
      <c r="T159" s="1">
        <f t="shared" si="3"/>
        <v>1.877192982</v>
      </c>
      <c r="U159" s="1">
        <f t="shared" si="4"/>
        <v>0</v>
      </c>
      <c r="V159" s="3">
        <f t="shared" si="5"/>
        <v>1</v>
      </c>
      <c r="W159" s="3">
        <f t="shared" si="6"/>
        <v>2</v>
      </c>
      <c r="X159" s="3" t="str">
        <f>IFERROR(__xludf.DUMMYFUNCTION("split(B159,"" "")"),"J.")</f>
        <v>J.</v>
      </c>
      <c r="Y159" s="3" t="str">
        <f>IFERROR(__xludf.DUMMYFUNCTION("""COMPUTED_VALUE"""),"Meyers")</f>
        <v>Meyers</v>
      </c>
      <c r="AA159" s="3">
        <v>49.0</v>
      </c>
      <c r="AB159" s="3">
        <f t="shared" si="7"/>
        <v>1</v>
      </c>
      <c r="AC159" s="3">
        <f t="shared" si="8"/>
        <v>0</v>
      </c>
      <c r="AD159" s="3">
        <f t="shared" si="9"/>
        <v>0.8771929825</v>
      </c>
      <c r="AE159" s="3">
        <f t="shared" si="10"/>
        <v>-1</v>
      </c>
      <c r="AF159" s="3">
        <f t="shared" si="11"/>
        <v>-2</v>
      </c>
      <c r="AG159" s="3">
        <f t="shared" si="12"/>
        <v>-0.3424657534</v>
      </c>
    </row>
    <row r="160">
      <c r="A160" s="1" t="s">
        <v>11</v>
      </c>
      <c r="B160" s="1" t="s">
        <v>133</v>
      </c>
      <c r="C160" s="1" t="s">
        <v>19</v>
      </c>
      <c r="D160" s="1" t="s">
        <v>134</v>
      </c>
      <c r="E160" s="1" t="s">
        <v>89</v>
      </c>
      <c r="F160" s="1" t="s">
        <v>570</v>
      </c>
      <c r="G160" s="1">
        <v>8.5</v>
      </c>
      <c r="H160" s="1" t="s">
        <v>60</v>
      </c>
      <c r="I160" s="1">
        <v>-117.0</v>
      </c>
      <c r="J160" s="1">
        <v>0.0193826975546288</v>
      </c>
      <c r="K160" s="1" t="s">
        <v>61</v>
      </c>
      <c r="L160" s="1" t="s">
        <v>61</v>
      </c>
      <c r="M160" s="1" t="s">
        <v>62</v>
      </c>
      <c r="N160" s="1">
        <v>-110.0</v>
      </c>
      <c r="O160" s="1">
        <v>-0.0823289995537615</v>
      </c>
      <c r="P160" s="1" t="s">
        <v>61</v>
      </c>
      <c r="Q160" s="1" t="s">
        <v>61</v>
      </c>
      <c r="R160" s="1">
        <f t="shared" si="1"/>
        <v>0.01938269755</v>
      </c>
      <c r="S160" s="1">
        <f t="shared" si="2"/>
        <v>-117</v>
      </c>
      <c r="T160" s="1">
        <f t="shared" si="3"/>
        <v>1.854700855</v>
      </c>
      <c r="U160" s="1">
        <f t="shared" si="4"/>
        <v>1</v>
      </c>
      <c r="V160" s="3">
        <f t="shared" si="5"/>
        <v>1</v>
      </c>
      <c r="W160" s="3">
        <f t="shared" si="6"/>
        <v>2</v>
      </c>
      <c r="X160" s="3" t="str">
        <f>IFERROR(__xludf.DUMMYFUNCTION("split(B160,"" "")"),"Z.")</f>
        <v>Z.</v>
      </c>
      <c r="Y160" s="3" t="str">
        <f>IFERROR(__xludf.DUMMYFUNCTION("""COMPUTED_VALUE"""),"White")</f>
        <v>White</v>
      </c>
      <c r="AA160" s="3">
        <v>0.0</v>
      </c>
      <c r="AB160" s="3">
        <f t="shared" si="7"/>
        <v>0</v>
      </c>
      <c r="AC160" s="3">
        <f t="shared" si="8"/>
        <v>0</v>
      </c>
      <c r="AD160" s="3">
        <f t="shared" si="9"/>
        <v>0.8547008547</v>
      </c>
      <c r="AE160" s="3">
        <f t="shared" si="10"/>
        <v>-1</v>
      </c>
      <c r="AF160" s="3">
        <f t="shared" si="11"/>
        <v>-2</v>
      </c>
      <c r="AG160" s="3">
        <f t="shared" si="12"/>
        <v>-1</v>
      </c>
    </row>
    <row r="161">
      <c r="A161" s="1" t="s">
        <v>12</v>
      </c>
      <c r="B161" s="1" t="s">
        <v>322</v>
      </c>
      <c r="C161" s="1" t="s">
        <v>18</v>
      </c>
      <c r="D161" s="1" t="s">
        <v>134</v>
      </c>
      <c r="E161" s="1" t="s">
        <v>89</v>
      </c>
      <c r="F161" s="1" t="s">
        <v>570</v>
      </c>
      <c r="G161" s="1">
        <v>4.5</v>
      </c>
      <c r="H161" s="1" t="s">
        <v>60</v>
      </c>
      <c r="I161" s="1">
        <v>-155.0</v>
      </c>
      <c r="J161" s="1">
        <v>-0.0823431372549019</v>
      </c>
      <c r="K161" s="1" t="s">
        <v>61</v>
      </c>
      <c r="L161" s="1" t="s">
        <v>61</v>
      </c>
      <c r="M161" s="1" t="s">
        <v>62</v>
      </c>
      <c r="N161" s="1">
        <v>118.0</v>
      </c>
      <c r="O161" s="1">
        <v>0.0157844036697247</v>
      </c>
      <c r="P161" s="1" t="s">
        <v>61</v>
      </c>
      <c r="Q161" s="1" t="s">
        <v>61</v>
      </c>
      <c r="R161" s="1">
        <f t="shared" si="1"/>
        <v>0.01578440367</v>
      </c>
      <c r="S161" s="1">
        <f t="shared" si="2"/>
        <v>118</v>
      </c>
      <c r="T161" s="1">
        <f t="shared" si="3"/>
        <v>2.18</v>
      </c>
      <c r="U161" s="1">
        <f t="shared" si="4"/>
        <v>0</v>
      </c>
      <c r="V161" s="3">
        <f t="shared" si="5"/>
        <v>1</v>
      </c>
      <c r="W161" s="3">
        <f t="shared" si="6"/>
        <v>1</v>
      </c>
      <c r="X161" s="3" t="str">
        <f>IFERROR(__xludf.DUMMYFUNCTION("split(B161,"" "")"),"D.")</f>
        <v>D.</v>
      </c>
      <c r="Y161" s="3" t="str">
        <f>IFERROR(__xludf.DUMMYFUNCTION("""COMPUTED_VALUE"""),"Adams")</f>
        <v>Adams</v>
      </c>
      <c r="AA161" s="3">
        <v>0.0</v>
      </c>
      <c r="AB161" s="3">
        <f t="shared" si="7"/>
        <v>0</v>
      </c>
      <c r="AC161" s="3">
        <f t="shared" si="8"/>
        <v>1</v>
      </c>
      <c r="AD161" s="3">
        <f t="shared" si="9"/>
        <v>1.18</v>
      </c>
      <c r="AE161" s="3">
        <f t="shared" si="10"/>
        <v>1.18</v>
      </c>
      <c r="AF161" s="3">
        <f t="shared" si="11"/>
        <v>1.18</v>
      </c>
      <c r="AG161" s="3">
        <f t="shared" si="12"/>
        <v>1</v>
      </c>
    </row>
    <row r="162">
      <c r="A162" s="1" t="s">
        <v>10</v>
      </c>
      <c r="B162" s="1" t="s">
        <v>474</v>
      </c>
      <c r="C162" s="1" t="s">
        <v>21</v>
      </c>
      <c r="D162" s="1" t="s">
        <v>134</v>
      </c>
      <c r="E162" s="1" t="s">
        <v>89</v>
      </c>
      <c r="F162" s="1" t="s">
        <v>570</v>
      </c>
      <c r="G162" s="1">
        <v>6.5</v>
      </c>
      <c r="H162" s="1" t="s">
        <v>60</v>
      </c>
      <c r="I162" s="1">
        <v>-116.0</v>
      </c>
      <c r="J162" s="1">
        <v>0.0105952632592288</v>
      </c>
      <c r="K162" s="1" t="s">
        <v>61</v>
      </c>
      <c r="L162" s="1" t="s">
        <v>61</v>
      </c>
      <c r="M162" s="1" t="s">
        <v>62</v>
      </c>
      <c r="N162" s="1">
        <v>-114.0</v>
      </c>
      <c r="O162" s="1">
        <v>-0.0803022505838902</v>
      </c>
      <c r="P162" s="1" t="s">
        <v>61</v>
      </c>
      <c r="Q162" s="1" t="s">
        <v>61</v>
      </c>
      <c r="R162" s="1">
        <f t="shared" si="1"/>
        <v>0.01059526326</v>
      </c>
      <c r="S162" s="1">
        <f t="shared" si="2"/>
        <v>-116</v>
      </c>
      <c r="T162" s="1">
        <f t="shared" si="3"/>
        <v>1.862068966</v>
      </c>
      <c r="U162" s="1">
        <f t="shared" si="4"/>
        <v>1</v>
      </c>
      <c r="V162" s="3">
        <f t="shared" si="5"/>
        <v>1</v>
      </c>
      <c r="W162" s="3">
        <f t="shared" si="6"/>
        <v>2</v>
      </c>
      <c r="X162" s="3" t="str">
        <f>IFERROR(__xludf.DUMMYFUNCTION("split(B162,"" "")"),"G.")</f>
        <v>G.</v>
      </c>
      <c r="Y162" s="3" t="str">
        <f>IFERROR(__xludf.DUMMYFUNCTION("""COMPUTED_VALUE"""),"Minshew")</f>
        <v>Minshew</v>
      </c>
      <c r="AA162" s="3">
        <v>-2.0</v>
      </c>
      <c r="AB162" s="3">
        <f t="shared" si="7"/>
        <v>0</v>
      </c>
      <c r="AC162" s="3">
        <f t="shared" si="8"/>
        <v>0</v>
      </c>
      <c r="AD162" s="3">
        <f t="shared" si="9"/>
        <v>0.8620689655</v>
      </c>
      <c r="AE162" s="3">
        <f t="shared" si="10"/>
        <v>-1</v>
      </c>
      <c r="AF162" s="3">
        <f t="shared" si="11"/>
        <v>-2</v>
      </c>
      <c r="AG162" s="3">
        <f t="shared" si="12"/>
        <v>-1.307692308</v>
      </c>
    </row>
    <row r="163">
      <c r="A163" s="1" t="s">
        <v>14</v>
      </c>
      <c r="B163" s="1" t="s">
        <v>474</v>
      </c>
      <c r="C163" s="1" t="s">
        <v>21</v>
      </c>
      <c r="D163" s="1" t="s">
        <v>134</v>
      </c>
      <c r="E163" s="1" t="s">
        <v>89</v>
      </c>
      <c r="F163" s="1" t="s">
        <v>570</v>
      </c>
      <c r="G163" s="1">
        <v>1.5</v>
      </c>
      <c r="H163" s="1" t="s">
        <v>60</v>
      </c>
      <c r="I163" s="1">
        <v>165.0</v>
      </c>
      <c r="J163" s="1">
        <v>0.00707924528301884</v>
      </c>
      <c r="K163" s="1" t="s">
        <v>61</v>
      </c>
      <c r="L163" s="1" t="s">
        <v>61</v>
      </c>
      <c r="M163" s="1" t="s">
        <v>62</v>
      </c>
      <c r="N163" s="1">
        <v>-222.0</v>
      </c>
      <c r="O163" s="1">
        <v>-0.0738720496894409</v>
      </c>
      <c r="P163" s="1" t="s">
        <v>61</v>
      </c>
      <c r="Q163" s="1" t="s">
        <v>61</v>
      </c>
      <c r="R163" s="1">
        <f t="shared" si="1"/>
        <v>0.007079245283</v>
      </c>
      <c r="S163" s="1">
        <f t="shared" si="2"/>
        <v>165</v>
      </c>
      <c r="T163" s="1">
        <f t="shared" si="3"/>
        <v>2.65</v>
      </c>
      <c r="U163" s="1">
        <f t="shared" si="4"/>
        <v>1</v>
      </c>
      <c r="V163" s="3">
        <f t="shared" si="5"/>
        <v>1</v>
      </c>
      <c r="W163" s="3">
        <f t="shared" si="6"/>
        <v>1</v>
      </c>
      <c r="X163" s="3" t="str">
        <f>IFERROR(__xludf.DUMMYFUNCTION("split(B163,"" "")"),"G.")</f>
        <v>G.</v>
      </c>
      <c r="Y163" s="3" t="str">
        <f>IFERROR(__xludf.DUMMYFUNCTION("""COMPUTED_VALUE"""),"Minshew")</f>
        <v>Minshew</v>
      </c>
      <c r="AA163" s="3">
        <v>0.0</v>
      </c>
      <c r="AB163" s="3">
        <f t="shared" si="7"/>
        <v>0</v>
      </c>
      <c r="AC163" s="3">
        <f t="shared" si="8"/>
        <v>0</v>
      </c>
      <c r="AD163" s="3">
        <f t="shared" si="9"/>
        <v>1.65</v>
      </c>
      <c r="AE163" s="3">
        <f t="shared" si="10"/>
        <v>-1</v>
      </c>
      <c r="AF163" s="3">
        <f t="shared" si="11"/>
        <v>-1</v>
      </c>
      <c r="AG163" s="3">
        <f t="shared" si="12"/>
        <v>-1</v>
      </c>
    </row>
    <row r="164">
      <c r="A164" s="1" t="s">
        <v>15</v>
      </c>
      <c r="B164" s="1" t="s">
        <v>474</v>
      </c>
      <c r="C164" s="1" t="s">
        <v>21</v>
      </c>
      <c r="D164" s="1" t="s">
        <v>134</v>
      </c>
      <c r="E164" s="1" t="s">
        <v>89</v>
      </c>
      <c r="F164" s="1" t="s">
        <v>570</v>
      </c>
      <c r="G164" s="1">
        <v>19.5</v>
      </c>
      <c r="H164" s="1" t="s">
        <v>60</v>
      </c>
      <c r="I164" s="1">
        <v>-110.0</v>
      </c>
      <c r="J164" s="1">
        <v>-0.0736127698095238</v>
      </c>
      <c r="K164" s="1" t="s">
        <v>61</v>
      </c>
      <c r="L164" s="1" t="s">
        <v>61</v>
      </c>
      <c r="M164" s="1" t="s">
        <v>62</v>
      </c>
      <c r="N164" s="1">
        <v>-119.0</v>
      </c>
      <c r="O164" s="1">
        <v>0.00641059897442919</v>
      </c>
      <c r="P164" s="1" t="s">
        <v>61</v>
      </c>
      <c r="Q164" s="1" t="s">
        <v>61</v>
      </c>
      <c r="R164" s="1">
        <f t="shared" si="1"/>
        <v>0.006410598974</v>
      </c>
      <c r="S164" s="1">
        <f t="shared" si="2"/>
        <v>-119</v>
      </c>
      <c r="T164" s="1">
        <f t="shared" si="3"/>
        <v>1.840336134</v>
      </c>
      <c r="U164" s="1">
        <f t="shared" si="4"/>
        <v>0</v>
      </c>
      <c r="V164" s="3">
        <f t="shared" si="5"/>
        <v>1</v>
      </c>
      <c r="W164" s="3">
        <f t="shared" si="6"/>
        <v>3</v>
      </c>
      <c r="X164" s="3" t="str">
        <f>IFERROR(__xludf.DUMMYFUNCTION("split(B164,"" "")"),"G.")</f>
        <v>G.</v>
      </c>
      <c r="Y164" s="3" t="str">
        <f>IFERROR(__xludf.DUMMYFUNCTION("""COMPUTED_VALUE"""),"Minshew")</f>
        <v>Minshew</v>
      </c>
      <c r="AA164" s="3">
        <v>14.0</v>
      </c>
      <c r="AB164" s="3">
        <f t="shared" si="7"/>
        <v>0</v>
      </c>
      <c r="AC164" s="3">
        <f t="shared" si="8"/>
        <v>1</v>
      </c>
      <c r="AD164" s="3">
        <f t="shared" si="9"/>
        <v>0.8403361345</v>
      </c>
      <c r="AE164" s="3">
        <f t="shared" si="10"/>
        <v>0.8403361345</v>
      </c>
      <c r="AF164" s="3">
        <f t="shared" si="11"/>
        <v>2.521008403</v>
      </c>
      <c r="AG164" s="3">
        <f t="shared" si="12"/>
        <v>0.2820512821</v>
      </c>
    </row>
    <row r="165">
      <c r="A165" s="1" t="s">
        <v>12</v>
      </c>
      <c r="B165" s="1" t="s">
        <v>368</v>
      </c>
      <c r="C165" s="1" t="s">
        <v>19</v>
      </c>
      <c r="D165" s="1" t="s">
        <v>196</v>
      </c>
      <c r="E165" s="1" t="s">
        <v>99</v>
      </c>
      <c r="F165" s="1" t="s">
        <v>564</v>
      </c>
      <c r="G165" s="1">
        <v>2.5</v>
      </c>
      <c r="H165" s="1" t="s">
        <v>60</v>
      </c>
      <c r="I165" s="1">
        <v>-137.0</v>
      </c>
      <c r="J165" s="1">
        <v>-0.238057582194092</v>
      </c>
      <c r="K165" s="1" t="s">
        <v>61</v>
      </c>
      <c r="L165" s="1" t="s">
        <v>61</v>
      </c>
      <c r="M165" s="1" t="s">
        <v>62</v>
      </c>
      <c r="N165" s="1">
        <v>105.0</v>
      </c>
      <c r="O165" s="1">
        <v>0.172193399902439</v>
      </c>
      <c r="P165" s="1" t="s">
        <v>61</v>
      </c>
      <c r="Q165" s="1" t="s">
        <v>61</v>
      </c>
      <c r="R165" s="1">
        <f t="shared" si="1"/>
        <v>0.1721933999</v>
      </c>
      <c r="S165" s="1">
        <f t="shared" si="2"/>
        <v>105</v>
      </c>
      <c r="T165" s="1">
        <f t="shared" si="3"/>
        <v>2.05</v>
      </c>
      <c r="U165" s="1">
        <f t="shared" si="4"/>
        <v>0</v>
      </c>
      <c r="V165" s="3">
        <f t="shared" si="5"/>
        <v>3</v>
      </c>
      <c r="W165" s="3">
        <f t="shared" si="6"/>
        <v>2</v>
      </c>
      <c r="X165" s="3" t="str">
        <f>IFERROR(__xludf.DUMMYFUNCTION("split(B165,"" "")"),"K.")</f>
        <v>K.</v>
      </c>
      <c r="Y165" s="3" t="str">
        <f>IFERROR(__xludf.DUMMYFUNCTION("""COMPUTED_VALUE"""),"Williams")</f>
        <v>Williams</v>
      </c>
      <c r="AA165" s="3">
        <v>4.0</v>
      </c>
      <c r="AB165" s="3">
        <f t="shared" si="7"/>
        <v>1</v>
      </c>
      <c r="AC165" s="3">
        <f t="shared" si="8"/>
        <v>0</v>
      </c>
      <c r="AD165" s="3">
        <f t="shared" si="9"/>
        <v>3.15</v>
      </c>
      <c r="AE165" s="3">
        <f t="shared" si="10"/>
        <v>-3</v>
      </c>
      <c r="AF165" s="3">
        <f t="shared" si="11"/>
        <v>-2</v>
      </c>
      <c r="AG165" s="3">
        <f t="shared" si="12"/>
        <v>-0.6</v>
      </c>
    </row>
    <row r="166">
      <c r="A166" s="1" t="s">
        <v>12</v>
      </c>
      <c r="B166" s="1" t="s">
        <v>543</v>
      </c>
      <c r="C166" s="1" t="s">
        <v>18</v>
      </c>
      <c r="D166" s="1" t="s">
        <v>196</v>
      </c>
      <c r="E166" s="1" t="s">
        <v>99</v>
      </c>
      <c r="F166" s="1" t="s">
        <v>564</v>
      </c>
      <c r="G166" s="1">
        <v>3.5</v>
      </c>
      <c r="H166" s="1" t="s">
        <v>60</v>
      </c>
      <c r="I166" s="1">
        <v>117.0</v>
      </c>
      <c r="J166" s="1">
        <v>-0.209478572970046</v>
      </c>
      <c r="K166" s="1" t="s">
        <v>61</v>
      </c>
      <c r="L166" s="1" t="s">
        <v>61</v>
      </c>
      <c r="M166" s="1" t="s">
        <v>62</v>
      </c>
      <c r="N166" s="1">
        <v>-154.0</v>
      </c>
      <c r="O166" s="1">
        <v>0.142355977909448</v>
      </c>
      <c r="P166" s="1" t="s">
        <v>61</v>
      </c>
      <c r="Q166" s="1" t="s">
        <v>61</v>
      </c>
      <c r="R166" s="1">
        <f t="shared" si="1"/>
        <v>0.1423559779</v>
      </c>
      <c r="S166" s="1">
        <f t="shared" si="2"/>
        <v>-154</v>
      </c>
      <c r="T166" s="1">
        <f t="shared" si="3"/>
        <v>1.649350649</v>
      </c>
      <c r="U166" s="1">
        <f t="shared" si="4"/>
        <v>0</v>
      </c>
      <c r="V166" s="3">
        <f t="shared" si="5"/>
        <v>3</v>
      </c>
      <c r="W166" s="3">
        <f t="shared" si="6"/>
        <v>3</v>
      </c>
      <c r="X166" s="3" t="str">
        <f>IFERROR(__xludf.DUMMYFUNCTION("split(B166,"" "")"),"T.")</f>
        <v>T.</v>
      </c>
      <c r="Y166" s="3" t="str">
        <f>IFERROR(__xludf.DUMMYFUNCTION("""COMPUTED_VALUE"""),"Atwell")</f>
        <v>Atwell</v>
      </c>
      <c r="AA166" s="3">
        <v>4.0</v>
      </c>
      <c r="AB166" s="3">
        <f t="shared" si="7"/>
        <v>1</v>
      </c>
      <c r="AC166" s="3">
        <f t="shared" si="8"/>
        <v>0</v>
      </c>
      <c r="AD166" s="3">
        <f t="shared" si="9"/>
        <v>1.948051948</v>
      </c>
      <c r="AE166" s="3">
        <f t="shared" si="10"/>
        <v>-3</v>
      </c>
      <c r="AF166" s="3">
        <f t="shared" si="11"/>
        <v>-3</v>
      </c>
      <c r="AG166" s="3">
        <f t="shared" si="12"/>
        <v>-0.1428571429</v>
      </c>
    </row>
    <row r="167">
      <c r="A167" s="1" t="s">
        <v>9</v>
      </c>
      <c r="B167" s="1" t="s">
        <v>477</v>
      </c>
      <c r="C167" s="1" t="s">
        <v>18</v>
      </c>
      <c r="D167" s="1" t="s">
        <v>196</v>
      </c>
      <c r="E167" s="1" t="s">
        <v>99</v>
      </c>
      <c r="F167" s="1" t="s">
        <v>564</v>
      </c>
      <c r="G167" s="1">
        <v>26.5</v>
      </c>
      <c r="H167" s="1" t="s">
        <v>60</v>
      </c>
      <c r="I167" s="1">
        <v>-116.0</v>
      </c>
      <c r="J167" s="1">
        <v>0.101276317716476</v>
      </c>
      <c r="K167" s="1" t="s">
        <v>61</v>
      </c>
      <c r="L167" s="1" t="s">
        <v>61</v>
      </c>
      <c r="M167" s="1" t="s">
        <v>62</v>
      </c>
      <c r="N167" s="1">
        <v>-116.0</v>
      </c>
      <c r="O167" s="1">
        <v>-0.175320528551113</v>
      </c>
      <c r="P167" s="1" t="s">
        <v>61</v>
      </c>
      <c r="Q167" s="1" t="s">
        <v>61</v>
      </c>
      <c r="R167" s="1">
        <f t="shared" si="1"/>
        <v>0.1012763177</v>
      </c>
      <c r="S167" s="1">
        <f t="shared" si="2"/>
        <v>-116</v>
      </c>
      <c r="T167" s="1">
        <f t="shared" si="3"/>
        <v>1.862068966</v>
      </c>
      <c r="U167" s="1">
        <f t="shared" si="4"/>
        <v>1</v>
      </c>
      <c r="V167" s="3">
        <f t="shared" si="5"/>
        <v>3</v>
      </c>
      <c r="W167" s="3">
        <f t="shared" si="6"/>
        <v>2</v>
      </c>
      <c r="X167" s="3" t="str">
        <f>IFERROR(__xludf.DUMMYFUNCTION("split(B167,"" "")"),"T.")</f>
        <v>T.</v>
      </c>
      <c r="Y167" s="3" t="str">
        <f>IFERROR(__xludf.DUMMYFUNCTION("""COMPUTED_VALUE"""),"Johnson")</f>
        <v>Johnson</v>
      </c>
      <c r="AA167" s="3">
        <v>0.0</v>
      </c>
      <c r="AB167" s="3">
        <f t="shared" si="7"/>
        <v>0</v>
      </c>
      <c r="AC167" s="3">
        <f t="shared" si="8"/>
        <v>0</v>
      </c>
      <c r="AD167" s="3">
        <f t="shared" si="9"/>
        <v>2.586206897</v>
      </c>
      <c r="AE167" s="3">
        <f t="shared" si="10"/>
        <v>-3</v>
      </c>
      <c r="AF167" s="3">
        <f t="shared" si="11"/>
        <v>-2</v>
      </c>
      <c r="AG167" s="3">
        <f t="shared" si="12"/>
        <v>-1</v>
      </c>
    </row>
    <row r="168">
      <c r="A168" s="1" t="s">
        <v>11</v>
      </c>
      <c r="B168" s="1" t="s">
        <v>543</v>
      </c>
      <c r="C168" s="1" t="s">
        <v>18</v>
      </c>
      <c r="D168" s="1" t="s">
        <v>196</v>
      </c>
      <c r="E168" s="1" t="s">
        <v>99</v>
      </c>
      <c r="F168" s="1" t="s">
        <v>564</v>
      </c>
      <c r="G168" s="1">
        <v>38.5</v>
      </c>
      <c r="H168" s="1" t="s">
        <v>60</v>
      </c>
      <c r="I168" s="1">
        <v>-112.0</v>
      </c>
      <c r="J168" s="1">
        <v>-0.160378484315047</v>
      </c>
      <c r="K168" s="1" t="s">
        <v>61</v>
      </c>
      <c r="L168" s="1" t="s">
        <v>61</v>
      </c>
      <c r="M168" s="1" t="s">
        <v>62</v>
      </c>
      <c r="N168" s="1">
        <v>-119.0</v>
      </c>
      <c r="O168" s="1">
        <v>0.0886933811548864</v>
      </c>
      <c r="P168" s="1" t="s">
        <v>61</v>
      </c>
      <c r="Q168" s="1" t="s">
        <v>61</v>
      </c>
      <c r="R168" s="1">
        <f t="shared" si="1"/>
        <v>0.08869338115</v>
      </c>
      <c r="S168" s="1">
        <f t="shared" si="2"/>
        <v>-119</v>
      </c>
      <c r="T168" s="1">
        <f t="shared" si="3"/>
        <v>1.840336134</v>
      </c>
      <c r="U168" s="1">
        <f t="shared" si="4"/>
        <v>0</v>
      </c>
      <c r="V168" s="3">
        <f t="shared" si="5"/>
        <v>2</v>
      </c>
      <c r="W168" s="3">
        <f t="shared" si="6"/>
        <v>3</v>
      </c>
      <c r="X168" s="3" t="str">
        <f>IFERROR(__xludf.DUMMYFUNCTION("split(B168,"" "")"),"T.")</f>
        <v>T.</v>
      </c>
      <c r="Y168" s="3" t="str">
        <f>IFERROR(__xludf.DUMMYFUNCTION("""COMPUTED_VALUE"""),"Atwell")</f>
        <v>Atwell</v>
      </c>
      <c r="AA168" s="3">
        <v>82.0</v>
      </c>
      <c r="AB168" s="3">
        <f t="shared" si="7"/>
        <v>1</v>
      </c>
      <c r="AC168" s="3">
        <f t="shared" si="8"/>
        <v>0</v>
      </c>
      <c r="AD168" s="3">
        <f t="shared" si="9"/>
        <v>1.680672269</v>
      </c>
      <c r="AE168" s="3">
        <f t="shared" si="10"/>
        <v>-2</v>
      </c>
      <c r="AF168" s="3">
        <f t="shared" si="11"/>
        <v>-3</v>
      </c>
      <c r="AG168" s="3">
        <f t="shared" si="12"/>
        <v>-1.12987013</v>
      </c>
    </row>
    <row r="169">
      <c r="A169" s="1" t="s">
        <v>15</v>
      </c>
      <c r="B169" s="1" t="s">
        <v>247</v>
      </c>
      <c r="C169" s="1" t="s">
        <v>21</v>
      </c>
      <c r="D169" s="1" t="s">
        <v>196</v>
      </c>
      <c r="E169" s="1" t="s">
        <v>99</v>
      </c>
      <c r="F169" s="1" t="s">
        <v>564</v>
      </c>
      <c r="G169" s="1">
        <v>20.5</v>
      </c>
      <c r="H169" s="1" t="s">
        <v>60</v>
      </c>
      <c r="I169" s="1">
        <v>100.0</v>
      </c>
      <c r="J169" s="1">
        <v>0.0848999999999998</v>
      </c>
      <c r="K169" s="1" t="s">
        <v>61</v>
      </c>
      <c r="L169" s="1" t="s">
        <v>61</v>
      </c>
      <c r="M169" s="1" t="s">
        <v>62</v>
      </c>
      <c r="N169" s="1">
        <v>-131.0</v>
      </c>
      <c r="O169" s="1">
        <v>-0.152012987012986</v>
      </c>
      <c r="P169" s="1" t="s">
        <v>61</v>
      </c>
      <c r="Q169" s="1" t="s">
        <v>61</v>
      </c>
      <c r="R169" s="1">
        <f t="shared" si="1"/>
        <v>0.0849</v>
      </c>
      <c r="S169" s="1">
        <f t="shared" si="2"/>
        <v>100</v>
      </c>
      <c r="T169" s="1">
        <f t="shared" si="3"/>
        <v>2</v>
      </c>
      <c r="U169" s="1">
        <f t="shared" si="4"/>
        <v>1</v>
      </c>
      <c r="V169" s="3">
        <f t="shared" si="5"/>
        <v>2</v>
      </c>
      <c r="W169" s="3">
        <f t="shared" si="6"/>
        <v>2</v>
      </c>
      <c r="X169" s="3" t="str">
        <f>IFERROR(__xludf.DUMMYFUNCTION("split(B169,"" "")"),"M.")</f>
        <v>M.</v>
      </c>
      <c r="Y169" s="3" t="str">
        <f>IFERROR(__xludf.DUMMYFUNCTION("""COMPUTED_VALUE"""),"Stafford")</f>
        <v>Stafford</v>
      </c>
      <c r="AA169" s="3">
        <v>20.0</v>
      </c>
      <c r="AB169" s="3">
        <f t="shared" si="7"/>
        <v>0</v>
      </c>
      <c r="AC169" s="3">
        <f t="shared" si="8"/>
        <v>0</v>
      </c>
      <c r="AD169" s="3">
        <f t="shared" si="9"/>
        <v>2</v>
      </c>
      <c r="AE169" s="3">
        <f t="shared" si="10"/>
        <v>-2</v>
      </c>
      <c r="AF169" s="3">
        <f t="shared" si="11"/>
        <v>-2</v>
      </c>
      <c r="AG169" s="3">
        <f t="shared" si="12"/>
        <v>-0.0243902439</v>
      </c>
    </row>
    <row r="170">
      <c r="A170" s="1" t="s">
        <v>17</v>
      </c>
      <c r="B170" s="1" t="s">
        <v>247</v>
      </c>
      <c r="C170" s="1" t="s">
        <v>21</v>
      </c>
      <c r="D170" s="1" t="s">
        <v>196</v>
      </c>
      <c r="E170" s="1" t="s">
        <v>99</v>
      </c>
      <c r="F170" s="1" t="s">
        <v>564</v>
      </c>
      <c r="G170" s="1">
        <v>0.5</v>
      </c>
      <c r="H170" s="1" t="s">
        <v>60</v>
      </c>
      <c r="I170" s="1">
        <v>-141.0</v>
      </c>
      <c r="J170" s="1">
        <v>-0.1396622406639</v>
      </c>
      <c r="K170" s="1" t="s">
        <v>61</v>
      </c>
      <c r="L170" s="1" t="s">
        <v>61</v>
      </c>
      <c r="M170" s="1" t="s">
        <v>62</v>
      </c>
      <c r="N170" s="1">
        <v>108.0</v>
      </c>
      <c r="O170" s="1">
        <v>0.0738307692307692</v>
      </c>
      <c r="P170" s="1" t="s">
        <v>61</v>
      </c>
      <c r="Q170" s="1" t="s">
        <v>61</v>
      </c>
      <c r="R170" s="1">
        <f t="shared" si="1"/>
        <v>0.07383076923</v>
      </c>
      <c r="S170" s="1">
        <f t="shared" si="2"/>
        <v>108</v>
      </c>
      <c r="T170" s="1">
        <f t="shared" si="3"/>
        <v>2.08</v>
      </c>
      <c r="U170" s="1">
        <f t="shared" si="4"/>
        <v>0</v>
      </c>
      <c r="V170" s="3">
        <f t="shared" si="5"/>
        <v>2</v>
      </c>
      <c r="W170" s="3">
        <f t="shared" si="6"/>
        <v>2</v>
      </c>
      <c r="X170" s="3" t="str">
        <f>IFERROR(__xludf.DUMMYFUNCTION("split(B170,"" "")"),"M.")</f>
        <v>M.</v>
      </c>
      <c r="Y170" s="3" t="str">
        <f>IFERROR(__xludf.DUMMYFUNCTION("""COMPUTED_VALUE"""),"Stafford")</f>
        <v>Stafford</v>
      </c>
      <c r="AA170" s="3">
        <v>1.0</v>
      </c>
      <c r="AB170" s="3">
        <f t="shared" si="7"/>
        <v>1</v>
      </c>
      <c r="AC170" s="3">
        <f t="shared" si="8"/>
        <v>0</v>
      </c>
      <c r="AD170" s="3">
        <f t="shared" si="9"/>
        <v>2.16</v>
      </c>
      <c r="AE170" s="3">
        <f t="shared" si="10"/>
        <v>-2</v>
      </c>
      <c r="AF170" s="3">
        <f t="shared" si="11"/>
        <v>-2</v>
      </c>
      <c r="AG170" s="3">
        <f t="shared" si="12"/>
        <v>-1</v>
      </c>
    </row>
    <row r="171">
      <c r="A171" s="1" t="s">
        <v>14</v>
      </c>
      <c r="B171" s="1" t="s">
        <v>247</v>
      </c>
      <c r="C171" s="1" t="s">
        <v>21</v>
      </c>
      <c r="D171" s="1" t="s">
        <v>196</v>
      </c>
      <c r="E171" s="1" t="s">
        <v>99</v>
      </c>
      <c r="F171" s="1" t="s">
        <v>564</v>
      </c>
      <c r="G171" s="1">
        <v>1.5</v>
      </c>
      <c r="H171" s="1" t="s">
        <v>60</v>
      </c>
      <c r="I171" s="1">
        <v>164.0</v>
      </c>
      <c r="J171" s="1">
        <v>0.0666121212121211</v>
      </c>
      <c r="K171" s="1" t="s">
        <v>61</v>
      </c>
      <c r="L171" s="1" t="s">
        <v>61</v>
      </c>
      <c r="M171" s="1" t="s">
        <v>62</v>
      </c>
      <c r="N171" s="1">
        <v>-221.0</v>
      </c>
      <c r="O171" s="1">
        <v>-0.133873520249221</v>
      </c>
      <c r="P171" s="1" t="s">
        <v>61</v>
      </c>
      <c r="Q171" s="1" t="s">
        <v>61</v>
      </c>
      <c r="R171" s="1">
        <f t="shared" si="1"/>
        <v>0.06661212121</v>
      </c>
      <c r="S171" s="1">
        <f t="shared" si="2"/>
        <v>164</v>
      </c>
      <c r="T171" s="1">
        <f t="shared" si="3"/>
        <v>2.64</v>
      </c>
      <c r="U171" s="1">
        <f t="shared" si="4"/>
        <v>1</v>
      </c>
      <c r="V171" s="3">
        <f t="shared" si="5"/>
        <v>2</v>
      </c>
      <c r="W171" s="3">
        <f t="shared" si="6"/>
        <v>1</v>
      </c>
      <c r="X171" s="3" t="str">
        <f>IFERROR(__xludf.DUMMYFUNCTION("split(B171,"" "")"),"M.")</f>
        <v>M.</v>
      </c>
      <c r="Y171" s="3" t="str">
        <f>IFERROR(__xludf.DUMMYFUNCTION("""COMPUTED_VALUE"""),"Stafford")</f>
        <v>Stafford</v>
      </c>
      <c r="AA171" s="3">
        <v>0.0</v>
      </c>
      <c r="AB171" s="3">
        <f t="shared" si="7"/>
        <v>0</v>
      </c>
      <c r="AC171" s="3">
        <f t="shared" si="8"/>
        <v>0</v>
      </c>
      <c r="AD171" s="3">
        <f t="shared" si="9"/>
        <v>3.28</v>
      </c>
      <c r="AE171" s="3">
        <f t="shared" si="10"/>
        <v>-2</v>
      </c>
      <c r="AF171" s="3">
        <f t="shared" si="11"/>
        <v>-1</v>
      </c>
      <c r="AG171" s="3">
        <f t="shared" si="12"/>
        <v>-1</v>
      </c>
    </row>
    <row r="172">
      <c r="A172" s="1" t="s">
        <v>9</v>
      </c>
      <c r="B172" s="1" t="s">
        <v>284</v>
      </c>
      <c r="C172" s="1" t="s">
        <v>18</v>
      </c>
      <c r="D172" s="1" t="s">
        <v>196</v>
      </c>
      <c r="E172" s="1" t="s">
        <v>99</v>
      </c>
      <c r="F172" s="1" t="s">
        <v>564</v>
      </c>
      <c r="G172" s="1">
        <v>41.5</v>
      </c>
      <c r="H172" s="1" t="s">
        <v>60</v>
      </c>
      <c r="I172" s="1">
        <v>-118.0</v>
      </c>
      <c r="J172" s="1">
        <v>0.0439952952540031</v>
      </c>
      <c r="K172" s="1" t="s">
        <v>61</v>
      </c>
      <c r="L172" s="1" t="s">
        <v>61</v>
      </c>
      <c r="M172" s="1" t="s">
        <v>62</v>
      </c>
      <c r="N172" s="1">
        <v>-115.0</v>
      </c>
      <c r="O172" s="1">
        <v>-0.1201434442799</v>
      </c>
      <c r="P172" s="1" t="s">
        <v>61</v>
      </c>
      <c r="Q172" s="1" t="s">
        <v>61</v>
      </c>
      <c r="R172" s="1">
        <f t="shared" si="1"/>
        <v>0.04399529525</v>
      </c>
      <c r="S172" s="1">
        <f t="shared" si="2"/>
        <v>-118</v>
      </c>
      <c r="T172" s="1">
        <f t="shared" si="3"/>
        <v>1.847457627</v>
      </c>
      <c r="U172" s="1">
        <f t="shared" si="4"/>
        <v>1</v>
      </c>
      <c r="V172" s="3">
        <f t="shared" si="5"/>
        <v>1</v>
      </c>
      <c r="W172" s="3">
        <f t="shared" si="6"/>
        <v>3</v>
      </c>
      <c r="X172" s="3" t="str">
        <f>IFERROR(__xludf.DUMMYFUNCTION("split(B172,"" "")"),"D.")</f>
        <v>D.</v>
      </c>
      <c r="Y172" s="3" t="str">
        <f>IFERROR(__xludf.DUMMYFUNCTION("""COMPUTED_VALUE"""),"Robinson")</f>
        <v>Robinson</v>
      </c>
      <c r="AA172" s="3">
        <v>37.0</v>
      </c>
      <c r="AB172" s="3">
        <f t="shared" si="7"/>
        <v>0</v>
      </c>
      <c r="AC172" s="3">
        <f t="shared" si="8"/>
        <v>0</v>
      </c>
      <c r="AD172" s="3">
        <f t="shared" si="9"/>
        <v>0.8474576271</v>
      </c>
      <c r="AE172" s="3">
        <f t="shared" si="10"/>
        <v>-1</v>
      </c>
      <c r="AF172" s="3">
        <f t="shared" si="11"/>
        <v>-3</v>
      </c>
      <c r="AG172" s="3">
        <f t="shared" si="12"/>
        <v>-0.1084337349</v>
      </c>
    </row>
    <row r="173">
      <c r="A173" s="1" t="s">
        <v>9</v>
      </c>
      <c r="B173" s="1" t="s">
        <v>368</v>
      </c>
      <c r="C173" s="1" t="s">
        <v>19</v>
      </c>
      <c r="D173" s="1" t="s">
        <v>196</v>
      </c>
      <c r="E173" s="1" t="s">
        <v>99</v>
      </c>
      <c r="F173" s="1" t="s">
        <v>564</v>
      </c>
      <c r="G173" s="1">
        <v>95.5</v>
      </c>
      <c r="H173" s="1" t="s">
        <v>60</v>
      </c>
      <c r="I173" s="1">
        <v>-117.0</v>
      </c>
      <c r="J173" s="1">
        <v>-0.108467364804289</v>
      </c>
      <c r="K173" s="1" t="s">
        <v>61</v>
      </c>
      <c r="L173" s="1" t="s">
        <v>61</v>
      </c>
      <c r="M173" s="1" t="s">
        <v>62</v>
      </c>
      <c r="N173" s="1">
        <v>-115.0</v>
      </c>
      <c r="O173" s="1">
        <v>0.03441205519177</v>
      </c>
      <c r="P173" s="1" t="s">
        <v>61</v>
      </c>
      <c r="Q173" s="1" t="s">
        <v>61</v>
      </c>
      <c r="R173" s="1">
        <f t="shared" si="1"/>
        <v>0.03441205519</v>
      </c>
      <c r="S173" s="1">
        <f t="shared" si="2"/>
        <v>-115</v>
      </c>
      <c r="T173" s="1">
        <f t="shared" si="3"/>
        <v>1.869565217</v>
      </c>
      <c r="U173" s="1">
        <f t="shared" si="4"/>
        <v>0</v>
      </c>
      <c r="V173" s="3">
        <f t="shared" si="5"/>
        <v>1</v>
      </c>
      <c r="W173" s="3">
        <f t="shared" si="6"/>
        <v>2</v>
      </c>
      <c r="X173" s="3" t="str">
        <f>IFERROR(__xludf.DUMMYFUNCTION("split(B173,"" "")"),"K.")</f>
        <v>K.</v>
      </c>
      <c r="Y173" s="3" t="str">
        <f>IFERROR(__xludf.DUMMYFUNCTION("""COMPUTED_VALUE"""),"Williams")</f>
        <v>Williams</v>
      </c>
      <c r="AA173" s="3">
        <v>104.0</v>
      </c>
      <c r="AB173" s="3">
        <f t="shared" si="7"/>
        <v>1</v>
      </c>
      <c r="AC173" s="3">
        <f t="shared" si="8"/>
        <v>0</v>
      </c>
      <c r="AD173" s="3">
        <f t="shared" si="9"/>
        <v>0.8695652174</v>
      </c>
      <c r="AE173" s="3">
        <f t="shared" si="10"/>
        <v>-1</v>
      </c>
      <c r="AF173" s="3">
        <f t="shared" si="11"/>
        <v>-2</v>
      </c>
      <c r="AG173" s="3">
        <f t="shared" si="12"/>
        <v>-0.0890052356</v>
      </c>
    </row>
    <row r="174">
      <c r="A174" s="1" t="s">
        <v>12</v>
      </c>
      <c r="B174" s="1" t="s">
        <v>470</v>
      </c>
      <c r="C174" s="1" t="s">
        <v>20</v>
      </c>
      <c r="D174" s="1" t="s">
        <v>196</v>
      </c>
      <c r="E174" s="1" t="s">
        <v>99</v>
      </c>
      <c r="F174" s="1" t="s">
        <v>564</v>
      </c>
      <c r="G174" s="1">
        <v>3.5</v>
      </c>
      <c r="H174" s="1" t="s">
        <v>60</v>
      </c>
      <c r="I174" s="1">
        <v>129.0</v>
      </c>
      <c r="J174" s="1">
        <v>-0.0936375545851528</v>
      </c>
      <c r="K174" s="1" t="s">
        <v>61</v>
      </c>
      <c r="L174" s="1" t="s">
        <v>61</v>
      </c>
      <c r="M174" s="1" t="s">
        <v>62</v>
      </c>
      <c r="N174" s="1">
        <v>-170.0</v>
      </c>
      <c r="O174" s="1">
        <v>0.0273333333333334</v>
      </c>
      <c r="P174" s="1" t="s">
        <v>61</v>
      </c>
      <c r="Q174" s="1" t="s">
        <v>61</v>
      </c>
      <c r="R174" s="1">
        <f t="shared" si="1"/>
        <v>0.02733333333</v>
      </c>
      <c r="S174" s="1">
        <f t="shared" si="2"/>
        <v>-170</v>
      </c>
      <c r="T174" s="1">
        <f t="shared" si="3"/>
        <v>1.588235294</v>
      </c>
      <c r="U174" s="1">
        <f t="shared" si="4"/>
        <v>0</v>
      </c>
      <c r="V174" s="3">
        <f t="shared" si="5"/>
        <v>1</v>
      </c>
      <c r="W174" s="3">
        <f t="shared" si="6"/>
        <v>3</v>
      </c>
      <c r="X174" s="3" t="str">
        <f>IFERROR(__xludf.DUMMYFUNCTION("split(B174,"" "")"),"C.")</f>
        <v>C.</v>
      </c>
      <c r="Y174" s="3" t="str">
        <f>IFERROR(__xludf.DUMMYFUNCTION("""COMPUTED_VALUE"""),"Parkinson")</f>
        <v>Parkinson</v>
      </c>
      <c r="AA174" s="3">
        <v>4.0</v>
      </c>
      <c r="AB174" s="3">
        <f t="shared" si="7"/>
        <v>1</v>
      </c>
      <c r="AC174" s="3">
        <f t="shared" si="8"/>
        <v>0</v>
      </c>
      <c r="AD174" s="3">
        <f t="shared" si="9"/>
        <v>0.5882352941</v>
      </c>
      <c r="AE174" s="3">
        <f t="shared" si="10"/>
        <v>-1</v>
      </c>
      <c r="AF174" s="3">
        <f t="shared" si="11"/>
        <v>-3</v>
      </c>
      <c r="AG174" s="3">
        <f t="shared" si="12"/>
        <v>-0.1428571429</v>
      </c>
    </row>
    <row r="175">
      <c r="A175" s="1" t="s">
        <v>13</v>
      </c>
      <c r="B175" s="1" t="s">
        <v>247</v>
      </c>
      <c r="C175" s="1" t="s">
        <v>21</v>
      </c>
      <c r="D175" s="1" t="s">
        <v>196</v>
      </c>
      <c r="E175" s="1" t="s">
        <v>99</v>
      </c>
      <c r="F175" s="1" t="s">
        <v>564</v>
      </c>
      <c r="G175" s="1">
        <v>212.5</v>
      </c>
      <c r="H175" s="1" t="s">
        <v>60</v>
      </c>
      <c r="I175" s="1">
        <v>-115.0</v>
      </c>
      <c r="J175" s="1">
        <v>0.022955813953488</v>
      </c>
      <c r="K175" s="1" t="s">
        <v>61</v>
      </c>
      <c r="L175" s="1" t="s">
        <v>61</v>
      </c>
      <c r="M175" s="1" t="s">
        <v>62</v>
      </c>
      <c r="N175" s="1">
        <v>-115.0</v>
      </c>
      <c r="O175" s="1">
        <v>-0.0927441860465114</v>
      </c>
      <c r="P175" s="1" t="s">
        <v>61</v>
      </c>
      <c r="Q175" s="1" t="s">
        <v>61</v>
      </c>
      <c r="R175" s="1">
        <f t="shared" si="1"/>
        <v>0.02295581395</v>
      </c>
      <c r="S175" s="1">
        <f t="shared" si="2"/>
        <v>-115</v>
      </c>
      <c r="T175" s="1">
        <f t="shared" si="3"/>
        <v>1.869565217</v>
      </c>
      <c r="U175" s="1">
        <f t="shared" si="4"/>
        <v>1</v>
      </c>
      <c r="V175" s="3">
        <f t="shared" si="5"/>
        <v>1</v>
      </c>
      <c r="W175" s="3">
        <f t="shared" si="6"/>
        <v>2</v>
      </c>
      <c r="X175" s="3" t="str">
        <f>IFERROR(__xludf.DUMMYFUNCTION("split(B175,"" "")"),"M.")</f>
        <v>M.</v>
      </c>
      <c r="Y175" s="3" t="str">
        <f>IFERROR(__xludf.DUMMYFUNCTION("""COMPUTED_VALUE"""),"Stafford")</f>
        <v>Stafford</v>
      </c>
      <c r="AA175" s="3">
        <v>224.0</v>
      </c>
      <c r="AB175" s="3">
        <f t="shared" si="7"/>
        <v>1</v>
      </c>
      <c r="AC175" s="3">
        <f t="shared" si="8"/>
        <v>1</v>
      </c>
      <c r="AD175" s="3">
        <f t="shared" si="9"/>
        <v>0.8695652174</v>
      </c>
      <c r="AE175" s="3">
        <f t="shared" si="10"/>
        <v>0.8695652174</v>
      </c>
      <c r="AF175" s="3">
        <f t="shared" si="11"/>
        <v>1.739130435</v>
      </c>
      <c r="AG175" s="3">
        <f t="shared" si="12"/>
        <v>0.05411764706</v>
      </c>
    </row>
    <row r="176">
      <c r="A176" s="1" t="s">
        <v>11</v>
      </c>
      <c r="B176" s="1" t="s">
        <v>470</v>
      </c>
      <c r="C176" s="1" t="s">
        <v>20</v>
      </c>
      <c r="D176" s="1" t="s">
        <v>196</v>
      </c>
      <c r="E176" s="1" t="s">
        <v>99</v>
      </c>
      <c r="F176" s="1" t="s">
        <v>564</v>
      </c>
      <c r="G176" s="1">
        <v>29.5</v>
      </c>
      <c r="H176" s="1" t="s">
        <v>60</v>
      </c>
      <c r="I176" s="1">
        <v>-112.0</v>
      </c>
      <c r="J176" s="1">
        <v>-0.0895637218423585</v>
      </c>
      <c r="K176" s="1" t="s">
        <v>61</v>
      </c>
      <c r="L176" s="1" t="s">
        <v>61</v>
      </c>
      <c r="M176" s="1" t="s">
        <v>62</v>
      </c>
      <c r="N176" s="1">
        <v>-117.0</v>
      </c>
      <c r="O176" s="1">
        <v>0.0220988070824083</v>
      </c>
      <c r="P176" s="1" t="s">
        <v>61</v>
      </c>
      <c r="Q176" s="1" t="s">
        <v>61</v>
      </c>
      <c r="R176" s="1">
        <f t="shared" si="1"/>
        <v>0.02209880708</v>
      </c>
      <c r="S176" s="1">
        <f t="shared" si="2"/>
        <v>-117</v>
      </c>
      <c r="T176" s="1">
        <f t="shared" si="3"/>
        <v>1.854700855</v>
      </c>
      <c r="U176" s="1">
        <f t="shared" si="4"/>
        <v>0</v>
      </c>
      <c r="V176" s="3">
        <f t="shared" si="5"/>
        <v>1</v>
      </c>
      <c r="W176" s="3">
        <f t="shared" si="6"/>
        <v>2</v>
      </c>
      <c r="X176" s="3" t="str">
        <f>IFERROR(__xludf.DUMMYFUNCTION("split(B176,"" "")"),"C.")</f>
        <v>C.</v>
      </c>
      <c r="Y176" s="3" t="str">
        <f>IFERROR(__xludf.DUMMYFUNCTION("""COMPUTED_VALUE"""),"Parkinson")</f>
        <v>Parkinson</v>
      </c>
      <c r="AA176" s="3">
        <v>33.0</v>
      </c>
      <c r="AB176" s="3">
        <f t="shared" si="7"/>
        <v>1</v>
      </c>
      <c r="AC176" s="3">
        <f t="shared" si="8"/>
        <v>0</v>
      </c>
      <c r="AD176" s="3">
        <f t="shared" si="9"/>
        <v>0.8547008547</v>
      </c>
      <c r="AE176" s="3">
        <f t="shared" si="10"/>
        <v>-1</v>
      </c>
      <c r="AF176" s="3">
        <f t="shared" si="11"/>
        <v>-2</v>
      </c>
      <c r="AG176" s="3">
        <f t="shared" si="12"/>
        <v>-0.1186440678</v>
      </c>
    </row>
    <row r="177">
      <c r="A177" s="1" t="s">
        <v>12</v>
      </c>
      <c r="B177" s="1" t="s">
        <v>284</v>
      </c>
      <c r="C177" s="1" t="s">
        <v>18</v>
      </c>
      <c r="D177" s="1" t="s">
        <v>196</v>
      </c>
      <c r="E177" s="1" t="s">
        <v>99</v>
      </c>
      <c r="F177" s="1" t="s">
        <v>564</v>
      </c>
      <c r="G177" s="1">
        <v>3.5</v>
      </c>
      <c r="H177" s="1" t="s">
        <v>60</v>
      </c>
      <c r="I177" s="1">
        <v>106.0</v>
      </c>
      <c r="J177" s="1">
        <v>0.0174116504854369</v>
      </c>
      <c r="K177" s="1" t="s">
        <v>61</v>
      </c>
      <c r="L177" s="1" t="s">
        <v>61</v>
      </c>
      <c r="M177" s="1" t="s">
        <v>62</v>
      </c>
      <c r="N177" s="1">
        <v>-139.0</v>
      </c>
      <c r="O177" s="1">
        <v>-0.08443179916318</v>
      </c>
      <c r="P177" s="1" t="s">
        <v>61</v>
      </c>
      <c r="Q177" s="1" t="s">
        <v>61</v>
      </c>
      <c r="R177" s="1">
        <f t="shared" si="1"/>
        <v>0.01741165049</v>
      </c>
      <c r="S177" s="1">
        <f t="shared" si="2"/>
        <v>106</v>
      </c>
      <c r="T177" s="1">
        <f t="shared" si="3"/>
        <v>2.06</v>
      </c>
      <c r="U177" s="1">
        <f t="shared" si="4"/>
        <v>1</v>
      </c>
      <c r="V177" s="3">
        <f t="shared" si="5"/>
        <v>1</v>
      </c>
      <c r="W177" s="3">
        <f t="shared" si="6"/>
        <v>2</v>
      </c>
      <c r="X177" s="3" t="str">
        <f>IFERROR(__xludf.DUMMYFUNCTION("split(B177,"" "")"),"D.")</f>
        <v>D.</v>
      </c>
      <c r="Y177" s="3" t="str">
        <f>IFERROR(__xludf.DUMMYFUNCTION("""COMPUTED_VALUE"""),"Robinson")</f>
        <v>Robinson</v>
      </c>
      <c r="AA177" s="3">
        <v>2.0</v>
      </c>
      <c r="AB177" s="3">
        <f t="shared" si="7"/>
        <v>0</v>
      </c>
      <c r="AC177" s="3">
        <f t="shared" si="8"/>
        <v>0</v>
      </c>
      <c r="AD177" s="3">
        <f t="shared" si="9"/>
        <v>1.06</v>
      </c>
      <c r="AE177" s="3">
        <f t="shared" si="10"/>
        <v>-1</v>
      </c>
      <c r="AF177" s="3">
        <f t="shared" si="11"/>
        <v>-2</v>
      </c>
      <c r="AG177" s="3">
        <f t="shared" si="12"/>
        <v>-0.4285714286</v>
      </c>
    </row>
    <row r="178">
      <c r="A178" s="1" t="s">
        <v>10</v>
      </c>
      <c r="B178" s="1" t="s">
        <v>368</v>
      </c>
      <c r="C178" s="1" t="s">
        <v>19</v>
      </c>
      <c r="D178" s="1" t="s">
        <v>196</v>
      </c>
      <c r="E178" s="1" t="s">
        <v>99</v>
      </c>
      <c r="F178" s="1" t="s">
        <v>564</v>
      </c>
      <c r="G178" s="1">
        <v>75.5</v>
      </c>
      <c r="H178" s="1" t="s">
        <v>60</v>
      </c>
      <c r="I178" s="1">
        <v>-111.0</v>
      </c>
      <c r="J178" s="1">
        <v>-0.0851496177999348</v>
      </c>
      <c r="K178" s="1" t="s">
        <v>61</v>
      </c>
      <c r="L178" s="1" t="s">
        <v>61</v>
      </c>
      <c r="M178" s="1" t="s">
        <v>62</v>
      </c>
      <c r="N178" s="1">
        <v>-119.0</v>
      </c>
      <c r="O178" s="1">
        <v>0.0157444210006477</v>
      </c>
      <c r="P178" s="1" t="s">
        <v>61</v>
      </c>
      <c r="Q178" s="1" t="s">
        <v>61</v>
      </c>
      <c r="R178" s="1">
        <f t="shared" si="1"/>
        <v>0.015744421</v>
      </c>
      <c r="S178" s="1">
        <f t="shared" si="2"/>
        <v>-119</v>
      </c>
      <c r="T178" s="1">
        <f t="shared" si="3"/>
        <v>1.840336134</v>
      </c>
      <c r="U178" s="1">
        <f t="shared" si="4"/>
        <v>0</v>
      </c>
      <c r="V178" s="3">
        <f t="shared" si="5"/>
        <v>1</v>
      </c>
      <c r="W178" s="3">
        <f t="shared" si="6"/>
        <v>3</v>
      </c>
      <c r="X178" s="3" t="str">
        <f>IFERROR(__xludf.DUMMYFUNCTION("split(B178,"" "")"),"K.")</f>
        <v>K.</v>
      </c>
      <c r="Y178" s="3" t="str">
        <f>IFERROR(__xludf.DUMMYFUNCTION("""COMPUTED_VALUE"""),"Williams")</f>
        <v>Williams</v>
      </c>
      <c r="AA178" s="3">
        <v>94.0</v>
      </c>
      <c r="AB178" s="3">
        <f t="shared" si="7"/>
        <v>1</v>
      </c>
      <c r="AC178" s="3">
        <f t="shared" si="8"/>
        <v>0</v>
      </c>
      <c r="AD178" s="3">
        <f t="shared" si="9"/>
        <v>0.8403361345</v>
      </c>
      <c r="AE178" s="3">
        <f t="shared" si="10"/>
        <v>-1</v>
      </c>
      <c r="AF178" s="3">
        <f t="shared" si="11"/>
        <v>-3</v>
      </c>
      <c r="AG178" s="3">
        <f t="shared" si="12"/>
        <v>-0.2450331126</v>
      </c>
    </row>
    <row r="179">
      <c r="A179" s="1" t="s">
        <v>11</v>
      </c>
      <c r="B179" s="1" t="s">
        <v>284</v>
      </c>
      <c r="C179" s="1" t="s">
        <v>18</v>
      </c>
      <c r="D179" s="1" t="s">
        <v>196</v>
      </c>
      <c r="E179" s="1" t="s">
        <v>99</v>
      </c>
      <c r="F179" s="1" t="s">
        <v>564</v>
      </c>
      <c r="G179" s="1">
        <v>40.5</v>
      </c>
      <c r="H179" s="1" t="s">
        <v>60</v>
      </c>
      <c r="I179" s="1">
        <v>-112.0</v>
      </c>
      <c r="J179" s="1">
        <v>0.0102077440877358</v>
      </c>
      <c r="K179" s="1" t="s">
        <v>61</v>
      </c>
      <c r="L179" s="1" t="s">
        <v>61</v>
      </c>
      <c r="M179" s="1" t="s">
        <v>62</v>
      </c>
      <c r="N179" s="1">
        <v>-118.0</v>
      </c>
      <c r="O179" s="1">
        <v>-0.0797665936655595</v>
      </c>
      <c r="P179" s="1" t="s">
        <v>61</v>
      </c>
      <c r="Q179" s="1" t="s">
        <v>61</v>
      </c>
      <c r="R179" s="1">
        <f t="shared" si="1"/>
        <v>0.01020774409</v>
      </c>
      <c r="S179" s="1">
        <f t="shared" si="2"/>
        <v>-112</v>
      </c>
      <c r="T179" s="1">
        <f t="shared" si="3"/>
        <v>1.892857143</v>
      </c>
      <c r="U179" s="1">
        <f t="shared" si="4"/>
        <v>1</v>
      </c>
      <c r="V179" s="3">
        <f t="shared" si="5"/>
        <v>1</v>
      </c>
      <c r="W179" s="3">
        <f t="shared" si="6"/>
        <v>2</v>
      </c>
      <c r="X179" s="3" t="str">
        <f>IFERROR(__xludf.DUMMYFUNCTION("split(B179,"" "")"),"D.")</f>
        <v>D.</v>
      </c>
      <c r="Y179" s="3" t="str">
        <f>IFERROR(__xludf.DUMMYFUNCTION("""COMPUTED_VALUE"""),"Robinson")</f>
        <v>Robinson</v>
      </c>
      <c r="AA179" s="3">
        <v>37.0</v>
      </c>
      <c r="AB179" s="3">
        <f t="shared" si="7"/>
        <v>0</v>
      </c>
      <c r="AC179" s="3">
        <f t="shared" si="8"/>
        <v>0</v>
      </c>
      <c r="AD179" s="3">
        <f t="shared" si="9"/>
        <v>0.8928571429</v>
      </c>
      <c r="AE179" s="3">
        <f t="shared" si="10"/>
        <v>-1</v>
      </c>
      <c r="AF179" s="3">
        <f t="shared" si="11"/>
        <v>-2</v>
      </c>
      <c r="AG179" s="3">
        <f t="shared" si="12"/>
        <v>-0.08641975309</v>
      </c>
    </row>
    <row r="180">
      <c r="A180" s="1" t="s">
        <v>12</v>
      </c>
      <c r="B180" s="1" t="s">
        <v>477</v>
      </c>
      <c r="C180" s="1" t="s">
        <v>18</v>
      </c>
      <c r="D180" s="1" t="s">
        <v>196</v>
      </c>
      <c r="E180" s="1" t="s">
        <v>99</v>
      </c>
      <c r="F180" s="1" t="s">
        <v>564</v>
      </c>
      <c r="G180" s="1">
        <v>2.5</v>
      </c>
      <c r="H180" s="1" t="s">
        <v>60</v>
      </c>
      <c r="I180" s="1">
        <v>-125.0</v>
      </c>
      <c r="J180" s="1">
        <v>-0.0760555555555556</v>
      </c>
      <c r="K180" s="1" t="s">
        <v>61</v>
      </c>
      <c r="L180" s="1" t="s">
        <v>61</v>
      </c>
      <c r="M180" s="1" t="s">
        <v>62</v>
      </c>
      <c r="N180" s="1">
        <v>-105.0</v>
      </c>
      <c r="O180" s="1">
        <v>0.00830487804878044</v>
      </c>
      <c r="P180" s="1" t="s">
        <v>61</v>
      </c>
      <c r="Q180" s="1" t="s">
        <v>61</v>
      </c>
      <c r="R180" s="1">
        <f t="shared" si="1"/>
        <v>0.008304878049</v>
      </c>
      <c r="S180" s="1">
        <f t="shared" si="2"/>
        <v>-105</v>
      </c>
      <c r="T180" s="1">
        <f t="shared" si="3"/>
        <v>1.952380952</v>
      </c>
      <c r="U180" s="1">
        <f t="shared" si="4"/>
        <v>0</v>
      </c>
      <c r="V180" s="3">
        <f t="shared" si="5"/>
        <v>1</v>
      </c>
      <c r="W180" s="3">
        <f t="shared" si="6"/>
        <v>2</v>
      </c>
      <c r="X180" s="3" t="str">
        <f>IFERROR(__xludf.DUMMYFUNCTION("split(B180,"" "")"),"T.")</f>
        <v>T.</v>
      </c>
      <c r="Y180" s="3" t="str">
        <f>IFERROR(__xludf.DUMMYFUNCTION("""COMPUTED_VALUE"""),"Johnson")</f>
        <v>Johnson</v>
      </c>
      <c r="AA180" s="3">
        <v>0.0</v>
      </c>
      <c r="AB180" s="3">
        <f t="shared" si="7"/>
        <v>0</v>
      </c>
      <c r="AC180" s="3">
        <f t="shared" si="8"/>
        <v>1</v>
      </c>
      <c r="AD180" s="3">
        <f t="shared" si="9"/>
        <v>0.9523809524</v>
      </c>
      <c r="AE180" s="3">
        <f t="shared" si="10"/>
        <v>0.9523809524</v>
      </c>
      <c r="AF180" s="3">
        <f t="shared" si="11"/>
        <v>1.904761905</v>
      </c>
      <c r="AG180" s="3">
        <f t="shared" si="12"/>
        <v>1</v>
      </c>
    </row>
    <row r="181">
      <c r="A181" s="1" t="s">
        <v>11</v>
      </c>
      <c r="B181" s="1" t="s">
        <v>477</v>
      </c>
      <c r="C181" s="1" t="s">
        <v>18</v>
      </c>
      <c r="D181" s="1" t="s">
        <v>196</v>
      </c>
      <c r="E181" s="1" t="s">
        <v>99</v>
      </c>
      <c r="F181" s="1" t="s">
        <v>564</v>
      </c>
      <c r="G181" s="1">
        <v>26.5</v>
      </c>
      <c r="H181" s="1" t="s">
        <v>60</v>
      </c>
      <c r="I181" s="1">
        <v>-112.0</v>
      </c>
      <c r="J181" s="1">
        <v>0.00661801430292441</v>
      </c>
      <c r="K181" s="1" t="s">
        <v>61</v>
      </c>
      <c r="L181" s="1" t="s">
        <v>61</v>
      </c>
      <c r="M181" s="1" t="s">
        <v>62</v>
      </c>
      <c r="N181" s="1">
        <v>-117.0</v>
      </c>
      <c r="O181" s="1">
        <v>-0.0740938334356559</v>
      </c>
      <c r="P181" s="1" t="s">
        <v>61</v>
      </c>
      <c r="Q181" s="1" t="s">
        <v>61</v>
      </c>
      <c r="R181" s="1">
        <f t="shared" si="1"/>
        <v>0.006618014303</v>
      </c>
      <c r="S181" s="1">
        <f t="shared" si="2"/>
        <v>-112</v>
      </c>
      <c r="T181" s="1">
        <f t="shared" si="3"/>
        <v>1.892857143</v>
      </c>
      <c r="U181" s="1">
        <f t="shared" si="4"/>
        <v>1</v>
      </c>
      <c r="V181" s="3">
        <f t="shared" si="5"/>
        <v>1</v>
      </c>
      <c r="W181" s="3">
        <f t="shared" si="6"/>
        <v>2</v>
      </c>
      <c r="X181" s="3" t="str">
        <f>IFERROR(__xludf.DUMMYFUNCTION("split(B181,"" "")"),"T.")</f>
        <v>T.</v>
      </c>
      <c r="Y181" s="3" t="str">
        <f>IFERROR(__xludf.DUMMYFUNCTION("""COMPUTED_VALUE"""),"Johnson")</f>
        <v>Johnson</v>
      </c>
      <c r="AA181" s="3">
        <v>0.0</v>
      </c>
      <c r="AB181" s="3">
        <f t="shared" si="7"/>
        <v>0</v>
      </c>
      <c r="AC181" s="3">
        <f t="shared" si="8"/>
        <v>0</v>
      </c>
      <c r="AD181" s="3">
        <f t="shared" si="9"/>
        <v>0.8928571429</v>
      </c>
      <c r="AE181" s="3">
        <f t="shared" si="10"/>
        <v>-1</v>
      </c>
      <c r="AF181" s="3">
        <f t="shared" si="11"/>
        <v>-2</v>
      </c>
      <c r="AG181" s="3">
        <f t="shared" si="12"/>
        <v>-1</v>
      </c>
    </row>
    <row r="182">
      <c r="A182" s="1" t="s">
        <v>9</v>
      </c>
      <c r="B182" s="1" t="s">
        <v>237</v>
      </c>
      <c r="C182" s="1" t="s">
        <v>18</v>
      </c>
      <c r="D182" s="1" t="s">
        <v>76</v>
      </c>
      <c r="E182" s="1" t="s">
        <v>135</v>
      </c>
      <c r="F182" s="1" t="s">
        <v>570</v>
      </c>
      <c r="G182" s="1">
        <v>15.5</v>
      </c>
      <c r="H182" s="1" t="s">
        <v>60</v>
      </c>
      <c r="I182" s="1">
        <v>-117.0</v>
      </c>
      <c r="J182" s="1">
        <v>0.144790809146933</v>
      </c>
      <c r="K182" s="1" t="s">
        <v>61</v>
      </c>
      <c r="L182" s="1" t="s">
        <v>61</v>
      </c>
      <c r="M182" s="1" t="s">
        <v>62</v>
      </c>
      <c r="N182" s="1">
        <v>-118.0</v>
      </c>
      <c r="O182" s="1">
        <v>-0.225221507294329</v>
      </c>
      <c r="P182" s="1" t="s">
        <v>61</v>
      </c>
      <c r="Q182" s="1" t="s">
        <v>61</v>
      </c>
      <c r="R182" s="1">
        <f t="shared" si="1"/>
        <v>0.1447908091</v>
      </c>
      <c r="S182" s="1">
        <f t="shared" si="2"/>
        <v>-117</v>
      </c>
      <c r="T182" s="1">
        <f t="shared" si="3"/>
        <v>1.854700855</v>
      </c>
      <c r="U182" s="1">
        <f t="shared" si="4"/>
        <v>1</v>
      </c>
      <c r="V182" s="3">
        <f t="shared" si="5"/>
        <v>3</v>
      </c>
      <c r="W182" s="3">
        <f t="shared" si="6"/>
        <v>2</v>
      </c>
      <c r="X182" s="3" t="str">
        <f>IFERROR(__xludf.DUMMYFUNCTION("split(B182,"" "")"),"J.")</f>
        <v>J.</v>
      </c>
      <c r="Y182" s="3" t="str">
        <f>IFERROR(__xludf.DUMMYFUNCTION("""COMPUTED_VALUE"""),"Watson")</f>
        <v>Watson</v>
      </c>
      <c r="AA182" s="3">
        <v>27.0</v>
      </c>
      <c r="AB182" s="3">
        <f t="shared" si="7"/>
        <v>1</v>
      </c>
      <c r="AC182" s="3">
        <f t="shared" si="8"/>
        <v>1</v>
      </c>
      <c r="AD182" s="3">
        <f t="shared" si="9"/>
        <v>2.564102564</v>
      </c>
      <c r="AE182" s="3">
        <f t="shared" si="10"/>
        <v>2.564102564</v>
      </c>
      <c r="AF182" s="3">
        <f t="shared" si="11"/>
        <v>1.709401709</v>
      </c>
      <c r="AG182" s="3">
        <f t="shared" si="12"/>
        <v>0.7419354839</v>
      </c>
    </row>
    <row r="183">
      <c r="A183" s="1" t="s">
        <v>11</v>
      </c>
      <c r="B183" s="1" t="s">
        <v>542</v>
      </c>
      <c r="C183" s="1" t="s">
        <v>19</v>
      </c>
      <c r="D183" s="1" t="s">
        <v>76</v>
      </c>
      <c r="E183" s="1" t="s">
        <v>135</v>
      </c>
      <c r="F183" s="1" t="s">
        <v>570</v>
      </c>
      <c r="G183" s="1">
        <v>4.5</v>
      </c>
      <c r="H183" s="1" t="s">
        <v>60</v>
      </c>
      <c r="I183" s="1">
        <v>-114.0</v>
      </c>
      <c r="J183" s="1">
        <v>0.115108261179542</v>
      </c>
      <c r="K183" s="1" t="s">
        <v>61</v>
      </c>
      <c r="L183" s="1" t="s">
        <v>61</v>
      </c>
      <c r="M183" s="1" t="s">
        <v>62</v>
      </c>
      <c r="N183" s="1">
        <v>-113.0</v>
      </c>
      <c r="O183" s="1">
        <v>-0.178351012762615</v>
      </c>
      <c r="P183" s="1" t="s">
        <v>61</v>
      </c>
      <c r="Q183" s="1" t="s">
        <v>61</v>
      </c>
      <c r="R183" s="1">
        <f t="shared" si="1"/>
        <v>0.1151082612</v>
      </c>
      <c r="S183" s="1">
        <f t="shared" si="2"/>
        <v>-114</v>
      </c>
      <c r="T183" s="1">
        <f t="shared" si="3"/>
        <v>1.877192982</v>
      </c>
      <c r="U183" s="1">
        <f t="shared" si="4"/>
        <v>1</v>
      </c>
      <c r="V183" s="3">
        <f t="shared" si="5"/>
        <v>3</v>
      </c>
      <c r="W183" s="3">
        <f t="shared" si="6"/>
        <v>2</v>
      </c>
      <c r="X183" s="3" t="str">
        <f>IFERROR(__xludf.DUMMYFUNCTION("split(B183,"" "")"),"C.")</f>
        <v>C.</v>
      </c>
      <c r="Y183" s="3" t="str">
        <f>IFERROR(__xludf.DUMMYFUNCTION("""COMPUTED_VALUE"""),"Steele")</f>
        <v>Steele</v>
      </c>
      <c r="AA183" s="3">
        <v>0.0</v>
      </c>
      <c r="AB183" s="3">
        <f t="shared" si="7"/>
        <v>0</v>
      </c>
      <c r="AC183" s="3">
        <f t="shared" si="8"/>
        <v>0</v>
      </c>
      <c r="AD183" s="3">
        <f t="shared" si="9"/>
        <v>2.631578947</v>
      </c>
      <c r="AE183" s="3">
        <f t="shared" si="10"/>
        <v>-3</v>
      </c>
      <c r="AF183" s="3">
        <f t="shared" si="11"/>
        <v>-2</v>
      </c>
      <c r="AG183" s="3">
        <f t="shared" si="12"/>
        <v>-1</v>
      </c>
    </row>
    <row r="184">
      <c r="A184" s="1" t="s">
        <v>12</v>
      </c>
      <c r="B184" s="1" t="s">
        <v>237</v>
      </c>
      <c r="C184" s="1" t="s">
        <v>18</v>
      </c>
      <c r="D184" s="1" t="s">
        <v>76</v>
      </c>
      <c r="E184" s="1" t="s">
        <v>135</v>
      </c>
      <c r="F184" s="1" t="s">
        <v>570</v>
      </c>
      <c r="G184" s="1">
        <v>1.5</v>
      </c>
      <c r="H184" s="1" t="s">
        <v>60</v>
      </c>
      <c r="I184" s="1">
        <v>-105.0</v>
      </c>
      <c r="J184" s="1">
        <v>-0.169087776570731</v>
      </c>
      <c r="K184" s="1" t="s">
        <v>61</v>
      </c>
      <c r="L184" s="1" t="s">
        <v>61</v>
      </c>
      <c r="M184" s="1" t="s">
        <v>62</v>
      </c>
      <c r="N184" s="1">
        <v>-126.0</v>
      </c>
      <c r="O184" s="1">
        <v>0.0993694809213273</v>
      </c>
      <c r="P184" s="1" t="s">
        <v>61</v>
      </c>
      <c r="Q184" s="1" t="s">
        <v>61</v>
      </c>
      <c r="R184" s="1">
        <f t="shared" si="1"/>
        <v>0.09936948092</v>
      </c>
      <c r="S184" s="1">
        <f t="shared" si="2"/>
        <v>-126</v>
      </c>
      <c r="T184" s="1">
        <f t="shared" si="3"/>
        <v>1.793650794</v>
      </c>
      <c r="U184" s="1">
        <f t="shared" si="4"/>
        <v>0</v>
      </c>
      <c r="V184" s="3">
        <f t="shared" si="5"/>
        <v>2</v>
      </c>
      <c r="W184" s="3">
        <f t="shared" si="6"/>
        <v>3</v>
      </c>
      <c r="X184" s="3" t="str">
        <f>IFERROR(__xludf.DUMMYFUNCTION("split(B184,"" "")"),"J.")</f>
        <v>J.</v>
      </c>
      <c r="Y184" s="3" t="str">
        <f>IFERROR(__xludf.DUMMYFUNCTION("""COMPUTED_VALUE"""),"Watson")</f>
        <v>Watson</v>
      </c>
      <c r="AA184" s="3">
        <v>2.0</v>
      </c>
      <c r="AB184" s="3">
        <f t="shared" si="7"/>
        <v>1</v>
      </c>
      <c r="AC184" s="3">
        <f t="shared" si="8"/>
        <v>0</v>
      </c>
      <c r="AD184" s="3">
        <f t="shared" si="9"/>
        <v>1.587301587</v>
      </c>
      <c r="AE184" s="3">
        <f t="shared" si="10"/>
        <v>-2</v>
      </c>
      <c r="AF184" s="3">
        <f t="shared" si="11"/>
        <v>-3</v>
      </c>
      <c r="AG184" s="3">
        <f t="shared" si="12"/>
        <v>-0.3333333333</v>
      </c>
    </row>
    <row r="185">
      <c r="A185" s="1" t="s">
        <v>10</v>
      </c>
      <c r="B185" s="1" t="s">
        <v>295</v>
      </c>
      <c r="C185" s="1" t="s">
        <v>18</v>
      </c>
      <c r="D185" s="1" t="s">
        <v>76</v>
      </c>
      <c r="E185" s="1" t="s">
        <v>135</v>
      </c>
      <c r="F185" s="1" t="s">
        <v>570</v>
      </c>
      <c r="G185" s="1">
        <v>0.5</v>
      </c>
      <c r="H185" s="1" t="s">
        <v>60</v>
      </c>
      <c r="I185" s="1">
        <v>-119.0</v>
      </c>
      <c r="J185" s="1">
        <v>0.078905658320565</v>
      </c>
      <c r="K185" s="1" t="s">
        <v>61</v>
      </c>
      <c r="L185" s="1" t="s">
        <v>61</v>
      </c>
      <c r="M185" s="1" t="s">
        <v>62</v>
      </c>
      <c r="N185" s="1">
        <v>-110.0</v>
      </c>
      <c r="O185" s="1">
        <v>-0.146077205187733</v>
      </c>
      <c r="P185" s="1" t="s">
        <v>61</v>
      </c>
      <c r="Q185" s="1" t="s">
        <v>61</v>
      </c>
      <c r="R185" s="1">
        <f t="shared" si="1"/>
        <v>0.07890565832</v>
      </c>
      <c r="S185" s="1">
        <f t="shared" si="2"/>
        <v>-119</v>
      </c>
      <c r="T185" s="1">
        <f t="shared" si="3"/>
        <v>1.840336134</v>
      </c>
      <c r="U185" s="1">
        <f t="shared" si="4"/>
        <v>1</v>
      </c>
      <c r="V185" s="3">
        <f t="shared" si="5"/>
        <v>2</v>
      </c>
      <c r="W185" s="3">
        <f t="shared" si="6"/>
        <v>3</v>
      </c>
      <c r="X185" s="3" t="str">
        <f>IFERROR(__xludf.DUMMYFUNCTION("split(B185,"" "")"),"X.")</f>
        <v>X.</v>
      </c>
      <c r="Y185" s="3" t="str">
        <f>IFERROR(__xludf.DUMMYFUNCTION("""COMPUTED_VALUE"""),"Worthy")</f>
        <v>Worthy</v>
      </c>
      <c r="AA185" s="3">
        <v>0.0</v>
      </c>
      <c r="AB185" s="3">
        <f t="shared" si="7"/>
        <v>0</v>
      </c>
      <c r="AC185" s="3">
        <f t="shared" si="8"/>
        <v>0</v>
      </c>
      <c r="AD185" s="3">
        <f t="shared" si="9"/>
        <v>1.680672269</v>
      </c>
      <c r="AE185" s="3">
        <f t="shared" si="10"/>
        <v>-2</v>
      </c>
      <c r="AF185" s="3">
        <f t="shared" si="11"/>
        <v>-3</v>
      </c>
      <c r="AG185" s="3">
        <f t="shared" si="12"/>
        <v>-1</v>
      </c>
    </row>
    <row r="186">
      <c r="A186" s="1" t="s">
        <v>12</v>
      </c>
      <c r="B186" s="1" t="s">
        <v>542</v>
      </c>
      <c r="C186" s="1" t="s">
        <v>19</v>
      </c>
      <c r="D186" s="1" t="s">
        <v>76</v>
      </c>
      <c r="E186" s="1" t="s">
        <v>135</v>
      </c>
      <c r="F186" s="1" t="s">
        <v>570</v>
      </c>
      <c r="G186" s="1">
        <v>0.5</v>
      </c>
      <c r="H186" s="1" t="s">
        <v>60</v>
      </c>
      <c r="I186" s="1">
        <v>105.0</v>
      </c>
      <c r="J186" s="1">
        <v>0.0701477057162438</v>
      </c>
      <c r="K186" s="1" t="s">
        <v>61</v>
      </c>
      <c r="L186" s="1" t="s">
        <v>61</v>
      </c>
      <c r="M186" s="1" t="s">
        <v>62</v>
      </c>
      <c r="N186" s="1">
        <v>-135.0</v>
      </c>
      <c r="O186" s="1">
        <v>-0.132414903979617</v>
      </c>
      <c r="P186" s="1" t="s">
        <v>61</v>
      </c>
      <c r="Q186" s="1" t="s">
        <v>61</v>
      </c>
      <c r="R186" s="1">
        <f t="shared" si="1"/>
        <v>0.07014770572</v>
      </c>
      <c r="S186" s="1">
        <f t="shared" si="2"/>
        <v>105</v>
      </c>
      <c r="T186" s="1">
        <f t="shared" si="3"/>
        <v>2.05</v>
      </c>
      <c r="U186" s="1">
        <f t="shared" si="4"/>
        <v>1</v>
      </c>
      <c r="V186" s="3">
        <f t="shared" si="5"/>
        <v>2</v>
      </c>
      <c r="W186" s="3">
        <f t="shared" si="6"/>
        <v>2</v>
      </c>
      <c r="X186" s="3" t="str">
        <f>IFERROR(__xludf.DUMMYFUNCTION("split(B186,"" "")"),"C.")</f>
        <v>C.</v>
      </c>
      <c r="Y186" s="3" t="str">
        <f>IFERROR(__xludf.DUMMYFUNCTION("""COMPUTED_VALUE"""),"Steele")</f>
        <v>Steele</v>
      </c>
      <c r="AA186" s="3">
        <v>1.0</v>
      </c>
      <c r="AB186" s="3">
        <f t="shared" si="7"/>
        <v>1</v>
      </c>
      <c r="AC186" s="3">
        <f t="shared" si="8"/>
        <v>1</v>
      </c>
      <c r="AD186" s="3">
        <f t="shared" si="9"/>
        <v>2.1</v>
      </c>
      <c r="AE186" s="3">
        <f t="shared" si="10"/>
        <v>2.1</v>
      </c>
      <c r="AF186" s="3">
        <f t="shared" si="11"/>
        <v>2.1</v>
      </c>
      <c r="AG186" s="3">
        <f t="shared" si="12"/>
        <v>1</v>
      </c>
    </row>
    <row r="187">
      <c r="A187" s="1" t="s">
        <v>8</v>
      </c>
      <c r="B187" s="1" t="s">
        <v>75</v>
      </c>
      <c r="C187" s="1" t="s">
        <v>21</v>
      </c>
      <c r="D187" s="1" t="s">
        <v>76</v>
      </c>
      <c r="E187" s="1" t="s">
        <v>135</v>
      </c>
      <c r="F187" s="1" t="s">
        <v>570</v>
      </c>
      <c r="G187" s="1">
        <v>4.5</v>
      </c>
      <c r="H187" s="1" t="s">
        <v>60</v>
      </c>
      <c r="I187" s="1">
        <v>106.0</v>
      </c>
      <c r="J187" s="1">
        <v>-0.130127310864959</v>
      </c>
      <c r="K187" s="1" t="s">
        <v>61</v>
      </c>
      <c r="L187" s="1" t="s">
        <v>61</v>
      </c>
      <c r="M187" s="1" t="s">
        <v>62</v>
      </c>
      <c r="N187" s="1">
        <v>-142.0</v>
      </c>
      <c r="O187" s="1">
        <v>0.0579122133721262</v>
      </c>
      <c r="P187" s="1" t="s">
        <v>61</v>
      </c>
      <c r="Q187" s="1" t="s">
        <v>61</v>
      </c>
      <c r="R187" s="1">
        <f t="shared" si="1"/>
        <v>0.05791221337</v>
      </c>
      <c r="S187" s="1">
        <f t="shared" si="2"/>
        <v>-142</v>
      </c>
      <c r="T187" s="1">
        <f t="shared" si="3"/>
        <v>1.704225352</v>
      </c>
      <c r="U187" s="1">
        <f t="shared" si="4"/>
        <v>0</v>
      </c>
      <c r="V187" s="3">
        <f t="shared" si="5"/>
        <v>2</v>
      </c>
      <c r="W187" s="3">
        <f t="shared" si="6"/>
        <v>3</v>
      </c>
      <c r="X187" s="3" t="str">
        <f>IFERROR(__xludf.DUMMYFUNCTION("split(B187,"" "")"),"P.")</f>
        <v>P.</v>
      </c>
      <c r="Y187" s="3" t="str">
        <f>IFERROR(__xludf.DUMMYFUNCTION("""COMPUTED_VALUE"""),"Mahomes")</f>
        <v>Mahomes</v>
      </c>
      <c r="AA187" s="3">
        <v>5.0</v>
      </c>
      <c r="AB187" s="3">
        <f t="shared" si="7"/>
        <v>1</v>
      </c>
      <c r="AC187" s="3">
        <f t="shared" si="8"/>
        <v>0</v>
      </c>
      <c r="AD187" s="3">
        <f t="shared" si="9"/>
        <v>1.408450704</v>
      </c>
      <c r="AE187" s="3">
        <f t="shared" si="10"/>
        <v>-2</v>
      </c>
      <c r="AF187" s="3">
        <f t="shared" si="11"/>
        <v>-3</v>
      </c>
      <c r="AG187" s="3">
        <f t="shared" si="12"/>
        <v>-0.1111111111</v>
      </c>
    </row>
    <row r="188">
      <c r="A188" s="1" t="s">
        <v>12</v>
      </c>
      <c r="B188" s="1" t="s">
        <v>468</v>
      </c>
      <c r="C188" s="1" t="s">
        <v>20</v>
      </c>
      <c r="D188" s="1" t="s">
        <v>76</v>
      </c>
      <c r="E188" s="1" t="s">
        <v>135</v>
      </c>
      <c r="F188" s="1" t="s">
        <v>570</v>
      </c>
      <c r="G188" s="1">
        <v>1.5</v>
      </c>
      <c r="H188" s="1" t="s">
        <v>60</v>
      </c>
      <c r="I188" s="1">
        <v>125.0</v>
      </c>
      <c r="J188" s="1">
        <v>-0.107036679561111</v>
      </c>
      <c r="K188" s="1" t="s">
        <v>61</v>
      </c>
      <c r="L188" s="1" t="s">
        <v>61</v>
      </c>
      <c r="M188" s="1" t="s">
        <v>62</v>
      </c>
      <c r="N188" s="1">
        <v>-165.0</v>
      </c>
      <c r="O188" s="1">
        <v>0.039949788036415</v>
      </c>
      <c r="P188" s="1" t="s">
        <v>61</v>
      </c>
      <c r="Q188" s="1" t="s">
        <v>61</v>
      </c>
      <c r="R188" s="1">
        <f t="shared" si="1"/>
        <v>0.03994978804</v>
      </c>
      <c r="S188" s="1">
        <f t="shared" si="2"/>
        <v>-165</v>
      </c>
      <c r="T188" s="1">
        <f t="shared" si="3"/>
        <v>1.606060606</v>
      </c>
      <c r="U188" s="1">
        <f t="shared" si="4"/>
        <v>0</v>
      </c>
      <c r="V188" s="3">
        <f t="shared" si="5"/>
        <v>1</v>
      </c>
      <c r="W188" s="3">
        <f t="shared" si="6"/>
        <v>3</v>
      </c>
      <c r="X188" s="3" t="str">
        <f>IFERROR(__xludf.DUMMYFUNCTION("split(B188,"" "")"),"N.")</f>
        <v>N.</v>
      </c>
      <c r="Y188" s="3" t="str">
        <f>IFERROR(__xludf.DUMMYFUNCTION("""COMPUTED_VALUE"""),"Gray")</f>
        <v>Gray</v>
      </c>
      <c r="AA188" s="3">
        <v>4.0</v>
      </c>
      <c r="AB188" s="3">
        <f t="shared" si="7"/>
        <v>1</v>
      </c>
      <c r="AC188" s="3">
        <f t="shared" si="8"/>
        <v>0</v>
      </c>
      <c r="AD188" s="3">
        <f t="shared" si="9"/>
        <v>0.6060606061</v>
      </c>
      <c r="AE188" s="3">
        <f t="shared" si="10"/>
        <v>-1</v>
      </c>
      <c r="AF188" s="3">
        <f t="shared" si="11"/>
        <v>-3</v>
      </c>
      <c r="AG188" s="3">
        <f t="shared" si="12"/>
        <v>-1.666666667</v>
      </c>
    </row>
    <row r="189">
      <c r="A189" s="1" t="s">
        <v>17</v>
      </c>
      <c r="B189" s="1" t="s">
        <v>75</v>
      </c>
      <c r="C189" s="1" t="s">
        <v>21</v>
      </c>
      <c r="D189" s="1" t="s">
        <v>76</v>
      </c>
      <c r="E189" s="1" t="s">
        <v>135</v>
      </c>
      <c r="F189" s="1" t="s">
        <v>570</v>
      </c>
      <c r="G189" s="1">
        <v>0.5</v>
      </c>
      <c r="H189" s="1" t="s">
        <v>60</v>
      </c>
      <c r="I189" s="1">
        <v>-120.0</v>
      </c>
      <c r="J189" s="1">
        <v>-0.102954545454545</v>
      </c>
      <c r="K189" s="1" t="s">
        <v>61</v>
      </c>
      <c r="L189" s="1" t="s">
        <v>61</v>
      </c>
      <c r="M189" s="1" t="s">
        <v>62</v>
      </c>
      <c r="N189" s="1">
        <v>-109.0</v>
      </c>
      <c r="O189" s="1">
        <v>0.0359688995215312</v>
      </c>
      <c r="P189" s="1" t="s">
        <v>61</v>
      </c>
      <c r="Q189" s="1" t="s">
        <v>61</v>
      </c>
      <c r="R189" s="1">
        <f t="shared" si="1"/>
        <v>0.03596889952</v>
      </c>
      <c r="S189" s="1">
        <f t="shared" si="2"/>
        <v>-109</v>
      </c>
      <c r="T189" s="1">
        <f t="shared" si="3"/>
        <v>1.917431193</v>
      </c>
      <c r="U189" s="1">
        <f t="shared" si="4"/>
        <v>0</v>
      </c>
      <c r="V189" s="3">
        <f t="shared" si="5"/>
        <v>1</v>
      </c>
      <c r="W189" s="3">
        <f t="shared" si="6"/>
        <v>2</v>
      </c>
      <c r="X189" s="3" t="str">
        <f>IFERROR(__xludf.DUMMYFUNCTION("split(B189,"" "")"),"P.")</f>
        <v>P.</v>
      </c>
      <c r="Y189" s="3" t="str">
        <f>IFERROR(__xludf.DUMMYFUNCTION("""COMPUTED_VALUE"""),"Mahomes")</f>
        <v>Mahomes</v>
      </c>
      <c r="AA189" s="3">
        <v>1.0</v>
      </c>
      <c r="AB189" s="3">
        <f t="shared" si="7"/>
        <v>1</v>
      </c>
      <c r="AC189" s="3">
        <f t="shared" si="8"/>
        <v>0</v>
      </c>
      <c r="AD189" s="3">
        <f t="shared" si="9"/>
        <v>0.9174311927</v>
      </c>
      <c r="AE189" s="3">
        <f t="shared" si="10"/>
        <v>-1</v>
      </c>
      <c r="AF189" s="3">
        <f t="shared" si="11"/>
        <v>-2</v>
      </c>
      <c r="AG189" s="3">
        <f t="shared" si="12"/>
        <v>-1</v>
      </c>
    </row>
    <row r="190">
      <c r="A190" s="1" t="s">
        <v>10</v>
      </c>
      <c r="B190" s="1" t="s">
        <v>75</v>
      </c>
      <c r="C190" s="1" t="s">
        <v>21</v>
      </c>
      <c r="D190" s="1" t="s">
        <v>76</v>
      </c>
      <c r="E190" s="1" t="s">
        <v>135</v>
      </c>
      <c r="F190" s="1" t="s">
        <v>570</v>
      </c>
      <c r="G190" s="1">
        <v>18.5</v>
      </c>
      <c r="H190" s="1" t="s">
        <v>60</v>
      </c>
      <c r="I190" s="1">
        <v>-111.0</v>
      </c>
      <c r="J190" s="1">
        <v>-0.0971364521137698</v>
      </c>
      <c r="K190" s="1" t="s">
        <v>61</v>
      </c>
      <c r="L190" s="1" t="s">
        <v>61</v>
      </c>
      <c r="M190" s="1" t="s">
        <v>62</v>
      </c>
      <c r="N190" s="1">
        <v>-118.0</v>
      </c>
      <c r="O190" s="1">
        <v>0.0298525038866349</v>
      </c>
      <c r="P190" s="1" t="s">
        <v>61</v>
      </c>
      <c r="Q190" s="1" t="s">
        <v>61</v>
      </c>
      <c r="R190" s="1">
        <f t="shared" si="1"/>
        <v>0.02985250389</v>
      </c>
      <c r="S190" s="1">
        <f t="shared" si="2"/>
        <v>-118</v>
      </c>
      <c r="T190" s="1">
        <f t="shared" si="3"/>
        <v>1.847457627</v>
      </c>
      <c r="U190" s="1">
        <f t="shared" si="4"/>
        <v>0</v>
      </c>
      <c r="V190" s="3">
        <f t="shared" si="5"/>
        <v>1</v>
      </c>
      <c r="W190" s="3">
        <f t="shared" si="6"/>
        <v>3</v>
      </c>
      <c r="X190" s="3" t="str">
        <f>IFERROR(__xludf.DUMMYFUNCTION("split(B190,"" "")"),"P.")</f>
        <v>P.</v>
      </c>
      <c r="Y190" s="3" t="str">
        <f>IFERROR(__xludf.DUMMYFUNCTION("""COMPUTED_VALUE"""),"Mahomes")</f>
        <v>Mahomes</v>
      </c>
      <c r="AA190" s="3">
        <v>12.0</v>
      </c>
      <c r="AB190" s="3">
        <f t="shared" si="7"/>
        <v>0</v>
      </c>
      <c r="AC190" s="3">
        <f t="shared" si="8"/>
        <v>1</v>
      </c>
      <c r="AD190" s="3">
        <f t="shared" si="9"/>
        <v>0.8474576271</v>
      </c>
      <c r="AE190" s="3">
        <f t="shared" si="10"/>
        <v>0.8474576271</v>
      </c>
      <c r="AF190" s="3">
        <f t="shared" si="11"/>
        <v>2.542372881</v>
      </c>
      <c r="AG190" s="3">
        <f t="shared" si="12"/>
        <v>0.3513513514</v>
      </c>
    </row>
    <row r="191">
      <c r="A191" s="1" t="s">
        <v>8</v>
      </c>
      <c r="B191" s="1" t="s">
        <v>542</v>
      </c>
      <c r="C191" s="1" t="s">
        <v>19</v>
      </c>
      <c r="D191" s="1" t="s">
        <v>76</v>
      </c>
      <c r="E191" s="1" t="s">
        <v>135</v>
      </c>
      <c r="F191" s="1" t="s">
        <v>570</v>
      </c>
      <c r="G191" s="1">
        <v>5.5</v>
      </c>
      <c r="H191" s="1" t="s">
        <v>60</v>
      </c>
      <c r="I191" s="1">
        <v>-135.0</v>
      </c>
      <c r="J191" s="1">
        <v>-0.089386116658312</v>
      </c>
      <c r="K191" s="1" t="s">
        <v>61</v>
      </c>
      <c r="L191" s="1" t="s">
        <v>61</v>
      </c>
      <c r="M191" s="1" t="s">
        <v>62</v>
      </c>
      <c r="N191" s="1">
        <v>105.0</v>
      </c>
      <c r="O191" s="1">
        <v>0.0271304264131869</v>
      </c>
      <c r="P191" s="1" t="s">
        <v>61</v>
      </c>
      <c r="Q191" s="1" t="s">
        <v>61</v>
      </c>
      <c r="R191" s="1">
        <f t="shared" si="1"/>
        <v>0.02713042641</v>
      </c>
      <c r="S191" s="1">
        <f t="shared" si="2"/>
        <v>105</v>
      </c>
      <c r="T191" s="1">
        <f t="shared" si="3"/>
        <v>2.05</v>
      </c>
      <c r="U191" s="1">
        <f t="shared" si="4"/>
        <v>0</v>
      </c>
      <c r="V191" s="3">
        <f t="shared" si="5"/>
        <v>1</v>
      </c>
      <c r="W191" s="3">
        <f t="shared" si="6"/>
        <v>2</v>
      </c>
      <c r="X191" s="3" t="str">
        <f>IFERROR(__xludf.DUMMYFUNCTION("split(B191,"" "")"),"C.")</f>
        <v>C.</v>
      </c>
      <c r="Y191" s="3" t="str">
        <f>IFERROR(__xludf.DUMMYFUNCTION("""COMPUTED_VALUE"""),"Steele")</f>
        <v>Steele</v>
      </c>
      <c r="AA191" s="3">
        <v>2.0</v>
      </c>
      <c r="AB191" s="3">
        <f t="shared" si="7"/>
        <v>0</v>
      </c>
      <c r="AC191" s="3">
        <f t="shared" si="8"/>
        <v>1</v>
      </c>
      <c r="AD191" s="3">
        <f t="shared" si="9"/>
        <v>1.05</v>
      </c>
      <c r="AE191" s="3">
        <f t="shared" si="10"/>
        <v>1.05</v>
      </c>
      <c r="AF191" s="3">
        <f t="shared" si="11"/>
        <v>2.1</v>
      </c>
      <c r="AG191" s="3">
        <f t="shared" si="12"/>
        <v>0.6363636364</v>
      </c>
    </row>
    <row r="192">
      <c r="A192" s="1" t="s">
        <v>12</v>
      </c>
      <c r="B192" s="1" t="s">
        <v>326</v>
      </c>
      <c r="C192" s="1" t="s">
        <v>20</v>
      </c>
      <c r="D192" s="1" t="s">
        <v>76</v>
      </c>
      <c r="E192" s="1" t="s">
        <v>135</v>
      </c>
      <c r="F192" s="1" t="s">
        <v>570</v>
      </c>
      <c r="G192" s="1">
        <v>4.5</v>
      </c>
      <c r="H192" s="1" t="s">
        <v>60</v>
      </c>
      <c r="I192" s="1">
        <v>-130.0</v>
      </c>
      <c r="J192" s="1">
        <v>-0.0911608695652174</v>
      </c>
      <c r="K192" s="1" t="s">
        <v>61</v>
      </c>
      <c r="L192" s="1" t="s">
        <v>61</v>
      </c>
      <c r="M192" s="1" t="s">
        <v>62</v>
      </c>
      <c r="N192" s="1">
        <v>100.0</v>
      </c>
      <c r="O192" s="1">
        <v>0.0259499999999999</v>
      </c>
      <c r="P192" s="1" t="s">
        <v>61</v>
      </c>
      <c r="Q192" s="1" t="s">
        <v>61</v>
      </c>
      <c r="R192" s="1">
        <f t="shared" si="1"/>
        <v>0.02595</v>
      </c>
      <c r="S192" s="1">
        <f t="shared" si="2"/>
        <v>100</v>
      </c>
      <c r="T192" s="1">
        <f t="shared" si="3"/>
        <v>2</v>
      </c>
      <c r="U192" s="1">
        <f t="shared" si="4"/>
        <v>0</v>
      </c>
      <c r="V192" s="3">
        <f t="shared" si="5"/>
        <v>1</v>
      </c>
      <c r="W192" s="3">
        <f t="shared" si="6"/>
        <v>2</v>
      </c>
      <c r="X192" s="3" t="str">
        <f>IFERROR(__xludf.DUMMYFUNCTION("split(B192,"" "")"),"T.")</f>
        <v>T.</v>
      </c>
      <c r="Y192" s="3" t="str">
        <f>IFERROR(__xludf.DUMMYFUNCTION("""COMPUTED_VALUE"""),"Kelce")</f>
        <v>Kelce</v>
      </c>
      <c r="AA192" s="3">
        <v>7.0</v>
      </c>
      <c r="AB192" s="3">
        <f t="shared" si="7"/>
        <v>1</v>
      </c>
      <c r="AC192" s="3">
        <f t="shared" si="8"/>
        <v>0</v>
      </c>
      <c r="AD192" s="3">
        <f t="shared" si="9"/>
        <v>1</v>
      </c>
      <c r="AE192" s="3">
        <f t="shared" si="10"/>
        <v>-1</v>
      </c>
      <c r="AF192" s="3">
        <f t="shared" si="11"/>
        <v>-2</v>
      </c>
      <c r="AG192" s="3">
        <f t="shared" si="12"/>
        <v>-0.5555555556</v>
      </c>
    </row>
    <row r="193">
      <c r="A193" s="1" t="s">
        <v>11</v>
      </c>
      <c r="B193" s="1" t="s">
        <v>326</v>
      </c>
      <c r="C193" s="1" t="s">
        <v>20</v>
      </c>
      <c r="D193" s="1" t="s">
        <v>76</v>
      </c>
      <c r="E193" s="1" t="s">
        <v>135</v>
      </c>
      <c r="F193" s="1" t="s">
        <v>570</v>
      </c>
      <c r="G193" s="1">
        <v>44.5</v>
      </c>
      <c r="H193" s="1" t="s">
        <v>60</v>
      </c>
      <c r="I193" s="1">
        <v>-118.0</v>
      </c>
      <c r="J193" s="1">
        <v>-0.0873874770198167</v>
      </c>
      <c r="K193" s="1" t="s">
        <v>61</v>
      </c>
      <c r="L193" s="1" t="s">
        <v>61</v>
      </c>
      <c r="M193" s="1" t="s">
        <v>62</v>
      </c>
      <c r="N193" s="1">
        <v>-111.0</v>
      </c>
      <c r="O193" s="1">
        <v>0.0200362293759385</v>
      </c>
      <c r="P193" s="1" t="s">
        <v>61</v>
      </c>
      <c r="Q193" s="1" t="s">
        <v>61</v>
      </c>
      <c r="R193" s="1">
        <f t="shared" si="1"/>
        <v>0.02003622938</v>
      </c>
      <c r="S193" s="1">
        <f t="shared" si="2"/>
        <v>-111</v>
      </c>
      <c r="T193" s="1">
        <f t="shared" si="3"/>
        <v>1.900900901</v>
      </c>
      <c r="U193" s="1">
        <f t="shared" si="4"/>
        <v>0</v>
      </c>
      <c r="V193" s="3">
        <f t="shared" si="5"/>
        <v>1</v>
      </c>
      <c r="W193" s="3">
        <f t="shared" si="6"/>
        <v>2</v>
      </c>
      <c r="X193" s="3" t="str">
        <f>IFERROR(__xludf.DUMMYFUNCTION("split(B193,"" "")"),"T.")</f>
        <v>T.</v>
      </c>
      <c r="Y193" s="3" t="str">
        <f>IFERROR(__xludf.DUMMYFUNCTION("""COMPUTED_VALUE"""),"Kelce")</f>
        <v>Kelce</v>
      </c>
      <c r="AA193" s="3">
        <v>89.0</v>
      </c>
      <c r="AB193" s="3">
        <f t="shared" si="7"/>
        <v>1</v>
      </c>
      <c r="AC193" s="3">
        <f t="shared" si="8"/>
        <v>0</v>
      </c>
      <c r="AD193" s="3">
        <f t="shared" si="9"/>
        <v>0.9009009009</v>
      </c>
      <c r="AE193" s="3">
        <f t="shared" si="10"/>
        <v>-1</v>
      </c>
      <c r="AF193" s="3">
        <f t="shared" si="11"/>
        <v>-2</v>
      </c>
      <c r="AG193" s="3">
        <f t="shared" si="12"/>
        <v>-1</v>
      </c>
    </row>
    <row r="194">
      <c r="A194" s="1" t="s">
        <v>15</v>
      </c>
      <c r="B194" s="1" t="s">
        <v>75</v>
      </c>
      <c r="C194" s="1" t="s">
        <v>21</v>
      </c>
      <c r="D194" s="1" t="s">
        <v>76</v>
      </c>
      <c r="E194" s="1" t="s">
        <v>135</v>
      </c>
      <c r="F194" s="1" t="s">
        <v>570</v>
      </c>
      <c r="G194" s="1">
        <v>24.5</v>
      </c>
      <c r="H194" s="1" t="s">
        <v>60</v>
      </c>
      <c r="I194" s="1">
        <v>-105.0</v>
      </c>
      <c r="J194" s="1">
        <v>0.0180536585365853</v>
      </c>
      <c r="K194" s="1" t="s">
        <v>61</v>
      </c>
      <c r="L194" s="1" t="s">
        <v>61</v>
      </c>
      <c r="M194" s="1" t="s">
        <v>62</v>
      </c>
      <c r="N194" s="1">
        <v>-124.0</v>
      </c>
      <c r="O194" s="1">
        <v>-0.0838267857142857</v>
      </c>
      <c r="P194" s="1" t="s">
        <v>61</v>
      </c>
      <c r="Q194" s="1" t="s">
        <v>61</v>
      </c>
      <c r="R194" s="1">
        <f t="shared" si="1"/>
        <v>0.01805365854</v>
      </c>
      <c r="S194" s="1">
        <f t="shared" si="2"/>
        <v>-105</v>
      </c>
      <c r="T194" s="1">
        <f t="shared" si="3"/>
        <v>1.952380952</v>
      </c>
      <c r="U194" s="1">
        <f t="shared" si="4"/>
        <v>1</v>
      </c>
      <c r="V194" s="3">
        <f t="shared" si="5"/>
        <v>1</v>
      </c>
      <c r="W194" s="3">
        <f t="shared" si="6"/>
        <v>2</v>
      </c>
      <c r="X194" s="3" t="str">
        <f>IFERROR(__xludf.DUMMYFUNCTION("split(B194,"" "")"),"P.")</f>
        <v>P.</v>
      </c>
      <c r="Y194" s="3" t="str">
        <f>IFERROR(__xludf.DUMMYFUNCTION("""COMPUTED_VALUE"""),"Mahomes")</f>
        <v>Mahomes</v>
      </c>
      <c r="AA194" s="3">
        <v>19.0</v>
      </c>
      <c r="AB194" s="3">
        <f t="shared" si="7"/>
        <v>0</v>
      </c>
      <c r="AC194" s="3">
        <f t="shared" si="8"/>
        <v>0</v>
      </c>
      <c r="AD194" s="3">
        <f t="shared" si="9"/>
        <v>0.9523809524</v>
      </c>
      <c r="AE194" s="3">
        <f t="shared" si="10"/>
        <v>-1</v>
      </c>
      <c r="AF194" s="3">
        <f t="shared" si="11"/>
        <v>-2</v>
      </c>
      <c r="AG194" s="3">
        <f t="shared" si="12"/>
        <v>-0.2244897959</v>
      </c>
    </row>
    <row r="195">
      <c r="A195" s="1" t="s">
        <v>9</v>
      </c>
      <c r="B195" s="1" t="s">
        <v>542</v>
      </c>
      <c r="C195" s="1" t="s">
        <v>19</v>
      </c>
      <c r="D195" s="1" t="s">
        <v>76</v>
      </c>
      <c r="E195" s="1" t="s">
        <v>135</v>
      </c>
      <c r="F195" s="1" t="s">
        <v>570</v>
      </c>
      <c r="G195" s="1">
        <v>48.5</v>
      </c>
      <c r="H195" s="1" t="s">
        <v>60</v>
      </c>
      <c r="I195" s="1">
        <v>-119.0</v>
      </c>
      <c r="J195" s="1">
        <v>0.00272025126609354</v>
      </c>
      <c r="K195" s="1" t="s">
        <v>61</v>
      </c>
      <c r="L195" s="1" t="s">
        <v>61</v>
      </c>
      <c r="M195" s="1" t="s">
        <v>62</v>
      </c>
      <c r="N195" s="1">
        <v>-114.0</v>
      </c>
      <c r="O195" s="1">
        <v>-0.0787594108929574</v>
      </c>
      <c r="P195" s="1" t="s">
        <v>61</v>
      </c>
      <c r="Q195" s="1" t="s">
        <v>61</v>
      </c>
      <c r="R195" s="1">
        <f t="shared" si="1"/>
        <v>0.002720251266</v>
      </c>
      <c r="S195" s="1">
        <f t="shared" si="2"/>
        <v>-119</v>
      </c>
      <c r="T195" s="1">
        <f t="shared" si="3"/>
        <v>1.840336134</v>
      </c>
      <c r="U195" s="1">
        <f t="shared" si="4"/>
        <v>1</v>
      </c>
      <c r="V195" s="3">
        <f t="shared" si="5"/>
        <v>1</v>
      </c>
      <c r="W195" s="3">
        <f t="shared" si="6"/>
        <v>3</v>
      </c>
      <c r="X195" s="3" t="str">
        <f>IFERROR(__xludf.DUMMYFUNCTION("split(B195,"" "")"),"C.")</f>
        <v>C.</v>
      </c>
      <c r="Y195" s="3" t="str">
        <f>IFERROR(__xludf.DUMMYFUNCTION("""COMPUTED_VALUE"""),"Steele")</f>
        <v>Steele</v>
      </c>
      <c r="AA195" s="3">
        <v>6.0</v>
      </c>
      <c r="AB195" s="3">
        <f t="shared" si="7"/>
        <v>0</v>
      </c>
      <c r="AC195" s="3">
        <f t="shared" si="8"/>
        <v>0</v>
      </c>
      <c r="AD195" s="3">
        <f t="shared" si="9"/>
        <v>0.8403361345</v>
      </c>
      <c r="AE195" s="3">
        <f t="shared" si="10"/>
        <v>-1</v>
      </c>
      <c r="AF195" s="3">
        <f t="shared" si="11"/>
        <v>-3</v>
      </c>
      <c r="AG195" s="3">
        <f t="shared" si="12"/>
        <v>-0.8762886598</v>
      </c>
    </row>
    <row r="196">
      <c r="A196" s="1" t="s">
        <v>11</v>
      </c>
      <c r="B196" s="1" t="s">
        <v>468</v>
      </c>
      <c r="C196" s="1" t="s">
        <v>20</v>
      </c>
      <c r="D196" s="1" t="s">
        <v>76</v>
      </c>
      <c r="E196" s="1" t="s">
        <v>135</v>
      </c>
      <c r="F196" s="1" t="s">
        <v>570</v>
      </c>
      <c r="G196" s="1">
        <v>10.5</v>
      </c>
      <c r="H196" s="1" t="s">
        <v>60</v>
      </c>
      <c r="I196" s="1">
        <v>-116.0</v>
      </c>
      <c r="J196" s="1">
        <v>0.00256576192416702</v>
      </c>
      <c r="K196" s="1" t="s">
        <v>61</v>
      </c>
      <c r="L196" s="1" t="s">
        <v>61</v>
      </c>
      <c r="M196" s="1" t="s">
        <v>62</v>
      </c>
      <c r="N196" s="1">
        <v>-113.0</v>
      </c>
      <c r="O196" s="1">
        <v>-0.0700904561992991</v>
      </c>
      <c r="P196" s="1" t="s">
        <v>61</v>
      </c>
      <c r="Q196" s="1" t="s">
        <v>61</v>
      </c>
      <c r="R196" s="1">
        <f t="shared" si="1"/>
        <v>0.002565761924</v>
      </c>
      <c r="S196" s="1">
        <f t="shared" si="2"/>
        <v>-116</v>
      </c>
      <c r="T196" s="1">
        <f t="shared" si="3"/>
        <v>1.862068966</v>
      </c>
      <c r="U196" s="1">
        <f t="shared" si="4"/>
        <v>1</v>
      </c>
      <c r="V196" s="3">
        <f t="shared" si="5"/>
        <v>1</v>
      </c>
      <c r="W196" s="3">
        <f t="shared" si="6"/>
        <v>2</v>
      </c>
      <c r="X196" s="3" t="str">
        <f>IFERROR(__xludf.DUMMYFUNCTION("split(B196,"" "")"),"N.")</f>
        <v>N.</v>
      </c>
      <c r="Y196" s="3" t="str">
        <f>IFERROR(__xludf.DUMMYFUNCTION("""COMPUTED_VALUE"""),"Gray")</f>
        <v>Gray</v>
      </c>
      <c r="AA196" s="3">
        <v>40.0</v>
      </c>
      <c r="AB196" s="3">
        <f t="shared" si="7"/>
        <v>1</v>
      </c>
      <c r="AC196" s="3">
        <f t="shared" si="8"/>
        <v>1</v>
      </c>
      <c r="AD196" s="3">
        <f t="shared" si="9"/>
        <v>0.8620689655</v>
      </c>
      <c r="AE196" s="3">
        <f t="shared" si="10"/>
        <v>0.8620689655</v>
      </c>
      <c r="AF196" s="3">
        <f t="shared" si="11"/>
        <v>1.724137931</v>
      </c>
      <c r="AG196" s="3">
        <f t="shared" si="12"/>
        <v>2.80952381</v>
      </c>
    </row>
    <row r="197">
      <c r="A197" s="1" t="s">
        <v>10</v>
      </c>
      <c r="B197" s="1" t="s">
        <v>121</v>
      </c>
      <c r="C197" s="1" t="s">
        <v>18</v>
      </c>
      <c r="D197" s="1" t="s">
        <v>93</v>
      </c>
      <c r="E197" s="1" t="s">
        <v>72</v>
      </c>
      <c r="F197" s="1" t="s">
        <v>564</v>
      </c>
      <c r="G197" s="1">
        <v>0.5</v>
      </c>
      <c r="H197" s="1" t="s">
        <v>60</v>
      </c>
      <c r="I197" s="1">
        <v>652.0</v>
      </c>
      <c r="J197" s="1">
        <v>0.479733877708229</v>
      </c>
      <c r="K197" s="1" t="s">
        <v>61</v>
      </c>
      <c r="L197" s="1" t="s">
        <v>61</v>
      </c>
      <c r="M197" s="1" t="s">
        <v>62</v>
      </c>
      <c r="N197" s="1">
        <v>-1411.0</v>
      </c>
      <c r="O197" s="1">
        <v>-0.546493713876994</v>
      </c>
      <c r="P197" s="1" t="s">
        <v>61</v>
      </c>
      <c r="Q197" s="1" t="s">
        <v>61</v>
      </c>
      <c r="R197" s="1">
        <f t="shared" si="1"/>
        <v>0.4797338777</v>
      </c>
      <c r="S197" s="1">
        <f t="shared" si="2"/>
        <v>652</v>
      </c>
      <c r="T197" s="1">
        <f t="shared" si="3"/>
        <v>7.52</v>
      </c>
      <c r="U197" s="1">
        <f t="shared" si="4"/>
        <v>1</v>
      </c>
      <c r="V197" s="3">
        <f t="shared" si="5"/>
        <v>3</v>
      </c>
      <c r="W197" s="3">
        <f t="shared" si="6"/>
        <v>1</v>
      </c>
      <c r="X197" s="3" t="str">
        <f>IFERROR(__xludf.DUMMYFUNCTION("split(B197,"" "")"),"C.")</f>
        <v>C.</v>
      </c>
      <c r="Y197" s="3" t="str">
        <f>IFERROR(__xludf.DUMMYFUNCTION("""COMPUTED_VALUE"""),"Kirk")</f>
        <v>Kirk</v>
      </c>
      <c r="AA197" s="3">
        <v>0.0</v>
      </c>
      <c r="AB197" s="3">
        <f t="shared" si="7"/>
        <v>0</v>
      </c>
      <c r="AC197" s="3">
        <f t="shared" si="8"/>
        <v>0</v>
      </c>
      <c r="AD197" s="3">
        <f t="shared" si="9"/>
        <v>19.56</v>
      </c>
      <c r="AE197" s="3">
        <f t="shared" si="10"/>
        <v>0</v>
      </c>
      <c r="AF197" s="3">
        <f t="shared" si="11"/>
        <v>-1</v>
      </c>
      <c r="AG197" s="3">
        <f t="shared" si="12"/>
        <v>-1</v>
      </c>
    </row>
    <row r="198">
      <c r="A198" s="1" t="s">
        <v>12</v>
      </c>
      <c r="B198" s="1" t="s">
        <v>466</v>
      </c>
      <c r="C198" s="1" t="s">
        <v>18</v>
      </c>
      <c r="D198" s="1" t="s">
        <v>93</v>
      </c>
      <c r="E198" s="1" t="s">
        <v>72</v>
      </c>
      <c r="F198" s="1" t="s">
        <v>564</v>
      </c>
      <c r="G198" s="1">
        <v>3.5</v>
      </c>
      <c r="H198" s="1" t="s">
        <v>60</v>
      </c>
      <c r="I198" s="1">
        <v>-152.0</v>
      </c>
      <c r="J198" s="1">
        <v>-0.210714285714285</v>
      </c>
      <c r="K198" s="1" t="s">
        <v>61</v>
      </c>
      <c r="L198" s="1" t="s">
        <v>61</v>
      </c>
      <c r="M198" s="1" t="s">
        <v>62</v>
      </c>
      <c r="N198" s="1">
        <v>116.0</v>
      </c>
      <c r="O198" s="1">
        <v>0.144583333333333</v>
      </c>
      <c r="P198" s="1" t="s">
        <v>61</v>
      </c>
      <c r="Q198" s="1" t="s">
        <v>61</v>
      </c>
      <c r="R198" s="1">
        <f t="shared" si="1"/>
        <v>0.1445833333</v>
      </c>
      <c r="S198" s="1">
        <f t="shared" si="2"/>
        <v>116</v>
      </c>
      <c r="T198" s="1">
        <f t="shared" si="3"/>
        <v>2.16</v>
      </c>
      <c r="U198" s="1">
        <f t="shared" si="4"/>
        <v>0</v>
      </c>
      <c r="V198" s="3">
        <f t="shared" si="5"/>
        <v>3</v>
      </c>
      <c r="W198" s="3">
        <f t="shared" si="6"/>
        <v>1</v>
      </c>
      <c r="X198" s="3" t="str">
        <f>IFERROR(__xludf.DUMMYFUNCTION("split(B198,"" "")"),"B.")</f>
        <v>B.</v>
      </c>
      <c r="Y198" s="3" t="str">
        <f>IFERROR(__xludf.DUMMYFUNCTION("""COMPUTED_VALUE"""),"Thomas")</f>
        <v>Thomas</v>
      </c>
      <c r="Z198" s="3" t="str">
        <f>IFERROR(__xludf.DUMMYFUNCTION("""COMPUTED_VALUE"""),"Jr.")</f>
        <v>Jr.</v>
      </c>
      <c r="AA198" s="3">
        <v>6.0</v>
      </c>
      <c r="AB198" s="3">
        <f t="shared" si="7"/>
        <v>1</v>
      </c>
      <c r="AC198" s="3">
        <f t="shared" si="8"/>
        <v>0</v>
      </c>
      <c r="AD198" s="3">
        <f t="shared" si="9"/>
        <v>3.48</v>
      </c>
      <c r="AE198" s="3">
        <f t="shared" si="10"/>
        <v>-3</v>
      </c>
      <c r="AF198" s="3">
        <f t="shared" si="11"/>
        <v>-1</v>
      </c>
      <c r="AG198" s="3">
        <f t="shared" si="12"/>
        <v>-0.7142857143</v>
      </c>
    </row>
    <row r="199">
      <c r="A199" s="1" t="s">
        <v>8</v>
      </c>
      <c r="B199" s="1" t="s">
        <v>119</v>
      </c>
      <c r="C199" s="1" t="s">
        <v>21</v>
      </c>
      <c r="D199" s="1" t="s">
        <v>93</v>
      </c>
      <c r="E199" s="1" t="s">
        <v>72</v>
      </c>
      <c r="F199" s="1" t="s">
        <v>564</v>
      </c>
      <c r="G199" s="1">
        <v>3.5</v>
      </c>
      <c r="H199" s="1" t="s">
        <v>60</v>
      </c>
      <c r="I199" s="1">
        <v>-110.0</v>
      </c>
      <c r="J199" s="1">
        <v>-0.19810880785626</v>
      </c>
      <c r="K199" s="1" t="s">
        <v>61</v>
      </c>
      <c r="L199" s="1" t="s">
        <v>61</v>
      </c>
      <c r="M199" s="1" t="s">
        <v>62</v>
      </c>
      <c r="N199" s="1">
        <v>-123.0</v>
      </c>
      <c r="O199" s="1">
        <v>0.122713834391353</v>
      </c>
      <c r="P199" s="1" t="s">
        <v>61</v>
      </c>
      <c r="Q199" s="1" t="s">
        <v>61</v>
      </c>
      <c r="R199" s="1">
        <f t="shared" si="1"/>
        <v>0.1227138344</v>
      </c>
      <c r="S199" s="1">
        <f t="shared" si="2"/>
        <v>-123</v>
      </c>
      <c r="T199" s="1">
        <f t="shared" si="3"/>
        <v>1.81300813</v>
      </c>
      <c r="U199" s="1">
        <f t="shared" si="4"/>
        <v>0</v>
      </c>
      <c r="V199" s="3">
        <f t="shared" si="5"/>
        <v>3</v>
      </c>
      <c r="W199" s="3">
        <f t="shared" si="6"/>
        <v>3</v>
      </c>
      <c r="X199" s="3" t="str">
        <f>IFERROR(__xludf.DUMMYFUNCTION("split(B199,"" "")"),"T.")</f>
        <v>T.</v>
      </c>
      <c r="Y199" s="3" t="str">
        <f>IFERROR(__xludf.DUMMYFUNCTION("""COMPUTED_VALUE"""),"Lawrence")</f>
        <v>Lawrence</v>
      </c>
      <c r="AA199" s="3">
        <v>3.0</v>
      </c>
      <c r="AB199" s="3">
        <f t="shared" si="7"/>
        <v>0</v>
      </c>
      <c r="AC199" s="3">
        <f t="shared" si="8"/>
        <v>1</v>
      </c>
      <c r="AD199" s="3">
        <f t="shared" si="9"/>
        <v>2.43902439</v>
      </c>
      <c r="AE199" s="3">
        <f t="shared" si="10"/>
        <v>2.43902439</v>
      </c>
      <c r="AF199" s="3">
        <f t="shared" si="11"/>
        <v>2.43902439</v>
      </c>
      <c r="AG199" s="3">
        <f t="shared" si="12"/>
        <v>0.1428571429</v>
      </c>
    </row>
    <row r="200">
      <c r="A200" s="1" t="s">
        <v>8</v>
      </c>
      <c r="B200" s="1" t="s">
        <v>92</v>
      </c>
      <c r="C200" s="1" t="s">
        <v>19</v>
      </c>
      <c r="D200" s="1" t="s">
        <v>93</v>
      </c>
      <c r="E200" s="1" t="s">
        <v>72</v>
      </c>
      <c r="F200" s="1" t="s">
        <v>564</v>
      </c>
      <c r="G200" s="1">
        <v>12.5</v>
      </c>
      <c r="H200" s="1" t="s">
        <v>60</v>
      </c>
      <c r="I200" s="1">
        <v>-124.0</v>
      </c>
      <c r="J200" s="1">
        <v>-0.153560100906696</v>
      </c>
      <c r="K200" s="1" t="s">
        <v>61</v>
      </c>
      <c r="L200" s="1" t="s">
        <v>61</v>
      </c>
      <c r="M200" s="1" t="s">
        <v>62</v>
      </c>
      <c r="N200" s="1">
        <v>-108.0</v>
      </c>
      <c r="O200" s="1">
        <v>0.0807723635160961</v>
      </c>
      <c r="P200" s="1" t="s">
        <v>61</v>
      </c>
      <c r="Q200" s="1" t="s">
        <v>61</v>
      </c>
      <c r="R200" s="1">
        <f t="shared" si="1"/>
        <v>0.08077236352</v>
      </c>
      <c r="S200" s="1">
        <f t="shared" si="2"/>
        <v>-108</v>
      </c>
      <c r="T200" s="1">
        <f t="shared" si="3"/>
        <v>1.925925926</v>
      </c>
      <c r="U200" s="1">
        <f t="shared" si="4"/>
        <v>0</v>
      </c>
      <c r="V200" s="3">
        <f t="shared" si="5"/>
        <v>2</v>
      </c>
      <c r="W200" s="3">
        <f t="shared" si="6"/>
        <v>2</v>
      </c>
      <c r="X200" s="3" t="str">
        <f>IFERROR(__xludf.DUMMYFUNCTION("split(B200,"" "")"),"T.")</f>
        <v>T.</v>
      </c>
      <c r="Y200" s="3" t="str">
        <f>IFERROR(__xludf.DUMMYFUNCTION("""COMPUTED_VALUE"""),"Etienne")</f>
        <v>Etienne</v>
      </c>
      <c r="Z200" s="3" t="str">
        <f>IFERROR(__xludf.DUMMYFUNCTION("""COMPUTED_VALUE"""),"Jr.")</f>
        <v>Jr.</v>
      </c>
      <c r="AA200" s="3">
        <v>11.0</v>
      </c>
      <c r="AB200" s="3">
        <f t="shared" si="7"/>
        <v>0</v>
      </c>
      <c r="AC200" s="3">
        <f t="shared" si="8"/>
        <v>1</v>
      </c>
      <c r="AD200" s="3">
        <f t="shared" si="9"/>
        <v>1.851851852</v>
      </c>
      <c r="AE200" s="3">
        <f t="shared" si="10"/>
        <v>1.851851852</v>
      </c>
      <c r="AF200" s="3">
        <f t="shared" si="11"/>
        <v>1.851851852</v>
      </c>
      <c r="AG200" s="3">
        <f t="shared" si="12"/>
        <v>0.12</v>
      </c>
    </row>
    <row r="201">
      <c r="A201" s="1" t="s">
        <v>17</v>
      </c>
      <c r="B201" s="1" t="s">
        <v>119</v>
      </c>
      <c r="C201" s="1" t="s">
        <v>21</v>
      </c>
      <c r="D201" s="1" t="s">
        <v>93</v>
      </c>
      <c r="E201" s="1" t="s">
        <v>72</v>
      </c>
      <c r="F201" s="1" t="s">
        <v>564</v>
      </c>
      <c r="G201" s="1">
        <v>0.5</v>
      </c>
      <c r="H201" s="1" t="s">
        <v>60</v>
      </c>
      <c r="I201" s="1">
        <v>-148.0</v>
      </c>
      <c r="J201" s="1">
        <v>-0.141374193548387</v>
      </c>
      <c r="K201" s="1" t="s">
        <v>61</v>
      </c>
      <c r="L201" s="1" t="s">
        <v>61</v>
      </c>
      <c r="M201" s="1" t="s">
        <v>62</v>
      </c>
      <c r="N201" s="1">
        <v>112.0</v>
      </c>
      <c r="O201" s="1">
        <v>0.0729018867924528</v>
      </c>
      <c r="P201" s="1" t="s">
        <v>61</v>
      </c>
      <c r="Q201" s="1" t="s">
        <v>61</v>
      </c>
      <c r="R201" s="1">
        <f t="shared" si="1"/>
        <v>0.07290188679</v>
      </c>
      <c r="S201" s="1">
        <f t="shared" si="2"/>
        <v>112</v>
      </c>
      <c r="T201" s="1">
        <f t="shared" si="3"/>
        <v>2.12</v>
      </c>
      <c r="U201" s="1">
        <f t="shared" si="4"/>
        <v>0</v>
      </c>
      <c r="V201" s="3">
        <f t="shared" si="5"/>
        <v>2</v>
      </c>
      <c r="W201" s="3">
        <f t="shared" si="6"/>
        <v>1</v>
      </c>
      <c r="X201" s="3" t="str">
        <f>IFERROR(__xludf.DUMMYFUNCTION("split(B201,"" "")"),"T.")</f>
        <v>T.</v>
      </c>
      <c r="Y201" s="3" t="str">
        <f>IFERROR(__xludf.DUMMYFUNCTION("""COMPUTED_VALUE"""),"Lawrence")</f>
        <v>Lawrence</v>
      </c>
      <c r="AA201" s="3">
        <v>0.0</v>
      </c>
      <c r="AB201" s="3">
        <f t="shared" si="7"/>
        <v>0</v>
      </c>
      <c r="AC201" s="3">
        <f t="shared" si="8"/>
        <v>1</v>
      </c>
      <c r="AD201" s="3">
        <f t="shared" si="9"/>
        <v>2.24</v>
      </c>
      <c r="AE201" s="3">
        <f t="shared" si="10"/>
        <v>2.24</v>
      </c>
      <c r="AF201" s="3">
        <f t="shared" si="11"/>
        <v>1.12</v>
      </c>
      <c r="AG201" s="3">
        <f t="shared" si="12"/>
        <v>1</v>
      </c>
    </row>
    <row r="202">
      <c r="A202" s="1" t="s">
        <v>10</v>
      </c>
      <c r="B202" s="1" t="s">
        <v>119</v>
      </c>
      <c r="C202" s="1" t="s">
        <v>21</v>
      </c>
      <c r="D202" s="1" t="s">
        <v>93</v>
      </c>
      <c r="E202" s="1" t="s">
        <v>72</v>
      </c>
      <c r="F202" s="1" t="s">
        <v>564</v>
      </c>
      <c r="G202" s="1">
        <v>15.5</v>
      </c>
      <c r="H202" s="1" t="s">
        <v>60</v>
      </c>
      <c r="I202" s="1">
        <v>-116.0</v>
      </c>
      <c r="J202" s="1">
        <v>-0.115570191877794</v>
      </c>
      <c r="K202" s="1" t="s">
        <v>61</v>
      </c>
      <c r="L202" s="1" t="s">
        <v>61</v>
      </c>
      <c r="M202" s="1" t="s">
        <v>62</v>
      </c>
      <c r="N202" s="1">
        <v>-114.0</v>
      </c>
      <c r="O202" s="1">
        <v>0.0458429348036829</v>
      </c>
      <c r="P202" s="1" t="s">
        <v>61</v>
      </c>
      <c r="Q202" s="1" t="s">
        <v>61</v>
      </c>
      <c r="R202" s="1">
        <f t="shared" si="1"/>
        <v>0.0458429348</v>
      </c>
      <c r="S202" s="1">
        <f t="shared" si="2"/>
        <v>-114</v>
      </c>
      <c r="T202" s="1">
        <f t="shared" si="3"/>
        <v>1.877192982</v>
      </c>
      <c r="U202" s="1">
        <f t="shared" si="4"/>
        <v>0</v>
      </c>
      <c r="V202" s="3">
        <f t="shared" si="5"/>
        <v>1</v>
      </c>
      <c r="W202" s="3">
        <f t="shared" si="6"/>
        <v>2</v>
      </c>
      <c r="X202" s="3" t="str">
        <f>IFERROR(__xludf.DUMMYFUNCTION("split(B202,"" "")"),"T.")</f>
        <v>T.</v>
      </c>
      <c r="Y202" s="3" t="str">
        <f>IFERROR(__xludf.DUMMYFUNCTION("""COMPUTED_VALUE"""),"Lawrence")</f>
        <v>Lawrence</v>
      </c>
      <c r="AA202" s="3">
        <v>5.0</v>
      </c>
      <c r="AB202" s="3">
        <f t="shared" si="7"/>
        <v>0</v>
      </c>
      <c r="AC202" s="3">
        <f t="shared" si="8"/>
        <v>1</v>
      </c>
      <c r="AD202" s="3">
        <f t="shared" si="9"/>
        <v>0.8771929825</v>
      </c>
      <c r="AE202" s="3">
        <f t="shared" si="10"/>
        <v>0.8771929825</v>
      </c>
      <c r="AF202" s="3">
        <f t="shared" si="11"/>
        <v>1.754385965</v>
      </c>
      <c r="AG202" s="3">
        <f t="shared" si="12"/>
        <v>0.6774193548</v>
      </c>
    </row>
    <row r="203">
      <c r="A203" s="1" t="s">
        <v>15</v>
      </c>
      <c r="B203" s="1" t="s">
        <v>119</v>
      </c>
      <c r="C203" s="1" t="s">
        <v>21</v>
      </c>
      <c r="D203" s="1" t="s">
        <v>93</v>
      </c>
      <c r="E203" s="1" t="s">
        <v>72</v>
      </c>
      <c r="F203" s="1" t="s">
        <v>564</v>
      </c>
      <c r="G203" s="1">
        <v>20.5</v>
      </c>
      <c r="H203" s="1" t="s">
        <v>60</v>
      </c>
      <c r="I203" s="1">
        <v>-118.0</v>
      </c>
      <c r="J203" s="1">
        <v>0.0361238532110091</v>
      </c>
      <c r="K203" s="1" t="s">
        <v>61</v>
      </c>
      <c r="L203" s="1" t="s">
        <v>61</v>
      </c>
      <c r="M203" s="1" t="s">
        <v>62</v>
      </c>
      <c r="N203" s="1">
        <v>-111.0</v>
      </c>
      <c r="O203" s="1">
        <v>-0.103461137440758</v>
      </c>
      <c r="P203" s="1" t="s">
        <v>61</v>
      </c>
      <c r="Q203" s="1" t="s">
        <v>61</v>
      </c>
      <c r="R203" s="1">
        <f t="shared" si="1"/>
        <v>0.03612385321</v>
      </c>
      <c r="S203" s="1">
        <f t="shared" si="2"/>
        <v>-118</v>
      </c>
      <c r="T203" s="1">
        <f t="shared" si="3"/>
        <v>1.847457627</v>
      </c>
      <c r="U203" s="1">
        <f t="shared" si="4"/>
        <v>1</v>
      </c>
      <c r="V203" s="3">
        <f t="shared" si="5"/>
        <v>1</v>
      </c>
      <c r="W203" s="3">
        <f t="shared" si="6"/>
        <v>3</v>
      </c>
      <c r="X203" s="3" t="str">
        <f>IFERROR(__xludf.DUMMYFUNCTION("split(B203,"" "")"),"T.")</f>
        <v>T.</v>
      </c>
      <c r="Y203" s="3" t="str">
        <f>IFERROR(__xludf.DUMMYFUNCTION("""COMPUTED_VALUE"""),"Lawrence")</f>
        <v>Lawrence</v>
      </c>
      <c r="AA203" s="3">
        <v>18.0</v>
      </c>
      <c r="AB203" s="3">
        <f t="shared" si="7"/>
        <v>0</v>
      </c>
      <c r="AC203" s="3">
        <f t="shared" si="8"/>
        <v>0</v>
      </c>
      <c r="AD203" s="3">
        <f t="shared" si="9"/>
        <v>0.8474576271</v>
      </c>
      <c r="AE203" s="3">
        <f t="shared" si="10"/>
        <v>-1</v>
      </c>
      <c r="AF203" s="3">
        <f t="shared" si="11"/>
        <v>-3</v>
      </c>
      <c r="AG203" s="3">
        <f t="shared" si="12"/>
        <v>-0.1219512195</v>
      </c>
    </row>
    <row r="204">
      <c r="A204" s="1" t="s">
        <v>9</v>
      </c>
      <c r="B204" s="1" t="s">
        <v>92</v>
      </c>
      <c r="C204" s="1" t="s">
        <v>19</v>
      </c>
      <c r="D204" s="1" t="s">
        <v>93</v>
      </c>
      <c r="E204" s="1" t="s">
        <v>72</v>
      </c>
      <c r="F204" s="1" t="s">
        <v>564</v>
      </c>
      <c r="G204" s="1">
        <v>73.5</v>
      </c>
      <c r="H204" s="1" t="s">
        <v>60</v>
      </c>
      <c r="I204" s="1">
        <v>-117.0</v>
      </c>
      <c r="J204" s="1">
        <v>-0.107696565224068</v>
      </c>
      <c r="K204" s="1" t="s">
        <v>61</v>
      </c>
      <c r="L204" s="1" t="s">
        <v>61</v>
      </c>
      <c r="M204" s="1" t="s">
        <v>62</v>
      </c>
      <c r="N204" s="1">
        <v>-115.0</v>
      </c>
      <c r="O204" s="1">
        <v>0.0336465248914713</v>
      </c>
      <c r="P204" s="1" t="s">
        <v>61</v>
      </c>
      <c r="Q204" s="1" t="s">
        <v>61</v>
      </c>
      <c r="R204" s="1">
        <f t="shared" si="1"/>
        <v>0.03364652489</v>
      </c>
      <c r="S204" s="1">
        <f t="shared" si="2"/>
        <v>-115</v>
      </c>
      <c r="T204" s="1">
        <f t="shared" si="3"/>
        <v>1.869565217</v>
      </c>
      <c r="U204" s="1">
        <f t="shared" si="4"/>
        <v>0</v>
      </c>
      <c r="V204" s="3">
        <f t="shared" si="5"/>
        <v>1</v>
      </c>
      <c r="W204" s="3">
        <f t="shared" si="6"/>
        <v>2</v>
      </c>
      <c r="X204" s="3" t="str">
        <f>IFERROR(__xludf.DUMMYFUNCTION("split(B204,"" "")"),"T.")</f>
        <v>T.</v>
      </c>
      <c r="Y204" s="3" t="str">
        <f>IFERROR(__xludf.DUMMYFUNCTION("""COMPUTED_VALUE"""),"Etienne")</f>
        <v>Etienne</v>
      </c>
      <c r="Z204" s="3" t="str">
        <f>IFERROR(__xludf.DUMMYFUNCTION("""COMPUTED_VALUE"""),"Jr.")</f>
        <v>Jr.</v>
      </c>
      <c r="AA204" s="3">
        <v>60.0</v>
      </c>
      <c r="AB204" s="3">
        <f t="shared" si="7"/>
        <v>0</v>
      </c>
      <c r="AC204" s="3">
        <f t="shared" si="8"/>
        <v>1</v>
      </c>
      <c r="AD204" s="3">
        <f t="shared" si="9"/>
        <v>0.8695652174</v>
      </c>
      <c r="AE204" s="3">
        <f t="shared" si="10"/>
        <v>0.8695652174</v>
      </c>
      <c r="AF204" s="3">
        <f t="shared" si="11"/>
        <v>1.739130435</v>
      </c>
      <c r="AG204" s="3">
        <f t="shared" si="12"/>
        <v>0.1836734694</v>
      </c>
    </row>
    <row r="205">
      <c r="A205" s="1" t="s">
        <v>11</v>
      </c>
      <c r="B205" s="1" t="s">
        <v>121</v>
      </c>
      <c r="C205" s="1" t="s">
        <v>18</v>
      </c>
      <c r="D205" s="1" t="s">
        <v>93</v>
      </c>
      <c r="E205" s="1" t="s">
        <v>72</v>
      </c>
      <c r="F205" s="1" t="s">
        <v>564</v>
      </c>
      <c r="G205" s="1">
        <v>45.5</v>
      </c>
      <c r="H205" s="1" t="s">
        <v>60</v>
      </c>
      <c r="I205" s="1">
        <v>-115.0</v>
      </c>
      <c r="J205" s="1">
        <v>-0.0926543455451164</v>
      </c>
      <c r="K205" s="1" t="s">
        <v>61</v>
      </c>
      <c r="L205" s="1" t="s">
        <v>61</v>
      </c>
      <c r="M205" s="1" t="s">
        <v>62</v>
      </c>
      <c r="N205" s="1">
        <v>-112.0</v>
      </c>
      <c r="O205" s="1">
        <v>0.0294366678425661</v>
      </c>
      <c r="P205" s="1" t="s">
        <v>61</v>
      </c>
      <c r="Q205" s="1" t="s">
        <v>61</v>
      </c>
      <c r="R205" s="1">
        <f t="shared" si="1"/>
        <v>0.02943666784</v>
      </c>
      <c r="S205" s="1">
        <f t="shared" si="2"/>
        <v>-112</v>
      </c>
      <c r="T205" s="1">
        <f t="shared" si="3"/>
        <v>1.892857143</v>
      </c>
      <c r="U205" s="1">
        <f t="shared" si="4"/>
        <v>0</v>
      </c>
      <c r="V205" s="3">
        <f t="shared" si="5"/>
        <v>1</v>
      </c>
      <c r="W205" s="3">
        <f t="shared" si="6"/>
        <v>2</v>
      </c>
      <c r="X205" s="3" t="str">
        <f>IFERROR(__xludf.DUMMYFUNCTION("split(B205,"" "")"),"C.")</f>
        <v>C.</v>
      </c>
      <c r="Y205" s="3" t="str">
        <f>IFERROR(__xludf.DUMMYFUNCTION("""COMPUTED_VALUE"""),"Kirk")</f>
        <v>Kirk</v>
      </c>
      <c r="AA205" s="3">
        <v>61.0</v>
      </c>
      <c r="AB205" s="3">
        <f t="shared" si="7"/>
        <v>1</v>
      </c>
      <c r="AC205" s="3">
        <f t="shared" si="8"/>
        <v>0</v>
      </c>
      <c r="AD205" s="3">
        <f t="shared" si="9"/>
        <v>0.8928571429</v>
      </c>
      <c r="AE205" s="3">
        <f t="shared" si="10"/>
        <v>-1</v>
      </c>
      <c r="AF205" s="3">
        <f t="shared" si="11"/>
        <v>-2</v>
      </c>
      <c r="AG205" s="3">
        <f t="shared" si="12"/>
        <v>-0.3406593407</v>
      </c>
    </row>
    <row r="206">
      <c r="A206" s="1" t="s">
        <v>11</v>
      </c>
      <c r="B206" s="1" t="s">
        <v>466</v>
      </c>
      <c r="C206" s="1" t="s">
        <v>18</v>
      </c>
      <c r="D206" s="1" t="s">
        <v>93</v>
      </c>
      <c r="E206" s="1" t="s">
        <v>72</v>
      </c>
      <c r="F206" s="1" t="s">
        <v>564</v>
      </c>
      <c r="G206" s="1">
        <v>46.5</v>
      </c>
      <c r="H206" s="1" t="s">
        <v>60</v>
      </c>
      <c r="I206" s="1">
        <v>-114.0</v>
      </c>
      <c r="J206" s="1">
        <v>-0.0967065424348598</v>
      </c>
      <c r="K206" s="1" t="s">
        <v>61</v>
      </c>
      <c r="L206" s="1" t="s">
        <v>61</v>
      </c>
      <c r="M206" s="1" t="s">
        <v>62</v>
      </c>
      <c r="N206" s="1">
        <v>-116.0</v>
      </c>
      <c r="O206" s="1">
        <v>0.0269726842569445</v>
      </c>
      <c r="P206" s="1" t="s">
        <v>61</v>
      </c>
      <c r="Q206" s="1" t="s">
        <v>61</v>
      </c>
      <c r="R206" s="1">
        <f t="shared" si="1"/>
        <v>0.02697268426</v>
      </c>
      <c r="S206" s="1">
        <f t="shared" si="2"/>
        <v>-116</v>
      </c>
      <c r="T206" s="1">
        <f t="shared" si="3"/>
        <v>1.862068966</v>
      </c>
      <c r="U206" s="1">
        <f t="shared" si="4"/>
        <v>0</v>
      </c>
      <c r="V206" s="3">
        <f t="shared" si="5"/>
        <v>1</v>
      </c>
      <c r="W206" s="3">
        <f t="shared" si="6"/>
        <v>2</v>
      </c>
      <c r="X206" s="3" t="str">
        <f>IFERROR(__xludf.DUMMYFUNCTION("split(B206,"" "")"),"B.")</f>
        <v>B.</v>
      </c>
      <c r="Y206" s="3" t="str">
        <f>IFERROR(__xludf.DUMMYFUNCTION("""COMPUTED_VALUE"""),"Thomas")</f>
        <v>Thomas</v>
      </c>
      <c r="Z206" s="3" t="str">
        <f>IFERROR(__xludf.DUMMYFUNCTION("""COMPUTED_VALUE"""),"Jr.")</f>
        <v>Jr.</v>
      </c>
      <c r="AA206" s="3">
        <v>86.0</v>
      </c>
      <c r="AB206" s="3">
        <f t="shared" si="7"/>
        <v>1</v>
      </c>
      <c r="AC206" s="3">
        <f t="shared" si="8"/>
        <v>0</v>
      </c>
      <c r="AD206" s="3">
        <f t="shared" si="9"/>
        <v>0.8620689655</v>
      </c>
      <c r="AE206" s="3">
        <f t="shared" si="10"/>
        <v>-1</v>
      </c>
      <c r="AF206" s="3">
        <f t="shared" si="11"/>
        <v>-2</v>
      </c>
      <c r="AG206" s="3">
        <f t="shared" si="12"/>
        <v>-0.8494623656</v>
      </c>
    </row>
    <row r="207">
      <c r="A207" s="1" t="s">
        <v>11</v>
      </c>
      <c r="B207" s="1" t="s">
        <v>92</v>
      </c>
      <c r="C207" s="1" t="s">
        <v>19</v>
      </c>
      <c r="D207" s="1" t="s">
        <v>93</v>
      </c>
      <c r="E207" s="1" t="s">
        <v>72</v>
      </c>
      <c r="F207" s="1" t="s">
        <v>564</v>
      </c>
      <c r="G207" s="1">
        <v>19.5</v>
      </c>
      <c r="H207" s="1" t="s">
        <v>60</v>
      </c>
      <c r="I207" s="1">
        <v>-117.0</v>
      </c>
      <c r="J207" s="1">
        <v>-0.0909912082378388</v>
      </c>
      <c r="K207" s="1" t="s">
        <v>61</v>
      </c>
      <c r="L207" s="1" t="s">
        <v>61</v>
      </c>
      <c r="M207" s="1" t="s">
        <v>62</v>
      </c>
      <c r="N207" s="1">
        <v>-112.0</v>
      </c>
      <c r="O207" s="1">
        <v>0.0235511285383225</v>
      </c>
      <c r="P207" s="1" t="s">
        <v>61</v>
      </c>
      <c r="Q207" s="1" t="s">
        <v>61</v>
      </c>
      <c r="R207" s="1">
        <f t="shared" si="1"/>
        <v>0.02355112854</v>
      </c>
      <c r="S207" s="1">
        <f t="shared" si="2"/>
        <v>-112</v>
      </c>
      <c r="T207" s="1">
        <f t="shared" si="3"/>
        <v>1.892857143</v>
      </c>
      <c r="U207" s="1">
        <f t="shared" si="4"/>
        <v>0</v>
      </c>
      <c r="V207" s="3">
        <f t="shared" si="5"/>
        <v>1</v>
      </c>
      <c r="W207" s="3">
        <f t="shared" si="6"/>
        <v>2</v>
      </c>
      <c r="X207" s="3" t="str">
        <f>IFERROR(__xludf.DUMMYFUNCTION("split(B207,"" "")"),"T.")</f>
        <v>T.</v>
      </c>
      <c r="Y207" s="3" t="str">
        <f>IFERROR(__xludf.DUMMYFUNCTION("""COMPUTED_VALUE"""),"Etienne")</f>
        <v>Etienne</v>
      </c>
      <c r="Z207" s="3" t="str">
        <f>IFERROR(__xludf.DUMMYFUNCTION("""COMPUTED_VALUE"""),"Jr.")</f>
        <v>Jr.</v>
      </c>
      <c r="AA207" s="3">
        <v>10.0</v>
      </c>
      <c r="AB207" s="3">
        <f t="shared" si="7"/>
        <v>0</v>
      </c>
      <c r="AC207" s="3">
        <f t="shared" si="8"/>
        <v>1</v>
      </c>
      <c r="AD207" s="3">
        <f t="shared" si="9"/>
        <v>0.8928571429</v>
      </c>
      <c r="AE207" s="3">
        <f t="shared" si="10"/>
        <v>0.8928571429</v>
      </c>
      <c r="AF207" s="3">
        <f t="shared" si="11"/>
        <v>1.785714286</v>
      </c>
      <c r="AG207" s="3">
        <f t="shared" si="12"/>
        <v>0.4871794872</v>
      </c>
    </row>
    <row r="208">
      <c r="A208" s="1" t="s">
        <v>16</v>
      </c>
      <c r="B208" s="1" t="s">
        <v>119</v>
      </c>
      <c r="C208" s="1" t="s">
        <v>21</v>
      </c>
      <c r="D208" s="1" t="s">
        <v>93</v>
      </c>
      <c r="E208" s="1" t="s">
        <v>72</v>
      </c>
      <c r="F208" s="1" t="s">
        <v>564</v>
      </c>
      <c r="G208" s="1">
        <v>33.5</v>
      </c>
      <c r="H208" s="1" t="s">
        <v>60</v>
      </c>
      <c r="I208" s="1">
        <v>-108.0</v>
      </c>
      <c r="J208" s="1">
        <v>0.00942416216923081</v>
      </c>
      <c r="K208" s="1" t="s">
        <v>61</v>
      </c>
      <c r="L208" s="1" t="s">
        <v>61</v>
      </c>
      <c r="M208" s="1" t="s">
        <v>62</v>
      </c>
      <c r="N208" s="1">
        <v>-121.0</v>
      </c>
      <c r="O208" s="1">
        <v>-0.0761463286877828</v>
      </c>
      <c r="P208" s="1" t="s">
        <v>61</v>
      </c>
      <c r="Q208" s="1" t="s">
        <v>61</v>
      </c>
      <c r="R208" s="1">
        <f t="shared" si="1"/>
        <v>0.009424162169</v>
      </c>
      <c r="S208" s="1">
        <f t="shared" si="2"/>
        <v>-108</v>
      </c>
      <c r="T208" s="1">
        <f t="shared" si="3"/>
        <v>1.925925926</v>
      </c>
      <c r="U208" s="1">
        <f t="shared" si="4"/>
        <v>1</v>
      </c>
      <c r="V208" s="3">
        <f t="shared" si="5"/>
        <v>1</v>
      </c>
      <c r="W208" s="3">
        <f t="shared" si="6"/>
        <v>2</v>
      </c>
      <c r="X208" s="3" t="str">
        <f>IFERROR(__xludf.DUMMYFUNCTION("split(B208,"" "")"),"T.")</f>
        <v>T.</v>
      </c>
      <c r="Y208" s="3" t="str">
        <f>IFERROR(__xludf.DUMMYFUNCTION("""COMPUTED_VALUE"""),"Lawrence")</f>
        <v>Lawrence</v>
      </c>
      <c r="AA208" s="3">
        <v>33.0</v>
      </c>
      <c r="AB208" s="3">
        <f t="shared" si="7"/>
        <v>0</v>
      </c>
      <c r="AC208" s="3">
        <f t="shared" si="8"/>
        <v>0</v>
      </c>
      <c r="AD208" s="3">
        <f t="shared" si="9"/>
        <v>0.9259259259</v>
      </c>
      <c r="AE208" s="3">
        <f t="shared" si="10"/>
        <v>-1</v>
      </c>
      <c r="AF208" s="3">
        <f t="shared" si="11"/>
        <v>-2</v>
      </c>
      <c r="AG208" s="3">
        <f t="shared" si="12"/>
        <v>-0.01492537313</v>
      </c>
    </row>
    <row r="209">
      <c r="A209" s="1" t="s">
        <v>14</v>
      </c>
      <c r="B209" s="1" t="s">
        <v>119</v>
      </c>
      <c r="C209" s="1" t="s">
        <v>21</v>
      </c>
      <c r="D209" s="1" t="s">
        <v>93</v>
      </c>
      <c r="E209" s="1" t="s">
        <v>72</v>
      </c>
      <c r="F209" s="1" t="s">
        <v>564</v>
      </c>
      <c r="G209" s="1">
        <v>1.5</v>
      </c>
      <c r="H209" s="1" t="s">
        <v>60</v>
      </c>
      <c r="I209" s="1">
        <v>132.0</v>
      </c>
      <c r="J209" s="1">
        <v>0.00672241379310351</v>
      </c>
      <c r="K209" s="1" t="s">
        <v>61</v>
      </c>
      <c r="L209" s="1" t="s">
        <v>61</v>
      </c>
      <c r="M209" s="1" t="s">
        <v>62</v>
      </c>
      <c r="N209" s="1">
        <v>-175.0</v>
      </c>
      <c r="O209" s="1">
        <v>-0.0741272727272727</v>
      </c>
      <c r="P209" s="1" t="s">
        <v>61</v>
      </c>
      <c r="Q209" s="1" t="s">
        <v>61</v>
      </c>
      <c r="R209" s="1">
        <f t="shared" si="1"/>
        <v>0.006722413793</v>
      </c>
      <c r="S209" s="1">
        <f t="shared" si="2"/>
        <v>132</v>
      </c>
      <c r="T209" s="1">
        <f t="shared" si="3"/>
        <v>2.32</v>
      </c>
      <c r="U209" s="1">
        <f t="shared" si="4"/>
        <v>1</v>
      </c>
      <c r="V209" s="3">
        <f t="shared" si="5"/>
        <v>1</v>
      </c>
      <c r="W209" s="3">
        <f t="shared" si="6"/>
        <v>1</v>
      </c>
      <c r="X209" s="3" t="str">
        <f>IFERROR(__xludf.DUMMYFUNCTION("split(B209,"" "")"),"T.")</f>
        <v>T.</v>
      </c>
      <c r="Y209" s="3" t="str">
        <f>IFERROR(__xludf.DUMMYFUNCTION("""COMPUTED_VALUE"""),"Lawrence")</f>
        <v>Lawrence</v>
      </c>
      <c r="AA209" s="3">
        <v>2.0</v>
      </c>
      <c r="AB209" s="3">
        <f t="shared" si="7"/>
        <v>1</v>
      </c>
      <c r="AC209" s="3">
        <f t="shared" si="8"/>
        <v>1</v>
      </c>
      <c r="AD209" s="3">
        <f t="shared" si="9"/>
        <v>1.32</v>
      </c>
      <c r="AE209" s="3">
        <f t="shared" si="10"/>
        <v>1.32</v>
      </c>
      <c r="AF209" s="3">
        <f t="shared" si="11"/>
        <v>1.32</v>
      </c>
      <c r="AG209" s="3">
        <f t="shared" si="12"/>
        <v>0.3333333333</v>
      </c>
    </row>
    <row r="210">
      <c r="A210" s="1" t="s">
        <v>10</v>
      </c>
      <c r="B210" s="1" t="s">
        <v>92</v>
      </c>
      <c r="C210" s="1" t="s">
        <v>19</v>
      </c>
      <c r="D210" s="1" t="s">
        <v>93</v>
      </c>
      <c r="E210" s="1" t="s">
        <v>72</v>
      </c>
      <c r="F210" s="1" t="s">
        <v>564</v>
      </c>
      <c r="G210" s="1">
        <v>48.5</v>
      </c>
      <c r="H210" s="1" t="s">
        <v>60</v>
      </c>
      <c r="I210" s="1">
        <v>-115.0</v>
      </c>
      <c r="J210" s="1">
        <v>-0.0714739847547876</v>
      </c>
      <c r="K210" s="1" t="s">
        <v>61</v>
      </c>
      <c r="L210" s="1" t="s">
        <v>61</v>
      </c>
      <c r="M210" s="1" t="s">
        <v>62</v>
      </c>
      <c r="N210" s="1">
        <v>-114.0</v>
      </c>
      <c r="O210" s="1">
        <v>0.00386398466239923</v>
      </c>
      <c r="P210" s="1" t="s">
        <v>61</v>
      </c>
      <c r="Q210" s="1" t="s">
        <v>61</v>
      </c>
      <c r="R210" s="1">
        <f t="shared" si="1"/>
        <v>0.003863984662</v>
      </c>
      <c r="S210" s="1">
        <f t="shared" si="2"/>
        <v>-114</v>
      </c>
      <c r="T210" s="1">
        <f t="shared" si="3"/>
        <v>1.877192982</v>
      </c>
      <c r="U210" s="1">
        <f t="shared" si="4"/>
        <v>0</v>
      </c>
      <c r="V210" s="3">
        <f t="shared" si="5"/>
        <v>1</v>
      </c>
      <c r="W210" s="3">
        <f t="shared" si="6"/>
        <v>2</v>
      </c>
      <c r="X210" s="3" t="str">
        <f>IFERROR(__xludf.DUMMYFUNCTION("split(B210,"" "")"),"T.")</f>
        <v>T.</v>
      </c>
      <c r="Y210" s="3" t="str">
        <f>IFERROR(__xludf.DUMMYFUNCTION("""COMPUTED_VALUE"""),"Etienne")</f>
        <v>Etienne</v>
      </c>
      <c r="Z210" s="3" t="str">
        <f>IFERROR(__xludf.DUMMYFUNCTION("""COMPUTED_VALUE"""),"Jr.")</f>
        <v>Jr.</v>
      </c>
      <c r="AA210" s="3">
        <v>50.0</v>
      </c>
      <c r="AB210" s="3">
        <f t="shared" si="7"/>
        <v>1</v>
      </c>
      <c r="AC210" s="3">
        <f t="shared" si="8"/>
        <v>0</v>
      </c>
      <c r="AD210" s="3">
        <f t="shared" si="9"/>
        <v>0.8771929825</v>
      </c>
      <c r="AE210" s="3">
        <f t="shared" si="10"/>
        <v>-1</v>
      </c>
      <c r="AF210" s="3">
        <f t="shared" si="11"/>
        <v>-2</v>
      </c>
      <c r="AG210" s="3">
        <f t="shared" si="12"/>
        <v>-0.03092783505</v>
      </c>
    </row>
    <row r="211">
      <c r="A211" s="1" t="s">
        <v>12</v>
      </c>
      <c r="B211" s="1" t="s">
        <v>217</v>
      </c>
      <c r="C211" s="1" t="s">
        <v>18</v>
      </c>
      <c r="D211" s="1" t="s">
        <v>71</v>
      </c>
      <c r="E211" s="1" t="s">
        <v>110</v>
      </c>
      <c r="F211" s="1" t="s">
        <v>564</v>
      </c>
      <c r="G211" s="1">
        <v>1.5</v>
      </c>
      <c r="H211" s="1" t="s">
        <v>60</v>
      </c>
      <c r="I211" s="1">
        <v>-181.0</v>
      </c>
      <c r="J211" s="1">
        <v>-0.350956967790035</v>
      </c>
      <c r="K211" s="1" t="s">
        <v>61</v>
      </c>
      <c r="L211" s="1" t="s">
        <v>61</v>
      </c>
      <c r="M211" s="1" t="s">
        <v>62</v>
      </c>
      <c r="N211" s="1">
        <v>137.0</v>
      </c>
      <c r="O211" s="1">
        <v>0.284893282485232</v>
      </c>
      <c r="P211" s="1" t="s">
        <v>61</v>
      </c>
      <c r="Q211" s="1" t="s">
        <v>61</v>
      </c>
      <c r="R211" s="1">
        <f t="shared" si="1"/>
        <v>0.2848932825</v>
      </c>
      <c r="S211" s="1">
        <f t="shared" si="2"/>
        <v>137</v>
      </c>
      <c r="T211" s="1">
        <f t="shared" si="3"/>
        <v>2.37</v>
      </c>
      <c r="U211" s="1">
        <f t="shared" si="4"/>
        <v>0</v>
      </c>
      <c r="V211" s="3">
        <f t="shared" si="5"/>
        <v>3</v>
      </c>
      <c r="W211" s="3">
        <f t="shared" si="6"/>
        <v>1</v>
      </c>
      <c r="X211" s="3" t="str">
        <f>IFERROR(__xludf.DUMMYFUNCTION("split(B211,"" "")"),"A.")</f>
        <v>A.</v>
      </c>
      <c r="Y211" s="3" t="str">
        <f>IFERROR(__xludf.DUMMYFUNCTION("""COMPUTED_VALUE"""),"Pierce")</f>
        <v>Pierce</v>
      </c>
      <c r="AA211" s="3">
        <v>1.0</v>
      </c>
      <c r="AB211" s="3">
        <f t="shared" si="7"/>
        <v>0</v>
      </c>
      <c r="AC211" s="3">
        <f t="shared" si="8"/>
        <v>1</v>
      </c>
      <c r="AD211" s="3">
        <f t="shared" si="9"/>
        <v>4.11</v>
      </c>
      <c r="AE211" s="3">
        <f t="shared" si="10"/>
        <v>4.11</v>
      </c>
      <c r="AF211" s="3">
        <f t="shared" si="11"/>
        <v>1.37</v>
      </c>
      <c r="AG211" s="3">
        <f t="shared" si="12"/>
        <v>0.3333333333</v>
      </c>
    </row>
    <row r="212">
      <c r="A212" s="1" t="s">
        <v>12</v>
      </c>
      <c r="B212" s="1" t="s">
        <v>539</v>
      </c>
      <c r="C212" s="1" t="s">
        <v>18</v>
      </c>
      <c r="D212" s="1" t="s">
        <v>71</v>
      </c>
      <c r="E212" s="1" t="s">
        <v>110</v>
      </c>
      <c r="F212" s="1" t="s">
        <v>564</v>
      </c>
      <c r="G212" s="1">
        <v>2.5</v>
      </c>
      <c r="H212" s="1" t="s">
        <v>60</v>
      </c>
      <c r="I212" s="1">
        <v>-179.0</v>
      </c>
      <c r="J212" s="1">
        <v>-0.306075857132616</v>
      </c>
      <c r="K212" s="1" t="s">
        <v>61</v>
      </c>
      <c r="L212" s="1" t="s">
        <v>61</v>
      </c>
      <c r="M212" s="1" t="s">
        <v>62</v>
      </c>
      <c r="N212" s="1">
        <v>135.0</v>
      </c>
      <c r="O212" s="1">
        <v>0.238966655914893</v>
      </c>
      <c r="P212" s="1" t="s">
        <v>61</v>
      </c>
      <c r="Q212" s="1" t="s">
        <v>61</v>
      </c>
      <c r="R212" s="1">
        <f t="shared" si="1"/>
        <v>0.2389666559</v>
      </c>
      <c r="S212" s="1">
        <f t="shared" si="2"/>
        <v>135</v>
      </c>
      <c r="T212" s="1">
        <f t="shared" si="3"/>
        <v>2.35</v>
      </c>
      <c r="U212" s="1">
        <f t="shared" si="4"/>
        <v>0</v>
      </c>
      <c r="V212" s="3">
        <f t="shared" si="5"/>
        <v>3</v>
      </c>
      <c r="W212" s="3">
        <f t="shared" si="6"/>
        <v>1</v>
      </c>
      <c r="X212" s="3" t="str">
        <f>IFERROR(__xludf.DUMMYFUNCTION("split(B212,"" "")"),"J.")</f>
        <v>J.</v>
      </c>
      <c r="Y212" s="3" t="str">
        <f>IFERROR(__xludf.DUMMYFUNCTION("""COMPUTED_VALUE"""),"Downs")</f>
        <v>Downs</v>
      </c>
      <c r="AA212" s="3">
        <v>8.0</v>
      </c>
      <c r="AB212" s="3">
        <f t="shared" si="7"/>
        <v>1</v>
      </c>
      <c r="AC212" s="3">
        <f t="shared" si="8"/>
        <v>0</v>
      </c>
      <c r="AD212" s="3">
        <f t="shared" si="9"/>
        <v>4.05</v>
      </c>
      <c r="AE212" s="3">
        <f t="shared" si="10"/>
        <v>-3</v>
      </c>
      <c r="AF212" s="3">
        <f t="shared" si="11"/>
        <v>-1</v>
      </c>
      <c r="AG212" s="3">
        <f t="shared" si="12"/>
        <v>-2.2</v>
      </c>
    </row>
    <row r="213">
      <c r="A213" s="1" t="s">
        <v>12</v>
      </c>
      <c r="B213" s="1" t="s">
        <v>444</v>
      </c>
      <c r="C213" s="1" t="s">
        <v>19</v>
      </c>
      <c r="D213" s="1" t="s">
        <v>71</v>
      </c>
      <c r="E213" s="1" t="s">
        <v>110</v>
      </c>
      <c r="F213" s="1" t="s">
        <v>564</v>
      </c>
      <c r="G213" s="1">
        <v>1.5</v>
      </c>
      <c r="H213" s="1" t="s">
        <v>60</v>
      </c>
      <c r="I213" s="1">
        <v>-173.0</v>
      </c>
      <c r="J213" s="1">
        <v>-0.25083544547619</v>
      </c>
      <c r="K213" s="1" t="s">
        <v>61</v>
      </c>
      <c r="L213" s="1" t="s">
        <v>61</v>
      </c>
      <c r="M213" s="1" t="s">
        <v>62</v>
      </c>
      <c r="N213" s="1">
        <v>131.0</v>
      </c>
      <c r="O213" s="1">
        <v>0.184241890108225</v>
      </c>
      <c r="P213" s="1" t="s">
        <v>61</v>
      </c>
      <c r="Q213" s="1" t="s">
        <v>61</v>
      </c>
      <c r="R213" s="1">
        <f t="shared" si="1"/>
        <v>0.1842418901</v>
      </c>
      <c r="S213" s="1">
        <f t="shared" si="2"/>
        <v>131</v>
      </c>
      <c r="T213" s="1">
        <f t="shared" si="3"/>
        <v>2.31</v>
      </c>
      <c r="U213" s="1">
        <f t="shared" si="4"/>
        <v>0</v>
      </c>
      <c r="V213" s="3">
        <f t="shared" si="5"/>
        <v>3</v>
      </c>
      <c r="W213" s="3">
        <f t="shared" si="6"/>
        <v>1</v>
      </c>
      <c r="X213" s="3" t="str">
        <f>IFERROR(__xludf.DUMMYFUNCTION("split(B213,"" "")"),"J.")</f>
        <v>J.</v>
      </c>
      <c r="Y213" s="3" t="str">
        <f>IFERROR(__xludf.DUMMYFUNCTION("""COMPUTED_VALUE"""),"Taylor")</f>
        <v>Taylor</v>
      </c>
      <c r="AA213" s="3">
        <v>3.0</v>
      </c>
      <c r="AB213" s="3">
        <f t="shared" si="7"/>
        <v>1</v>
      </c>
      <c r="AC213" s="3">
        <f t="shared" si="8"/>
        <v>0</v>
      </c>
      <c r="AD213" s="3">
        <f t="shared" si="9"/>
        <v>3.93</v>
      </c>
      <c r="AE213" s="3">
        <f t="shared" si="10"/>
        <v>-3</v>
      </c>
      <c r="AF213" s="3">
        <f t="shared" si="11"/>
        <v>-1</v>
      </c>
      <c r="AG213" s="3">
        <f t="shared" si="12"/>
        <v>-1</v>
      </c>
    </row>
    <row r="214">
      <c r="A214" s="1" t="s">
        <v>14</v>
      </c>
      <c r="B214" s="1" t="s">
        <v>200</v>
      </c>
      <c r="C214" s="1" t="s">
        <v>21</v>
      </c>
      <c r="D214" s="1" t="s">
        <v>71</v>
      </c>
      <c r="E214" s="1" t="s">
        <v>110</v>
      </c>
      <c r="F214" s="1" t="s">
        <v>564</v>
      </c>
      <c r="G214" s="1">
        <v>0.5</v>
      </c>
      <c r="H214" s="1" t="s">
        <v>60</v>
      </c>
      <c r="I214" s="1">
        <v>-214.0</v>
      </c>
      <c r="J214" s="1">
        <v>-0.212927572388534</v>
      </c>
      <c r="K214" s="1" t="s">
        <v>61</v>
      </c>
      <c r="L214" s="1" t="s">
        <v>61</v>
      </c>
      <c r="M214" s="1" t="s">
        <v>62</v>
      </c>
      <c r="N214" s="1">
        <v>160.0</v>
      </c>
      <c r="O214" s="1">
        <v>0.146783298961538</v>
      </c>
      <c r="P214" s="1" t="s">
        <v>61</v>
      </c>
      <c r="Q214" s="1" t="s">
        <v>61</v>
      </c>
      <c r="R214" s="1">
        <f t="shared" si="1"/>
        <v>0.146783299</v>
      </c>
      <c r="S214" s="1">
        <f t="shared" si="2"/>
        <v>160</v>
      </c>
      <c r="T214" s="1">
        <f t="shared" si="3"/>
        <v>2.6</v>
      </c>
      <c r="U214" s="1">
        <f t="shared" si="4"/>
        <v>0</v>
      </c>
      <c r="V214" s="3">
        <f t="shared" si="5"/>
        <v>3</v>
      </c>
      <c r="W214" s="3">
        <f t="shared" si="6"/>
        <v>1</v>
      </c>
      <c r="X214" s="3" t="str">
        <f>IFERROR(__xludf.DUMMYFUNCTION("split(B214,"" "")"),"A.")</f>
        <v>A.</v>
      </c>
      <c r="Y214" s="3" t="str">
        <f>IFERROR(__xludf.DUMMYFUNCTION("""COMPUTED_VALUE"""),"Richardson")</f>
        <v>Richardson</v>
      </c>
      <c r="AA214" s="3">
        <v>0.0</v>
      </c>
      <c r="AB214" s="3">
        <f t="shared" si="7"/>
        <v>0</v>
      </c>
      <c r="AC214" s="3">
        <f t="shared" si="8"/>
        <v>1</v>
      </c>
      <c r="AD214" s="3">
        <f t="shared" si="9"/>
        <v>4.8</v>
      </c>
      <c r="AE214" s="3">
        <f t="shared" si="10"/>
        <v>4.8</v>
      </c>
      <c r="AF214" s="3">
        <f t="shared" si="11"/>
        <v>1.6</v>
      </c>
      <c r="AG214" s="3">
        <f t="shared" si="12"/>
        <v>1</v>
      </c>
    </row>
    <row r="215">
      <c r="A215" s="1" t="s">
        <v>16</v>
      </c>
      <c r="B215" s="1" t="s">
        <v>200</v>
      </c>
      <c r="C215" s="1" t="s">
        <v>21</v>
      </c>
      <c r="D215" s="1" t="s">
        <v>71</v>
      </c>
      <c r="E215" s="1" t="s">
        <v>110</v>
      </c>
      <c r="F215" s="1" t="s">
        <v>564</v>
      </c>
      <c r="G215" s="1">
        <v>25.5</v>
      </c>
      <c r="H215" s="1" t="s">
        <v>60</v>
      </c>
      <c r="I215" s="1">
        <v>-130.0</v>
      </c>
      <c r="J215" s="1">
        <v>-0.214908007785652</v>
      </c>
      <c r="K215" s="1" t="s">
        <v>61</v>
      </c>
      <c r="L215" s="1" t="s">
        <v>61</v>
      </c>
      <c r="M215" s="1" t="s">
        <v>62</v>
      </c>
      <c r="N215" s="1">
        <v>-103.0</v>
      </c>
      <c r="O215" s="1">
        <v>0.14229988691833</v>
      </c>
      <c r="P215" s="1" t="s">
        <v>61</v>
      </c>
      <c r="Q215" s="1" t="s">
        <v>61</v>
      </c>
      <c r="R215" s="1">
        <f t="shared" si="1"/>
        <v>0.1422998869</v>
      </c>
      <c r="S215" s="1">
        <f t="shared" si="2"/>
        <v>-103</v>
      </c>
      <c r="T215" s="1">
        <f t="shared" si="3"/>
        <v>1.970873786</v>
      </c>
      <c r="U215" s="1">
        <f t="shared" si="4"/>
        <v>0</v>
      </c>
      <c r="V215" s="3">
        <f t="shared" si="5"/>
        <v>3</v>
      </c>
      <c r="W215" s="3">
        <f t="shared" si="6"/>
        <v>2</v>
      </c>
      <c r="X215" s="3" t="str">
        <f>IFERROR(__xludf.DUMMYFUNCTION("split(B215,"" "")"),"A.")</f>
        <v>A.</v>
      </c>
      <c r="Y215" s="3" t="str">
        <f>IFERROR(__xludf.DUMMYFUNCTION("""COMPUTED_VALUE"""),"Richardson")</f>
        <v>Richardson</v>
      </c>
      <c r="AA215" s="3">
        <v>4.0</v>
      </c>
      <c r="AB215" s="3">
        <f t="shared" si="7"/>
        <v>0</v>
      </c>
      <c r="AC215" s="3">
        <f t="shared" si="8"/>
        <v>1</v>
      </c>
      <c r="AD215" s="3">
        <f t="shared" si="9"/>
        <v>2.912621359</v>
      </c>
      <c r="AE215" s="3">
        <f t="shared" si="10"/>
        <v>2.912621359</v>
      </c>
      <c r="AF215" s="3">
        <f t="shared" si="11"/>
        <v>1.941747573</v>
      </c>
      <c r="AG215" s="3">
        <f t="shared" si="12"/>
        <v>0.8431372549</v>
      </c>
    </row>
    <row r="216">
      <c r="A216" s="1" t="s">
        <v>8</v>
      </c>
      <c r="B216" s="1" t="s">
        <v>200</v>
      </c>
      <c r="C216" s="1" t="s">
        <v>21</v>
      </c>
      <c r="D216" s="1" t="s">
        <v>71</v>
      </c>
      <c r="E216" s="1" t="s">
        <v>110</v>
      </c>
      <c r="F216" s="1" t="s">
        <v>564</v>
      </c>
      <c r="G216" s="1">
        <v>7.5</v>
      </c>
      <c r="H216" s="1" t="s">
        <v>60</v>
      </c>
      <c r="I216" s="1">
        <v>103.0</v>
      </c>
      <c r="J216" s="1">
        <v>-0.208243236950152</v>
      </c>
      <c r="K216" s="1" t="s">
        <v>61</v>
      </c>
      <c r="L216" s="1" t="s">
        <v>61</v>
      </c>
      <c r="M216" s="1" t="s">
        <v>62</v>
      </c>
      <c r="N216" s="1">
        <v>-140.0</v>
      </c>
      <c r="O216" s="1">
        <v>0.132303915619875</v>
      </c>
      <c r="P216" s="1" t="s">
        <v>61</v>
      </c>
      <c r="Q216" s="1" t="s">
        <v>61</v>
      </c>
      <c r="R216" s="1">
        <f t="shared" si="1"/>
        <v>0.1323039156</v>
      </c>
      <c r="S216" s="1">
        <f t="shared" si="2"/>
        <v>-140</v>
      </c>
      <c r="T216" s="1">
        <f t="shared" si="3"/>
        <v>1.714285714</v>
      </c>
      <c r="U216" s="1">
        <f t="shared" si="4"/>
        <v>0</v>
      </c>
      <c r="V216" s="3">
        <f t="shared" si="5"/>
        <v>3</v>
      </c>
      <c r="W216" s="3">
        <f t="shared" si="6"/>
        <v>3</v>
      </c>
      <c r="X216" s="3" t="str">
        <f>IFERROR(__xludf.DUMMYFUNCTION("split(B216,"" "")"),"A.")</f>
        <v>A.</v>
      </c>
      <c r="Y216" s="3" t="str">
        <f>IFERROR(__xludf.DUMMYFUNCTION("""COMPUTED_VALUE"""),"Richardson")</f>
        <v>Richardson</v>
      </c>
      <c r="AA216" s="3">
        <v>3.0</v>
      </c>
      <c r="AB216" s="3">
        <f t="shared" si="7"/>
        <v>0</v>
      </c>
      <c r="AC216" s="3">
        <f t="shared" si="8"/>
        <v>1</v>
      </c>
      <c r="AD216" s="3">
        <f t="shared" si="9"/>
        <v>2.142857143</v>
      </c>
      <c r="AE216" s="3">
        <f t="shared" si="10"/>
        <v>2.142857143</v>
      </c>
      <c r="AF216" s="3">
        <f t="shared" si="11"/>
        <v>2.142857143</v>
      </c>
      <c r="AG216" s="3">
        <f t="shared" si="12"/>
        <v>0.6</v>
      </c>
    </row>
    <row r="217">
      <c r="A217" s="1" t="s">
        <v>15</v>
      </c>
      <c r="B217" s="1" t="s">
        <v>200</v>
      </c>
      <c r="C217" s="1" t="s">
        <v>21</v>
      </c>
      <c r="D217" s="1" t="s">
        <v>71</v>
      </c>
      <c r="E217" s="1" t="s">
        <v>110</v>
      </c>
      <c r="F217" s="1" t="s">
        <v>564</v>
      </c>
      <c r="G217" s="1">
        <v>15.5</v>
      </c>
      <c r="H217" s="1" t="s">
        <v>60</v>
      </c>
      <c r="I217" s="1">
        <v>-114.0</v>
      </c>
      <c r="J217" s="1">
        <v>-0.170051469457943</v>
      </c>
      <c r="K217" s="1" t="s">
        <v>61</v>
      </c>
      <c r="L217" s="1" t="s">
        <v>61</v>
      </c>
      <c r="M217" s="1" t="s">
        <v>62</v>
      </c>
      <c r="N217" s="1">
        <v>-116.0</v>
      </c>
      <c r="O217" s="1">
        <v>0.100310299899259</v>
      </c>
      <c r="P217" s="1" t="s">
        <v>61</v>
      </c>
      <c r="Q217" s="1" t="s">
        <v>61</v>
      </c>
      <c r="R217" s="1">
        <f t="shared" si="1"/>
        <v>0.1003102999</v>
      </c>
      <c r="S217" s="1">
        <f t="shared" si="2"/>
        <v>-116</v>
      </c>
      <c r="T217" s="1">
        <f t="shared" si="3"/>
        <v>1.862068966</v>
      </c>
      <c r="U217" s="1">
        <f t="shared" si="4"/>
        <v>0</v>
      </c>
      <c r="V217" s="3">
        <f t="shared" si="5"/>
        <v>3</v>
      </c>
      <c r="W217" s="3">
        <f t="shared" si="6"/>
        <v>2</v>
      </c>
      <c r="X217" s="3" t="str">
        <f>IFERROR(__xludf.DUMMYFUNCTION("split(B217,"" "")"),"A.")</f>
        <v>A.</v>
      </c>
      <c r="Y217" s="3" t="str">
        <f>IFERROR(__xludf.DUMMYFUNCTION("""COMPUTED_VALUE"""),"Richardson")</f>
        <v>Richardson</v>
      </c>
      <c r="AA217" s="3">
        <v>3.0</v>
      </c>
      <c r="AB217" s="3">
        <f t="shared" si="7"/>
        <v>0</v>
      </c>
      <c r="AC217" s="3">
        <f t="shared" si="8"/>
        <v>1</v>
      </c>
      <c r="AD217" s="3">
        <f t="shared" si="9"/>
        <v>2.586206897</v>
      </c>
      <c r="AE217" s="3">
        <f t="shared" si="10"/>
        <v>2.586206897</v>
      </c>
      <c r="AF217" s="3">
        <f t="shared" si="11"/>
        <v>1.724137931</v>
      </c>
      <c r="AG217" s="3">
        <f t="shared" si="12"/>
        <v>0.8064516129</v>
      </c>
    </row>
    <row r="218">
      <c r="A218" s="1" t="s">
        <v>11</v>
      </c>
      <c r="B218" s="1" t="s">
        <v>217</v>
      </c>
      <c r="C218" s="1" t="s">
        <v>18</v>
      </c>
      <c r="D218" s="1" t="s">
        <v>71</v>
      </c>
      <c r="E218" s="1" t="s">
        <v>110</v>
      </c>
      <c r="F218" s="1" t="s">
        <v>564</v>
      </c>
      <c r="G218" s="1">
        <v>25.5</v>
      </c>
      <c r="H218" s="1" t="s">
        <v>60</v>
      </c>
      <c r="I218" s="1">
        <v>-115.0</v>
      </c>
      <c r="J218" s="1">
        <v>-0.156842979119274</v>
      </c>
      <c r="K218" s="1" t="s">
        <v>61</v>
      </c>
      <c r="L218" s="1" t="s">
        <v>61</v>
      </c>
      <c r="M218" s="1" t="s">
        <v>62</v>
      </c>
      <c r="N218" s="1">
        <v>-115.0</v>
      </c>
      <c r="O218" s="1">
        <v>0.0870694259871656</v>
      </c>
      <c r="P218" s="1" t="s">
        <v>61</v>
      </c>
      <c r="Q218" s="1" t="s">
        <v>61</v>
      </c>
      <c r="R218" s="1">
        <f t="shared" si="1"/>
        <v>0.08706942599</v>
      </c>
      <c r="S218" s="1">
        <f t="shared" si="2"/>
        <v>-115</v>
      </c>
      <c r="T218" s="1">
        <f t="shared" si="3"/>
        <v>1.869565217</v>
      </c>
      <c r="U218" s="1">
        <f t="shared" si="4"/>
        <v>0</v>
      </c>
      <c r="V218" s="3">
        <f t="shared" si="5"/>
        <v>2</v>
      </c>
      <c r="W218" s="3">
        <f t="shared" si="6"/>
        <v>2</v>
      </c>
      <c r="X218" s="3" t="str">
        <f>IFERROR(__xludf.DUMMYFUNCTION("split(B218,"" "")"),"A.")</f>
        <v>A.</v>
      </c>
      <c r="Y218" s="3" t="str">
        <f>IFERROR(__xludf.DUMMYFUNCTION("""COMPUTED_VALUE"""),"Pierce")</f>
        <v>Pierce</v>
      </c>
      <c r="AA218" s="3">
        <v>9.0</v>
      </c>
      <c r="AB218" s="3">
        <f t="shared" si="7"/>
        <v>0</v>
      </c>
      <c r="AC218" s="3">
        <f t="shared" si="8"/>
        <v>1</v>
      </c>
      <c r="AD218" s="3">
        <f t="shared" si="9"/>
        <v>1.739130435</v>
      </c>
      <c r="AE218" s="3">
        <f t="shared" si="10"/>
        <v>1.739130435</v>
      </c>
      <c r="AF218" s="3">
        <f t="shared" si="11"/>
        <v>1.739130435</v>
      </c>
      <c r="AG218" s="3">
        <f t="shared" si="12"/>
        <v>0.6470588235</v>
      </c>
    </row>
    <row r="219">
      <c r="A219" s="1" t="s">
        <v>17</v>
      </c>
      <c r="B219" s="1" t="s">
        <v>200</v>
      </c>
      <c r="C219" s="1" t="s">
        <v>21</v>
      </c>
      <c r="D219" s="1" t="s">
        <v>71</v>
      </c>
      <c r="E219" s="1" t="s">
        <v>110</v>
      </c>
      <c r="F219" s="1" t="s">
        <v>564</v>
      </c>
      <c r="G219" s="1">
        <v>0.5</v>
      </c>
      <c r="H219" s="1" t="s">
        <v>60</v>
      </c>
      <c r="I219" s="1">
        <v>-137.0</v>
      </c>
      <c r="J219" s="1">
        <v>-0.13391687763713</v>
      </c>
      <c r="K219" s="1" t="s">
        <v>61</v>
      </c>
      <c r="L219" s="1" t="s">
        <v>61</v>
      </c>
      <c r="M219" s="1" t="s">
        <v>62</v>
      </c>
      <c r="N219" s="1">
        <v>103.0</v>
      </c>
      <c r="O219" s="1">
        <v>0.0632399014778326</v>
      </c>
      <c r="P219" s="1" t="s">
        <v>61</v>
      </c>
      <c r="Q219" s="1" t="s">
        <v>61</v>
      </c>
      <c r="R219" s="1">
        <f t="shared" si="1"/>
        <v>0.06323990148</v>
      </c>
      <c r="S219" s="1">
        <f t="shared" si="2"/>
        <v>103</v>
      </c>
      <c r="T219" s="1">
        <f t="shared" si="3"/>
        <v>2.03</v>
      </c>
      <c r="U219" s="1">
        <f t="shared" si="4"/>
        <v>0</v>
      </c>
      <c r="V219" s="3">
        <f t="shared" si="5"/>
        <v>2</v>
      </c>
      <c r="W219" s="3">
        <f t="shared" si="6"/>
        <v>2</v>
      </c>
      <c r="X219" s="3" t="str">
        <f>IFERROR(__xludf.DUMMYFUNCTION("split(B219,"" "")"),"A.")</f>
        <v>A.</v>
      </c>
      <c r="Y219" s="3" t="str">
        <f>IFERROR(__xludf.DUMMYFUNCTION("""COMPUTED_VALUE"""),"Richardson")</f>
        <v>Richardson</v>
      </c>
      <c r="AA219" s="3">
        <v>0.0</v>
      </c>
      <c r="AB219" s="3">
        <f t="shared" si="7"/>
        <v>0</v>
      </c>
      <c r="AC219" s="3">
        <f t="shared" si="8"/>
        <v>1</v>
      </c>
      <c r="AD219" s="3">
        <f t="shared" si="9"/>
        <v>2.06</v>
      </c>
      <c r="AE219" s="3">
        <f t="shared" si="10"/>
        <v>2.06</v>
      </c>
      <c r="AF219" s="3">
        <f t="shared" si="11"/>
        <v>2.06</v>
      </c>
      <c r="AG219" s="3">
        <f t="shared" si="12"/>
        <v>1</v>
      </c>
    </row>
    <row r="220">
      <c r="A220" s="1" t="s">
        <v>10</v>
      </c>
      <c r="B220" s="1" t="s">
        <v>200</v>
      </c>
      <c r="C220" s="1" t="s">
        <v>21</v>
      </c>
      <c r="D220" s="1" t="s">
        <v>71</v>
      </c>
      <c r="E220" s="1" t="s">
        <v>110</v>
      </c>
      <c r="F220" s="1" t="s">
        <v>564</v>
      </c>
      <c r="G220" s="1">
        <v>38.5</v>
      </c>
      <c r="H220" s="1" t="s">
        <v>60</v>
      </c>
      <c r="I220" s="1">
        <v>-112.0</v>
      </c>
      <c r="J220" s="1">
        <v>-0.128396763640514</v>
      </c>
      <c r="K220" s="1" t="s">
        <v>61</v>
      </c>
      <c r="L220" s="1" t="s">
        <v>61</v>
      </c>
      <c r="M220" s="1" t="s">
        <v>62</v>
      </c>
      <c r="N220" s="1">
        <v>-117.0</v>
      </c>
      <c r="O220" s="1">
        <v>0.0609794791452219</v>
      </c>
      <c r="P220" s="1" t="s">
        <v>61</v>
      </c>
      <c r="Q220" s="1" t="s">
        <v>61</v>
      </c>
      <c r="R220" s="1">
        <f t="shared" si="1"/>
        <v>0.06097947915</v>
      </c>
      <c r="S220" s="1">
        <f t="shared" si="2"/>
        <v>-117</v>
      </c>
      <c r="T220" s="1">
        <f t="shared" si="3"/>
        <v>1.854700855</v>
      </c>
      <c r="U220" s="1">
        <f t="shared" si="4"/>
        <v>0</v>
      </c>
      <c r="V220" s="3">
        <f t="shared" si="5"/>
        <v>2</v>
      </c>
      <c r="W220" s="3">
        <f t="shared" si="6"/>
        <v>2</v>
      </c>
      <c r="X220" s="3" t="str">
        <f>IFERROR(__xludf.DUMMYFUNCTION("split(B220,"" "")"),"A.")</f>
        <v>A.</v>
      </c>
      <c r="Y220" s="3" t="str">
        <f>IFERROR(__xludf.DUMMYFUNCTION("""COMPUTED_VALUE"""),"Richardson")</f>
        <v>Richardson</v>
      </c>
      <c r="AA220" s="3">
        <v>24.0</v>
      </c>
      <c r="AB220" s="3">
        <f t="shared" si="7"/>
        <v>0</v>
      </c>
      <c r="AC220" s="3">
        <f t="shared" si="8"/>
        <v>1</v>
      </c>
      <c r="AD220" s="3">
        <f t="shared" si="9"/>
        <v>1.709401709</v>
      </c>
      <c r="AE220" s="3">
        <f t="shared" si="10"/>
        <v>1.709401709</v>
      </c>
      <c r="AF220" s="3">
        <f t="shared" si="11"/>
        <v>1.709401709</v>
      </c>
      <c r="AG220" s="3">
        <f t="shared" si="12"/>
        <v>0.3766233766</v>
      </c>
    </row>
    <row r="221">
      <c r="A221" s="1" t="s">
        <v>11</v>
      </c>
      <c r="B221" s="1" t="s">
        <v>539</v>
      </c>
      <c r="C221" s="1" t="s">
        <v>18</v>
      </c>
      <c r="D221" s="1" t="s">
        <v>71</v>
      </c>
      <c r="E221" s="1" t="s">
        <v>110</v>
      </c>
      <c r="F221" s="1" t="s">
        <v>564</v>
      </c>
      <c r="G221" s="1">
        <v>33.5</v>
      </c>
      <c r="H221" s="1" t="s">
        <v>60</v>
      </c>
      <c r="I221" s="1">
        <v>-118.0</v>
      </c>
      <c r="J221" s="1">
        <v>-0.130324398587064</v>
      </c>
      <c r="K221" s="1" t="s">
        <v>61</v>
      </c>
      <c r="L221" s="1" t="s">
        <v>61</v>
      </c>
      <c r="M221" s="1" t="s">
        <v>62</v>
      </c>
      <c r="N221" s="1">
        <v>-114.0</v>
      </c>
      <c r="O221" s="1">
        <v>0.0563029410278749</v>
      </c>
      <c r="P221" s="1" t="s">
        <v>61</v>
      </c>
      <c r="Q221" s="1" t="s">
        <v>61</v>
      </c>
      <c r="R221" s="1">
        <f t="shared" si="1"/>
        <v>0.05630294103</v>
      </c>
      <c r="S221" s="1">
        <f t="shared" si="2"/>
        <v>-114</v>
      </c>
      <c r="T221" s="1">
        <f t="shared" si="3"/>
        <v>1.877192982</v>
      </c>
      <c r="U221" s="1">
        <f t="shared" si="4"/>
        <v>0</v>
      </c>
      <c r="V221" s="3">
        <f t="shared" si="5"/>
        <v>2</v>
      </c>
      <c r="W221" s="3">
        <f t="shared" si="6"/>
        <v>2</v>
      </c>
      <c r="X221" s="3" t="str">
        <f>IFERROR(__xludf.DUMMYFUNCTION("split(B221,"" "")"),"J.")</f>
        <v>J.</v>
      </c>
      <c r="Y221" s="3" t="str">
        <f>IFERROR(__xludf.DUMMYFUNCTION("""COMPUTED_VALUE"""),"Downs")</f>
        <v>Downs</v>
      </c>
      <c r="AA221" s="3">
        <v>82.0</v>
      </c>
      <c r="AB221" s="3">
        <f t="shared" si="7"/>
        <v>1</v>
      </c>
      <c r="AC221" s="3">
        <f t="shared" si="8"/>
        <v>0</v>
      </c>
      <c r="AD221" s="3">
        <f t="shared" si="9"/>
        <v>1.754385965</v>
      </c>
      <c r="AE221" s="3">
        <f t="shared" si="10"/>
        <v>-2</v>
      </c>
      <c r="AF221" s="3">
        <f t="shared" si="11"/>
        <v>-2</v>
      </c>
      <c r="AG221" s="3">
        <f t="shared" si="12"/>
        <v>-1.447761194</v>
      </c>
    </row>
    <row r="222">
      <c r="A222" s="1" t="s">
        <v>10</v>
      </c>
      <c r="B222" s="1" t="s">
        <v>444</v>
      </c>
      <c r="C222" s="1" t="s">
        <v>19</v>
      </c>
      <c r="D222" s="1" t="s">
        <v>71</v>
      </c>
      <c r="E222" s="1" t="s">
        <v>110</v>
      </c>
      <c r="F222" s="1" t="s">
        <v>564</v>
      </c>
      <c r="G222" s="1">
        <v>73.5</v>
      </c>
      <c r="H222" s="1" t="s">
        <v>60</v>
      </c>
      <c r="I222" s="1">
        <v>-118.0</v>
      </c>
      <c r="J222" s="1">
        <v>-0.108658071574582</v>
      </c>
      <c r="K222" s="1" t="s">
        <v>61</v>
      </c>
      <c r="L222" s="1" t="s">
        <v>61</v>
      </c>
      <c r="M222" s="1" t="s">
        <v>62</v>
      </c>
      <c r="N222" s="1">
        <v>-115.0</v>
      </c>
      <c r="O222" s="1">
        <v>0.0324501363265283</v>
      </c>
      <c r="P222" s="1" t="s">
        <v>61</v>
      </c>
      <c r="Q222" s="1" t="s">
        <v>61</v>
      </c>
      <c r="R222" s="1">
        <f t="shared" si="1"/>
        <v>0.03245013633</v>
      </c>
      <c r="S222" s="1">
        <f t="shared" si="2"/>
        <v>-115</v>
      </c>
      <c r="T222" s="1">
        <f t="shared" si="3"/>
        <v>1.869565217</v>
      </c>
      <c r="U222" s="1">
        <f t="shared" si="4"/>
        <v>0</v>
      </c>
      <c r="V222" s="3">
        <f t="shared" si="5"/>
        <v>1</v>
      </c>
      <c r="W222" s="3">
        <f t="shared" si="6"/>
        <v>2</v>
      </c>
      <c r="X222" s="3" t="str">
        <f>IFERROR(__xludf.DUMMYFUNCTION("split(B222,"" "")"),"J.")</f>
        <v>J.</v>
      </c>
      <c r="Y222" s="3" t="str">
        <f>IFERROR(__xludf.DUMMYFUNCTION("""COMPUTED_VALUE"""),"Taylor")</f>
        <v>Taylor</v>
      </c>
      <c r="AA222" s="3">
        <v>88.0</v>
      </c>
      <c r="AB222" s="3">
        <f t="shared" si="7"/>
        <v>1</v>
      </c>
      <c r="AC222" s="3">
        <f t="shared" si="8"/>
        <v>0</v>
      </c>
      <c r="AD222" s="3">
        <f t="shared" si="9"/>
        <v>0.8695652174</v>
      </c>
      <c r="AE222" s="3">
        <f t="shared" si="10"/>
        <v>-1</v>
      </c>
      <c r="AF222" s="3">
        <f t="shared" si="11"/>
        <v>-2</v>
      </c>
      <c r="AG222" s="3">
        <f t="shared" si="12"/>
        <v>-0.1972789116</v>
      </c>
    </row>
    <row r="223">
      <c r="A223" s="1" t="s">
        <v>9</v>
      </c>
      <c r="B223" s="1" t="s">
        <v>444</v>
      </c>
      <c r="C223" s="1" t="s">
        <v>19</v>
      </c>
      <c r="D223" s="1" t="s">
        <v>71</v>
      </c>
      <c r="E223" s="1" t="s">
        <v>110</v>
      </c>
      <c r="F223" s="1" t="s">
        <v>564</v>
      </c>
      <c r="G223" s="1">
        <v>89.5</v>
      </c>
      <c r="H223" s="1" t="s">
        <v>60</v>
      </c>
      <c r="I223" s="1">
        <v>-114.0</v>
      </c>
      <c r="J223" s="1">
        <v>-0.107599307666692</v>
      </c>
      <c r="K223" s="1" t="s">
        <v>61</v>
      </c>
      <c r="L223" s="1" t="s">
        <v>61</v>
      </c>
      <c r="M223" s="1" t="s">
        <v>62</v>
      </c>
      <c r="N223" s="1">
        <v>-119.0</v>
      </c>
      <c r="O223" s="1">
        <v>0.0315069756005111</v>
      </c>
      <c r="P223" s="1" t="s">
        <v>61</v>
      </c>
      <c r="Q223" s="1" t="s">
        <v>61</v>
      </c>
      <c r="R223" s="1">
        <f t="shared" si="1"/>
        <v>0.0315069756</v>
      </c>
      <c r="S223" s="1">
        <f t="shared" si="2"/>
        <v>-119</v>
      </c>
      <c r="T223" s="1">
        <f t="shared" si="3"/>
        <v>1.840336134</v>
      </c>
      <c r="U223" s="1">
        <f t="shared" si="4"/>
        <v>0</v>
      </c>
      <c r="V223" s="3">
        <f t="shared" si="5"/>
        <v>1</v>
      </c>
      <c r="W223" s="3">
        <f t="shared" si="6"/>
        <v>3</v>
      </c>
      <c r="X223" s="3" t="str">
        <f>IFERROR(__xludf.DUMMYFUNCTION("split(B223,"" "")"),"J.")</f>
        <v>J.</v>
      </c>
      <c r="Y223" s="3" t="str">
        <f>IFERROR(__xludf.DUMMYFUNCTION("""COMPUTED_VALUE"""),"Taylor")</f>
        <v>Taylor</v>
      </c>
      <c r="AA223" s="3">
        <v>108.0</v>
      </c>
      <c r="AB223" s="3">
        <f t="shared" si="7"/>
        <v>1</v>
      </c>
      <c r="AC223" s="3">
        <f t="shared" si="8"/>
        <v>0</v>
      </c>
      <c r="AD223" s="3">
        <f t="shared" si="9"/>
        <v>0.8403361345</v>
      </c>
      <c r="AE223" s="3">
        <f t="shared" si="10"/>
        <v>-1</v>
      </c>
      <c r="AF223" s="3">
        <f t="shared" si="11"/>
        <v>-3</v>
      </c>
      <c r="AG223" s="3">
        <f t="shared" si="12"/>
        <v>-0.2067039106</v>
      </c>
    </row>
    <row r="224">
      <c r="A224" s="1" t="s">
        <v>11</v>
      </c>
      <c r="B224" s="1" t="s">
        <v>391</v>
      </c>
      <c r="C224" s="1" t="s">
        <v>18</v>
      </c>
      <c r="D224" s="1" t="s">
        <v>71</v>
      </c>
      <c r="E224" s="1" t="s">
        <v>110</v>
      </c>
      <c r="F224" s="1" t="s">
        <v>564</v>
      </c>
      <c r="G224" s="1">
        <v>46.5</v>
      </c>
      <c r="H224" s="1" t="s">
        <v>60</v>
      </c>
      <c r="I224" s="1">
        <v>-115.0</v>
      </c>
      <c r="J224" s="1">
        <v>-0.084839422993256</v>
      </c>
      <c r="K224" s="1" t="s">
        <v>61</v>
      </c>
      <c r="L224" s="1" t="s">
        <v>61</v>
      </c>
      <c r="M224" s="1" t="s">
        <v>62</v>
      </c>
      <c r="N224" s="1">
        <v>-114.0</v>
      </c>
      <c r="O224" s="1">
        <v>0.0172382416573365</v>
      </c>
      <c r="P224" s="1" t="s">
        <v>61</v>
      </c>
      <c r="Q224" s="1" t="s">
        <v>61</v>
      </c>
      <c r="R224" s="1">
        <f t="shared" si="1"/>
        <v>0.01723824166</v>
      </c>
      <c r="S224" s="1">
        <f t="shared" si="2"/>
        <v>-114</v>
      </c>
      <c r="T224" s="1">
        <f t="shared" si="3"/>
        <v>1.877192982</v>
      </c>
      <c r="U224" s="1">
        <f t="shared" si="4"/>
        <v>0</v>
      </c>
      <c r="V224" s="3">
        <f t="shared" si="5"/>
        <v>1</v>
      </c>
      <c r="W224" s="3">
        <f t="shared" si="6"/>
        <v>2</v>
      </c>
      <c r="X224" s="3" t="str">
        <f>IFERROR(__xludf.DUMMYFUNCTION("split(B224,"" "")"),"M.")</f>
        <v>M.</v>
      </c>
      <c r="Y224" s="3" t="str">
        <f>IFERROR(__xludf.DUMMYFUNCTION("""COMPUTED_VALUE"""),"Pittman")</f>
        <v>Pittman</v>
      </c>
      <c r="Z224" s="3" t="str">
        <f>IFERROR(__xludf.DUMMYFUNCTION("""COMPUTED_VALUE"""),"Jr.")</f>
        <v>Jr.</v>
      </c>
      <c r="AA224" s="3">
        <v>113.0</v>
      </c>
      <c r="AB224" s="3">
        <f t="shared" si="7"/>
        <v>1</v>
      </c>
      <c r="AC224" s="3">
        <f t="shared" si="8"/>
        <v>0</v>
      </c>
      <c r="AD224" s="3">
        <f t="shared" si="9"/>
        <v>0.8771929825</v>
      </c>
      <c r="AE224" s="3">
        <f t="shared" si="10"/>
        <v>-1</v>
      </c>
      <c r="AF224" s="3">
        <f t="shared" si="11"/>
        <v>-2</v>
      </c>
      <c r="AG224" s="3">
        <f t="shared" si="12"/>
        <v>-1.430107527</v>
      </c>
    </row>
    <row r="225">
      <c r="A225" s="1" t="s">
        <v>9</v>
      </c>
      <c r="B225" s="1" t="s">
        <v>217</v>
      </c>
      <c r="C225" s="1" t="s">
        <v>18</v>
      </c>
      <c r="D225" s="1" t="s">
        <v>71</v>
      </c>
      <c r="E225" s="1" t="s">
        <v>110</v>
      </c>
      <c r="F225" s="1" t="s">
        <v>564</v>
      </c>
      <c r="G225" s="1">
        <v>23.5</v>
      </c>
      <c r="H225" s="1" t="s">
        <v>60</v>
      </c>
      <c r="I225" s="1">
        <v>-119.0</v>
      </c>
      <c r="J225" s="1">
        <v>0.00553231758699424</v>
      </c>
      <c r="K225" s="1" t="s">
        <v>61</v>
      </c>
      <c r="L225" s="1" t="s">
        <v>61</v>
      </c>
      <c r="M225" s="1" t="s">
        <v>62</v>
      </c>
      <c r="N225" s="1">
        <v>-114.0</v>
      </c>
      <c r="O225" s="1">
        <v>-0.0815901514428456</v>
      </c>
      <c r="P225" s="1" t="s">
        <v>61</v>
      </c>
      <c r="Q225" s="1" t="s">
        <v>61</v>
      </c>
      <c r="R225" s="1">
        <f t="shared" si="1"/>
        <v>0.005532317587</v>
      </c>
      <c r="S225" s="1">
        <f t="shared" si="2"/>
        <v>-119</v>
      </c>
      <c r="T225" s="1">
        <f t="shared" si="3"/>
        <v>1.840336134</v>
      </c>
      <c r="U225" s="1">
        <f t="shared" si="4"/>
        <v>1</v>
      </c>
      <c r="V225" s="3">
        <f t="shared" si="5"/>
        <v>1</v>
      </c>
      <c r="W225" s="3">
        <f t="shared" si="6"/>
        <v>3</v>
      </c>
      <c r="X225" s="3" t="str">
        <f>IFERROR(__xludf.DUMMYFUNCTION("split(B225,"" "")"),"A.")</f>
        <v>A.</v>
      </c>
      <c r="Y225" s="3" t="str">
        <f>IFERROR(__xludf.DUMMYFUNCTION("""COMPUTED_VALUE"""),"Pierce")</f>
        <v>Pierce</v>
      </c>
      <c r="AA225" s="3">
        <v>9.0</v>
      </c>
      <c r="AB225" s="3">
        <f t="shared" si="7"/>
        <v>0</v>
      </c>
      <c r="AC225" s="3">
        <f t="shared" si="8"/>
        <v>0</v>
      </c>
      <c r="AD225" s="3">
        <f t="shared" si="9"/>
        <v>0.8403361345</v>
      </c>
      <c r="AE225" s="3">
        <f t="shared" si="10"/>
        <v>-1</v>
      </c>
      <c r="AF225" s="3">
        <f t="shared" si="11"/>
        <v>-3</v>
      </c>
      <c r="AG225" s="3">
        <f t="shared" si="12"/>
        <v>-0.6170212766</v>
      </c>
    </row>
    <row r="226">
      <c r="A226" s="1" t="s">
        <v>10</v>
      </c>
      <c r="B226" s="1" t="s">
        <v>495</v>
      </c>
      <c r="C226" s="1" t="s">
        <v>18</v>
      </c>
      <c r="D226" s="1" t="s">
        <v>72</v>
      </c>
      <c r="E226" s="1" t="s">
        <v>93</v>
      </c>
      <c r="F226" s="1" t="s">
        <v>564</v>
      </c>
      <c r="G226" s="1">
        <v>0.5</v>
      </c>
      <c r="H226" s="1" t="s">
        <v>60</v>
      </c>
      <c r="I226" s="1">
        <v>750.0</v>
      </c>
      <c r="J226" s="1">
        <v>0.495056923542838</v>
      </c>
      <c r="K226" s="1" t="s">
        <v>61</v>
      </c>
      <c r="L226" s="1" t="s">
        <v>61</v>
      </c>
      <c r="M226" s="1" t="s">
        <v>62</v>
      </c>
      <c r="N226" s="1">
        <v>-1600.0</v>
      </c>
      <c r="O226" s="1">
        <v>-0.553847385112361</v>
      </c>
      <c r="P226" s="1" t="s">
        <v>61</v>
      </c>
      <c r="Q226" s="1" t="s">
        <v>61</v>
      </c>
      <c r="R226" s="1">
        <f t="shared" si="1"/>
        <v>0.4950569235</v>
      </c>
      <c r="S226" s="1">
        <f t="shared" si="2"/>
        <v>750</v>
      </c>
      <c r="T226" s="1">
        <f t="shared" si="3"/>
        <v>8.5</v>
      </c>
      <c r="U226" s="1">
        <f t="shared" si="4"/>
        <v>1</v>
      </c>
      <c r="V226" s="3">
        <f t="shared" si="5"/>
        <v>3</v>
      </c>
      <c r="W226" s="3">
        <f t="shared" si="6"/>
        <v>1</v>
      </c>
      <c r="X226" s="3" t="str">
        <f>IFERROR(__xludf.DUMMYFUNCTION("split(B226,"" "")"),"N.")</f>
        <v>N.</v>
      </c>
      <c r="Y226" s="3" t="str">
        <f>IFERROR(__xludf.DUMMYFUNCTION("""COMPUTED_VALUE"""),"Collins")</f>
        <v>Collins</v>
      </c>
      <c r="AA226" s="3">
        <v>0.0</v>
      </c>
      <c r="AB226" s="3">
        <f t="shared" si="7"/>
        <v>0</v>
      </c>
      <c r="AC226" s="3">
        <f t="shared" si="8"/>
        <v>0</v>
      </c>
      <c r="AD226" s="3">
        <f t="shared" si="9"/>
        <v>22.5</v>
      </c>
      <c r="AE226" s="3">
        <f t="shared" si="10"/>
        <v>0</v>
      </c>
      <c r="AF226" s="3">
        <f t="shared" si="11"/>
        <v>-1</v>
      </c>
      <c r="AG226" s="3">
        <f t="shared" si="12"/>
        <v>-1</v>
      </c>
    </row>
    <row r="227">
      <c r="A227" s="1" t="s">
        <v>8</v>
      </c>
      <c r="B227" s="1" t="s">
        <v>369</v>
      </c>
      <c r="C227" s="1" t="s">
        <v>21</v>
      </c>
      <c r="D227" s="1" t="s">
        <v>72</v>
      </c>
      <c r="E227" s="1" t="s">
        <v>93</v>
      </c>
      <c r="F227" s="1" t="s">
        <v>564</v>
      </c>
      <c r="G227" s="1">
        <v>2.5</v>
      </c>
      <c r="H227" s="1" t="s">
        <v>60</v>
      </c>
      <c r="I227" s="1">
        <v>-183.0</v>
      </c>
      <c r="J227" s="1">
        <v>-0.269835523893087</v>
      </c>
      <c r="K227" s="1" t="s">
        <v>61</v>
      </c>
      <c r="L227" s="1" t="s">
        <v>61</v>
      </c>
      <c r="M227" s="1" t="s">
        <v>62</v>
      </c>
      <c r="N227" s="1">
        <v>135.0</v>
      </c>
      <c r="O227" s="1">
        <v>0.197658950049973</v>
      </c>
      <c r="P227" s="1" t="s">
        <v>61</v>
      </c>
      <c r="Q227" s="1" t="s">
        <v>61</v>
      </c>
      <c r="R227" s="1">
        <f t="shared" si="1"/>
        <v>0.19765895</v>
      </c>
      <c r="S227" s="1">
        <f t="shared" si="2"/>
        <v>135</v>
      </c>
      <c r="T227" s="1">
        <f t="shared" si="3"/>
        <v>2.35</v>
      </c>
      <c r="U227" s="1">
        <f t="shared" si="4"/>
        <v>0</v>
      </c>
      <c r="V227" s="3">
        <f t="shared" si="5"/>
        <v>3</v>
      </c>
      <c r="W227" s="3">
        <f t="shared" si="6"/>
        <v>1</v>
      </c>
      <c r="X227" s="3" t="str">
        <f>IFERROR(__xludf.DUMMYFUNCTION("split(B227,"" "")"),"C.")</f>
        <v>C.</v>
      </c>
      <c r="Y227" s="3" t="str">
        <f>IFERROR(__xludf.DUMMYFUNCTION("""COMPUTED_VALUE"""),"Stroud")</f>
        <v>Stroud</v>
      </c>
      <c r="AA227" s="3">
        <v>3.0</v>
      </c>
      <c r="AB227" s="3">
        <f t="shared" si="7"/>
        <v>1</v>
      </c>
      <c r="AC227" s="3">
        <f t="shared" si="8"/>
        <v>0</v>
      </c>
      <c r="AD227" s="3">
        <f t="shared" si="9"/>
        <v>4.05</v>
      </c>
      <c r="AE227" s="3">
        <f t="shared" si="10"/>
        <v>-3</v>
      </c>
      <c r="AF227" s="3">
        <f t="shared" si="11"/>
        <v>-1</v>
      </c>
      <c r="AG227" s="3">
        <f t="shared" si="12"/>
        <v>-0.2</v>
      </c>
    </row>
    <row r="228">
      <c r="A228" s="1" t="s">
        <v>14</v>
      </c>
      <c r="B228" s="1" t="s">
        <v>369</v>
      </c>
      <c r="C228" s="1" t="s">
        <v>21</v>
      </c>
      <c r="D228" s="1" t="s">
        <v>72</v>
      </c>
      <c r="E228" s="1" t="s">
        <v>93</v>
      </c>
      <c r="F228" s="1" t="s">
        <v>564</v>
      </c>
      <c r="G228" s="1">
        <v>1.5</v>
      </c>
      <c r="H228" s="1" t="s">
        <v>60</v>
      </c>
      <c r="I228" s="1">
        <v>-157.0</v>
      </c>
      <c r="J228" s="1">
        <v>-0.171894941634241</v>
      </c>
      <c r="K228" s="1" t="s">
        <v>61</v>
      </c>
      <c r="L228" s="1" t="s">
        <v>61</v>
      </c>
      <c r="M228" s="1" t="s">
        <v>62</v>
      </c>
      <c r="N228" s="1">
        <v>119.0</v>
      </c>
      <c r="O228" s="1">
        <v>0.104378995433789</v>
      </c>
      <c r="P228" s="1" t="s">
        <v>61</v>
      </c>
      <c r="Q228" s="1" t="s">
        <v>61</v>
      </c>
      <c r="R228" s="1">
        <f t="shared" si="1"/>
        <v>0.1043789954</v>
      </c>
      <c r="S228" s="1">
        <f t="shared" si="2"/>
        <v>119</v>
      </c>
      <c r="T228" s="1">
        <f t="shared" si="3"/>
        <v>2.19</v>
      </c>
      <c r="U228" s="1">
        <f t="shared" si="4"/>
        <v>0</v>
      </c>
      <c r="V228" s="3">
        <f t="shared" si="5"/>
        <v>3</v>
      </c>
      <c r="W228" s="3">
        <f t="shared" si="6"/>
        <v>1</v>
      </c>
      <c r="X228" s="3" t="str">
        <f>IFERROR(__xludf.DUMMYFUNCTION("split(B228,"" "")"),"C.")</f>
        <v>C.</v>
      </c>
      <c r="Y228" s="3" t="str">
        <f>IFERROR(__xludf.DUMMYFUNCTION("""COMPUTED_VALUE"""),"Stroud")</f>
        <v>Stroud</v>
      </c>
      <c r="AA228" s="3">
        <v>2.0</v>
      </c>
      <c r="AB228" s="3">
        <f t="shared" si="7"/>
        <v>1</v>
      </c>
      <c r="AC228" s="3">
        <f t="shared" si="8"/>
        <v>0</v>
      </c>
      <c r="AD228" s="3">
        <f t="shared" si="9"/>
        <v>3.57</v>
      </c>
      <c r="AE228" s="3">
        <f t="shared" si="10"/>
        <v>-3</v>
      </c>
      <c r="AF228" s="3">
        <f t="shared" si="11"/>
        <v>-1</v>
      </c>
      <c r="AG228" s="3">
        <f t="shared" si="12"/>
        <v>-0.3333333333</v>
      </c>
    </row>
    <row r="229">
      <c r="A229" s="1" t="s">
        <v>12</v>
      </c>
      <c r="B229" s="1" t="s">
        <v>129</v>
      </c>
      <c r="C229" s="1" t="s">
        <v>18</v>
      </c>
      <c r="D229" s="1" t="s">
        <v>72</v>
      </c>
      <c r="E229" s="1" t="s">
        <v>93</v>
      </c>
      <c r="F229" s="1" t="s">
        <v>564</v>
      </c>
      <c r="G229" s="1">
        <v>3.5</v>
      </c>
      <c r="H229" s="1" t="s">
        <v>60</v>
      </c>
      <c r="I229" s="1">
        <v>-145.0</v>
      </c>
      <c r="J229" s="1">
        <v>-0.170536734693877</v>
      </c>
      <c r="K229" s="1" t="s">
        <v>61</v>
      </c>
      <c r="L229" s="1" t="s">
        <v>61</v>
      </c>
      <c r="M229" s="1" t="s">
        <v>62</v>
      </c>
      <c r="N229" s="1">
        <v>110.0</v>
      </c>
      <c r="O229" s="1">
        <v>0.102509523809523</v>
      </c>
      <c r="P229" s="1" t="s">
        <v>61</v>
      </c>
      <c r="Q229" s="1" t="s">
        <v>61</v>
      </c>
      <c r="R229" s="1">
        <f t="shared" si="1"/>
        <v>0.1025095238</v>
      </c>
      <c r="S229" s="1">
        <f t="shared" si="2"/>
        <v>110</v>
      </c>
      <c r="T229" s="1">
        <f t="shared" si="3"/>
        <v>2.1</v>
      </c>
      <c r="U229" s="1">
        <f t="shared" si="4"/>
        <v>0</v>
      </c>
      <c r="V229" s="3">
        <f t="shared" si="5"/>
        <v>3</v>
      </c>
      <c r="W229" s="3">
        <f t="shared" si="6"/>
        <v>2</v>
      </c>
      <c r="X229" s="3" t="str">
        <f>IFERROR(__xludf.DUMMYFUNCTION("split(B229,"" "")"),"T.")</f>
        <v>T.</v>
      </c>
      <c r="Y229" s="3" t="str">
        <f>IFERROR(__xludf.DUMMYFUNCTION("""COMPUTED_VALUE"""),"Dell")</f>
        <v>Dell</v>
      </c>
      <c r="AA229" s="3">
        <v>0.0</v>
      </c>
      <c r="AB229" s="3">
        <f t="shared" si="7"/>
        <v>0</v>
      </c>
      <c r="AC229" s="3">
        <f t="shared" si="8"/>
        <v>1</v>
      </c>
      <c r="AD229" s="3">
        <f t="shared" si="9"/>
        <v>3.3</v>
      </c>
      <c r="AE229" s="3">
        <f t="shared" si="10"/>
        <v>3.3</v>
      </c>
      <c r="AF229" s="3">
        <f t="shared" si="11"/>
        <v>2.2</v>
      </c>
      <c r="AG229" s="3">
        <f t="shared" si="12"/>
        <v>1</v>
      </c>
    </row>
    <row r="230">
      <c r="A230" s="1" t="s">
        <v>9</v>
      </c>
      <c r="B230" s="1" t="s">
        <v>495</v>
      </c>
      <c r="C230" s="1" t="s">
        <v>18</v>
      </c>
      <c r="D230" s="1" t="s">
        <v>72</v>
      </c>
      <c r="E230" s="1" t="s">
        <v>93</v>
      </c>
      <c r="F230" s="1" t="s">
        <v>564</v>
      </c>
      <c r="G230" s="1">
        <v>79.5</v>
      </c>
      <c r="H230" s="1" t="s">
        <v>60</v>
      </c>
      <c r="I230" s="1">
        <v>-115.0</v>
      </c>
      <c r="J230" s="1">
        <v>-0.126051143481297</v>
      </c>
      <c r="K230" s="1" t="s">
        <v>61</v>
      </c>
      <c r="L230" s="1" t="s">
        <v>61</v>
      </c>
      <c r="M230" s="1" t="s">
        <v>62</v>
      </c>
      <c r="N230" s="1">
        <v>-115.0</v>
      </c>
      <c r="O230" s="1">
        <v>0.0563088150034921</v>
      </c>
      <c r="P230" s="1" t="s">
        <v>61</v>
      </c>
      <c r="Q230" s="1" t="s">
        <v>61</v>
      </c>
      <c r="R230" s="1">
        <f t="shared" si="1"/>
        <v>0.056308815</v>
      </c>
      <c r="S230" s="1">
        <f t="shared" si="2"/>
        <v>-115</v>
      </c>
      <c r="T230" s="1">
        <f t="shared" si="3"/>
        <v>1.869565217</v>
      </c>
      <c r="U230" s="1">
        <f t="shared" si="4"/>
        <v>0</v>
      </c>
      <c r="V230" s="3">
        <f t="shared" si="5"/>
        <v>2</v>
      </c>
      <c r="W230" s="3">
        <f t="shared" si="6"/>
        <v>2</v>
      </c>
      <c r="X230" s="3" t="str">
        <f>IFERROR(__xludf.DUMMYFUNCTION("split(B230,"" "")"),"N.")</f>
        <v>N.</v>
      </c>
      <c r="Y230" s="3" t="str">
        <f>IFERROR(__xludf.DUMMYFUNCTION("""COMPUTED_VALUE"""),"Collins")</f>
        <v>Collins</v>
      </c>
      <c r="AA230" s="3">
        <v>151.0</v>
      </c>
      <c r="AB230" s="3">
        <f t="shared" si="7"/>
        <v>1</v>
      </c>
      <c r="AC230" s="3">
        <f t="shared" si="8"/>
        <v>0</v>
      </c>
      <c r="AD230" s="3">
        <f t="shared" si="9"/>
        <v>1.739130435</v>
      </c>
      <c r="AE230" s="3">
        <f t="shared" si="10"/>
        <v>-2</v>
      </c>
      <c r="AF230" s="3">
        <f t="shared" si="11"/>
        <v>-2</v>
      </c>
      <c r="AG230" s="3">
        <f t="shared" si="12"/>
        <v>-0.8993710692</v>
      </c>
    </row>
    <row r="231">
      <c r="A231" s="1" t="s">
        <v>12</v>
      </c>
      <c r="B231" s="1" t="s">
        <v>410</v>
      </c>
      <c r="C231" s="1" t="s">
        <v>20</v>
      </c>
      <c r="D231" s="1" t="s">
        <v>72</v>
      </c>
      <c r="E231" s="1" t="s">
        <v>93</v>
      </c>
      <c r="F231" s="1" t="s">
        <v>564</v>
      </c>
      <c r="G231" s="1">
        <v>3.5</v>
      </c>
      <c r="H231" s="1" t="s">
        <v>60</v>
      </c>
      <c r="I231" s="1">
        <v>106.0</v>
      </c>
      <c r="J231" s="1">
        <v>-0.122885436893203</v>
      </c>
      <c r="K231" s="1" t="s">
        <v>61</v>
      </c>
      <c r="L231" s="1" t="s">
        <v>61</v>
      </c>
      <c r="M231" s="1" t="s">
        <v>62</v>
      </c>
      <c r="N231" s="1">
        <v>-139.0</v>
      </c>
      <c r="O231" s="1">
        <v>0.0558518828451882</v>
      </c>
      <c r="P231" s="1" t="s">
        <v>61</v>
      </c>
      <c r="Q231" s="1" t="s">
        <v>61</v>
      </c>
      <c r="R231" s="1">
        <f t="shared" si="1"/>
        <v>0.05585188285</v>
      </c>
      <c r="S231" s="1">
        <f t="shared" si="2"/>
        <v>-139</v>
      </c>
      <c r="T231" s="1">
        <f t="shared" si="3"/>
        <v>1.71942446</v>
      </c>
      <c r="U231" s="1">
        <f t="shared" si="4"/>
        <v>0</v>
      </c>
      <c r="V231" s="3">
        <f t="shared" si="5"/>
        <v>2</v>
      </c>
      <c r="W231" s="3">
        <f t="shared" si="6"/>
        <v>3</v>
      </c>
      <c r="X231" s="3" t="str">
        <f>IFERROR(__xludf.DUMMYFUNCTION("split(B231,"" "")"),"D.")</f>
        <v>D.</v>
      </c>
      <c r="Y231" s="3" t="str">
        <f>IFERROR(__xludf.DUMMYFUNCTION("""COMPUTED_VALUE"""),"Schultz")</f>
        <v>Schultz</v>
      </c>
      <c r="AA231" s="3">
        <v>3.0</v>
      </c>
      <c r="AB231" s="3">
        <f t="shared" si="7"/>
        <v>0</v>
      </c>
      <c r="AC231" s="3">
        <f t="shared" si="8"/>
        <v>1</v>
      </c>
      <c r="AD231" s="3">
        <f t="shared" si="9"/>
        <v>1.438848921</v>
      </c>
      <c r="AE231" s="3">
        <f t="shared" si="10"/>
        <v>1.438848921</v>
      </c>
      <c r="AF231" s="3">
        <f t="shared" si="11"/>
        <v>2.158273381</v>
      </c>
      <c r="AG231" s="3">
        <f t="shared" si="12"/>
        <v>0.1428571429</v>
      </c>
    </row>
    <row r="232">
      <c r="A232" s="1" t="s">
        <v>12</v>
      </c>
      <c r="B232" s="1" t="s">
        <v>495</v>
      </c>
      <c r="C232" s="1" t="s">
        <v>18</v>
      </c>
      <c r="D232" s="1" t="s">
        <v>72</v>
      </c>
      <c r="E232" s="1" t="s">
        <v>93</v>
      </c>
      <c r="F232" s="1" t="s">
        <v>564</v>
      </c>
      <c r="G232" s="1">
        <v>5.5</v>
      </c>
      <c r="H232" s="1" t="s">
        <v>60</v>
      </c>
      <c r="I232" s="1">
        <v>-145.0</v>
      </c>
      <c r="J232" s="1">
        <v>-0.115036734693877</v>
      </c>
      <c r="K232" s="1" t="s">
        <v>61</v>
      </c>
      <c r="L232" s="1" t="s">
        <v>61</v>
      </c>
      <c r="M232" s="1" t="s">
        <v>62</v>
      </c>
      <c r="N232" s="1">
        <v>112.0</v>
      </c>
      <c r="O232" s="1">
        <v>0.0515018867924529</v>
      </c>
      <c r="P232" s="1" t="s">
        <v>61</v>
      </c>
      <c r="Q232" s="1" t="s">
        <v>61</v>
      </c>
      <c r="R232" s="1">
        <f t="shared" si="1"/>
        <v>0.05150188679</v>
      </c>
      <c r="S232" s="1">
        <f t="shared" si="2"/>
        <v>112</v>
      </c>
      <c r="T232" s="1">
        <f t="shared" si="3"/>
        <v>2.12</v>
      </c>
      <c r="U232" s="1">
        <f t="shared" si="4"/>
        <v>0</v>
      </c>
      <c r="V232" s="3">
        <f t="shared" si="5"/>
        <v>2</v>
      </c>
      <c r="W232" s="3">
        <f t="shared" si="6"/>
        <v>1</v>
      </c>
      <c r="X232" s="3" t="str">
        <f>IFERROR(__xludf.DUMMYFUNCTION("split(B232,"" "")"),"N.")</f>
        <v>N.</v>
      </c>
      <c r="Y232" s="3" t="str">
        <f>IFERROR(__xludf.DUMMYFUNCTION("""COMPUTED_VALUE"""),"Collins")</f>
        <v>Collins</v>
      </c>
      <c r="AA232" s="3">
        <v>12.0</v>
      </c>
      <c r="AB232" s="3">
        <f t="shared" si="7"/>
        <v>1</v>
      </c>
      <c r="AC232" s="3">
        <f t="shared" si="8"/>
        <v>0</v>
      </c>
      <c r="AD232" s="3">
        <f t="shared" si="9"/>
        <v>2.24</v>
      </c>
      <c r="AE232" s="3">
        <f t="shared" si="10"/>
        <v>-2</v>
      </c>
      <c r="AF232" s="3">
        <f t="shared" si="11"/>
        <v>-1</v>
      </c>
      <c r="AG232" s="3">
        <f t="shared" si="12"/>
        <v>-1.181818182</v>
      </c>
    </row>
    <row r="233">
      <c r="A233" s="1" t="s">
        <v>11</v>
      </c>
      <c r="B233" s="1" t="s">
        <v>495</v>
      </c>
      <c r="C233" s="1" t="s">
        <v>18</v>
      </c>
      <c r="D233" s="1" t="s">
        <v>72</v>
      </c>
      <c r="E233" s="1" t="s">
        <v>93</v>
      </c>
      <c r="F233" s="1" t="s">
        <v>564</v>
      </c>
      <c r="G233" s="1">
        <v>78.5</v>
      </c>
      <c r="H233" s="1" t="s">
        <v>60</v>
      </c>
      <c r="I233" s="1">
        <v>-126.0</v>
      </c>
      <c r="J233" s="1">
        <v>-0.116944082435821</v>
      </c>
      <c r="K233" s="1" t="s">
        <v>61</v>
      </c>
      <c r="L233" s="1" t="s">
        <v>61</v>
      </c>
      <c r="M233" s="1" t="s">
        <v>62</v>
      </c>
      <c r="N233" s="1">
        <v>-110.0</v>
      </c>
      <c r="O233" s="1">
        <v>0.0356513348608907</v>
      </c>
      <c r="P233" s="1" t="s">
        <v>61</v>
      </c>
      <c r="Q233" s="1" t="s">
        <v>61</v>
      </c>
      <c r="R233" s="1">
        <f t="shared" si="1"/>
        <v>0.03565133486</v>
      </c>
      <c r="S233" s="1">
        <f t="shared" si="2"/>
        <v>-110</v>
      </c>
      <c r="T233" s="1">
        <f t="shared" si="3"/>
        <v>1.909090909</v>
      </c>
      <c r="U233" s="1">
        <f t="shared" si="4"/>
        <v>0</v>
      </c>
      <c r="V233" s="3">
        <f t="shared" si="5"/>
        <v>1</v>
      </c>
      <c r="W233" s="3">
        <f t="shared" si="6"/>
        <v>2</v>
      </c>
      <c r="X233" s="3" t="str">
        <f>IFERROR(__xludf.DUMMYFUNCTION("split(B233,"" "")"),"N.")</f>
        <v>N.</v>
      </c>
      <c r="Y233" s="3" t="str">
        <f>IFERROR(__xludf.DUMMYFUNCTION("""COMPUTED_VALUE"""),"Collins")</f>
        <v>Collins</v>
      </c>
      <c r="AA233" s="3">
        <v>151.0</v>
      </c>
      <c r="AB233" s="3">
        <f t="shared" si="7"/>
        <v>1</v>
      </c>
      <c r="AC233" s="3">
        <f t="shared" si="8"/>
        <v>0</v>
      </c>
      <c r="AD233" s="3">
        <f t="shared" si="9"/>
        <v>0.9090909091</v>
      </c>
      <c r="AE233" s="3">
        <f t="shared" si="10"/>
        <v>-1</v>
      </c>
      <c r="AF233" s="3">
        <f t="shared" si="11"/>
        <v>-2</v>
      </c>
      <c r="AG233" s="3">
        <f t="shared" si="12"/>
        <v>-0.923566879</v>
      </c>
    </row>
    <row r="234">
      <c r="A234" s="1" t="s">
        <v>11</v>
      </c>
      <c r="B234" s="1" t="s">
        <v>410</v>
      </c>
      <c r="C234" s="1" t="s">
        <v>20</v>
      </c>
      <c r="D234" s="1" t="s">
        <v>72</v>
      </c>
      <c r="E234" s="1" t="s">
        <v>93</v>
      </c>
      <c r="F234" s="1" t="s">
        <v>564</v>
      </c>
      <c r="G234" s="1">
        <v>32.5</v>
      </c>
      <c r="H234" s="1" t="s">
        <v>60</v>
      </c>
      <c r="I234" s="1">
        <v>-115.0</v>
      </c>
      <c r="J234" s="1">
        <v>-0.0988020545085117</v>
      </c>
      <c r="K234" s="1" t="s">
        <v>61</v>
      </c>
      <c r="L234" s="1" t="s">
        <v>61</v>
      </c>
      <c r="M234" s="1" t="s">
        <v>62</v>
      </c>
      <c r="N234" s="1">
        <v>-114.0</v>
      </c>
      <c r="O234" s="1">
        <v>0.0312245338905897</v>
      </c>
      <c r="P234" s="1" t="s">
        <v>61</v>
      </c>
      <c r="Q234" s="1" t="s">
        <v>61</v>
      </c>
      <c r="R234" s="1">
        <f t="shared" si="1"/>
        <v>0.03122453389</v>
      </c>
      <c r="S234" s="1">
        <f t="shared" si="2"/>
        <v>-114</v>
      </c>
      <c r="T234" s="1">
        <f t="shared" si="3"/>
        <v>1.877192982</v>
      </c>
      <c r="U234" s="1">
        <f t="shared" si="4"/>
        <v>0</v>
      </c>
      <c r="V234" s="3">
        <f t="shared" si="5"/>
        <v>1</v>
      </c>
      <c r="W234" s="3">
        <f t="shared" si="6"/>
        <v>2</v>
      </c>
      <c r="X234" s="3" t="str">
        <f>IFERROR(__xludf.DUMMYFUNCTION("split(B234,"" "")"),"D.")</f>
        <v>D.</v>
      </c>
      <c r="Y234" s="3" t="str">
        <f>IFERROR(__xludf.DUMMYFUNCTION("""COMPUTED_VALUE"""),"Schultz")</f>
        <v>Schultz</v>
      </c>
      <c r="AA234" s="3">
        <v>34.0</v>
      </c>
      <c r="AB234" s="3">
        <f t="shared" si="7"/>
        <v>1</v>
      </c>
      <c r="AC234" s="3">
        <f t="shared" si="8"/>
        <v>0</v>
      </c>
      <c r="AD234" s="3">
        <f t="shared" si="9"/>
        <v>0.8771929825</v>
      </c>
      <c r="AE234" s="3">
        <f t="shared" si="10"/>
        <v>-1</v>
      </c>
      <c r="AF234" s="3">
        <f t="shared" si="11"/>
        <v>-2</v>
      </c>
      <c r="AG234" s="3">
        <f t="shared" si="12"/>
        <v>-0.04615384615</v>
      </c>
    </row>
    <row r="235">
      <c r="A235" s="1" t="s">
        <v>11</v>
      </c>
      <c r="B235" s="1" t="s">
        <v>310</v>
      </c>
      <c r="C235" s="1" t="s">
        <v>18</v>
      </c>
      <c r="D235" s="1" t="s">
        <v>72</v>
      </c>
      <c r="E235" s="1" t="s">
        <v>93</v>
      </c>
      <c r="F235" s="1" t="s">
        <v>564</v>
      </c>
      <c r="G235" s="1">
        <v>60.5</v>
      </c>
      <c r="H235" s="1" t="s">
        <v>60</v>
      </c>
      <c r="I235" s="1">
        <v>-115.0</v>
      </c>
      <c r="J235" s="1">
        <v>-0.0842450485503756</v>
      </c>
      <c r="K235" s="1" t="s">
        <v>61</v>
      </c>
      <c r="L235" s="1" t="s">
        <v>61</v>
      </c>
      <c r="M235" s="1" t="s">
        <v>62</v>
      </c>
      <c r="N235" s="1">
        <v>-117.0</v>
      </c>
      <c r="O235" s="1">
        <v>0.0101675153571876</v>
      </c>
      <c r="P235" s="1" t="s">
        <v>61</v>
      </c>
      <c r="Q235" s="1" t="s">
        <v>61</v>
      </c>
      <c r="R235" s="1">
        <f t="shared" si="1"/>
        <v>0.01016751536</v>
      </c>
      <c r="S235" s="1">
        <f t="shared" si="2"/>
        <v>-117</v>
      </c>
      <c r="T235" s="1">
        <f t="shared" si="3"/>
        <v>1.854700855</v>
      </c>
      <c r="U235" s="1">
        <f t="shared" si="4"/>
        <v>0</v>
      </c>
      <c r="V235" s="3">
        <f t="shared" si="5"/>
        <v>1</v>
      </c>
      <c r="W235" s="3">
        <f t="shared" si="6"/>
        <v>2</v>
      </c>
      <c r="X235" s="3" t="str">
        <f>IFERROR(__xludf.DUMMYFUNCTION("split(B235,"" "")"),"S.")</f>
        <v>S.</v>
      </c>
      <c r="Y235" s="3" t="str">
        <f>IFERROR(__xludf.DUMMYFUNCTION("""COMPUTED_VALUE"""),"Diggs")</f>
        <v>Diggs</v>
      </c>
      <c r="AA235" s="3">
        <v>69.0</v>
      </c>
      <c r="AB235" s="3">
        <f t="shared" si="7"/>
        <v>1</v>
      </c>
      <c r="AC235" s="3">
        <f t="shared" si="8"/>
        <v>0</v>
      </c>
      <c r="AD235" s="3">
        <f t="shared" si="9"/>
        <v>0.8547008547</v>
      </c>
      <c r="AE235" s="3">
        <f t="shared" si="10"/>
        <v>-1</v>
      </c>
      <c r="AF235" s="3">
        <f t="shared" si="11"/>
        <v>-2</v>
      </c>
      <c r="AG235" s="3">
        <f t="shared" si="12"/>
        <v>-0.1404958678</v>
      </c>
    </row>
    <row r="236">
      <c r="A236" s="1" t="s">
        <v>13</v>
      </c>
      <c r="B236" s="1" t="s">
        <v>369</v>
      </c>
      <c r="C236" s="1" t="s">
        <v>21</v>
      </c>
      <c r="D236" s="1" t="s">
        <v>72</v>
      </c>
      <c r="E236" s="1" t="s">
        <v>93</v>
      </c>
      <c r="F236" s="1" t="s">
        <v>564</v>
      </c>
      <c r="G236" s="1">
        <v>267.5</v>
      </c>
      <c r="H236" s="1" t="s">
        <v>60</v>
      </c>
      <c r="I236" s="1">
        <v>-119.0</v>
      </c>
      <c r="J236" s="1">
        <v>-0.0788189672223743</v>
      </c>
      <c r="K236" s="1" t="s">
        <v>61</v>
      </c>
      <c r="L236" s="1" t="s">
        <v>61</v>
      </c>
      <c r="M236" s="1" t="s">
        <v>62</v>
      </c>
      <c r="N236" s="1">
        <v>-113.0</v>
      </c>
      <c r="O236" s="1">
        <v>0.00494530248826285</v>
      </c>
      <c r="P236" s="1" t="s">
        <v>61</v>
      </c>
      <c r="Q236" s="1" t="s">
        <v>61</v>
      </c>
      <c r="R236" s="1">
        <f t="shared" si="1"/>
        <v>0.004945302488</v>
      </c>
      <c r="S236" s="1">
        <f t="shared" si="2"/>
        <v>-113</v>
      </c>
      <c r="T236" s="1">
        <f t="shared" si="3"/>
        <v>1.884955752</v>
      </c>
      <c r="U236" s="1">
        <f t="shared" si="4"/>
        <v>0</v>
      </c>
      <c r="V236" s="3">
        <f t="shared" si="5"/>
        <v>1</v>
      </c>
      <c r="W236" s="3">
        <f t="shared" si="6"/>
        <v>2</v>
      </c>
      <c r="X236" s="3" t="str">
        <f>IFERROR(__xludf.DUMMYFUNCTION("split(B236,"" "")"),"C.")</f>
        <v>C.</v>
      </c>
      <c r="Y236" s="3" t="str">
        <f>IFERROR(__xludf.DUMMYFUNCTION("""COMPUTED_VALUE"""),"Stroud")</f>
        <v>Stroud</v>
      </c>
      <c r="AA236" s="3">
        <v>345.0</v>
      </c>
      <c r="AB236" s="3">
        <f t="shared" si="7"/>
        <v>1</v>
      </c>
      <c r="AC236" s="3">
        <f t="shared" si="8"/>
        <v>0</v>
      </c>
      <c r="AD236" s="3">
        <f t="shared" si="9"/>
        <v>0.8849557522</v>
      </c>
      <c r="AE236" s="3">
        <f t="shared" si="10"/>
        <v>-1</v>
      </c>
      <c r="AF236" s="3">
        <f t="shared" si="11"/>
        <v>-2</v>
      </c>
      <c r="AG236" s="3">
        <f t="shared" si="12"/>
        <v>-0.2897196262</v>
      </c>
    </row>
    <row r="237">
      <c r="A237" s="1" t="s">
        <v>12</v>
      </c>
      <c r="B237" s="1" t="s">
        <v>310</v>
      </c>
      <c r="C237" s="1" t="s">
        <v>18</v>
      </c>
      <c r="D237" s="1" t="s">
        <v>72</v>
      </c>
      <c r="E237" s="1" t="s">
        <v>93</v>
      </c>
      <c r="F237" s="1" t="s">
        <v>564</v>
      </c>
      <c r="G237" s="1">
        <v>5.5</v>
      </c>
      <c r="H237" s="1" t="s">
        <v>60</v>
      </c>
      <c r="I237" s="1">
        <v>105.0</v>
      </c>
      <c r="J237" s="1">
        <v>0.0024463414634146</v>
      </c>
      <c r="K237" s="1" t="s">
        <v>61</v>
      </c>
      <c r="L237" s="1" t="s">
        <v>61</v>
      </c>
      <c r="M237" s="1" t="s">
        <v>62</v>
      </c>
      <c r="N237" s="1">
        <v>-136.0</v>
      </c>
      <c r="O237" s="1">
        <v>-0.066528813559322</v>
      </c>
      <c r="P237" s="1" t="s">
        <v>61</v>
      </c>
      <c r="Q237" s="1" t="s">
        <v>61</v>
      </c>
      <c r="R237" s="1">
        <f t="shared" si="1"/>
        <v>0.002446341463</v>
      </c>
      <c r="S237" s="1">
        <f t="shared" si="2"/>
        <v>105</v>
      </c>
      <c r="T237" s="1">
        <f t="shared" si="3"/>
        <v>2.05</v>
      </c>
      <c r="U237" s="1">
        <f t="shared" si="4"/>
        <v>1</v>
      </c>
      <c r="V237" s="3">
        <f t="shared" si="5"/>
        <v>1</v>
      </c>
      <c r="W237" s="3">
        <f t="shared" si="6"/>
        <v>2</v>
      </c>
      <c r="X237" s="3" t="str">
        <f>IFERROR(__xludf.DUMMYFUNCTION("split(B237,"" "")"),"S.")</f>
        <v>S.</v>
      </c>
      <c r="Y237" s="3" t="str">
        <f>IFERROR(__xludf.DUMMYFUNCTION("""COMPUTED_VALUE"""),"Diggs")</f>
        <v>Diggs</v>
      </c>
      <c r="AA237" s="3">
        <v>5.0</v>
      </c>
      <c r="AB237" s="3">
        <f t="shared" si="7"/>
        <v>0</v>
      </c>
      <c r="AC237" s="3">
        <f t="shared" si="8"/>
        <v>0</v>
      </c>
      <c r="AD237" s="3">
        <f t="shared" si="9"/>
        <v>1.05</v>
      </c>
      <c r="AE237" s="3">
        <f t="shared" si="10"/>
        <v>-1</v>
      </c>
      <c r="AF237" s="3">
        <f t="shared" si="11"/>
        <v>-2</v>
      </c>
      <c r="AG237" s="3">
        <f t="shared" si="12"/>
        <v>-0.09090909091</v>
      </c>
    </row>
    <row r="238">
      <c r="A238" s="1" t="s">
        <v>10</v>
      </c>
      <c r="B238" s="1" t="s">
        <v>487</v>
      </c>
      <c r="C238" s="1" t="s">
        <v>18</v>
      </c>
      <c r="D238" s="1" t="s">
        <v>157</v>
      </c>
      <c r="E238" s="1" t="s">
        <v>146</v>
      </c>
      <c r="F238" s="1" t="s">
        <v>564</v>
      </c>
      <c r="G238" s="1">
        <v>15.5</v>
      </c>
      <c r="H238" s="1" t="s">
        <v>60</v>
      </c>
      <c r="I238" s="1">
        <v>-120.0</v>
      </c>
      <c r="J238" s="1">
        <v>-0.185101879148949</v>
      </c>
      <c r="K238" s="1" t="s">
        <v>61</v>
      </c>
      <c r="L238" s="1" t="s">
        <v>61</v>
      </c>
      <c r="M238" s="1" t="s">
        <v>62</v>
      </c>
      <c r="N238" s="1">
        <v>-110.0</v>
      </c>
      <c r="O238" s="1">
        <v>0.115905975019265</v>
      </c>
      <c r="P238" s="1" t="s">
        <v>61</v>
      </c>
      <c r="Q238" s="1" t="s">
        <v>61</v>
      </c>
      <c r="R238" s="1">
        <f t="shared" si="1"/>
        <v>0.115905975</v>
      </c>
      <c r="S238" s="1">
        <f t="shared" si="2"/>
        <v>-110</v>
      </c>
      <c r="T238" s="1">
        <f t="shared" si="3"/>
        <v>1.909090909</v>
      </c>
      <c r="U238" s="1">
        <f t="shared" si="4"/>
        <v>0</v>
      </c>
      <c r="V238" s="3">
        <f t="shared" si="5"/>
        <v>3</v>
      </c>
      <c r="W238" s="3">
        <f t="shared" si="6"/>
        <v>2</v>
      </c>
      <c r="X238" s="3" t="str">
        <f>IFERROR(__xludf.DUMMYFUNCTION("split(B238,"" "")"),"J.")</f>
        <v>J.</v>
      </c>
      <c r="Y238" s="3" t="str">
        <f>IFERROR(__xludf.DUMMYFUNCTION("""COMPUTED_VALUE"""),"Reed")</f>
        <v>Reed</v>
      </c>
      <c r="AA238" s="3">
        <v>2.0</v>
      </c>
      <c r="AB238" s="3">
        <f t="shared" si="7"/>
        <v>0</v>
      </c>
      <c r="AC238" s="3">
        <f t="shared" si="8"/>
        <v>1</v>
      </c>
      <c r="AD238" s="3">
        <f t="shared" si="9"/>
        <v>2.727272727</v>
      </c>
      <c r="AE238" s="3">
        <f t="shared" si="10"/>
        <v>2.727272727</v>
      </c>
      <c r="AF238" s="3">
        <f t="shared" si="11"/>
        <v>1.818181818</v>
      </c>
      <c r="AG238" s="3">
        <f t="shared" si="12"/>
        <v>0.8709677419</v>
      </c>
    </row>
    <row r="239">
      <c r="A239" s="1" t="s">
        <v>12</v>
      </c>
      <c r="B239" s="1" t="s">
        <v>344</v>
      </c>
      <c r="C239" s="1" t="s">
        <v>18</v>
      </c>
      <c r="D239" s="1" t="s">
        <v>157</v>
      </c>
      <c r="E239" s="1" t="s">
        <v>146</v>
      </c>
      <c r="F239" s="1" t="s">
        <v>564</v>
      </c>
      <c r="G239" s="1">
        <v>2.5</v>
      </c>
      <c r="H239" s="1" t="s">
        <v>60</v>
      </c>
      <c r="I239" s="1">
        <v>-130.0</v>
      </c>
      <c r="J239" s="1">
        <v>-0.179958382217391</v>
      </c>
      <c r="K239" s="1" t="s">
        <v>61</v>
      </c>
      <c r="L239" s="1" t="s">
        <v>61</v>
      </c>
      <c r="M239" s="1" t="s">
        <v>62</v>
      </c>
      <c r="N239" s="1">
        <v>-101.0</v>
      </c>
      <c r="O239" s="1">
        <v>0.112259811886069</v>
      </c>
      <c r="P239" s="1" t="s">
        <v>61</v>
      </c>
      <c r="Q239" s="1" t="s">
        <v>61</v>
      </c>
      <c r="R239" s="1">
        <f t="shared" si="1"/>
        <v>0.1122598119</v>
      </c>
      <c r="S239" s="1">
        <f t="shared" si="2"/>
        <v>-101</v>
      </c>
      <c r="T239" s="1">
        <f t="shared" si="3"/>
        <v>1.99009901</v>
      </c>
      <c r="U239" s="1">
        <f t="shared" si="4"/>
        <v>0</v>
      </c>
      <c r="V239" s="3">
        <f t="shared" si="5"/>
        <v>3</v>
      </c>
      <c r="W239" s="3">
        <f t="shared" si="6"/>
        <v>2</v>
      </c>
      <c r="X239" s="3" t="str">
        <f>IFERROR(__xludf.DUMMYFUNCTION("split(B239,"" "")"),"C.")</f>
        <v>C.</v>
      </c>
      <c r="Y239" s="3" t="str">
        <f>IFERROR(__xludf.DUMMYFUNCTION("""COMPUTED_VALUE"""),"Watson")</f>
        <v>Watson</v>
      </c>
      <c r="AA239" s="3">
        <v>0.0</v>
      </c>
      <c r="AB239" s="3">
        <f t="shared" si="7"/>
        <v>0</v>
      </c>
      <c r="AC239" s="3">
        <f t="shared" si="8"/>
        <v>1</v>
      </c>
      <c r="AD239" s="3">
        <f t="shared" si="9"/>
        <v>2.97029703</v>
      </c>
      <c r="AE239" s="3">
        <f t="shared" si="10"/>
        <v>2.97029703</v>
      </c>
      <c r="AF239" s="3">
        <f t="shared" si="11"/>
        <v>1.98019802</v>
      </c>
      <c r="AG239" s="3">
        <f t="shared" si="12"/>
        <v>1</v>
      </c>
    </row>
    <row r="240">
      <c r="A240" s="1" t="s">
        <v>12</v>
      </c>
      <c r="B240" s="1" t="s">
        <v>482</v>
      </c>
      <c r="C240" s="1" t="s">
        <v>18</v>
      </c>
      <c r="D240" s="1" t="s">
        <v>157</v>
      </c>
      <c r="E240" s="1" t="s">
        <v>146</v>
      </c>
      <c r="F240" s="1" t="s">
        <v>564</v>
      </c>
      <c r="G240" s="1">
        <v>3.5</v>
      </c>
      <c r="H240" s="1" t="s">
        <v>60</v>
      </c>
      <c r="I240" s="1">
        <v>101.0</v>
      </c>
      <c r="J240" s="1">
        <v>-0.142962686567164</v>
      </c>
      <c r="K240" s="1" t="s">
        <v>61</v>
      </c>
      <c r="L240" s="1" t="s">
        <v>61</v>
      </c>
      <c r="M240" s="1" t="s">
        <v>62</v>
      </c>
      <c r="N240" s="1">
        <v>-132.0</v>
      </c>
      <c r="O240" s="1">
        <v>0.0764913793103447</v>
      </c>
      <c r="P240" s="1" t="s">
        <v>61</v>
      </c>
      <c r="Q240" s="1" t="s">
        <v>61</v>
      </c>
      <c r="R240" s="1">
        <f t="shared" si="1"/>
        <v>0.07649137931</v>
      </c>
      <c r="S240" s="1">
        <f t="shared" si="2"/>
        <v>-132</v>
      </c>
      <c r="T240" s="1">
        <f t="shared" si="3"/>
        <v>1.757575758</v>
      </c>
      <c r="U240" s="1">
        <f t="shared" si="4"/>
        <v>0</v>
      </c>
      <c r="V240" s="3">
        <f t="shared" si="5"/>
        <v>2</v>
      </c>
      <c r="W240" s="3">
        <f t="shared" si="6"/>
        <v>3</v>
      </c>
      <c r="X240" s="3" t="str">
        <f>IFERROR(__xludf.DUMMYFUNCTION("split(B240,"" "")"),"R.")</f>
        <v>R.</v>
      </c>
      <c r="Y240" s="3" t="str">
        <f>IFERROR(__xludf.DUMMYFUNCTION("""COMPUTED_VALUE"""),"Doubs")</f>
        <v>Doubs</v>
      </c>
      <c r="AA240" s="3">
        <v>4.0</v>
      </c>
      <c r="AB240" s="3">
        <f t="shared" si="7"/>
        <v>1</v>
      </c>
      <c r="AC240" s="3">
        <f t="shared" si="8"/>
        <v>0</v>
      </c>
      <c r="AD240" s="3">
        <f t="shared" si="9"/>
        <v>1.515151515</v>
      </c>
      <c r="AE240" s="3">
        <f t="shared" si="10"/>
        <v>-2</v>
      </c>
      <c r="AF240" s="3">
        <f t="shared" si="11"/>
        <v>-3</v>
      </c>
      <c r="AG240" s="3">
        <f t="shared" si="12"/>
        <v>-0.1428571429</v>
      </c>
    </row>
    <row r="241">
      <c r="A241" s="1" t="s">
        <v>17</v>
      </c>
      <c r="B241" s="1" t="s">
        <v>297</v>
      </c>
      <c r="C241" s="1" t="s">
        <v>21</v>
      </c>
      <c r="D241" s="1" t="s">
        <v>157</v>
      </c>
      <c r="E241" s="1" t="s">
        <v>146</v>
      </c>
      <c r="F241" s="1" t="s">
        <v>564</v>
      </c>
      <c r="G241" s="1">
        <v>0.5</v>
      </c>
      <c r="H241" s="1" t="s">
        <v>60</v>
      </c>
      <c r="I241" s="1">
        <v>-136.0</v>
      </c>
      <c r="J241" s="1">
        <v>-0.129471186440677</v>
      </c>
      <c r="K241" s="1" t="s">
        <v>61</v>
      </c>
      <c r="L241" s="1" t="s">
        <v>61</v>
      </c>
      <c r="M241" s="1" t="s">
        <v>62</v>
      </c>
      <c r="N241" s="1">
        <v>103.0</v>
      </c>
      <c r="O241" s="1">
        <v>0.0605891625615764</v>
      </c>
      <c r="P241" s="1" t="s">
        <v>61</v>
      </c>
      <c r="Q241" s="1" t="s">
        <v>61</v>
      </c>
      <c r="R241" s="1">
        <f t="shared" si="1"/>
        <v>0.06058916256</v>
      </c>
      <c r="S241" s="1">
        <f t="shared" si="2"/>
        <v>103</v>
      </c>
      <c r="T241" s="1">
        <f t="shared" si="3"/>
        <v>2.03</v>
      </c>
      <c r="U241" s="1">
        <f t="shared" si="4"/>
        <v>0</v>
      </c>
      <c r="V241" s="3">
        <f t="shared" si="5"/>
        <v>2</v>
      </c>
      <c r="W241" s="3">
        <f t="shared" si="6"/>
        <v>2</v>
      </c>
      <c r="X241" s="3" t="str">
        <f>IFERROR(__xludf.DUMMYFUNCTION("split(B241,"" "")"),"J.")</f>
        <v>J.</v>
      </c>
      <c r="Y241" s="3" t="str">
        <f>IFERROR(__xludf.DUMMYFUNCTION("""COMPUTED_VALUE"""),"Love")</f>
        <v>Love</v>
      </c>
      <c r="AA241" s="3">
        <v>3.0</v>
      </c>
      <c r="AB241" s="3">
        <f t="shared" si="7"/>
        <v>1</v>
      </c>
      <c r="AC241" s="3">
        <f t="shared" si="8"/>
        <v>0</v>
      </c>
      <c r="AD241" s="3">
        <f t="shared" si="9"/>
        <v>2.06</v>
      </c>
      <c r="AE241" s="3">
        <f t="shared" si="10"/>
        <v>-2</v>
      </c>
      <c r="AF241" s="3">
        <f t="shared" si="11"/>
        <v>-2</v>
      </c>
      <c r="AG241" s="3">
        <f t="shared" si="12"/>
        <v>-5</v>
      </c>
    </row>
    <row r="242">
      <c r="A242" s="1" t="s">
        <v>15</v>
      </c>
      <c r="B242" s="1" t="s">
        <v>297</v>
      </c>
      <c r="C242" s="1" t="s">
        <v>21</v>
      </c>
      <c r="D242" s="1" t="s">
        <v>157</v>
      </c>
      <c r="E242" s="1" t="s">
        <v>146</v>
      </c>
      <c r="F242" s="1" t="s">
        <v>564</v>
      </c>
      <c r="G242" s="1">
        <v>22.5</v>
      </c>
      <c r="H242" s="1" t="s">
        <v>60</v>
      </c>
      <c r="I242" s="1">
        <v>-101.0</v>
      </c>
      <c r="J242" s="1">
        <v>0.0402626865671641</v>
      </c>
      <c r="K242" s="1" t="s">
        <v>61</v>
      </c>
      <c r="L242" s="1" t="s">
        <v>61</v>
      </c>
      <c r="M242" s="1" t="s">
        <v>62</v>
      </c>
      <c r="N242" s="1">
        <v>-131.0</v>
      </c>
      <c r="O242" s="1">
        <v>-0.109842857142857</v>
      </c>
      <c r="P242" s="1" t="s">
        <v>61</v>
      </c>
      <c r="Q242" s="1" t="s">
        <v>61</v>
      </c>
      <c r="R242" s="1">
        <f t="shared" si="1"/>
        <v>0.04026268657</v>
      </c>
      <c r="S242" s="1">
        <f t="shared" si="2"/>
        <v>-101</v>
      </c>
      <c r="T242" s="1">
        <f t="shared" si="3"/>
        <v>1.99009901</v>
      </c>
      <c r="U242" s="1">
        <f t="shared" si="4"/>
        <v>1</v>
      </c>
      <c r="V242" s="3">
        <f t="shared" si="5"/>
        <v>1</v>
      </c>
      <c r="W242" s="3">
        <f t="shared" si="6"/>
        <v>2</v>
      </c>
      <c r="X242" s="3" t="str">
        <f>IFERROR(__xludf.DUMMYFUNCTION("split(B242,"" "")"),"J.")</f>
        <v>J.</v>
      </c>
      <c r="Y242" s="3" t="str">
        <f>IFERROR(__xludf.DUMMYFUNCTION("""COMPUTED_VALUE"""),"Love")</f>
        <v>Love</v>
      </c>
      <c r="AA242" s="3">
        <v>32.0</v>
      </c>
      <c r="AB242" s="3">
        <f t="shared" si="7"/>
        <v>1</v>
      </c>
      <c r="AC242" s="3">
        <f t="shared" si="8"/>
        <v>1</v>
      </c>
      <c r="AD242" s="3">
        <f t="shared" si="9"/>
        <v>0.9900990099</v>
      </c>
      <c r="AE242" s="3">
        <f t="shared" si="10"/>
        <v>0.9900990099</v>
      </c>
      <c r="AF242" s="3">
        <f t="shared" si="11"/>
        <v>1.98019802</v>
      </c>
      <c r="AG242" s="3">
        <f t="shared" si="12"/>
        <v>0.4222222222</v>
      </c>
    </row>
    <row r="243">
      <c r="A243" s="1" t="s">
        <v>11</v>
      </c>
      <c r="B243" s="1" t="s">
        <v>487</v>
      </c>
      <c r="C243" s="1" t="s">
        <v>18</v>
      </c>
      <c r="D243" s="1" t="s">
        <v>157</v>
      </c>
      <c r="E243" s="1" t="s">
        <v>146</v>
      </c>
      <c r="F243" s="1" t="s">
        <v>564</v>
      </c>
      <c r="G243" s="1">
        <v>47.5</v>
      </c>
      <c r="H243" s="1" t="s">
        <v>60</v>
      </c>
      <c r="I243" s="1">
        <v>-116.0</v>
      </c>
      <c r="J243" s="1">
        <v>-0.106624897356018</v>
      </c>
      <c r="K243" s="1" t="s">
        <v>61</v>
      </c>
      <c r="L243" s="1" t="s">
        <v>61</v>
      </c>
      <c r="M243" s="1" t="s">
        <v>62</v>
      </c>
      <c r="N243" s="1">
        <v>-114.0</v>
      </c>
      <c r="O243" s="1">
        <v>0.0369050040076168</v>
      </c>
      <c r="P243" s="1" t="s">
        <v>61</v>
      </c>
      <c r="Q243" s="1" t="s">
        <v>61</v>
      </c>
      <c r="R243" s="1">
        <f t="shared" si="1"/>
        <v>0.03690500401</v>
      </c>
      <c r="S243" s="1">
        <f t="shared" si="2"/>
        <v>-114</v>
      </c>
      <c r="T243" s="1">
        <f t="shared" si="3"/>
        <v>1.877192982</v>
      </c>
      <c r="U243" s="1">
        <f t="shared" si="4"/>
        <v>0</v>
      </c>
      <c r="V243" s="3">
        <f t="shared" si="5"/>
        <v>1</v>
      </c>
      <c r="W243" s="3">
        <f t="shared" si="6"/>
        <v>2</v>
      </c>
      <c r="X243" s="3" t="str">
        <f>IFERROR(__xludf.DUMMYFUNCTION("split(B243,"" "")"),"J.")</f>
        <v>J.</v>
      </c>
      <c r="Y243" s="3" t="str">
        <f>IFERROR(__xludf.DUMMYFUNCTION("""COMPUTED_VALUE"""),"Reed")</f>
        <v>Reed</v>
      </c>
      <c r="AA243" s="3">
        <v>139.0</v>
      </c>
      <c r="AB243" s="3">
        <f t="shared" si="7"/>
        <v>1</v>
      </c>
      <c r="AC243" s="3">
        <f t="shared" si="8"/>
        <v>0</v>
      </c>
      <c r="AD243" s="3">
        <f t="shared" si="9"/>
        <v>0.8771929825</v>
      </c>
      <c r="AE243" s="3">
        <f t="shared" si="10"/>
        <v>-1</v>
      </c>
      <c r="AF243" s="3">
        <f t="shared" si="11"/>
        <v>-2</v>
      </c>
      <c r="AG243" s="3">
        <f t="shared" si="12"/>
        <v>-1.926315789</v>
      </c>
    </row>
    <row r="244">
      <c r="A244" s="1" t="s">
        <v>11</v>
      </c>
      <c r="B244" s="1" t="s">
        <v>482</v>
      </c>
      <c r="C244" s="1" t="s">
        <v>18</v>
      </c>
      <c r="D244" s="1" t="s">
        <v>157</v>
      </c>
      <c r="E244" s="1" t="s">
        <v>146</v>
      </c>
      <c r="F244" s="1" t="s">
        <v>564</v>
      </c>
      <c r="G244" s="1">
        <v>39.5</v>
      </c>
      <c r="H244" s="1" t="s">
        <v>60</v>
      </c>
      <c r="I244" s="1">
        <v>-112.0</v>
      </c>
      <c r="J244" s="1">
        <v>-0.0867353646813208</v>
      </c>
      <c r="K244" s="1" t="s">
        <v>61</v>
      </c>
      <c r="L244" s="1" t="s">
        <v>61</v>
      </c>
      <c r="M244" s="1" t="s">
        <v>62</v>
      </c>
      <c r="N244" s="1">
        <v>-117.0</v>
      </c>
      <c r="O244" s="1">
        <v>0.0192815097478618</v>
      </c>
      <c r="P244" s="1" t="s">
        <v>61</v>
      </c>
      <c r="Q244" s="1" t="s">
        <v>61</v>
      </c>
      <c r="R244" s="1">
        <f t="shared" si="1"/>
        <v>0.01928150975</v>
      </c>
      <c r="S244" s="1">
        <f t="shared" si="2"/>
        <v>-117</v>
      </c>
      <c r="T244" s="1">
        <f t="shared" si="3"/>
        <v>1.854700855</v>
      </c>
      <c r="U244" s="1">
        <f t="shared" si="4"/>
        <v>0</v>
      </c>
      <c r="V244" s="3">
        <f t="shared" si="5"/>
        <v>1</v>
      </c>
      <c r="W244" s="3">
        <f t="shared" si="6"/>
        <v>2</v>
      </c>
      <c r="X244" s="3" t="str">
        <f>IFERROR(__xludf.DUMMYFUNCTION("split(B244,"" "")"),"R.")</f>
        <v>R.</v>
      </c>
      <c r="Y244" s="3" t="str">
        <f>IFERROR(__xludf.DUMMYFUNCTION("""COMPUTED_VALUE"""),"Doubs")</f>
        <v>Doubs</v>
      </c>
      <c r="AA244" s="3">
        <v>39.0</v>
      </c>
      <c r="AB244" s="3">
        <f t="shared" si="7"/>
        <v>0</v>
      </c>
      <c r="AC244" s="3">
        <f t="shared" si="8"/>
        <v>1</v>
      </c>
      <c r="AD244" s="3">
        <f t="shared" si="9"/>
        <v>0.8547008547</v>
      </c>
      <c r="AE244" s="3">
        <f t="shared" si="10"/>
        <v>0.8547008547</v>
      </c>
      <c r="AF244" s="3">
        <f t="shared" si="11"/>
        <v>1.709401709</v>
      </c>
      <c r="AG244" s="3">
        <f t="shared" si="12"/>
        <v>0.01265822785</v>
      </c>
    </row>
    <row r="245">
      <c r="A245" s="1" t="s">
        <v>14</v>
      </c>
      <c r="B245" s="1" t="s">
        <v>297</v>
      </c>
      <c r="C245" s="1" t="s">
        <v>21</v>
      </c>
      <c r="D245" s="1" t="s">
        <v>157</v>
      </c>
      <c r="E245" s="1" t="s">
        <v>146</v>
      </c>
      <c r="F245" s="1" t="s">
        <v>564</v>
      </c>
      <c r="G245" s="1">
        <v>1.5</v>
      </c>
      <c r="H245" s="1" t="s">
        <v>60</v>
      </c>
      <c r="I245" s="1">
        <v>-119.0</v>
      </c>
      <c r="J245" s="1">
        <v>-0.0801789954337898</v>
      </c>
      <c r="K245" s="1" t="s">
        <v>61</v>
      </c>
      <c r="L245" s="1" t="s">
        <v>61</v>
      </c>
      <c r="M245" s="1" t="s">
        <v>62</v>
      </c>
      <c r="N245" s="1">
        <v>-110.0</v>
      </c>
      <c r="O245" s="1">
        <v>0.0129904761904761</v>
      </c>
      <c r="P245" s="1" t="s">
        <v>61</v>
      </c>
      <c r="Q245" s="1" t="s">
        <v>61</v>
      </c>
      <c r="R245" s="1">
        <f t="shared" si="1"/>
        <v>0.01299047619</v>
      </c>
      <c r="S245" s="1">
        <f t="shared" si="2"/>
        <v>-110</v>
      </c>
      <c r="T245" s="1">
        <f t="shared" si="3"/>
        <v>1.909090909</v>
      </c>
      <c r="U245" s="1">
        <f t="shared" si="4"/>
        <v>0</v>
      </c>
      <c r="V245" s="3">
        <f t="shared" si="5"/>
        <v>1</v>
      </c>
      <c r="W245" s="3">
        <f t="shared" si="6"/>
        <v>2</v>
      </c>
      <c r="X245" s="3" t="str">
        <f>IFERROR(__xludf.DUMMYFUNCTION("split(B245,"" "")"),"J.")</f>
        <v>J.</v>
      </c>
      <c r="Y245" s="3" t="str">
        <f>IFERROR(__xludf.DUMMYFUNCTION("""COMPUTED_VALUE"""),"Love")</f>
        <v>Love</v>
      </c>
      <c r="AA245" s="3">
        <v>4.0</v>
      </c>
      <c r="AB245" s="3">
        <f t="shared" si="7"/>
        <v>1</v>
      </c>
      <c r="AC245" s="3">
        <f t="shared" si="8"/>
        <v>0</v>
      </c>
      <c r="AD245" s="3">
        <f t="shared" si="9"/>
        <v>0.9090909091</v>
      </c>
      <c r="AE245" s="3">
        <f t="shared" si="10"/>
        <v>-1</v>
      </c>
      <c r="AF245" s="3">
        <f t="shared" si="11"/>
        <v>-2</v>
      </c>
      <c r="AG245" s="3">
        <f t="shared" si="12"/>
        <v>-1.666666667</v>
      </c>
    </row>
    <row r="246">
      <c r="A246" s="1" t="s">
        <v>16</v>
      </c>
      <c r="B246" s="1" t="s">
        <v>297</v>
      </c>
      <c r="C246" s="1" t="s">
        <v>21</v>
      </c>
      <c r="D246" s="1" t="s">
        <v>157</v>
      </c>
      <c r="E246" s="1" t="s">
        <v>146</v>
      </c>
      <c r="F246" s="1" t="s">
        <v>564</v>
      </c>
      <c r="G246" s="1">
        <v>33.5</v>
      </c>
      <c r="H246" s="1" t="s">
        <v>60</v>
      </c>
      <c r="I246" s="1">
        <v>-107.0</v>
      </c>
      <c r="J246" s="1">
        <v>0.00249420804637678</v>
      </c>
      <c r="K246" s="1" t="s">
        <v>61</v>
      </c>
      <c r="L246" s="1" t="s">
        <v>61</v>
      </c>
      <c r="M246" s="1" t="s">
        <v>62</v>
      </c>
      <c r="N246" s="1">
        <v>-123.0</v>
      </c>
      <c r="O246" s="1">
        <v>-0.070958359103139</v>
      </c>
      <c r="P246" s="1" t="s">
        <v>61</v>
      </c>
      <c r="Q246" s="1" t="s">
        <v>61</v>
      </c>
      <c r="R246" s="1">
        <f t="shared" si="1"/>
        <v>0.002494208046</v>
      </c>
      <c r="S246" s="1">
        <f t="shared" si="2"/>
        <v>-107</v>
      </c>
      <c r="T246" s="1">
        <f t="shared" si="3"/>
        <v>1.934579439</v>
      </c>
      <c r="U246" s="1">
        <f t="shared" si="4"/>
        <v>1</v>
      </c>
      <c r="V246" s="3">
        <f t="shared" si="5"/>
        <v>1</v>
      </c>
      <c r="W246" s="3">
        <f t="shared" si="6"/>
        <v>2</v>
      </c>
      <c r="X246" s="3" t="str">
        <f>IFERROR(__xludf.DUMMYFUNCTION("split(B246,"" "")"),"J.")</f>
        <v>J.</v>
      </c>
      <c r="Y246" s="3" t="str">
        <f>IFERROR(__xludf.DUMMYFUNCTION("""COMPUTED_VALUE"""),"Love")</f>
        <v>Love</v>
      </c>
      <c r="AA246" s="3">
        <v>54.0</v>
      </c>
      <c r="AB246" s="3">
        <f t="shared" si="7"/>
        <v>1</v>
      </c>
      <c r="AC246" s="3">
        <f t="shared" si="8"/>
        <v>1</v>
      </c>
      <c r="AD246" s="3">
        <f t="shared" si="9"/>
        <v>0.9345794393</v>
      </c>
      <c r="AE246" s="3">
        <f t="shared" si="10"/>
        <v>0.9345794393</v>
      </c>
      <c r="AF246" s="3">
        <f t="shared" si="11"/>
        <v>1.869158879</v>
      </c>
      <c r="AG246" s="3">
        <f t="shared" si="12"/>
        <v>0.6119402985</v>
      </c>
    </row>
    <row r="247">
      <c r="A247" s="1" t="s">
        <v>10</v>
      </c>
      <c r="B247" s="1" t="s">
        <v>241</v>
      </c>
      <c r="C247" s="1" t="s">
        <v>21</v>
      </c>
      <c r="D247" s="1" t="s">
        <v>197</v>
      </c>
      <c r="E247" s="1" t="s">
        <v>82</v>
      </c>
      <c r="F247" s="1" t="s">
        <v>565</v>
      </c>
      <c r="G247" s="1">
        <v>0.5</v>
      </c>
      <c r="H247" s="1" t="s">
        <v>60</v>
      </c>
      <c r="I247" s="1">
        <v>-107.0</v>
      </c>
      <c r="J247" s="1">
        <v>0.141690614750472</v>
      </c>
      <c r="K247" s="1" t="s">
        <v>61</v>
      </c>
      <c r="L247" s="1" t="s">
        <v>61</v>
      </c>
      <c r="M247" s="1" t="s">
        <v>62</v>
      </c>
      <c r="N247" s="1">
        <v>-122.0</v>
      </c>
      <c r="O247" s="1">
        <v>-0.208134458779679</v>
      </c>
      <c r="P247" s="1" t="s">
        <v>61</v>
      </c>
      <c r="Q247" s="1" t="s">
        <v>61</v>
      </c>
      <c r="R247" s="1">
        <f t="shared" si="1"/>
        <v>0.1416906148</v>
      </c>
      <c r="S247" s="1">
        <f t="shared" si="2"/>
        <v>-107</v>
      </c>
      <c r="T247" s="1">
        <f t="shared" si="3"/>
        <v>1.934579439</v>
      </c>
      <c r="U247" s="1">
        <f t="shared" si="4"/>
        <v>1</v>
      </c>
      <c r="V247" s="3">
        <f t="shared" si="5"/>
        <v>3</v>
      </c>
      <c r="W247" s="3">
        <f t="shared" si="6"/>
        <v>2</v>
      </c>
      <c r="X247" s="3" t="str">
        <f>IFERROR(__xludf.DUMMYFUNCTION("split(B247,"" "")"),"J.")</f>
        <v>J.</v>
      </c>
      <c r="Y247" s="3" t="str">
        <f>IFERROR(__xludf.DUMMYFUNCTION("""COMPUTED_VALUE"""),"Goff")</f>
        <v>Goff</v>
      </c>
      <c r="AA247" s="3">
        <v>-2.0</v>
      </c>
      <c r="AB247" s="3">
        <f t="shared" si="7"/>
        <v>0</v>
      </c>
      <c r="AC247" s="3">
        <f t="shared" si="8"/>
        <v>0</v>
      </c>
      <c r="AD247" s="3">
        <f t="shared" si="9"/>
        <v>2.803738318</v>
      </c>
      <c r="AE247" s="3">
        <f t="shared" si="10"/>
        <v>-3</v>
      </c>
      <c r="AF247" s="3">
        <f t="shared" si="11"/>
        <v>-2</v>
      </c>
      <c r="AG247" s="3">
        <f t="shared" si="12"/>
        <v>-5</v>
      </c>
    </row>
    <row r="248">
      <c r="A248" s="1" t="s">
        <v>12</v>
      </c>
      <c r="B248" s="1" t="s">
        <v>385</v>
      </c>
      <c r="C248" s="1" t="s">
        <v>18</v>
      </c>
      <c r="D248" s="1" t="s">
        <v>197</v>
      </c>
      <c r="E248" s="1" t="s">
        <v>82</v>
      </c>
      <c r="F248" s="1" t="s">
        <v>565</v>
      </c>
      <c r="G248" s="1">
        <v>6.5</v>
      </c>
      <c r="H248" s="1" t="s">
        <v>60</v>
      </c>
      <c r="I248" s="1">
        <v>-144.0</v>
      </c>
      <c r="J248" s="1">
        <v>0.126395081967213</v>
      </c>
      <c r="K248" s="1" t="s">
        <v>61</v>
      </c>
      <c r="L248" s="1" t="s">
        <v>61</v>
      </c>
      <c r="M248" s="1" t="s">
        <v>62</v>
      </c>
      <c r="N248" s="1">
        <v>112.0</v>
      </c>
      <c r="O248" s="1">
        <v>-0.188250943396226</v>
      </c>
      <c r="P248" s="1" t="s">
        <v>61</v>
      </c>
      <c r="Q248" s="1" t="s">
        <v>61</v>
      </c>
      <c r="R248" s="1">
        <f t="shared" si="1"/>
        <v>0.126395082</v>
      </c>
      <c r="S248" s="1">
        <f t="shared" si="2"/>
        <v>-144</v>
      </c>
      <c r="T248" s="1">
        <f t="shared" si="3"/>
        <v>1.694444444</v>
      </c>
      <c r="U248" s="1">
        <f t="shared" si="4"/>
        <v>1</v>
      </c>
      <c r="V248" s="3">
        <f t="shared" si="5"/>
        <v>3</v>
      </c>
      <c r="W248" s="3">
        <f t="shared" si="6"/>
        <v>3</v>
      </c>
      <c r="X248" s="3" t="str">
        <f>IFERROR(__xludf.DUMMYFUNCTION("split(B248,"" "")"),"A.")</f>
        <v>A.</v>
      </c>
      <c r="Y248" s="3" t="str">
        <f>IFERROR(__xludf.DUMMYFUNCTION("""COMPUTED_VALUE"""),"St.")</f>
        <v>St.</v>
      </c>
      <c r="Z248" s="3" t="str">
        <f>IFERROR(__xludf.DUMMYFUNCTION("""COMPUTED_VALUE"""),"Brown")</f>
        <v>Brown</v>
      </c>
      <c r="AA248" s="3">
        <v>6.0</v>
      </c>
      <c r="AB248" s="3">
        <f t="shared" si="7"/>
        <v>0</v>
      </c>
      <c r="AC248" s="3">
        <f t="shared" si="8"/>
        <v>0</v>
      </c>
      <c r="AD248" s="3">
        <f t="shared" si="9"/>
        <v>2.083333333</v>
      </c>
      <c r="AE248" s="3">
        <f t="shared" si="10"/>
        <v>-3</v>
      </c>
      <c r="AF248" s="3">
        <f t="shared" si="11"/>
        <v>-3</v>
      </c>
      <c r="AG248" s="3">
        <f t="shared" si="12"/>
        <v>-0.07692307692</v>
      </c>
    </row>
    <row r="249">
      <c r="A249" s="1" t="s">
        <v>10</v>
      </c>
      <c r="B249" s="1" t="s">
        <v>127</v>
      </c>
      <c r="C249" s="1" t="s">
        <v>18</v>
      </c>
      <c r="D249" s="1" t="s">
        <v>197</v>
      </c>
      <c r="E249" s="1" t="s">
        <v>82</v>
      </c>
      <c r="F249" s="1" t="s">
        <v>565</v>
      </c>
      <c r="G249" s="1">
        <v>0.5</v>
      </c>
      <c r="H249" s="1" t="s">
        <v>60</v>
      </c>
      <c r="I249" s="1">
        <v>-101.0</v>
      </c>
      <c r="J249" s="1">
        <v>0.11653789299749</v>
      </c>
      <c r="K249" s="1" t="s">
        <v>61</v>
      </c>
      <c r="L249" s="1" t="s">
        <v>61</v>
      </c>
      <c r="M249" s="1" t="s">
        <v>62</v>
      </c>
      <c r="N249" s="1">
        <v>-129.0</v>
      </c>
      <c r="O249" s="1">
        <v>-0.182255009935892</v>
      </c>
      <c r="P249" s="1" t="s">
        <v>61</v>
      </c>
      <c r="Q249" s="1" t="s">
        <v>61</v>
      </c>
      <c r="R249" s="1">
        <f t="shared" si="1"/>
        <v>0.116537893</v>
      </c>
      <c r="S249" s="1">
        <f t="shared" si="2"/>
        <v>-101</v>
      </c>
      <c r="T249" s="1">
        <f t="shared" si="3"/>
        <v>1.99009901</v>
      </c>
      <c r="U249" s="1">
        <f t="shared" si="4"/>
        <v>1</v>
      </c>
      <c r="V249" s="3">
        <f t="shared" si="5"/>
        <v>3</v>
      </c>
      <c r="W249" s="3">
        <f t="shared" si="6"/>
        <v>2</v>
      </c>
      <c r="X249" s="3" t="str">
        <f>IFERROR(__xludf.DUMMYFUNCTION("split(B249,"" "")"),"J.")</f>
        <v>J.</v>
      </c>
      <c r="Y249" s="3" t="str">
        <f>IFERROR(__xludf.DUMMYFUNCTION("""COMPUTED_VALUE"""),"Williams")</f>
        <v>Williams</v>
      </c>
      <c r="AA249" s="3">
        <v>0.0</v>
      </c>
      <c r="AB249" s="3">
        <f t="shared" si="7"/>
        <v>0</v>
      </c>
      <c r="AC249" s="3">
        <f t="shared" si="8"/>
        <v>0</v>
      </c>
      <c r="AD249" s="3">
        <f t="shared" si="9"/>
        <v>2.97029703</v>
      </c>
      <c r="AE249" s="3">
        <f t="shared" si="10"/>
        <v>-3</v>
      </c>
      <c r="AF249" s="3">
        <f t="shared" si="11"/>
        <v>-2</v>
      </c>
      <c r="AG249" s="3">
        <f t="shared" si="12"/>
        <v>-1</v>
      </c>
    </row>
    <row r="250">
      <c r="A250" s="1" t="s">
        <v>12</v>
      </c>
      <c r="B250" s="1" t="s">
        <v>498</v>
      </c>
      <c r="C250" s="1" t="s">
        <v>20</v>
      </c>
      <c r="D250" s="1" t="s">
        <v>197</v>
      </c>
      <c r="E250" s="1" t="s">
        <v>82</v>
      </c>
      <c r="F250" s="1" t="s">
        <v>565</v>
      </c>
      <c r="G250" s="1">
        <v>4.5</v>
      </c>
      <c r="H250" s="1" t="s">
        <v>60</v>
      </c>
      <c r="I250" s="1">
        <v>120.0</v>
      </c>
      <c r="J250" s="1">
        <v>0.0824545454545454</v>
      </c>
      <c r="K250" s="1" t="s">
        <v>61</v>
      </c>
      <c r="L250" s="1" t="s">
        <v>61</v>
      </c>
      <c r="M250" s="1" t="s">
        <v>62</v>
      </c>
      <c r="N250" s="1">
        <v>-154.0</v>
      </c>
      <c r="O250" s="1">
        <v>-0.143299212598425</v>
      </c>
      <c r="P250" s="1" t="s">
        <v>61</v>
      </c>
      <c r="Q250" s="1" t="s">
        <v>61</v>
      </c>
      <c r="R250" s="1">
        <f t="shared" si="1"/>
        <v>0.08245454545</v>
      </c>
      <c r="S250" s="1">
        <f t="shared" si="2"/>
        <v>120</v>
      </c>
      <c r="T250" s="1">
        <f t="shared" si="3"/>
        <v>2.2</v>
      </c>
      <c r="U250" s="1">
        <f t="shared" si="4"/>
        <v>1</v>
      </c>
      <c r="V250" s="3">
        <f t="shared" si="5"/>
        <v>2</v>
      </c>
      <c r="W250" s="3">
        <f t="shared" si="6"/>
        <v>1</v>
      </c>
      <c r="X250" s="3" t="str">
        <f>IFERROR(__xludf.DUMMYFUNCTION("split(B250,"" "")"),"S.")</f>
        <v>S.</v>
      </c>
      <c r="Y250" s="3" t="str">
        <f>IFERROR(__xludf.DUMMYFUNCTION("""COMPUTED_VALUE"""),"LaPorta")</f>
        <v>LaPorta</v>
      </c>
      <c r="AA250" s="3">
        <v>4.0</v>
      </c>
      <c r="AB250" s="3">
        <f t="shared" si="7"/>
        <v>0</v>
      </c>
      <c r="AC250" s="3">
        <f t="shared" si="8"/>
        <v>0</v>
      </c>
      <c r="AD250" s="3">
        <f t="shared" si="9"/>
        <v>2.4</v>
      </c>
      <c r="AE250" s="3">
        <f t="shared" si="10"/>
        <v>-2</v>
      </c>
      <c r="AF250" s="3">
        <f t="shared" si="11"/>
        <v>-1</v>
      </c>
      <c r="AG250" s="3">
        <f t="shared" si="12"/>
        <v>-0.1111111111</v>
      </c>
    </row>
    <row r="251">
      <c r="A251" s="1" t="s">
        <v>16</v>
      </c>
      <c r="B251" s="1" t="s">
        <v>241</v>
      </c>
      <c r="C251" s="1" t="s">
        <v>21</v>
      </c>
      <c r="D251" s="1" t="s">
        <v>197</v>
      </c>
      <c r="E251" s="1" t="s">
        <v>82</v>
      </c>
      <c r="F251" s="1" t="s">
        <v>565</v>
      </c>
      <c r="G251" s="1">
        <v>33.5</v>
      </c>
      <c r="H251" s="1" t="s">
        <v>60</v>
      </c>
      <c r="I251" s="1">
        <v>-103.0</v>
      </c>
      <c r="J251" s="1">
        <v>0.0742104908916254</v>
      </c>
      <c r="K251" s="1" t="s">
        <v>61</v>
      </c>
      <c r="L251" s="1" t="s">
        <v>61</v>
      </c>
      <c r="M251" s="1" t="s">
        <v>62</v>
      </c>
      <c r="N251" s="1">
        <v>-128.0</v>
      </c>
      <c r="O251" s="1">
        <v>-0.143003209210526</v>
      </c>
      <c r="P251" s="1" t="s">
        <v>61</v>
      </c>
      <c r="Q251" s="1" t="s">
        <v>61</v>
      </c>
      <c r="R251" s="1">
        <f t="shared" si="1"/>
        <v>0.07421049089</v>
      </c>
      <c r="S251" s="1">
        <f t="shared" si="2"/>
        <v>-103</v>
      </c>
      <c r="T251" s="1">
        <f t="shared" si="3"/>
        <v>1.970873786</v>
      </c>
      <c r="U251" s="1">
        <f t="shared" si="4"/>
        <v>1</v>
      </c>
      <c r="V251" s="3">
        <f t="shared" si="5"/>
        <v>2</v>
      </c>
      <c r="W251" s="3">
        <f t="shared" si="6"/>
        <v>2</v>
      </c>
      <c r="X251" s="3" t="str">
        <f>IFERROR(__xludf.DUMMYFUNCTION("split(B251,"" "")"),"J.")</f>
        <v>J.</v>
      </c>
      <c r="Y251" s="3" t="str">
        <f>IFERROR(__xludf.DUMMYFUNCTION("""COMPUTED_VALUE"""),"Goff")</f>
        <v>Goff</v>
      </c>
      <c r="AA251" s="3">
        <v>18.0</v>
      </c>
      <c r="AB251" s="3">
        <f t="shared" si="7"/>
        <v>0</v>
      </c>
      <c r="AC251" s="3">
        <f t="shared" si="8"/>
        <v>0</v>
      </c>
      <c r="AD251" s="3">
        <f t="shared" si="9"/>
        <v>1.941747573</v>
      </c>
      <c r="AE251" s="3">
        <f t="shared" si="10"/>
        <v>-2</v>
      </c>
      <c r="AF251" s="3">
        <f t="shared" si="11"/>
        <v>-2</v>
      </c>
      <c r="AG251" s="3">
        <f t="shared" si="12"/>
        <v>-0.4626865672</v>
      </c>
    </row>
    <row r="252">
      <c r="A252" s="1" t="s">
        <v>15</v>
      </c>
      <c r="B252" s="1" t="s">
        <v>241</v>
      </c>
      <c r="C252" s="1" t="s">
        <v>21</v>
      </c>
      <c r="D252" s="1" t="s">
        <v>197</v>
      </c>
      <c r="E252" s="1" t="s">
        <v>82</v>
      </c>
      <c r="F252" s="1" t="s">
        <v>565</v>
      </c>
      <c r="G252" s="1">
        <v>22.5</v>
      </c>
      <c r="H252" s="1" t="s">
        <v>60</v>
      </c>
      <c r="I252" s="1">
        <v>-130.0</v>
      </c>
      <c r="J252" s="1">
        <v>0.0656826086956522</v>
      </c>
      <c r="K252" s="1" t="s">
        <v>61</v>
      </c>
      <c r="L252" s="1" t="s">
        <v>61</v>
      </c>
      <c r="M252" s="1" t="s">
        <v>62</v>
      </c>
      <c r="N252" s="1">
        <v>-102.0</v>
      </c>
      <c r="O252" s="1">
        <v>-0.135850495049505</v>
      </c>
      <c r="P252" s="1" t="s">
        <v>61</v>
      </c>
      <c r="Q252" s="1" t="s">
        <v>61</v>
      </c>
      <c r="R252" s="1">
        <f t="shared" si="1"/>
        <v>0.0656826087</v>
      </c>
      <c r="S252" s="1">
        <f t="shared" si="2"/>
        <v>-130</v>
      </c>
      <c r="T252" s="1">
        <f t="shared" si="3"/>
        <v>1.769230769</v>
      </c>
      <c r="U252" s="1">
        <f t="shared" si="4"/>
        <v>1</v>
      </c>
      <c r="V252" s="3">
        <f t="shared" si="5"/>
        <v>2</v>
      </c>
      <c r="W252" s="3">
        <f t="shared" si="6"/>
        <v>3</v>
      </c>
      <c r="X252" s="3" t="str">
        <f>IFERROR(__xludf.DUMMYFUNCTION("split(B252,"" "")"),"J.")</f>
        <v>J.</v>
      </c>
      <c r="Y252" s="3" t="str">
        <f>IFERROR(__xludf.DUMMYFUNCTION("""COMPUTED_VALUE"""),"Goff")</f>
        <v>Goff</v>
      </c>
      <c r="AA252" s="3">
        <v>18.0</v>
      </c>
      <c r="AB252" s="3">
        <f t="shared" si="7"/>
        <v>0</v>
      </c>
      <c r="AC252" s="3">
        <f t="shared" si="8"/>
        <v>0</v>
      </c>
      <c r="AD252" s="3">
        <f t="shared" si="9"/>
        <v>1.538461538</v>
      </c>
      <c r="AE252" s="3">
        <f t="shared" si="10"/>
        <v>-2</v>
      </c>
      <c r="AF252" s="3">
        <f t="shared" si="11"/>
        <v>-3</v>
      </c>
      <c r="AG252" s="3">
        <f t="shared" si="12"/>
        <v>-0.2</v>
      </c>
    </row>
    <row r="253">
      <c r="A253" s="1" t="s">
        <v>12</v>
      </c>
      <c r="B253" s="1" t="s">
        <v>446</v>
      </c>
      <c r="C253" s="1" t="s">
        <v>19</v>
      </c>
      <c r="D253" s="1" t="s">
        <v>197</v>
      </c>
      <c r="E253" s="1" t="s">
        <v>82</v>
      </c>
      <c r="F253" s="1" t="s">
        <v>565</v>
      </c>
      <c r="G253" s="1">
        <v>1.5</v>
      </c>
      <c r="H253" s="1" t="s">
        <v>60</v>
      </c>
      <c r="I253" s="1">
        <v>101.0</v>
      </c>
      <c r="J253" s="1">
        <v>-0.12875173904199</v>
      </c>
      <c r="K253" s="1" t="s">
        <v>61</v>
      </c>
      <c r="L253" s="1" t="s">
        <v>61</v>
      </c>
      <c r="M253" s="1" t="s">
        <v>62</v>
      </c>
      <c r="N253" s="1">
        <v>-132.0</v>
      </c>
      <c r="O253" s="1">
        <v>0.0622657536813792</v>
      </c>
      <c r="P253" s="1" t="s">
        <v>61</v>
      </c>
      <c r="Q253" s="1" t="s">
        <v>61</v>
      </c>
      <c r="R253" s="1">
        <f t="shared" si="1"/>
        <v>0.06226575368</v>
      </c>
      <c r="S253" s="1">
        <f t="shared" si="2"/>
        <v>-132</v>
      </c>
      <c r="T253" s="1">
        <f t="shared" si="3"/>
        <v>1.757575758</v>
      </c>
      <c r="U253" s="1">
        <f t="shared" si="4"/>
        <v>0</v>
      </c>
      <c r="V253" s="3">
        <f t="shared" si="5"/>
        <v>2</v>
      </c>
      <c r="W253" s="3">
        <f t="shared" si="6"/>
        <v>3</v>
      </c>
      <c r="X253" s="3" t="str">
        <f>IFERROR(__xludf.DUMMYFUNCTION("split(B253,"" "")"),"D.")</f>
        <v>D.</v>
      </c>
      <c r="Y253" s="3" t="str">
        <f>IFERROR(__xludf.DUMMYFUNCTION("""COMPUTED_VALUE"""),"Montgomery")</f>
        <v>Montgomery</v>
      </c>
      <c r="AA253" s="3">
        <v>1.0</v>
      </c>
      <c r="AB253" s="3">
        <f t="shared" si="7"/>
        <v>0</v>
      </c>
      <c r="AC253" s="3">
        <f t="shared" si="8"/>
        <v>1</v>
      </c>
      <c r="AD253" s="3">
        <f t="shared" si="9"/>
        <v>1.515151515</v>
      </c>
      <c r="AE253" s="3">
        <f t="shared" si="10"/>
        <v>1.515151515</v>
      </c>
      <c r="AF253" s="3">
        <f t="shared" si="11"/>
        <v>2.272727273</v>
      </c>
      <c r="AG253" s="3">
        <f t="shared" si="12"/>
        <v>0.3333333333</v>
      </c>
    </row>
    <row r="254">
      <c r="A254" s="1" t="s">
        <v>11</v>
      </c>
      <c r="B254" s="1" t="s">
        <v>446</v>
      </c>
      <c r="C254" s="1" t="s">
        <v>19</v>
      </c>
      <c r="D254" s="1" t="s">
        <v>197</v>
      </c>
      <c r="E254" s="1" t="s">
        <v>82</v>
      </c>
      <c r="F254" s="1" t="s">
        <v>565</v>
      </c>
      <c r="G254" s="1">
        <v>6.5</v>
      </c>
      <c r="H254" s="1" t="s">
        <v>60</v>
      </c>
      <c r="I254" s="1">
        <v>-125.0</v>
      </c>
      <c r="J254" s="1">
        <v>0.0591165340502145</v>
      </c>
      <c r="K254" s="1" t="s">
        <v>61</v>
      </c>
      <c r="L254" s="1" t="s">
        <v>61</v>
      </c>
      <c r="M254" s="1" t="s">
        <v>62</v>
      </c>
      <c r="N254" s="1">
        <v>-102.0</v>
      </c>
      <c r="O254" s="1">
        <v>-0.119577943388733</v>
      </c>
      <c r="P254" s="1" t="s">
        <v>61</v>
      </c>
      <c r="Q254" s="1" t="s">
        <v>61</v>
      </c>
      <c r="R254" s="1">
        <f t="shared" si="1"/>
        <v>0.05911653405</v>
      </c>
      <c r="S254" s="1">
        <f t="shared" si="2"/>
        <v>-125</v>
      </c>
      <c r="T254" s="1">
        <f t="shared" si="3"/>
        <v>1.8</v>
      </c>
      <c r="U254" s="1">
        <f t="shared" si="4"/>
        <v>1</v>
      </c>
      <c r="V254" s="3">
        <f t="shared" si="5"/>
        <v>2</v>
      </c>
      <c r="W254" s="3">
        <f t="shared" si="6"/>
        <v>3</v>
      </c>
      <c r="X254" s="3" t="str">
        <f>IFERROR(__xludf.DUMMYFUNCTION("split(B254,"" "")"),"D.")</f>
        <v>D.</v>
      </c>
      <c r="Y254" s="3" t="str">
        <f>IFERROR(__xludf.DUMMYFUNCTION("""COMPUTED_VALUE"""),"Montgomery")</f>
        <v>Montgomery</v>
      </c>
      <c r="AA254" s="3">
        <v>40.0</v>
      </c>
      <c r="AB254" s="3">
        <f t="shared" si="7"/>
        <v>1</v>
      </c>
      <c r="AC254" s="3">
        <f t="shared" si="8"/>
        <v>1</v>
      </c>
      <c r="AD254" s="3">
        <f t="shared" si="9"/>
        <v>1.6</v>
      </c>
      <c r="AE254" s="3">
        <f t="shared" si="10"/>
        <v>1.6</v>
      </c>
      <c r="AF254" s="3">
        <f t="shared" si="11"/>
        <v>2.4</v>
      </c>
      <c r="AG254" s="3">
        <f t="shared" si="12"/>
        <v>5.153846154</v>
      </c>
    </row>
    <row r="255">
      <c r="A255" s="1" t="s">
        <v>8</v>
      </c>
      <c r="B255" s="1" t="s">
        <v>446</v>
      </c>
      <c r="C255" s="1" t="s">
        <v>19</v>
      </c>
      <c r="D255" s="1" t="s">
        <v>197</v>
      </c>
      <c r="E255" s="1" t="s">
        <v>82</v>
      </c>
      <c r="F255" s="1" t="s">
        <v>565</v>
      </c>
      <c r="G255" s="1">
        <v>14.5</v>
      </c>
      <c r="H255" s="1" t="s">
        <v>60</v>
      </c>
      <c r="I255" s="1">
        <v>-116.0</v>
      </c>
      <c r="J255" s="1">
        <v>-0.120390664319444</v>
      </c>
      <c r="K255" s="1" t="s">
        <v>61</v>
      </c>
      <c r="L255" s="1" t="s">
        <v>61</v>
      </c>
      <c r="M255" s="1" t="s">
        <v>62</v>
      </c>
      <c r="N255" s="1">
        <v>-115.0</v>
      </c>
      <c r="O255" s="1">
        <v>0.0484627024044185</v>
      </c>
      <c r="P255" s="1" t="s">
        <v>61</v>
      </c>
      <c r="Q255" s="1" t="s">
        <v>61</v>
      </c>
      <c r="R255" s="1">
        <f t="shared" si="1"/>
        <v>0.0484627024</v>
      </c>
      <c r="S255" s="1">
        <f t="shared" si="2"/>
        <v>-115</v>
      </c>
      <c r="T255" s="1">
        <f t="shared" si="3"/>
        <v>1.869565217</v>
      </c>
      <c r="U255" s="1">
        <f t="shared" si="4"/>
        <v>0</v>
      </c>
      <c r="V255" s="3">
        <f t="shared" si="5"/>
        <v>1</v>
      </c>
      <c r="W255" s="3">
        <f t="shared" si="6"/>
        <v>2</v>
      </c>
      <c r="X255" s="3" t="str">
        <f>IFERROR(__xludf.DUMMYFUNCTION("split(B255,"" "")"),"D.")</f>
        <v>D.</v>
      </c>
      <c r="Y255" s="3" t="str">
        <f>IFERROR(__xludf.DUMMYFUNCTION("""COMPUTED_VALUE"""),"Montgomery")</f>
        <v>Montgomery</v>
      </c>
      <c r="AA255" s="3">
        <v>12.0</v>
      </c>
      <c r="AB255" s="3">
        <f t="shared" si="7"/>
        <v>0</v>
      </c>
      <c r="AC255" s="3">
        <f t="shared" si="8"/>
        <v>1</v>
      </c>
      <c r="AD255" s="3">
        <f t="shared" si="9"/>
        <v>0.8695652174</v>
      </c>
      <c r="AE255" s="3">
        <f t="shared" si="10"/>
        <v>0.8695652174</v>
      </c>
      <c r="AF255" s="3">
        <f t="shared" si="11"/>
        <v>1.739130435</v>
      </c>
      <c r="AG255" s="3">
        <f t="shared" si="12"/>
        <v>0.1724137931</v>
      </c>
    </row>
    <row r="256">
      <c r="A256" s="1" t="s">
        <v>10</v>
      </c>
      <c r="B256" s="1" t="s">
        <v>446</v>
      </c>
      <c r="C256" s="1" t="s">
        <v>19</v>
      </c>
      <c r="D256" s="1" t="s">
        <v>197</v>
      </c>
      <c r="E256" s="1" t="s">
        <v>82</v>
      </c>
      <c r="F256" s="1" t="s">
        <v>565</v>
      </c>
      <c r="G256" s="1">
        <v>64.5</v>
      </c>
      <c r="H256" s="1" t="s">
        <v>60</v>
      </c>
      <c r="I256" s="1">
        <v>-112.0</v>
      </c>
      <c r="J256" s="1">
        <v>-0.0931846518465945</v>
      </c>
      <c r="K256" s="1" t="s">
        <v>61</v>
      </c>
      <c r="L256" s="1" t="s">
        <v>61</v>
      </c>
      <c r="M256" s="1" t="s">
        <v>62</v>
      </c>
      <c r="N256" s="1">
        <v>-112.0</v>
      </c>
      <c r="O256" s="1">
        <v>0.0366024849070539</v>
      </c>
      <c r="P256" s="1" t="s">
        <v>61</v>
      </c>
      <c r="Q256" s="1" t="s">
        <v>61</v>
      </c>
      <c r="R256" s="1">
        <f t="shared" si="1"/>
        <v>0.03660248491</v>
      </c>
      <c r="S256" s="1">
        <f t="shared" si="2"/>
        <v>-112</v>
      </c>
      <c r="T256" s="1">
        <f t="shared" si="3"/>
        <v>1.892857143</v>
      </c>
      <c r="U256" s="1">
        <f t="shared" si="4"/>
        <v>0</v>
      </c>
      <c r="V256" s="3">
        <f t="shared" si="5"/>
        <v>1</v>
      </c>
      <c r="W256" s="3">
        <f t="shared" si="6"/>
        <v>2</v>
      </c>
      <c r="X256" s="3" t="str">
        <f>IFERROR(__xludf.DUMMYFUNCTION("split(B256,"" "")"),"D.")</f>
        <v>D.</v>
      </c>
      <c r="Y256" s="3" t="str">
        <f>IFERROR(__xludf.DUMMYFUNCTION("""COMPUTED_VALUE"""),"Montgomery")</f>
        <v>Montgomery</v>
      </c>
      <c r="AA256" s="3">
        <v>40.0</v>
      </c>
      <c r="AB256" s="3">
        <f t="shared" si="7"/>
        <v>0</v>
      </c>
      <c r="AC256" s="3">
        <f t="shared" si="8"/>
        <v>1</v>
      </c>
      <c r="AD256" s="3">
        <f t="shared" si="9"/>
        <v>0.8928571429</v>
      </c>
      <c r="AE256" s="3">
        <f t="shared" si="10"/>
        <v>0.8928571429</v>
      </c>
      <c r="AF256" s="3">
        <f t="shared" si="11"/>
        <v>1.785714286</v>
      </c>
      <c r="AG256" s="3">
        <f t="shared" si="12"/>
        <v>0.3798449612</v>
      </c>
    </row>
    <row r="257">
      <c r="A257" s="1" t="s">
        <v>8</v>
      </c>
      <c r="B257" s="1" t="s">
        <v>393</v>
      </c>
      <c r="C257" s="1" t="s">
        <v>19</v>
      </c>
      <c r="D257" s="1" t="s">
        <v>197</v>
      </c>
      <c r="E257" s="1" t="s">
        <v>82</v>
      </c>
      <c r="F257" s="1" t="s">
        <v>565</v>
      </c>
      <c r="G257" s="1">
        <v>11.5</v>
      </c>
      <c r="H257" s="1" t="s">
        <v>60</v>
      </c>
      <c r="I257" s="1">
        <v>-110.0</v>
      </c>
      <c r="J257" s="1">
        <v>-0.0936091776773332</v>
      </c>
      <c r="K257" s="1" t="s">
        <v>61</v>
      </c>
      <c r="L257" s="1" t="s">
        <v>61</v>
      </c>
      <c r="M257" s="1" t="s">
        <v>62</v>
      </c>
      <c r="N257" s="1">
        <v>-121.0</v>
      </c>
      <c r="O257" s="1">
        <v>0.0222882898090968</v>
      </c>
      <c r="P257" s="1" t="s">
        <v>61</v>
      </c>
      <c r="Q257" s="1" t="s">
        <v>61</v>
      </c>
      <c r="R257" s="1">
        <f t="shared" si="1"/>
        <v>0.02228828981</v>
      </c>
      <c r="S257" s="1">
        <f t="shared" si="2"/>
        <v>-121</v>
      </c>
      <c r="T257" s="1">
        <f t="shared" si="3"/>
        <v>1.826446281</v>
      </c>
      <c r="U257" s="1">
        <f t="shared" si="4"/>
        <v>0</v>
      </c>
      <c r="V257" s="3">
        <f t="shared" si="5"/>
        <v>1</v>
      </c>
      <c r="W257" s="3">
        <f t="shared" si="6"/>
        <v>3</v>
      </c>
      <c r="X257" s="3" t="str">
        <f>IFERROR(__xludf.DUMMYFUNCTION("split(B257,"" "")"),"J.")</f>
        <v>J.</v>
      </c>
      <c r="Y257" s="3" t="str">
        <f>IFERROR(__xludf.DUMMYFUNCTION("""COMPUTED_VALUE"""),"Gibbs")</f>
        <v>Gibbs</v>
      </c>
      <c r="AA257" s="3">
        <v>14.0</v>
      </c>
      <c r="AB257" s="3">
        <f t="shared" si="7"/>
        <v>1</v>
      </c>
      <c r="AC257" s="3">
        <f t="shared" si="8"/>
        <v>0</v>
      </c>
      <c r="AD257" s="3">
        <f t="shared" si="9"/>
        <v>0.826446281</v>
      </c>
      <c r="AE257" s="3">
        <f t="shared" si="10"/>
        <v>-1</v>
      </c>
      <c r="AF257" s="3">
        <f t="shared" si="11"/>
        <v>-3</v>
      </c>
      <c r="AG257" s="3">
        <f t="shared" si="12"/>
        <v>-0.2173913043</v>
      </c>
    </row>
    <row r="258">
      <c r="A258" s="1" t="s">
        <v>9</v>
      </c>
      <c r="B258" s="1" t="s">
        <v>127</v>
      </c>
      <c r="C258" s="1" t="s">
        <v>18</v>
      </c>
      <c r="D258" s="1" t="s">
        <v>197</v>
      </c>
      <c r="E258" s="1" t="s">
        <v>82</v>
      </c>
      <c r="F258" s="1" t="s">
        <v>565</v>
      </c>
      <c r="G258" s="1">
        <v>47.5</v>
      </c>
      <c r="H258" s="1" t="s">
        <v>60</v>
      </c>
      <c r="I258" s="1">
        <v>-116.0</v>
      </c>
      <c r="J258" s="1">
        <v>0.0197972507238443</v>
      </c>
      <c r="K258" s="1" t="s">
        <v>61</v>
      </c>
      <c r="L258" s="1" t="s">
        <v>61</v>
      </c>
      <c r="M258" s="1" t="s">
        <v>62</v>
      </c>
      <c r="N258" s="1">
        <v>-116.0</v>
      </c>
      <c r="O258" s="1">
        <v>-0.0938448108396595</v>
      </c>
      <c r="P258" s="1" t="s">
        <v>61</v>
      </c>
      <c r="Q258" s="1" t="s">
        <v>61</v>
      </c>
      <c r="R258" s="1">
        <f t="shared" si="1"/>
        <v>0.01979725072</v>
      </c>
      <c r="S258" s="1">
        <f t="shared" si="2"/>
        <v>-116</v>
      </c>
      <c r="T258" s="1">
        <f t="shared" si="3"/>
        <v>1.862068966</v>
      </c>
      <c r="U258" s="1">
        <f t="shared" si="4"/>
        <v>1</v>
      </c>
      <c r="V258" s="3">
        <f t="shared" si="5"/>
        <v>1</v>
      </c>
      <c r="W258" s="3">
        <f t="shared" si="6"/>
        <v>2</v>
      </c>
      <c r="X258" s="3" t="str">
        <f>IFERROR(__xludf.DUMMYFUNCTION("split(B258,"" "")"),"J.")</f>
        <v>J.</v>
      </c>
      <c r="Y258" s="3" t="str">
        <f>IFERROR(__xludf.DUMMYFUNCTION("""COMPUTED_VALUE"""),"Williams")</f>
        <v>Williams</v>
      </c>
      <c r="AA258" s="3">
        <v>80.0</v>
      </c>
      <c r="AB258" s="3">
        <f t="shared" si="7"/>
        <v>1</v>
      </c>
      <c r="AC258" s="3">
        <f t="shared" si="8"/>
        <v>1</v>
      </c>
      <c r="AD258" s="3">
        <f t="shared" si="9"/>
        <v>0.8620689655</v>
      </c>
      <c r="AE258" s="3">
        <f t="shared" si="10"/>
        <v>0.8620689655</v>
      </c>
      <c r="AF258" s="3">
        <f t="shared" si="11"/>
        <v>1.724137931</v>
      </c>
      <c r="AG258" s="3">
        <f t="shared" si="12"/>
        <v>0.6842105263</v>
      </c>
    </row>
    <row r="259">
      <c r="A259" s="1" t="s">
        <v>9</v>
      </c>
      <c r="B259" s="1" t="s">
        <v>446</v>
      </c>
      <c r="C259" s="1" t="s">
        <v>19</v>
      </c>
      <c r="D259" s="1" t="s">
        <v>197</v>
      </c>
      <c r="E259" s="1" t="s">
        <v>82</v>
      </c>
      <c r="F259" s="1" t="s">
        <v>565</v>
      </c>
      <c r="G259" s="1">
        <v>73.5</v>
      </c>
      <c r="H259" s="1" t="s">
        <v>60</v>
      </c>
      <c r="I259" s="1">
        <v>-114.0</v>
      </c>
      <c r="J259" s="1">
        <v>-0.0891450918362411</v>
      </c>
      <c r="K259" s="1" t="s">
        <v>61</v>
      </c>
      <c r="L259" s="1" t="s">
        <v>61</v>
      </c>
      <c r="M259" s="1" t="s">
        <v>62</v>
      </c>
      <c r="N259" s="1">
        <v>-119.0</v>
      </c>
      <c r="O259" s="1">
        <v>0.0130452013105808</v>
      </c>
      <c r="P259" s="1" t="s">
        <v>61</v>
      </c>
      <c r="Q259" s="1" t="s">
        <v>61</v>
      </c>
      <c r="R259" s="1">
        <f t="shared" si="1"/>
        <v>0.01304520131</v>
      </c>
      <c r="S259" s="1">
        <f t="shared" si="2"/>
        <v>-119</v>
      </c>
      <c r="T259" s="1">
        <f t="shared" si="3"/>
        <v>1.840336134</v>
      </c>
      <c r="U259" s="1">
        <f t="shared" si="4"/>
        <v>0</v>
      </c>
      <c r="V259" s="3">
        <f t="shared" si="5"/>
        <v>1</v>
      </c>
      <c r="W259" s="3">
        <f t="shared" si="6"/>
        <v>3</v>
      </c>
      <c r="X259" s="3" t="str">
        <f>IFERROR(__xludf.DUMMYFUNCTION("split(B259,"" "")"),"D.")</f>
        <v>D.</v>
      </c>
      <c r="Y259" s="3" t="str">
        <f>IFERROR(__xludf.DUMMYFUNCTION("""COMPUTED_VALUE"""),"Montgomery")</f>
        <v>Montgomery</v>
      </c>
      <c r="AA259" s="3">
        <v>80.0</v>
      </c>
      <c r="AB259" s="3">
        <f t="shared" si="7"/>
        <v>1</v>
      </c>
      <c r="AC259" s="3">
        <f t="shared" si="8"/>
        <v>0</v>
      </c>
      <c r="AD259" s="3">
        <f t="shared" si="9"/>
        <v>0.8403361345</v>
      </c>
      <c r="AE259" s="3">
        <f t="shared" si="10"/>
        <v>-1</v>
      </c>
      <c r="AF259" s="3">
        <f t="shared" si="11"/>
        <v>-3</v>
      </c>
      <c r="AG259" s="3">
        <f t="shared" si="12"/>
        <v>-0.08843537415</v>
      </c>
    </row>
    <row r="260">
      <c r="A260" s="1" t="s">
        <v>11</v>
      </c>
      <c r="B260" s="1" t="s">
        <v>393</v>
      </c>
      <c r="C260" s="1" t="s">
        <v>19</v>
      </c>
      <c r="D260" s="1" t="s">
        <v>197</v>
      </c>
      <c r="E260" s="1" t="s">
        <v>82</v>
      </c>
      <c r="F260" s="1" t="s">
        <v>565</v>
      </c>
      <c r="G260" s="1">
        <v>21.5</v>
      </c>
      <c r="H260" s="1" t="s">
        <v>60</v>
      </c>
      <c r="I260" s="1">
        <v>-115.0</v>
      </c>
      <c r="J260" s="1">
        <v>-0.0670392392598838</v>
      </c>
      <c r="K260" s="1" t="s">
        <v>61</v>
      </c>
      <c r="L260" s="1" t="s">
        <v>61</v>
      </c>
      <c r="M260" s="1" t="s">
        <v>62</v>
      </c>
      <c r="N260" s="1">
        <v>-112.0</v>
      </c>
      <c r="O260" s="1">
        <v>0.00390192836688685</v>
      </c>
      <c r="P260" s="1" t="s">
        <v>61</v>
      </c>
      <c r="Q260" s="1" t="s">
        <v>61</v>
      </c>
      <c r="R260" s="1">
        <f t="shared" si="1"/>
        <v>0.003901928367</v>
      </c>
      <c r="S260" s="1">
        <f t="shared" si="2"/>
        <v>-112</v>
      </c>
      <c r="T260" s="1">
        <f t="shared" si="3"/>
        <v>1.892857143</v>
      </c>
      <c r="U260" s="1">
        <f t="shared" si="4"/>
        <v>0</v>
      </c>
      <c r="V260" s="3">
        <f t="shared" si="5"/>
        <v>1</v>
      </c>
      <c r="W260" s="3">
        <f t="shared" si="6"/>
        <v>2</v>
      </c>
      <c r="X260" s="3" t="str">
        <f>IFERROR(__xludf.DUMMYFUNCTION("split(B260,"" "")"),"J.")</f>
        <v>J.</v>
      </c>
      <c r="Y260" s="3" t="str">
        <f>IFERROR(__xludf.DUMMYFUNCTION("""COMPUTED_VALUE"""),"Gibbs")</f>
        <v>Gibbs</v>
      </c>
      <c r="AA260" s="3">
        <v>0.0</v>
      </c>
      <c r="AB260" s="3">
        <f t="shared" si="7"/>
        <v>0</v>
      </c>
      <c r="AC260" s="3">
        <f t="shared" si="8"/>
        <v>1</v>
      </c>
      <c r="AD260" s="3">
        <f t="shared" si="9"/>
        <v>0.8928571429</v>
      </c>
      <c r="AE260" s="3">
        <f t="shared" si="10"/>
        <v>0.8928571429</v>
      </c>
      <c r="AF260" s="3">
        <f t="shared" si="11"/>
        <v>1.785714286</v>
      </c>
      <c r="AG260" s="3">
        <f t="shared" si="12"/>
        <v>1</v>
      </c>
    </row>
    <row r="261">
      <c r="A261" s="1" t="s">
        <v>9</v>
      </c>
      <c r="B261" s="1" t="s">
        <v>385</v>
      </c>
      <c r="C261" s="1" t="s">
        <v>18</v>
      </c>
      <c r="D261" s="1" t="s">
        <v>197</v>
      </c>
      <c r="E261" s="1" t="s">
        <v>82</v>
      </c>
      <c r="F261" s="1" t="s">
        <v>565</v>
      </c>
      <c r="G261" s="1">
        <v>78.5</v>
      </c>
      <c r="H261" s="1" t="s">
        <v>60</v>
      </c>
      <c r="I261" s="1">
        <v>-114.0</v>
      </c>
      <c r="J261" s="1">
        <v>-0.0771401196616509</v>
      </c>
      <c r="K261" s="1" t="s">
        <v>61</v>
      </c>
      <c r="L261" s="1" t="s">
        <v>61</v>
      </c>
      <c r="M261" s="1" t="s">
        <v>62</v>
      </c>
      <c r="N261" s="1">
        <v>-119.0</v>
      </c>
      <c r="O261" s="1">
        <v>0.00103941951158015</v>
      </c>
      <c r="P261" s="1" t="s">
        <v>61</v>
      </c>
      <c r="Q261" s="1" t="s">
        <v>61</v>
      </c>
      <c r="R261" s="1">
        <f t="shared" si="1"/>
        <v>0.001039419512</v>
      </c>
      <c r="S261" s="1">
        <f t="shared" si="2"/>
        <v>-119</v>
      </c>
      <c r="T261" s="1">
        <f t="shared" si="3"/>
        <v>1.840336134</v>
      </c>
      <c r="U261" s="1">
        <f t="shared" si="4"/>
        <v>0</v>
      </c>
      <c r="V261" s="3">
        <f t="shared" si="5"/>
        <v>1</v>
      </c>
      <c r="W261" s="3">
        <f t="shared" si="6"/>
        <v>3</v>
      </c>
      <c r="X261" s="3" t="str">
        <f>IFERROR(__xludf.DUMMYFUNCTION("split(B261,"" "")"),"A.")</f>
        <v>A.</v>
      </c>
      <c r="Y261" s="3" t="str">
        <f>IFERROR(__xludf.DUMMYFUNCTION("""COMPUTED_VALUE"""),"St.")</f>
        <v>St.</v>
      </c>
      <c r="Z261" s="3" t="str">
        <f>IFERROR(__xludf.DUMMYFUNCTION("""COMPUTED_VALUE"""),"Brown")</f>
        <v>Brown</v>
      </c>
      <c r="AA261" s="3">
        <v>45.0</v>
      </c>
      <c r="AB261" s="3">
        <f t="shared" si="7"/>
        <v>0</v>
      </c>
      <c r="AC261" s="3">
        <f t="shared" si="8"/>
        <v>1</v>
      </c>
      <c r="AD261" s="3">
        <f t="shared" si="9"/>
        <v>0.8403361345</v>
      </c>
      <c r="AE261" s="3">
        <f t="shared" si="10"/>
        <v>0.8403361345</v>
      </c>
      <c r="AF261" s="3">
        <f t="shared" si="11"/>
        <v>2.521008403</v>
      </c>
      <c r="AG261" s="3">
        <f t="shared" si="12"/>
        <v>0.4267515924</v>
      </c>
    </row>
    <row r="262">
      <c r="A262" s="1" t="s">
        <v>8</v>
      </c>
      <c r="B262" s="1" t="s">
        <v>464</v>
      </c>
      <c r="C262" s="1" t="s">
        <v>21</v>
      </c>
      <c r="D262" s="1" t="s">
        <v>83</v>
      </c>
      <c r="E262" s="1" t="s">
        <v>165</v>
      </c>
      <c r="F262" s="1" t="s">
        <v>564</v>
      </c>
      <c r="G262" s="1">
        <v>5.5</v>
      </c>
      <c r="H262" s="1" t="s">
        <v>60</v>
      </c>
      <c r="I262" s="1">
        <v>-103.0</v>
      </c>
      <c r="J262" s="1">
        <v>-0.171425490941634</v>
      </c>
      <c r="K262" s="1" t="s">
        <v>61</v>
      </c>
      <c r="L262" s="1" t="s">
        <v>61</v>
      </c>
      <c r="M262" s="1" t="s">
        <v>62</v>
      </c>
      <c r="N262" s="1">
        <v>-130.0</v>
      </c>
      <c r="O262" s="1">
        <v>0.0988390306934668</v>
      </c>
      <c r="P262" s="1" t="s">
        <v>61</v>
      </c>
      <c r="Q262" s="1" t="s">
        <v>61</v>
      </c>
      <c r="R262" s="1">
        <f t="shared" si="1"/>
        <v>0.09883903069</v>
      </c>
      <c r="S262" s="1">
        <f t="shared" si="2"/>
        <v>-130</v>
      </c>
      <c r="T262" s="1">
        <f t="shared" si="3"/>
        <v>1.769230769</v>
      </c>
      <c r="U262" s="1">
        <f t="shared" si="4"/>
        <v>0</v>
      </c>
      <c r="V262" s="3">
        <f t="shared" si="5"/>
        <v>2</v>
      </c>
      <c r="W262" s="3">
        <f t="shared" si="6"/>
        <v>3</v>
      </c>
      <c r="X262" s="3" t="str">
        <f>IFERROR(__xludf.DUMMYFUNCTION("split(B262,"" "")"),"B.")</f>
        <v>B.</v>
      </c>
      <c r="Y262" s="3" t="str">
        <f>IFERROR(__xludf.DUMMYFUNCTION("""COMPUTED_VALUE"""),"Nix")</f>
        <v>Nix</v>
      </c>
      <c r="AA262" s="3">
        <v>5.0</v>
      </c>
      <c r="AB262" s="3">
        <f t="shared" si="7"/>
        <v>0</v>
      </c>
      <c r="AC262" s="3">
        <f t="shared" si="8"/>
        <v>1</v>
      </c>
      <c r="AD262" s="3">
        <f t="shared" si="9"/>
        <v>1.538461538</v>
      </c>
      <c r="AE262" s="3">
        <f t="shared" si="10"/>
        <v>1.538461538</v>
      </c>
      <c r="AF262" s="3">
        <f t="shared" si="11"/>
        <v>2.307692308</v>
      </c>
      <c r="AG262" s="3">
        <f t="shared" si="12"/>
        <v>0.09090909091</v>
      </c>
    </row>
    <row r="263">
      <c r="A263" s="1" t="s">
        <v>14</v>
      </c>
      <c r="B263" s="1" t="s">
        <v>464</v>
      </c>
      <c r="C263" s="1" t="s">
        <v>21</v>
      </c>
      <c r="D263" s="1" t="s">
        <v>83</v>
      </c>
      <c r="E263" s="1" t="s">
        <v>165</v>
      </c>
      <c r="F263" s="1" t="s">
        <v>564</v>
      </c>
      <c r="G263" s="1">
        <v>0.5</v>
      </c>
      <c r="H263" s="1" t="s">
        <v>60</v>
      </c>
      <c r="I263" s="1">
        <v>-171.0</v>
      </c>
      <c r="J263" s="1">
        <v>-0.163495070627306</v>
      </c>
      <c r="K263" s="1" t="s">
        <v>61</v>
      </c>
      <c r="L263" s="1" t="s">
        <v>61</v>
      </c>
      <c r="M263" s="1" t="s">
        <v>62</v>
      </c>
      <c r="N263" s="1">
        <v>129.0</v>
      </c>
      <c r="O263" s="1">
        <v>0.0958173106550218</v>
      </c>
      <c r="P263" s="1" t="s">
        <v>61</v>
      </c>
      <c r="Q263" s="1" t="s">
        <v>61</v>
      </c>
      <c r="R263" s="1">
        <f t="shared" si="1"/>
        <v>0.09581731066</v>
      </c>
      <c r="S263" s="1">
        <f t="shared" si="2"/>
        <v>129</v>
      </c>
      <c r="T263" s="1">
        <f t="shared" si="3"/>
        <v>2.29</v>
      </c>
      <c r="U263" s="1">
        <f t="shared" si="4"/>
        <v>0</v>
      </c>
      <c r="V263" s="3">
        <f t="shared" si="5"/>
        <v>2</v>
      </c>
      <c r="W263" s="3">
        <f t="shared" si="6"/>
        <v>1</v>
      </c>
      <c r="X263" s="3" t="str">
        <f>IFERROR(__xludf.DUMMYFUNCTION("split(B263,"" "")"),"B.")</f>
        <v>B.</v>
      </c>
      <c r="Y263" s="3" t="str">
        <f>IFERROR(__xludf.DUMMYFUNCTION("""COMPUTED_VALUE"""),"Nix")</f>
        <v>Nix</v>
      </c>
      <c r="AA263" s="3">
        <v>1.0</v>
      </c>
      <c r="AB263" s="3">
        <f t="shared" si="7"/>
        <v>1</v>
      </c>
      <c r="AC263" s="3">
        <f t="shared" si="8"/>
        <v>0</v>
      </c>
      <c r="AD263" s="3">
        <f t="shared" si="9"/>
        <v>2.58</v>
      </c>
      <c r="AE263" s="3">
        <f t="shared" si="10"/>
        <v>-2</v>
      </c>
      <c r="AF263" s="3">
        <f t="shared" si="11"/>
        <v>-1</v>
      </c>
      <c r="AG263" s="3">
        <f t="shared" si="12"/>
        <v>-1</v>
      </c>
    </row>
    <row r="264">
      <c r="A264" s="1" t="s">
        <v>17</v>
      </c>
      <c r="B264" s="1" t="s">
        <v>464</v>
      </c>
      <c r="C264" s="1" t="s">
        <v>21</v>
      </c>
      <c r="D264" s="1" t="s">
        <v>83</v>
      </c>
      <c r="E264" s="1" t="s">
        <v>165</v>
      </c>
      <c r="F264" s="1" t="s">
        <v>564</v>
      </c>
      <c r="G264" s="1">
        <v>0.5</v>
      </c>
      <c r="H264" s="1" t="s">
        <v>60</v>
      </c>
      <c r="I264" s="1">
        <v>-166.0</v>
      </c>
      <c r="J264" s="1">
        <v>-0.157560150375939</v>
      </c>
      <c r="K264" s="1" t="s">
        <v>61</v>
      </c>
      <c r="L264" s="1" t="s">
        <v>61</v>
      </c>
      <c r="M264" s="1" t="s">
        <v>62</v>
      </c>
      <c r="N264" s="1">
        <v>127.0</v>
      </c>
      <c r="O264" s="1">
        <v>0.0929713656387665</v>
      </c>
      <c r="P264" s="1" t="s">
        <v>61</v>
      </c>
      <c r="Q264" s="1" t="s">
        <v>61</v>
      </c>
      <c r="R264" s="1">
        <f t="shared" si="1"/>
        <v>0.09297136564</v>
      </c>
      <c r="S264" s="1">
        <f t="shared" si="2"/>
        <v>127</v>
      </c>
      <c r="T264" s="1">
        <f t="shared" si="3"/>
        <v>2.27</v>
      </c>
      <c r="U264" s="1">
        <f t="shared" si="4"/>
        <v>0</v>
      </c>
      <c r="V264" s="3">
        <f t="shared" si="5"/>
        <v>2</v>
      </c>
      <c r="W264" s="3">
        <f t="shared" si="6"/>
        <v>1</v>
      </c>
      <c r="X264" s="3" t="str">
        <f>IFERROR(__xludf.DUMMYFUNCTION("split(B264,"" "")"),"B.")</f>
        <v>B.</v>
      </c>
      <c r="Y264" s="3" t="str">
        <f>IFERROR(__xludf.DUMMYFUNCTION("""COMPUTED_VALUE"""),"Nix")</f>
        <v>Nix</v>
      </c>
      <c r="AA264" s="3">
        <v>0.0</v>
      </c>
      <c r="AB264" s="3">
        <f t="shared" si="7"/>
        <v>0</v>
      </c>
      <c r="AC264" s="3">
        <f t="shared" si="8"/>
        <v>1</v>
      </c>
      <c r="AD264" s="3">
        <f t="shared" si="9"/>
        <v>2.54</v>
      </c>
      <c r="AE264" s="3">
        <f t="shared" si="10"/>
        <v>2.54</v>
      </c>
      <c r="AF264" s="3">
        <f t="shared" si="11"/>
        <v>1.27</v>
      </c>
      <c r="AG264" s="3">
        <f t="shared" si="12"/>
        <v>1</v>
      </c>
    </row>
    <row r="265">
      <c r="A265" s="1" t="s">
        <v>12</v>
      </c>
      <c r="B265" s="1" t="s">
        <v>401</v>
      </c>
      <c r="C265" s="1" t="s">
        <v>18</v>
      </c>
      <c r="D265" s="1" t="s">
        <v>83</v>
      </c>
      <c r="E265" s="1" t="s">
        <v>165</v>
      </c>
      <c r="F265" s="1" t="s">
        <v>564</v>
      </c>
      <c r="G265" s="1">
        <v>3.5</v>
      </c>
      <c r="H265" s="1" t="s">
        <v>60</v>
      </c>
      <c r="I265" s="1">
        <v>-138.0</v>
      </c>
      <c r="J265" s="1">
        <v>-0.151731932773109</v>
      </c>
      <c r="K265" s="1" t="s">
        <v>61</v>
      </c>
      <c r="L265" s="1" t="s">
        <v>61</v>
      </c>
      <c r="M265" s="1" t="s">
        <v>62</v>
      </c>
      <c r="N265" s="1">
        <v>106.0</v>
      </c>
      <c r="O265" s="1">
        <v>0.0864631067961164</v>
      </c>
      <c r="P265" s="1" t="s">
        <v>61</v>
      </c>
      <c r="Q265" s="1" t="s">
        <v>61</v>
      </c>
      <c r="R265" s="1">
        <f t="shared" si="1"/>
        <v>0.0864631068</v>
      </c>
      <c r="S265" s="1">
        <f t="shared" si="2"/>
        <v>106</v>
      </c>
      <c r="T265" s="1">
        <f t="shared" si="3"/>
        <v>2.06</v>
      </c>
      <c r="U265" s="1">
        <f t="shared" si="4"/>
        <v>0</v>
      </c>
      <c r="V265" s="3">
        <f t="shared" si="5"/>
        <v>2</v>
      </c>
      <c r="W265" s="3">
        <f t="shared" si="6"/>
        <v>2</v>
      </c>
      <c r="X265" s="3" t="str">
        <f>IFERROR(__xludf.DUMMYFUNCTION("split(B265,"" "")"),"C.")</f>
        <v>C.</v>
      </c>
      <c r="Y265" s="3" t="str">
        <f>IFERROR(__xludf.DUMMYFUNCTION("""COMPUTED_VALUE"""),"Sutton")</f>
        <v>Sutton</v>
      </c>
      <c r="AA265" s="3">
        <v>3.0</v>
      </c>
      <c r="AB265" s="3">
        <f t="shared" si="7"/>
        <v>0</v>
      </c>
      <c r="AC265" s="3">
        <f t="shared" si="8"/>
        <v>1</v>
      </c>
      <c r="AD265" s="3">
        <f t="shared" si="9"/>
        <v>2.12</v>
      </c>
      <c r="AE265" s="3">
        <f t="shared" si="10"/>
        <v>2.12</v>
      </c>
      <c r="AF265" s="3">
        <f t="shared" si="11"/>
        <v>2.12</v>
      </c>
      <c r="AG265" s="3">
        <f t="shared" si="12"/>
        <v>0.1428571429</v>
      </c>
    </row>
    <row r="266">
      <c r="A266" s="1" t="s">
        <v>9</v>
      </c>
      <c r="B266" s="1" t="s">
        <v>422</v>
      </c>
      <c r="C266" s="1" t="s">
        <v>18</v>
      </c>
      <c r="D266" s="1" t="s">
        <v>83</v>
      </c>
      <c r="E266" s="1" t="s">
        <v>165</v>
      </c>
      <c r="F266" s="1" t="s">
        <v>564</v>
      </c>
      <c r="G266" s="1">
        <v>27.5</v>
      </c>
      <c r="H266" s="1" t="s">
        <v>60</v>
      </c>
      <c r="I266" s="1">
        <v>-115.0</v>
      </c>
      <c r="J266" s="1">
        <v>0.0564106296452007</v>
      </c>
      <c r="K266" s="1" t="s">
        <v>61</v>
      </c>
      <c r="L266" s="1" t="s">
        <v>61</v>
      </c>
      <c r="M266" s="1" t="s">
        <v>62</v>
      </c>
      <c r="N266" s="1">
        <v>-117.0</v>
      </c>
      <c r="O266" s="1">
        <v>-0.130479879664747</v>
      </c>
      <c r="P266" s="1" t="s">
        <v>61</v>
      </c>
      <c r="Q266" s="1" t="s">
        <v>61</v>
      </c>
      <c r="R266" s="1">
        <f t="shared" si="1"/>
        <v>0.05641062965</v>
      </c>
      <c r="S266" s="1">
        <f t="shared" si="2"/>
        <v>-115</v>
      </c>
      <c r="T266" s="1">
        <f t="shared" si="3"/>
        <v>1.869565217</v>
      </c>
      <c r="U266" s="1">
        <f t="shared" si="4"/>
        <v>1</v>
      </c>
      <c r="V266" s="3">
        <f t="shared" si="5"/>
        <v>2</v>
      </c>
      <c r="W266" s="3">
        <f t="shared" si="6"/>
        <v>2</v>
      </c>
      <c r="X266" s="3" t="str">
        <f>IFERROR(__xludf.DUMMYFUNCTION("split(B266,"" "")"),"J.")</f>
        <v>J.</v>
      </c>
      <c r="Y266" s="3" t="str">
        <f>IFERROR(__xludf.DUMMYFUNCTION("""COMPUTED_VALUE"""),"Reynolds")</f>
        <v>Reynolds</v>
      </c>
      <c r="AA266" s="3">
        <v>0.0</v>
      </c>
      <c r="AB266" s="3">
        <f t="shared" si="7"/>
        <v>0</v>
      </c>
      <c r="AC266" s="3">
        <f t="shared" si="8"/>
        <v>0</v>
      </c>
      <c r="AD266" s="3">
        <f t="shared" si="9"/>
        <v>1.739130435</v>
      </c>
      <c r="AE266" s="3">
        <f t="shared" si="10"/>
        <v>-2</v>
      </c>
      <c r="AF266" s="3">
        <f t="shared" si="11"/>
        <v>-2</v>
      </c>
      <c r="AG266" s="3">
        <f t="shared" si="12"/>
        <v>-1</v>
      </c>
    </row>
    <row r="267">
      <c r="A267" s="1" t="s">
        <v>12</v>
      </c>
      <c r="B267" s="1" t="s">
        <v>127</v>
      </c>
      <c r="C267" s="1" t="s">
        <v>19</v>
      </c>
      <c r="D267" s="1" t="s">
        <v>83</v>
      </c>
      <c r="E267" s="1" t="s">
        <v>165</v>
      </c>
      <c r="F267" s="1" t="s">
        <v>564</v>
      </c>
      <c r="G267" s="1">
        <v>2.5</v>
      </c>
      <c r="H267" s="1" t="s">
        <v>60</v>
      </c>
      <c r="I267" s="1">
        <v>110.0</v>
      </c>
      <c r="J267" s="1">
        <v>-0.121835928709523</v>
      </c>
      <c r="K267" s="1" t="s">
        <v>61</v>
      </c>
      <c r="L267" s="1" t="s">
        <v>61</v>
      </c>
      <c r="M267" s="1" t="s">
        <v>62</v>
      </c>
      <c r="N267" s="1">
        <v>-145.0</v>
      </c>
      <c r="O267" s="1">
        <v>0.0538016337367347</v>
      </c>
      <c r="P267" s="1" t="s">
        <v>61</v>
      </c>
      <c r="Q267" s="1" t="s">
        <v>61</v>
      </c>
      <c r="R267" s="1">
        <f t="shared" si="1"/>
        <v>0.05380163374</v>
      </c>
      <c r="S267" s="1">
        <f t="shared" si="2"/>
        <v>-145</v>
      </c>
      <c r="T267" s="1">
        <f t="shared" si="3"/>
        <v>1.689655172</v>
      </c>
      <c r="U267" s="1">
        <f t="shared" si="4"/>
        <v>0</v>
      </c>
      <c r="V267" s="3">
        <f t="shared" si="5"/>
        <v>2</v>
      </c>
      <c r="W267" s="3">
        <f t="shared" si="6"/>
        <v>3</v>
      </c>
      <c r="X267" s="3" t="str">
        <f>IFERROR(__xludf.DUMMYFUNCTION("split(B267,"" "")"),"J.")</f>
        <v>J.</v>
      </c>
      <c r="Y267" s="3" t="str">
        <f>IFERROR(__xludf.DUMMYFUNCTION("""COMPUTED_VALUE"""),"Williams")</f>
        <v>Williams</v>
      </c>
      <c r="AA267" s="3">
        <v>2.0</v>
      </c>
      <c r="AB267" s="3">
        <f t="shared" si="7"/>
        <v>0</v>
      </c>
      <c r="AC267" s="3">
        <f t="shared" si="8"/>
        <v>1</v>
      </c>
      <c r="AD267" s="3">
        <f t="shared" si="9"/>
        <v>1.379310345</v>
      </c>
      <c r="AE267" s="3">
        <f t="shared" si="10"/>
        <v>1.379310345</v>
      </c>
      <c r="AF267" s="3">
        <f t="shared" si="11"/>
        <v>2.068965517</v>
      </c>
      <c r="AG267" s="3">
        <f t="shared" si="12"/>
        <v>0.2</v>
      </c>
    </row>
    <row r="268">
      <c r="A268" s="1" t="s">
        <v>12</v>
      </c>
      <c r="B268" s="1" t="s">
        <v>312</v>
      </c>
      <c r="C268" s="1" t="s">
        <v>20</v>
      </c>
      <c r="D268" s="1" t="s">
        <v>83</v>
      </c>
      <c r="E268" s="1" t="s">
        <v>165</v>
      </c>
      <c r="F268" s="1" t="s">
        <v>564</v>
      </c>
      <c r="G268" s="1">
        <v>2.5</v>
      </c>
      <c r="H268" s="1" t="s">
        <v>60</v>
      </c>
      <c r="I268" s="1">
        <v>230.0</v>
      </c>
      <c r="J268" s="1">
        <v>0.0254718605030302</v>
      </c>
      <c r="K268" s="1" t="s">
        <v>61</v>
      </c>
      <c r="L268" s="1" t="s">
        <v>61</v>
      </c>
      <c r="M268" s="1" t="s">
        <v>62</v>
      </c>
      <c r="N268" s="1">
        <v>-325.0</v>
      </c>
      <c r="O268" s="1">
        <v>-0.093208256152941</v>
      </c>
      <c r="P268" s="1" t="s">
        <v>61</v>
      </c>
      <c r="Q268" s="1" t="s">
        <v>61</v>
      </c>
      <c r="R268" s="1">
        <f t="shared" si="1"/>
        <v>0.0254718605</v>
      </c>
      <c r="S268" s="1">
        <f t="shared" si="2"/>
        <v>230</v>
      </c>
      <c r="T268" s="1">
        <f t="shared" si="3"/>
        <v>3.3</v>
      </c>
      <c r="U268" s="1">
        <f t="shared" si="4"/>
        <v>1</v>
      </c>
      <c r="V268" s="3">
        <f t="shared" si="5"/>
        <v>1</v>
      </c>
      <c r="W268" s="3">
        <f t="shared" si="6"/>
        <v>1</v>
      </c>
      <c r="X268" s="3" t="str">
        <f>IFERROR(__xludf.DUMMYFUNCTION("split(B268,"" "")"),"G.")</f>
        <v>G.</v>
      </c>
      <c r="Y268" s="3" t="str">
        <f>IFERROR(__xludf.DUMMYFUNCTION("""COMPUTED_VALUE"""),"Dulcich")</f>
        <v>Dulcich</v>
      </c>
      <c r="AA268" s="3">
        <v>0.0</v>
      </c>
      <c r="AB268" s="3">
        <f t="shared" si="7"/>
        <v>0</v>
      </c>
      <c r="AC268" s="3">
        <f t="shared" si="8"/>
        <v>0</v>
      </c>
      <c r="AD268" s="3">
        <f t="shared" si="9"/>
        <v>2.3</v>
      </c>
      <c r="AE268" s="3">
        <f t="shared" si="10"/>
        <v>-1</v>
      </c>
      <c r="AF268" s="3">
        <f t="shared" si="11"/>
        <v>-1</v>
      </c>
      <c r="AG268" s="3">
        <f t="shared" si="12"/>
        <v>-1</v>
      </c>
    </row>
    <row r="269">
      <c r="A269" s="1" t="s">
        <v>11</v>
      </c>
      <c r="B269" s="1" t="s">
        <v>401</v>
      </c>
      <c r="C269" s="1" t="s">
        <v>18</v>
      </c>
      <c r="D269" s="1" t="s">
        <v>83</v>
      </c>
      <c r="E269" s="1" t="s">
        <v>165</v>
      </c>
      <c r="F269" s="1" t="s">
        <v>564</v>
      </c>
      <c r="G269" s="1">
        <v>43.5</v>
      </c>
      <c r="H269" s="1" t="s">
        <v>60</v>
      </c>
      <c r="I269" s="1">
        <v>-114.0</v>
      </c>
      <c r="J269" s="1">
        <v>-0.0910511059389719</v>
      </c>
      <c r="K269" s="1" t="s">
        <v>61</v>
      </c>
      <c r="L269" s="1" t="s">
        <v>61</v>
      </c>
      <c r="M269" s="1" t="s">
        <v>62</v>
      </c>
      <c r="N269" s="1">
        <v>-115.0</v>
      </c>
      <c r="O269" s="1">
        <v>0.023476189317</v>
      </c>
      <c r="P269" s="1" t="s">
        <v>61</v>
      </c>
      <c r="Q269" s="1" t="s">
        <v>61</v>
      </c>
      <c r="R269" s="1">
        <f t="shared" si="1"/>
        <v>0.02347618932</v>
      </c>
      <c r="S269" s="1">
        <f t="shared" si="2"/>
        <v>-115</v>
      </c>
      <c r="T269" s="1">
        <f t="shared" si="3"/>
        <v>1.869565217</v>
      </c>
      <c r="U269" s="1">
        <f t="shared" si="4"/>
        <v>0</v>
      </c>
      <c r="V269" s="3">
        <f t="shared" si="5"/>
        <v>1</v>
      </c>
      <c r="W269" s="3">
        <f t="shared" si="6"/>
        <v>2</v>
      </c>
      <c r="X269" s="3" t="str">
        <f>IFERROR(__xludf.DUMMYFUNCTION("split(B269,"" "")"),"C.")</f>
        <v>C.</v>
      </c>
      <c r="Y269" s="3" t="str">
        <f>IFERROR(__xludf.DUMMYFUNCTION("""COMPUTED_VALUE"""),"Sutton")</f>
        <v>Sutton</v>
      </c>
      <c r="AA269" s="3">
        <v>60.0</v>
      </c>
      <c r="AB269" s="3">
        <f t="shared" si="7"/>
        <v>1</v>
      </c>
      <c r="AC269" s="3">
        <f t="shared" si="8"/>
        <v>0</v>
      </c>
      <c r="AD269" s="3">
        <f t="shared" si="9"/>
        <v>0.8695652174</v>
      </c>
      <c r="AE269" s="3">
        <f t="shared" si="10"/>
        <v>-1</v>
      </c>
      <c r="AF269" s="3">
        <f t="shared" si="11"/>
        <v>-2</v>
      </c>
      <c r="AG269" s="3">
        <f t="shared" si="12"/>
        <v>-0.3793103448</v>
      </c>
    </row>
    <row r="270">
      <c r="A270" s="1" t="s">
        <v>10</v>
      </c>
      <c r="B270" s="1" t="s">
        <v>464</v>
      </c>
      <c r="C270" s="1" t="s">
        <v>21</v>
      </c>
      <c r="D270" s="1" t="s">
        <v>83</v>
      </c>
      <c r="E270" s="1" t="s">
        <v>165</v>
      </c>
      <c r="F270" s="1" t="s">
        <v>564</v>
      </c>
      <c r="G270" s="1">
        <v>25.5</v>
      </c>
      <c r="H270" s="1" t="s">
        <v>60</v>
      </c>
      <c r="I270" s="1">
        <v>-113.0</v>
      </c>
      <c r="J270" s="1">
        <v>-0.0870151300087846</v>
      </c>
      <c r="K270" s="1" t="s">
        <v>61</v>
      </c>
      <c r="L270" s="1" t="s">
        <v>61</v>
      </c>
      <c r="M270" s="1" t="s">
        <v>62</v>
      </c>
      <c r="N270" s="1">
        <v>-117.0</v>
      </c>
      <c r="O270" s="1">
        <v>0.0173131546059411</v>
      </c>
      <c r="P270" s="1" t="s">
        <v>61</v>
      </c>
      <c r="Q270" s="1" t="s">
        <v>61</v>
      </c>
      <c r="R270" s="1">
        <f t="shared" si="1"/>
        <v>0.01731315461</v>
      </c>
      <c r="S270" s="1">
        <f t="shared" si="2"/>
        <v>-117</v>
      </c>
      <c r="T270" s="1">
        <f t="shared" si="3"/>
        <v>1.854700855</v>
      </c>
      <c r="U270" s="1">
        <f t="shared" si="4"/>
        <v>0</v>
      </c>
      <c r="V270" s="3">
        <f t="shared" si="5"/>
        <v>1</v>
      </c>
      <c r="W270" s="3">
        <f t="shared" si="6"/>
        <v>2</v>
      </c>
      <c r="X270" s="3" t="str">
        <f>IFERROR(__xludf.DUMMYFUNCTION("split(B270,"" "")"),"B.")</f>
        <v>B.</v>
      </c>
      <c r="Y270" s="3" t="str">
        <f>IFERROR(__xludf.DUMMYFUNCTION("""COMPUTED_VALUE"""),"Nix")</f>
        <v>Nix</v>
      </c>
      <c r="AA270" s="3">
        <v>3.0</v>
      </c>
      <c r="AB270" s="3">
        <f t="shared" si="7"/>
        <v>0</v>
      </c>
      <c r="AC270" s="3">
        <f t="shared" si="8"/>
        <v>1</v>
      </c>
      <c r="AD270" s="3">
        <f t="shared" si="9"/>
        <v>0.8547008547</v>
      </c>
      <c r="AE270" s="3">
        <f t="shared" si="10"/>
        <v>0.8547008547</v>
      </c>
      <c r="AF270" s="3">
        <f t="shared" si="11"/>
        <v>1.709401709</v>
      </c>
      <c r="AG270" s="3">
        <f t="shared" si="12"/>
        <v>0.8823529412</v>
      </c>
    </row>
    <row r="271">
      <c r="A271" s="1" t="s">
        <v>12</v>
      </c>
      <c r="B271" s="1" t="s">
        <v>422</v>
      </c>
      <c r="C271" s="1" t="s">
        <v>18</v>
      </c>
      <c r="D271" s="1" t="s">
        <v>83</v>
      </c>
      <c r="E271" s="1" t="s">
        <v>165</v>
      </c>
      <c r="F271" s="1" t="s">
        <v>564</v>
      </c>
      <c r="G271" s="1">
        <v>2.5</v>
      </c>
      <c r="H271" s="1" t="s">
        <v>60</v>
      </c>
      <c r="I271" s="1">
        <v>117.0</v>
      </c>
      <c r="J271" s="1">
        <v>-0.0838727459308755</v>
      </c>
      <c r="K271" s="1" t="s">
        <v>61</v>
      </c>
      <c r="L271" s="1" t="s">
        <v>61</v>
      </c>
      <c r="M271" s="1" t="s">
        <v>62</v>
      </c>
      <c r="N271" s="1">
        <v>-154.0</v>
      </c>
      <c r="O271" s="1">
        <v>0.016736975015748</v>
      </c>
      <c r="P271" s="1" t="s">
        <v>61</v>
      </c>
      <c r="Q271" s="1" t="s">
        <v>61</v>
      </c>
      <c r="R271" s="1">
        <f t="shared" si="1"/>
        <v>0.01673697502</v>
      </c>
      <c r="S271" s="1">
        <f t="shared" si="2"/>
        <v>-154</v>
      </c>
      <c r="T271" s="1">
        <f t="shared" si="3"/>
        <v>1.649350649</v>
      </c>
      <c r="U271" s="1">
        <f t="shared" si="4"/>
        <v>0</v>
      </c>
      <c r="V271" s="3">
        <f t="shared" si="5"/>
        <v>1</v>
      </c>
      <c r="W271" s="3">
        <f t="shared" si="6"/>
        <v>3</v>
      </c>
      <c r="X271" s="3" t="str">
        <f>IFERROR(__xludf.DUMMYFUNCTION("split(B271,"" "")"),"J.")</f>
        <v>J.</v>
      </c>
      <c r="Y271" s="3" t="str">
        <f>IFERROR(__xludf.DUMMYFUNCTION("""COMPUTED_VALUE"""),"Reynolds")</f>
        <v>Reynolds</v>
      </c>
      <c r="AA271" s="3">
        <v>0.0</v>
      </c>
      <c r="AB271" s="3">
        <f t="shared" si="7"/>
        <v>0</v>
      </c>
      <c r="AC271" s="3">
        <f t="shared" si="8"/>
        <v>1</v>
      </c>
      <c r="AD271" s="3">
        <f t="shared" si="9"/>
        <v>0.6493506494</v>
      </c>
      <c r="AE271" s="3">
        <f t="shared" si="10"/>
        <v>0.6493506494</v>
      </c>
      <c r="AF271" s="3">
        <f t="shared" si="11"/>
        <v>1.948051948</v>
      </c>
      <c r="AG271" s="3">
        <f t="shared" si="12"/>
        <v>1</v>
      </c>
    </row>
    <row r="272">
      <c r="A272" s="1" t="s">
        <v>15</v>
      </c>
      <c r="B272" s="1" t="s">
        <v>464</v>
      </c>
      <c r="C272" s="1" t="s">
        <v>21</v>
      </c>
      <c r="D272" s="1" t="s">
        <v>83</v>
      </c>
      <c r="E272" s="1" t="s">
        <v>165</v>
      </c>
      <c r="F272" s="1" t="s">
        <v>564</v>
      </c>
      <c r="G272" s="1">
        <v>18.5</v>
      </c>
      <c r="H272" s="1" t="s">
        <v>60</v>
      </c>
      <c r="I272" s="1">
        <v>-113.0</v>
      </c>
      <c r="J272" s="1">
        <v>0.00687933887323943</v>
      </c>
      <c r="K272" s="1" t="s">
        <v>61</v>
      </c>
      <c r="L272" s="1" t="s">
        <v>61</v>
      </c>
      <c r="M272" s="1" t="s">
        <v>62</v>
      </c>
      <c r="N272" s="1">
        <v>-116.0</v>
      </c>
      <c r="O272" s="1">
        <v>-0.0744465881888888</v>
      </c>
      <c r="P272" s="1" t="s">
        <v>61</v>
      </c>
      <c r="Q272" s="1" t="s">
        <v>61</v>
      </c>
      <c r="R272" s="1">
        <f t="shared" si="1"/>
        <v>0.006879338873</v>
      </c>
      <c r="S272" s="1">
        <f t="shared" si="2"/>
        <v>-113</v>
      </c>
      <c r="T272" s="1">
        <f t="shared" si="3"/>
        <v>1.884955752</v>
      </c>
      <c r="U272" s="1">
        <f t="shared" si="4"/>
        <v>1</v>
      </c>
      <c r="V272" s="3">
        <f t="shared" si="5"/>
        <v>1</v>
      </c>
      <c r="W272" s="3">
        <f t="shared" si="6"/>
        <v>2</v>
      </c>
      <c r="X272" s="3" t="str">
        <f>IFERROR(__xludf.DUMMYFUNCTION("split(B272,"" "")"),"B.")</f>
        <v>B.</v>
      </c>
      <c r="Y272" s="3" t="str">
        <f>IFERROR(__xludf.DUMMYFUNCTION("""COMPUTED_VALUE"""),"Nix")</f>
        <v>Nix</v>
      </c>
      <c r="AA272" s="3">
        <v>12.0</v>
      </c>
      <c r="AB272" s="3">
        <f t="shared" si="7"/>
        <v>0</v>
      </c>
      <c r="AC272" s="3">
        <f t="shared" si="8"/>
        <v>0</v>
      </c>
      <c r="AD272" s="3">
        <f t="shared" si="9"/>
        <v>0.8849557522</v>
      </c>
      <c r="AE272" s="3">
        <f t="shared" si="10"/>
        <v>-1</v>
      </c>
      <c r="AF272" s="3">
        <f t="shared" si="11"/>
        <v>-2</v>
      </c>
      <c r="AG272" s="3">
        <f t="shared" si="12"/>
        <v>-0.3513513514</v>
      </c>
    </row>
    <row r="273">
      <c r="A273" s="1" t="s">
        <v>13</v>
      </c>
      <c r="B273" s="1" t="s">
        <v>464</v>
      </c>
      <c r="C273" s="1" t="s">
        <v>21</v>
      </c>
      <c r="D273" s="1" t="s">
        <v>83</v>
      </c>
      <c r="E273" s="1" t="s">
        <v>165</v>
      </c>
      <c r="F273" s="1" t="s">
        <v>564</v>
      </c>
      <c r="G273" s="1">
        <v>186.5</v>
      </c>
      <c r="H273" s="1" t="s">
        <v>60</v>
      </c>
      <c r="I273" s="1">
        <v>-114.0</v>
      </c>
      <c r="J273" s="1">
        <v>0.00445580046728966</v>
      </c>
      <c r="K273" s="1" t="s">
        <v>61</v>
      </c>
      <c r="L273" s="1" t="s">
        <v>61</v>
      </c>
      <c r="M273" s="1" t="s">
        <v>62</v>
      </c>
      <c r="N273" s="1">
        <v>-114.0</v>
      </c>
      <c r="O273" s="1">
        <v>-0.06981561253271</v>
      </c>
      <c r="P273" s="1" t="s">
        <v>61</v>
      </c>
      <c r="Q273" s="1" t="s">
        <v>61</v>
      </c>
      <c r="R273" s="1">
        <f t="shared" si="1"/>
        <v>0.004455800467</v>
      </c>
      <c r="S273" s="1">
        <f t="shared" si="2"/>
        <v>-114</v>
      </c>
      <c r="T273" s="1">
        <f t="shared" si="3"/>
        <v>1.877192982</v>
      </c>
      <c r="U273" s="1">
        <f t="shared" si="4"/>
        <v>1</v>
      </c>
      <c r="V273" s="3">
        <f t="shared" si="5"/>
        <v>1</v>
      </c>
      <c r="W273" s="3">
        <f t="shared" si="6"/>
        <v>2</v>
      </c>
      <c r="X273" s="3" t="str">
        <f>IFERROR(__xludf.DUMMYFUNCTION("split(B273,"" "")"),"B.")</f>
        <v>B.</v>
      </c>
      <c r="Y273" s="3" t="str">
        <f>IFERROR(__xludf.DUMMYFUNCTION("""COMPUTED_VALUE"""),"Nix")</f>
        <v>Nix</v>
      </c>
      <c r="AA273" s="3">
        <v>60.0</v>
      </c>
      <c r="AB273" s="3">
        <f t="shared" si="7"/>
        <v>0</v>
      </c>
      <c r="AC273" s="3">
        <f t="shared" si="8"/>
        <v>0</v>
      </c>
      <c r="AD273" s="3">
        <f t="shared" si="9"/>
        <v>0.8771929825</v>
      </c>
      <c r="AE273" s="3">
        <f t="shared" si="10"/>
        <v>-1</v>
      </c>
      <c r="AF273" s="3">
        <f t="shared" si="11"/>
        <v>-2</v>
      </c>
      <c r="AG273" s="3">
        <f t="shared" si="12"/>
        <v>-0.6782841823</v>
      </c>
    </row>
    <row r="274">
      <c r="A274" s="1" t="s">
        <v>9</v>
      </c>
      <c r="B274" s="1" t="s">
        <v>571</v>
      </c>
      <c r="C274" s="1" t="s">
        <v>18</v>
      </c>
      <c r="D274" s="1" t="s">
        <v>88</v>
      </c>
      <c r="E274" s="1" t="s">
        <v>147</v>
      </c>
      <c r="F274" s="1" t="s">
        <v>567</v>
      </c>
      <c r="G274" s="1">
        <v>9.5</v>
      </c>
      <c r="H274" s="1" t="s">
        <v>60</v>
      </c>
      <c r="I274" s="1">
        <v>-110.0</v>
      </c>
      <c r="J274" s="1">
        <v>0.20490891139112</v>
      </c>
      <c r="K274" s="1" t="s">
        <v>61</v>
      </c>
      <c r="L274" s="1" t="s">
        <v>61</v>
      </c>
      <c r="M274" s="1" t="s">
        <v>62</v>
      </c>
      <c r="N274" s="1">
        <v>-120.0</v>
      </c>
      <c r="O274" s="1">
        <v>-0.274117480320737</v>
      </c>
      <c r="P274" s="1" t="s">
        <v>61</v>
      </c>
      <c r="Q274" s="1" t="s">
        <v>61</v>
      </c>
      <c r="R274" s="1">
        <f t="shared" si="1"/>
        <v>0.2049089114</v>
      </c>
      <c r="S274" s="1">
        <f t="shared" si="2"/>
        <v>-110</v>
      </c>
      <c r="T274" s="1">
        <f t="shared" si="3"/>
        <v>1.909090909</v>
      </c>
      <c r="U274" s="1">
        <f t="shared" si="4"/>
        <v>1</v>
      </c>
      <c r="V274" s="3">
        <f t="shared" si="5"/>
        <v>3</v>
      </c>
      <c r="W274" s="3">
        <f t="shared" si="6"/>
        <v>2</v>
      </c>
      <c r="X274" s="3" t="str">
        <f>IFERROR(__xludf.DUMMYFUNCTION("split(B274,"" "")"),"K.")</f>
        <v>K.</v>
      </c>
      <c r="Y274" s="3" t="str">
        <f>IFERROR(__xludf.DUMMYFUNCTION("""COMPUTED_VALUE"""),"Turpin")</f>
        <v>Turpin</v>
      </c>
      <c r="AA274" s="3">
        <v>0.0</v>
      </c>
      <c r="AB274" s="3">
        <f t="shared" si="7"/>
        <v>0</v>
      </c>
      <c r="AC274" s="3">
        <f t="shared" si="8"/>
        <v>0</v>
      </c>
      <c r="AD274" s="3">
        <f t="shared" si="9"/>
        <v>2.727272727</v>
      </c>
      <c r="AE274" s="3">
        <f t="shared" si="10"/>
        <v>-3</v>
      </c>
      <c r="AF274" s="3">
        <f t="shared" si="11"/>
        <v>-2</v>
      </c>
      <c r="AG274" s="3">
        <f t="shared" si="12"/>
        <v>-1</v>
      </c>
    </row>
    <row r="275">
      <c r="A275" s="1" t="s">
        <v>8</v>
      </c>
      <c r="B275" s="1" t="s">
        <v>152</v>
      </c>
      <c r="C275" s="1" t="s">
        <v>19</v>
      </c>
      <c r="D275" s="1" t="s">
        <v>88</v>
      </c>
      <c r="E275" s="1" t="s">
        <v>147</v>
      </c>
      <c r="F275" s="1" t="s">
        <v>567</v>
      </c>
      <c r="G275" s="1">
        <v>9.5</v>
      </c>
      <c r="H275" s="1" t="s">
        <v>60</v>
      </c>
      <c r="I275" s="1">
        <v>-129.0</v>
      </c>
      <c r="J275" s="1">
        <v>-0.252629789817801</v>
      </c>
      <c r="K275" s="1" t="s">
        <v>61</v>
      </c>
      <c r="L275" s="1" t="s">
        <v>61</v>
      </c>
      <c r="M275" s="1" t="s">
        <v>62</v>
      </c>
      <c r="N275" s="1">
        <v>-103.0</v>
      </c>
      <c r="O275" s="1">
        <v>0.181907441006526</v>
      </c>
      <c r="P275" s="1" t="s">
        <v>61</v>
      </c>
      <c r="Q275" s="1" t="s">
        <v>61</v>
      </c>
      <c r="R275" s="1">
        <f t="shared" si="1"/>
        <v>0.181907441</v>
      </c>
      <c r="S275" s="1">
        <f t="shared" si="2"/>
        <v>-103</v>
      </c>
      <c r="T275" s="1">
        <f t="shared" si="3"/>
        <v>1.970873786</v>
      </c>
      <c r="U275" s="1">
        <f t="shared" si="4"/>
        <v>0</v>
      </c>
      <c r="V275" s="3">
        <f t="shared" si="5"/>
        <v>3</v>
      </c>
      <c r="W275" s="3">
        <f t="shared" si="6"/>
        <v>2</v>
      </c>
      <c r="X275" s="3" t="str">
        <f>IFERROR(__xludf.DUMMYFUNCTION("split(B275,"" "")"),"R.")</f>
        <v>R.</v>
      </c>
      <c r="Y275" s="3" t="str">
        <f>IFERROR(__xludf.DUMMYFUNCTION("""COMPUTED_VALUE"""),"Dowdle")</f>
        <v>Dowdle</v>
      </c>
      <c r="AA275" s="3">
        <v>11.0</v>
      </c>
      <c r="AB275" s="3">
        <f t="shared" si="7"/>
        <v>1</v>
      </c>
      <c r="AC275" s="3">
        <f t="shared" si="8"/>
        <v>0</v>
      </c>
      <c r="AD275" s="3">
        <f t="shared" si="9"/>
        <v>2.912621359</v>
      </c>
      <c r="AE275" s="3">
        <f t="shared" si="10"/>
        <v>-3</v>
      </c>
      <c r="AF275" s="3">
        <f t="shared" si="11"/>
        <v>-2</v>
      </c>
      <c r="AG275" s="3">
        <f t="shared" si="12"/>
        <v>-0.1578947368</v>
      </c>
    </row>
    <row r="276">
      <c r="A276" s="1" t="s">
        <v>12</v>
      </c>
      <c r="B276" s="1" t="s">
        <v>395</v>
      </c>
      <c r="C276" s="1" t="s">
        <v>18</v>
      </c>
      <c r="D276" s="1" t="s">
        <v>88</v>
      </c>
      <c r="E276" s="1" t="s">
        <v>147</v>
      </c>
      <c r="F276" s="1" t="s">
        <v>567</v>
      </c>
      <c r="G276" s="1">
        <v>6.5</v>
      </c>
      <c r="H276" s="1" t="s">
        <v>60</v>
      </c>
      <c r="I276" s="1">
        <v>-108.0</v>
      </c>
      <c r="J276" s="1">
        <v>0.158317307692307</v>
      </c>
      <c r="K276" s="1" t="s">
        <v>61</v>
      </c>
      <c r="L276" s="1" t="s">
        <v>61</v>
      </c>
      <c r="M276" s="1" t="s">
        <v>62</v>
      </c>
      <c r="N276" s="1">
        <v>-120.0</v>
      </c>
      <c r="O276" s="1">
        <v>-0.22300909090909</v>
      </c>
      <c r="P276" s="1" t="s">
        <v>61</v>
      </c>
      <c r="Q276" s="1" t="s">
        <v>61</v>
      </c>
      <c r="R276" s="1">
        <f t="shared" si="1"/>
        <v>0.1583173077</v>
      </c>
      <c r="S276" s="1">
        <f t="shared" si="2"/>
        <v>-108</v>
      </c>
      <c r="T276" s="1">
        <f t="shared" si="3"/>
        <v>1.925925926</v>
      </c>
      <c r="U276" s="1">
        <f t="shared" si="4"/>
        <v>1</v>
      </c>
      <c r="V276" s="3">
        <f t="shared" si="5"/>
        <v>3</v>
      </c>
      <c r="W276" s="3">
        <f t="shared" si="6"/>
        <v>2</v>
      </c>
      <c r="X276" s="3" t="str">
        <f>IFERROR(__xludf.DUMMYFUNCTION("split(B276,"" "")"),"C.")</f>
        <v>C.</v>
      </c>
      <c r="Y276" s="3" t="str">
        <f>IFERROR(__xludf.DUMMYFUNCTION("""COMPUTED_VALUE"""),"Lamb")</f>
        <v>Lamb</v>
      </c>
      <c r="AA276" s="3">
        <v>7.0</v>
      </c>
      <c r="AB276" s="3">
        <f t="shared" si="7"/>
        <v>1</v>
      </c>
      <c r="AC276" s="3">
        <f t="shared" si="8"/>
        <v>1</v>
      </c>
      <c r="AD276" s="3">
        <f t="shared" si="9"/>
        <v>2.777777778</v>
      </c>
      <c r="AE276" s="3">
        <f t="shared" si="10"/>
        <v>2.777777778</v>
      </c>
      <c r="AF276" s="3">
        <f t="shared" si="11"/>
        <v>1.851851852</v>
      </c>
      <c r="AG276" s="3">
        <f t="shared" si="12"/>
        <v>0.07692307692</v>
      </c>
    </row>
    <row r="277">
      <c r="A277" s="1" t="s">
        <v>8</v>
      </c>
      <c r="B277" s="1" t="s">
        <v>251</v>
      </c>
      <c r="C277" s="1" t="s">
        <v>21</v>
      </c>
      <c r="D277" s="1" t="s">
        <v>88</v>
      </c>
      <c r="E277" s="1" t="s">
        <v>147</v>
      </c>
      <c r="F277" s="1" t="s">
        <v>567</v>
      </c>
      <c r="G277" s="1">
        <v>2.5</v>
      </c>
      <c r="H277" s="1" t="s">
        <v>60</v>
      </c>
      <c r="I277" s="1">
        <v>-148.0</v>
      </c>
      <c r="J277" s="1">
        <v>-0.207487861186241</v>
      </c>
      <c r="K277" s="1" t="s">
        <v>61</v>
      </c>
      <c r="L277" s="1" t="s">
        <v>61</v>
      </c>
      <c r="M277" s="1" t="s">
        <v>62</v>
      </c>
      <c r="N277" s="1">
        <v>112.0</v>
      </c>
      <c r="O277" s="1">
        <v>0.139000894217867</v>
      </c>
      <c r="P277" s="1" t="s">
        <v>61</v>
      </c>
      <c r="Q277" s="1" t="s">
        <v>61</v>
      </c>
      <c r="R277" s="1">
        <f t="shared" si="1"/>
        <v>0.1390008942</v>
      </c>
      <c r="S277" s="1">
        <f t="shared" si="2"/>
        <v>112</v>
      </c>
      <c r="T277" s="1">
        <f t="shared" si="3"/>
        <v>2.12</v>
      </c>
      <c r="U277" s="1">
        <f t="shared" si="4"/>
        <v>0</v>
      </c>
      <c r="V277" s="3">
        <f t="shared" si="5"/>
        <v>3</v>
      </c>
      <c r="W277" s="3">
        <f t="shared" si="6"/>
        <v>1</v>
      </c>
      <c r="X277" s="3" t="str">
        <f>IFERROR(__xludf.DUMMYFUNCTION("split(B277,"" "")"),"D.")</f>
        <v>D.</v>
      </c>
      <c r="Y277" s="3" t="str">
        <f>IFERROR(__xludf.DUMMYFUNCTION("""COMPUTED_VALUE"""),"Prescott")</f>
        <v>Prescott</v>
      </c>
      <c r="AA277" s="3">
        <v>2.0</v>
      </c>
      <c r="AB277" s="3">
        <f t="shared" si="7"/>
        <v>0</v>
      </c>
      <c r="AC277" s="3">
        <f t="shared" si="8"/>
        <v>1</v>
      </c>
      <c r="AD277" s="3">
        <f t="shared" si="9"/>
        <v>3.36</v>
      </c>
      <c r="AE277" s="3">
        <f t="shared" si="10"/>
        <v>3.36</v>
      </c>
      <c r="AF277" s="3">
        <f t="shared" si="11"/>
        <v>1.12</v>
      </c>
      <c r="AG277" s="3">
        <f t="shared" si="12"/>
        <v>0.2</v>
      </c>
    </row>
    <row r="278">
      <c r="A278" s="1" t="s">
        <v>11</v>
      </c>
      <c r="B278" s="1" t="s">
        <v>572</v>
      </c>
      <c r="C278" s="1" t="s">
        <v>18</v>
      </c>
      <c r="D278" s="1" t="s">
        <v>88</v>
      </c>
      <c r="E278" s="1" t="s">
        <v>147</v>
      </c>
      <c r="F278" s="1" t="s">
        <v>567</v>
      </c>
      <c r="G278" s="1">
        <v>3.5</v>
      </c>
      <c r="H278" s="1" t="s">
        <v>60</v>
      </c>
      <c r="I278" s="1">
        <v>-117.0</v>
      </c>
      <c r="J278" s="1">
        <v>0.122582675055061</v>
      </c>
      <c r="K278" s="1" t="s">
        <v>61</v>
      </c>
      <c r="L278" s="1" t="s">
        <v>61</v>
      </c>
      <c r="M278" s="1" t="s">
        <v>62</v>
      </c>
      <c r="N278" s="1">
        <v>-109.0</v>
      </c>
      <c r="O278" s="1">
        <v>-0.183251770960639</v>
      </c>
      <c r="P278" s="1" t="s">
        <v>61</v>
      </c>
      <c r="Q278" s="1" t="s">
        <v>61</v>
      </c>
      <c r="R278" s="1">
        <f t="shared" si="1"/>
        <v>0.1225826751</v>
      </c>
      <c r="S278" s="1">
        <f t="shared" si="2"/>
        <v>-117</v>
      </c>
      <c r="T278" s="1">
        <f t="shared" si="3"/>
        <v>1.854700855</v>
      </c>
      <c r="U278" s="1">
        <f t="shared" si="4"/>
        <v>1</v>
      </c>
      <c r="V278" s="3">
        <f t="shared" si="5"/>
        <v>3</v>
      </c>
      <c r="W278" s="3">
        <f t="shared" si="6"/>
        <v>2</v>
      </c>
      <c r="X278" s="3" t="str">
        <f>IFERROR(__xludf.DUMMYFUNCTION("split(B278,"" "")"),"J.")</f>
        <v>J.</v>
      </c>
      <c r="Y278" s="3" t="str">
        <f>IFERROR(__xludf.DUMMYFUNCTION("""COMPUTED_VALUE"""),"Brooks")</f>
        <v>Brooks</v>
      </c>
      <c r="AA278" s="3">
        <v>0.0</v>
      </c>
      <c r="AB278" s="3">
        <f t="shared" si="7"/>
        <v>0</v>
      </c>
      <c r="AC278" s="3">
        <f t="shared" si="8"/>
        <v>0</v>
      </c>
      <c r="AD278" s="3">
        <f t="shared" si="9"/>
        <v>2.564102564</v>
      </c>
      <c r="AE278" s="3">
        <f t="shared" si="10"/>
        <v>-3</v>
      </c>
      <c r="AF278" s="3">
        <f t="shared" si="11"/>
        <v>-2</v>
      </c>
      <c r="AG278" s="3">
        <f t="shared" si="12"/>
        <v>-1</v>
      </c>
    </row>
    <row r="279">
      <c r="A279" s="1" t="s">
        <v>12</v>
      </c>
      <c r="B279" s="1" t="s">
        <v>87</v>
      </c>
      <c r="C279" s="1" t="s">
        <v>18</v>
      </c>
      <c r="D279" s="1" t="s">
        <v>88</v>
      </c>
      <c r="E279" s="1" t="s">
        <v>147</v>
      </c>
      <c r="F279" s="1" t="s">
        <v>567</v>
      </c>
      <c r="G279" s="1">
        <v>2.5</v>
      </c>
      <c r="H279" s="1" t="s">
        <v>60</v>
      </c>
      <c r="I279" s="1">
        <v>-111.0</v>
      </c>
      <c r="J279" s="1">
        <v>-0.179911950189573</v>
      </c>
      <c r="K279" s="1" t="s">
        <v>61</v>
      </c>
      <c r="L279" s="1" t="s">
        <v>61</v>
      </c>
      <c r="M279" s="1" t="s">
        <v>62</v>
      </c>
      <c r="N279" s="1">
        <v>-118.0</v>
      </c>
      <c r="O279" s="1">
        <v>0.112567675955045</v>
      </c>
      <c r="P279" s="1" t="s">
        <v>61</v>
      </c>
      <c r="Q279" s="1" t="s">
        <v>61</v>
      </c>
      <c r="R279" s="1">
        <f t="shared" si="1"/>
        <v>0.112567676</v>
      </c>
      <c r="S279" s="1">
        <f t="shared" si="2"/>
        <v>-118</v>
      </c>
      <c r="T279" s="1">
        <f t="shared" si="3"/>
        <v>1.847457627</v>
      </c>
      <c r="U279" s="1">
        <f t="shared" si="4"/>
        <v>0</v>
      </c>
      <c r="V279" s="3">
        <f t="shared" si="5"/>
        <v>3</v>
      </c>
      <c r="W279" s="3">
        <f t="shared" si="6"/>
        <v>3</v>
      </c>
      <c r="X279" s="3" t="str">
        <f>IFERROR(__xludf.DUMMYFUNCTION("split(B279,"" "")"),"J.")</f>
        <v>J.</v>
      </c>
      <c r="Y279" s="3" t="str">
        <f>IFERROR(__xludf.DUMMYFUNCTION("""COMPUTED_VALUE"""),"Tolbert")</f>
        <v>Tolbert</v>
      </c>
      <c r="AA279" s="3">
        <v>3.0</v>
      </c>
      <c r="AB279" s="3">
        <f t="shared" si="7"/>
        <v>1</v>
      </c>
      <c r="AC279" s="3">
        <f t="shared" si="8"/>
        <v>0</v>
      </c>
      <c r="AD279" s="3">
        <f t="shared" si="9"/>
        <v>2.542372881</v>
      </c>
      <c r="AE279" s="3">
        <f t="shared" si="10"/>
        <v>-3</v>
      </c>
      <c r="AF279" s="3">
        <f t="shared" si="11"/>
        <v>-3</v>
      </c>
      <c r="AG279" s="3">
        <f t="shared" si="12"/>
        <v>-0.2</v>
      </c>
    </row>
    <row r="280">
      <c r="A280" s="1" t="s">
        <v>8</v>
      </c>
      <c r="B280" s="1" t="s">
        <v>375</v>
      </c>
      <c r="C280" s="1" t="s">
        <v>19</v>
      </c>
      <c r="D280" s="1" t="s">
        <v>88</v>
      </c>
      <c r="E280" s="1" t="s">
        <v>147</v>
      </c>
      <c r="F280" s="1" t="s">
        <v>567</v>
      </c>
      <c r="G280" s="1">
        <v>7.5</v>
      </c>
      <c r="H280" s="1" t="s">
        <v>60</v>
      </c>
      <c r="I280" s="1">
        <v>-111.0</v>
      </c>
      <c r="J280" s="1">
        <v>-0.168354086427982</v>
      </c>
      <c r="K280" s="1" t="s">
        <v>61</v>
      </c>
      <c r="L280" s="1" t="s">
        <v>61</v>
      </c>
      <c r="M280" s="1" t="s">
        <v>62</v>
      </c>
      <c r="N280" s="1">
        <v>-119.0</v>
      </c>
      <c r="O280" s="1">
        <v>0.0989215961698722</v>
      </c>
      <c r="P280" s="1" t="s">
        <v>61</v>
      </c>
      <c r="Q280" s="1" t="s">
        <v>61</v>
      </c>
      <c r="R280" s="1">
        <f t="shared" si="1"/>
        <v>0.09892159617</v>
      </c>
      <c r="S280" s="1">
        <f t="shared" si="2"/>
        <v>-119</v>
      </c>
      <c r="T280" s="1">
        <f t="shared" si="3"/>
        <v>1.840336134</v>
      </c>
      <c r="U280" s="1">
        <f t="shared" si="4"/>
        <v>0</v>
      </c>
      <c r="V280" s="3">
        <f t="shared" si="5"/>
        <v>2</v>
      </c>
      <c r="W280" s="3">
        <f t="shared" si="6"/>
        <v>3</v>
      </c>
      <c r="X280" s="3" t="str">
        <f>IFERROR(__xludf.DUMMYFUNCTION("split(B280,"" "")"),"E.")</f>
        <v>E.</v>
      </c>
      <c r="Y280" s="3" t="str">
        <f>IFERROR(__xludf.DUMMYFUNCTION("""COMPUTED_VALUE"""),"Elliott")</f>
        <v>Elliott</v>
      </c>
      <c r="AA280" s="3">
        <v>5.0</v>
      </c>
      <c r="AB280" s="3">
        <f t="shared" si="7"/>
        <v>0</v>
      </c>
      <c r="AC280" s="3">
        <f t="shared" si="8"/>
        <v>1</v>
      </c>
      <c r="AD280" s="3">
        <f t="shared" si="9"/>
        <v>1.680672269</v>
      </c>
      <c r="AE280" s="3">
        <f t="shared" si="10"/>
        <v>1.680672269</v>
      </c>
      <c r="AF280" s="3">
        <f t="shared" si="11"/>
        <v>2.521008403</v>
      </c>
      <c r="AG280" s="3">
        <f t="shared" si="12"/>
        <v>0.3333333333</v>
      </c>
    </row>
    <row r="281">
      <c r="A281" s="1" t="s">
        <v>10</v>
      </c>
      <c r="B281" s="1" t="s">
        <v>395</v>
      </c>
      <c r="C281" s="1" t="s">
        <v>18</v>
      </c>
      <c r="D281" s="1" t="s">
        <v>88</v>
      </c>
      <c r="E281" s="1" t="s">
        <v>147</v>
      </c>
      <c r="F281" s="1" t="s">
        <v>567</v>
      </c>
      <c r="G281" s="1">
        <v>0.5</v>
      </c>
      <c r="H281" s="1" t="s">
        <v>60</v>
      </c>
      <c r="I281" s="1">
        <v>-116.0</v>
      </c>
      <c r="J281" s="1">
        <v>0.0987489032885277</v>
      </c>
      <c r="K281" s="1" t="s">
        <v>61</v>
      </c>
      <c r="L281" s="1" t="s">
        <v>61</v>
      </c>
      <c r="M281" s="1" t="s">
        <v>62</v>
      </c>
      <c r="N281" s="1">
        <v>-113.0</v>
      </c>
      <c r="O281" s="1">
        <v>-0.16625654890914</v>
      </c>
      <c r="P281" s="1" t="s">
        <v>61</v>
      </c>
      <c r="Q281" s="1" t="s">
        <v>61</v>
      </c>
      <c r="R281" s="1">
        <f t="shared" si="1"/>
        <v>0.09874890329</v>
      </c>
      <c r="S281" s="1">
        <f t="shared" si="2"/>
        <v>-116</v>
      </c>
      <c r="T281" s="1">
        <f t="shared" si="3"/>
        <v>1.862068966</v>
      </c>
      <c r="U281" s="1">
        <f t="shared" si="4"/>
        <v>1</v>
      </c>
      <c r="V281" s="3">
        <f t="shared" si="5"/>
        <v>2</v>
      </c>
      <c r="W281" s="3">
        <f t="shared" si="6"/>
        <v>2</v>
      </c>
      <c r="X281" s="3" t="str">
        <f>IFERROR(__xludf.DUMMYFUNCTION("split(B281,"" "")"),"C.")</f>
        <v>C.</v>
      </c>
      <c r="Y281" s="3" t="str">
        <f>IFERROR(__xludf.DUMMYFUNCTION("""COMPUTED_VALUE"""),"Lamb")</f>
        <v>Lamb</v>
      </c>
      <c r="AA281" s="3">
        <v>8.0</v>
      </c>
      <c r="AB281" s="3">
        <f t="shared" si="7"/>
        <v>1</v>
      </c>
      <c r="AC281" s="3">
        <f t="shared" si="8"/>
        <v>1</v>
      </c>
      <c r="AD281" s="3">
        <f t="shared" si="9"/>
        <v>1.724137931</v>
      </c>
      <c r="AE281" s="3">
        <f t="shared" si="10"/>
        <v>1.724137931</v>
      </c>
      <c r="AF281" s="3">
        <f t="shared" si="11"/>
        <v>1.724137931</v>
      </c>
      <c r="AG281" s="3">
        <f t="shared" si="12"/>
        <v>15</v>
      </c>
    </row>
    <row r="282">
      <c r="A282" s="1" t="s">
        <v>11</v>
      </c>
      <c r="B282" s="1" t="s">
        <v>571</v>
      </c>
      <c r="C282" s="1" t="s">
        <v>18</v>
      </c>
      <c r="D282" s="1" t="s">
        <v>88</v>
      </c>
      <c r="E282" s="1" t="s">
        <v>147</v>
      </c>
      <c r="F282" s="1" t="s">
        <v>567</v>
      </c>
      <c r="G282" s="1">
        <v>6.5</v>
      </c>
      <c r="H282" s="1" t="s">
        <v>60</v>
      </c>
      <c r="I282" s="1">
        <v>-110.0</v>
      </c>
      <c r="J282" s="1">
        <v>0.0867402604071978</v>
      </c>
      <c r="K282" s="1" t="s">
        <v>61</v>
      </c>
      <c r="L282" s="1" t="s">
        <v>61</v>
      </c>
      <c r="M282" s="1" t="s">
        <v>62</v>
      </c>
      <c r="N282" s="1">
        <v>-117.0</v>
      </c>
      <c r="O282" s="1">
        <v>-0.149687198073956</v>
      </c>
      <c r="P282" s="1" t="s">
        <v>61</v>
      </c>
      <c r="Q282" s="1" t="s">
        <v>61</v>
      </c>
      <c r="R282" s="1">
        <f t="shared" si="1"/>
        <v>0.08674026041</v>
      </c>
      <c r="S282" s="1">
        <f t="shared" si="2"/>
        <v>-110</v>
      </c>
      <c r="T282" s="1">
        <f t="shared" si="3"/>
        <v>1.909090909</v>
      </c>
      <c r="U282" s="1">
        <f t="shared" si="4"/>
        <v>1</v>
      </c>
      <c r="V282" s="3">
        <f t="shared" si="5"/>
        <v>2</v>
      </c>
      <c r="W282" s="3">
        <f t="shared" si="6"/>
        <v>2</v>
      </c>
      <c r="X282" s="3" t="str">
        <f>IFERROR(__xludf.DUMMYFUNCTION("split(B282,"" "")"),"K.")</f>
        <v>K.</v>
      </c>
      <c r="Y282" s="3" t="str">
        <f>IFERROR(__xludf.DUMMYFUNCTION("""COMPUTED_VALUE"""),"Turpin")</f>
        <v>Turpin</v>
      </c>
      <c r="AA282" s="3">
        <v>0.0</v>
      </c>
      <c r="AB282" s="3">
        <f t="shared" si="7"/>
        <v>0</v>
      </c>
      <c r="AC282" s="3">
        <f t="shared" si="8"/>
        <v>0</v>
      </c>
      <c r="AD282" s="3">
        <f t="shared" si="9"/>
        <v>1.818181818</v>
      </c>
      <c r="AE282" s="3">
        <f t="shared" si="10"/>
        <v>-2</v>
      </c>
      <c r="AF282" s="3">
        <f t="shared" si="11"/>
        <v>-2</v>
      </c>
      <c r="AG282" s="3">
        <f t="shared" si="12"/>
        <v>-1</v>
      </c>
    </row>
    <row r="283">
      <c r="A283" s="1" t="s">
        <v>11</v>
      </c>
      <c r="B283" s="1" t="s">
        <v>375</v>
      </c>
      <c r="C283" s="1" t="s">
        <v>19</v>
      </c>
      <c r="D283" s="1" t="s">
        <v>88</v>
      </c>
      <c r="E283" s="1" t="s">
        <v>147</v>
      </c>
      <c r="F283" s="1" t="s">
        <v>567</v>
      </c>
      <c r="G283" s="1">
        <v>6.5</v>
      </c>
      <c r="H283" s="1" t="s">
        <v>60</v>
      </c>
      <c r="I283" s="1">
        <v>-113.0</v>
      </c>
      <c r="J283" s="1">
        <v>0.0867085355167768</v>
      </c>
      <c r="K283" s="1" t="s">
        <v>61</v>
      </c>
      <c r="L283" s="1" t="s">
        <v>61</v>
      </c>
      <c r="M283" s="1" t="s">
        <v>62</v>
      </c>
      <c r="N283" s="1">
        <v>-114.0</v>
      </c>
      <c r="O283" s="1">
        <v>-0.149952077542914</v>
      </c>
      <c r="P283" s="1" t="s">
        <v>61</v>
      </c>
      <c r="Q283" s="1" t="s">
        <v>61</v>
      </c>
      <c r="R283" s="1">
        <f t="shared" si="1"/>
        <v>0.08670853552</v>
      </c>
      <c r="S283" s="1">
        <f t="shared" si="2"/>
        <v>-113</v>
      </c>
      <c r="T283" s="1">
        <f t="shared" si="3"/>
        <v>1.884955752</v>
      </c>
      <c r="U283" s="1">
        <f t="shared" si="4"/>
        <v>1</v>
      </c>
      <c r="V283" s="3">
        <f t="shared" si="5"/>
        <v>2</v>
      </c>
      <c r="W283" s="3">
        <f t="shared" si="6"/>
        <v>2</v>
      </c>
      <c r="X283" s="3" t="str">
        <f>IFERROR(__xludf.DUMMYFUNCTION("split(B283,"" "")"),"E.")</f>
        <v>E.</v>
      </c>
      <c r="Y283" s="3" t="str">
        <f>IFERROR(__xludf.DUMMYFUNCTION("""COMPUTED_VALUE"""),"Elliott")</f>
        <v>Elliott</v>
      </c>
      <c r="AA283" s="3">
        <v>5.0</v>
      </c>
      <c r="AB283" s="3">
        <f t="shared" si="7"/>
        <v>0</v>
      </c>
      <c r="AC283" s="3">
        <f t="shared" si="8"/>
        <v>0</v>
      </c>
      <c r="AD283" s="3">
        <f t="shared" si="9"/>
        <v>1.769911504</v>
      </c>
      <c r="AE283" s="3">
        <f t="shared" si="10"/>
        <v>-2</v>
      </c>
      <c r="AF283" s="3">
        <f t="shared" si="11"/>
        <v>-2</v>
      </c>
      <c r="AG283" s="3">
        <f t="shared" si="12"/>
        <v>-0.2307692308</v>
      </c>
    </row>
    <row r="284">
      <c r="A284" s="1" t="s">
        <v>12</v>
      </c>
      <c r="B284" s="1" t="s">
        <v>152</v>
      </c>
      <c r="C284" s="1" t="s">
        <v>19</v>
      </c>
      <c r="D284" s="1" t="s">
        <v>88</v>
      </c>
      <c r="E284" s="1" t="s">
        <v>147</v>
      </c>
      <c r="F284" s="1" t="s">
        <v>567</v>
      </c>
      <c r="G284" s="1">
        <v>2.5</v>
      </c>
      <c r="H284" s="1" t="s">
        <v>60</v>
      </c>
      <c r="I284" s="1">
        <v>136.0</v>
      </c>
      <c r="J284" s="1">
        <v>-0.151566961047457</v>
      </c>
      <c r="K284" s="1" t="s">
        <v>61</v>
      </c>
      <c r="L284" s="1" t="s">
        <v>61</v>
      </c>
      <c r="M284" s="1" t="s">
        <v>62</v>
      </c>
      <c r="N284" s="1">
        <v>-179.0</v>
      </c>
      <c r="O284" s="1">
        <v>0.0862540771265233</v>
      </c>
      <c r="P284" s="1" t="s">
        <v>61</v>
      </c>
      <c r="Q284" s="1" t="s">
        <v>61</v>
      </c>
      <c r="R284" s="1">
        <f t="shared" si="1"/>
        <v>0.08625407713</v>
      </c>
      <c r="S284" s="1">
        <f t="shared" si="2"/>
        <v>-179</v>
      </c>
      <c r="T284" s="1">
        <f t="shared" si="3"/>
        <v>1.558659218</v>
      </c>
      <c r="U284" s="1">
        <f t="shared" si="4"/>
        <v>0</v>
      </c>
      <c r="V284" s="3">
        <f t="shared" si="5"/>
        <v>2</v>
      </c>
      <c r="W284" s="3">
        <f t="shared" si="6"/>
        <v>3</v>
      </c>
      <c r="X284" s="3" t="str">
        <f>IFERROR(__xludf.DUMMYFUNCTION("split(B284,"" "")"),"R.")</f>
        <v>R.</v>
      </c>
      <c r="Y284" s="3" t="str">
        <f>IFERROR(__xludf.DUMMYFUNCTION("""COMPUTED_VALUE"""),"Dowdle")</f>
        <v>Dowdle</v>
      </c>
      <c r="AA284" s="3">
        <v>1.0</v>
      </c>
      <c r="AB284" s="3">
        <f t="shared" si="7"/>
        <v>0</v>
      </c>
      <c r="AC284" s="3">
        <f t="shared" si="8"/>
        <v>1</v>
      </c>
      <c r="AD284" s="3">
        <f t="shared" si="9"/>
        <v>1.117318436</v>
      </c>
      <c r="AE284" s="3">
        <f t="shared" si="10"/>
        <v>1.117318436</v>
      </c>
      <c r="AF284" s="3">
        <f t="shared" si="11"/>
        <v>1.675977654</v>
      </c>
      <c r="AG284" s="3">
        <f t="shared" si="12"/>
        <v>0.6</v>
      </c>
    </row>
    <row r="285">
      <c r="A285" s="1" t="s">
        <v>14</v>
      </c>
      <c r="B285" s="1" t="s">
        <v>251</v>
      </c>
      <c r="C285" s="1" t="s">
        <v>21</v>
      </c>
      <c r="D285" s="1" t="s">
        <v>88</v>
      </c>
      <c r="E285" s="1" t="s">
        <v>147</v>
      </c>
      <c r="F285" s="1" t="s">
        <v>567</v>
      </c>
      <c r="G285" s="1">
        <v>1.5</v>
      </c>
      <c r="H285" s="1" t="s">
        <v>60</v>
      </c>
      <c r="I285" s="1">
        <v>-167.0</v>
      </c>
      <c r="J285" s="1">
        <v>-0.128730711610486</v>
      </c>
      <c r="K285" s="1" t="s">
        <v>61</v>
      </c>
      <c r="L285" s="1" t="s">
        <v>61</v>
      </c>
      <c r="M285" s="1" t="s">
        <v>62</v>
      </c>
      <c r="N285" s="1">
        <v>131.0</v>
      </c>
      <c r="O285" s="1">
        <v>0.0703562770562771</v>
      </c>
      <c r="P285" s="1" t="s">
        <v>61</v>
      </c>
      <c r="Q285" s="1" t="s">
        <v>61</v>
      </c>
      <c r="R285" s="1">
        <f t="shared" si="1"/>
        <v>0.07035627706</v>
      </c>
      <c r="S285" s="1">
        <f t="shared" si="2"/>
        <v>131</v>
      </c>
      <c r="T285" s="1">
        <f t="shared" si="3"/>
        <v>2.31</v>
      </c>
      <c r="U285" s="1">
        <f t="shared" si="4"/>
        <v>0</v>
      </c>
      <c r="V285" s="3">
        <f t="shared" si="5"/>
        <v>2</v>
      </c>
      <c r="W285" s="3">
        <f t="shared" si="6"/>
        <v>1</v>
      </c>
      <c r="X285" s="3" t="str">
        <f>IFERROR(__xludf.DUMMYFUNCTION("split(B285,"" "")"),"D.")</f>
        <v>D.</v>
      </c>
      <c r="Y285" s="3" t="str">
        <f>IFERROR(__xludf.DUMMYFUNCTION("""COMPUTED_VALUE"""),"Prescott")</f>
        <v>Prescott</v>
      </c>
      <c r="AA285" s="3">
        <v>2.0</v>
      </c>
      <c r="AB285" s="3">
        <f t="shared" si="7"/>
        <v>1</v>
      </c>
      <c r="AC285" s="3">
        <f t="shared" si="8"/>
        <v>0</v>
      </c>
      <c r="AD285" s="3">
        <f t="shared" si="9"/>
        <v>2.62</v>
      </c>
      <c r="AE285" s="3">
        <f t="shared" si="10"/>
        <v>-2</v>
      </c>
      <c r="AF285" s="3">
        <f t="shared" si="11"/>
        <v>-1</v>
      </c>
      <c r="AG285" s="3">
        <f t="shared" si="12"/>
        <v>-0.3333333333</v>
      </c>
    </row>
    <row r="286">
      <c r="A286" s="1" t="s">
        <v>15</v>
      </c>
      <c r="B286" s="1" t="s">
        <v>251</v>
      </c>
      <c r="C286" s="1" t="s">
        <v>21</v>
      </c>
      <c r="D286" s="1" t="s">
        <v>88</v>
      </c>
      <c r="E286" s="1" t="s">
        <v>147</v>
      </c>
      <c r="F286" s="1" t="s">
        <v>567</v>
      </c>
      <c r="G286" s="1">
        <v>23.5</v>
      </c>
      <c r="H286" s="1" t="s">
        <v>60</v>
      </c>
      <c r="I286" s="1">
        <v>-111.0</v>
      </c>
      <c r="J286" s="1">
        <v>0.0480440758293838</v>
      </c>
      <c r="K286" s="1" t="s">
        <v>61</v>
      </c>
      <c r="L286" s="1" t="s">
        <v>61</v>
      </c>
      <c r="M286" s="1" t="s">
        <v>62</v>
      </c>
      <c r="N286" s="1">
        <v>-119.0</v>
      </c>
      <c r="O286" s="1">
        <v>-0.117461643835616</v>
      </c>
      <c r="P286" s="1" t="s">
        <v>61</v>
      </c>
      <c r="Q286" s="1" t="s">
        <v>61</v>
      </c>
      <c r="R286" s="1">
        <f t="shared" si="1"/>
        <v>0.04804407583</v>
      </c>
      <c r="S286" s="1">
        <f t="shared" si="2"/>
        <v>-111</v>
      </c>
      <c r="T286" s="1">
        <f t="shared" si="3"/>
        <v>1.900900901</v>
      </c>
      <c r="U286" s="1">
        <f t="shared" si="4"/>
        <v>1</v>
      </c>
      <c r="V286" s="3">
        <f t="shared" si="5"/>
        <v>1</v>
      </c>
      <c r="W286" s="3">
        <f t="shared" si="6"/>
        <v>2</v>
      </c>
      <c r="X286" s="3" t="str">
        <f>IFERROR(__xludf.DUMMYFUNCTION("split(B286,"" "")"),"D.")</f>
        <v>D.</v>
      </c>
      <c r="Y286" s="3" t="str">
        <f>IFERROR(__xludf.DUMMYFUNCTION("""COMPUTED_VALUE"""),"Prescott")</f>
        <v>Prescott</v>
      </c>
      <c r="AA286" s="3">
        <v>22.0</v>
      </c>
      <c r="AB286" s="3">
        <f t="shared" si="7"/>
        <v>0</v>
      </c>
      <c r="AC286" s="3">
        <f t="shared" si="8"/>
        <v>0</v>
      </c>
      <c r="AD286" s="3">
        <f t="shared" si="9"/>
        <v>0.9009009009</v>
      </c>
      <c r="AE286" s="3">
        <f t="shared" si="10"/>
        <v>-1</v>
      </c>
      <c r="AF286" s="3">
        <f t="shared" si="11"/>
        <v>-2</v>
      </c>
      <c r="AG286" s="3">
        <f t="shared" si="12"/>
        <v>-0.06382978723</v>
      </c>
    </row>
    <row r="287">
      <c r="A287" s="1" t="s">
        <v>10</v>
      </c>
      <c r="B287" s="1" t="s">
        <v>152</v>
      </c>
      <c r="C287" s="1" t="s">
        <v>19</v>
      </c>
      <c r="D287" s="1" t="s">
        <v>88</v>
      </c>
      <c r="E287" s="1" t="s">
        <v>147</v>
      </c>
      <c r="F287" s="1" t="s">
        <v>567</v>
      </c>
      <c r="G287" s="1">
        <v>41.5</v>
      </c>
      <c r="H287" s="1" t="s">
        <v>60</v>
      </c>
      <c r="I287" s="1">
        <v>-114.0</v>
      </c>
      <c r="J287" s="1">
        <v>-0.115100271249841</v>
      </c>
      <c r="K287" s="1" t="s">
        <v>61</v>
      </c>
      <c r="L287" s="1" t="s">
        <v>61</v>
      </c>
      <c r="M287" s="1" t="s">
        <v>62</v>
      </c>
      <c r="N287" s="1">
        <v>-118.0</v>
      </c>
      <c r="O287" s="1">
        <v>0.0411033422465407</v>
      </c>
      <c r="P287" s="1" t="s">
        <v>61</v>
      </c>
      <c r="Q287" s="1" t="s">
        <v>61</v>
      </c>
      <c r="R287" s="1">
        <f t="shared" si="1"/>
        <v>0.04110334225</v>
      </c>
      <c r="S287" s="1">
        <f t="shared" si="2"/>
        <v>-118</v>
      </c>
      <c r="T287" s="1">
        <f t="shared" si="3"/>
        <v>1.847457627</v>
      </c>
      <c r="U287" s="1">
        <f t="shared" si="4"/>
        <v>0</v>
      </c>
      <c r="V287" s="3">
        <f t="shared" si="5"/>
        <v>1</v>
      </c>
      <c r="W287" s="3">
        <f t="shared" si="6"/>
        <v>3</v>
      </c>
      <c r="X287" s="3" t="str">
        <f>IFERROR(__xludf.DUMMYFUNCTION("split(B287,"" "")"),"R.")</f>
        <v>R.</v>
      </c>
      <c r="Y287" s="3" t="str">
        <f>IFERROR(__xludf.DUMMYFUNCTION("""COMPUTED_VALUE"""),"Dowdle")</f>
        <v>Dowdle</v>
      </c>
      <c r="AA287" s="3">
        <v>46.0</v>
      </c>
      <c r="AB287" s="3">
        <f t="shared" si="7"/>
        <v>1</v>
      </c>
      <c r="AC287" s="3">
        <f t="shared" si="8"/>
        <v>0</v>
      </c>
      <c r="AD287" s="3">
        <f t="shared" si="9"/>
        <v>0.8474576271</v>
      </c>
      <c r="AE287" s="3">
        <f t="shared" si="10"/>
        <v>-1</v>
      </c>
      <c r="AF287" s="3">
        <f t="shared" si="11"/>
        <v>-3</v>
      </c>
      <c r="AG287" s="3">
        <f t="shared" si="12"/>
        <v>-0.1084337349</v>
      </c>
    </row>
    <row r="288">
      <c r="A288" s="1" t="s">
        <v>9</v>
      </c>
      <c r="B288" s="1" t="s">
        <v>375</v>
      </c>
      <c r="C288" s="1" t="s">
        <v>19</v>
      </c>
      <c r="D288" s="1" t="s">
        <v>88</v>
      </c>
      <c r="E288" s="1" t="s">
        <v>147</v>
      </c>
      <c r="F288" s="1" t="s">
        <v>567</v>
      </c>
      <c r="G288" s="1">
        <v>37.5</v>
      </c>
      <c r="H288" s="1" t="s">
        <v>60</v>
      </c>
      <c r="I288" s="1">
        <v>-110.0</v>
      </c>
      <c r="J288" s="1">
        <v>0.0396933603522258</v>
      </c>
      <c r="K288" s="1" t="s">
        <v>61</v>
      </c>
      <c r="L288" s="1" t="s">
        <v>61</v>
      </c>
      <c r="M288" s="1" t="s">
        <v>62</v>
      </c>
      <c r="N288" s="1">
        <v>-123.0</v>
      </c>
      <c r="O288" s="1">
        <v>-0.115009529053721</v>
      </c>
      <c r="P288" s="1" t="s">
        <v>61</v>
      </c>
      <c r="Q288" s="1" t="s">
        <v>61</v>
      </c>
      <c r="R288" s="1">
        <f t="shared" si="1"/>
        <v>0.03969336035</v>
      </c>
      <c r="S288" s="1">
        <f t="shared" si="2"/>
        <v>-110</v>
      </c>
      <c r="T288" s="1">
        <f t="shared" si="3"/>
        <v>1.909090909</v>
      </c>
      <c r="U288" s="1">
        <f t="shared" si="4"/>
        <v>1</v>
      </c>
      <c r="V288" s="3">
        <f t="shared" si="5"/>
        <v>1</v>
      </c>
      <c r="W288" s="3">
        <f t="shared" si="6"/>
        <v>2</v>
      </c>
      <c r="X288" s="3" t="str">
        <f>IFERROR(__xludf.DUMMYFUNCTION("split(B288,"" "")"),"E.")</f>
        <v>E.</v>
      </c>
      <c r="Y288" s="3" t="str">
        <f>IFERROR(__xludf.DUMMYFUNCTION("""COMPUTED_VALUE"""),"Elliott")</f>
        <v>Elliott</v>
      </c>
      <c r="AA288" s="3">
        <v>24.0</v>
      </c>
      <c r="AB288" s="3">
        <f t="shared" si="7"/>
        <v>0</v>
      </c>
      <c r="AC288" s="3">
        <f t="shared" si="8"/>
        <v>0</v>
      </c>
      <c r="AD288" s="3">
        <f t="shared" si="9"/>
        <v>0.9090909091</v>
      </c>
      <c r="AE288" s="3">
        <f t="shared" si="10"/>
        <v>-1</v>
      </c>
      <c r="AF288" s="3">
        <f t="shared" si="11"/>
        <v>-2</v>
      </c>
      <c r="AG288" s="3">
        <f t="shared" si="12"/>
        <v>-0.36</v>
      </c>
    </row>
    <row r="289">
      <c r="A289" s="1" t="s">
        <v>9</v>
      </c>
      <c r="B289" s="1" t="s">
        <v>87</v>
      </c>
      <c r="C289" s="1" t="s">
        <v>18</v>
      </c>
      <c r="D289" s="1" t="s">
        <v>88</v>
      </c>
      <c r="E289" s="1" t="s">
        <v>147</v>
      </c>
      <c r="F289" s="1" t="s">
        <v>567</v>
      </c>
      <c r="G289" s="1">
        <v>28.5</v>
      </c>
      <c r="H289" s="1" t="s">
        <v>60</v>
      </c>
      <c r="I289" s="1">
        <v>-116.0</v>
      </c>
      <c r="J289" s="1">
        <v>0.034870925617301</v>
      </c>
      <c r="K289" s="1" t="s">
        <v>61</v>
      </c>
      <c r="L289" s="1" t="s">
        <v>61</v>
      </c>
      <c r="M289" s="1" t="s">
        <v>62</v>
      </c>
      <c r="N289" s="1">
        <v>-116.0</v>
      </c>
      <c r="O289" s="1">
        <v>-0.108930273716069</v>
      </c>
      <c r="P289" s="1" t="s">
        <v>61</v>
      </c>
      <c r="Q289" s="1" t="s">
        <v>61</v>
      </c>
      <c r="R289" s="1">
        <f t="shared" si="1"/>
        <v>0.03487092562</v>
      </c>
      <c r="S289" s="1">
        <f t="shared" si="2"/>
        <v>-116</v>
      </c>
      <c r="T289" s="1">
        <f t="shared" si="3"/>
        <v>1.862068966</v>
      </c>
      <c r="U289" s="1">
        <f t="shared" si="4"/>
        <v>1</v>
      </c>
      <c r="V289" s="3">
        <f t="shared" si="5"/>
        <v>1</v>
      </c>
      <c r="W289" s="3">
        <f t="shared" si="6"/>
        <v>2</v>
      </c>
      <c r="X289" s="3" t="str">
        <f>IFERROR(__xludf.DUMMYFUNCTION("split(B289,"" "")"),"J.")</f>
        <v>J.</v>
      </c>
      <c r="Y289" s="3" t="str">
        <f>IFERROR(__xludf.DUMMYFUNCTION("""COMPUTED_VALUE"""),"Tolbert")</f>
        <v>Tolbert</v>
      </c>
      <c r="AA289" s="3">
        <v>24.0</v>
      </c>
      <c r="AB289" s="3">
        <f t="shared" si="7"/>
        <v>0</v>
      </c>
      <c r="AC289" s="3">
        <f t="shared" si="8"/>
        <v>0</v>
      </c>
      <c r="AD289" s="3">
        <f t="shared" si="9"/>
        <v>0.8620689655</v>
      </c>
      <c r="AE289" s="3">
        <f t="shared" si="10"/>
        <v>-1</v>
      </c>
      <c r="AF289" s="3">
        <f t="shared" si="11"/>
        <v>-2</v>
      </c>
      <c r="AG289" s="3">
        <f t="shared" si="12"/>
        <v>-0.1578947368</v>
      </c>
    </row>
    <row r="290">
      <c r="A290" s="1" t="s">
        <v>9</v>
      </c>
      <c r="B290" s="1" t="s">
        <v>152</v>
      </c>
      <c r="C290" s="1" t="s">
        <v>19</v>
      </c>
      <c r="D290" s="1" t="s">
        <v>88</v>
      </c>
      <c r="E290" s="1" t="s">
        <v>147</v>
      </c>
      <c r="F290" s="1" t="s">
        <v>567</v>
      </c>
      <c r="G290" s="1">
        <v>58.5</v>
      </c>
      <c r="H290" s="1" t="s">
        <v>60</v>
      </c>
      <c r="I290" s="1">
        <v>-122.0</v>
      </c>
      <c r="J290" s="1">
        <v>-0.104086304863578</v>
      </c>
      <c r="K290" s="1" t="s">
        <v>61</v>
      </c>
      <c r="L290" s="1" t="s">
        <v>61</v>
      </c>
      <c r="M290" s="1" t="s">
        <v>62</v>
      </c>
      <c r="N290" s="1">
        <v>-111.0</v>
      </c>
      <c r="O290" s="1">
        <v>0.0284597878885447</v>
      </c>
      <c r="P290" s="1" t="s">
        <v>61</v>
      </c>
      <c r="Q290" s="1" t="s">
        <v>61</v>
      </c>
      <c r="R290" s="1">
        <f t="shared" si="1"/>
        <v>0.02845978789</v>
      </c>
      <c r="S290" s="1">
        <f t="shared" si="2"/>
        <v>-111</v>
      </c>
      <c r="T290" s="1">
        <f t="shared" si="3"/>
        <v>1.900900901</v>
      </c>
      <c r="U290" s="1">
        <f t="shared" si="4"/>
        <v>0</v>
      </c>
      <c r="V290" s="3">
        <f t="shared" si="5"/>
        <v>1</v>
      </c>
      <c r="W290" s="3">
        <f t="shared" si="6"/>
        <v>2</v>
      </c>
      <c r="X290" s="3" t="str">
        <f>IFERROR(__xludf.DUMMYFUNCTION("split(B290,"" "")"),"R.")</f>
        <v>R.</v>
      </c>
      <c r="Y290" s="3" t="str">
        <f>IFERROR(__xludf.DUMMYFUNCTION("""COMPUTED_VALUE"""),"Dowdle")</f>
        <v>Dowdle</v>
      </c>
      <c r="AA290" s="3">
        <v>61.0</v>
      </c>
      <c r="AB290" s="3">
        <f t="shared" si="7"/>
        <v>1</v>
      </c>
      <c r="AC290" s="3">
        <f t="shared" si="8"/>
        <v>0</v>
      </c>
      <c r="AD290" s="3">
        <f t="shared" si="9"/>
        <v>0.9009009009</v>
      </c>
      <c r="AE290" s="3">
        <f t="shared" si="10"/>
        <v>-1</v>
      </c>
      <c r="AF290" s="3">
        <f t="shared" si="11"/>
        <v>-2</v>
      </c>
      <c r="AG290" s="3">
        <f t="shared" si="12"/>
        <v>-0.04273504274</v>
      </c>
    </row>
    <row r="291">
      <c r="A291" s="1" t="s">
        <v>16</v>
      </c>
      <c r="B291" s="1" t="s">
        <v>251</v>
      </c>
      <c r="C291" s="1" t="s">
        <v>21</v>
      </c>
      <c r="D291" s="1" t="s">
        <v>88</v>
      </c>
      <c r="E291" s="1" t="s">
        <v>147</v>
      </c>
      <c r="F291" s="1" t="s">
        <v>567</v>
      </c>
      <c r="G291" s="1">
        <v>35.5</v>
      </c>
      <c r="H291" s="1" t="s">
        <v>60</v>
      </c>
      <c r="I291" s="1">
        <v>-105.0</v>
      </c>
      <c r="J291" s="1">
        <v>0.0279998814575609</v>
      </c>
      <c r="K291" s="1" t="s">
        <v>61</v>
      </c>
      <c r="L291" s="1" t="s">
        <v>61</v>
      </c>
      <c r="M291" s="1" t="s">
        <v>62</v>
      </c>
      <c r="N291" s="1">
        <v>-125.0</v>
      </c>
      <c r="O291" s="1">
        <v>-0.0957776749155556</v>
      </c>
      <c r="P291" s="1" t="s">
        <v>61</v>
      </c>
      <c r="Q291" s="1" t="s">
        <v>61</v>
      </c>
      <c r="R291" s="1">
        <f t="shared" si="1"/>
        <v>0.02799988146</v>
      </c>
      <c r="S291" s="1">
        <f t="shared" si="2"/>
        <v>-105</v>
      </c>
      <c r="T291" s="1">
        <f t="shared" si="3"/>
        <v>1.952380952</v>
      </c>
      <c r="U291" s="1">
        <f t="shared" si="4"/>
        <v>1</v>
      </c>
      <c r="V291" s="3">
        <f t="shared" si="5"/>
        <v>1</v>
      </c>
      <c r="W291" s="3">
        <f t="shared" si="6"/>
        <v>2</v>
      </c>
      <c r="X291" s="3" t="str">
        <f>IFERROR(__xludf.DUMMYFUNCTION("split(B291,"" "")"),"D.")</f>
        <v>D.</v>
      </c>
      <c r="Y291" s="3" t="str">
        <f>IFERROR(__xludf.DUMMYFUNCTION("""COMPUTED_VALUE"""),"Prescott")</f>
        <v>Prescott</v>
      </c>
      <c r="AA291" s="3">
        <v>27.0</v>
      </c>
      <c r="AB291" s="3">
        <f t="shared" si="7"/>
        <v>0</v>
      </c>
      <c r="AC291" s="3">
        <f t="shared" si="8"/>
        <v>0</v>
      </c>
      <c r="AD291" s="3">
        <f t="shared" si="9"/>
        <v>0.9523809524</v>
      </c>
      <c r="AE291" s="3">
        <f t="shared" si="10"/>
        <v>-1</v>
      </c>
      <c r="AF291" s="3">
        <f t="shared" si="11"/>
        <v>-2</v>
      </c>
      <c r="AG291" s="3">
        <f t="shared" si="12"/>
        <v>-0.2394366197</v>
      </c>
    </row>
    <row r="292">
      <c r="A292" s="1" t="s">
        <v>17</v>
      </c>
      <c r="B292" s="1" t="s">
        <v>251</v>
      </c>
      <c r="C292" s="1" t="s">
        <v>21</v>
      </c>
      <c r="D292" s="1" t="s">
        <v>88</v>
      </c>
      <c r="E292" s="1" t="s">
        <v>147</v>
      </c>
      <c r="F292" s="1" t="s">
        <v>567</v>
      </c>
      <c r="G292" s="1">
        <v>0.5</v>
      </c>
      <c r="H292" s="1" t="s">
        <v>60</v>
      </c>
      <c r="I292" s="1">
        <v>-118.0</v>
      </c>
      <c r="J292" s="1">
        <v>-0.0904844036697247</v>
      </c>
      <c r="K292" s="1" t="s">
        <v>61</v>
      </c>
      <c r="L292" s="1" t="s">
        <v>61</v>
      </c>
      <c r="M292" s="1" t="s">
        <v>62</v>
      </c>
      <c r="N292" s="1">
        <v>-110.0</v>
      </c>
      <c r="O292" s="1">
        <v>0.0253904761904761</v>
      </c>
      <c r="P292" s="1" t="s">
        <v>61</v>
      </c>
      <c r="Q292" s="1" t="s">
        <v>61</v>
      </c>
      <c r="R292" s="1">
        <f t="shared" si="1"/>
        <v>0.02539047619</v>
      </c>
      <c r="S292" s="1">
        <f t="shared" si="2"/>
        <v>-110</v>
      </c>
      <c r="T292" s="1">
        <f t="shared" si="3"/>
        <v>1.909090909</v>
      </c>
      <c r="U292" s="1">
        <f t="shared" si="4"/>
        <v>0</v>
      </c>
      <c r="V292" s="3">
        <f t="shared" si="5"/>
        <v>1</v>
      </c>
      <c r="W292" s="3">
        <f t="shared" si="6"/>
        <v>2</v>
      </c>
      <c r="X292" s="3" t="str">
        <f>IFERROR(__xludf.DUMMYFUNCTION("split(B292,"" "")"),"D.")</f>
        <v>D.</v>
      </c>
      <c r="Y292" s="3" t="str">
        <f>IFERROR(__xludf.DUMMYFUNCTION("""COMPUTED_VALUE"""),"Prescott")</f>
        <v>Prescott</v>
      </c>
      <c r="AA292" s="3">
        <v>0.0</v>
      </c>
      <c r="AB292" s="3">
        <f t="shared" si="7"/>
        <v>0</v>
      </c>
      <c r="AC292" s="3">
        <f t="shared" si="8"/>
        <v>1</v>
      </c>
      <c r="AD292" s="3">
        <f t="shared" si="9"/>
        <v>0.9090909091</v>
      </c>
      <c r="AE292" s="3">
        <f t="shared" si="10"/>
        <v>0.9090909091</v>
      </c>
      <c r="AF292" s="3">
        <f t="shared" si="11"/>
        <v>1.818181818</v>
      </c>
      <c r="AG292" s="3">
        <f t="shared" si="12"/>
        <v>1</v>
      </c>
    </row>
    <row r="293">
      <c r="A293" s="1" t="s">
        <v>11</v>
      </c>
      <c r="B293" s="1" t="s">
        <v>412</v>
      </c>
      <c r="C293" s="1" t="s">
        <v>20</v>
      </c>
      <c r="D293" s="1" t="s">
        <v>88</v>
      </c>
      <c r="E293" s="1" t="s">
        <v>147</v>
      </c>
      <c r="F293" s="1" t="s">
        <v>567</v>
      </c>
      <c r="G293" s="1">
        <v>42.5</v>
      </c>
      <c r="H293" s="1" t="s">
        <v>60</v>
      </c>
      <c r="I293" s="1">
        <v>-115.0</v>
      </c>
      <c r="J293" s="1">
        <v>-0.0784424040358142</v>
      </c>
      <c r="K293" s="1" t="s">
        <v>61</v>
      </c>
      <c r="L293" s="1" t="s">
        <v>61</v>
      </c>
      <c r="M293" s="1" t="s">
        <v>62</v>
      </c>
      <c r="N293" s="1">
        <v>-113.0</v>
      </c>
      <c r="O293" s="1">
        <v>0.0131195786280939</v>
      </c>
      <c r="P293" s="1" t="s">
        <v>61</v>
      </c>
      <c r="Q293" s="1" t="s">
        <v>61</v>
      </c>
      <c r="R293" s="1">
        <f t="shared" si="1"/>
        <v>0.01311957863</v>
      </c>
      <c r="S293" s="1">
        <f t="shared" si="2"/>
        <v>-113</v>
      </c>
      <c r="T293" s="1">
        <f t="shared" si="3"/>
        <v>1.884955752</v>
      </c>
      <c r="U293" s="1">
        <f t="shared" si="4"/>
        <v>0</v>
      </c>
      <c r="V293" s="3">
        <f t="shared" si="5"/>
        <v>1</v>
      </c>
      <c r="W293" s="3">
        <f t="shared" si="6"/>
        <v>2</v>
      </c>
      <c r="X293" s="3" t="str">
        <f>IFERROR(__xludf.DUMMYFUNCTION("split(B293,"" "")"),"J.")</f>
        <v>J.</v>
      </c>
      <c r="Y293" s="3" t="str">
        <f>IFERROR(__xludf.DUMMYFUNCTION("""COMPUTED_VALUE"""),"Ferguson")</f>
        <v>Ferguson</v>
      </c>
      <c r="AA293" s="3">
        <v>49.0</v>
      </c>
      <c r="AB293" s="3">
        <f t="shared" si="7"/>
        <v>1</v>
      </c>
      <c r="AC293" s="3">
        <f t="shared" si="8"/>
        <v>0</v>
      </c>
      <c r="AD293" s="3">
        <f t="shared" si="9"/>
        <v>0.8849557522</v>
      </c>
      <c r="AE293" s="3">
        <f t="shared" si="10"/>
        <v>-1</v>
      </c>
      <c r="AF293" s="3">
        <f t="shared" si="11"/>
        <v>-2</v>
      </c>
      <c r="AG293" s="3">
        <f t="shared" si="12"/>
        <v>-0.1529411765</v>
      </c>
    </row>
    <row r="294">
      <c r="A294" s="1" t="s">
        <v>11</v>
      </c>
      <c r="B294" s="1" t="s">
        <v>87</v>
      </c>
      <c r="C294" s="1" t="s">
        <v>18</v>
      </c>
      <c r="D294" s="1" t="s">
        <v>88</v>
      </c>
      <c r="E294" s="1" t="s">
        <v>147</v>
      </c>
      <c r="F294" s="1" t="s">
        <v>567</v>
      </c>
      <c r="G294" s="1">
        <v>28.5</v>
      </c>
      <c r="H294" s="1" t="s">
        <v>60</v>
      </c>
      <c r="I294" s="1">
        <v>-114.0</v>
      </c>
      <c r="J294" s="1">
        <v>-0.0782122044975702</v>
      </c>
      <c r="K294" s="1" t="s">
        <v>61</v>
      </c>
      <c r="L294" s="1" t="s">
        <v>61</v>
      </c>
      <c r="M294" s="1" t="s">
        <v>62</v>
      </c>
      <c r="N294" s="1">
        <v>-115.0</v>
      </c>
      <c r="O294" s="1">
        <v>0.0106460073635907</v>
      </c>
      <c r="P294" s="1" t="s">
        <v>61</v>
      </c>
      <c r="Q294" s="1" t="s">
        <v>61</v>
      </c>
      <c r="R294" s="1">
        <f t="shared" si="1"/>
        <v>0.01064600736</v>
      </c>
      <c r="S294" s="1">
        <f t="shared" si="2"/>
        <v>-115</v>
      </c>
      <c r="T294" s="1">
        <f t="shared" si="3"/>
        <v>1.869565217</v>
      </c>
      <c r="U294" s="1">
        <f t="shared" si="4"/>
        <v>0</v>
      </c>
      <c r="V294" s="3">
        <f t="shared" si="5"/>
        <v>1</v>
      </c>
      <c r="W294" s="3">
        <f t="shared" si="6"/>
        <v>2</v>
      </c>
      <c r="X294" s="3" t="str">
        <f>IFERROR(__xludf.DUMMYFUNCTION("split(B294,"" "")"),"J.")</f>
        <v>J.</v>
      </c>
      <c r="Y294" s="3" t="str">
        <f>IFERROR(__xludf.DUMMYFUNCTION("""COMPUTED_VALUE"""),"Tolbert")</f>
        <v>Tolbert</v>
      </c>
      <c r="AA294" s="3">
        <v>24.0</v>
      </c>
      <c r="AB294" s="3">
        <f t="shared" si="7"/>
        <v>0</v>
      </c>
      <c r="AC294" s="3">
        <f t="shared" si="8"/>
        <v>1</v>
      </c>
      <c r="AD294" s="3">
        <f t="shared" si="9"/>
        <v>0.8695652174</v>
      </c>
      <c r="AE294" s="3">
        <f t="shared" si="10"/>
        <v>0.8695652174</v>
      </c>
      <c r="AF294" s="3">
        <f t="shared" si="11"/>
        <v>1.739130435</v>
      </c>
      <c r="AG294" s="3">
        <f t="shared" si="12"/>
        <v>0.1578947368</v>
      </c>
    </row>
    <row r="295">
      <c r="A295" s="1" t="s">
        <v>10</v>
      </c>
      <c r="B295" s="1" t="s">
        <v>251</v>
      </c>
      <c r="C295" s="1" t="s">
        <v>21</v>
      </c>
      <c r="D295" s="1" t="s">
        <v>88</v>
      </c>
      <c r="E295" s="1" t="s">
        <v>147</v>
      </c>
      <c r="F295" s="1" t="s">
        <v>567</v>
      </c>
      <c r="G295" s="1">
        <v>9.5</v>
      </c>
      <c r="H295" s="1" t="s">
        <v>60</v>
      </c>
      <c r="I295" s="1">
        <v>-111.0</v>
      </c>
      <c r="J295" s="1">
        <v>0.00164901698941366</v>
      </c>
      <c r="K295" s="1" t="s">
        <v>61</v>
      </c>
      <c r="L295" s="1" t="s">
        <v>61</v>
      </c>
      <c r="M295" s="1" t="s">
        <v>62</v>
      </c>
      <c r="N295" s="1">
        <v>-117.0</v>
      </c>
      <c r="O295" s="1">
        <v>-0.0668742249962053</v>
      </c>
      <c r="P295" s="1" t="s">
        <v>61</v>
      </c>
      <c r="Q295" s="1" t="s">
        <v>61</v>
      </c>
      <c r="R295" s="1">
        <f t="shared" si="1"/>
        <v>0.001649016989</v>
      </c>
      <c r="S295" s="1">
        <f t="shared" si="2"/>
        <v>-111</v>
      </c>
      <c r="T295" s="1">
        <f t="shared" si="3"/>
        <v>1.900900901</v>
      </c>
      <c r="U295" s="1">
        <f t="shared" si="4"/>
        <v>1</v>
      </c>
      <c r="V295" s="3">
        <f t="shared" si="5"/>
        <v>1</v>
      </c>
      <c r="W295" s="3">
        <f t="shared" si="6"/>
        <v>2</v>
      </c>
      <c r="X295" s="3" t="str">
        <f>IFERROR(__xludf.DUMMYFUNCTION("split(B295,"" "")"),"D.")</f>
        <v>D.</v>
      </c>
      <c r="Y295" s="3" t="str">
        <f>IFERROR(__xludf.DUMMYFUNCTION("""COMPUTED_VALUE"""),"Prescott")</f>
        <v>Prescott</v>
      </c>
      <c r="AA295" s="3">
        <v>-1.0</v>
      </c>
      <c r="AB295" s="3">
        <f t="shared" si="7"/>
        <v>0</v>
      </c>
      <c r="AC295" s="3">
        <f t="shared" si="8"/>
        <v>0</v>
      </c>
      <c r="AD295" s="3">
        <f t="shared" si="9"/>
        <v>0.9009009009</v>
      </c>
      <c r="AE295" s="3">
        <f t="shared" si="10"/>
        <v>-1</v>
      </c>
      <c r="AF295" s="3">
        <f t="shared" si="11"/>
        <v>-2</v>
      </c>
      <c r="AG295" s="3">
        <f t="shared" si="12"/>
        <v>-1.105263158</v>
      </c>
    </row>
    <row r="296">
      <c r="A296" s="1" t="s">
        <v>9</v>
      </c>
      <c r="B296" s="1" t="s">
        <v>395</v>
      </c>
      <c r="C296" s="1" t="s">
        <v>18</v>
      </c>
      <c r="D296" s="1" t="s">
        <v>88</v>
      </c>
      <c r="E296" s="1" t="s">
        <v>147</v>
      </c>
      <c r="F296" s="1" t="s">
        <v>567</v>
      </c>
      <c r="G296" s="1">
        <v>84.5</v>
      </c>
      <c r="H296" s="1" t="s">
        <v>60</v>
      </c>
      <c r="I296" s="1">
        <v>-113.0</v>
      </c>
      <c r="J296" s="1">
        <v>-0.0751354893150617</v>
      </c>
      <c r="K296" s="1" t="s">
        <v>61</v>
      </c>
      <c r="L296" s="1" t="s">
        <v>61</v>
      </c>
      <c r="M296" s="1" t="s">
        <v>62</v>
      </c>
      <c r="N296" s="1">
        <v>-119.0</v>
      </c>
      <c r="O296" s="1">
        <v>0.00128894796991185</v>
      </c>
      <c r="P296" s="1" t="s">
        <v>61</v>
      </c>
      <c r="Q296" s="1" t="s">
        <v>61</v>
      </c>
      <c r="R296" s="1">
        <f t="shared" si="1"/>
        <v>0.00128894797</v>
      </c>
      <c r="S296" s="1">
        <f t="shared" si="2"/>
        <v>-119</v>
      </c>
      <c r="T296" s="1">
        <f t="shared" si="3"/>
        <v>1.840336134</v>
      </c>
      <c r="U296" s="1">
        <f t="shared" si="4"/>
        <v>0</v>
      </c>
      <c r="V296" s="3">
        <f t="shared" si="5"/>
        <v>1</v>
      </c>
      <c r="W296" s="3">
        <f t="shared" si="6"/>
        <v>3</v>
      </c>
      <c r="X296" s="3" t="str">
        <f>IFERROR(__xludf.DUMMYFUNCTION("split(B296,"" "")"),"C.")</f>
        <v>C.</v>
      </c>
      <c r="Y296" s="3" t="str">
        <f>IFERROR(__xludf.DUMMYFUNCTION("""COMPUTED_VALUE"""),"Lamb")</f>
        <v>Lamb</v>
      </c>
      <c r="AA296" s="3">
        <v>106.0</v>
      </c>
      <c r="AB296" s="3">
        <f t="shared" si="7"/>
        <v>1</v>
      </c>
      <c r="AC296" s="3">
        <f t="shared" si="8"/>
        <v>0</v>
      </c>
      <c r="AD296" s="3">
        <f t="shared" si="9"/>
        <v>0.8403361345</v>
      </c>
      <c r="AE296" s="3">
        <f t="shared" si="10"/>
        <v>-1</v>
      </c>
      <c r="AF296" s="3">
        <f t="shared" si="11"/>
        <v>-3</v>
      </c>
      <c r="AG296" s="3">
        <f t="shared" si="12"/>
        <v>-0.2544378698</v>
      </c>
    </row>
    <row r="297">
      <c r="A297" s="1" t="s">
        <v>12</v>
      </c>
      <c r="B297" s="1" t="s">
        <v>375</v>
      </c>
      <c r="C297" s="1" t="s">
        <v>19</v>
      </c>
      <c r="D297" s="1" t="s">
        <v>88</v>
      </c>
      <c r="E297" s="1" t="s">
        <v>147</v>
      </c>
      <c r="F297" s="1" t="s">
        <v>567</v>
      </c>
      <c r="G297" s="1">
        <v>1.5</v>
      </c>
      <c r="H297" s="1" t="s">
        <v>60</v>
      </c>
      <c r="I297" s="1">
        <v>124.0</v>
      </c>
      <c r="J297" s="1">
        <v>-0.0687274162246429</v>
      </c>
      <c r="K297" s="1" t="s">
        <v>61</v>
      </c>
      <c r="L297" s="1" t="s">
        <v>61</v>
      </c>
      <c r="M297" s="1" t="s">
        <v>62</v>
      </c>
      <c r="N297" s="1">
        <v>-164.0</v>
      </c>
      <c r="O297" s="1">
        <v>0.00108658243000003</v>
      </c>
      <c r="P297" s="1" t="s">
        <v>61</v>
      </c>
      <c r="Q297" s="1" t="s">
        <v>61</v>
      </c>
      <c r="R297" s="1">
        <f t="shared" si="1"/>
        <v>0.00108658243</v>
      </c>
      <c r="S297" s="1">
        <f t="shared" si="2"/>
        <v>-164</v>
      </c>
      <c r="T297" s="1">
        <f t="shared" si="3"/>
        <v>1.609756098</v>
      </c>
      <c r="U297" s="1">
        <f t="shared" si="4"/>
        <v>0</v>
      </c>
      <c r="V297" s="3">
        <f t="shared" si="5"/>
        <v>1</v>
      </c>
      <c r="W297" s="3">
        <f t="shared" si="6"/>
        <v>3</v>
      </c>
      <c r="X297" s="3" t="str">
        <f>IFERROR(__xludf.DUMMYFUNCTION("split(B297,"" "")"),"E.")</f>
        <v>E.</v>
      </c>
      <c r="Y297" s="3" t="str">
        <f>IFERROR(__xludf.DUMMYFUNCTION("""COMPUTED_VALUE"""),"Elliott")</f>
        <v>Elliott</v>
      </c>
      <c r="AA297" s="3">
        <v>1.0</v>
      </c>
      <c r="AB297" s="3">
        <f t="shared" si="7"/>
        <v>0</v>
      </c>
      <c r="AC297" s="3">
        <f t="shared" si="8"/>
        <v>1</v>
      </c>
      <c r="AD297" s="3">
        <f t="shared" si="9"/>
        <v>0.6097560976</v>
      </c>
      <c r="AE297" s="3">
        <f t="shared" si="10"/>
        <v>0.6097560976</v>
      </c>
      <c r="AF297" s="3">
        <f t="shared" si="11"/>
        <v>1.829268293</v>
      </c>
      <c r="AG297" s="3">
        <f t="shared" si="12"/>
        <v>0.3333333333</v>
      </c>
    </row>
    <row r="298">
      <c r="A298" s="1" t="s">
        <v>10</v>
      </c>
      <c r="B298" s="1" t="s">
        <v>414</v>
      </c>
      <c r="C298" s="1" t="s">
        <v>18</v>
      </c>
      <c r="D298" s="1" t="s">
        <v>89</v>
      </c>
      <c r="E298" s="1" t="s">
        <v>134</v>
      </c>
      <c r="F298" s="1" t="s">
        <v>570</v>
      </c>
      <c r="G298" s="1">
        <v>0.5</v>
      </c>
      <c r="H298" s="1" t="s">
        <v>60</v>
      </c>
      <c r="I298" s="1">
        <v>867.0</v>
      </c>
      <c r="J298" s="1">
        <v>0.527064484531451</v>
      </c>
      <c r="K298" s="1" t="s">
        <v>61</v>
      </c>
      <c r="L298" s="1" t="s">
        <v>61</v>
      </c>
      <c r="M298" s="1" t="s">
        <v>62</v>
      </c>
      <c r="N298" s="1">
        <v>-2708.0</v>
      </c>
      <c r="O298" s="1">
        <v>-0.594825043421707</v>
      </c>
      <c r="P298" s="1" t="s">
        <v>61</v>
      </c>
      <c r="Q298" s="1" t="s">
        <v>61</v>
      </c>
      <c r="R298" s="1">
        <f t="shared" si="1"/>
        <v>0.5270644845</v>
      </c>
      <c r="S298" s="1">
        <f t="shared" si="2"/>
        <v>867</v>
      </c>
      <c r="T298" s="1">
        <f t="shared" si="3"/>
        <v>9.67</v>
      </c>
      <c r="U298" s="1">
        <f t="shared" si="4"/>
        <v>1</v>
      </c>
      <c r="V298" s="3">
        <f t="shared" si="5"/>
        <v>3</v>
      </c>
      <c r="W298" s="3">
        <f t="shared" si="6"/>
        <v>1</v>
      </c>
      <c r="X298" s="3" t="str">
        <f>IFERROR(__xludf.DUMMYFUNCTION("split(B298,"" "")"),"E.")</f>
        <v>E.</v>
      </c>
      <c r="Y298" s="3" t="str">
        <f>IFERROR(__xludf.DUMMYFUNCTION("""COMPUTED_VALUE"""),"Moore")</f>
        <v>Moore</v>
      </c>
      <c r="AA298" s="3">
        <v>0.0</v>
      </c>
      <c r="AB298" s="3">
        <f t="shared" si="7"/>
        <v>0</v>
      </c>
      <c r="AC298" s="3">
        <f t="shared" si="8"/>
        <v>0</v>
      </c>
      <c r="AD298" s="3">
        <f t="shared" si="9"/>
        <v>26.01</v>
      </c>
      <c r="AE298" s="3">
        <f t="shared" si="10"/>
        <v>0</v>
      </c>
      <c r="AF298" s="3">
        <f t="shared" si="11"/>
        <v>-1</v>
      </c>
      <c r="AG298" s="3">
        <f t="shared" si="12"/>
        <v>-1</v>
      </c>
    </row>
    <row r="299">
      <c r="A299" s="1" t="s">
        <v>12</v>
      </c>
      <c r="B299" s="1" t="s">
        <v>414</v>
      </c>
      <c r="C299" s="1" t="s">
        <v>18</v>
      </c>
      <c r="D299" s="1" t="s">
        <v>89</v>
      </c>
      <c r="E299" s="1" t="s">
        <v>134</v>
      </c>
      <c r="F299" s="1" t="s">
        <v>570</v>
      </c>
      <c r="G299" s="1">
        <v>2.5</v>
      </c>
      <c r="H299" s="1" t="s">
        <v>60</v>
      </c>
      <c r="I299" s="1">
        <v>-165.0</v>
      </c>
      <c r="J299" s="1">
        <v>-0.317799583132075</v>
      </c>
      <c r="K299" s="1" t="s">
        <v>61</v>
      </c>
      <c r="L299" s="1" t="s">
        <v>61</v>
      </c>
      <c r="M299" s="1" t="s">
        <v>62</v>
      </c>
      <c r="N299" s="1">
        <v>125.0</v>
      </c>
      <c r="O299" s="1">
        <v>0.250706175688889</v>
      </c>
      <c r="P299" s="1" t="s">
        <v>61</v>
      </c>
      <c r="Q299" s="1" t="s">
        <v>61</v>
      </c>
      <c r="R299" s="1">
        <f t="shared" si="1"/>
        <v>0.2507061757</v>
      </c>
      <c r="S299" s="1">
        <f t="shared" si="2"/>
        <v>125</v>
      </c>
      <c r="T299" s="1">
        <f t="shared" si="3"/>
        <v>2.25</v>
      </c>
      <c r="U299" s="1">
        <f t="shared" si="4"/>
        <v>0</v>
      </c>
      <c r="V299" s="3">
        <f t="shared" si="5"/>
        <v>3</v>
      </c>
      <c r="W299" s="3">
        <f t="shared" si="6"/>
        <v>1</v>
      </c>
      <c r="X299" s="3" t="str">
        <f>IFERROR(__xludf.DUMMYFUNCTION("split(B299,"" "")"),"E.")</f>
        <v>E.</v>
      </c>
      <c r="Y299" s="3" t="str">
        <f>IFERROR(__xludf.DUMMYFUNCTION("""COMPUTED_VALUE"""),"Moore")</f>
        <v>Moore</v>
      </c>
      <c r="AA299" s="3">
        <v>1.0</v>
      </c>
      <c r="AB299" s="3">
        <f t="shared" si="7"/>
        <v>0</v>
      </c>
      <c r="AC299" s="3">
        <f t="shared" si="8"/>
        <v>1</v>
      </c>
      <c r="AD299" s="3">
        <f t="shared" si="9"/>
        <v>3.75</v>
      </c>
      <c r="AE299" s="3">
        <f t="shared" si="10"/>
        <v>3.75</v>
      </c>
      <c r="AF299" s="3">
        <f t="shared" si="11"/>
        <v>1.25</v>
      </c>
      <c r="AG299" s="3">
        <f t="shared" si="12"/>
        <v>0.6</v>
      </c>
    </row>
    <row r="300">
      <c r="A300" s="1" t="s">
        <v>8</v>
      </c>
      <c r="B300" s="1" t="s">
        <v>462</v>
      </c>
      <c r="C300" s="1" t="s">
        <v>21</v>
      </c>
      <c r="D300" s="1" t="s">
        <v>89</v>
      </c>
      <c r="E300" s="1" t="s">
        <v>134</v>
      </c>
      <c r="F300" s="1" t="s">
        <v>570</v>
      </c>
      <c r="G300" s="1">
        <v>4.5</v>
      </c>
      <c r="H300" s="1" t="s">
        <v>60</v>
      </c>
      <c r="I300" s="1">
        <v>-151.0</v>
      </c>
      <c r="J300" s="1">
        <v>-0.246326053007066</v>
      </c>
      <c r="K300" s="1" t="s">
        <v>61</v>
      </c>
      <c r="L300" s="1" t="s">
        <v>61</v>
      </c>
      <c r="M300" s="1" t="s">
        <v>62</v>
      </c>
      <c r="N300" s="1">
        <v>112.0</v>
      </c>
      <c r="O300" s="1">
        <v>0.173040279739498</v>
      </c>
      <c r="P300" s="1" t="s">
        <v>61</v>
      </c>
      <c r="Q300" s="1" t="s">
        <v>61</v>
      </c>
      <c r="R300" s="1">
        <f t="shared" si="1"/>
        <v>0.1730402797</v>
      </c>
      <c r="S300" s="1">
        <f t="shared" si="2"/>
        <v>112</v>
      </c>
      <c r="T300" s="1">
        <f t="shared" si="3"/>
        <v>2.12</v>
      </c>
      <c r="U300" s="1">
        <f t="shared" si="4"/>
        <v>0</v>
      </c>
      <c r="V300" s="3">
        <f t="shared" si="5"/>
        <v>3</v>
      </c>
      <c r="W300" s="3">
        <f t="shared" si="6"/>
        <v>1</v>
      </c>
      <c r="X300" s="3" t="str">
        <f>IFERROR(__xludf.DUMMYFUNCTION("split(B300,"" "")"),"D.")</f>
        <v>D.</v>
      </c>
      <c r="Y300" s="3" t="str">
        <f>IFERROR(__xludf.DUMMYFUNCTION("""COMPUTED_VALUE"""),"Watson")</f>
        <v>Watson</v>
      </c>
      <c r="AA300" s="3">
        <v>8.0</v>
      </c>
      <c r="AB300" s="3">
        <f t="shared" si="7"/>
        <v>1</v>
      </c>
      <c r="AC300" s="3">
        <f t="shared" si="8"/>
        <v>0</v>
      </c>
      <c r="AD300" s="3">
        <f t="shared" si="9"/>
        <v>3.36</v>
      </c>
      <c r="AE300" s="3">
        <f t="shared" si="10"/>
        <v>-3</v>
      </c>
      <c r="AF300" s="3">
        <f t="shared" si="11"/>
        <v>-1</v>
      </c>
      <c r="AG300" s="3">
        <f t="shared" si="12"/>
        <v>-0.7777777778</v>
      </c>
    </row>
    <row r="301">
      <c r="A301" s="1" t="s">
        <v>14</v>
      </c>
      <c r="B301" s="1" t="s">
        <v>462</v>
      </c>
      <c r="C301" s="1" t="s">
        <v>21</v>
      </c>
      <c r="D301" s="1" t="s">
        <v>89</v>
      </c>
      <c r="E301" s="1" t="s">
        <v>134</v>
      </c>
      <c r="F301" s="1" t="s">
        <v>570</v>
      </c>
      <c r="G301" s="1">
        <v>0.5</v>
      </c>
      <c r="H301" s="1" t="s">
        <v>60</v>
      </c>
      <c r="I301" s="1">
        <v>-246.0</v>
      </c>
      <c r="J301" s="1">
        <v>-0.186080047138728</v>
      </c>
      <c r="K301" s="1" t="s">
        <v>61</v>
      </c>
      <c r="L301" s="1" t="s">
        <v>61</v>
      </c>
      <c r="M301" s="1" t="s">
        <v>62</v>
      </c>
      <c r="N301" s="1">
        <v>180.0</v>
      </c>
      <c r="O301" s="1">
        <v>0.117953915392857</v>
      </c>
      <c r="P301" s="1" t="s">
        <v>61</v>
      </c>
      <c r="Q301" s="1" t="s">
        <v>61</v>
      </c>
      <c r="R301" s="1">
        <f t="shared" si="1"/>
        <v>0.1179539154</v>
      </c>
      <c r="S301" s="1">
        <f t="shared" si="2"/>
        <v>180</v>
      </c>
      <c r="T301" s="1">
        <f t="shared" si="3"/>
        <v>2.8</v>
      </c>
      <c r="U301" s="1">
        <f t="shared" si="4"/>
        <v>0</v>
      </c>
      <c r="V301" s="3">
        <f t="shared" si="5"/>
        <v>3</v>
      </c>
      <c r="W301" s="3">
        <f t="shared" si="6"/>
        <v>1</v>
      </c>
      <c r="X301" s="3" t="str">
        <f>IFERROR(__xludf.DUMMYFUNCTION("split(B301,"" "")"),"D.")</f>
        <v>D.</v>
      </c>
      <c r="Y301" s="3" t="str">
        <f>IFERROR(__xludf.DUMMYFUNCTION("""COMPUTED_VALUE"""),"Watson")</f>
        <v>Watson</v>
      </c>
      <c r="AA301" s="3">
        <v>1.0</v>
      </c>
      <c r="AB301" s="3">
        <f t="shared" si="7"/>
        <v>1</v>
      </c>
      <c r="AC301" s="3">
        <f t="shared" si="8"/>
        <v>0</v>
      </c>
      <c r="AD301" s="3">
        <f t="shared" si="9"/>
        <v>5.4</v>
      </c>
      <c r="AE301" s="3">
        <f t="shared" si="10"/>
        <v>-3</v>
      </c>
      <c r="AF301" s="3">
        <f t="shared" si="11"/>
        <v>-1</v>
      </c>
      <c r="AG301" s="3">
        <f t="shared" si="12"/>
        <v>-1</v>
      </c>
    </row>
    <row r="302">
      <c r="A302" s="1" t="s">
        <v>12</v>
      </c>
      <c r="B302" s="1" t="s">
        <v>299</v>
      </c>
      <c r="C302" s="1" t="s">
        <v>18</v>
      </c>
      <c r="D302" s="1" t="s">
        <v>89</v>
      </c>
      <c r="E302" s="1" t="s">
        <v>134</v>
      </c>
      <c r="F302" s="1" t="s">
        <v>570</v>
      </c>
      <c r="G302" s="1">
        <v>3.5</v>
      </c>
      <c r="H302" s="1" t="s">
        <v>60</v>
      </c>
      <c r="I302" s="1">
        <v>-106.0</v>
      </c>
      <c r="J302" s="1">
        <v>-0.132963106796116</v>
      </c>
      <c r="K302" s="1" t="s">
        <v>61</v>
      </c>
      <c r="L302" s="1" t="s">
        <v>61</v>
      </c>
      <c r="M302" s="1" t="s">
        <v>62</v>
      </c>
      <c r="N302" s="1">
        <v>-124.0</v>
      </c>
      <c r="O302" s="1">
        <v>0.0648285714285713</v>
      </c>
      <c r="P302" s="1" t="s">
        <v>61</v>
      </c>
      <c r="Q302" s="1" t="s">
        <v>61</v>
      </c>
      <c r="R302" s="1">
        <f t="shared" si="1"/>
        <v>0.06482857143</v>
      </c>
      <c r="S302" s="1">
        <f t="shared" si="2"/>
        <v>-124</v>
      </c>
      <c r="T302" s="1">
        <f t="shared" si="3"/>
        <v>1.806451613</v>
      </c>
      <c r="U302" s="1">
        <f t="shared" si="4"/>
        <v>0</v>
      </c>
      <c r="V302" s="3">
        <f t="shared" si="5"/>
        <v>2</v>
      </c>
      <c r="W302" s="3">
        <f t="shared" si="6"/>
        <v>3</v>
      </c>
      <c r="X302" s="3" t="str">
        <f>IFERROR(__xludf.DUMMYFUNCTION("split(B302,"" "")"),"J.")</f>
        <v>J.</v>
      </c>
      <c r="Y302" s="3" t="str">
        <f>IFERROR(__xludf.DUMMYFUNCTION("""COMPUTED_VALUE"""),"Jeudy")</f>
        <v>Jeudy</v>
      </c>
      <c r="AA302" s="3">
        <v>6.0</v>
      </c>
      <c r="AB302" s="3">
        <f t="shared" si="7"/>
        <v>1</v>
      </c>
      <c r="AC302" s="3">
        <f t="shared" si="8"/>
        <v>0</v>
      </c>
      <c r="AD302" s="3">
        <f t="shared" si="9"/>
        <v>1.612903226</v>
      </c>
      <c r="AE302" s="3">
        <f t="shared" si="10"/>
        <v>-2</v>
      </c>
      <c r="AF302" s="3">
        <f t="shared" si="11"/>
        <v>-3</v>
      </c>
      <c r="AG302" s="3">
        <f t="shared" si="12"/>
        <v>-0.7142857143</v>
      </c>
    </row>
    <row r="303">
      <c r="A303" s="1" t="s">
        <v>11</v>
      </c>
      <c r="B303" s="1" t="s">
        <v>414</v>
      </c>
      <c r="C303" s="1" t="s">
        <v>18</v>
      </c>
      <c r="D303" s="1" t="s">
        <v>89</v>
      </c>
      <c r="E303" s="1" t="s">
        <v>134</v>
      </c>
      <c r="F303" s="1" t="s">
        <v>570</v>
      </c>
      <c r="G303" s="1">
        <v>28.5</v>
      </c>
      <c r="H303" s="1" t="s">
        <v>60</v>
      </c>
      <c r="I303" s="1">
        <v>-113.0</v>
      </c>
      <c r="J303" s="1">
        <v>-0.115553655302549</v>
      </c>
      <c r="K303" s="1" t="s">
        <v>61</v>
      </c>
      <c r="L303" s="1" t="s">
        <v>61</v>
      </c>
      <c r="M303" s="1" t="s">
        <v>62</v>
      </c>
      <c r="N303" s="1">
        <v>-115.0</v>
      </c>
      <c r="O303" s="1">
        <v>0.0502283389132997</v>
      </c>
      <c r="P303" s="1" t="s">
        <v>61</v>
      </c>
      <c r="Q303" s="1" t="s">
        <v>61</v>
      </c>
      <c r="R303" s="1">
        <f t="shared" si="1"/>
        <v>0.05022833891</v>
      </c>
      <c r="S303" s="1">
        <f t="shared" si="2"/>
        <v>-115</v>
      </c>
      <c r="T303" s="1">
        <f t="shared" si="3"/>
        <v>1.869565217</v>
      </c>
      <c r="U303" s="1">
        <f t="shared" si="4"/>
        <v>0</v>
      </c>
      <c r="V303" s="3">
        <f t="shared" si="5"/>
        <v>2</v>
      </c>
      <c r="W303" s="3">
        <f t="shared" si="6"/>
        <v>2</v>
      </c>
      <c r="X303" s="3" t="str">
        <f>IFERROR(__xludf.DUMMYFUNCTION("split(B303,"" "")"),"E.")</f>
        <v>E.</v>
      </c>
      <c r="Y303" s="3" t="str">
        <f>IFERROR(__xludf.DUMMYFUNCTION("""COMPUTED_VALUE"""),"Moore")</f>
        <v>Moore</v>
      </c>
      <c r="AA303" s="3">
        <v>11.0</v>
      </c>
      <c r="AB303" s="3">
        <f t="shared" si="7"/>
        <v>0</v>
      </c>
      <c r="AC303" s="3">
        <f t="shared" si="8"/>
        <v>1</v>
      </c>
      <c r="AD303" s="3">
        <f t="shared" si="9"/>
        <v>1.739130435</v>
      </c>
      <c r="AE303" s="3">
        <f t="shared" si="10"/>
        <v>1.739130435</v>
      </c>
      <c r="AF303" s="3">
        <f t="shared" si="11"/>
        <v>1.739130435</v>
      </c>
      <c r="AG303" s="3">
        <f t="shared" si="12"/>
        <v>0.6140350877</v>
      </c>
    </row>
    <row r="304">
      <c r="A304" s="1" t="s">
        <v>17</v>
      </c>
      <c r="B304" s="1" t="s">
        <v>462</v>
      </c>
      <c r="C304" s="1" t="s">
        <v>21</v>
      </c>
      <c r="D304" s="1" t="s">
        <v>89</v>
      </c>
      <c r="E304" s="1" t="s">
        <v>134</v>
      </c>
      <c r="F304" s="1" t="s">
        <v>570</v>
      </c>
      <c r="G304" s="1">
        <v>0.5</v>
      </c>
      <c r="H304" s="1" t="s">
        <v>60</v>
      </c>
      <c r="I304" s="1">
        <v>-125.0</v>
      </c>
      <c r="J304" s="1">
        <v>-0.1155</v>
      </c>
      <c r="K304" s="1" t="s">
        <v>61</v>
      </c>
      <c r="L304" s="1" t="s">
        <v>61</v>
      </c>
      <c r="M304" s="1" t="s">
        <v>62</v>
      </c>
      <c r="N304" s="1">
        <v>-104.0</v>
      </c>
      <c r="O304" s="1">
        <v>0.0501470588235294</v>
      </c>
      <c r="P304" s="1" t="s">
        <v>61</v>
      </c>
      <c r="Q304" s="1" t="s">
        <v>61</v>
      </c>
      <c r="R304" s="1">
        <f t="shared" si="1"/>
        <v>0.05014705882</v>
      </c>
      <c r="S304" s="1">
        <f t="shared" si="2"/>
        <v>-104</v>
      </c>
      <c r="T304" s="1">
        <f t="shared" si="3"/>
        <v>1.961538462</v>
      </c>
      <c r="U304" s="1">
        <f t="shared" si="4"/>
        <v>0</v>
      </c>
      <c r="V304" s="3">
        <f t="shared" si="5"/>
        <v>2</v>
      </c>
      <c r="W304" s="3">
        <f t="shared" si="6"/>
        <v>2</v>
      </c>
      <c r="X304" s="3" t="str">
        <f>IFERROR(__xludf.DUMMYFUNCTION("split(B304,"" "")"),"D.")</f>
        <v>D.</v>
      </c>
      <c r="Y304" s="3" t="str">
        <f>IFERROR(__xludf.DUMMYFUNCTION("""COMPUTED_VALUE"""),"Watson")</f>
        <v>Watson</v>
      </c>
      <c r="AA304" s="3">
        <v>1.0</v>
      </c>
      <c r="AB304" s="3">
        <f t="shared" si="7"/>
        <v>1</v>
      </c>
      <c r="AC304" s="3">
        <f t="shared" si="8"/>
        <v>0</v>
      </c>
      <c r="AD304" s="3">
        <f t="shared" si="9"/>
        <v>1.923076923</v>
      </c>
      <c r="AE304" s="3">
        <f t="shared" si="10"/>
        <v>-2</v>
      </c>
      <c r="AF304" s="3">
        <f t="shared" si="11"/>
        <v>-2</v>
      </c>
      <c r="AG304" s="3">
        <f t="shared" si="12"/>
        <v>-1</v>
      </c>
    </row>
    <row r="305">
      <c r="A305" s="1" t="s">
        <v>10</v>
      </c>
      <c r="B305" s="1" t="s">
        <v>324</v>
      </c>
      <c r="C305" s="1" t="s">
        <v>19</v>
      </c>
      <c r="D305" s="1" t="s">
        <v>89</v>
      </c>
      <c r="E305" s="1" t="s">
        <v>134</v>
      </c>
      <c r="F305" s="1" t="s">
        <v>570</v>
      </c>
      <c r="G305" s="1">
        <v>41.0</v>
      </c>
      <c r="H305" s="1" t="s">
        <v>60</v>
      </c>
      <c r="I305" s="1">
        <v>-123.0</v>
      </c>
      <c r="J305" s="1">
        <v>0.0155544689448461</v>
      </c>
      <c r="K305" s="1" t="s">
        <v>61</v>
      </c>
      <c r="L305" s="1" t="s">
        <v>61</v>
      </c>
      <c r="M305" s="1" t="s">
        <v>62</v>
      </c>
      <c r="N305" s="1">
        <v>-108.0</v>
      </c>
      <c r="O305" s="1">
        <v>-0.0855849492355285</v>
      </c>
      <c r="P305" s="1" t="s">
        <v>61</v>
      </c>
      <c r="Q305" s="1" t="s">
        <v>61</v>
      </c>
      <c r="R305" s="1">
        <f t="shared" si="1"/>
        <v>0.01555446894</v>
      </c>
      <c r="S305" s="1">
        <f t="shared" si="2"/>
        <v>-123</v>
      </c>
      <c r="T305" s="1">
        <f t="shared" si="3"/>
        <v>1.81300813</v>
      </c>
      <c r="U305" s="1">
        <f t="shared" si="4"/>
        <v>1</v>
      </c>
      <c r="V305" s="3">
        <f t="shared" si="5"/>
        <v>1</v>
      </c>
      <c r="W305" s="3">
        <f t="shared" si="6"/>
        <v>3</v>
      </c>
      <c r="X305" s="3" t="str">
        <f>IFERROR(__xludf.DUMMYFUNCTION("split(B305,"" "")"),"J.")</f>
        <v>J.</v>
      </c>
      <c r="Y305" s="3" t="str">
        <f>IFERROR(__xludf.DUMMYFUNCTION("""COMPUTED_VALUE"""),"Ford")</f>
        <v>Ford</v>
      </c>
      <c r="AA305" s="3">
        <v>58.0</v>
      </c>
      <c r="AB305" s="3">
        <f t="shared" si="7"/>
        <v>1</v>
      </c>
      <c r="AC305" s="3">
        <f t="shared" si="8"/>
        <v>1</v>
      </c>
      <c r="AD305" s="3">
        <f t="shared" si="9"/>
        <v>0.8130081301</v>
      </c>
      <c r="AE305" s="3">
        <f t="shared" si="10"/>
        <v>0.8130081301</v>
      </c>
      <c r="AF305" s="3">
        <f t="shared" si="11"/>
        <v>2.43902439</v>
      </c>
      <c r="AG305" s="3">
        <f t="shared" si="12"/>
        <v>0.4146341463</v>
      </c>
    </row>
    <row r="306">
      <c r="A306" s="1" t="s">
        <v>9</v>
      </c>
      <c r="B306" s="1" t="s">
        <v>414</v>
      </c>
      <c r="C306" s="1" t="s">
        <v>18</v>
      </c>
      <c r="D306" s="1" t="s">
        <v>89</v>
      </c>
      <c r="E306" s="1" t="s">
        <v>134</v>
      </c>
      <c r="F306" s="1" t="s">
        <v>570</v>
      </c>
      <c r="G306" s="1">
        <v>29.5</v>
      </c>
      <c r="H306" s="1" t="s">
        <v>60</v>
      </c>
      <c r="I306" s="1">
        <v>-114.0</v>
      </c>
      <c r="J306" s="1">
        <v>0.00967771611587242</v>
      </c>
      <c r="K306" s="1" t="s">
        <v>61</v>
      </c>
      <c r="L306" s="1" t="s">
        <v>61</v>
      </c>
      <c r="M306" s="1" t="s">
        <v>62</v>
      </c>
      <c r="N306" s="1">
        <v>-119.0</v>
      </c>
      <c r="O306" s="1">
        <v>-0.0856836218541919</v>
      </c>
      <c r="P306" s="1" t="s">
        <v>61</v>
      </c>
      <c r="Q306" s="1" t="s">
        <v>61</v>
      </c>
      <c r="R306" s="1">
        <f t="shared" si="1"/>
        <v>0.009677716116</v>
      </c>
      <c r="S306" s="1">
        <f t="shared" si="2"/>
        <v>-114</v>
      </c>
      <c r="T306" s="1">
        <f t="shared" si="3"/>
        <v>1.877192982</v>
      </c>
      <c r="U306" s="1">
        <f t="shared" si="4"/>
        <v>1</v>
      </c>
      <c r="V306" s="3">
        <f t="shared" si="5"/>
        <v>1</v>
      </c>
      <c r="W306" s="3">
        <f t="shared" si="6"/>
        <v>2</v>
      </c>
      <c r="X306" s="3" t="str">
        <f>IFERROR(__xludf.DUMMYFUNCTION("split(B306,"" "")"),"E.")</f>
        <v>E.</v>
      </c>
      <c r="Y306" s="3" t="str">
        <f>IFERROR(__xludf.DUMMYFUNCTION("""COMPUTED_VALUE"""),"Moore")</f>
        <v>Moore</v>
      </c>
      <c r="AA306" s="3">
        <v>11.0</v>
      </c>
      <c r="AB306" s="3">
        <f t="shared" si="7"/>
        <v>0</v>
      </c>
      <c r="AC306" s="3">
        <f t="shared" si="8"/>
        <v>0</v>
      </c>
      <c r="AD306" s="3">
        <f t="shared" si="9"/>
        <v>0.8771929825</v>
      </c>
      <c r="AE306" s="3">
        <f t="shared" si="10"/>
        <v>-1</v>
      </c>
      <c r="AF306" s="3">
        <f t="shared" si="11"/>
        <v>-2</v>
      </c>
      <c r="AG306" s="3">
        <f t="shared" si="12"/>
        <v>-0.6271186441</v>
      </c>
    </row>
    <row r="307">
      <c r="A307" s="1" t="s">
        <v>11</v>
      </c>
      <c r="B307" s="1" t="s">
        <v>324</v>
      </c>
      <c r="C307" s="1" t="s">
        <v>19</v>
      </c>
      <c r="D307" s="1" t="s">
        <v>89</v>
      </c>
      <c r="E307" s="1" t="s">
        <v>134</v>
      </c>
      <c r="F307" s="1" t="s">
        <v>570</v>
      </c>
      <c r="G307" s="1">
        <v>16.5</v>
      </c>
      <c r="H307" s="1" t="s">
        <v>60</v>
      </c>
      <c r="I307" s="1">
        <v>-115.0</v>
      </c>
      <c r="J307" s="1">
        <v>-0.0774736512280633</v>
      </c>
      <c r="K307" s="1" t="s">
        <v>61</v>
      </c>
      <c r="L307" s="1" t="s">
        <v>61</v>
      </c>
      <c r="M307" s="1" t="s">
        <v>62</v>
      </c>
      <c r="N307" s="1">
        <v>-115.0</v>
      </c>
      <c r="O307" s="1">
        <v>0.00774969891227261</v>
      </c>
      <c r="P307" s="1" t="s">
        <v>61</v>
      </c>
      <c r="Q307" s="1" t="s">
        <v>61</v>
      </c>
      <c r="R307" s="1">
        <f t="shared" si="1"/>
        <v>0.007749698912</v>
      </c>
      <c r="S307" s="1">
        <f t="shared" si="2"/>
        <v>-115</v>
      </c>
      <c r="T307" s="1">
        <f t="shared" si="3"/>
        <v>1.869565217</v>
      </c>
      <c r="U307" s="1">
        <f t="shared" si="4"/>
        <v>0</v>
      </c>
      <c r="V307" s="3">
        <f t="shared" si="5"/>
        <v>1</v>
      </c>
      <c r="W307" s="3">
        <f t="shared" si="6"/>
        <v>2</v>
      </c>
      <c r="X307" s="3" t="str">
        <f>IFERROR(__xludf.DUMMYFUNCTION("split(B307,"" "")"),"J.")</f>
        <v>J.</v>
      </c>
      <c r="Y307" s="3" t="str">
        <f>IFERROR(__xludf.DUMMYFUNCTION("""COMPUTED_VALUE"""),"Ford")</f>
        <v>Ford</v>
      </c>
      <c r="AA307" s="3">
        <v>27.0</v>
      </c>
      <c r="AB307" s="3">
        <f t="shared" si="7"/>
        <v>1</v>
      </c>
      <c r="AC307" s="3">
        <f t="shared" si="8"/>
        <v>0</v>
      </c>
      <c r="AD307" s="3">
        <f t="shared" si="9"/>
        <v>0.8695652174</v>
      </c>
      <c r="AE307" s="3">
        <f t="shared" si="10"/>
        <v>-1</v>
      </c>
      <c r="AF307" s="3">
        <f t="shared" si="11"/>
        <v>-2</v>
      </c>
      <c r="AG307" s="3">
        <f t="shared" si="12"/>
        <v>-0.6363636364</v>
      </c>
    </row>
    <row r="308">
      <c r="A308" s="1" t="s">
        <v>10</v>
      </c>
      <c r="B308" s="1" t="s">
        <v>462</v>
      </c>
      <c r="C308" s="1" t="s">
        <v>21</v>
      </c>
      <c r="D308" s="1" t="s">
        <v>89</v>
      </c>
      <c r="E308" s="1" t="s">
        <v>134</v>
      </c>
      <c r="F308" s="1" t="s">
        <v>570</v>
      </c>
      <c r="G308" s="1">
        <v>23.5</v>
      </c>
      <c r="H308" s="1" t="s">
        <v>60</v>
      </c>
      <c r="I308" s="1">
        <v>-111.0</v>
      </c>
      <c r="J308" s="1">
        <v>-0.0773461070748976</v>
      </c>
      <c r="K308" s="1" t="s">
        <v>61</v>
      </c>
      <c r="L308" s="1" t="s">
        <v>61</v>
      </c>
      <c r="M308" s="1" t="s">
        <v>62</v>
      </c>
      <c r="N308" s="1">
        <v>-121.0</v>
      </c>
      <c r="O308" s="1">
        <v>0.00379635111896881</v>
      </c>
      <c r="P308" s="1" t="s">
        <v>61</v>
      </c>
      <c r="Q308" s="1" t="s">
        <v>61</v>
      </c>
      <c r="R308" s="1">
        <f t="shared" si="1"/>
        <v>0.003796351119</v>
      </c>
      <c r="S308" s="1">
        <f t="shared" si="2"/>
        <v>-121</v>
      </c>
      <c r="T308" s="1">
        <f t="shared" si="3"/>
        <v>1.826446281</v>
      </c>
      <c r="U308" s="1">
        <f t="shared" si="4"/>
        <v>0</v>
      </c>
      <c r="V308" s="3">
        <f t="shared" si="5"/>
        <v>1</v>
      </c>
      <c r="W308" s="3">
        <f t="shared" si="6"/>
        <v>3</v>
      </c>
      <c r="X308" s="3" t="str">
        <f>IFERROR(__xludf.DUMMYFUNCTION("split(B308,"" "")"),"D.")</f>
        <v>D.</v>
      </c>
      <c r="Y308" s="3" t="str">
        <f>IFERROR(__xludf.DUMMYFUNCTION("""COMPUTED_VALUE"""),"Watson")</f>
        <v>Watson</v>
      </c>
      <c r="AA308" s="3">
        <v>32.0</v>
      </c>
      <c r="AB308" s="3">
        <f t="shared" si="7"/>
        <v>1</v>
      </c>
      <c r="AC308" s="3">
        <f t="shared" si="8"/>
        <v>0</v>
      </c>
      <c r="AD308" s="3">
        <f t="shared" si="9"/>
        <v>0.826446281</v>
      </c>
      <c r="AE308" s="3">
        <f t="shared" si="10"/>
        <v>-1</v>
      </c>
      <c r="AF308" s="3">
        <f t="shared" si="11"/>
        <v>-3</v>
      </c>
      <c r="AG308" s="3">
        <f t="shared" si="12"/>
        <v>-0.3617021277</v>
      </c>
    </row>
    <row r="309">
      <c r="A309" s="1" t="s">
        <v>12</v>
      </c>
      <c r="B309" s="1" t="s">
        <v>442</v>
      </c>
      <c r="C309" s="1" t="s">
        <v>18</v>
      </c>
      <c r="D309" s="1" t="s">
        <v>89</v>
      </c>
      <c r="E309" s="1" t="s">
        <v>134</v>
      </c>
      <c r="F309" s="1" t="s">
        <v>570</v>
      </c>
      <c r="G309" s="1">
        <v>4.5</v>
      </c>
      <c r="H309" s="1" t="s">
        <v>60</v>
      </c>
      <c r="I309" s="1">
        <v>112.0</v>
      </c>
      <c r="J309" s="1">
        <v>0.00234905660377365</v>
      </c>
      <c r="K309" s="1" t="s">
        <v>61</v>
      </c>
      <c r="L309" s="1" t="s">
        <v>61</v>
      </c>
      <c r="M309" s="1" t="s">
        <v>62</v>
      </c>
      <c r="N309" s="1">
        <v>-147.0</v>
      </c>
      <c r="O309" s="1">
        <v>-0.0691821862348178</v>
      </c>
      <c r="P309" s="1" t="s">
        <v>61</v>
      </c>
      <c r="Q309" s="1" t="s">
        <v>61</v>
      </c>
      <c r="R309" s="1">
        <f t="shared" si="1"/>
        <v>0.002349056604</v>
      </c>
      <c r="S309" s="1">
        <f t="shared" si="2"/>
        <v>112</v>
      </c>
      <c r="T309" s="1">
        <f t="shared" si="3"/>
        <v>2.12</v>
      </c>
      <c r="U309" s="1">
        <f t="shared" si="4"/>
        <v>1</v>
      </c>
      <c r="V309" s="3">
        <f t="shared" si="5"/>
        <v>1</v>
      </c>
      <c r="W309" s="3">
        <f t="shared" si="6"/>
        <v>1</v>
      </c>
      <c r="X309" s="3" t="str">
        <f>IFERROR(__xludf.DUMMYFUNCTION("split(B309,"" "")"),"A.")</f>
        <v>A.</v>
      </c>
      <c r="Y309" s="3" t="str">
        <f>IFERROR(__xludf.DUMMYFUNCTION("""COMPUTED_VALUE"""),"Cooper")</f>
        <v>Cooper</v>
      </c>
      <c r="AA309" s="3">
        <v>4.0</v>
      </c>
      <c r="AB309" s="3">
        <f t="shared" si="7"/>
        <v>0</v>
      </c>
      <c r="AC309" s="3">
        <f t="shared" si="8"/>
        <v>0</v>
      </c>
      <c r="AD309" s="3">
        <f t="shared" si="9"/>
        <v>1.12</v>
      </c>
      <c r="AE309" s="3">
        <f t="shared" si="10"/>
        <v>-1</v>
      </c>
      <c r="AF309" s="3">
        <f t="shared" si="11"/>
        <v>-1</v>
      </c>
      <c r="AG309" s="3">
        <f t="shared" si="12"/>
        <v>-0.1111111111</v>
      </c>
    </row>
    <row r="310">
      <c r="A310" s="1" t="s">
        <v>13</v>
      </c>
      <c r="B310" s="1" t="s">
        <v>462</v>
      </c>
      <c r="C310" s="1" t="s">
        <v>21</v>
      </c>
      <c r="D310" s="1" t="s">
        <v>89</v>
      </c>
      <c r="E310" s="1" t="s">
        <v>134</v>
      </c>
      <c r="F310" s="1" t="s">
        <v>570</v>
      </c>
      <c r="G310" s="1">
        <v>205.5</v>
      </c>
      <c r="H310" s="1" t="s">
        <v>60</v>
      </c>
      <c r="I310" s="1">
        <v>-115.0</v>
      </c>
      <c r="J310" s="1">
        <v>5.39564837208961E-4</v>
      </c>
      <c r="K310" s="1" t="s">
        <v>61</v>
      </c>
      <c r="L310" s="1" t="s">
        <v>61</v>
      </c>
      <c r="M310" s="1" t="s">
        <v>62</v>
      </c>
      <c r="N310" s="1">
        <v>-115.0</v>
      </c>
      <c r="O310" s="1">
        <v>-0.0702804995627905</v>
      </c>
      <c r="P310" s="1" t="s">
        <v>61</v>
      </c>
      <c r="Q310" s="1" t="s">
        <v>61</v>
      </c>
      <c r="R310" s="1">
        <f t="shared" si="1"/>
        <v>0.0005395648372</v>
      </c>
      <c r="S310" s="1">
        <f t="shared" si="2"/>
        <v>-115</v>
      </c>
      <c r="T310" s="1">
        <f t="shared" si="3"/>
        <v>1.869565217</v>
      </c>
      <c r="U310" s="1">
        <f t="shared" si="4"/>
        <v>1</v>
      </c>
      <c r="V310" s="3">
        <f t="shared" si="5"/>
        <v>1</v>
      </c>
      <c r="W310" s="3">
        <f t="shared" si="6"/>
        <v>2</v>
      </c>
      <c r="X310" s="3" t="str">
        <f>IFERROR(__xludf.DUMMYFUNCTION("split(B310,"" "")"),"D.")</f>
        <v>D.</v>
      </c>
      <c r="Y310" s="3" t="str">
        <f>IFERROR(__xludf.DUMMYFUNCTION("""COMPUTED_VALUE"""),"Watson")</f>
        <v>Watson</v>
      </c>
      <c r="AA310" s="3">
        <v>176.0</v>
      </c>
      <c r="AB310" s="3">
        <f t="shared" si="7"/>
        <v>0</v>
      </c>
      <c r="AC310" s="3">
        <f t="shared" si="8"/>
        <v>0</v>
      </c>
      <c r="AD310" s="3">
        <f t="shared" si="9"/>
        <v>0.8695652174</v>
      </c>
      <c r="AE310" s="3">
        <f t="shared" si="10"/>
        <v>-1</v>
      </c>
      <c r="AF310" s="3">
        <f t="shared" si="11"/>
        <v>-2</v>
      </c>
      <c r="AG310" s="3">
        <f t="shared" si="12"/>
        <v>-0.1435523114</v>
      </c>
    </row>
    <row r="311">
      <c r="A311" s="1" t="s">
        <v>10</v>
      </c>
      <c r="B311" s="1" t="s">
        <v>389</v>
      </c>
      <c r="C311" s="1" t="s">
        <v>18</v>
      </c>
      <c r="D311" s="1" t="s">
        <v>67</v>
      </c>
      <c r="E311" s="1" t="s">
        <v>57</v>
      </c>
      <c r="F311" s="1" t="s">
        <v>564</v>
      </c>
      <c r="G311" s="1">
        <v>0.5</v>
      </c>
      <c r="H311" s="1" t="s">
        <v>60</v>
      </c>
      <c r="I311" s="1">
        <v>450.0</v>
      </c>
      <c r="J311" s="1">
        <v>0.437036297539952</v>
      </c>
      <c r="K311" s="1" t="s">
        <v>61</v>
      </c>
      <c r="L311" s="1" t="s">
        <v>61</v>
      </c>
      <c r="M311" s="1" t="s">
        <v>62</v>
      </c>
      <c r="N311" s="1">
        <v>-750.0</v>
      </c>
      <c r="O311" s="1">
        <v>-0.501133262052889</v>
      </c>
      <c r="P311" s="1" t="s">
        <v>61</v>
      </c>
      <c r="Q311" s="1" t="s">
        <v>61</v>
      </c>
      <c r="R311" s="1">
        <f t="shared" si="1"/>
        <v>0.4370362975</v>
      </c>
      <c r="S311" s="1">
        <f t="shared" si="2"/>
        <v>450</v>
      </c>
      <c r="T311" s="1">
        <f t="shared" si="3"/>
        <v>5.5</v>
      </c>
      <c r="U311" s="1">
        <f t="shared" si="4"/>
        <v>1</v>
      </c>
      <c r="V311" s="3">
        <f t="shared" si="5"/>
        <v>3</v>
      </c>
      <c r="W311" s="3">
        <f t="shared" si="6"/>
        <v>1</v>
      </c>
      <c r="X311" s="3" t="str">
        <f>IFERROR(__xludf.DUMMYFUNCTION("split(B311,"" "")"),"J.")</f>
        <v>J.</v>
      </c>
      <c r="Y311" s="3" t="str">
        <f>IFERROR(__xludf.DUMMYFUNCTION("""COMPUTED_VALUE"""),"Chase")</f>
        <v>Chase</v>
      </c>
      <c r="AA311" s="3">
        <v>0.0</v>
      </c>
      <c r="AB311" s="3">
        <f t="shared" si="7"/>
        <v>0</v>
      </c>
      <c r="AC311" s="3">
        <f t="shared" si="8"/>
        <v>0</v>
      </c>
      <c r="AD311" s="3">
        <f t="shared" si="9"/>
        <v>13.5</v>
      </c>
      <c r="AE311" s="3">
        <f t="shared" si="10"/>
        <v>0</v>
      </c>
      <c r="AF311" s="3">
        <f t="shared" si="11"/>
        <v>-1</v>
      </c>
      <c r="AG311" s="3">
        <f t="shared" si="12"/>
        <v>-1</v>
      </c>
    </row>
    <row r="312">
      <c r="A312" s="1" t="s">
        <v>12</v>
      </c>
      <c r="B312" s="1" t="s">
        <v>389</v>
      </c>
      <c r="C312" s="1" t="s">
        <v>18</v>
      </c>
      <c r="D312" s="1" t="s">
        <v>67</v>
      </c>
      <c r="E312" s="1" t="s">
        <v>57</v>
      </c>
      <c r="F312" s="1" t="s">
        <v>564</v>
      </c>
      <c r="G312" s="1">
        <v>6.5</v>
      </c>
      <c r="H312" s="1" t="s">
        <v>60</v>
      </c>
      <c r="I312" s="1">
        <v>112.0</v>
      </c>
      <c r="J312" s="1">
        <v>0.213249056603773</v>
      </c>
      <c r="K312" s="1" t="s">
        <v>61</v>
      </c>
      <c r="L312" s="1" t="s">
        <v>61</v>
      </c>
      <c r="M312" s="1" t="s">
        <v>62</v>
      </c>
      <c r="N312" s="1">
        <v>-148.0</v>
      </c>
      <c r="O312" s="1">
        <v>-0.281714516129032</v>
      </c>
      <c r="P312" s="1" t="s">
        <v>61</v>
      </c>
      <c r="Q312" s="1" t="s">
        <v>61</v>
      </c>
      <c r="R312" s="1">
        <f t="shared" si="1"/>
        <v>0.2132490566</v>
      </c>
      <c r="S312" s="1">
        <f t="shared" si="2"/>
        <v>112</v>
      </c>
      <c r="T312" s="1">
        <f t="shared" si="3"/>
        <v>2.12</v>
      </c>
      <c r="U312" s="1">
        <f t="shared" si="4"/>
        <v>1</v>
      </c>
      <c r="V312" s="3">
        <f t="shared" si="5"/>
        <v>3</v>
      </c>
      <c r="W312" s="3">
        <f t="shared" si="6"/>
        <v>1</v>
      </c>
      <c r="X312" s="3" t="str">
        <f>IFERROR(__xludf.DUMMYFUNCTION("split(B312,"" "")"),"J.")</f>
        <v>J.</v>
      </c>
      <c r="Y312" s="3" t="str">
        <f>IFERROR(__xludf.DUMMYFUNCTION("""COMPUTED_VALUE"""),"Chase")</f>
        <v>Chase</v>
      </c>
      <c r="AA312" s="3">
        <v>3.0</v>
      </c>
      <c r="AB312" s="3">
        <f t="shared" si="7"/>
        <v>0</v>
      </c>
      <c r="AC312" s="3">
        <f t="shared" si="8"/>
        <v>0</v>
      </c>
      <c r="AD312" s="3">
        <f t="shared" si="9"/>
        <v>3.36</v>
      </c>
      <c r="AE312" s="3">
        <f t="shared" si="10"/>
        <v>-3</v>
      </c>
      <c r="AF312" s="3">
        <f t="shared" si="11"/>
        <v>-1</v>
      </c>
      <c r="AG312" s="3">
        <f t="shared" si="12"/>
        <v>-0.5384615385</v>
      </c>
    </row>
    <row r="313">
      <c r="A313" s="1" t="s">
        <v>8</v>
      </c>
      <c r="B313" s="1" t="s">
        <v>168</v>
      </c>
      <c r="C313" s="1" t="s">
        <v>19</v>
      </c>
      <c r="D313" s="1" t="s">
        <v>67</v>
      </c>
      <c r="E313" s="1" t="s">
        <v>57</v>
      </c>
      <c r="F313" s="1" t="s">
        <v>564</v>
      </c>
      <c r="G313" s="1">
        <v>13.5</v>
      </c>
      <c r="H313" s="1" t="s">
        <v>60</v>
      </c>
      <c r="I313" s="1">
        <v>-117.0</v>
      </c>
      <c r="J313" s="1">
        <v>-0.23703174721705</v>
      </c>
      <c r="K313" s="1" t="s">
        <v>61</v>
      </c>
      <c r="L313" s="1" t="s">
        <v>61</v>
      </c>
      <c r="M313" s="1" t="s">
        <v>62</v>
      </c>
      <c r="N313" s="1">
        <v>-116.0</v>
      </c>
      <c r="O313" s="1">
        <v>0.160801256525351</v>
      </c>
      <c r="P313" s="1" t="s">
        <v>61</v>
      </c>
      <c r="Q313" s="1" t="s">
        <v>61</v>
      </c>
      <c r="R313" s="1">
        <f t="shared" si="1"/>
        <v>0.1608012565</v>
      </c>
      <c r="S313" s="1">
        <f t="shared" si="2"/>
        <v>-116</v>
      </c>
      <c r="T313" s="1">
        <f t="shared" si="3"/>
        <v>1.862068966</v>
      </c>
      <c r="U313" s="1">
        <f t="shared" si="4"/>
        <v>0</v>
      </c>
      <c r="V313" s="3">
        <f t="shared" si="5"/>
        <v>3</v>
      </c>
      <c r="W313" s="3">
        <f t="shared" si="6"/>
        <v>2</v>
      </c>
      <c r="X313" s="3" t="str">
        <f>IFERROR(__xludf.DUMMYFUNCTION("split(B313,"" "")"),"Z.")</f>
        <v>Z.</v>
      </c>
      <c r="Y313" s="3" t="str">
        <f>IFERROR(__xludf.DUMMYFUNCTION("""COMPUTED_VALUE"""),"Moss")</f>
        <v>Moss</v>
      </c>
      <c r="AA313" s="3">
        <v>15.0</v>
      </c>
      <c r="AB313" s="3">
        <f t="shared" si="7"/>
        <v>1</v>
      </c>
      <c r="AC313" s="3">
        <f t="shared" si="8"/>
        <v>0</v>
      </c>
      <c r="AD313" s="3">
        <f t="shared" si="9"/>
        <v>2.586206897</v>
      </c>
      <c r="AE313" s="3">
        <f t="shared" si="10"/>
        <v>-3</v>
      </c>
      <c r="AF313" s="3">
        <f t="shared" si="11"/>
        <v>-2</v>
      </c>
      <c r="AG313" s="3">
        <f t="shared" si="12"/>
        <v>-0.1111111111</v>
      </c>
    </row>
    <row r="314">
      <c r="A314" s="1" t="s">
        <v>8</v>
      </c>
      <c r="B314" s="1" t="s">
        <v>318</v>
      </c>
      <c r="C314" s="1" t="s">
        <v>21</v>
      </c>
      <c r="D314" s="1" t="s">
        <v>67</v>
      </c>
      <c r="E314" s="1" t="s">
        <v>57</v>
      </c>
      <c r="F314" s="1" t="s">
        <v>564</v>
      </c>
      <c r="G314" s="1">
        <v>3.5</v>
      </c>
      <c r="H314" s="1" t="s">
        <v>60</v>
      </c>
      <c r="I314" s="1">
        <v>-123.0</v>
      </c>
      <c r="J314" s="1">
        <v>-0.229354252139497</v>
      </c>
      <c r="K314" s="1" t="s">
        <v>61</v>
      </c>
      <c r="L314" s="1" t="s">
        <v>61</v>
      </c>
      <c r="M314" s="1" t="s">
        <v>62</v>
      </c>
      <c r="N314" s="1">
        <v>-110.0</v>
      </c>
      <c r="O314" s="1">
        <v>0.153989466903898</v>
      </c>
      <c r="P314" s="1" t="s">
        <v>61</v>
      </c>
      <c r="Q314" s="1" t="s">
        <v>61</v>
      </c>
      <c r="R314" s="1">
        <f t="shared" si="1"/>
        <v>0.1539894669</v>
      </c>
      <c r="S314" s="1">
        <f t="shared" si="2"/>
        <v>-110</v>
      </c>
      <c r="T314" s="1">
        <f t="shared" si="3"/>
        <v>1.909090909</v>
      </c>
      <c r="U314" s="1">
        <f t="shared" si="4"/>
        <v>0</v>
      </c>
      <c r="V314" s="3">
        <f t="shared" si="5"/>
        <v>3</v>
      </c>
      <c r="W314" s="3">
        <f t="shared" si="6"/>
        <v>2</v>
      </c>
      <c r="X314" s="3" t="str">
        <f>IFERROR(__xludf.DUMMYFUNCTION("split(B314,"" "")"),"J.")</f>
        <v>J.</v>
      </c>
      <c r="Y314" s="3" t="str">
        <f>IFERROR(__xludf.DUMMYFUNCTION("""COMPUTED_VALUE"""),"Burrow")</f>
        <v>Burrow</v>
      </c>
      <c r="AA314" s="3">
        <v>1.0</v>
      </c>
      <c r="AB314" s="3">
        <f t="shared" si="7"/>
        <v>0</v>
      </c>
      <c r="AC314" s="3">
        <f t="shared" si="8"/>
        <v>1</v>
      </c>
      <c r="AD314" s="3">
        <f t="shared" si="9"/>
        <v>2.727272727</v>
      </c>
      <c r="AE314" s="3">
        <f t="shared" si="10"/>
        <v>2.727272727</v>
      </c>
      <c r="AF314" s="3">
        <f t="shared" si="11"/>
        <v>1.818181818</v>
      </c>
      <c r="AG314" s="3">
        <f t="shared" si="12"/>
        <v>0.7142857143</v>
      </c>
    </row>
    <row r="315">
      <c r="A315" s="1" t="s">
        <v>8</v>
      </c>
      <c r="B315" s="1" t="s">
        <v>293</v>
      </c>
      <c r="C315" s="1" t="s">
        <v>19</v>
      </c>
      <c r="D315" s="1" t="s">
        <v>67</v>
      </c>
      <c r="E315" s="1" t="s">
        <v>57</v>
      </c>
      <c r="F315" s="1" t="s">
        <v>564</v>
      </c>
      <c r="G315" s="1">
        <v>6.5</v>
      </c>
      <c r="H315" s="1" t="s">
        <v>60</v>
      </c>
      <c r="I315" s="1">
        <v>-129.0</v>
      </c>
      <c r="J315" s="1">
        <v>-0.198846684411119</v>
      </c>
      <c r="K315" s="1" t="s">
        <v>61</v>
      </c>
      <c r="L315" s="1" t="s">
        <v>61</v>
      </c>
      <c r="M315" s="1" t="s">
        <v>62</v>
      </c>
      <c r="N315" s="1">
        <v>-101.0</v>
      </c>
      <c r="O315" s="1">
        <v>0.133044550435063</v>
      </c>
      <c r="P315" s="1" t="s">
        <v>61</v>
      </c>
      <c r="Q315" s="1" t="s">
        <v>61</v>
      </c>
      <c r="R315" s="1">
        <f t="shared" si="1"/>
        <v>0.1330445504</v>
      </c>
      <c r="S315" s="1">
        <f t="shared" si="2"/>
        <v>-101</v>
      </c>
      <c r="T315" s="1">
        <f t="shared" si="3"/>
        <v>1.99009901</v>
      </c>
      <c r="U315" s="1">
        <f t="shared" si="4"/>
        <v>0</v>
      </c>
      <c r="V315" s="3">
        <f t="shared" si="5"/>
        <v>3</v>
      </c>
      <c r="W315" s="3">
        <f t="shared" si="6"/>
        <v>2</v>
      </c>
      <c r="X315" s="3" t="str">
        <f>IFERROR(__xludf.DUMMYFUNCTION("split(B315,"" "")"),"C.")</f>
        <v>C.</v>
      </c>
      <c r="Y315" s="3" t="str">
        <f>IFERROR(__xludf.DUMMYFUNCTION("""COMPUTED_VALUE"""),"Brown")</f>
        <v>Brown</v>
      </c>
      <c r="AA315" s="3">
        <v>15.0</v>
      </c>
      <c r="AB315" s="3">
        <f t="shared" si="7"/>
        <v>1</v>
      </c>
      <c r="AC315" s="3">
        <f t="shared" si="8"/>
        <v>0</v>
      </c>
      <c r="AD315" s="3">
        <f t="shared" si="9"/>
        <v>2.97029703</v>
      </c>
      <c r="AE315" s="3">
        <f t="shared" si="10"/>
        <v>-3</v>
      </c>
      <c r="AF315" s="3">
        <f t="shared" si="11"/>
        <v>-2</v>
      </c>
      <c r="AG315" s="3">
        <f t="shared" si="12"/>
        <v>-1.307692308</v>
      </c>
    </row>
    <row r="316">
      <c r="A316" s="1" t="s">
        <v>9</v>
      </c>
      <c r="B316" s="1" t="s">
        <v>168</v>
      </c>
      <c r="C316" s="1" t="s">
        <v>19</v>
      </c>
      <c r="D316" s="1" t="s">
        <v>67</v>
      </c>
      <c r="E316" s="1" t="s">
        <v>57</v>
      </c>
      <c r="F316" s="1" t="s">
        <v>564</v>
      </c>
      <c r="G316" s="1">
        <v>74.5</v>
      </c>
      <c r="H316" s="1" t="s">
        <v>60</v>
      </c>
      <c r="I316" s="1">
        <v>-117.0</v>
      </c>
      <c r="J316" s="1">
        <v>-0.150134001005165</v>
      </c>
      <c r="K316" s="1" t="s">
        <v>61</v>
      </c>
      <c r="L316" s="1" t="s">
        <v>61</v>
      </c>
      <c r="M316" s="1" t="s">
        <v>62</v>
      </c>
      <c r="N316" s="1">
        <v>-115.0</v>
      </c>
      <c r="O316" s="1">
        <v>0.0760899765155301</v>
      </c>
      <c r="P316" s="1" t="s">
        <v>61</v>
      </c>
      <c r="Q316" s="1" t="s">
        <v>61</v>
      </c>
      <c r="R316" s="1">
        <f t="shared" si="1"/>
        <v>0.07608997652</v>
      </c>
      <c r="S316" s="1">
        <f t="shared" si="2"/>
        <v>-115</v>
      </c>
      <c r="T316" s="1">
        <f t="shared" si="3"/>
        <v>1.869565217</v>
      </c>
      <c r="U316" s="1">
        <f t="shared" si="4"/>
        <v>0</v>
      </c>
      <c r="V316" s="3">
        <f t="shared" si="5"/>
        <v>2</v>
      </c>
      <c r="W316" s="3">
        <f t="shared" si="6"/>
        <v>2</v>
      </c>
      <c r="X316" s="3" t="str">
        <f>IFERROR(__xludf.DUMMYFUNCTION("split(B316,"" "")"),"Z.")</f>
        <v>Z.</v>
      </c>
      <c r="Y316" s="3" t="str">
        <f>IFERROR(__xludf.DUMMYFUNCTION("""COMPUTED_VALUE"""),"Moss")</f>
        <v>Moss</v>
      </c>
      <c r="AA316" s="3">
        <v>78.0</v>
      </c>
      <c r="AB316" s="3">
        <f t="shared" si="7"/>
        <v>1</v>
      </c>
      <c r="AC316" s="3">
        <f t="shared" si="8"/>
        <v>0</v>
      </c>
      <c r="AD316" s="3">
        <f t="shared" si="9"/>
        <v>1.739130435</v>
      </c>
      <c r="AE316" s="3">
        <f t="shared" si="10"/>
        <v>-2</v>
      </c>
      <c r="AF316" s="3">
        <f t="shared" si="11"/>
        <v>-2</v>
      </c>
      <c r="AG316" s="3">
        <f t="shared" si="12"/>
        <v>-0.04697986577</v>
      </c>
    </row>
    <row r="317">
      <c r="A317" s="1" t="s">
        <v>14</v>
      </c>
      <c r="B317" s="1" t="s">
        <v>318</v>
      </c>
      <c r="C317" s="1" t="s">
        <v>21</v>
      </c>
      <c r="D317" s="1" t="s">
        <v>67</v>
      </c>
      <c r="E317" s="1" t="s">
        <v>57</v>
      </c>
      <c r="F317" s="1" t="s">
        <v>564</v>
      </c>
      <c r="G317" s="1">
        <v>1.5</v>
      </c>
      <c r="H317" s="1" t="s">
        <v>60</v>
      </c>
      <c r="I317" s="1">
        <v>-157.0</v>
      </c>
      <c r="J317" s="1">
        <v>-0.139194941634241</v>
      </c>
      <c r="K317" s="1" t="s">
        <v>61</v>
      </c>
      <c r="L317" s="1" t="s">
        <v>61</v>
      </c>
      <c r="M317" s="1" t="s">
        <v>62</v>
      </c>
      <c r="N317" s="1">
        <v>120.0</v>
      </c>
      <c r="O317" s="1">
        <v>0.0737545454545454</v>
      </c>
      <c r="P317" s="1" t="s">
        <v>61</v>
      </c>
      <c r="Q317" s="1" t="s">
        <v>61</v>
      </c>
      <c r="R317" s="1">
        <f t="shared" si="1"/>
        <v>0.07375454545</v>
      </c>
      <c r="S317" s="1">
        <f t="shared" si="2"/>
        <v>120</v>
      </c>
      <c r="T317" s="1">
        <f t="shared" si="3"/>
        <v>2.2</v>
      </c>
      <c r="U317" s="1">
        <f t="shared" si="4"/>
        <v>0</v>
      </c>
      <c r="V317" s="3">
        <f t="shared" si="5"/>
        <v>2</v>
      </c>
      <c r="W317" s="3">
        <f t="shared" si="6"/>
        <v>1</v>
      </c>
      <c r="X317" s="3" t="str">
        <f>IFERROR(__xludf.DUMMYFUNCTION("split(B317,"" "")"),"J.")</f>
        <v>J.</v>
      </c>
      <c r="Y317" s="3" t="str">
        <f>IFERROR(__xludf.DUMMYFUNCTION("""COMPUTED_VALUE"""),"Burrow")</f>
        <v>Burrow</v>
      </c>
      <c r="AA317" s="3">
        <v>2.0</v>
      </c>
      <c r="AB317" s="3">
        <f t="shared" si="7"/>
        <v>1</v>
      </c>
      <c r="AC317" s="3">
        <f t="shared" si="8"/>
        <v>0</v>
      </c>
      <c r="AD317" s="3">
        <f t="shared" si="9"/>
        <v>2.4</v>
      </c>
      <c r="AE317" s="3">
        <f t="shared" si="10"/>
        <v>-2</v>
      </c>
      <c r="AF317" s="3">
        <f t="shared" si="11"/>
        <v>-1</v>
      </c>
      <c r="AG317" s="3">
        <f t="shared" si="12"/>
        <v>-0.3333333333</v>
      </c>
    </row>
    <row r="318">
      <c r="A318" s="1" t="s">
        <v>10</v>
      </c>
      <c r="B318" s="1" t="s">
        <v>168</v>
      </c>
      <c r="C318" s="1" t="s">
        <v>19</v>
      </c>
      <c r="D318" s="1" t="s">
        <v>67</v>
      </c>
      <c r="E318" s="1" t="s">
        <v>57</v>
      </c>
      <c r="F318" s="1" t="s">
        <v>564</v>
      </c>
      <c r="G318" s="1">
        <v>57.5</v>
      </c>
      <c r="H318" s="1" t="s">
        <v>60</v>
      </c>
      <c r="I318" s="1">
        <v>-113.0</v>
      </c>
      <c r="J318" s="1">
        <v>-0.131978338790508</v>
      </c>
      <c r="K318" s="1" t="s">
        <v>61</v>
      </c>
      <c r="L318" s="1" t="s">
        <v>61</v>
      </c>
      <c r="M318" s="1" t="s">
        <v>62</v>
      </c>
      <c r="N318" s="1">
        <v>-116.0</v>
      </c>
      <c r="O318" s="1">
        <v>0.0643881656774929</v>
      </c>
      <c r="P318" s="1" t="s">
        <v>61</v>
      </c>
      <c r="Q318" s="1" t="s">
        <v>61</v>
      </c>
      <c r="R318" s="1">
        <f t="shared" si="1"/>
        <v>0.06438816568</v>
      </c>
      <c r="S318" s="1">
        <f t="shared" si="2"/>
        <v>-116</v>
      </c>
      <c r="T318" s="1">
        <f t="shared" si="3"/>
        <v>1.862068966</v>
      </c>
      <c r="U318" s="1">
        <f t="shared" si="4"/>
        <v>0</v>
      </c>
      <c r="V318" s="3">
        <f t="shared" si="5"/>
        <v>2</v>
      </c>
      <c r="W318" s="3">
        <f t="shared" si="6"/>
        <v>2</v>
      </c>
      <c r="X318" s="3" t="str">
        <f>IFERROR(__xludf.DUMMYFUNCTION("split(B318,"" "")"),"Z.")</f>
        <v>Z.</v>
      </c>
      <c r="Y318" s="3" t="str">
        <f>IFERROR(__xludf.DUMMYFUNCTION("""COMPUTED_VALUE"""),"Moss")</f>
        <v>Moss</v>
      </c>
      <c r="AA318" s="3">
        <v>51.0</v>
      </c>
      <c r="AB318" s="3">
        <f t="shared" si="7"/>
        <v>0</v>
      </c>
      <c r="AC318" s="3">
        <f t="shared" si="8"/>
        <v>1</v>
      </c>
      <c r="AD318" s="3">
        <f t="shared" si="9"/>
        <v>1.724137931</v>
      </c>
      <c r="AE318" s="3">
        <f t="shared" si="10"/>
        <v>1.724137931</v>
      </c>
      <c r="AF318" s="3">
        <f t="shared" si="11"/>
        <v>1.724137931</v>
      </c>
      <c r="AG318" s="3">
        <f t="shared" si="12"/>
        <v>0.1130434783</v>
      </c>
    </row>
    <row r="319">
      <c r="A319" s="1" t="s">
        <v>11</v>
      </c>
      <c r="B319" s="1" t="s">
        <v>293</v>
      </c>
      <c r="C319" s="1" t="s">
        <v>19</v>
      </c>
      <c r="D319" s="1" t="s">
        <v>67</v>
      </c>
      <c r="E319" s="1" t="s">
        <v>57</v>
      </c>
      <c r="F319" s="1" t="s">
        <v>564</v>
      </c>
      <c r="G319" s="1">
        <v>9.5</v>
      </c>
      <c r="H319" s="1" t="s">
        <v>60</v>
      </c>
      <c r="I319" s="1">
        <v>-112.0</v>
      </c>
      <c r="J319" s="1">
        <v>0.0263108328082201</v>
      </c>
      <c r="K319" s="1" t="s">
        <v>61</v>
      </c>
      <c r="L319" s="1" t="s">
        <v>61</v>
      </c>
      <c r="M319" s="1" t="s">
        <v>62</v>
      </c>
      <c r="N319" s="1">
        <v>-117.0</v>
      </c>
      <c r="O319" s="1">
        <v>-0.0937135252062254</v>
      </c>
      <c r="P319" s="1" t="s">
        <v>61</v>
      </c>
      <c r="Q319" s="1" t="s">
        <v>61</v>
      </c>
      <c r="R319" s="1">
        <f t="shared" si="1"/>
        <v>0.02631083281</v>
      </c>
      <c r="S319" s="1">
        <f t="shared" si="2"/>
        <v>-112</v>
      </c>
      <c r="T319" s="1">
        <f t="shared" si="3"/>
        <v>1.892857143</v>
      </c>
      <c r="U319" s="1">
        <f t="shared" si="4"/>
        <v>1</v>
      </c>
      <c r="V319" s="3">
        <f t="shared" si="5"/>
        <v>1</v>
      </c>
      <c r="W319" s="3">
        <f t="shared" si="6"/>
        <v>2</v>
      </c>
      <c r="X319" s="3" t="str">
        <f>IFERROR(__xludf.DUMMYFUNCTION("split(B319,"" "")"),"C.")</f>
        <v>C.</v>
      </c>
      <c r="Y319" s="3" t="str">
        <f>IFERROR(__xludf.DUMMYFUNCTION("""COMPUTED_VALUE"""),"Brown")</f>
        <v>Brown</v>
      </c>
      <c r="AA319" s="3">
        <v>12.0</v>
      </c>
      <c r="AB319" s="3">
        <f t="shared" si="7"/>
        <v>1</v>
      </c>
      <c r="AC319" s="3">
        <f t="shared" si="8"/>
        <v>1</v>
      </c>
      <c r="AD319" s="3">
        <f t="shared" si="9"/>
        <v>0.8928571429</v>
      </c>
      <c r="AE319" s="3">
        <f t="shared" si="10"/>
        <v>0.8928571429</v>
      </c>
      <c r="AF319" s="3">
        <f t="shared" si="11"/>
        <v>1.785714286</v>
      </c>
      <c r="AG319" s="3">
        <f t="shared" si="12"/>
        <v>0.2631578947</v>
      </c>
    </row>
    <row r="320">
      <c r="A320" s="1" t="s">
        <v>17</v>
      </c>
      <c r="B320" s="1" t="s">
        <v>318</v>
      </c>
      <c r="C320" s="1" t="s">
        <v>21</v>
      </c>
      <c r="D320" s="1" t="s">
        <v>67</v>
      </c>
      <c r="E320" s="1" t="s">
        <v>57</v>
      </c>
      <c r="F320" s="1" t="s">
        <v>564</v>
      </c>
      <c r="G320" s="1">
        <v>0.5</v>
      </c>
      <c r="H320" s="1" t="s">
        <v>60</v>
      </c>
      <c r="I320" s="1">
        <v>-117.0</v>
      </c>
      <c r="J320" s="1">
        <v>-0.0970705069124422</v>
      </c>
      <c r="K320" s="1" t="s">
        <v>61</v>
      </c>
      <c r="L320" s="1" t="s">
        <v>61</v>
      </c>
      <c r="M320" s="1" t="s">
        <v>62</v>
      </c>
      <c r="N320" s="1">
        <v>-114.0</v>
      </c>
      <c r="O320" s="1">
        <v>0.0251897196261683</v>
      </c>
      <c r="P320" s="1" t="s">
        <v>61</v>
      </c>
      <c r="Q320" s="1" t="s">
        <v>61</v>
      </c>
      <c r="R320" s="1">
        <f t="shared" si="1"/>
        <v>0.02518971963</v>
      </c>
      <c r="S320" s="1">
        <f t="shared" si="2"/>
        <v>-114</v>
      </c>
      <c r="T320" s="1">
        <f t="shared" si="3"/>
        <v>1.877192982</v>
      </c>
      <c r="U320" s="1">
        <f t="shared" si="4"/>
        <v>0</v>
      </c>
      <c r="V320" s="3">
        <f t="shared" si="5"/>
        <v>1</v>
      </c>
      <c r="W320" s="3">
        <f t="shared" si="6"/>
        <v>2</v>
      </c>
      <c r="X320" s="3" t="str">
        <f>IFERROR(__xludf.DUMMYFUNCTION("split(B320,"" "")"),"J.")</f>
        <v>J.</v>
      </c>
      <c r="Y320" s="3" t="str">
        <f>IFERROR(__xludf.DUMMYFUNCTION("""COMPUTED_VALUE"""),"Burrow")</f>
        <v>Burrow</v>
      </c>
      <c r="AA320" s="3">
        <v>1.0</v>
      </c>
      <c r="AB320" s="3">
        <f t="shared" si="7"/>
        <v>1</v>
      </c>
      <c r="AC320" s="3">
        <f t="shared" si="8"/>
        <v>0</v>
      </c>
      <c r="AD320" s="3">
        <f t="shared" si="9"/>
        <v>0.8771929825</v>
      </c>
      <c r="AE320" s="3">
        <f t="shared" si="10"/>
        <v>-1</v>
      </c>
      <c r="AF320" s="3">
        <f t="shared" si="11"/>
        <v>-2</v>
      </c>
      <c r="AG320" s="3">
        <f t="shared" si="12"/>
        <v>-1</v>
      </c>
    </row>
    <row r="321">
      <c r="A321" s="1" t="s">
        <v>16</v>
      </c>
      <c r="B321" s="1" t="s">
        <v>318</v>
      </c>
      <c r="C321" s="1" t="s">
        <v>21</v>
      </c>
      <c r="D321" s="1" t="s">
        <v>67</v>
      </c>
      <c r="E321" s="1" t="s">
        <v>57</v>
      </c>
      <c r="F321" s="1" t="s">
        <v>564</v>
      </c>
      <c r="G321" s="1">
        <v>35.5</v>
      </c>
      <c r="H321" s="1" t="s">
        <v>60</v>
      </c>
      <c r="I321" s="1">
        <v>-102.0</v>
      </c>
      <c r="J321" s="1">
        <v>0.0105017970322772</v>
      </c>
      <c r="K321" s="1" t="s">
        <v>61</v>
      </c>
      <c r="L321" s="1" t="s">
        <v>61</v>
      </c>
      <c r="M321" s="1" t="s">
        <v>62</v>
      </c>
      <c r="N321" s="1">
        <v>-128.0</v>
      </c>
      <c r="O321" s="1">
        <v>-0.0768226479210526</v>
      </c>
      <c r="P321" s="1" t="s">
        <v>61</v>
      </c>
      <c r="Q321" s="1" t="s">
        <v>61</v>
      </c>
      <c r="R321" s="1">
        <f t="shared" si="1"/>
        <v>0.01050179703</v>
      </c>
      <c r="S321" s="1">
        <f t="shared" si="2"/>
        <v>-102</v>
      </c>
      <c r="T321" s="1">
        <f t="shared" si="3"/>
        <v>1.980392157</v>
      </c>
      <c r="U321" s="1">
        <f t="shared" si="4"/>
        <v>1</v>
      </c>
      <c r="V321" s="3">
        <f t="shared" si="5"/>
        <v>1</v>
      </c>
      <c r="W321" s="3">
        <f t="shared" si="6"/>
        <v>2</v>
      </c>
      <c r="X321" s="3" t="str">
        <f>IFERROR(__xludf.DUMMYFUNCTION("split(B321,"" "")"),"J.")</f>
        <v>J.</v>
      </c>
      <c r="Y321" s="3" t="str">
        <f>IFERROR(__xludf.DUMMYFUNCTION("""COMPUTED_VALUE"""),"Burrow")</f>
        <v>Burrow</v>
      </c>
      <c r="AA321" s="3">
        <v>31.0</v>
      </c>
      <c r="AB321" s="3">
        <f t="shared" si="7"/>
        <v>0</v>
      </c>
      <c r="AC321" s="3">
        <f t="shared" si="8"/>
        <v>0</v>
      </c>
      <c r="AD321" s="3">
        <f t="shared" si="9"/>
        <v>0.9803921569</v>
      </c>
      <c r="AE321" s="3">
        <f t="shared" si="10"/>
        <v>-1</v>
      </c>
      <c r="AF321" s="3">
        <f t="shared" si="11"/>
        <v>-2</v>
      </c>
      <c r="AG321" s="3">
        <f t="shared" si="12"/>
        <v>-0.1267605634</v>
      </c>
    </row>
    <row r="322">
      <c r="A322" s="1" t="s">
        <v>11</v>
      </c>
      <c r="B322" s="1" t="s">
        <v>529</v>
      </c>
      <c r="C322" s="1" t="s">
        <v>18</v>
      </c>
      <c r="D322" s="1" t="s">
        <v>67</v>
      </c>
      <c r="E322" s="1" t="s">
        <v>57</v>
      </c>
      <c r="F322" s="1" t="s">
        <v>564</v>
      </c>
      <c r="G322" s="1">
        <v>53.5</v>
      </c>
      <c r="H322" s="1" t="s">
        <v>60</v>
      </c>
      <c r="I322" s="1">
        <v>-114.0</v>
      </c>
      <c r="J322" s="1">
        <v>-0.0765629538012429</v>
      </c>
      <c r="K322" s="1" t="s">
        <v>61</v>
      </c>
      <c r="L322" s="1" t="s">
        <v>61</v>
      </c>
      <c r="M322" s="1" t="s">
        <v>62</v>
      </c>
      <c r="N322" s="1">
        <v>-116.0</v>
      </c>
      <c r="O322" s="1">
        <v>0.00680832417305532</v>
      </c>
      <c r="P322" s="1" t="s">
        <v>61</v>
      </c>
      <c r="Q322" s="1" t="s">
        <v>61</v>
      </c>
      <c r="R322" s="1">
        <f t="shared" si="1"/>
        <v>0.006808324173</v>
      </c>
      <c r="S322" s="1">
        <f t="shared" si="2"/>
        <v>-116</v>
      </c>
      <c r="T322" s="1">
        <f t="shared" si="3"/>
        <v>1.862068966</v>
      </c>
      <c r="U322" s="1">
        <f t="shared" si="4"/>
        <v>0</v>
      </c>
      <c r="V322" s="3">
        <f t="shared" si="5"/>
        <v>1</v>
      </c>
      <c r="W322" s="3">
        <f t="shared" si="6"/>
        <v>2</v>
      </c>
      <c r="X322" s="3" t="str">
        <f>IFERROR(__xludf.DUMMYFUNCTION("split(B322,"" "")"),"T.")</f>
        <v>T.</v>
      </c>
      <c r="Y322" s="3" t="str">
        <f>IFERROR(__xludf.DUMMYFUNCTION("""COMPUTED_VALUE"""),"Higgins")</f>
        <v>Higgins</v>
      </c>
      <c r="AA322" s="3">
        <v>60.0</v>
      </c>
      <c r="AB322" s="3">
        <f t="shared" si="7"/>
        <v>1</v>
      </c>
      <c r="AC322" s="3">
        <f t="shared" si="8"/>
        <v>0</v>
      </c>
      <c r="AD322" s="3">
        <f t="shared" si="9"/>
        <v>0.8620689655</v>
      </c>
      <c r="AE322" s="3">
        <f t="shared" si="10"/>
        <v>-1</v>
      </c>
      <c r="AF322" s="3">
        <f t="shared" si="11"/>
        <v>-2</v>
      </c>
      <c r="AG322" s="3">
        <f t="shared" si="12"/>
        <v>-0.1214953271</v>
      </c>
    </row>
    <row r="323">
      <c r="A323" s="1" t="s">
        <v>15</v>
      </c>
      <c r="B323" s="1" t="s">
        <v>318</v>
      </c>
      <c r="C323" s="1" t="s">
        <v>21</v>
      </c>
      <c r="D323" s="1" t="s">
        <v>67</v>
      </c>
      <c r="E323" s="1" t="s">
        <v>57</v>
      </c>
      <c r="F323" s="1" t="s">
        <v>564</v>
      </c>
      <c r="G323" s="1">
        <v>23.5</v>
      </c>
      <c r="H323" s="1" t="s">
        <v>60</v>
      </c>
      <c r="I323" s="1">
        <v>-124.0</v>
      </c>
      <c r="J323" s="1">
        <v>0.00351785714285712</v>
      </c>
      <c r="K323" s="1" t="s">
        <v>61</v>
      </c>
      <c r="L323" s="1" t="s">
        <v>61</v>
      </c>
      <c r="M323" s="1" t="s">
        <v>62</v>
      </c>
      <c r="N323" s="1">
        <v>-106.0</v>
      </c>
      <c r="O323" s="1">
        <v>-0.0716660194174758</v>
      </c>
      <c r="P323" s="1" t="s">
        <v>61</v>
      </c>
      <c r="Q323" s="1" t="s">
        <v>61</v>
      </c>
      <c r="R323" s="1">
        <f t="shared" si="1"/>
        <v>0.003517857143</v>
      </c>
      <c r="S323" s="1">
        <f t="shared" si="2"/>
        <v>-124</v>
      </c>
      <c r="T323" s="1">
        <f t="shared" si="3"/>
        <v>1.806451613</v>
      </c>
      <c r="U323" s="1">
        <f t="shared" si="4"/>
        <v>1</v>
      </c>
      <c r="V323" s="3">
        <f t="shared" si="5"/>
        <v>1</v>
      </c>
      <c r="W323" s="3">
        <f t="shared" si="6"/>
        <v>3</v>
      </c>
      <c r="X323" s="3" t="str">
        <f>IFERROR(__xludf.DUMMYFUNCTION("split(B323,"" "")"),"J.")</f>
        <v>J.</v>
      </c>
      <c r="Y323" s="3" t="str">
        <f>IFERROR(__xludf.DUMMYFUNCTION("""COMPUTED_VALUE"""),"Burrow")</f>
        <v>Burrow</v>
      </c>
      <c r="AA323" s="3">
        <v>22.0</v>
      </c>
      <c r="AB323" s="3">
        <f t="shared" si="7"/>
        <v>0</v>
      </c>
      <c r="AC323" s="3">
        <f t="shared" si="8"/>
        <v>0</v>
      </c>
      <c r="AD323" s="3">
        <f t="shared" si="9"/>
        <v>0.8064516129</v>
      </c>
      <c r="AE323" s="3">
        <f t="shared" si="10"/>
        <v>-1</v>
      </c>
      <c r="AF323" s="3">
        <f t="shared" si="11"/>
        <v>-3</v>
      </c>
      <c r="AG323" s="3">
        <f t="shared" si="12"/>
        <v>-0.06382978723</v>
      </c>
    </row>
    <row r="324">
      <c r="A324" s="1" t="s">
        <v>9</v>
      </c>
      <c r="B324" s="1" t="s">
        <v>293</v>
      </c>
      <c r="C324" s="1" t="s">
        <v>19</v>
      </c>
      <c r="D324" s="1" t="s">
        <v>67</v>
      </c>
      <c r="E324" s="1" t="s">
        <v>57</v>
      </c>
      <c r="F324" s="1" t="s">
        <v>564</v>
      </c>
      <c r="G324" s="1">
        <v>40.5</v>
      </c>
      <c r="H324" s="1" t="s">
        <v>60</v>
      </c>
      <c r="I324" s="1">
        <v>-121.0</v>
      </c>
      <c r="J324" s="1">
        <v>0.00301058656723396</v>
      </c>
      <c r="K324" s="1" t="s">
        <v>61</v>
      </c>
      <c r="L324" s="1" t="s">
        <v>61</v>
      </c>
      <c r="M324" s="1" t="s">
        <v>62</v>
      </c>
      <c r="N324" s="1">
        <v>-112.0</v>
      </c>
      <c r="O324" s="1">
        <v>-0.0787604357883102</v>
      </c>
      <c r="P324" s="1" t="s">
        <v>61</v>
      </c>
      <c r="Q324" s="1" t="s">
        <v>61</v>
      </c>
      <c r="R324" s="1">
        <f t="shared" si="1"/>
        <v>0.003010586567</v>
      </c>
      <c r="S324" s="1">
        <f t="shared" si="2"/>
        <v>-121</v>
      </c>
      <c r="T324" s="1">
        <f t="shared" si="3"/>
        <v>1.826446281</v>
      </c>
      <c r="U324" s="1">
        <f t="shared" si="4"/>
        <v>1</v>
      </c>
      <c r="V324" s="3">
        <f t="shared" si="5"/>
        <v>1</v>
      </c>
      <c r="W324" s="3">
        <f t="shared" si="6"/>
        <v>3</v>
      </c>
      <c r="X324" s="3" t="str">
        <f>IFERROR(__xludf.DUMMYFUNCTION("split(B324,"" "")"),"C.")</f>
        <v>C.</v>
      </c>
      <c r="Y324" s="3" t="str">
        <f>IFERROR(__xludf.DUMMYFUNCTION("""COMPUTED_VALUE"""),"Brown")</f>
        <v>Brown</v>
      </c>
      <c r="AA324" s="3">
        <v>92.0</v>
      </c>
      <c r="AB324" s="3">
        <f t="shared" si="7"/>
        <v>1</v>
      </c>
      <c r="AC324" s="3">
        <f t="shared" si="8"/>
        <v>1</v>
      </c>
      <c r="AD324" s="3">
        <f t="shared" si="9"/>
        <v>0.826446281</v>
      </c>
      <c r="AE324" s="3">
        <f t="shared" si="10"/>
        <v>0.826446281</v>
      </c>
      <c r="AF324" s="3">
        <f t="shared" si="11"/>
        <v>2.479338843</v>
      </c>
      <c r="AG324" s="3">
        <f t="shared" si="12"/>
        <v>1.271604938</v>
      </c>
    </row>
    <row r="325">
      <c r="A325" s="1" t="s">
        <v>8</v>
      </c>
      <c r="B325" s="1" t="s">
        <v>274</v>
      </c>
      <c r="C325" s="1" t="s">
        <v>21</v>
      </c>
      <c r="D325" s="1" t="s">
        <v>99</v>
      </c>
      <c r="E325" s="1" t="s">
        <v>196</v>
      </c>
      <c r="F325" s="1" t="s">
        <v>564</v>
      </c>
      <c r="G325" s="1">
        <v>4.5</v>
      </c>
      <c r="H325" s="1" t="s">
        <v>60</v>
      </c>
      <c r="I325" s="1">
        <v>-120.0</v>
      </c>
      <c r="J325" s="1">
        <v>-0.202492804611798</v>
      </c>
      <c r="K325" s="1" t="s">
        <v>61</v>
      </c>
      <c r="L325" s="1" t="s">
        <v>61</v>
      </c>
      <c r="M325" s="1" t="s">
        <v>62</v>
      </c>
      <c r="N325" s="1">
        <v>-112.0</v>
      </c>
      <c r="O325" s="1">
        <v>0.128742580454467</v>
      </c>
      <c r="P325" s="1" t="s">
        <v>61</v>
      </c>
      <c r="Q325" s="1" t="s">
        <v>61</v>
      </c>
      <c r="R325" s="1">
        <f t="shared" si="1"/>
        <v>0.1287425805</v>
      </c>
      <c r="S325" s="1">
        <f t="shared" si="2"/>
        <v>-112</v>
      </c>
      <c r="T325" s="1">
        <f t="shared" si="3"/>
        <v>1.892857143</v>
      </c>
      <c r="U325" s="1">
        <f t="shared" si="4"/>
        <v>0</v>
      </c>
      <c r="V325" s="3">
        <f t="shared" si="5"/>
        <v>3</v>
      </c>
      <c r="W325" s="3">
        <f t="shared" si="6"/>
        <v>2</v>
      </c>
      <c r="X325" s="3" t="str">
        <f>IFERROR(__xludf.DUMMYFUNCTION("split(B325,"" "")"),"C.")</f>
        <v>C.</v>
      </c>
      <c r="Y325" s="3" t="str">
        <f>IFERROR(__xludf.DUMMYFUNCTION("""COMPUTED_VALUE"""),"Williams")</f>
        <v>Williams</v>
      </c>
      <c r="AA325" s="1">
        <v>5.0</v>
      </c>
      <c r="AB325" s="3">
        <f t="shared" si="7"/>
        <v>1</v>
      </c>
      <c r="AC325" s="3">
        <f t="shared" si="8"/>
        <v>0</v>
      </c>
      <c r="AD325" s="3">
        <f t="shared" si="9"/>
        <v>2.678571429</v>
      </c>
      <c r="AE325" s="3">
        <f t="shared" si="10"/>
        <v>-3</v>
      </c>
      <c r="AF325" s="3">
        <f t="shared" si="11"/>
        <v>-2</v>
      </c>
      <c r="AG325" s="3">
        <f t="shared" si="12"/>
        <v>-0.1111111111</v>
      </c>
    </row>
    <row r="326">
      <c r="A326" s="1" t="s">
        <v>15</v>
      </c>
      <c r="B326" s="1" t="s">
        <v>274</v>
      </c>
      <c r="C326" s="1" t="s">
        <v>21</v>
      </c>
      <c r="D326" s="1" t="s">
        <v>99</v>
      </c>
      <c r="E326" s="1" t="s">
        <v>196</v>
      </c>
      <c r="F326" s="1" t="s">
        <v>564</v>
      </c>
      <c r="G326" s="1">
        <v>20.5</v>
      </c>
      <c r="H326" s="1" t="s">
        <v>60</v>
      </c>
      <c r="I326" s="1">
        <v>-102.0</v>
      </c>
      <c r="J326" s="1">
        <v>0.0763</v>
      </c>
      <c r="K326" s="1" t="s">
        <v>61</v>
      </c>
      <c r="L326" s="1" t="s">
        <v>61</v>
      </c>
      <c r="M326" s="1" t="s">
        <v>62</v>
      </c>
      <c r="N326" s="1">
        <v>-128.0</v>
      </c>
      <c r="O326" s="1">
        <v>-0.142647368421052</v>
      </c>
      <c r="P326" s="1" t="s">
        <v>61</v>
      </c>
      <c r="Q326" s="1" t="s">
        <v>61</v>
      </c>
      <c r="R326" s="1">
        <f t="shared" si="1"/>
        <v>0.0763</v>
      </c>
      <c r="S326" s="1">
        <f t="shared" si="2"/>
        <v>-102</v>
      </c>
      <c r="T326" s="1">
        <f t="shared" si="3"/>
        <v>1.980392157</v>
      </c>
      <c r="U326" s="1">
        <f t="shared" si="4"/>
        <v>1</v>
      </c>
      <c r="V326" s="3">
        <f t="shared" si="5"/>
        <v>2</v>
      </c>
      <c r="W326" s="3">
        <f t="shared" si="6"/>
        <v>2</v>
      </c>
      <c r="X326" s="3" t="str">
        <f>IFERROR(__xludf.DUMMYFUNCTION("split(B326,"" "")"),"C.")</f>
        <v>C.</v>
      </c>
      <c r="Y326" s="3" t="str">
        <f>IFERROR(__xludf.DUMMYFUNCTION("""COMPUTED_VALUE"""),"Williams")</f>
        <v>Williams</v>
      </c>
      <c r="AA326" s="1">
        <v>17.0</v>
      </c>
      <c r="AB326" s="3">
        <f t="shared" si="7"/>
        <v>0</v>
      </c>
      <c r="AC326" s="3">
        <f t="shared" si="8"/>
        <v>0</v>
      </c>
      <c r="AD326" s="3">
        <f t="shared" si="9"/>
        <v>1.960784314</v>
      </c>
      <c r="AE326" s="3">
        <f t="shared" si="10"/>
        <v>-2</v>
      </c>
      <c r="AF326" s="3">
        <f t="shared" si="11"/>
        <v>-2</v>
      </c>
      <c r="AG326" s="3">
        <f t="shared" si="12"/>
        <v>-0.1707317073</v>
      </c>
    </row>
    <row r="327">
      <c r="A327" s="1" t="s">
        <v>10</v>
      </c>
      <c r="B327" s="1" t="s">
        <v>274</v>
      </c>
      <c r="C327" s="1" t="s">
        <v>21</v>
      </c>
      <c r="D327" s="1" t="s">
        <v>99</v>
      </c>
      <c r="E327" s="1" t="s">
        <v>196</v>
      </c>
      <c r="F327" s="1" t="s">
        <v>564</v>
      </c>
      <c r="G327" s="1">
        <v>21.5</v>
      </c>
      <c r="H327" s="1" t="s">
        <v>60</v>
      </c>
      <c r="I327" s="1">
        <v>-116.0</v>
      </c>
      <c r="J327" s="1">
        <v>-0.136540246217552</v>
      </c>
      <c r="K327" s="1" t="s">
        <v>61</v>
      </c>
      <c r="L327" s="1" t="s">
        <v>61</v>
      </c>
      <c r="M327" s="1" t="s">
        <v>62</v>
      </c>
      <c r="N327" s="1">
        <v>-113.0</v>
      </c>
      <c r="O327" s="1">
        <v>0.0690456117219731</v>
      </c>
      <c r="P327" s="1" t="s">
        <v>61</v>
      </c>
      <c r="Q327" s="1" t="s">
        <v>61</v>
      </c>
      <c r="R327" s="1">
        <f t="shared" si="1"/>
        <v>0.06904561172</v>
      </c>
      <c r="S327" s="1">
        <f t="shared" si="2"/>
        <v>-113</v>
      </c>
      <c r="T327" s="1">
        <f t="shared" si="3"/>
        <v>1.884955752</v>
      </c>
      <c r="U327" s="1">
        <f t="shared" si="4"/>
        <v>0</v>
      </c>
      <c r="V327" s="3">
        <f t="shared" si="5"/>
        <v>2</v>
      </c>
      <c r="W327" s="3">
        <f t="shared" si="6"/>
        <v>2</v>
      </c>
      <c r="X327" s="3" t="str">
        <f>IFERROR(__xludf.DUMMYFUNCTION("split(B327,"" "")"),"C.")</f>
        <v>C.</v>
      </c>
      <c r="Y327" s="3" t="str">
        <f>IFERROR(__xludf.DUMMYFUNCTION("""COMPUTED_VALUE"""),"Williams")</f>
        <v>Williams</v>
      </c>
      <c r="AA327" s="1">
        <v>12.0</v>
      </c>
      <c r="AB327" s="3">
        <f t="shared" si="7"/>
        <v>0</v>
      </c>
      <c r="AC327" s="3">
        <f t="shared" si="8"/>
        <v>1</v>
      </c>
      <c r="AD327" s="3">
        <f t="shared" si="9"/>
        <v>1.769911504</v>
      </c>
      <c r="AE327" s="3">
        <f t="shared" si="10"/>
        <v>1.769911504</v>
      </c>
      <c r="AF327" s="3">
        <f t="shared" si="11"/>
        <v>1.769911504</v>
      </c>
      <c r="AG327" s="3">
        <f t="shared" si="12"/>
        <v>0.4418604651</v>
      </c>
    </row>
    <row r="328">
      <c r="A328" s="1" t="s">
        <v>9</v>
      </c>
      <c r="B328" s="1" t="s">
        <v>98</v>
      </c>
      <c r="C328" s="1" t="s">
        <v>19</v>
      </c>
      <c r="D328" s="1" t="s">
        <v>99</v>
      </c>
      <c r="E328" s="1" t="s">
        <v>196</v>
      </c>
      <c r="F328" s="1" t="s">
        <v>564</v>
      </c>
      <c r="G328" s="1">
        <v>51.0</v>
      </c>
      <c r="H328" s="1" t="s">
        <v>60</v>
      </c>
      <c r="I328" s="1">
        <v>-103.0</v>
      </c>
      <c r="J328" s="1">
        <v>0.0684224517920693</v>
      </c>
      <c r="K328" s="1" t="s">
        <v>61</v>
      </c>
      <c r="L328" s="1" t="s">
        <v>61</v>
      </c>
      <c r="M328" s="1" t="s">
        <v>62</v>
      </c>
      <c r="N328" s="1">
        <v>-133.0</v>
      </c>
      <c r="O328" s="1">
        <v>-0.14566050111305</v>
      </c>
      <c r="P328" s="1" t="s">
        <v>61</v>
      </c>
      <c r="Q328" s="1" t="s">
        <v>61</v>
      </c>
      <c r="R328" s="1">
        <f t="shared" si="1"/>
        <v>0.06842245179</v>
      </c>
      <c r="S328" s="1">
        <f t="shared" si="2"/>
        <v>-103</v>
      </c>
      <c r="T328" s="1">
        <f t="shared" si="3"/>
        <v>1.970873786</v>
      </c>
      <c r="U328" s="1">
        <f t="shared" si="4"/>
        <v>1</v>
      </c>
      <c r="V328" s="3">
        <f t="shared" si="5"/>
        <v>2</v>
      </c>
      <c r="W328" s="3">
        <f t="shared" si="6"/>
        <v>2</v>
      </c>
      <c r="X328" s="3" t="str">
        <f>IFERROR(__xludf.DUMMYFUNCTION("split(B328,"" "")"),"D.")</f>
        <v>D.</v>
      </c>
      <c r="Y328" s="3" t="str">
        <f>IFERROR(__xludf.DUMMYFUNCTION("""COMPUTED_VALUE"""),"Swift")</f>
        <v>Swift</v>
      </c>
      <c r="AA328" s="3">
        <v>165.0</v>
      </c>
      <c r="AB328" s="3">
        <f t="shared" si="7"/>
        <v>1</v>
      </c>
      <c r="AC328" s="3">
        <f t="shared" si="8"/>
        <v>1</v>
      </c>
      <c r="AD328" s="3">
        <f t="shared" si="9"/>
        <v>1.941747573</v>
      </c>
      <c r="AE328" s="3">
        <f t="shared" si="10"/>
        <v>1.941747573</v>
      </c>
      <c r="AF328" s="3">
        <f t="shared" si="11"/>
        <v>1.941747573</v>
      </c>
      <c r="AG328" s="3">
        <f t="shared" si="12"/>
        <v>2.235294118</v>
      </c>
    </row>
    <row r="329">
      <c r="A329" s="1" t="s">
        <v>17</v>
      </c>
      <c r="B329" s="1" t="s">
        <v>274</v>
      </c>
      <c r="C329" s="1" t="s">
        <v>21</v>
      </c>
      <c r="D329" s="1" t="s">
        <v>99</v>
      </c>
      <c r="E329" s="1" t="s">
        <v>196</v>
      </c>
      <c r="F329" s="1" t="s">
        <v>564</v>
      </c>
      <c r="G329" s="1">
        <v>0.5</v>
      </c>
      <c r="H329" s="1" t="s">
        <v>60</v>
      </c>
      <c r="I329" s="1">
        <v>-152.0</v>
      </c>
      <c r="J329" s="1">
        <v>-0.130874603174603</v>
      </c>
      <c r="K329" s="1" t="s">
        <v>61</v>
      </c>
      <c r="L329" s="1" t="s">
        <v>61</v>
      </c>
      <c r="M329" s="1" t="s">
        <v>62</v>
      </c>
      <c r="N329" s="1">
        <v>115.0</v>
      </c>
      <c r="O329" s="1">
        <v>0.0625837209302325</v>
      </c>
      <c r="P329" s="1" t="s">
        <v>61</v>
      </c>
      <c r="Q329" s="1" t="s">
        <v>61</v>
      </c>
      <c r="R329" s="1">
        <f t="shared" si="1"/>
        <v>0.06258372093</v>
      </c>
      <c r="S329" s="1">
        <f t="shared" si="2"/>
        <v>115</v>
      </c>
      <c r="T329" s="1">
        <f t="shared" si="3"/>
        <v>2.15</v>
      </c>
      <c r="U329" s="1">
        <f t="shared" si="4"/>
        <v>0</v>
      </c>
      <c r="V329" s="3">
        <f t="shared" si="5"/>
        <v>2</v>
      </c>
      <c r="W329" s="3">
        <f t="shared" si="6"/>
        <v>1</v>
      </c>
      <c r="X329" s="3" t="str">
        <f>IFERROR(__xludf.DUMMYFUNCTION("split(B329,"" "")"),"C.")</f>
        <v>C.</v>
      </c>
      <c r="Y329" s="3" t="str">
        <f>IFERROR(__xludf.DUMMYFUNCTION("""COMPUTED_VALUE"""),"Williams")</f>
        <v>Williams</v>
      </c>
      <c r="AA329" s="3">
        <v>0.0</v>
      </c>
      <c r="AB329" s="3">
        <f t="shared" si="7"/>
        <v>0</v>
      </c>
      <c r="AC329" s="3">
        <f t="shared" si="8"/>
        <v>1</v>
      </c>
      <c r="AD329" s="3">
        <f t="shared" si="9"/>
        <v>2.3</v>
      </c>
      <c r="AE329" s="3">
        <f t="shared" si="10"/>
        <v>2.3</v>
      </c>
      <c r="AF329" s="3">
        <f t="shared" si="11"/>
        <v>1.15</v>
      </c>
      <c r="AG329" s="3">
        <f t="shared" si="12"/>
        <v>1</v>
      </c>
    </row>
    <row r="330">
      <c r="A330" s="1" t="s">
        <v>10</v>
      </c>
      <c r="B330" s="1" t="s">
        <v>98</v>
      </c>
      <c r="C330" s="1" t="s">
        <v>19</v>
      </c>
      <c r="D330" s="1" t="s">
        <v>99</v>
      </c>
      <c r="E330" s="1" t="s">
        <v>196</v>
      </c>
      <c r="F330" s="1" t="s">
        <v>564</v>
      </c>
      <c r="G330" s="1">
        <v>38.5</v>
      </c>
      <c r="H330" s="1" t="s">
        <v>60</v>
      </c>
      <c r="I330" s="1">
        <v>102.0</v>
      </c>
      <c r="J330" s="1">
        <v>0.0550077727656569</v>
      </c>
      <c r="K330" s="1" t="s">
        <v>61</v>
      </c>
      <c r="L330" s="1" t="s">
        <v>61</v>
      </c>
      <c r="M330" s="1" t="s">
        <v>62</v>
      </c>
      <c r="N330" s="1">
        <v>-135.0</v>
      </c>
      <c r="O330" s="1">
        <v>-0.124464527203607</v>
      </c>
      <c r="P330" s="1" t="s">
        <v>61</v>
      </c>
      <c r="Q330" s="1" t="s">
        <v>61</v>
      </c>
      <c r="R330" s="1">
        <f t="shared" si="1"/>
        <v>0.05500777277</v>
      </c>
      <c r="S330" s="1">
        <f t="shared" si="2"/>
        <v>102</v>
      </c>
      <c r="T330" s="1">
        <f t="shared" si="3"/>
        <v>2.02</v>
      </c>
      <c r="U330" s="1">
        <f t="shared" si="4"/>
        <v>1</v>
      </c>
      <c r="V330" s="3">
        <f t="shared" si="5"/>
        <v>2</v>
      </c>
      <c r="W330" s="3">
        <f t="shared" si="6"/>
        <v>2</v>
      </c>
      <c r="X330" s="3" t="str">
        <f>IFERROR(__xludf.DUMMYFUNCTION("split(B330,"" "")"),"D.")</f>
        <v>D.</v>
      </c>
      <c r="Y330" s="3" t="str">
        <f>IFERROR(__xludf.DUMMYFUNCTION("""COMPUTED_VALUE"""),"Swift")</f>
        <v>Swift</v>
      </c>
      <c r="AA330" s="3">
        <v>93.0</v>
      </c>
      <c r="AB330" s="3">
        <f t="shared" si="7"/>
        <v>1</v>
      </c>
      <c r="AC330" s="3">
        <f t="shared" si="8"/>
        <v>1</v>
      </c>
      <c r="AD330" s="3">
        <f t="shared" si="9"/>
        <v>2.04</v>
      </c>
      <c r="AE330" s="3">
        <f t="shared" si="10"/>
        <v>2.04</v>
      </c>
      <c r="AF330" s="3">
        <f t="shared" si="11"/>
        <v>2.04</v>
      </c>
      <c r="AG330" s="3">
        <f t="shared" si="12"/>
        <v>1.415584416</v>
      </c>
    </row>
    <row r="331">
      <c r="A331" s="1" t="s">
        <v>16</v>
      </c>
      <c r="B331" s="1" t="s">
        <v>274</v>
      </c>
      <c r="C331" s="1" t="s">
        <v>21</v>
      </c>
      <c r="D331" s="1" t="s">
        <v>99</v>
      </c>
      <c r="E331" s="1" t="s">
        <v>196</v>
      </c>
      <c r="F331" s="1" t="s">
        <v>564</v>
      </c>
      <c r="G331" s="1">
        <v>32.5</v>
      </c>
      <c r="H331" s="1" t="s">
        <v>60</v>
      </c>
      <c r="I331" s="1">
        <v>-110.0</v>
      </c>
      <c r="J331" s="1">
        <v>0.0126937203047619</v>
      </c>
      <c r="K331" s="1" t="s">
        <v>61</v>
      </c>
      <c r="L331" s="1" t="s">
        <v>61</v>
      </c>
      <c r="M331" s="1" t="s">
        <v>62</v>
      </c>
      <c r="N331" s="1">
        <v>-119.0</v>
      </c>
      <c r="O331" s="1">
        <v>-0.0798689965296802</v>
      </c>
      <c r="P331" s="1" t="s">
        <v>61</v>
      </c>
      <c r="Q331" s="1" t="s">
        <v>61</v>
      </c>
      <c r="R331" s="1">
        <f t="shared" si="1"/>
        <v>0.0126937203</v>
      </c>
      <c r="S331" s="1">
        <f t="shared" si="2"/>
        <v>-110</v>
      </c>
      <c r="T331" s="1">
        <f t="shared" si="3"/>
        <v>1.909090909</v>
      </c>
      <c r="U331" s="1">
        <f t="shared" si="4"/>
        <v>1</v>
      </c>
      <c r="V331" s="3">
        <f t="shared" si="5"/>
        <v>1</v>
      </c>
      <c r="W331" s="3">
        <f t="shared" si="6"/>
        <v>2</v>
      </c>
      <c r="X331" s="3" t="str">
        <f>IFERROR(__xludf.DUMMYFUNCTION("split(B331,"" "")"),"C.")</f>
        <v>C.</v>
      </c>
      <c r="Y331" s="3" t="str">
        <f>IFERROR(__xludf.DUMMYFUNCTION("""COMPUTED_VALUE"""),"Williams")</f>
        <v>Williams</v>
      </c>
      <c r="AA331" s="1">
        <v>23.0</v>
      </c>
      <c r="AB331" s="3">
        <f t="shared" si="7"/>
        <v>0</v>
      </c>
      <c r="AC331" s="3">
        <f t="shared" si="8"/>
        <v>0</v>
      </c>
      <c r="AD331" s="3">
        <f t="shared" si="9"/>
        <v>0.9090909091</v>
      </c>
      <c r="AE331" s="3">
        <f t="shared" si="10"/>
        <v>-1</v>
      </c>
      <c r="AF331" s="3">
        <f t="shared" si="11"/>
        <v>-2</v>
      </c>
      <c r="AG331" s="3">
        <f t="shared" si="12"/>
        <v>-0.2923076923</v>
      </c>
    </row>
    <row r="332">
      <c r="A332" s="1" t="s">
        <v>12</v>
      </c>
      <c r="B332" s="1" t="s">
        <v>266</v>
      </c>
      <c r="C332" s="1" t="s">
        <v>19</v>
      </c>
      <c r="D332" s="1" t="s">
        <v>57</v>
      </c>
      <c r="E332" s="1" t="s">
        <v>67</v>
      </c>
      <c r="F332" s="1" t="s">
        <v>564</v>
      </c>
      <c r="G332" s="1">
        <v>2.5</v>
      </c>
      <c r="H332" s="1" t="s">
        <v>60</v>
      </c>
      <c r="I332" s="1">
        <v>-144.0</v>
      </c>
      <c r="J332" s="1">
        <v>-0.27068082204918</v>
      </c>
      <c r="K332" s="1" t="s">
        <v>61</v>
      </c>
      <c r="L332" s="1" t="s">
        <v>61</v>
      </c>
      <c r="M332" s="1" t="s">
        <v>62</v>
      </c>
      <c r="N332" s="1">
        <v>109.0</v>
      </c>
      <c r="O332" s="1">
        <v>0.202034069760765</v>
      </c>
      <c r="P332" s="1" t="s">
        <v>61</v>
      </c>
      <c r="Q332" s="1" t="s">
        <v>61</v>
      </c>
      <c r="R332" s="1">
        <f t="shared" si="1"/>
        <v>0.2020340698</v>
      </c>
      <c r="S332" s="1">
        <f t="shared" si="2"/>
        <v>109</v>
      </c>
      <c r="T332" s="1">
        <f t="shared" si="3"/>
        <v>2.09</v>
      </c>
      <c r="U332" s="1">
        <f t="shared" si="4"/>
        <v>0</v>
      </c>
      <c r="V332" s="3">
        <f t="shared" si="5"/>
        <v>3</v>
      </c>
      <c r="W332" s="3">
        <f t="shared" si="6"/>
        <v>2</v>
      </c>
      <c r="X332" s="3" t="str">
        <f>IFERROR(__xludf.DUMMYFUNCTION("split(B332,"" "")"),"C.")</f>
        <v>C.</v>
      </c>
      <c r="Y332" s="3" t="str">
        <f>IFERROR(__xludf.DUMMYFUNCTION("""COMPUTED_VALUE"""),"Hubbard")</f>
        <v>Hubbard</v>
      </c>
      <c r="AA332" s="3">
        <v>4.0</v>
      </c>
      <c r="AB332" s="3">
        <f t="shared" si="7"/>
        <v>1</v>
      </c>
      <c r="AC332" s="3">
        <f t="shared" si="8"/>
        <v>0</v>
      </c>
      <c r="AD332" s="3">
        <f t="shared" si="9"/>
        <v>3.27</v>
      </c>
      <c r="AE332" s="3">
        <f t="shared" si="10"/>
        <v>-3</v>
      </c>
      <c r="AF332" s="3">
        <f t="shared" si="11"/>
        <v>-2</v>
      </c>
      <c r="AG332" s="3">
        <f t="shared" si="12"/>
        <v>-0.6</v>
      </c>
    </row>
    <row r="333">
      <c r="A333" s="1" t="s">
        <v>12</v>
      </c>
      <c r="B333" s="1" t="s">
        <v>521</v>
      </c>
      <c r="C333" s="1" t="s">
        <v>19</v>
      </c>
      <c r="D333" s="1" t="s">
        <v>57</v>
      </c>
      <c r="E333" s="1" t="s">
        <v>67</v>
      </c>
      <c r="F333" s="1" t="s">
        <v>564</v>
      </c>
      <c r="G333" s="1">
        <v>1.5</v>
      </c>
      <c r="H333" s="1" t="s">
        <v>60</v>
      </c>
      <c r="I333" s="1">
        <v>-135.0</v>
      </c>
      <c r="J333" s="1">
        <v>-0.220603284331915</v>
      </c>
      <c r="K333" s="1" t="s">
        <v>61</v>
      </c>
      <c r="L333" s="1" t="s">
        <v>61</v>
      </c>
      <c r="M333" s="1" t="s">
        <v>62</v>
      </c>
      <c r="N333" s="1">
        <v>103.0</v>
      </c>
      <c r="O333" s="1">
        <v>0.153529910433497</v>
      </c>
      <c r="P333" s="1" t="s">
        <v>61</v>
      </c>
      <c r="Q333" s="1" t="s">
        <v>61</v>
      </c>
      <c r="R333" s="1">
        <f t="shared" si="1"/>
        <v>0.1535299104</v>
      </c>
      <c r="S333" s="1">
        <f t="shared" si="2"/>
        <v>103</v>
      </c>
      <c r="T333" s="1">
        <f t="shared" si="3"/>
        <v>2.03</v>
      </c>
      <c r="U333" s="1">
        <f t="shared" si="4"/>
        <v>0</v>
      </c>
      <c r="V333" s="3">
        <f t="shared" si="5"/>
        <v>3</v>
      </c>
      <c r="W333" s="3">
        <f t="shared" si="6"/>
        <v>2</v>
      </c>
      <c r="X333" s="3" t="str">
        <f>IFERROR(__xludf.DUMMYFUNCTION("split(B333,"" "")"),"M.")</f>
        <v>M.</v>
      </c>
      <c r="Y333" s="3" t="str">
        <f>IFERROR(__xludf.DUMMYFUNCTION("""COMPUTED_VALUE"""),"Sanders")</f>
        <v>Sanders</v>
      </c>
      <c r="AA333" s="3">
        <v>3.0</v>
      </c>
      <c r="AB333" s="3">
        <f t="shared" si="7"/>
        <v>1</v>
      </c>
      <c r="AC333" s="3">
        <f t="shared" si="8"/>
        <v>0</v>
      </c>
      <c r="AD333" s="3">
        <f t="shared" si="9"/>
        <v>3.09</v>
      </c>
      <c r="AE333" s="3">
        <f t="shared" si="10"/>
        <v>-3</v>
      </c>
      <c r="AF333" s="3">
        <f t="shared" si="11"/>
        <v>-2</v>
      </c>
      <c r="AG333" s="3">
        <f t="shared" si="12"/>
        <v>-1</v>
      </c>
    </row>
    <row r="334">
      <c r="A334" s="1" t="s">
        <v>8</v>
      </c>
      <c r="B334" s="1" t="s">
        <v>521</v>
      </c>
      <c r="C334" s="1" t="s">
        <v>19</v>
      </c>
      <c r="D334" s="1" t="s">
        <v>57</v>
      </c>
      <c r="E334" s="1" t="s">
        <v>67</v>
      </c>
      <c r="F334" s="1" t="s">
        <v>564</v>
      </c>
      <c r="G334" s="1">
        <v>6.5</v>
      </c>
      <c r="H334" s="1" t="s">
        <v>60</v>
      </c>
      <c r="I334" s="1">
        <v>-111.0</v>
      </c>
      <c r="J334" s="1">
        <v>-0.196702416970242</v>
      </c>
      <c r="K334" s="1" t="s">
        <v>61</v>
      </c>
      <c r="L334" s="1" t="s">
        <v>61</v>
      </c>
      <c r="M334" s="1" t="s">
        <v>62</v>
      </c>
      <c r="N334" s="1">
        <v>-121.0</v>
      </c>
      <c r="O334" s="1">
        <v>0.123130353288111</v>
      </c>
      <c r="P334" s="1" t="s">
        <v>61</v>
      </c>
      <c r="Q334" s="1" t="s">
        <v>61</v>
      </c>
      <c r="R334" s="1">
        <f t="shared" si="1"/>
        <v>0.1231303533</v>
      </c>
      <c r="S334" s="1">
        <f t="shared" si="2"/>
        <v>-121</v>
      </c>
      <c r="T334" s="1">
        <f t="shared" si="3"/>
        <v>1.826446281</v>
      </c>
      <c r="U334" s="1">
        <f t="shared" si="4"/>
        <v>0</v>
      </c>
      <c r="V334" s="3">
        <f t="shared" si="5"/>
        <v>3</v>
      </c>
      <c r="W334" s="3">
        <f t="shared" si="6"/>
        <v>3</v>
      </c>
      <c r="X334" s="3" t="str">
        <f>IFERROR(__xludf.DUMMYFUNCTION("split(B334,"" "")"),"M.")</f>
        <v>M.</v>
      </c>
      <c r="Y334" s="3" t="str">
        <f>IFERROR(__xludf.DUMMYFUNCTION("""COMPUTED_VALUE"""),"Sanders")</f>
        <v>Sanders</v>
      </c>
      <c r="AA334" s="3">
        <v>6.0</v>
      </c>
      <c r="AB334" s="3">
        <f t="shared" si="7"/>
        <v>0</v>
      </c>
      <c r="AC334" s="3">
        <f t="shared" si="8"/>
        <v>1</v>
      </c>
      <c r="AD334" s="3">
        <f t="shared" si="9"/>
        <v>2.479338843</v>
      </c>
      <c r="AE334" s="3">
        <f t="shared" si="10"/>
        <v>2.479338843</v>
      </c>
      <c r="AF334" s="3">
        <f t="shared" si="11"/>
        <v>2.479338843</v>
      </c>
      <c r="AG334" s="3">
        <f t="shared" si="12"/>
        <v>0.07692307692</v>
      </c>
    </row>
    <row r="335">
      <c r="A335" s="1" t="s">
        <v>10</v>
      </c>
      <c r="B335" s="1" t="s">
        <v>522</v>
      </c>
      <c r="C335" s="1" t="s">
        <v>21</v>
      </c>
      <c r="D335" s="1" t="s">
        <v>57</v>
      </c>
      <c r="E335" s="1" t="s">
        <v>67</v>
      </c>
      <c r="F335" s="1" t="s">
        <v>564</v>
      </c>
      <c r="G335" s="1">
        <v>3.5</v>
      </c>
      <c r="H335" s="1" t="s">
        <v>60</v>
      </c>
      <c r="I335" s="1">
        <v>-111.0</v>
      </c>
      <c r="J335" s="1">
        <v>0.0777995646849241</v>
      </c>
      <c r="K335" s="1" t="s">
        <v>61</v>
      </c>
      <c r="L335" s="1" t="s">
        <v>61</v>
      </c>
      <c r="M335" s="1" t="s">
        <v>62</v>
      </c>
      <c r="N335" s="1">
        <v>-118.0</v>
      </c>
      <c r="O335" s="1">
        <v>-0.1451028422718</v>
      </c>
      <c r="P335" s="1" t="s">
        <v>61</v>
      </c>
      <c r="Q335" s="1" t="s">
        <v>61</v>
      </c>
      <c r="R335" s="1">
        <f t="shared" si="1"/>
        <v>0.07779956468</v>
      </c>
      <c r="S335" s="1">
        <f t="shared" si="2"/>
        <v>-111</v>
      </c>
      <c r="T335" s="1">
        <f t="shared" si="3"/>
        <v>1.900900901</v>
      </c>
      <c r="U335" s="1">
        <f t="shared" si="4"/>
        <v>1</v>
      </c>
      <c r="V335" s="3">
        <f t="shared" si="5"/>
        <v>2</v>
      </c>
      <c r="W335" s="3">
        <f t="shared" si="6"/>
        <v>2</v>
      </c>
      <c r="X335" s="3" t="str">
        <f>IFERROR(__xludf.DUMMYFUNCTION("split(B335,"" "")"),"A.")</f>
        <v>A.</v>
      </c>
      <c r="Y335" s="3" t="str">
        <f>IFERROR(__xludf.DUMMYFUNCTION("""COMPUTED_VALUE"""),"Dalton")</f>
        <v>Dalton</v>
      </c>
      <c r="AA335" s="3">
        <v>9.0</v>
      </c>
      <c r="AB335" s="3">
        <f t="shared" si="7"/>
        <v>1</v>
      </c>
      <c r="AC335" s="3">
        <f t="shared" si="8"/>
        <v>1</v>
      </c>
      <c r="AD335" s="3">
        <f t="shared" si="9"/>
        <v>1.801801802</v>
      </c>
      <c r="AE335" s="3">
        <f t="shared" si="10"/>
        <v>1.801801802</v>
      </c>
      <c r="AF335" s="3">
        <f t="shared" si="11"/>
        <v>1.801801802</v>
      </c>
      <c r="AG335" s="3">
        <f t="shared" si="12"/>
        <v>1.571428571</v>
      </c>
    </row>
    <row r="336">
      <c r="A336" s="1" t="s">
        <v>17</v>
      </c>
      <c r="B336" s="1" t="s">
        <v>522</v>
      </c>
      <c r="C336" s="1" t="s">
        <v>21</v>
      </c>
      <c r="D336" s="1" t="s">
        <v>57</v>
      </c>
      <c r="E336" s="1" t="s">
        <v>67</v>
      </c>
      <c r="F336" s="1" t="s">
        <v>564</v>
      </c>
      <c r="G336" s="1">
        <v>0.5</v>
      </c>
      <c r="H336" s="1" t="s">
        <v>60</v>
      </c>
      <c r="I336" s="1">
        <v>-149.0</v>
      </c>
      <c r="J336" s="1">
        <v>-0.142933734939759</v>
      </c>
      <c r="K336" s="1" t="s">
        <v>61</v>
      </c>
      <c r="L336" s="1" t="s">
        <v>61</v>
      </c>
      <c r="M336" s="1" t="s">
        <v>62</v>
      </c>
      <c r="N336" s="1">
        <v>113.0</v>
      </c>
      <c r="O336" s="1">
        <v>0.0750633802816901</v>
      </c>
      <c r="P336" s="1" t="s">
        <v>61</v>
      </c>
      <c r="Q336" s="1" t="s">
        <v>61</v>
      </c>
      <c r="R336" s="1">
        <f t="shared" si="1"/>
        <v>0.07506338028</v>
      </c>
      <c r="S336" s="1">
        <f t="shared" si="2"/>
        <v>113</v>
      </c>
      <c r="T336" s="1">
        <f t="shared" si="3"/>
        <v>2.13</v>
      </c>
      <c r="U336" s="1">
        <f t="shared" si="4"/>
        <v>0</v>
      </c>
      <c r="V336" s="3">
        <f t="shared" si="5"/>
        <v>2</v>
      </c>
      <c r="W336" s="3">
        <f t="shared" si="6"/>
        <v>1</v>
      </c>
      <c r="X336" s="3" t="str">
        <f>IFERROR(__xludf.DUMMYFUNCTION("split(B336,"" "")"),"A.")</f>
        <v>A.</v>
      </c>
      <c r="Y336" s="3" t="str">
        <f>IFERROR(__xludf.DUMMYFUNCTION("""COMPUTED_VALUE"""),"Dalton")</f>
        <v>Dalton</v>
      </c>
      <c r="AA336" s="3">
        <v>1.0</v>
      </c>
      <c r="AB336" s="3">
        <f t="shared" si="7"/>
        <v>1</v>
      </c>
      <c r="AC336" s="3">
        <f t="shared" si="8"/>
        <v>0</v>
      </c>
      <c r="AD336" s="3">
        <f t="shared" si="9"/>
        <v>2.26</v>
      </c>
      <c r="AE336" s="3">
        <f t="shared" si="10"/>
        <v>-2</v>
      </c>
      <c r="AF336" s="3">
        <f t="shared" si="11"/>
        <v>-1</v>
      </c>
      <c r="AG336" s="3">
        <f t="shared" si="12"/>
        <v>-1</v>
      </c>
    </row>
    <row r="337">
      <c r="A337" s="1" t="s">
        <v>12</v>
      </c>
      <c r="B337" s="1" t="s">
        <v>353</v>
      </c>
      <c r="C337" s="1" t="s">
        <v>18</v>
      </c>
      <c r="D337" s="1" t="s">
        <v>57</v>
      </c>
      <c r="E337" s="1" t="s">
        <v>67</v>
      </c>
      <c r="F337" s="1" t="s">
        <v>564</v>
      </c>
      <c r="G337" s="1">
        <v>5.5</v>
      </c>
      <c r="H337" s="1" t="s">
        <v>60</v>
      </c>
      <c r="I337" s="1">
        <v>109.0</v>
      </c>
      <c r="J337" s="1">
        <v>0.0722311004784688</v>
      </c>
      <c r="K337" s="1" t="s">
        <v>61</v>
      </c>
      <c r="L337" s="1" t="s">
        <v>61</v>
      </c>
      <c r="M337" s="1" t="s">
        <v>62</v>
      </c>
      <c r="N337" s="1">
        <v>-141.0</v>
      </c>
      <c r="O337" s="1">
        <v>-0.1357622406639</v>
      </c>
      <c r="P337" s="1" t="s">
        <v>61</v>
      </c>
      <c r="Q337" s="1" t="s">
        <v>61</v>
      </c>
      <c r="R337" s="1">
        <f t="shared" si="1"/>
        <v>0.07223110048</v>
      </c>
      <c r="S337" s="1">
        <f t="shared" si="2"/>
        <v>109</v>
      </c>
      <c r="T337" s="1">
        <f t="shared" si="3"/>
        <v>2.09</v>
      </c>
      <c r="U337" s="1">
        <f t="shared" si="4"/>
        <v>1</v>
      </c>
      <c r="V337" s="3">
        <f t="shared" si="5"/>
        <v>2</v>
      </c>
      <c r="W337" s="3">
        <f t="shared" si="6"/>
        <v>2</v>
      </c>
      <c r="X337" s="3" t="str">
        <f>IFERROR(__xludf.DUMMYFUNCTION("split(B337,"" "")"),"D.")</f>
        <v>D.</v>
      </c>
      <c r="Y337" s="3" t="str">
        <f>IFERROR(__xludf.DUMMYFUNCTION("""COMPUTED_VALUE"""),"Johnson")</f>
        <v>Johnson</v>
      </c>
      <c r="AA337" s="3">
        <v>7.0</v>
      </c>
      <c r="AB337" s="3">
        <f t="shared" si="7"/>
        <v>1</v>
      </c>
      <c r="AC337" s="3">
        <f t="shared" si="8"/>
        <v>1</v>
      </c>
      <c r="AD337" s="3">
        <f t="shared" si="9"/>
        <v>2.18</v>
      </c>
      <c r="AE337" s="3">
        <f t="shared" si="10"/>
        <v>2.18</v>
      </c>
      <c r="AF337" s="3">
        <f t="shared" si="11"/>
        <v>2.18</v>
      </c>
      <c r="AG337" s="3">
        <f t="shared" si="12"/>
        <v>0.2727272727</v>
      </c>
    </row>
    <row r="338">
      <c r="A338" s="1" t="s">
        <v>12</v>
      </c>
      <c r="B338" s="1" t="s">
        <v>520</v>
      </c>
      <c r="C338" s="1" t="s">
        <v>20</v>
      </c>
      <c r="D338" s="1" t="s">
        <v>57</v>
      </c>
      <c r="E338" s="1" t="s">
        <v>67</v>
      </c>
      <c r="F338" s="1" t="s">
        <v>564</v>
      </c>
      <c r="G338" s="1">
        <v>2.5</v>
      </c>
      <c r="H338" s="1" t="s">
        <v>60</v>
      </c>
      <c r="I338" s="1">
        <v>127.0</v>
      </c>
      <c r="J338" s="1">
        <v>-0.137978533948017</v>
      </c>
      <c r="K338" s="1" t="s">
        <v>61</v>
      </c>
      <c r="L338" s="1" t="s">
        <v>61</v>
      </c>
      <c r="M338" s="1" t="s">
        <v>62</v>
      </c>
      <c r="N338" s="1">
        <v>-167.0</v>
      </c>
      <c r="O338" s="1">
        <v>0.0719876210868912</v>
      </c>
      <c r="P338" s="1" t="s">
        <v>61</v>
      </c>
      <c r="Q338" s="1" t="s">
        <v>61</v>
      </c>
      <c r="R338" s="1">
        <f t="shared" si="1"/>
        <v>0.07198762109</v>
      </c>
      <c r="S338" s="1">
        <f t="shared" si="2"/>
        <v>-167</v>
      </c>
      <c r="T338" s="1">
        <f t="shared" si="3"/>
        <v>1.598802395</v>
      </c>
      <c r="U338" s="1">
        <f t="shared" si="4"/>
        <v>0</v>
      </c>
      <c r="V338" s="3">
        <f t="shared" si="5"/>
        <v>2</v>
      </c>
      <c r="W338" s="3">
        <f t="shared" si="6"/>
        <v>3</v>
      </c>
      <c r="X338" s="3" t="str">
        <f>IFERROR(__xludf.DUMMYFUNCTION("split(B338,"" "")"),"T.")</f>
        <v>T.</v>
      </c>
      <c r="Y338" s="3" t="str">
        <f>IFERROR(__xludf.DUMMYFUNCTION("""COMPUTED_VALUE"""),"Tremble")</f>
        <v>Tremble</v>
      </c>
      <c r="AA338" s="3">
        <v>0.0</v>
      </c>
      <c r="AB338" s="3">
        <f t="shared" si="7"/>
        <v>0</v>
      </c>
      <c r="AC338" s="3">
        <f t="shared" si="8"/>
        <v>1</v>
      </c>
      <c r="AD338" s="3">
        <f t="shared" si="9"/>
        <v>1.19760479</v>
      </c>
      <c r="AE338" s="3">
        <f t="shared" si="10"/>
        <v>1.19760479</v>
      </c>
      <c r="AF338" s="3">
        <f t="shared" si="11"/>
        <v>1.796407186</v>
      </c>
      <c r="AG338" s="3">
        <f t="shared" si="12"/>
        <v>1</v>
      </c>
    </row>
    <row r="339">
      <c r="A339" s="1" t="s">
        <v>8</v>
      </c>
      <c r="B339" s="1" t="s">
        <v>266</v>
      </c>
      <c r="C339" s="1" t="s">
        <v>19</v>
      </c>
      <c r="D339" s="1" t="s">
        <v>57</v>
      </c>
      <c r="E339" s="1" t="s">
        <v>67</v>
      </c>
      <c r="F339" s="1" t="s">
        <v>564</v>
      </c>
      <c r="G339" s="1">
        <v>14.5</v>
      </c>
      <c r="H339" s="1" t="s">
        <v>60</v>
      </c>
      <c r="I339" s="1">
        <v>-113.0</v>
      </c>
      <c r="J339" s="1">
        <v>-0.141559827924882</v>
      </c>
      <c r="K339" s="1" t="s">
        <v>61</v>
      </c>
      <c r="L339" s="1" t="s">
        <v>61</v>
      </c>
      <c r="M339" s="1" t="s">
        <v>62</v>
      </c>
      <c r="N339" s="1">
        <v>-117.0</v>
      </c>
      <c r="O339" s="1">
        <v>0.0718793304938247</v>
      </c>
      <c r="P339" s="1" t="s">
        <v>61</v>
      </c>
      <c r="Q339" s="1" t="s">
        <v>61</v>
      </c>
      <c r="R339" s="1">
        <f t="shared" si="1"/>
        <v>0.07187933049</v>
      </c>
      <c r="S339" s="1">
        <f t="shared" si="2"/>
        <v>-117</v>
      </c>
      <c r="T339" s="1">
        <f t="shared" si="3"/>
        <v>1.854700855</v>
      </c>
      <c r="U339" s="1">
        <f t="shared" si="4"/>
        <v>0</v>
      </c>
      <c r="V339" s="3">
        <f t="shared" si="5"/>
        <v>2</v>
      </c>
      <c r="W339" s="3">
        <f t="shared" si="6"/>
        <v>2</v>
      </c>
      <c r="X339" s="3" t="str">
        <f>IFERROR(__xludf.DUMMYFUNCTION("split(B339,"" "")"),"C.")</f>
        <v>C.</v>
      </c>
      <c r="Y339" s="3" t="str">
        <f>IFERROR(__xludf.DUMMYFUNCTION("""COMPUTED_VALUE"""),"Hubbard")</f>
        <v>Hubbard</v>
      </c>
      <c r="AA339" s="3">
        <v>18.0</v>
      </c>
      <c r="AB339" s="3">
        <f t="shared" si="7"/>
        <v>1</v>
      </c>
      <c r="AC339" s="3">
        <f t="shared" si="8"/>
        <v>0</v>
      </c>
      <c r="AD339" s="3">
        <f t="shared" si="9"/>
        <v>1.709401709</v>
      </c>
      <c r="AE339" s="3">
        <f t="shared" si="10"/>
        <v>-2</v>
      </c>
      <c r="AF339" s="3">
        <f t="shared" si="11"/>
        <v>-2</v>
      </c>
      <c r="AG339" s="3">
        <f t="shared" si="12"/>
        <v>-0.2413793103</v>
      </c>
    </row>
    <row r="340">
      <c r="A340" s="1" t="s">
        <v>9</v>
      </c>
      <c r="B340" s="1" t="s">
        <v>266</v>
      </c>
      <c r="C340" s="1" t="s">
        <v>19</v>
      </c>
      <c r="D340" s="1" t="s">
        <v>57</v>
      </c>
      <c r="E340" s="1" t="s">
        <v>67</v>
      </c>
      <c r="F340" s="1" t="s">
        <v>564</v>
      </c>
      <c r="G340" s="1">
        <v>80.5</v>
      </c>
      <c r="H340" s="1" t="s">
        <v>60</v>
      </c>
      <c r="I340" s="1">
        <v>-117.0</v>
      </c>
      <c r="J340" s="1">
        <v>-0.130434132747317</v>
      </c>
      <c r="K340" s="1" t="s">
        <v>61</v>
      </c>
      <c r="L340" s="1" t="s">
        <v>61</v>
      </c>
      <c r="M340" s="1" t="s">
        <v>62</v>
      </c>
      <c r="N340" s="1">
        <v>-115.0</v>
      </c>
      <c r="O340" s="1">
        <v>0.0564061991957811</v>
      </c>
      <c r="P340" s="1" t="s">
        <v>61</v>
      </c>
      <c r="Q340" s="1" t="s">
        <v>61</v>
      </c>
      <c r="R340" s="1">
        <f t="shared" si="1"/>
        <v>0.0564061992</v>
      </c>
      <c r="S340" s="1">
        <f t="shared" si="2"/>
        <v>-115</v>
      </c>
      <c r="T340" s="1">
        <f t="shared" si="3"/>
        <v>1.869565217</v>
      </c>
      <c r="U340" s="1">
        <f t="shared" si="4"/>
        <v>0</v>
      </c>
      <c r="V340" s="3">
        <f t="shared" si="5"/>
        <v>2</v>
      </c>
      <c r="W340" s="3">
        <f t="shared" si="6"/>
        <v>2</v>
      </c>
      <c r="X340" s="3" t="str">
        <f>IFERROR(__xludf.DUMMYFUNCTION("split(B340,"" "")"),"C.")</f>
        <v>C.</v>
      </c>
      <c r="Y340" s="3" t="str">
        <f>IFERROR(__xludf.DUMMYFUNCTION("""COMPUTED_VALUE"""),"Hubbard")</f>
        <v>Hubbard</v>
      </c>
      <c r="AA340" s="3">
        <v>121.0</v>
      </c>
      <c r="AB340" s="3">
        <f t="shared" si="7"/>
        <v>1</v>
      </c>
      <c r="AC340" s="3">
        <f t="shared" si="8"/>
        <v>0</v>
      </c>
      <c r="AD340" s="3">
        <f t="shared" si="9"/>
        <v>1.739130435</v>
      </c>
      <c r="AE340" s="3">
        <f t="shared" si="10"/>
        <v>-2</v>
      </c>
      <c r="AF340" s="3">
        <f t="shared" si="11"/>
        <v>-2</v>
      </c>
      <c r="AG340" s="3">
        <f t="shared" si="12"/>
        <v>-0.5031055901</v>
      </c>
    </row>
    <row r="341">
      <c r="A341" s="1" t="s">
        <v>9</v>
      </c>
      <c r="B341" s="1" t="s">
        <v>357</v>
      </c>
      <c r="C341" s="1" t="s">
        <v>18</v>
      </c>
      <c r="D341" s="1" t="s">
        <v>57</v>
      </c>
      <c r="E341" s="1" t="s">
        <v>67</v>
      </c>
      <c r="F341" s="1" t="s">
        <v>564</v>
      </c>
      <c r="G341" s="1">
        <v>35.5</v>
      </c>
      <c r="H341" s="1" t="s">
        <v>60</v>
      </c>
      <c r="I341" s="1">
        <v>-116.0</v>
      </c>
      <c r="J341" s="1">
        <v>0.0444723501873327</v>
      </c>
      <c r="K341" s="1" t="s">
        <v>61</v>
      </c>
      <c r="L341" s="1" t="s">
        <v>61</v>
      </c>
      <c r="M341" s="1" t="s">
        <v>62</v>
      </c>
      <c r="N341" s="1">
        <v>-116.0</v>
      </c>
      <c r="O341" s="1">
        <v>-0.118595926217306</v>
      </c>
      <c r="P341" s="1" t="s">
        <v>61</v>
      </c>
      <c r="Q341" s="1" t="s">
        <v>61</v>
      </c>
      <c r="R341" s="1">
        <f t="shared" si="1"/>
        <v>0.04447235019</v>
      </c>
      <c r="S341" s="1">
        <f t="shared" si="2"/>
        <v>-116</v>
      </c>
      <c r="T341" s="1">
        <f t="shared" si="3"/>
        <v>1.862068966</v>
      </c>
      <c r="U341" s="1">
        <f t="shared" si="4"/>
        <v>1</v>
      </c>
      <c r="V341" s="3">
        <f t="shared" si="5"/>
        <v>1</v>
      </c>
      <c r="W341" s="3">
        <f t="shared" si="6"/>
        <v>2</v>
      </c>
      <c r="X341" s="3" t="str">
        <f>IFERROR(__xludf.DUMMYFUNCTION("split(B341,"" "")"),"X.")</f>
        <v>X.</v>
      </c>
      <c r="Y341" s="3" t="str">
        <f>IFERROR(__xludf.DUMMYFUNCTION("""COMPUTED_VALUE"""),"Legette")</f>
        <v>Legette</v>
      </c>
      <c r="AA341" s="3">
        <v>76.0</v>
      </c>
      <c r="AB341" s="3">
        <f t="shared" si="7"/>
        <v>1</v>
      </c>
      <c r="AC341" s="3">
        <f t="shared" si="8"/>
        <v>1</v>
      </c>
      <c r="AD341" s="3">
        <f t="shared" si="9"/>
        <v>0.8620689655</v>
      </c>
      <c r="AE341" s="3">
        <f t="shared" si="10"/>
        <v>0.8620689655</v>
      </c>
      <c r="AF341" s="3">
        <f t="shared" si="11"/>
        <v>1.724137931</v>
      </c>
      <c r="AG341" s="3">
        <f t="shared" si="12"/>
        <v>1.14084507</v>
      </c>
    </row>
    <row r="342">
      <c r="A342" s="1" t="s">
        <v>11</v>
      </c>
      <c r="B342" s="1" t="s">
        <v>521</v>
      </c>
      <c r="C342" s="1" t="s">
        <v>19</v>
      </c>
      <c r="D342" s="1" t="s">
        <v>57</v>
      </c>
      <c r="E342" s="1" t="s">
        <v>67</v>
      </c>
      <c r="F342" s="1" t="s">
        <v>564</v>
      </c>
      <c r="G342" s="1">
        <v>8.5</v>
      </c>
      <c r="H342" s="1" t="s">
        <v>60</v>
      </c>
      <c r="I342" s="1">
        <v>-111.0</v>
      </c>
      <c r="J342" s="1">
        <v>0.0425731728310564</v>
      </c>
      <c r="K342" s="1" t="s">
        <v>61</v>
      </c>
      <c r="L342" s="1" t="s">
        <v>61</v>
      </c>
      <c r="M342" s="1" t="s">
        <v>62</v>
      </c>
      <c r="N342" s="1">
        <v>-117.0</v>
      </c>
      <c r="O342" s="1">
        <v>-0.107774175929967</v>
      </c>
      <c r="P342" s="1" t="s">
        <v>61</v>
      </c>
      <c r="Q342" s="1" t="s">
        <v>61</v>
      </c>
      <c r="R342" s="1">
        <f t="shared" si="1"/>
        <v>0.04257317283</v>
      </c>
      <c r="S342" s="1">
        <f t="shared" si="2"/>
        <v>-111</v>
      </c>
      <c r="T342" s="1">
        <f t="shared" si="3"/>
        <v>1.900900901</v>
      </c>
      <c r="U342" s="1">
        <f t="shared" si="4"/>
        <v>1</v>
      </c>
      <c r="V342" s="3">
        <f t="shared" si="5"/>
        <v>1</v>
      </c>
      <c r="W342" s="3">
        <f t="shared" si="6"/>
        <v>2</v>
      </c>
      <c r="X342" s="3" t="str">
        <f>IFERROR(__xludf.DUMMYFUNCTION("split(B342,"" "")"),"M.")</f>
        <v>M.</v>
      </c>
      <c r="Y342" s="3" t="str">
        <f>IFERROR(__xludf.DUMMYFUNCTION("""COMPUTED_VALUE"""),"Sanders")</f>
        <v>Sanders</v>
      </c>
      <c r="AA342" s="3">
        <v>14.0</v>
      </c>
      <c r="AB342" s="3">
        <f t="shared" si="7"/>
        <v>1</v>
      </c>
      <c r="AC342" s="3">
        <f t="shared" si="8"/>
        <v>1</v>
      </c>
      <c r="AD342" s="3">
        <f t="shared" si="9"/>
        <v>0.9009009009</v>
      </c>
      <c r="AE342" s="3">
        <f t="shared" si="10"/>
        <v>0.9009009009</v>
      </c>
      <c r="AF342" s="3">
        <f t="shared" si="11"/>
        <v>1.801801802</v>
      </c>
      <c r="AG342" s="3">
        <f t="shared" si="12"/>
        <v>0.6470588235</v>
      </c>
    </row>
    <row r="343">
      <c r="A343" s="1" t="s">
        <v>15</v>
      </c>
      <c r="B343" s="1" t="s">
        <v>522</v>
      </c>
      <c r="C343" s="1" t="s">
        <v>21</v>
      </c>
      <c r="D343" s="1" t="s">
        <v>57</v>
      </c>
      <c r="E343" s="1" t="s">
        <v>67</v>
      </c>
      <c r="F343" s="1" t="s">
        <v>564</v>
      </c>
      <c r="G343" s="1">
        <v>21.5</v>
      </c>
      <c r="H343" s="1" t="s">
        <v>60</v>
      </c>
      <c r="I343" s="1">
        <v>-104.0</v>
      </c>
      <c r="J343" s="1">
        <v>0.0400470588235295</v>
      </c>
      <c r="K343" s="1" t="s">
        <v>61</v>
      </c>
      <c r="L343" s="1" t="s">
        <v>61</v>
      </c>
      <c r="M343" s="1" t="s">
        <v>62</v>
      </c>
      <c r="N343" s="1">
        <v>-125.0</v>
      </c>
      <c r="O343" s="1">
        <v>-0.1054</v>
      </c>
      <c r="P343" s="1" t="s">
        <v>61</v>
      </c>
      <c r="Q343" s="1" t="s">
        <v>61</v>
      </c>
      <c r="R343" s="1">
        <f t="shared" si="1"/>
        <v>0.04004705882</v>
      </c>
      <c r="S343" s="1">
        <f t="shared" si="2"/>
        <v>-104</v>
      </c>
      <c r="T343" s="1">
        <f t="shared" si="3"/>
        <v>1.961538462</v>
      </c>
      <c r="U343" s="1">
        <f t="shared" si="4"/>
        <v>1</v>
      </c>
      <c r="V343" s="3">
        <f t="shared" si="5"/>
        <v>1</v>
      </c>
      <c r="W343" s="3">
        <f t="shared" si="6"/>
        <v>2</v>
      </c>
      <c r="X343" s="3" t="str">
        <f>IFERROR(__xludf.DUMMYFUNCTION("split(B343,"" "")"),"A.")</f>
        <v>A.</v>
      </c>
      <c r="Y343" s="3" t="str">
        <f>IFERROR(__xludf.DUMMYFUNCTION("""COMPUTED_VALUE"""),"Dalton")</f>
        <v>Dalton</v>
      </c>
      <c r="AA343" s="3">
        <v>25.0</v>
      </c>
      <c r="AB343" s="3">
        <f t="shared" si="7"/>
        <v>1</v>
      </c>
      <c r="AC343" s="3">
        <f t="shared" si="8"/>
        <v>1</v>
      </c>
      <c r="AD343" s="3">
        <f t="shared" si="9"/>
        <v>0.9615384615</v>
      </c>
      <c r="AE343" s="3">
        <f t="shared" si="10"/>
        <v>0.9615384615</v>
      </c>
      <c r="AF343" s="3">
        <f t="shared" si="11"/>
        <v>1.923076923</v>
      </c>
      <c r="AG343" s="3">
        <f t="shared" si="12"/>
        <v>0.1627906977</v>
      </c>
    </row>
    <row r="344">
      <c r="A344" s="1" t="s">
        <v>10</v>
      </c>
      <c r="B344" s="1" t="s">
        <v>266</v>
      </c>
      <c r="C344" s="1" t="s">
        <v>19</v>
      </c>
      <c r="D344" s="1" t="s">
        <v>57</v>
      </c>
      <c r="E344" s="1" t="s">
        <v>67</v>
      </c>
      <c r="F344" s="1" t="s">
        <v>564</v>
      </c>
      <c r="G344" s="1">
        <v>60.5</v>
      </c>
      <c r="H344" s="1" t="s">
        <v>60</v>
      </c>
      <c r="I344" s="1">
        <v>-114.0</v>
      </c>
      <c r="J344" s="1">
        <v>-0.0987600195503005</v>
      </c>
      <c r="K344" s="1" t="s">
        <v>61</v>
      </c>
      <c r="L344" s="1" t="s">
        <v>61</v>
      </c>
      <c r="M344" s="1" t="s">
        <v>62</v>
      </c>
      <c r="N344" s="1">
        <v>-115.0</v>
      </c>
      <c r="O344" s="1">
        <v>0.0311578111732805</v>
      </c>
      <c r="P344" s="1" t="s">
        <v>61</v>
      </c>
      <c r="Q344" s="1" t="s">
        <v>61</v>
      </c>
      <c r="R344" s="1">
        <f t="shared" si="1"/>
        <v>0.03115781117</v>
      </c>
      <c r="S344" s="1">
        <f t="shared" si="2"/>
        <v>-115</v>
      </c>
      <c r="T344" s="1">
        <f t="shared" si="3"/>
        <v>1.869565217</v>
      </c>
      <c r="U344" s="1">
        <f t="shared" si="4"/>
        <v>0</v>
      </c>
      <c r="V344" s="3">
        <f t="shared" si="5"/>
        <v>1</v>
      </c>
      <c r="W344" s="3">
        <f t="shared" si="6"/>
        <v>2</v>
      </c>
      <c r="X344" s="3" t="str">
        <f>IFERROR(__xludf.DUMMYFUNCTION("split(B344,"" "")"),"C.")</f>
        <v>C.</v>
      </c>
      <c r="Y344" s="3" t="str">
        <f>IFERROR(__xludf.DUMMYFUNCTION("""COMPUTED_VALUE"""),"Hubbard")</f>
        <v>Hubbard</v>
      </c>
      <c r="AA344" s="3">
        <v>104.0</v>
      </c>
      <c r="AB344" s="3">
        <f t="shared" si="7"/>
        <v>1</v>
      </c>
      <c r="AC344" s="3">
        <f t="shared" si="8"/>
        <v>0</v>
      </c>
      <c r="AD344" s="3">
        <f t="shared" si="9"/>
        <v>0.8695652174</v>
      </c>
      <c r="AE344" s="3">
        <f t="shared" si="10"/>
        <v>-1</v>
      </c>
      <c r="AF344" s="3">
        <f t="shared" si="11"/>
        <v>-2</v>
      </c>
      <c r="AG344" s="3">
        <f t="shared" si="12"/>
        <v>-0.7190082645</v>
      </c>
    </row>
    <row r="345">
      <c r="A345" s="1" t="s">
        <v>11</v>
      </c>
      <c r="B345" s="1" t="s">
        <v>207</v>
      </c>
      <c r="C345" s="1" t="s">
        <v>18</v>
      </c>
      <c r="D345" s="1" t="s">
        <v>57</v>
      </c>
      <c r="E345" s="1" t="s">
        <v>67</v>
      </c>
      <c r="F345" s="1" t="s">
        <v>564</v>
      </c>
      <c r="G345" s="1">
        <v>32.5</v>
      </c>
      <c r="H345" s="1" t="s">
        <v>60</v>
      </c>
      <c r="I345" s="1">
        <v>-117.0</v>
      </c>
      <c r="J345" s="1">
        <v>-0.0936313032659909</v>
      </c>
      <c r="K345" s="1" t="s">
        <v>61</v>
      </c>
      <c r="L345" s="1" t="s">
        <v>61</v>
      </c>
      <c r="M345" s="1" t="s">
        <v>62</v>
      </c>
      <c r="N345" s="1">
        <v>-112.0</v>
      </c>
      <c r="O345" s="1">
        <v>0.0261818436925586</v>
      </c>
      <c r="P345" s="1" t="s">
        <v>61</v>
      </c>
      <c r="Q345" s="1" t="s">
        <v>61</v>
      </c>
      <c r="R345" s="1">
        <f t="shared" si="1"/>
        <v>0.02618184369</v>
      </c>
      <c r="S345" s="1">
        <f t="shared" si="2"/>
        <v>-112</v>
      </c>
      <c r="T345" s="1">
        <f t="shared" si="3"/>
        <v>1.892857143</v>
      </c>
      <c r="U345" s="1">
        <f t="shared" si="4"/>
        <v>0</v>
      </c>
      <c r="V345" s="3">
        <f t="shared" si="5"/>
        <v>1</v>
      </c>
      <c r="W345" s="3">
        <f t="shared" si="6"/>
        <v>2</v>
      </c>
      <c r="X345" s="3" t="str">
        <f>IFERROR(__xludf.DUMMYFUNCTION("split(B345,"" "")"),"J.")</f>
        <v>J.</v>
      </c>
      <c r="Y345" s="3" t="str">
        <f>IFERROR(__xludf.DUMMYFUNCTION("""COMPUTED_VALUE"""),"Mingo")</f>
        <v>Mingo</v>
      </c>
      <c r="AA345" s="3">
        <v>24.0</v>
      </c>
      <c r="AB345" s="3">
        <f t="shared" si="7"/>
        <v>0</v>
      </c>
      <c r="AC345" s="3">
        <f t="shared" si="8"/>
        <v>1</v>
      </c>
      <c r="AD345" s="3">
        <f t="shared" si="9"/>
        <v>0.8928571429</v>
      </c>
      <c r="AE345" s="3">
        <f t="shared" si="10"/>
        <v>0.8928571429</v>
      </c>
      <c r="AF345" s="3">
        <f t="shared" si="11"/>
        <v>1.785714286</v>
      </c>
      <c r="AG345" s="3">
        <f t="shared" si="12"/>
        <v>0.2615384615</v>
      </c>
    </row>
    <row r="346">
      <c r="A346" s="1" t="s">
        <v>14</v>
      </c>
      <c r="B346" s="1" t="s">
        <v>522</v>
      </c>
      <c r="C346" s="1" t="s">
        <v>21</v>
      </c>
      <c r="D346" s="1" t="s">
        <v>57</v>
      </c>
      <c r="E346" s="1" t="s">
        <v>67</v>
      </c>
      <c r="F346" s="1" t="s">
        <v>564</v>
      </c>
      <c r="G346" s="1">
        <v>1.5</v>
      </c>
      <c r="H346" s="1" t="s">
        <v>60</v>
      </c>
      <c r="I346" s="1">
        <v>141.0</v>
      </c>
      <c r="J346" s="1">
        <v>0.0259622406639005</v>
      </c>
      <c r="K346" s="1" t="s">
        <v>61</v>
      </c>
      <c r="L346" s="1" t="s">
        <v>61</v>
      </c>
      <c r="M346" s="1" t="s">
        <v>62</v>
      </c>
      <c r="N346" s="1">
        <v>-188.0</v>
      </c>
      <c r="O346" s="1">
        <v>-0.0936777777777777</v>
      </c>
      <c r="P346" s="1" t="s">
        <v>61</v>
      </c>
      <c r="Q346" s="1" t="s">
        <v>61</v>
      </c>
      <c r="R346" s="1">
        <f t="shared" si="1"/>
        <v>0.02596224066</v>
      </c>
      <c r="S346" s="1">
        <f t="shared" si="2"/>
        <v>141</v>
      </c>
      <c r="T346" s="1">
        <f t="shared" si="3"/>
        <v>2.41</v>
      </c>
      <c r="U346" s="1">
        <f t="shared" si="4"/>
        <v>1</v>
      </c>
      <c r="V346" s="3">
        <f t="shared" si="5"/>
        <v>1</v>
      </c>
      <c r="W346" s="3">
        <f t="shared" si="6"/>
        <v>1</v>
      </c>
      <c r="X346" s="3" t="str">
        <f>IFERROR(__xludf.DUMMYFUNCTION("split(B346,"" "")"),"A.")</f>
        <v>A.</v>
      </c>
      <c r="Y346" s="3" t="str">
        <f>IFERROR(__xludf.DUMMYFUNCTION("""COMPUTED_VALUE"""),"Dalton")</f>
        <v>Dalton</v>
      </c>
      <c r="AA346" s="3">
        <v>2.0</v>
      </c>
      <c r="AB346" s="3">
        <f t="shared" si="7"/>
        <v>1</v>
      </c>
      <c r="AC346" s="3">
        <f t="shared" si="8"/>
        <v>1</v>
      </c>
      <c r="AD346" s="3">
        <f t="shared" si="9"/>
        <v>1.41</v>
      </c>
      <c r="AE346" s="3">
        <f t="shared" si="10"/>
        <v>1.41</v>
      </c>
      <c r="AF346" s="3">
        <f t="shared" si="11"/>
        <v>1.41</v>
      </c>
      <c r="AG346" s="3">
        <f t="shared" si="12"/>
        <v>0.3333333333</v>
      </c>
    </row>
    <row r="347">
      <c r="A347" s="1" t="s">
        <v>10</v>
      </c>
      <c r="B347" s="1" t="s">
        <v>207</v>
      </c>
      <c r="C347" s="1" t="s">
        <v>18</v>
      </c>
      <c r="D347" s="1" t="s">
        <v>57</v>
      </c>
      <c r="E347" s="1" t="s">
        <v>67</v>
      </c>
      <c r="F347" s="1" t="s">
        <v>564</v>
      </c>
      <c r="G347" s="1">
        <v>5.5</v>
      </c>
      <c r="H347" s="1" t="s">
        <v>60</v>
      </c>
      <c r="I347" s="1">
        <v>110.0</v>
      </c>
      <c r="J347" s="1">
        <v>0.0198682231994152</v>
      </c>
      <c r="K347" s="1" t="s">
        <v>61</v>
      </c>
      <c r="L347" s="1" t="s">
        <v>61</v>
      </c>
      <c r="M347" s="1" t="s">
        <v>62</v>
      </c>
      <c r="N347" s="1">
        <v>-145.0</v>
      </c>
      <c r="O347" s="1">
        <v>-0.0879030573811575</v>
      </c>
      <c r="P347" s="1" t="s">
        <v>61</v>
      </c>
      <c r="Q347" s="1" t="s">
        <v>61</v>
      </c>
      <c r="R347" s="1">
        <f t="shared" si="1"/>
        <v>0.0198682232</v>
      </c>
      <c r="S347" s="1">
        <f t="shared" si="2"/>
        <v>110</v>
      </c>
      <c r="T347" s="1">
        <f t="shared" si="3"/>
        <v>2.1</v>
      </c>
      <c r="U347" s="1">
        <f t="shared" si="4"/>
        <v>1</v>
      </c>
      <c r="V347" s="3">
        <f t="shared" si="5"/>
        <v>1</v>
      </c>
      <c r="W347" s="3">
        <f t="shared" si="6"/>
        <v>2</v>
      </c>
      <c r="X347" s="3" t="str">
        <f>IFERROR(__xludf.DUMMYFUNCTION("split(B347,"" "")"),"J.")</f>
        <v>J.</v>
      </c>
      <c r="Y347" s="3" t="str">
        <f>IFERROR(__xludf.DUMMYFUNCTION("""COMPUTED_VALUE"""),"Mingo")</f>
        <v>Mingo</v>
      </c>
      <c r="AA347" s="3">
        <v>0.0</v>
      </c>
      <c r="AB347" s="3">
        <f t="shared" si="7"/>
        <v>0</v>
      </c>
      <c r="AC347" s="3">
        <f t="shared" si="8"/>
        <v>0</v>
      </c>
      <c r="AD347" s="3">
        <f t="shared" si="9"/>
        <v>1.1</v>
      </c>
      <c r="AE347" s="3">
        <f t="shared" si="10"/>
        <v>-1</v>
      </c>
      <c r="AF347" s="3">
        <f t="shared" si="11"/>
        <v>-2</v>
      </c>
      <c r="AG347" s="3">
        <f t="shared" si="12"/>
        <v>-1</v>
      </c>
    </row>
    <row r="348">
      <c r="A348" s="1" t="s">
        <v>11</v>
      </c>
      <c r="B348" s="1" t="s">
        <v>520</v>
      </c>
      <c r="C348" s="1" t="s">
        <v>20</v>
      </c>
      <c r="D348" s="1" t="s">
        <v>57</v>
      </c>
      <c r="E348" s="1" t="s">
        <v>67</v>
      </c>
      <c r="F348" s="1" t="s">
        <v>564</v>
      </c>
      <c r="G348" s="1">
        <v>19.5</v>
      </c>
      <c r="H348" s="1" t="s">
        <v>60</v>
      </c>
      <c r="I348" s="1">
        <v>-116.0</v>
      </c>
      <c r="J348" s="1">
        <v>-0.0818746642262779</v>
      </c>
      <c r="K348" s="1" t="s">
        <v>61</v>
      </c>
      <c r="L348" s="1" t="s">
        <v>61</v>
      </c>
      <c r="M348" s="1" t="s">
        <v>62</v>
      </c>
      <c r="N348" s="1">
        <v>-112.0</v>
      </c>
      <c r="O348" s="1">
        <v>0.0165410508000997</v>
      </c>
      <c r="P348" s="1" t="s">
        <v>61</v>
      </c>
      <c r="Q348" s="1" t="s">
        <v>61</v>
      </c>
      <c r="R348" s="1">
        <f t="shared" si="1"/>
        <v>0.0165410508</v>
      </c>
      <c r="S348" s="1">
        <f t="shared" si="2"/>
        <v>-112</v>
      </c>
      <c r="T348" s="1">
        <f t="shared" si="3"/>
        <v>1.892857143</v>
      </c>
      <c r="U348" s="1">
        <f t="shared" si="4"/>
        <v>0</v>
      </c>
      <c r="V348" s="3">
        <f t="shared" si="5"/>
        <v>1</v>
      </c>
      <c r="W348" s="3">
        <f t="shared" si="6"/>
        <v>2</v>
      </c>
      <c r="X348" s="3" t="str">
        <f>IFERROR(__xludf.DUMMYFUNCTION("split(B348,"" "")"),"T.")</f>
        <v>T.</v>
      </c>
      <c r="Y348" s="3" t="str">
        <f>IFERROR(__xludf.DUMMYFUNCTION("""COMPUTED_VALUE"""),"Tremble")</f>
        <v>Tremble</v>
      </c>
      <c r="AA348" s="3">
        <v>0.0</v>
      </c>
      <c r="AB348" s="3">
        <f t="shared" si="7"/>
        <v>0</v>
      </c>
      <c r="AC348" s="3">
        <f t="shared" si="8"/>
        <v>1</v>
      </c>
      <c r="AD348" s="3">
        <f t="shared" si="9"/>
        <v>0.8928571429</v>
      </c>
      <c r="AE348" s="3">
        <f t="shared" si="10"/>
        <v>0.8928571429</v>
      </c>
      <c r="AF348" s="3">
        <f t="shared" si="11"/>
        <v>1.785714286</v>
      </c>
      <c r="AG348" s="3">
        <f t="shared" si="12"/>
        <v>1</v>
      </c>
    </row>
    <row r="349">
      <c r="A349" s="1" t="s">
        <v>11</v>
      </c>
      <c r="B349" s="1" t="s">
        <v>353</v>
      </c>
      <c r="C349" s="1" t="s">
        <v>18</v>
      </c>
      <c r="D349" s="1" t="s">
        <v>57</v>
      </c>
      <c r="E349" s="1" t="s">
        <v>67</v>
      </c>
      <c r="F349" s="1" t="s">
        <v>564</v>
      </c>
      <c r="G349" s="1">
        <v>62.5</v>
      </c>
      <c r="H349" s="1" t="s">
        <v>60</v>
      </c>
      <c r="I349" s="1">
        <v>-124.0</v>
      </c>
      <c r="J349" s="1">
        <v>-0.0775621695613001</v>
      </c>
      <c r="K349" s="1" t="s">
        <v>61</v>
      </c>
      <c r="L349" s="1" t="s">
        <v>61</v>
      </c>
      <c r="M349" s="1" t="s">
        <v>62</v>
      </c>
      <c r="N349" s="1">
        <v>-106.0</v>
      </c>
      <c r="O349" s="1">
        <v>0.00944081447096267</v>
      </c>
      <c r="P349" s="1" t="s">
        <v>61</v>
      </c>
      <c r="Q349" s="1" t="s">
        <v>61</v>
      </c>
      <c r="R349" s="1">
        <f t="shared" si="1"/>
        <v>0.009440814471</v>
      </c>
      <c r="S349" s="1">
        <f t="shared" si="2"/>
        <v>-106</v>
      </c>
      <c r="T349" s="1">
        <f t="shared" si="3"/>
        <v>1.943396226</v>
      </c>
      <c r="U349" s="1">
        <f t="shared" si="4"/>
        <v>0</v>
      </c>
      <c r="V349" s="3">
        <f t="shared" si="5"/>
        <v>1</v>
      </c>
      <c r="W349" s="3">
        <f t="shared" si="6"/>
        <v>2</v>
      </c>
      <c r="X349" s="3" t="str">
        <f>IFERROR(__xludf.DUMMYFUNCTION("split(B349,"" "")"),"D.")</f>
        <v>D.</v>
      </c>
      <c r="Y349" s="3" t="str">
        <f>IFERROR(__xludf.DUMMYFUNCTION("""COMPUTED_VALUE"""),"Johnson")</f>
        <v>Johnson</v>
      </c>
      <c r="AA349" s="3">
        <v>83.0</v>
      </c>
      <c r="AB349" s="3">
        <f t="shared" si="7"/>
        <v>1</v>
      </c>
      <c r="AC349" s="3">
        <f t="shared" si="8"/>
        <v>0</v>
      </c>
      <c r="AD349" s="3">
        <f t="shared" si="9"/>
        <v>0.9433962264</v>
      </c>
      <c r="AE349" s="3">
        <f t="shared" si="10"/>
        <v>-1</v>
      </c>
      <c r="AF349" s="3">
        <f t="shared" si="11"/>
        <v>-2</v>
      </c>
      <c r="AG349" s="3">
        <f t="shared" si="12"/>
        <v>-0.328</v>
      </c>
    </row>
    <row r="350">
      <c r="A350" s="1" t="s">
        <v>12</v>
      </c>
      <c r="B350" s="1" t="s">
        <v>207</v>
      </c>
      <c r="C350" s="1" t="s">
        <v>18</v>
      </c>
      <c r="D350" s="1" t="s">
        <v>57</v>
      </c>
      <c r="E350" s="1" t="s">
        <v>67</v>
      </c>
      <c r="F350" s="1" t="s">
        <v>564</v>
      </c>
      <c r="G350" s="1">
        <v>3.5</v>
      </c>
      <c r="H350" s="1" t="s">
        <v>60</v>
      </c>
      <c r="I350" s="1">
        <v>137.0</v>
      </c>
      <c r="J350" s="1">
        <v>-0.0725409282700421</v>
      </c>
      <c r="K350" s="1" t="s">
        <v>61</v>
      </c>
      <c r="L350" s="1" t="s">
        <v>61</v>
      </c>
      <c r="M350" s="1" t="s">
        <v>62</v>
      </c>
      <c r="N350" s="1">
        <v>-180.0</v>
      </c>
      <c r="O350" s="1">
        <v>0.00774285714285727</v>
      </c>
      <c r="P350" s="1" t="s">
        <v>61</v>
      </c>
      <c r="Q350" s="1" t="s">
        <v>61</v>
      </c>
      <c r="R350" s="1">
        <f t="shared" si="1"/>
        <v>0.007742857143</v>
      </c>
      <c r="S350" s="1">
        <f t="shared" si="2"/>
        <v>-180</v>
      </c>
      <c r="T350" s="1">
        <f t="shared" si="3"/>
        <v>1.555555556</v>
      </c>
      <c r="U350" s="1">
        <f t="shared" si="4"/>
        <v>0</v>
      </c>
      <c r="V350" s="3">
        <f t="shared" si="5"/>
        <v>1</v>
      </c>
      <c r="W350" s="3">
        <f t="shared" si="6"/>
        <v>3</v>
      </c>
      <c r="X350" s="3" t="str">
        <f>IFERROR(__xludf.DUMMYFUNCTION("split(B350,"" "")"),"J.")</f>
        <v>J.</v>
      </c>
      <c r="Y350" s="3" t="str">
        <f>IFERROR(__xludf.DUMMYFUNCTION("""COMPUTED_VALUE"""),"Mingo")</f>
        <v>Mingo</v>
      </c>
      <c r="AA350" s="3">
        <v>3.0</v>
      </c>
      <c r="AB350" s="3">
        <f t="shared" si="7"/>
        <v>0</v>
      </c>
      <c r="AC350" s="3">
        <f t="shared" si="8"/>
        <v>1</v>
      </c>
      <c r="AD350" s="3">
        <f t="shared" si="9"/>
        <v>0.5555555556</v>
      </c>
      <c r="AE350" s="3">
        <f t="shared" si="10"/>
        <v>0.5555555556</v>
      </c>
      <c r="AF350" s="3">
        <f t="shared" si="11"/>
        <v>1.666666667</v>
      </c>
      <c r="AG350" s="3">
        <f t="shared" si="12"/>
        <v>0.1428571429</v>
      </c>
    </row>
    <row r="351">
      <c r="A351" s="1" t="s">
        <v>9</v>
      </c>
      <c r="B351" s="1" t="s">
        <v>521</v>
      </c>
      <c r="C351" s="1" t="s">
        <v>19</v>
      </c>
      <c r="D351" s="1" t="s">
        <v>57</v>
      </c>
      <c r="E351" s="1" t="s">
        <v>67</v>
      </c>
      <c r="F351" s="1" t="s">
        <v>564</v>
      </c>
      <c r="G351" s="1">
        <v>36.5</v>
      </c>
      <c r="H351" s="1" t="s">
        <v>60</v>
      </c>
      <c r="I351" s="1">
        <v>-118.0</v>
      </c>
      <c r="J351" s="1">
        <v>0.00241945581981595</v>
      </c>
      <c r="K351" s="1" t="s">
        <v>61</v>
      </c>
      <c r="L351" s="1" t="s">
        <v>61</v>
      </c>
      <c r="M351" s="1" t="s">
        <v>62</v>
      </c>
      <c r="N351" s="1">
        <v>-115.0</v>
      </c>
      <c r="O351" s="1">
        <v>-0.0785384073210597</v>
      </c>
      <c r="P351" s="1" t="s">
        <v>61</v>
      </c>
      <c r="Q351" s="1" t="s">
        <v>61</v>
      </c>
      <c r="R351" s="1">
        <f t="shared" si="1"/>
        <v>0.00241945582</v>
      </c>
      <c r="S351" s="1">
        <f t="shared" si="2"/>
        <v>-118</v>
      </c>
      <c r="T351" s="1">
        <f t="shared" si="3"/>
        <v>1.847457627</v>
      </c>
      <c r="U351" s="1">
        <f t="shared" si="4"/>
        <v>1</v>
      </c>
      <c r="V351" s="3">
        <f t="shared" si="5"/>
        <v>1</v>
      </c>
      <c r="W351" s="3">
        <f t="shared" si="6"/>
        <v>3</v>
      </c>
      <c r="X351" s="3" t="str">
        <f>IFERROR(__xludf.DUMMYFUNCTION("split(B351,"" "")"),"M.")</f>
        <v>M.</v>
      </c>
      <c r="Y351" s="3" t="str">
        <f>IFERROR(__xludf.DUMMYFUNCTION("""COMPUTED_VALUE"""),"Sanders")</f>
        <v>Sanders</v>
      </c>
      <c r="AA351" s="3">
        <v>46.0</v>
      </c>
      <c r="AB351" s="3">
        <f t="shared" si="7"/>
        <v>1</v>
      </c>
      <c r="AC351" s="3">
        <f t="shared" si="8"/>
        <v>1</v>
      </c>
      <c r="AD351" s="3">
        <f t="shared" si="9"/>
        <v>0.8474576271</v>
      </c>
      <c r="AE351" s="3">
        <f t="shared" si="10"/>
        <v>0.8474576271</v>
      </c>
      <c r="AF351" s="3">
        <f t="shared" si="11"/>
        <v>2.542372881</v>
      </c>
      <c r="AG351" s="3">
        <f t="shared" si="12"/>
        <v>0.2602739726</v>
      </c>
    </row>
    <row r="352">
      <c r="A352" s="1" t="s">
        <v>9</v>
      </c>
      <c r="B352" s="1" t="s">
        <v>207</v>
      </c>
      <c r="C352" s="1" t="s">
        <v>18</v>
      </c>
      <c r="D352" s="1" t="s">
        <v>57</v>
      </c>
      <c r="E352" s="1" t="s">
        <v>67</v>
      </c>
      <c r="F352" s="1" t="s">
        <v>564</v>
      </c>
      <c r="G352" s="1">
        <v>35.5</v>
      </c>
      <c r="H352" s="1" t="s">
        <v>60</v>
      </c>
      <c r="I352" s="1">
        <v>-113.0</v>
      </c>
      <c r="J352" s="1">
        <v>3.35792832174219E-4</v>
      </c>
      <c r="K352" s="1" t="s">
        <v>61</v>
      </c>
      <c r="L352" s="1" t="s">
        <v>61</v>
      </c>
      <c r="M352" s="1" t="s">
        <v>62</v>
      </c>
      <c r="N352" s="1">
        <v>-120.0</v>
      </c>
      <c r="O352" s="1">
        <v>-0.0762990393086531</v>
      </c>
      <c r="P352" s="1" t="s">
        <v>61</v>
      </c>
      <c r="Q352" s="1" t="s">
        <v>61</v>
      </c>
      <c r="R352" s="1">
        <f t="shared" si="1"/>
        <v>0.0003357928322</v>
      </c>
      <c r="S352" s="1">
        <f t="shared" si="2"/>
        <v>-113</v>
      </c>
      <c r="T352" s="1">
        <f t="shared" si="3"/>
        <v>1.884955752</v>
      </c>
      <c r="U352" s="1">
        <f t="shared" si="4"/>
        <v>1</v>
      </c>
      <c r="V352" s="3">
        <f t="shared" si="5"/>
        <v>1</v>
      </c>
      <c r="W352" s="3">
        <f t="shared" si="6"/>
        <v>2</v>
      </c>
      <c r="X352" s="3" t="str">
        <f>IFERROR(__xludf.DUMMYFUNCTION("split(B352,"" "")"),"J.")</f>
        <v>J.</v>
      </c>
      <c r="Y352" s="3" t="str">
        <f>IFERROR(__xludf.DUMMYFUNCTION("""COMPUTED_VALUE"""),"Mingo")</f>
        <v>Mingo</v>
      </c>
      <c r="AA352" s="3">
        <v>24.0</v>
      </c>
      <c r="AB352" s="3">
        <f t="shared" si="7"/>
        <v>0</v>
      </c>
      <c r="AC352" s="3">
        <f t="shared" si="8"/>
        <v>0</v>
      </c>
      <c r="AD352" s="3">
        <f t="shared" si="9"/>
        <v>0.8849557522</v>
      </c>
      <c r="AE352" s="3">
        <f t="shared" si="10"/>
        <v>-1</v>
      </c>
      <c r="AF352" s="3">
        <f t="shared" si="11"/>
        <v>-2</v>
      </c>
      <c r="AG352" s="3">
        <f t="shared" si="12"/>
        <v>-0.323943662</v>
      </c>
    </row>
    <row r="353">
      <c r="A353" s="1" t="s">
        <v>12</v>
      </c>
      <c r="B353" s="1" t="s">
        <v>458</v>
      </c>
      <c r="C353" s="1" t="s">
        <v>19</v>
      </c>
      <c r="D353" s="1" t="s">
        <v>104</v>
      </c>
      <c r="E353" s="1" t="s">
        <v>77</v>
      </c>
      <c r="F353" s="1" t="s">
        <v>573</v>
      </c>
      <c r="G353" s="1">
        <v>2.5</v>
      </c>
      <c r="H353" s="1" t="s">
        <v>60</v>
      </c>
      <c r="I353" s="1">
        <v>-145.0</v>
      </c>
      <c r="J353" s="1">
        <v>-0.238075872122448</v>
      </c>
      <c r="K353" s="1" t="s">
        <v>61</v>
      </c>
      <c r="L353" s="1" t="s">
        <v>61</v>
      </c>
      <c r="M353" s="1" t="s">
        <v>62</v>
      </c>
      <c r="N353" s="1">
        <v>110.0</v>
      </c>
      <c r="O353" s="1">
        <v>0.170055184142857</v>
      </c>
      <c r="P353" s="1" t="s">
        <v>61</v>
      </c>
      <c r="Q353" s="1" t="s">
        <v>61</v>
      </c>
      <c r="R353" s="1">
        <f t="shared" si="1"/>
        <v>0.1700551841</v>
      </c>
      <c r="S353" s="1">
        <f t="shared" si="2"/>
        <v>110</v>
      </c>
      <c r="T353" s="1">
        <f t="shared" si="3"/>
        <v>2.1</v>
      </c>
      <c r="U353" s="1">
        <f t="shared" si="4"/>
        <v>0</v>
      </c>
      <c r="V353" s="3">
        <f t="shared" si="5"/>
        <v>3</v>
      </c>
      <c r="W353" s="3">
        <f t="shared" si="6"/>
        <v>2</v>
      </c>
      <c r="X353" s="3" t="str">
        <f>IFERROR(__xludf.DUMMYFUNCTION("split(B353,"" "")"),"J.")</f>
        <v>J.</v>
      </c>
      <c r="Y353" s="3" t="str">
        <f>IFERROR(__xludf.DUMMYFUNCTION("""COMPUTED_VALUE"""),"Cook")</f>
        <v>Cook</v>
      </c>
      <c r="AA353" s="3">
        <v>1.0</v>
      </c>
      <c r="AB353" s="3">
        <f t="shared" si="7"/>
        <v>0</v>
      </c>
      <c r="AC353" s="3">
        <f t="shared" si="8"/>
        <v>1</v>
      </c>
      <c r="AD353" s="3">
        <f t="shared" si="9"/>
        <v>3.3</v>
      </c>
      <c r="AE353" s="3">
        <f t="shared" si="10"/>
        <v>3.3</v>
      </c>
      <c r="AF353" s="3">
        <f t="shared" si="11"/>
        <v>2.2</v>
      </c>
      <c r="AG353" s="3">
        <f t="shared" si="12"/>
        <v>0.6</v>
      </c>
    </row>
    <row r="354">
      <c r="A354" s="1" t="s">
        <v>8</v>
      </c>
      <c r="B354" s="1" t="s">
        <v>434</v>
      </c>
      <c r="C354" s="1" t="s">
        <v>21</v>
      </c>
      <c r="D354" s="1" t="s">
        <v>104</v>
      </c>
      <c r="E354" s="1" t="s">
        <v>77</v>
      </c>
      <c r="F354" s="1" t="s">
        <v>573</v>
      </c>
      <c r="G354" s="1">
        <v>6.5</v>
      </c>
      <c r="H354" s="1" t="s">
        <v>60</v>
      </c>
      <c r="I354" s="1">
        <v>-114.0</v>
      </c>
      <c r="J354" s="1">
        <v>-0.224748443888434</v>
      </c>
      <c r="K354" s="1" t="s">
        <v>61</v>
      </c>
      <c r="L354" s="1" t="s">
        <v>61</v>
      </c>
      <c r="M354" s="1" t="s">
        <v>62</v>
      </c>
      <c r="N354" s="1">
        <v>-117.0</v>
      </c>
      <c r="O354" s="1">
        <v>0.152873527100397</v>
      </c>
      <c r="P354" s="1" t="s">
        <v>61</v>
      </c>
      <c r="Q354" s="1" t="s">
        <v>61</v>
      </c>
      <c r="R354" s="1">
        <f t="shared" si="1"/>
        <v>0.1528735271</v>
      </c>
      <c r="S354" s="1">
        <f t="shared" si="2"/>
        <v>-117</v>
      </c>
      <c r="T354" s="1">
        <f t="shared" si="3"/>
        <v>1.854700855</v>
      </c>
      <c r="U354" s="1">
        <f t="shared" si="4"/>
        <v>0</v>
      </c>
      <c r="V354" s="3">
        <f t="shared" si="5"/>
        <v>3</v>
      </c>
      <c r="W354" s="3">
        <f t="shared" si="6"/>
        <v>2</v>
      </c>
      <c r="X354" s="3" t="str">
        <f>IFERROR(__xludf.DUMMYFUNCTION("split(B354,"" "")"),"J.")</f>
        <v>J.</v>
      </c>
      <c r="Y354" s="3" t="str">
        <f>IFERROR(__xludf.DUMMYFUNCTION("""COMPUTED_VALUE"""),"Allen")</f>
        <v>Allen</v>
      </c>
      <c r="AA354" s="3">
        <v>5.0</v>
      </c>
      <c r="AB354" s="3">
        <f t="shared" si="7"/>
        <v>0</v>
      </c>
      <c r="AC354" s="3">
        <f t="shared" si="8"/>
        <v>1</v>
      </c>
      <c r="AD354" s="3">
        <f t="shared" si="9"/>
        <v>2.564102564</v>
      </c>
      <c r="AE354" s="3">
        <f t="shared" si="10"/>
        <v>2.564102564</v>
      </c>
      <c r="AF354" s="3">
        <f t="shared" si="11"/>
        <v>1.709401709</v>
      </c>
      <c r="AG354" s="3">
        <f t="shared" si="12"/>
        <v>0.2307692308</v>
      </c>
    </row>
    <row r="355">
      <c r="A355" s="1" t="s">
        <v>9</v>
      </c>
      <c r="B355" s="1" t="s">
        <v>457</v>
      </c>
      <c r="C355" s="1" t="s">
        <v>18</v>
      </c>
      <c r="D355" s="1" t="s">
        <v>104</v>
      </c>
      <c r="E355" s="1" t="s">
        <v>77</v>
      </c>
      <c r="F355" s="1" t="s">
        <v>573</v>
      </c>
      <c r="G355" s="1">
        <v>12.5</v>
      </c>
      <c r="H355" s="1" t="s">
        <v>60</v>
      </c>
      <c r="I355" s="1">
        <v>-116.0</v>
      </c>
      <c r="J355" s="1">
        <v>0.127800072712059</v>
      </c>
      <c r="K355" s="1" t="s">
        <v>61</v>
      </c>
      <c r="L355" s="1" t="s">
        <v>61</v>
      </c>
      <c r="M355" s="1" t="s">
        <v>62</v>
      </c>
      <c r="N355" s="1">
        <v>-116.0</v>
      </c>
      <c r="O355" s="1">
        <v>-0.201832084345989</v>
      </c>
      <c r="P355" s="1" t="s">
        <v>61</v>
      </c>
      <c r="Q355" s="1" t="s">
        <v>61</v>
      </c>
      <c r="R355" s="1">
        <f t="shared" si="1"/>
        <v>0.1278000727</v>
      </c>
      <c r="S355" s="1">
        <f t="shared" si="2"/>
        <v>-116</v>
      </c>
      <c r="T355" s="1">
        <f t="shared" si="3"/>
        <v>1.862068966</v>
      </c>
      <c r="U355" s="1">
        <f t="shared" si="4"/>
        <v>1</v>
      </c>
      <c r="V355" s="3">
        <f t="shared" si="5"/>
        <v>3</v>
      </c>
      <c r="W355" s="3">
        <f t="shared" si="6"/>
        <v>2</v>
      </c>
      <c r="X355" s="3" t="str">
        <f>IFERROR(__xludf.DUMMYFUNCTION("split(B355,"" "")"),"M.")</f>
        <v>M.</v>
      </c>
      <c r="Y355" s="3" t="str">
        <f>IFERROR(__xludf.DUMMYFUNCTION("""COMPUTED_VALUE"""),"Hollins")</f>
        <v>Hollins</v>
      </c>
      <c r="AA355" s="3">
        <v>5.0</v>
      </c>
      <c r="AB355" s="3">
        <f t="shared" si="7"/>
        <v>0</v>
      </c>
      <c r="AC355" s="3">
        <f t="shared" si="8"/>
        <v>0</v>
      </c>
      <c r="AD355" s="3">
        <f t="shared" si="9"/>
        <v>2.586206897</v>
      </c>
      <c r="AE355" s="3">
        <f t="shared" si="10"/>
        <v>-3</v>
      </c>
      <c r="AF355" s="3">
        <f t="shared" si="11"/>
        <v>-2</v>
      </c>
      <c r="AG355" s="3">
        <f t="shared" si="12"/>
        <v>-0.6</v>
      </c>
    </row>
    <row r="356">
      <c r="A356" s="1" t="s">
        <v>9</v>
      </c>
      <c r="B356" s="1" t="s">
        <v>103</v>
      </c>
      <c r="C356" s="1" t="s">
        <v>18</v>
      </c>
      <c r="D356" s="1" t="s">
        <v>104</v>
      </c>
      <c r="E356" s="1" t="s">
        <v>77</v>
      </c>
      <c r="F356" s="1" t="s">
        <v>573</v>
      </c>
      <c r="G356" s="1">
        <v>21.5</v>
      </c>
      <c r="H356" s="1" t="s">
        <v>60</v>
      </c>
      <c r="I356" s="1">
        <v>-118.0</v>
      </c>
      <c r="J356" s="1">
        <v>0.12300350705521</v>
      </c>
      <c r="K356" s="1" t="s">
        <v>61</v>
      </c>
      <c r="L356" s="1" t="s">
        <v>61</v>
      </c>
      <c r="M356" s="1" t="s">
        <v>62</v>
      </c>
      <c r="N356" s="1">
        <v>-114.0</v>
      </c>
      <c r="O356" s="1">
        <v>-0.196931717632527</v>
      </c>
      <c r="P356" s="1" t="s">
        <v>61</v>
      </c>
      <c r="Q356" s="1" t="s">
        <v>61</v>
      </c>
      <c r="R356" s="1">
        <f t="shared" si="1"/>
        <v>0.1230035071</v>
      </c>
      <c r="S356" s="1">
        <f t="shared" si="2"/>
        <v>-118</v>
      </c>
      <c r="T356" s="1">
        <f t="shared" si="3"/>
        <v>1.847457627</v>
      </c>
      <c r="U356" s="1">
        <f t="shared" si="4"/>
        <v>1</v>
      </c>
      <c r="V356" s="3">
        <f t="shared" si="5"/>
        <v>3</v>
      </c>
      <c r="W356" s="3">
        <f t="shared" si="6"/>
        <v>3</v>
      </c>
      <c r="X356" s="3" t="str">
        <f>IFERROR(__xludf.DUMMYFUNCTION("split(B356,"" "")"),"C.")</f>
        <v>C.</v>
      </c>
      <c r="Y356" s="3" t="str">
        <f>IFERROR(__xludf.DUMMYFUNCTION("""COMPUTED_VALUE"""),"Samuel")</f>
        <v>Samuel</v>
      </c>
      <c r="AA356" s="3">
        <v>15.0</v>
      </c>
      <c r="AB356" s="3">
        <f t="shared" si="7"/>
        <v>0</v>
      </c>
      <c r="AC356" s="3">
        <f t="shared" si="8"/>
        <v>0</v>
      </c>
      <c r="AD356" s="3">
        <f t="shared" si="9"/>
        <v>2.542372881</v>
      </c>
      <c r="AE356" s="3">
        <f t="shared" si="10"/>
        <v>-3</v>
      </c>
      <c r="AF356" s="3">
        <f t="shared" si="11"/>
        <v>-3</v>
      </c>
      <c r="AG356" s="3">
        <f t="shared" si="12"/>
        <v>-0.3023255814</v>
      </c>
    </row>
    <row r="357">
      <c r="A357" s="1" t="s">
        <v>8</v>
      </c>
      <c r="B357" s="1" t="s">
        <v>458</v>
      </c>
      <c r="C357" s="1" t="s">
        <v>19</v>
      </c>
      <c r="D357" s="1" t="s">
        <v>104</v>
      </c>
      <c r="E357" s="1" t="s">
        <v>77</v>
      </c>
      <c r="F357" s="1" t="s">
        <v>573</v>
      </c>
      <c r="G357" s="1">
        <v>13.5</v>
      </c>
      <c r="H357" s="1" t="s">
        <v>60</v>
      </c>
      <c r="I357" s="1">
        <v>-125.0</v>
      </c>
      <c r="J357" s="1">
        <v>-0.190043290004</v>
      </c>
      <c r="K357" s="1" t="s">
        <v>61</v>
      </c>
      <c r="L357" s="1" t="s">
        <v>61</v>
      </c>
      <c r="M357" s="1" t="s">
        <v>62</v>
      </c>
      <c r="N357" s="1">
        <v>-107.0</v>
      </c>
      <c r="O357" s="1">
        <v>0.117593826417695</v>
      </c>
      <c r="P357" s="1" t="s">
        <v>61</v>
      </c>
      <c r="Q357" s="1" t="s">
        <v>61</v>
      </c>
      <c r="R357" s="1">
        <f t="shared" si="1"/>
        <v>0.1175938264</v>
      </c>
      <c r="S357" s="1">
        <f t="shared" si="2"/>
        <v>-107</v>
      </c>
      <c r="T357" s="1">
        <f t="shared" si="3"/>
        <v>1.934579439</v>
      </c>
      <c r="U357" s="1">
        <f t="shared" si="4"/>
        <v>0</v>
      </c>
      <c r="V357" s="3">
        <f t="shared" si="5"/>
        <v>3</v>
      </c>
      <c r="W357" s="3">
        <f t="shared" si="6"/>
        <v>2</v>
      </c>
      <c r="X357" s="3" t="str">
        <f>IFERROR(__xludf.DUMMYFUNCTION("split(B357,"" "")"),"J.")</f>
        <v>J.</v>
      </c>
      <c r="Y357" s="3" t="str">
        <f>IFERROR(__xludf.DUMMYFUNCTION("""COMPUTED_VALUE"""),"Cook")</f>
        <v>Cook</v>
      </c>
      <c r="AA357" s="3">
        <v>9.0</v>
      </c>
      <c r="AB357" s="3">
        <f t="shared" si="7"/>
        <v>0</v>
      </c>
      <c r="AC357" s="3">
        <f t="shared" si="8"/>
        <v>1</v>
      </c>
      <c r="AD357" s="3">
        <f t="shared" si="9"/>
        <v>2.803738318</v>
      </c>
      <c r="AE357" s="3">
        <f t="shared" si="10"/>
        <v>2.803738318</v>
      </c>
      <c r="AF357" s="3">
        <f t="shared" si="11"/>
        <v>1.869158879</v>
      </c>
      <c r="AG357" s="3">
        <f t="shared" si="12"/>
        <v>0.3333333333</v>
      </c>
    </row>
    <row r="358">
      <c r="A358" s="1" t="s">
        <v>12</v>
      </c>
      <c r="B358" s="1" t="s">
        <v>235</v>
      </c>
      <c r="C358" s="1" t="s">
        <v>20</v>
      </c>
      <c r="D358" s="1" t="s">
        <v>104</v>
      </c>
      <c r="E358" s="1" t="s">
        <v>77</v>
      </c>
      <c r="F358" s="1" t="s">
        <v>573</v>
      </c>
      <c r="G358" s="1">
        <v>3.5</v>
      </c>
      <c r="H358" s="1" t="s">
        <v>60</v>
      </c>
      <c r="I358" s="1">
        <v>-167.0</v>
      </c>
      <c r="J358" s="1">
        <v>-0.151468164794007</v>
      </c>
      <c r="K358" s="1" t="s">
        <v>61</v>
      </c>
      <c r="L358" s="1" t="s">
        <v>61</v>
      </c>
      <c r="M358" s="1" t="s">
        <v>62</v>
      </c>
      <c r="N358" s="1">
        <v>129.0</v>
      </c>
      <c r="O358" s="1">
        <v>0.0893187772925764</v>
      </c>
      <c r="P358" s="1" t="s">
        <v>61</v>
      </c>
      <c r="Q358" s="1" t="s">
        <v>61</v>
      </c>
      <c r="R358" s="1">
        <f t="shared" si="1"/>
        <v>0.08931877729</v>
      </c>
      <c r="S358" s="1">
        <f t="shared" si="2"/>
        <v>129</v>
      </c>
      <c r="T358" s="1">
        <f t="shared" si="3"/>
        <v>2.29</v>
      </c>
      <c r="U358" s="1">
        <f t="shared" si="4"/>
        <v>0</v>
      </c>
      <c r="V358" s="3">
        <f t="shared" si="5"/>
        <v>2</v>
      </c>
      <c r="W358" s="3">
        <f t="shared" si="6"/>
        <v>1</v>
      </c>
      <c r="X358" s="3" t="str">
        <f>IFERROR(__xludf.DUMMYFUNCTION("split(B358,"" "")"),"D.")</f>
        <v>D.</v>
      </c>
      <c r="Y358" s="3" t="str">
        <f>IFERROR(__xludf.DUMMYFUNCTION("""COMPUTED_VALUE"""),"Kincaid")</f>
        <v>Kincaid</v>
      </c>
      <c r="AA358" s="3">
        <v>5.0</v>
      </c>
      <c r="AB358" s="3">
        <f t="shared" si="7"/>
        <v>1</v>
      </c>
      <c r="AC358" s="3">
        <f t="shared" si="8"/>
        <v>0</v>
      </c>
      <c r="AD358" s="3">
        <f t="shared" si="9"/>
        <v>2.58</v>
      </c>
      <c r="AE358" s="3">
        <f t="shared" si="10"/>
        <v>-2</v>
      </c>
      <c r="AF358" s="3">
        <f t="shared" si="11"/>
        <v>-1</v>
      </c>
      <c r="AG358" s="3">
        <f t="shared" si="12"/>
        <v>-0.4285714286</v>
      </c>
    </row>
    <row r="359">
      <c r="A359" s="1" t="s">
        <v>11</v>
      </c>
      <c r="B359" s="1" t="s">
        <v>189</v>
      </c>
      <c r="C359" s="1" t="s">
        <v>18</v>
      </c>
      <c r="D359" s="1" t="s">
        <v>104</v>
      </c>
      <c r="E359" s="1" t="s">
        <v>77</v>
      </c>
      <c r="F359" s="1" t="s">
        <v>573</v>
      </c>
      <c r="G359" s="1">
        <v>48.5</v>
      </c>
      <c r="H359" s="1" t="s">
        <v>60</v>
      </c>
      <c r="I359" s="1">
        <v>-110.0</v>
      </c>
      <c r="J359" s="1">
        <v>-0.128756557671428</v>
      </c>
      <c r="K359" s="1" t="s">
        <v>61</v>
      </c>
      <c r="L359" s="1" t="s">
        <v>61</v>
      </c>
      <c r="M359" s="1" t="s">
        <v>62</v>
      </c>
      <c r="N359" s="1">
        <v>-113.0</v>
      </c>
      <c r="O359" s="1">
        <v>0.0744350830762818</v>
      </c>
      <c r="P359" s="1" t="s">
        <v>61</v>
      </c>
      <c r="Q359" s="1" t="s">
        <v>61</v>
      </c>
      <c r="R359" s="1">
        <f t="shared" si="1"/>
        <v>0.07443508308</v>
      </c>
      <c r="S359" s="1">
        <f t="shared" si="2"/>
        <v>-113</v>
      </c>
      <c r="T359" s="1">
        <f t="shared" si="3"/>
        <v>1.884955752</v>
      </c>
      <c r="U359" s="1">
        <f t="shared" si="4"/>
        <v>0</v>
      </c>
      <c r="V359" s="3">
        <f t="shared" si="5"/>
        <v>2</v>
      </c>
      <c r="W359" s="3">
        <f t="shared" si="6"/>
        <v>2</v>
      </c>
      <c r="X359" s="3" t="str">
        <f>IFERROR(__xludf.DUMMYFUNCTION("split(B359,"" "")"),"K.")</f>
        <v>K.</v>
      </c>
      <c r="Y359" s="3" t="str">
        <f>IFERROR(__xludf.DUMMYFUNCTION("""COMPUTED_VALUE"""),"Shakir")</f>
        <v>Shakir</v>
      </c>
      <c r="AA359" s="3">
        <v>62.0</v>
      </c>
      <c r="AB359" s="3">
        <f t="shared" si="7"/>
        <v>1</v>
      </c>
      <c r="AC359" s="3">
        <f t="shared" si="8"/>
        <v>0</v>
      </c>
      <c r="AD359" s="3">
        <f t="shared" si="9"/>
        <v>1.769911504</v>
      </c>
      <c r="AE359" s="3">
        <f t="shared" si="10"/>
        <v>-2</v>
      </c>
      <c r="AF359" s="3">
        <f t="shared" si="11"/>
        <v>-2</v>
      </c>
      <c r="AG359" s="3">
        <f t="shared" si="12"/>
        <v>-0.2783505155</v>
      </c>
    </row>
    <row r="360">
      <c r="A360" s="1" t="s">
        <v>12</v>
      </c>
      <c r="B360" s="1" t="s">
        <v>457</v>
      </c>
      <c r="C360" s="1" t="s">
        <v>18</v>
      </c>
      <c r="D360" s="1" t="s">
        <v>104</v>
      </c>
      <c r="E360" s="1" t="s">
        <v>77</v>
      </c>
      <c r="F360" s="1" t="s">
        <v>573</v>
      </c>
      <c r="G360" s="1">
        <v>1.5</v>
      </c>
      <c r="H360" s="1" t="s">
        <v>60</v>
      </c>
      <c r="I360" s="1">
        <v>133.0</v>
      </c>
      <c r="J360" s="1">
        <v>-0.139974383909356</v>
      </c>
      <c r="K360" s="1" t="s">
        <v>61</v>
      </c>
      <c r="L360" s="1" t="s">
        <v>61</v>
      </c>
      <c r="M360" s="1" t="s">
        <v>62</v>
      </c>
      <c r="N360" s="1">
        <v>-177.0</v>
      </c>
      <c r="O360" s="1">
        <v>0.0717994507968232</v>
      </c>
      <c r="P360" s="1" t="s">
        <v>61</v>
      </c>
      <c r="Q360" s="1" t="s">
        <v>61</v>
      </c>
      <c r="R360" s="1">
        <f t="shared" si="1"/>
        <v>0.0717994508</v>
      </c>
      <c r="S360" s="1">
        <f t="shared" si="2"/>
        <v>-177</v>
      </c>
      <c r="T360" s="1">
        <f t="shared" si="3"/>
        <v>1.564971751</v>
      </c>
      <c r="U360" s="1">
        <f t="shared" si="4"/>
        <v>0</v>
      </c>
      <c r="V360" s="3">
        <f t="shared" si="5"/>
        <v>2</v>
      </c>
      <c r="W360" s="3">
        <f t="shared" si="6"/>
        <v>3</v>
      </c>
      <c r="X360" s="3" t="str">
        <f>IFERROR(__xludf.DUMMYFUNCTION("split(B360,"" "")"),"M.")</f>
        <v>M.</v>
      </c>
      <c r="Y360" s="3" t="str">
        <f>IFERROR(__xludf.DUMMYFUNCTION("""COMPUTED_VALUE"""),"Hollins")</f>
        <v>Hollins</v>
      </c>
      <c r="AA360" s="3">
        <v>1.0</v>
      </c>
      <c r="AB360" s="3">
        <f t="shared" si="7"/>
        <v>0</v>
      </c>
      <c r="AC360" s="3">
        <f t="shared" si="8"/>
        <v>1</v>
      </c>
      <c r="AD360" s="3">
        <f t="shared" si="9"/>
        <v>1.129943503</v>
      </c>
      <c r="AE360" s="3">
        <f t="shared" si="10"/>
        <v>1.129943503</v>
      </c>
      <c r="AF360" s="3">
        <f t="shared" si="11"/>
        <v>1.694915254</v>
      </c>
      <c r="AG360" s="3">
        <f t="shared" si="12"/>
        <v>0.3333333333</v>
      </c>
    </row>
    <row r="361">
      <c r="A361" s="1" t="s">
        <v>11</v>
      </c>
      <c r="B361" s="1" t="s">
        <v>459</v>
      </c>
      <c r="C361" s="1" t="s">
        <v>20</v>
      </c>
      <c r="D361" s="1" t="s">
        <v>104</v>
      </c>
      <c r="E361" s="1" t="s">
        <v>77</v>
      </c>
      <c r="F361" s="1" t="s">
        <v>573</v>
      </c>
      <c r="G361" s="1">
        <v>8.5</v>
      </c>
      <c r="H361" s="1" t="s">
        <v>60</v>
      </c>
      <c r="I361" s="1">
        <v>-114.0</v>
      </c>
      <c r="J361" s="1">
        <v>0.0692390405848998</v>
      </c>
      <c r="K361" s="1" t="s">
        <v>61</v>
      </c>
      <c r="L361" s="1" t="s">
        <v>61</v>
      </c>
      <c r="M361" s="1" t="s">
        <v>62</v>
      </c>
      <c r="N361" s="1">
        <v>-111.0</v>
      </c>
      <c r="O361" s="1">
        <v>-0.127996718959891</v>
      </c>
      <c r="P361" s="1" t="s">
        <v>61</v>
      </c>
      <c r="Q361" s="1" t="s">
        <v>61</v>
      </c>
      <c r="R361" s="1">
        <f t="shared" si="1"/>
        <v>0.06923904058</v>
      </c>
      <c r="S361" s="1">
        <f t="shared" si="2"/>
        <v>-114</v>
      </c>
      <c r="T361" s="1">
        <f t="shared" si="3"/>
        <v>1.877192982</v>
      </c>
      <c r="U361" s="1">
        <f t="shared" si="4"/>
        <v>1</v>
      </c>
      <c r="V361" s="3">
        <f t="shared" si="5"/>
        <v>2</v>
      </c>
      <c r="W361" s="3">
        <f t="shared" si="6"/>
        <v>2</v>
      </c>
      <c r="X361" s="3" t="str">
        <f>IFERROR(__xludf.DUMMYFUNCTION("split(B361,"" "")"),"D.")</f>
        <v>D.</v>
      </c>
      <c r="Y361" s="3" t="str">
        <f>IFERROR(__xludf.DUMMYFUNCTION("""COMPUTED_VALUE"""),"Knox")</f>
        <v>Knox</v>
      </c>
      <c r="AA361" s="3">
        <v>0.0</v>
      </c>
      <c r="AB361" s="3">
        <f t="shared" si="7"/>
        <v>0</v>
      </c>
      <c r="AC361" s="3">
        <f t="shared" si="8"/>
        <v>0</v>
      </c>
      <c r="AD361" s="3">
        <f t="shared" si="9"/>
        <v>1.754385965</v>
      </c>
      <c r="AE361" s="3">
        <f t="shared" si="10"/>
        <v>-2</v>
      </c>
      <c r="AF361" s="3">
        <f t="shared" si="11"/>
        <v>-2</v>
      </c>
      <c r="AG361" s="3">
        <f t="shared" si="12"/>
        <v>-1</v>
      </c>
    </row>
    <row r="362">
      <c r="A362" s="1" t="s">
        <v>9</v>
      </c>
      <c r="B362" s="1" t="s">
        <v>426</v>
      </c>
      <c r="C362" s="1" t="s">
        <v>18</v>
      </c>
      <c r="D362" s="1" t="s">
        <v>104</v>
      </c>
      <c r="E362" s="1" t="s">
        <v>77</v>
      </c>
      <c r="F362" s="1" t="s">
        <v>573</v>
      </c>
      <c r="G362" s="1">
        <v>29.5</v>
      </c>
      <c r="H362" s="1" t="s">
        <v>60</v>
      </c>
      <c r="I362" s="1">
        <v>-120.0</v>
      </c>
      <c r="J362" s="1">
        <v>0.0616900051768557</v>
      </c>
      <c r="K362" s="1" t="s">
        <v>61</v>
      </c>
      <c r="L362" s="1" t="s">
        <v>61</v>
      </c>
      <c r="M362" s="1" t="s">
        <v>62</v>
      </c>
      <c r="N362" s="1">
        <v>-110.0</v>
      </c>
      <c r="O362" s="1">
        <v>-0.130884672632376</v>
      </c>
      <c r="P362" s="1" t="s">
        <v>61</v>
      </c>
      <c r="Q362" s="1" t="s">
        <v>61</v>
      </c>
      <c r="R362" s="1">
        <f t="shared" si="1"/>
        <v>0.06169000518</v>
      </c>
      <c r="S362" s="1">
        <f t="shared" si="2"/>
        <v>-120</v>
      </c>
      <c r="T362" s="1">
        <f t="shared" si="3"/>
        <v>1.833333333</v>
      </c>
      <c r="U362" s="1">
        <f t="shared" si="4"/>
        <v>1</v>
      </c>
      <c r="V362" s="3">
        <f t="shared" si="5"/>
        <v>2</v>
      </c>
      <c r="W362" s="3">
        <f t="shared" si="6"/>
        <v>3</v>
      </c>
      <c r="X362" s="3" t="str">
        <f>IFERROR(__xludf.DUMMYFUNCTION("split(B362,"" "")"),"K.")</f>
        <v>K.</v>
      </c>
      <c r="Y362" s="3" t="str">
        <f>IFERROR(__xludf.DUMMYFUNCTION("""COMPUTED_VALUE"""),"Coleman")</f>
        <v>Coleman</v>
      </c>
      <c r="AA362" s="3">
        <v>51.0</v>
      </c>
      <c r="AB362" s="3">
        <f t="shared" si="7"/>
        <v>1</v>
      </c>
      <c r="AC362" s="3">
        <f t="shared" si="8"/>
        <v>1</v>
      </c>
      <c r="AD362" s="3">
        <f t="shared" si="9"/>
        <v>1.666666667</v>
      </c>
      <c r="AE362" s="3">
        <f t="shared" si="10"/>
        <v>1.666666667</v>
      </c>
      <c r="AF362" s="3">
        <f t="shared" si="11"/>
        <v>2.5</v>
      </c>
      <c r="AG362" s="3">
        <f t="shared" si="12"/>
        <v>0.7288135593</v>
      </c>
    </row>
    <row r="363">
      <c r="A363" s="1" t="s">
        <v>17</v>
      </c>
      <c r="B363" s="1" t="s">
        <v>434</v>
      </c>
      <c r="C363" s="1" t="s">
        <v>21</v>
      </c>
      <c r="D363" s="1" t="s">
        <v>104</v>
      </c>
      <c r="E363" s="1" t="s">
        <v>77</v>
      </c>
      <c r="F363" s="1" t="s">
        <v>573</v>
      </c>
      <c r="G363" s="1">
        <v>0.5</v>
      </c>
      <c r="H363" s="1" t="s">
        <v>60</v>
      </c>
      <c r="I363" s="1">
        <v>-131.0</v>
      </c>
      <c r="J363" s="1">
        <v>-0.116142857142857</v>
      </c>
      <c r="K363" s="1" t="s">
        <v>61</v>
      </c>
      <c r="L363" s="1" t="s">
        <v>61</v>
      </c>
      <c r="M363" s="1" t="s">
        <v>62</v>
      </c>
      <c r="N363" s="1">
        <v>100.0</v>
      </c>
      <c r="O363" s="1">
        <v>0.04905</v>
      </c>
      <c r="P363" s="1" t="s">
        <v>61</v>
      </c>
      <c r="Q363" s="1" t="s">
        <v>61</v>
      </c>
      <c r="R363" s="1">
        <f t="shared" si="1"/>
        <v>0.04905</v>
      </c>
      <c r="S363" s="1">
        <f t="shared" si="2"/>
        <v>100</v>
      </c>
      <c r="T363" s="1">
        <f t="shared" si="3"/>
        <v>2</v>
      </c>
      <c r="U363" s="1">
        <f t="shared" si="4"/>
        <v>0</v>
      </c>
      <c r="V363" s="3">
        <f t="shared" si="5"/>
        <v>1</v>
      </c>
      <c r="W363" s="3">
        <f t="shared" si="6"/>
        <v>2</v>
      </c>
      <c r="X363" s="3" t="str">
        <f>IFERROR(__xludf.DUMMYFUNCTION("split(B363,"" "")"),"J.")</f>
        <v>J.</v>
      </c>
      <c r="Y363" s="3" t="str">
        <f>IFERROR(__xludf.DUMMYFUNCTION("""COMPUTED_VALUE"""),"Allen")</f>
        <v>Allen</v>
      </c>
      <c r="AA363" s="3">
        <v>0.0</v>
      </c>
      <c r="AB363" s="3">
        <f t="shared" si="7"/>
        <v>0</v>
      </c>
      <c r="AC363" s="3">
        <f t="shared" si="8"/>
        <v>1</v>
      </c>
      <c r="AD363" s="3">
        <f t="shared" si="9"/>
        <v>1</v>
      </c>
      <c r="AE363" s="3">
        <f t="shared" si="10"/>
        <v>1</v>
      </c>
      <c r="AF363" s="3">
        <f t="shared" si="11"/>
        <v>2</v>
      </c>
      <c r="AG363" s="3">
        <f t="shared" si="12"/>
        <v>1</v>
      </c>
    </row>
    <row r="364">
      <c r="A364" s="1" t="s">
        <v>12</v>
      </c>
      <c r="B364" s="1" t="s">
        <v>189</v>
      </c>
      <c r="C364" s="1" t="s">
        <v>18</v>
      </c>
      <c r="D364" s="1" t="s">
        <v>104</v>
      </c>
      <c r="E364" s="1" t="s">
        <v>77</v>
      </c>
      <c r="F364" s="1" t="s">
        <v>573</v>
      </c>
      <c r="G364" s="1">
        <v>4.5</v>
      </c>
      <c r="H364" s="1" t="s">
        <v>60</v>
      </c>
      <c r="I364" s="1">
        <v>118.0</v>
      </c>
      <c r="J364" s="1">
        <v>-0.112161467889908</v>
      </c>
      <c r="K364" s="1" t="s">
        <v>61</v>
      </c>
      <c r="L364" s="1" t="s">
        <v>61</v>
      </c>
      <c r="M364" s="1" t="s">
        <v>62</v>
      </c>
      <c r="N364" s="1">
        <v>-156.0</v>
      </c>
      <c r="O364" s="1">
        <v>0.0440640624999999</v>
      </c>
      <c r="P364" s="1" t="s">
        <v>61</v>
      </c>
      <c r="Q364" s="1" t="s">
        <v>61</v>
      </c>
      <c r="R364" s="1">
        <f t="shared" si="1"/>
        <v>0.0440640625</v>
      </c>
      <c r="S364" s="1">
        <f t="shared" si="2"/>
        <v>-156</v>
      </c>
      <c r="T364" s="1">
        <f t="shared" si="3"/>
        <v>1.641025641</v>
      </c>
      <c r="U364" s="1">
        <f t="shared" si="4"/>
        <v>0</v>
      </c>
      <c r="V364" s="3">
        <f t="shared" si="5"/>
        <v>1</v>
      </c>
      <c r="W364" s="3">
        <f t="shared" si="6"/>
        <v>3</v>
      </c>
      <c r="X364" s="3" t="str">
        <f>IFERROR(__xludf.DUMMYFUNCTION("split(B364,"" "")"),"K.")</f>
        <v>K.</v>
      </c>
      <c r="Y364" s="3" t="str">
        <f>IFERROR(__xludf.DUMMYFUNCTION("""COMPUTED_VALUE"""),"Shakir")</f>
        <v>Shakir</v>
      </c>
      <c r="AA364" s="3">
        <v>4.0</v>
      </c>
      <c r="AB364" s="3">
        <f t="shared" si="7"/>
        <v>0</v>
      </c>
      <c r="AC364" s="3">
        <f t="shared" si="8"/>
        <v>1</v>
      </c>
      <c r="AD364" s="3">
        <f t="shared" si="9"/>
        <v>0.641025641</v>
      </c>
      <c r="AE364" s="3">
        <f t="shared" si="10"/>
        <v>0.641025641</v>
      </c>
      <c r="AF364" s="3">
        <f t="shared" si="11"/>
        <v>1.923076923</v>
      </c>
      <c r="AG364" s="3">
        <f t="shared" si="12"/>
        <v>0.1111111111</v>
      </c>
    </row>
    <row r="365">
      <c r="A365" s="1" t="s">
        <v>9</v>
      </c>
      <c r="B365" s="1" t="s">
        <v>458</v>
      </c>
      <c r="C365" s="1" t="s">
        <v>19</v>
      </c>
      <c r="D365" s="1" t="s">
        <v>104</v>
      </c>
      <c r="E365" s="1" t="s">
        <v>77</v>
      </c>
      <c r="F365" s="1" t="s">
        <v>573</v>
      </c>
      <c r="G365" s="1">
        <v>78.5</v>
      </c>
      <c r="H365" s="1" t="s">
        <v>60</v>
      </c>
      <c r="I365" s="1">
        <v>-116.0</v>
      </c>
      <c r="J365" s="1">
        <v>-0.116949165840491</v>
      </c>
      <c r="K365" s="1" t="s">
        <v>61</v>
      </c>
      <c r="L365" s="1" t="s">
        <v>61</v>
      </c>
      <c r="M365" s="1" t="s">
        <v>62</v>
      </c>
      <c r="N365" s="1">
        <v>-116.0</v>
      </c>
      <c r="O365" s="1">
        <v>0.0429090323749696</v>
      </c>
      <c r="P365" s="1" t="s">
        <v>61</v>
      </c>
      <c r="Q365" s="1" t="s">
        <v>61</v>
      </c>
      <c r="R365" s="1">
        <f t="shared" si="1"/>
        <v>0.04290903237</v>
      </c>
      <c r="S365" s="1">
        <f t="shared" si="2"/>
        <v>-116</v>
      </c>
      <c r="T365" s="1">
        <f t="shared" si="3"/>
        <v>1.862068966</v>
      </c>
      <c r="U365" s="1">
        <f t="shared" si="4"/>
        <v>0</v>
      </c>
      <c r="V365" s="3">
        <f t="shared" si="5"/>
        <v>1</v>
      </c>
      <c r="W365" s="3">
        <f t="shared" si="6"/>
        <v>2</v>
      </c>
      <c r="X365" s="3" t="str">
        <f>IFERROR(__xludf.DUMMYFUNCTION("split(B365,"" "")"),"J.")</f>
        <v>J.</v>
      </c>
      <c r="Y365" s="3" t="str">
        <f>IFERROR(__xludf.DUMMYFUNCTION("""COMPUTED_VALUE"""),"Cook")</f>
        <v>Cook</v>
      </c>
      <c r="AA365" s="3">
        <v>48.0</v>
      </c>
      <c r="AB365" s="3">
        <f t="shared" si="7"/>
        <v>0</v>
      </c>
      <c r="AC365" s="3">
        <f t="shared" si="8"/>
        <v>1</v>
      </c>
      <c r="AD365" s="3">
        <f t="shared" si="9"/>
        <v>0.8620689655</v>
      </c>
      <c r="AE365" s="3">
        <f t="shared" si="10"/>
        <v>0.8620689655</v>
      </c>
      <c r="AF365" s="3">
        <f t="shared" si="11"/>
        <v>1.724137931</v>
      </c>
      <c r="AG365" s="3">
        <f t="shared" si="12"/>
        <v>0.3885350318</v>
      </c>
    </row>
    <row r="366">
      <c r="A366" s="1" t="s">
        <v>10</v>
      </c>
      <c r="B366" s="1" t="s">
        <v>458</v>
      </c>
      <c r="C366" s="1" t="s">
        <v>19</v>
      </c>
      <c r="D366" s="1" t="s">
        <v>104</v>
      </c>
      <c r="E366" s="1" t="s">
        <v>77</v>
      </c>
      <c r="F366" s="1" t="s">
        <v>573</v>
      </c>
      <c r="G366" s="1">
        <v>53.5</v>
      </c>
      <c r="H366" s="1" t="s">
        <v>60</v>
      </c>
      <c r="I366" s="1">
        <v>-114.0</v>
      </c>
      <c r="J366" s="1">
        <v>-0.0917201868191512</v>
      </c>
      <c r="K366" s="1" t="s">
        <v>61</v>
      </c>
      <c r="L366" s="1" t="s">
        <v>61</v>
      </c>
      <c r="M366" s="1" t="s">
        <v>62</v>
      </c>
      <c r="N366" s="1">
        <v>-111.0</v>
      </c>
      <c r="O366" s="1">
        <v>0.0329174984058672</v>
      </c>
      <c r="P366" s="1" t="s">
        <v>61</v>
      </c>
      <c r="Q366" s="1" t="s">
        <v>61</v>
      </c>
      <c r="R366" s="1">
        <f t="shared" si="1"/>
        <v>0.03291749841</v>
      </c>
      <c r="S366" s="1">
        <f t="shared" si="2"/>
        <v>-111</v>
      </c>
      <c r="T366" s="1">
        <f t="shared" si="3"/>
        <v>1.900900901</v>
      </c>
      <c r="U366" s="1">
        <f t="shared" si="4"/>
        <v>0</v>
      </c>
      <c r="V366" s="3">
        <f t="shared" si="5"/>
        <v>1</v>
      </c>
      <c r="W366" s="3">
        <f t="shared" si="6"/>
        <v>2</v>
      </c>
      <c r="X366" s="3" t="str">
        <f>IFERROR(__xludf.DUMMYFUNCTION("split(B366,"" "")"),"J.")</f>
        <v>J.</v>
      </c>
      <c r="Y366" s="3" t="str">
        <f>IFERROR(__xludf.DUMMYFUNCTION("""COMPUTED_VALUE"""),"Cook")</f>
        <v>Cook</v>
      </c>
      <c r="AA366" s="3">
        <v>39.0</v>
      </c>
      <c r="AB366" s="3">
        <f t="shared" si="7"/>
        <v>0</v>
      </c>
      <c r="AC366" s="3">
        <f t="shared" si="8"/>
        <v>1</v>
      </c>
      <c r="AD366" s="3">
        <f t="shared" si="9"/>
        <v>0.9009009009</v>
      </c>
      <c r="AE366" s="3">
        <f t="shared" si="10"/>
        <v>0.9009009009</v>
      </c>
      <c r="AF366" s="3">
        <f t="shared" si="11"/>
        <v>1.801801802</v>
      </c>
      <c r="AG366" s="3">
        <f t="shared" si="12"/>
        <v>0.2710280374</v>
      </c>
    </row>
    <row r="367">
      <c r="A367" s="1" t="s">
        <v>10</v>
      </c>
      <c r="B367" s="1" t="s">
        <v>434</v>
      </c>
      <c r="C367" s="1" t="s">
        <v>21</v>
      </c>
      <c r="D367" s="1" t="s">
        <v>104</v>
      </c>
      <c r="E367" s="1" t="s">
        <v>77</v>
      </c>
      <c r="F367" s="1" t="s">
        <v>573</v>
      </c>
      <c r="G367" s="1">
        <v>32.5</v>
      </c>
      <c r="H367" s="1" t="s">
        <v>60</v>
      </c>
      <c r="I367" s="1">
        <v>-112.0</v>
      </c>
      <c r="J367" s="1">
        <v>-0.095934646221379</v>
      </c>
      <c r="K367" s="1" t="s">
        <v>61</v>
      </c>
      <c r="L367" s="1" t="s">
        <v>61</v>
      </c>
      <c r="M367" s="1" t="s">
        <v>62</v>
      </c>
      <c r="N367" s="1">
        <v>-117.0</v>
      </c>
      <c r="O367" s="1">
        <v>0.0285241550633681</v>
      </c>
      <c r="P367" s="1" t="s">
        <v>61</v>
      </c>
      <c r="Q367" s="1" t="s">
        <v>61</v>
      </c>
      <c r="R367" s="1">
        <f t="shared" si="1"/>
        <v>0.02852415506</v>
      </c>
      <c r="S367" s="1">
        <f t="shared" si="2"/>
        <v>-117</v>
      </c>
      <c r="T367" s="1">
        <f t="shared" si="3"/>
        <v>1.854700855</v>
      </c>
      <c r="U367" s="1">
        <f t="shared" si="4"/>
        <v>0</v>
      </c>
      <c r="V367" s="3">
        <f t="shared" si="5"/>
        <v>1</v>
      </c>
      <c r="W367" s="3">
        <f t="shared" si="6"/>
        <v>2</v>
      </c>
      <c r="X367" s="3" t="str">
        <f>IFERROR(__xludf.DUMMYFUNCTION("split(B367,"" "")"),"J.")</f>
        <v>J.</v>
      </c>
      <c r="Y367" s="3" t="str">
        <f>IFERROR(__xludf.DUMMYFUNCTION("""COMPUTED_VALUE"""),"Allen")</f>
        <v>Allen</v>
      </c>
      <c r="AA367" s="3">
        <v>21.0</v>
      </c>
      <c r="AB367" s="3">
        <f t="shared" si="7"/>
        <v>0</v>
      </c>
      <c r="AC367" s="3">
        <f t="shared" si="8"/>
        <v>1</v>
      </c>
      <c r="AD367" s="3">
        <f t="shared" si="9"/>
        <v>0.8547008547</v>
      </c>
      <c r="AE367" s="3">
        <f t="shared" si="10"/>
        <v>0.8547008547</v>
      </c>
      <c r="AF367" s="3">
        <f t="shared" si="11"/>
        <v>1.709401709</v>
      </c>
      <c r="AG367" s="3">
        <f t="shared" si="12"/>
        <v>0.3538461538</v>
      </c>
    </row>
    <row r="368">
      <c r="A368" s="1" t="s">
        <v>15</v>
      </c>
      <c r="B368" s="1" t="s">
        <v>434</v>
      </c>
      <c r="C368" s="1" t="s">
        <v>21</v>
      </c>
      <c r="D368" s="1" t="s">
        <v>104</v>
      </c>
      <c r="E368" s="1" t="s">
        <v>77</v>
      </c>
      <c r="F368" s="1" t="s">
        <v>573</v>
      </c>
      <c r="G368" s="1">
        <v>20.5</v>
      </c>
      <c r="H368" s="1" t="s">
        <v>60</v>
      </c>
      <c r="I368" s="1">
        <v>-126.0</v>
      </c>
      <c r="J368" s="1">
        <v>0.0254663716814158</v>
      </c>
      <c r="K368" s="1" t="s">
        <v>61</v>
      </c>
      <c r="L368" s="1" t="s">
        <v>61</v>
      </c>
      <c r="M368" s="1" t="s">
        <v>62</v>
      </c>
      <c r="N368" s="1">
        <v>-103.0</v>
      </c>
      <c r="O368" s="1">
        <v>-0.0903906403940887</v>
      </c>
      <c r="P368" s="1" t="s">
        <v>61</v>
      </c>
      <c r="Q368" s="1" t="s">
        <v>61</v>
      </c>
      <c r="R368" s="1">
        <f t="shared" si="1"/>
        <v>0.02546637168</v>
      </c>
      <c r="S368" s="1">
        <f t="shared" si="2"/>
        <v>-126</v>
      </c>
      <c r="T368" s="1">
        <f t="shared" si="3"/>
        <v>1.793650794</v>
      </c>
      <c r="U368" s="1">
        <f t="shared" si="4"/>
        <v>1</v>
      </c>
      <c r="V368" s="3">
        <f t="shared" si="5"/>
        <v>1</v>
      </c>
      <c r="W368" s="3">
        <f t="shared" si="6"/>
        <v>3</v>
      </c>
      <c r="X368" s="3" t="str">
        <f>IFERROR(__xludf.DUMMYFUNCTION("split(B368,"" "")"),"J.")</f>
        <v>J.</v>
      </c>
      <c r="Y368" s="3" t="str">
        <f>IFERROR(__xludf.DUMMYFUNCTION("""COMPUTED_VALUE"""),"Allen")</f>
        <v>Allen</v>
      </c>
      <c r="AA368" s="3">
        <v>16.0</v>
      </c>
      <c r="AB368" s="3">
        <f t="shared" si="7"/>
        <v>0</v>
      </c>
      <c r="AC368" s="3">
        <f t="shared" si="8"/>
        <v>0</v>
      </c>
      <c r="AD368" s="3">
        <f t="shared" si="9"/>
        <v>0.7936507937</v>
      </c>
      <c r="AE368" s="3">
        <f t="shared" si="10"/>
        <v>-1</v>
      </c>
      <c r="AF368" s="3">
        <f t="shared" si="11"/>
        <v>-3</v>
      </c>
      <c r="AG368" s="3">
        <f t="shared" si="12"/>
        <v>-0.2195121951</v>
      </c>
    </row>
    <row r="369">
      <c r="A369" s="1" t="s">
        <v>11</v>
      </c>
      <c r="B369" s="1" t="s">
        <v>458</v>
      </c>
      <c r="C369" s="1" t="s">
        <v>19</v>
      </c>
      <c r="D369" s="1" t="s">
        <v>104</v>
      </c>
      <c r="E369" s="1" t="s">
        <v>77</v>
      </c>
      <c r="F369" s="1" t="s">
        <v>573</v>
      </c>
      <c r="G369" s="1">
        <v>20.5</v>
      </c>
      <c r="H369" s="1" t="s">
        <v>60</v>
      </c>
      <c r="I369" s="1">
        <v>-113.0</v>
      </c>
      <c r="J369" s="1">
        <v>-0.0802665864823193</v>
      </c>
      <c r="K369" s="1" t="s">
        <v>61</v>
      </c>
      <c r="L369" s="1" t="s">
        <v>61</v>
      </c>
      <c r="M369" s="1" t="s">
        <v>62</v>
      </c>
      <c r="N369" s="1">
        <v>-113.0</v>
      </c>
      <c r="O369" s="1">
        <v>0.0192532427250209</v>
      </c>
      <c r="P369" s="1" t="s">
        <v>61</v>
      </c>
      <c r="Q369" s="1" t="s">
        <v>61</v>
      </c>
      <c r="R369" s="1">
        <f t="shared" si="1"/>
        <v>0.01925324273</v>
      </c>
      <c r="S369" s="1">
        <f t="shared" si="2"/>
        <v>-113</v>
      </c>
      <c r="T369" s="1">
        <f t="shared" si="3"/>
        <v>1.884955752</v>
      </c>
      <c r="U369" s="1">
        <f t="shared" si="4"/>
        <v>0</v>
      </c>
      <c r="V369" s="3">
        <f t="shared" si="5"/>
        <v>1</v>
      </c>
      <c r="W369" s="3">
        <f t="shared" si="6"/>
        <v>2</v>
      </c>
      <c r="X369" s="3" t="str">
        <f>IFERROR(__xludf.DUMMYFUNCTION("split(B369,"" "")"),"J.")</f>
        <v>J.</v>
      </c>
      <c r="Y369" s="3" t="str">
        <f>IFERROR(__xludf.DUMMYFUNCTION("""COMPUTED_VALUE"""),"Cook")</f>
        <v>Cook</v>
      </c>
      <c r="AA369" s="3">
        <v>9.0</v>
      </c>
      <c r="AB369" s="3">
        <f t="shared" si="7"/>
        <v>0</v>
      </c>
      <c r="AC369" s="3">
        <f t="shared" si="8"/>
        <v>1</v>
      </c>
      <c r="AD369" s="3">
        <f t="shared" si="9"/>
        <v>0.8849557522</v>
      </c>
      <c r="AE369" s="3">
        <f t="shared" si="10"/>
        <v>0.8849557522</v>
      </c>
      <c r="AF369" s="3">
        <f t="shared" si="11"/>
        <v>1.769911504</v>
      </c>
      <c r="AG369" s="3">
        <f t="shared" si="12"/>
        <v>0.5609756098</v>
      </c>
    </row>
    <row r="370">
      <c r="A370" s="1" t="s">
        <v>11</v>
      </c>
      <c r="B370" s="1" t="s">
        <v>103</v>
      </c>
      <c r="C370" s="1" t="s">
        <v>18</v>
      </c>
      <c r="D370" s="1" t="s">
        <v>104</v>
      </c>
      <c r="E370" s="1" t="s">
        <v>77</v>
      </c>
      <c r="F370" s="1" t="s">
        <v>573</v>
      </c>
      <c r="G370" s="1">
        <v>19.5</v>
      </c>
      <c r="H370" s="1" t="s">
        <v>60</v>
      </c>
      <c r="I370" s="1">
        <v>-110.0</v>
      </c>
      <c r="J370" s="1">
        <v>0.0142810315151808</v>
      </c>
      <c r="K370" s="1" t="s">
        <v>61</v>
      </c>
      <c r="L370" s="1" t="s">
        <v>61</v>
      </c>
      <c r="M370" s="1" t="s">
        <v>62</v>
      </c>
      <c r="N370" s="1">
        <v>-119.0</v>
      </c>
      <c r="O370" s="1">
        <v>-0.0814258893865008</v>
      </c>
      <c r="P370" s="1" t="s">
        <v>61</v>
      </c>
      <c r="Q370" s="1" t="s">
        <v>61</v>
      </c>
      <c r="R370" s="1">
        <f t="shared" si="1"/>
        <v>0.01428103152</v>
      </c>
      <c r="S370" s="1">
        <f t="shared" si="2"/>
        <v>-110</v>
      </c>
      <c r="T370" s="1">
        <f t="shared" si="3"/>
        <v>1.909090909</v>
      </c>
      <c r="U370" s="1">
        <f t="shared" si="4"/>
        <v>1</v>
      </c>
      <c r="V370" s="3">
        <f t="shared" si="5"/>
        <v>1</v>
      </c>
      <c r="W370" s="3">
        <f t="shared" si="6"/>
        <v>2</v>
      </c>
      <c r="X370" s="3" t="str">
        <f>IFERROR(__xludf.DUMMYFUNCTION("split(B370,"" "")"),"C.")</f>
        <v>C.</v>
      </c>
      <c r="Y370" s="3" t="str">
        <f>IFERROR(__xludf.DUMMYFUNCTION("""COMPUTED_VALUE"""),"Samuel")</f>
        <v>Samuel</v>
      </c>
      <c r="AA370" s="3">
        <v>8.0</v>
      </c>
      <c r="AB370" s="3">
        <f t="shared" si="7"/>
        <v>0</v>
      </c>
      <c r="AC370" s="3">
        <f t="shared" si="8"/>
        <v>0</v>
      </c>
      <c r="AD370" s="3">
        <f t="shared" si="9"/>
        <v>0.9090909091</v>
      </c>
      <c r="AE370" s="3">
        <f t="shared" si="10"/>
        <v>-1</v>
      </c>
      <c r="AF370" s="3">
        <f t="shared" si="11"/>
        <v>-2</v>
      </c>
      <c r="AG370" s="3">
        <f t="shared" si="12"/>
        <v>-0.5897435897</v>
      </c>
    </row>
    <row r="371">
      <c r="A371" s="1" t="s">
        <v>12</v>
      </c>
      <c r="B371" s="1" t="s">
        <v>103</v>
      </c>
      <c r="C371" s="1" t="s">
        <v>18</v>
      </c>
      <c r="D371" s="1" t="s">
        <v>104</v>
      </c>
      <c r="E371" s="1" t="s">
        <v>77</v>
      </c>
      <c r="F371" s="1" t="s">
        <v>573</v>
      </c>
      <c r="G371" s="1">
        <v>2.5</v>
      </c>
      <c r="H371" s="1" t="s">
        <v>60</v>
      </c>
      <c r="I371" s="1">
        <v>137.0</v>
      </c>
      <c r="J371" s="1">
        <v>0.00980649280632911</v>
      </c>
      <c r="K371" s="1" t="s">
        <v>61</v>
      </c>
      <c r="L371" s="1" t="s">
        <v>61</v>
      </c>
      <c r="M371" s="1" t="s">
        <v>62</v>
      </c>
      <c r="N371" s="1">
        <v>-182.0</v>
      </c>
      <c r="O371" s="1">
        <v>-0.0771313677255318</v>
      </c>
      <c r="P371" s="1" t="s">
        <v>61</v>
      </c>
      <c r="Q371" s="1" t="s">
        <v>61</v>
      </c>
      <c r="R371" s="1">
        <f t="shared" si="1"/>
        <v>0.009806492806</v>
      </c>
      <c r="S371" s="1">
        <f t="shared" si="2"/>
        <v>137</v>
      </c>
      <c r="T371" s="1">
        <f t="shared" si="3"/>
        <v>2.37</v>
      </c>
      <c r="U371" s="1">
        <f t="shared" si="4"/>
        <v>1</v>
      </c>
      <c r="V371" s="3">
        <f t="shared" si="5"/>
        <v>1</v>
      </c>
      <c r="W371" s="3">
        <f t="shared" si="6"/>
        <v>1</v>
      </c>
      <c r="X371" s="3" t="str">
        <f>IFERROR(__xludf.DUMMYFUNCTION("split(B371,"" "")"),"C.")</f>
        <v>C.</v>
      </c>
      <c r="Y371" s="3" t="str">
        <f>IFERROR(__xludf.DUMMYFUNCTION("""COMPUTED_VALUE"""),"Samuel")</f>
        <v>Samuel</v>
      </c>
      <c r="AA371" s="3">
        <v>2.0</v>
      </c>
      <c r="AB371" s="3">
        <f t="shared" si="7"/>
        <v>0</v>
      </c>
      <c r="AC371" s="3">
        <f t="shared" si="8"/>
        <v>0</v>
      </c>
      <c r="AD371" s="3">
        <f t="shared" si="9"/>
        <v>1.37</v>
      </c>
      <c r="AE371" s="3">
        <f t="shared" si="10"/>
        <v>-1</v>
      </c>
      <c r="AF371" s="3">
        <f t="shared" si="11"/>
        <v>-1</v>
      </c>
      <c r="AG371" s="3">
        <f t="shared" si="12"/>
        <v>-0.2</v>
      </c>
    </row>
    <row r="372">
      <c r="A372" s="1" t="s">
        <v>16</v>
      </c>
      <c r="B372" s="1" t="s">
        <v>434</v>
      </c>
      <c r="C372" s="1" t="s">
        <v>21</v>
      </c>
      <c r="D372" s="1" t="s">
        <v>104</v>
      </c>
      <c r="E372" s="1" t="s">
        <v>77</v>
      </c>
      <c r="F372" s="1" t="s">
        <v>573</v>
      </c>
      <c r="G372" s="1">
        <v>31.5</v>
      </c>
      <c r="H372" s="1" t="s">
        <v>60</v>
      </c>
      <c r="I372" s="1">
        <v>-131.0</v>
      </c>
      <c r="J372" s="1">
        <v>-0.071812987012987</v>
      </c>
      <c r="K372" s="1" t="s">
        <v>61</v>
      </c>
      <c r="L372" s="1" t="s">
        <v>61</v>
      </c>
      <c r="M372" s="1" t="s">
        <v>62</v>
      </c>
      <c r="N372" s="1">
        <v>100.0</v>
      </c>
      <c r="O372" s="1">
        <v>0.00470000000000003</v>
      </c>
      <c r="P372" s="1" t="s">
        <v>61</v>
      </c>
      <c r="Q372" s="1" t="s">
        <v>61</v>
      </c>
      <c r="R372" s="1">
        <f t="shared" si="1"/>
        <v>0.0047</v>
      </c>
      <c r="S372" s="1">
        <f t="shared" si="2"/>
        <v>100</v>
      </c>
      <c r="T372" s="1">
        <f t="shared" si="3"/>
        <v>2</v>
      </c>
      <c r="U372" s="1">
        <f t="shared" si="4"/>
        <v>0</v>
      </c>
      <c r="V372" s="3">
        <f t="shared" si="5"/>
        <v>1</v>
      </c>
      <c r="W372" s="3">
        <f t="shared" si="6"/>
        <v>2</v>
      </c>
      <c r="X372" s="3" t="str">
        <f>IFERROR(__xludf.DUMMYFUNCTION("split(B372,"" "")"),"J.")</f>
        <v>J.</v>
      </c>
      <c r="Y372" s="3" t="str">
        <f>IFERROR(__xludf.DUMMYFUNCTION("""COMPUTED_VALUE"""),"Allen")</f>
        <v>Allen</v>
      </c>
      <c r="AA372" s="3">
        <v>29.0</v>
      </c>
      <c r="AB372" s="3">
        <f t="shared" si="7"/>
        <v>0</v>
      </c>
      <c r="AC372" s="3">
        <f t="shared" si="8"/>
        <v>1</v>
      </c>
      <c r="AD372" s="3">
        <f t="shared" si="9"/>
        <v>1</v>
      </c>
      <c r="AE372" s="3">
        <f t="shared" si="10"/>
        <v>1</v>
      </c>
      <c r="AF372" s="3">
        <f t="shared" si="11"/>
        <v>2</v>
      </c>
      <c r="AG372" s="3">
        <f t="shared" si="12"/>
        <v>0.07936507937</v>
      </c>
    </row>
    <row r="373">
      <c r="A373" s="1" t="s">
        <v>11</v>
      </c>
      <c r="B373" s="1" t="s">
        <v>235</v>
      </c>
      <c r="C373" s="1" t="s">
        <v>20</v>
      </c>
      <c r="D373" s="1" t="s">
        <v>104</v>
      </c>
      <c r="E373" s="1" t="s">
        <v>77</v>
      </c>
      <c r="F373" s="1" t="s">
        <v>573</v>
      </c>
      <c r="G373" s="1">
        <v>39.5</v>
      </c>
      <c r="H373" s="1" t="s">
        <v>60</v>
      </c>
      <c r="I373" s="1">
        <v>-118.0</v>
      </c>
      <c r="J373" s="1">
        <v>-0.071679464479633</v>
      </c>
      <c r="K373" s="1" t="s">
        <v>61</v>
      </c>
      <c r="L373" s="1" t="s">
        <v>61</v>
      </c>
      <c r="M373" s="1" t="s">
        <v>62</v>
      </c>
      <c r="N373" s="1">
        <v>-111.0</v>
      </c>
      <c r="O373" s="1">
        <v>0.0043409074300712</v>
      </c>
      <c r="P373" s="1" t="s">
        <v>61</v>
      </c>
      <c r="Q373" s="1" t="s">
        <v>61</v>
      </c>
      <c r="R373" s="1">
        <f t="shared" si="1"/>
        <v>0.00434090743</v>
      </c>
      <c r="S373" s="1">
        <f t="shared" si="2"/>
        <v>-111</v>
      </c>
      <c r="T373" s="1">
        <f t="shared" si="3"/>
        <v>1.900900901</v>
      </c>
      <c r="U373" s="1">
        <f t="shared" si="4"/>
        <v>0</v>
      </c>
      <c r="V373" s="3">
        <f t="shared" si="5"/>
        <v>1</v>
      </c>
      <c r="W373" s="3">
        <f t="shared" si="6"/>
        <v>2</v>
      </c>
      <c r="X373" s="3" t="str">
        <f>IFERROR(__xludf.DUMMYFUNCTION("split(B373,"" "")"),"D.")</f>
        <v>D.</v>
      </c>
      <c r="Y373" s="3" t="str">
        <f>IFERROR(__xludf.DUMMYFUNCTION("""COMPUTED_VALUE"""),"Kincaid")</f>
        <v>Kincaid</v>
      </c>
      <c r="AA373" s="3">
        <v>47.0</v>
      </c>
      <c r="AB373" s="3">
        <f t="shared" si="7"/>
        <v>1</v>
      </c>
      <c r="AC373" s="3">
        <f t="shared" si="8"/>
        <v>0</v>
      </c>
      <c r="AD373" s="3">
        <f t="shared" si="9"/>
        <v>0.9009009009</v>
      </c>
      <c r="AE373" s="3">
        <f t="shared" si="10"/>
        <v>-1</v>
      </c>
      <c r="AF373" s="3">
        <f t="shared" si="11"/>
        <v>-2</v>
      </c>
      <c r="AG373" s="3">
        <f t="shared" si="12"/>
        <v>-0.1898734177</v>
      </c>
    </row>
    <row r="374">
      <c r="A374" s="1" t="s">
        <v>9</v>
      </c>
      <c r="B374" s="1" t="s">
        <v>138</v>
      </c>
      <c r="C374" s="1" t="s">
        <v>18</v>
      </c>
      <c r="D374" s="1" t="s">
        <v>77</v>
      </c>
      <c r="E374" s="1" t="s">
        <v>104</v>
      </c>
      <c r="F374" s="1" t="s">
        <v>573</v>
      </c>
      <c r="G374" s="1">
        <v>12.5</v>
      </c>
      <c r="H374" s="1" t="s">
        <v>60</v>
      </c>
      <c r="I374" s="1">
        <v>-113.0</v>
      </c>
      <c r="J374" s="1">
        <v>0.167195668904655</v>
      </c>
      <c r="K374" s="1" t="s">
        <v>61</v>
      </c>
      <c r="L374" s="1" t="s">
        <v>61</v>
      </c>
      <c r="M374" s="1" t="s">
        <v>62</v>
      </c>
      <c r="N374" s="1">
        <v>-120.0</v>
      </c>
      <c r="O374" s="1">
        <v>-0.243136240781954</v>
      </c>
      <c r="P374" s="1" t="s">
        <v>61</v>
      </c>
      <c r="Q374" s="1" t="s">
        <v>61</v>
      </c>
      <c r="R374" s="1">
        <f t="shared" si="1"/>
        <v>0.1671956689</v>
      </c>
      <c r="S374" s="1">
        <f t="shared" si="2"/>
        <v>-113</v>
      </c>
      <c r="T374" s="1">
        <f t="shared" si="3"/>
        <v>1.884955752</v>
      </c>
      <c r="U374" s="1">
        <f t="shared" si="4"/>
        <v>1</v>
      </c>
      <c r="V374" s="3">
        <f t="shared" si="5"/>
        <v>3</v>
      </c>
      <c r="W374" s="3">
        <f t="shared" si="6"/>
        <v>2</v>
      </c>
      <c r="X374" s="3" t="str">
        <f>IFERROR(__xludf.DUMMYFUNCTION("split(B374,"" "")"),"N.")</f>
        <v>N.</v>
      </c>
      <c r="Y374" s="3" t="str">
        <f>IFERROR(__xludf.DUMMYFUNCTION("""COMPUTED_VALUE"""),"Agholor")</f>
        <v>Agholor</v>
      </c>
      <c r="AA374" s="3">
        <v>10.0</v>
      </c>
      <c r="AB374" s="3">
        <f t="shared" si="7"/>
        <v>0</v>
      </c>
      <c r="AC374" s="3">
        <f t="shared" si="8"/>
        <v>0</v>
      </c>
      <c r="AD374" s="3">
        <f t="shared" si="9"/>
        <v>2.654867257</v>
      </c>
      <c r="AE374" s="3">
        <f t="shared" si="10"/>
        <v>-3</v>
      </c>
      <c r="AF374" s="3">
        <f t="shared" si="11"/>
        <v>-2</v>
      </c>
      <c r="AG374" s="3">
        <f t="shared" si="12"/>
        <v>-0.2</v>
      </c>
    </row>
    <row r="375">
      <c r="A375" s="1" t="s">
        <v>12</v>
      </c>
      <c r="B375" s="1" t="s">
        <v>454</v>
      </c>
      <c r="C375" s="1" t="s">
        <v>20</v>
      </c>
      <c r="D375" s="1" t="s">
        <v>77</v>
      </c>
      <c r="E375" s="1" t="s">
        <v>104</v>
      </c>
      <c r="F375" s="1" t="s">
        <v>573</v>
      </c>
      <c r="G375" s="1">
        <v>2.5</v>
      </c>
      <c r="H375" s="1" t="s">
        <v>60</v>
      </c>
      <c r="I375" s="1">
        <v>-129.0</v>
      </c>
      <c r="J375" s="1">
        <v>-0.187716515065502</v>
      </c>
      <c r="K375" s="1" t="s">
        <v>61</v>
      </c>
      <c r="L375" s="1" t="s">
        <v>61</v>
      </c>
      <c r="M375" s="1" t="s">
        <v>62</v>
      </c>
      <c r="N375" s="1">
        <v>-101.0</v>
      </c>
      <c r="O375" s="1">
        <v>0.121909834674129</v>
      </c>
      <c r="P375" s="1" t="s">
        <v>61</v>
      </c>
      <c r="Q375" s="1" t="s">
        <v>61</v>
      </c>
      <c r="R375" s="1">
        <f t="shared" si="1"/>
        <v>0.1219098347</v>
      </c>
      <c r="S375" s="1">
        <f t="shared" si="2"/>
        <v>-101</v>
      </c>
      <c r="T375" s="1">
        <f t="shared" si="3"/>
        <v>1.99009901</v>
      </c>
      <c r="U375" s="1">
        <f t="shared" si="4"/>
        <v>0</v>
      </c>
      <c r="V375" s="3">
        <f t="shared" si="5"/>
        <v>3</v>
      </c>
      <c r="W375" s="3">
        <f t="shared" si="6"/>
        <v>2</v>
      </c>
      <c r="X375" s="3" t="str">
        <f>IFERROR(__xludf.DUMMYFUNCTION("split(B375,"" "")"),"I.")</f>
        <v>I.</v>
      </c>
      <c r="Y375" s="3" t="str">
        <f>IFERROR(__xludf.DUMMYFUNCTION("""COMPUTED_VALUE"""),"Likely")</f>
        <v>Likely</v>
      </c>
      <c r="AA375" s="3">
        <v>1.0</v>
      </c>
      <c r="AB375" s="3">
        <f t="shared" si="7"/>
        <v>0</v>
      </c>
      <c r="AC375" s="3">
        <f t="shared" si="8"/>
        <v>1</v>
      </c>
      <c r="AD375" s="3">
        <f t="shared" si="9"/>
        <v>2.97029703</v>
      </c>
      <c r="AE375" s="3">
        <f t="shared" si="10"/>
        <v>2.97029703</v>
      </c>
      <c r="AF375" s="3">
        <f t="shared" si="11"/>
        <v>1.98019802</v>
      </c>
      <c r="AG375" s="3">
        <f t="shared" si="12"/>
        <v>0.6</v>
      </c>
    </row>
    <row r="376">
      <c r="A376" s="1" t="s">
        <v>8</v>
      </c>
      <c r="B376" s="1" t="s">
        <v>347</v>
      </c>
      <c r="C376" s="1" t="s">
        <v>21</v>
      </c>
      <c r="D376" s="1" t="s">
        <v>77</v>
      </c>
      <c r="E376" s="1" t="s">
        <v>104</v>
      </c>
      <c r="F376" s="1" t="s">
        <v>573</v>
      </c>
      <c r="G376" s="1">
        <v>9.5</v>
      </c>
      <c r="H376" s="1" t="s">
        <v>60</v>
      </c>
      <c r="I376" s="1">
        <v>-111.0</v>
      </c>
      <c r="J376" s="1">
        <v>-0.189053492571166</v>
      </c>
      <c r="K376" s="1" t="s">
        <v>61</v>
      </c>
      <c r="L376" s="1" t="s">
        <v>61</v>
      </c>
      <c r="M376" s="1" t="s">
        <v>62</v>
      </c>
      <c r="N376" s="1">
        <v>-120.0</v>
      </c>
      <c r="O376" s="1">
        <v>0.117560837813724</v>
      </c>
      <c r="P376" s="1" t="s">
        <v>61</v>
      </c>
      <c r="Q376" s="1" t="s">
        <v>61</v>
      </c>
      <c r="R376" s="1">
        <f t="shared" si="1"/>
        <v>0.1175608378</v>
      </c>
      <c r="S376" s="1">
        <f t="shared" si="2"/>
        <v>-120</v>
      </c>
      <c r="T376" s="1">
        <f t="shared" si="3"/>
        <v>1.833333333</v>
      </c>
      <c r="U376" s="1">
        <f t="shared" si="4"/>
        <v>0</v>
      </c>
      <c r="V376" s="3">
        <f t="shared" si="5"/>
        <v>3</v>
      </c>
      <c r="W376" s="3">
        <f t="shared" si="6"/>
        <v>3</v>
      </c>
      <c r="X376" s="3" t="str">
        <f>IFERROR(__xludf.DUMMYFUNCTION("split(B376,"" "")"),"L.")</f>
        <v>L.</v>
      </c>
      <c r="Y376" s="3" t="str">
        <f>IFERROR(__xludf.DUMMYFUNCTION("""COMPUTED_VALUE"""),"Jackson")</f>
        <v>Jackson</v>
      </c>
      <c r="AA376" s="3">
        <v>6.0</v>
      </c>
      <c r="AB376" s="3">
        <f t="shared" si="7"/>
        <v>0</v>
      </c>
      <c r="AC376" s="3">
        <f t="shared" si="8"/>
        <v>1</v>
      </c>
      <c r="AD376" s="3">
        <f t="shared" si="9"/>
        <v>2.5</v>
      </c>
      <c r="AE376" s="3">
        <f t="shared" si="10"/>
        <v>2.5</v>
      </c>
      <c r="AF376" s="3">
        <f t="shared" si="11"/>
        <v>2.5</v>
      </c>
      <c r="AG376" s="3">
        <f t="shared" si="12"/>
        <v>0.3684210526</v>
      </c>
    </row>
    <row r="377">
      <c r="A377" s="1" t="s">
        <v>12</v>
      </c>
      <c r="B377" s="1" t="s">
        <v>239</v>
      </c>
      <c r="C377" s="1" t="s">
        <v>18</v>
      </c>
      <c r="D377" s="1" t="s">
        <v>77</v>
      </c>
      <c r="E377" s="1" t="s">
        <v>104</v>
      </c>
      <c r="F377" s="1" t="s">
        <v>573</v>
      </c>
      <c r="G377" s="1">
        <v>2.5</v>
      </c>
      <c r="H377" s="1" t="s">
        <v>60</v>
      </c>
      <c r="I377" s="1">
        <v>101.0</v>
      </c>
      <c r="J377" s="1">
        <v>-0.166260581848258</v>
      </c>
      <c r="K377" s="1" t="s">
        <v>61</v>
      </c>
      <c r="L377" s="1" t="s">
        <v>61</v>
      </c>
      <c r="M377" s="1" t="s">
        <v>62</v>
      </c>
      <c r="N377" s="1">
        <v>-131.0</v>
      </c>
      <c r="O377" s="1">
        <v>0.101641909075757</v>
      </c>
      <c r="P377" s="1" t="s">
        <v>61</v>
      </c>
      <c r="Q377" s="1" t="s">
        <v>61</v>
      </c>
      <c r="R377" s="1">
        <f t="shared" si="1"/>
        <v>0.1016419091</v>
      </c>
      <c r="S377" s="1">
        <f t="shared" si="2"/>
        <v>-131</v>
      </c>
      <c r="T377" s="1">
        <f t="shared" si="3"/>
        <v>1.763358779</v>
      </c>
      <c r="U377" s="1">
        <f t="shared" si="4"/>
        <v>0</v>
      </c>
      <c r="V377" s="3">
        <f t="shared" si="5"/>
        <v>3</v>
      </c>
      <c r="W377" s="3">
        <f t="shared" si="6"/>
        <v>3</v>
      </c>
      <c r="X377" s="3" t="str">
        <f>IFERROR(__xludf.DUMMYFUNCTION("split(B377,"" "")"),"R.")</f>
        <v>R.</v>
      </c>
      <c r="Y377" s="3" t="str">
        <f>IFERROR(__xludf.DUMMYFUNCTION("""COMPUTED_VALUE"""),"Bateman")</f>
        <v>Bateman</v>
      </c>
      <c r="AA377" s="3">
        <v>1.0</v>
      </c>
      <c r="AB377" s="3">
        <f t="shared" si="7"/>
        <v>0</v>
      </c>
      <c r="AC377" s="3">
        <f t="shared" si="8"/>
        <v>1</v>
      </c>
      <c r="AD377" s="3">
        <f t="shared" si="9"/>
        <v>2.290076336</v>
      </c>
      <c r="AE377" s="3">
        <f t="shared" si="10"/>
        <v>2.290076336</v>
      </c>
      <c r="AF377" s="3">
        <f t="shared" si="11"/>
        <v>2.290076336</v>
      </c>
      <c r="AG377" s="3">
        <f t="shared" si="12"/>
        <v>0.6</v>
      </c>
    </row>
    <row r="378">
      <c r="A378" s="1" t="s">
        <v>12</v>
      </c>
      <c r="B378" s="1" t="s">
        <v>182</v>
      </c>
      <c r="C378" s="1" t="s">
        <v>19</v>
      </c>
      <c r="D378" s="1" t="s">
        <v>77</v>
      </c>
      <c r="E378" s="1" t="s">
        <v>104</v>
      </c>
      <c r="F378" s="1" t="s">
        <v>573</v>
      </c>
      <c r="G378" s="1">
        <v>2.5</v>
      </c>
      <c r="H378" s="1" t="s">
        <v>60</v>
      </c>
      <c r="I378" s="1">
        <v>104.0</v>
      </c>
      <c r="J378" s="1">
        <v>-0.161194488505882</v>
      </c>
      <c r="K378" s="1" t="s">
        <v>61</v>
      </c>
      <c r="L378" s="1" t="s">
        <v>61</v>
      </c>
      <c r="M378" s="1" t="s">
        <v>62</v>
      </c>
      <c r="N378" s="1">
        <v>-137.0</v>
      </c>
      <c r="O378" s="1">
        <v>0.0929391254772151</v>
      </c>
      <c r="P378" s="1" t="s">
        <v>61</v>
      </c>
      <c r="Q378" s="1" t="s">
        <v>61</v>
      </c>
      <c r="R378" s="1">
        <f t="shared" si="1"/>
        <v>0.09293912548</v>
      </c>
      <c r="S378" s="1">
        <f t="shared" si="2"/>
        <v>-137</v>
      </c>
      <c r="T378" s="1">
        <f t="shared" si="3"/>
        <v>1.729927007</v>
      </c>
      <c r="U378" s="1">
        <f t="shared" si="4"/>
        <v>0</v>
      </c>
      <c r="V378" s="3">
        <f t="shared" si="5"/>
        <v>2</v>
      </c>
      <c r="W378" s="3">
        <f t="shared" si="6"/>
        <v>3</v>
      </c>
      <c r="X378" s="3" t="str">
        <f>IFERROR(__xludf.DUMMYFUNCTION("split(B378,"" "")"),"J.")</f>
        <v>J.</v>
      </c>
      <c r="Y378" s="3" t="str">
        <f>IFERROR(__xludf.DUMMYFUNCTION("""COMPUTED_VALUE"""),"Hill")</f>
        <v>Hill</v>
      </c>
      <c r="AA378" s="3">
        <v>6.0</v>
      </c>
      <c r="AB378" s="3">
        <f t="shared" si="7"/>
        <v>1</v>
      </c>
      <c r="AC378" s="3">
        <f t="shared" si="8"/>
        <v>0</v>
      </c>
      <c r="AD378" s="3">
        <f t="shared" si="9"/>
        <v>1.459854015</v>
      </c>
      <c r="AE378" s="3">
        <f t="shared" si="10"/>
        <v>-2</v>
      </c>
      <c r="AF378" s="3">
        <f t="shared" si="11"/>
        <v>-3</v>
      </c>
      <c r="AG378" s="3">
        <f t="shared" si="12"/>
        <v>-1.4</v>
      </c>
    </row>
    <row r="379">
      <c r="A379" s="1" t="s">
        <v>12</v>
      </c>
      <c r="B379" s="1" t="s">
        <v>418</v>
      </c>
      <c r="C379" s="1" t="s">
        <v>20</v>
      </c>
      <c r="D379" s="1" t="s">
        <v>77</v>
      </c>
      <c r="E379" s="1" t="s">
        <v>104</v>
      </c>
      <c r="F379" s="1" t="s">
        <v>573</v>
      </c>
      <c r="G379" s="1">
        <v>2.5</v>
      </c>
      <c r="H379" s="1" t="s">
        <v>60</v>
      </c>
      <c r="I379" s="1">
        <v>-164.0</v>
      </c>
      <c r="J379" s="1">
        <v>-0.149574242424242</v>
      </c>
      <c r="K379" s="1" t="s">
        <v>61</v>
      </c>
      <c r="L379" s="1" t="s">
        <v>61</v>
      </c>
      <c r="M379" s="1" t="s">
        <v>62</v>
      </c>
      <c r="N379" s="1">
        <v>125.0</v>
      </c>
      <c r="O379" s="1">
        <v>0.0839111111111111</v>
      </c>
      <c r="P379" s="1" t="s">
        <v>61</v>
      </c>
      <c r="Q379" s="1" t="s">
        <v>61</v>
      </c>
      <c r="R379" s="1">
        <f t="shared" si="1"/>
        <v>0.08391111111</v>
      </c>
      <c r="S379" s="1">
        <f t="shared" si="2"/>
        <v>125</v>
      </c>
      <c r="T379" s="1">
        <f t="shared" si="3"/>
        <v>2.25</v>
      </c>
      <c r="U379" s="1">
        <f t="shared" si="4"/>
        <v>0</v>
      </c>
      <c r="V379" s="3">
        <f t="shared" si="5"/>
        <v>2</v>
      </c>
      <c r="W379" s="3">
        <f t="shared" si="6"/>
        <v>1</v>
      </c>
      <c r="X379" s="3" t="str">
        <f>IFERROR(__xludf.DUMMYFUNCTION("split(B379,"" "")"),"M.")</f>
        <v>M.</v>
      </c>
      <c r="Y379" s="3" t="str">
        <f>IFERROR(__xludf.DUMMYFUNCTION("""COMPUTED_VALUE"""),"Andrews")</f>
        <v>Andrews</v>
      </c>
      <c r="AA379" s="3">
        <v>0.0</v>
      </c>
      <c r="AB379" s="3">
        <f t="shared" si="7"/>
        <v>0</v>
      </c>
      <c r="AC379" s="3">
        <f t="shared" si="8"/>
        <v>1</v>
      </c>
      <c r="AD379" s="3">
        <f t="shared" si="9"/>
        <v>2.5</v>
      </c>
      <c r="AE379" s="3">
        <f t="shared" si="10"/>
        <v>2.5</v>
      </c>
      <c r="AF379" s="3">
        <f t="shared" si="11"/>
        <v>1.25</v>
      </c>
      <c r="AG379" s="3">
        <f t="shared" si="12"/>
        <v>1</v>
      </c>
    </row>
    <row r="380">
      <c r="A380" s="1" t="s">
        <v>11</v>
      </c>
      <c r="B380" s="1" t="s">
        <v>309</v>
      </c>
      <c r="C380" s="1" t="s">
        <v>19</v>
      </c>
      <c r="D380" s="1" t="s">
        <v>77</v>
      </c>
      <c r="E380" s="1" t="s">
        <v>104</v>
      </c>
      <c r="F380" s="1" t="s">
        <v>573</v>
      </c>
      <c r="G380" s="1">
        <v>6.5</v>
      </c>
      <c r="H380" s="1" t="s">
        <v>60</v>
      </c>
      <c r="I380" s="1">
        <v>-110.0</v>
      </c>
      <c r="J380" s="1">
        <v>0.0803775999744078</v>
      </c>
      <c r="K380" s="1" t="s">
        <v>61</v>
      </c>
      <c r="L380" s="1" t="s">
        <v>61</v>
      </c>
      <c r="M380" s="1" t="s">
        <v>62</v>
      </c>
      <c r="N380" s="1">
        <v>-115.0</v>
      </c>
      <c r="O380" s="1">
        <v>-0.139056932064276</v>
      </c>
      <c r="P380" s="1" t="s">
        <v>61</v>
      </c>
      <c r="Q380" s="1" t="s">
        <v>61</v>
      </c>
      <c r="R380" s="1">
        <f t="shared" si="1"/>
        <v>0.08037759997</v>
      </c>
      <c r="S380" s="1">
        <f t="shared" si="2"/>
        <v>-110</v>
      </c>
      <c r="T380" s="1">
        <f t="shared" si="3"/>
        <v>1.909090909</v>
      </c>
      <c r="U380" s="1">
        <f t="shared" si="4"/>
        <v>1</v>
      </c>
      <c r="V380" s="3">
        <f t="shared" si="5"/>
        <v>2</v>
      </c>
      <c r="W380" s="3">
        <f t="shared" si="6"/>
        <v>2</v>
      </c>
      <c r="X380" s="3" t="str">
        <f>IFERROR(__xludf.DUMMYFUNCTION("split(B380,"" "")"),"D.")</f>
        <v>D.</v>
      </c>
      <c r="Y380" s="3" t="str">
        <f>IFERROR(__xludf.DUMMYFUNCTION("""COMPUTED_VALUE"""),"Henry")</f>
        <v>Henry</v>
      </c>
      <c r="AA380" s="3">
        <v>10.0</v>
      </c>
      <c r="AB380" s="3">
        <f t="shared" si="7"/>
        <v>1</v>
      </c>
      <c r="AC380" s="3">
        <f t="shared" si="8"/>
        <v>1</v>
      </c>
      <c r="AD380" s="3">
        <f t="shared" si="9"/>
        <v>1.818181818</v>
      </c>
      <c r="AE380" s="3">
        <f t="shared" si="10"/>
        <v>1.818181818</v>
      </c>
      <c r="AF380" s="3">
        <f t="shared" si="11"/>
        <v>1.818181818</v>
      </c>
      <c r="AG380" s="3">
        <f t="shared" si="12"/>
        <v>0.5384615385</v>
      </c>
    </row>
    <row r="381">
      <c r="A381" s="1" t="s">
        <v>12</v>
      </c>
      <c r="B381" s="1" t="s">
        <v>399</v>
      </c>
      <c r="C381" s="1" t="s">
        <v>18</v>
      </c>
      <c r="D381" s="1" t="s">
        <v>77</v>
      </c>
      <c r="E381" s="1" t="s">
        <v>104</v>
      </c>
      <c r="F381" s="1" t="s">
        <v>573</v>
      </c>
      <c r="G381" s="1">
        <v>4.5</v>
      </c>
      <c r="H381" s="1" t="s">
        <v>60</v>
      </c>
      <c r="I381" s="1">
        <v>-149.0</v>
      </c>
      <c r="J381" s="1">
        <v>-0.113213253012048</v>
      </c>
      <c r="K381" s="1" t="s">
        <v>61</v>
      </c>
      <c r="L381" s="1" t="s">
        <v>61</v>
      </c>
      <c r="M381" s="1" t="s">
        <v>62</v>
      </c>
      <c r="N381" s="1">
        <v>116.0</v>
      </c>
      <c r="O381" s="1">
        <v>0.0518444444444445</v>
      </c>
      <c r="P381" s="1" t="s">
        <v>61</v>
      </c>
      <c r="Q381" s="1" t="s">
        <v>61</v>
      </c>
      <c r="R381" s="1">
        <f t="shared" si="1"/>
        <v>0.05184444444</v>
      </c>
      <c r="S381" s="1">
        <f t="shared" si="2"/>
        <v>116</v>
      </c>
      <c r="T381" s="1">
        <f t="shared" si="3"/>
        <v>2.16</v>
      </c>
      <c r="U381" s="1">
        <f t="shared" si="4"/>
        <v>0</v>
      </c>
      <c r="V381" s="3">
        <f t="shared" si="5"/>
        <v>2</v>
      </c>
      <c r="W381" s="3">
        <f t="shared" si="6"/>
        <v>1</v>
      </c>
      <c r="X381" s="3" t="str">
        <f>IFERROR(__xludf.DUMMYFUNCTION("split(B381,"" "")"),"Z.")</f>
        <v>Z.</v>
      </c>
      <c r="Y381" s="3" t="str">
        <f>IFERROR(__xludf.DUMMYFUNCTION("""COMPUTED_VALUE"""),"Flowers")</f>
        <v>Flowers</v>
      </c>
      <c r="AA381" s="3">
        <v>1.0</v>
      </c>
      <c r="AB381" s="3">
        <f t="shared" si="7"/>
        <v>0</v>
      </c>
      <c r="AC381" s="3">
        <f t="shared" si="8"/>
        <v>1</v>
      </c>
      <c r="AD381" s="3">
        <f t="shared" si="9"/>
        <v>2.32</v>
      </c>
      <c r="AE381" s="3">
        <f t="shared" si="10"/>
        <v>2.32</v>
      </c>
      <c r="AF381" s="3">
        <f t="shared" si="11"/>
        <v>1.16</v>
      </c>
      <c r="AG381" s="3">
        <f t="shared" si="12"/>
        <v>0.7777777778</v>
      </c>
    </row>
    <row r="382">
      <c r="A382" s="1" t="s">
        <v>16</v>
      </c>
      <c r="B382" s="1" t="s">
        <v>347</v>
      </c>
      <c r="C382" s="1" t="s">
        <v>21</v>
      </c>
      <c r="D382" s="1" t="s">
        <v>77</v>
      </c>
      <c r="E382" s="1" t="s">
        <v>104</v>
      </c>
      <c r="F382" s="1" t="s">
        <v>573</v>
      </c>
      <c r="G382" s="1">
        <v>28.5</v>
      </c>
      <c r="H382" s="1" t="s">
        <v>60</v>
      </c>
      <c r="I382" s="1">
        <v>-129.0</v>
      </c>
      <c r="J382" s="1">
        <v>-0.0996737989082969</v>
      </c>
      <c r="K382" s="1" t="s">
        <v>61</v>
      </c>
      <c r="L382" s="1" t="s">
        <v>61</v>
      </c>
      <c r="M382" s="1" t="s">
        <v>62</v>
      </c>
      <c r="N382" s="1">
        <v>-101.0</v>
      </c>
      <c r="O382" s="1">
        <v>0.033860681340796</v>
      </c>
      <c r="P382" s="1" t="s">
        <v>61</v>
      </c>
      <c r="Q382" s="1" t="s">
        <v>61</v>
      </c>
      <c r="R382" s="1">
        <f t="shared" si="1"/>
        <v>0.03386068134</v>
      </c>
      <c r="S382" s="1">
        <f t="shared" si="2"/>
        <v>-101</v>
      </c>
      <c r="T382" s="1">
        <f t="shared" si="3"/>
        <v>1.99009901</v>
      </c>
      <c r="U382" s="1">
        <f t="shared" si="4"/>
        <v>0</v>
      </c>
      <c r="V382" s="3">
        <f t="shared" si="5"/>
        <v>1</v>
      </c>
      <c r="W382" s="3">
        <f t="shared" si="6"/>
        <v>2</v>
      </c>
      <c r="X382" s="3" t="str">
        <f>IFERROR(__xludf.DUMMYFUNCTION("split(B382,"" "")"),"L.")</f>
        <v>L.</v>
      </c>
      <c r="Y382" s="3" t="str">
        <f>IFERROR(__xludf.DUMMYFUNCTION("""COMPUTED_VALUE"""),"Jackson")</f>
        <v>Jackson</v>
      </c>
      <c r="AA382" s="3">
        <v>18.0</v>
      </c>
      <c r="AB382" s="3">
        <f t="shared" si="7"/>
        <v>0</v>
      </c>
      <c r="AC382" s="3">
        <f t="shared" si="8"/>
        <v>1</v>
      </c>
      <c r="AD382" s="3">
        <f t="shared" si="9"/>
        <v>0.9900990099</v>
      </c>
      <c r="AE382" s="3">
        <f t="shared" si="10"/>
        <v>0.9900990099</v>
      </c>
      <c r="AF382" s="3">
        <f t="shared" si="11"/>
        <v>1.98019802</v>
      </c>
      <c r="AG382" s="3">
        <f t="shared" si="12"/>
        <v>0.3684210526</v>
      </c>
    </row>
    <row r="383">
      <c r="A383" s="1" t="s">
        <v>9</v>
      </c>
      <c r="B383" s="1" t="s">
        <v>239</v>
      </c>
      <c r="C383" s="1" t="s">
        <v>18</v>
      </c>
      <c r="D383" s="1" t="s">
        <v>77</v>
      </c>
      <c r="E383" s="1" t="s">
        <v>104</v>
      </c>
      <c r="F383" s="1" t="s">
        <v>573</v>
      </c>
      <c r="G383" s="1">
        <v>26.5</v>
      </c>
      <c r="H383" s="1" t="s">
        <v>60</v>
      </c>
      <c r="I383" s="1">
        <v>-118.0</v>
      </c>
      <c r="J383" s="1">
        <v>0.0331291300888018</v>
      </c>
      <c r="K383" s="1" t="s">
        <v>61</v>
      </c>
      <c r="L383" s="1" t="s">
        <v>61</v>
      </c>
      <c r="M383" s="1" t="s">
        <v>62</v>
      </c>
      <c r="N383" s="1">
        <v>-115.0</v>
      </c>
      <c r="O383" s="1">
        <v>-0.109266292619826</v>
      </c>
      <c r="P383" s="1" t="s">
        <v>61</v>
      </c>
      <c r="Q383" s="1" t="s">
        <v>61</v>
      </c>
      <c r="R383" s="1">
        <f t="shared" si="1"/>
        <v>0.03312913009</v>
      </c>
      <c r="S383" s="1">
        <f t="shared" si="2"/>
        <v>-118</v>
      </c>
      <c r="T383" s="1">
        <f t="shared" si="3"/>
        <v>1.847457627</v>
      </c>
      <c r="U383" s="1">
        <f t="shared" si="4"/>
        <v>1</v>
      </c>
      <c r="V383" s="3">
        <f t="shared" si="5"/>
        <v>1</v>
      </c>
      <c r="W383" s="3">
        <f t="shared" si="6"/>
        <v>3</v>
      </c>
      <c r="X383" s="3" t="str">
        <f>IFERROR(__xludf.DUMMYFUNCTION("split(B383,"" "")"),"R.")</f>
        <v>R.</v>
      </c>
      <c r="Y383" s="3" t="str">
        <f>IFERROR(__xludf.DUMMYFUNCTION("""COMPUTED_VALUE"""),"Bateman")</f>
        <v>Bateman</v>
      </c>
      <c r="AA383" s="3">
        <v>23.0</v>
      </c>
      <c r="AB383" s="3">
        <f t="shared" si="7"/>
        <v>0</v>
      </c>
      <c r="AC383" s="3">
        <f t="shared" si="8"/>
        <v>0</v>
      </c>
      <c r="AD383" s="3">
        <f t="shared" si="9"/>
        <v>0.8474576271</v>
      </c>
      <c r="AE383" s="3">
        <f t="shared" si="10"/>
        <v>-1</v>
      </c>
      <c r="AF383" s="3">
        <f t="shared" si="11"/>
        <v>-3</v>
      </c>
      <c r="AG383" s="3">
        <f t="shared" si="12"/>
        <v>-0.1320754717</v>
      </c>
    </row>
    <row r="384">
      <c r="A384" s="1" t="s">
        <v>15</v>
      </c>
      <c r="B384" s="1" t="s">
        <v>347</v>
      </c>
      <c r="C384" s="1" t="s">
        <v>21</v>
      </c>
      <c r="D384" s="1" t="s">
        <v>77</v>
      </c>
      <c r="E384" s="1" t="s">
        <v>104</v>
      </c>
      <c r="F384" s="1" t="s">
        <v>573</v>
      </c>
      <c r="G384" s="1">
        <v>19.5</v>
      </c>
      <c r="H384" s="1" t="s">
        <v>60</v>
      </c>
      <c r="I384" s="1">
        <v>-102.0</v>
      </c>
      <c r="J384" s="1">
        <v>0.0297539397029703</v>
      </c>
      <c r="K384" s="1" t="s">
        <v>61</v>
      </c>
      <c r="L384" s="1" t="s">
        <v>61</v>
      </c>
      <c r="M384" s="1" t="s">
        <v>62</v>
      </c>
      <c r="N384" s="1">
        <v>-128.0</v>
      </c>
      <c r="O384" s="1">
        <v>-0.0960951344280701</v>
      </c>
      <c r="P384" s="1" t="s">
        <v>61</v>
      </c>
      <c r="Q384" s="1" t="s">
        <v>61</v>
      </c>
      <c r="R384" s="1">
        <f t="shared" si="1"/>
        <v>0.0297539397</v>
      </c>
      <c r="S384" s="1">
        <f t="shared" si="2"/>
        <v>-102</v>
      </c>
      <c r="T384" s="1">
        <f t="shared" si="3"/>
        <v>1.980392157</v>
      </c>
      <c r="U384" s="1">
        <f t="shared" si="4"/>
        <v>1</v>
      </c>
      <c r="V384" s="3">
        <f t="shared" si="5"/>
        <v>1</v>
      </c>
      <c r="W384" s="3">
        <f t="shared" si="6"/>
        <v>2</v>
      </c>
      <c r="X384" s="3" t="str">
        <f>IFERROR(__xludf.DUMMYFUNCTION("split(B384,"" "")"),"L.")</f>
        <v>L.</v>
      </c>
      <c r="Y384" s="3" t="str">
        <f>IFERROR(__xludf.DUMMYFUNCTION("""COMPUTED_VALUE"""),"Jackson")</f>
        <v>Jackson</v>
      </c>
      <c r="AA384" s="3">
        <v>13.0</v>
      </c>
      <c r="AB384" s="3">
        <f t="shared" si="7"/>
        <v>0</v>
      </c>
      <c r="AC384" s="3">
        <f t="shared" si="8"/>
        <v>0</v>
      </c>
      <c r="AD384" s="3">
        <f t="shared" si="9"/>
        <v>0.9803921569</v>
      </c>
      <c r="AE384" s="3">
        <f t="shared" si="10"/>
        <v>-1</v>
      </c>
      <c r="AF384" s="3">
        <f t="shared" si="11"/>
        <v>-2</v>
      </c>
      <c r="AG384" s="3">
        <f t="shared" si="12"/>
        <v>-0.3333333333</v>
      </c>
    </row>
    <row r="385">
      <c r="A385" s="1" t="s">
        <v>12</v>
      </c>
      <c r="B385" s="1" t="s">
        <v>138</v>
      </c>
      <c r="C385" s="1" t="s">
        <v>18</v>
      </c>
      <c r="D385" s="1" t="s">
        <v>77</v>
      </c>
      <c r="E385" s="1" t="s">
        <v>104</v>
      </c>
      <c r="F385" s="1" t="s">
        <v>573</v>
      </c>
      <c r="G385" s="1">
        <v>1.5</v>
      </c>
      <c r="H385" s="1" t="s">
        <v>60</v>
      </c>
      <c r="I385" s="1">
        <v>130.0</v>
      </c>
      <c r="J385" s="1">
        <v>-0.0854299105578262</v>
      </c>
      <c r="K385" s="1" t="s">
        <v>61</v>
      </c>
      <c r="L385" s="1" t="s">
        <v>61</v>
      </c>
      <c r="M385" s="1" t="s">
        <v>62</v>
      </c>
      <c r="N385" s="1">
        <v>-171.0</v>
      </c>
      <c r="O385" s="1">
        <v>0.0196564967992989</v>
      </c>
      <c r="P385" s="1" t="s">
        <v>61</v>
      </c>
      <c r="Q385" s="1" t="s">
        <v>61</v>
      </c>
      <c r="R385" s="1">
        <f t="shared" si="1"/>
        <v>0.0196564968</v>
      </c>
      <c r="S385" s="1">
        <f t="shared" si="2"/>
        <v>-171</v>
      </c>
      <c r="T385" s="1">
        <f t="shared" si="3"/>
        <v>1.584795322</v>
      </c>
      <c r="U385" s="1">
        <f t="shared" si="4"/>
        <v>0</v>
      </c>
      <c r="V385" s="3">
        <f t="shared" si="5"/>
        <v>1</v>
      </c>
      <c r="W385" s="3">
        <f t="shared" si="6"/>
        <v>3</v>
      </c>
      <c r="X385" s="3" t="str">
        <f>IFERROR(__xludf.DUMMYFUNCTION("split(B385,"" "")"),"N.")</f>
        <v>N.</v>
      </c>
      <c r="Y385" s="3" t="str">
        <f>IFERROR(__xludf.DUMMYFUNCTION("""COMPUTED_VALUE"""),"Agholor")</f>
        <v>Agholor</v>
      </c>
      <c r="AA385" s="3">
        <v>2.0</v>
      </c>
      <c r="AB385" s="3">
        <f t="shared" si="7"/>
        <v>1</v>
      </c>
      <c r="AC385" s="3">
        <f t="shared" si="8"/>
        <v>0</v>
      </c>
      <c r="AD385" s="3">
        <f t="shared" si="9"/>
        <v>0.5847953216</v>
      </c>
      <c r="AE385" s="3">
        <f t="shared" si="10"/>
        <v>-1</v>
      </c>
      <c r="AF385" s="3">
        <f t="shared" si="11"/>
        <v>-3</v>
      </c>
      <c r="AG385" s="3">
        <f t="shared" si="12"/>
        <v>-0.3333333333</v>
      </c>
    </row>
    <row r="386">
      <c r="A386" s="1" t="s">
        <v>10</v>
      </c>
      <c r="B386" s="1" t="s">
        <v>347</v>
      </c>
      <c r="C386" s="1" t="s">
        <v>21</v>
      </c>
      <c r="D386" s="1" t="s">
        <v>77</v>
      </c>
      <c r="E386" s="1" t="s">
        <v>104</v>
      </c>
      <c r="F386" s="1" t="s">
        <v>573</v>
      </c>
      <c r="G386" s="1">
        <v>57.5</v>
      </c>
      <c r="H386" s="1" t="s">
        <v>60</v>
      </c>
      <c r="I386" s="1">
        <v>-116.0</v>
      </c>
      <c r="J386" s="1">
        <v>-0.0822964627792463</v>
      </c>
      <c r="K386" s="1" t="s">
        <v>61</v>
      </c>
      <c r="L386" s="1" t="s">
        <v>61</v>
      </c>
      <c r="M386" s="1" t="s">
        <v>62</v>
      </c>
      <c r="N386" s="1">
        <v>-112.0</v>
      </c>
      <c r="O386" s="1">
        <v>0.0169365833971375</v>
      </c>
      <c r="P386" s="1" t="s">
        <v>61</v>
      </c>
      <c r="Q386" s="1" t="s">
        <v>61</v>
      </c>
      <c r="R386" s="1">
        <f t="shared" si="1"/>
        <v>0.0169365834</v>
      </c>
      <c r="S386" s="1">
        <f t="shared" si="2"/>
        <v>-112</v>
      </c>
      <c r="T386" s="1">
        <f t="shared" si="3"/>
        <v>1.892857143</v>
      </c>
      <c r="U386" s="1">
        <f t="shared" si="4"/>
        <v>0</v>
      </c>
      <c r="V386" s="3">
        <f t="shared" si="5"/>
        <v>1</v>
      </c>
      <c r="W386" s="3">
        <f t="shared" si="6"/>
        <v>2</v>
      </c>
      <c r="X386" s="3" t="str">
        <f>IFERROR(__xludf.DUMMYFUNCTION("split(B386,"" "")"),"L.")</f>
        <v>L.</v>
      </c>
      <c r="Y386" s="3" t="str">
        <f>IFERROR(__xludf.DUMMYFUNCTION("""COMPUTED_VALUE"""),"Jackson")</f>
        <v>Jackson</v>
      </c>
      <c r="AA386" s="3">
        <v>54.0</v>
      </c>
      <c r="AB386" s="3">
        <f t="shared" si="7"/>
        <v>0</v>
      </c>
      <c r="AC386" s="3">
        <f t="shared" si="8"/>
        <v>1</v>
      </c>
      <c r="AD386" s="3">
        <f t="shared" si="9"/>
        <v>0.8928571429</v>
      </c>
      <c r="AE386" s="3">
        <f t="shared" si="10"/>
        <v>0.8928571429</v>
      </c>
      <c r="AF386" s="3">
        <f t="shared" si="11"/>
        <v>1.785714286</v>
      </c>
      <c r="AG386" s="3">
        <f t="shared" si="12"/>
        <v>0.06086956522</v>
      </c>
    </row>
    <row r="387">
      <c r="A387" s="1" t="s">
        <v>14</v>
      </c>
      <c r="B387" s="1" t="s">
        <v>347</v>
      </c>
      <c r="C387" s="1" t="s">
        <v>21</v>
      </c>
      <c r="D387" s="1" t="s">
        <v>77</v>
      </c>
      <c r="E387" s="1" t="s">
        <v>104</v>
      </c>
      <c r="F387" s="1" t="s">
        <v>573</v>
      </c>
      <c r="G387" s="1">
        <v>1.5</v>
      </c>
      <c r="H387" s="1" t="s">
        <v>60</v>
      </c>
      <c r="I387" s="1">
        <v>136.0</v>
      </c>
      <c r="J387" s="1">
        <v>0.015871186440678</v>
      </c>
      <c r="K387" s="1" t="s">
        <v>61</v>
      </c>
      <c r="L387" s="1" t="s">
        <v>61</v>
      </c>
      <c r="M387" s="1" t="s">
        <v>62</v>
      </c>
      <c r="N387" s="1">
        <v>-175.0</v>
      </c>
      <c r="O387" s="1">
        <v>-0.0759636363636363</v>
      </c>
      <c r="P387" s="1" t="s">
        <v>61</v>
      </c>
      <c r="Q387" s="1" t="s">
        <v>61</v>
      </c>
      <c r="R387" s="1">
        <f t="shared" si="1"/>
        <v>0.01587118644</v>
      </c>
      <c r="S387" s="1">
        <f t="shared" si="2"/>
        <v>136</v>
      </c>
      <c r="T387" s="1">
        <f t="shared" si="3"/>
        <v>2.36</v>
      </c>
      <c r="U387" s="1">
        <f t="shared" si="4"/>
        <v>1</v>
      </c>
      <c r="V387" s="3">
        <f t="shared" si="5"/>
        <v>1</v>
      </c>
      <c r="W387" s="3">
        <f t="shared" si="6"/>
        <v>1</v>
      </c>
      <c r="X387" s="3" t="str">
        <f>IFERROR(__xludf.DUMMYFUNCTION("split(B387,"" "")"),"L.")</f>
        <v>L.</v>
      </c>
      <c r="Y387" s="3" t="str">
        <f>IFERROR(__xludf.DUMMYFUNCTION("""COMPUTED_VALUE"""),"Jackson")</f>
        <v>Jackson</v>
      </c>
      <c r="AA387" s="3">
        <v>2.0</v>
      </c>
      <c r="AB387" s="3">
        <f t="shared" si="7"/>
        <v>1</v>
      </c>
      <c r="AC387" s="3">
        <f t="shared" si="8"/>
        <v>1</v>
      </c>
      <c r="AD387" s="3">
        <f t="shared" si="9"/>
        <v>1.36</v>
      </c>
      <c r="AE387" s="3">
        <f t="shared" si="10"/>
        <v>1.36</v>
      </c>
      <c r="AF387" s="3">
        <f t="shared" si="11"/>
        <v>1.36</v>
      </c>
      <c r="AG387" s="3">
        <f t="shared" si="12"/>
        <v>0.3333333333</v>
      </c>
    </row>
    <row r="388">
      <c r="A388" s="1" t="s">
        <v>10</v>
      </c>
      <c r="B388" s="1" t="s">
        <v>182</v>
      </c>
      <c r="C388" s="1" t="s">
        <v>19</v>
      </c>
      <c r="D388" s="1" t="s">
        <v>77</v>
      </c>
      <c r="E388" s="1" t="s">
        <v>104</v>
      </c>
      <c r="F388" s="1" t="s">
        <v>573</v>
      </c>
      <c r="G388" s="1">
        <v>10.5</v>
      </c>
      <c r="H388" s="1" t="s">
        <v>60</v>
      </c>
      <c r="I388" s="1">
        <v>-120.0</v>
      </c>
      <c r="J388" s="1">
        <v>-0.0816959643172947</v>
      </c>
      <c r="K388" s="1" t="s">
        <v>61</v>
      </c>
      <c r="L388" s="1" t="s">
        <v>61</v>
      </c>
      <c r="M388" s="1" t="s">
        <v>62</v>
      </c>
      <c r="N388" s="1">
        <v>-109.0</v>
      </c>
      <c r="O388" s="1">
        <v>0.0147016853745804</v>
      </c>
      <c r="P388" s="1" t="s">
        <v>61</v>
      </c>
      <c r="Q388" s="1" t="s">
        <v>61</v>
      </c>
      <c r="R388" s="1">
        <f t="shared" si="1"/>
        <v>0.01470168537</v>
      </c>
      <c r="S388" s="1">
        <f t="shared" si="2"/>
        <v>-109</v>
      </c>
      <c r="T388" s="1">
        <f t="shared" si="3"/>
        <v>1.917431193</v>
      </c>
      <c r="U388" s="1">
        <f t="shared" si="4"/>
        <v>0</v>
      </c>
      <c r="V388" s="3">
        <f t="shared" si="5"/>
        <v>1</v>
      </c>
      <c r="W388" s="3">
        <f t="shared" si="6"/>
        <v>2</v>
      </c>
      <c r="X388" s="3" t="str">
        <f>IFERROR(__xludf.DUMMYFUNCTION("split(B388,"" "")"),"J.")</f>
        <v>J.</v>
      </c>
      <c r="Y388" s="3" t="str">
        <f>IFERROR(__xludf.DUMMYFUNCTION("""COMPUTED_VALUE"""),"Hill")</f>
        <v>Hill</v>
      </c>
      <c r="AA388" s="3">
        <v>18.0</v>
      </c>
      <c r="AB388" s="3">
        <f t="shared" si="7"/>
        <v>1</v>
      </c>
      <c r="AC388" s="3">
        <f t="shared" si="8"/>
        <v>0</v>
      </c>
      <c r="AD388" s="3">
        <f t="shared" si="9"/>
        <v>0.9174311927</v>
      </c>
      <c r="AE388" s="3">
        <f t="shared" si="10"/>
        <v>-1</v>
      </c>
      <c r="AF388" s="3">
        <f t="shared" si="11"/>
        <v>-2</v>
      </c>
      <c r="AG388" s="3">
        <f t="shared" si="12"/>
        <v>-0.7142857143</v>
      </c>
    </row>
    <row r="389">
      <c r="A389" s="1" t="s">
        <v>11</v>
      </c>
      <c r="B389" s="1" t="s">
        <v>454</v>
      </c>
      <c r="C389" s="1" t="s">
        <v>20</v>
      </c>
      <c r="D389" s="1" t="s">
        <v>77</v>
      </c>
      <c r="E389" s="1" t="s">
        <v>104</v>
      </c>
      <c r="F389" s="1" t="s">
        <v>573</v>
      </c>
      <c r="G389" s="1">
        <v>27.5</v>
      </c>
      <c r="H389" s="1" t="s">
        <v>60</v>
      </c>
      <c r="I389" s="1">
        <v>-115.0</v>
      </c>
      <c r="J389" s="1">
        <v>-0.0800702423444187</v>
      </c>
      <c r="K389" s="1" t="s">
        <v>61</v>
      </c>
      <c r="L389" s="1" t="s">
        <v>61</v>
      </c>
      <c r="M389" s="1" t="s">
        <v>62</v>
      </c>
      <c r="N389" s="1">
        <v>-114.0</v>
      </c>
      <c r="O389" s="1">
        <v>0.0125324130776496</v>
      </c>
      <c r="P389" s="1" t="s">
        <v>61</v>
      </c>
      <c r="Q389" s="1" t="s">
        <v>61</v>
      </c>
      <c r="R389" s="1">
        <f t="shared" si="1"/>
        <v>0.01253241308</v>
      </c>
      <c r="S389" s="1">
        <f t="shared" si="2"/>
        <v>-114</v>
      </c>
      <c r="T389" s="1">
        <f t="shared" si="3"/>
        <v>1.877192982</v>
      </c>
      <c r="U389" s="1">
        <f t="shared" si="4"/>
        <v>0</v>
      </c>
      <c r="V389" s="3">
        <f t="shared" si="5"/>
        <v>1</v>
      </c>
      <c r="W389" s="3">
        <f t="shared" si="6"/>
        <v>2</v>
      </c>
      <c r="X389" s="3" t="str">
        <f>IFERROR(__xludf.DUMMYFUNCTION("split(B389,"" "")"),"I.")</f>
        <v>I.</v>
      </c>
      <c r="Y389" s="3" t="str">
        <f>IFERROR(__xludf.DUMMYFUNCTION("""COMPUTED_VALUE"""),"Likely")</f>
        <v>Likely</v>
      </c>
      <c r="AA389" s="3">
        <v>26.0</v>
      </c>
      <c r="AB389" s="3">
        <f t="shared" si="7"/>
        <v>0</v>
      </c>
      <c r="AC389" s="3">
        <f t="shared" si="8"/>
        <v>1</v>
      </c>
      <c r="AD389" s="3">
        <f t="shared" si="9"/>
        <v>0.8771929825</v>
      </c>
      <c r="AE389" s="3">
        <f t="shared" si="10"/>
        <v>0.8771929825</v>
      </c>
      <c r="AF389" s="3">
        <f t="shared" si="11"/>
        <v>1.754385965</v>
      </c>
      <c r="AG389" s="3">
        <f t="shared" si="12"/>
        <v>0.05454545455</v>
      </c>
    </row>
    <row r="390">
      <c r="A390" s="1" t="s">
        <v>11</v>
      </c>
      <c r="B390" s="1" t="s">
        <v>239</v>
      </c>
      <c r="C390" s="1" t="s">
        <v>18</v>
      </c>
      <c r="D390" s="1" t="s">
        <v>77</v>
      </c>
      <c r="E390" s="1" t="s">
        <v>104</v>
      </c>
      <c r="F390" s="1" t="s">
        <v>573</v>
      </c>
      <c r="G390" s="1">
        <v>26.5</v>
      </c>
      <c r="H390" s="1" t="s">
        <v>60</v>
      </c>
      <c r="I390" s="1">
        <v>-114.0</v>
      </c>
      <c r="J390" s="1">
        <v>-0.081609707680229</v>
      </c>
      <c r="K390" s="1" t="s">
        <v>61</v>
      </c>
      <c r="L390" s="1" t="s">
        <v>61</v>
      </c>
      <c r="M390" s="1" t="s">
        <v>62</v>
      </c>
      <c r="N390" s="1">
        <v>-116.0</v>
      </c>
      <c r="O390" s="1">
        <v>0.011907082567315</v>
      </c>
      <c r="P390" s="1" t="s">
        <v>61</v>
      </c>
      <c r="Q390" s="1" t="s">
        <v>61</v>
      </c>
      <c r="R390" s="1">
        <f t="shared" si="1"/>
        <v>0.01190708257</v>
      </c>
      <c r="S390" s="1">
        <f t="shared" si="2"/>
        <v>-116</v>
      </c>
      <c r="T390" s="1">
        <f t="shared" si="3"/>
        <v>1.862068966</v>
      </c>
      <c r="U390" s="1">
        <f t="shared" si="4"/>
        <v>0</v>
      </c>
      <c r="V390" s="3">
        <f t="shared" si="5"/>
        <v>1</v>
      </c>
      <c r="W390" s="3">
        <f t="shared" si="6"/>
        <v>2</v>
      </c>
      <c r="X390" s="3" t="str">
        <f>IFERROR(__xludf.DUMMYFUNCTION("split(B390,"" "")"),"R.")</f>
        <v>R.</v>
      </c>
      <c r="Y390" s="3" t="str">
        <f>IFERROR(__xludf.DUMMYFUNCTION("""COMPUTED_VALUE"""),"Bateman")</f>
        <v>Bateman</v>
      </c>
      <c r="AA390" s="3">
        <v>23.0</v>
      </c>
      <c r="AB390" s="3">
        <f t="shared" si="7"/>
        <v>0</v>
      </c>
      <c r="AC390" s="3">
        <f t="shared" si="8"/>
        <v>1</v>
      </c>
      <c r="AD390" s="3">
        <f t="shared" si="9"/>
        <v>0.8620689655</v>
      </c>
      <c r="AE390" s="3">
        <f t="shared" si="10"/>
        <v>0.8620689655</v>
      </c>
      <c r="AF390" s="3">
        <f t="shared" si="11"/>
        <v>1.724137931</v>
      </c>
      <c r="AG390" s="3">
        <f t="shared" si="12"/>
        <v>0.1320754717</v>
      </c>
    </row>
    <row r="391">
      <c r="A391" s="1" t="s">
        <v>11</v>
      </c>
      <c r="B391" s="1" t="s">
        <v>399</v>
      </c>
      <c r="C391" s="1" t="s">
        <v>18</v>
      </c>
      <c r="D391" s="1" t="s">
        <v>77</v>
      </c>
      <c r="E391" s="1" t="s">
        <v>104</v>
      </c>
      <c r="F391" s="1" t="s">
        <v>573</v>
      </c>
      <c r="G391" s="1">
        <v>52.5</v>
      </c>
      <c r="H391" s="1" t="s">
        <v>60</v>
      </c>
      <c r="I391" s="1">
        <v>-114.0</v>
      </c>
      <c r="J391" s="1">
        <v>-0.0775100205673829</v>
      </c>
      <c r="K391" s="1" t="s">
        <v>61</v>
      </c>
      <c r="L391" s="1" t="s">
        <v>61</v>
      </c>
      <c r="M391" s="1" t="s">
        <v>62</v>
      </c>
      <c r="N391" s="1">
        <v>-115.0</v>
      </c>
      <c r="O391" s="1">
        <v>0.00991570134372066</v>
      </c>
      <c r="P391" s="1" t="s">
        <v>61</v>
      </c>
      <c r="Q391" s="1" t="s">
        <v>61</v>
      </c>
      <c r="R391" s="1">
        <f t="shared" si="1"/>
        <v>0.009915701344</v>
      </c>
      <c r="S391" s="1">
        <f t="shared" si="2"/>
        <v>-115</v>
      </c>
      <c r="T391" s="1">
        <f t="shared" si="3"/>
        <v>1.869565217</v>
      </c>
      <c r="U391" s="1">
        <f t="shared" si="4"/>
        <v>0</v>
      </c>
      <c r="V391" s="3">
        <f t="shared" si="5"/>
        <v>1</v>
      </c>
      <c r="W391" s="3">
        <f t="shared" si="6"/>
        <v>2</v>
      </c>
      <c r="X391" s="3" t="str">
        <f>IFERROR(__xludf.DUMMYFUNCTION("split(B391,"" "")"),"Z.")</f>
        <v>Z.</v>
      </c>
      <c r="Y391" s="3" t="str">
        <f>IFERROR(__xludf.DUMMYFUNCTION("""COMPUTED_VALUE"""),"Flowers")</f>
        <v>Flowers</v>
      </c>
      <c r="AA391" s="3">
        <v>10.0</v>
      </c>
      <c r="AB391" s="3">
        <f t="shared" si="7"/>
        <v>0</v>
      </c>
      <c r="AC391" s="3">
        <f t="shared" si="8"/>
        <v>1</v>
      </c>
      <c r="AD391" s="3">
        <f t="shared" si="9"/>
        <v>0.8695652174</v>
      </c>
      <c r="AE391" s="3">
        <f t="shared" si="10"/>
        <v>0.8695652174</v>
      </c>
      <c r="AF391" s="3">
        <f t="shared" si="11"/>
        <v>1.739130435</v>
      </c>
      <c r="AG391" s="3">
        <f t="shared" si="12"/>
        <v>0.8095238095</v>
      </c>
    </row>
    <row r="392">
      <c r="A392" s="1" t="s">
        <v>8</v>
      </c>
      <c r="B392" s="1" t="s">
        <v>309</v>
      </c>
      <c r="C392" s="1" t="s">
        <v>19</v>
      </c>
      <c r="D392" s="1" t="s">
        <v>77</v>
      </c>
      <c r="E392" s="1" t="s">
        <v>104</v>
      </c>
      <c r="F392" s="1" t="s">
        <v>573</v>
      </c>
      <c r="G392" s="1">
        <v>16.5</v>
      </c>
      <c r="H392" s="1" t="s">
        <v>60</v>
      </c>
      <c r="I392" s="1">
        <v>-113.0</v>
      </c>
      <c r="J392" s="1">
        <v>0.00947989056338038</v>
      </c>
      <c r="K392" s="1" t="s">
        <v>61</v>
      </c>
      <c r="L392" s="1" t="s">
        <v>61</v>
      </c>
      <c r="M392" s="1" t="s">
        <v>62</v>
      </c>
      <c r="N392" s="1">
        <v>-118.0</v>
      </c>
      <c r="O392" s="1">
        <v>-0.0812954573128439</v>
      </c>
      <c r="P392" s="1" t="s">
        <v>61</v>
      </c>
      <c r="Q392" s="1" t="s">
        <v>61</v>
      </c>
      <c r="R392" s="1">
        <f t="shared" si="1"/>
        <v>0.009479890563</v>
      </c>
      <c r="S392" s="1">
        <f t="shared" si="2"/>
        <v>-113</v>
      </c>
      <c r="T392" s="1">
        <f t="shared" si="3"/>
        <v>1.884955752</v>
      </c>
      <c r="U392" s="1">
        <f t="shared" si="4"/>
        <v>1</v>
      </c>
      <c r="V392" s="3">
        <f t="shared" si="5"/>
        <v>1</v>
      </c>
      <c r="W392" s="3">
        <f t="shared" si="6"/>
        <v>2</v>
      </c>
      <c r="X392" s="3" t="str">
        <f>IFERROR(__xludf.DUMMYFUNCTION("split(B392,"" "")"),"D.")</f>
        <v>D.</v>
      </c>
      <c r="Y392" s="3" t="str">
        <f>IFERROR(__xludf.DUMMYFUNCTION("""COMPUTED_VALUE"""),"Henry")</f>
        <v>Henry</v>
      </c>
      <c r="AA392" s="3">
        <v>24.0</v>
      </c>
      <c r="AB392" s="3">
        <f t="shared" si="7"/>
        <v>1</v>
      </c>
      <c r="AC392" s="3">
        <f t="shared" si="8"/>
        <v>1</v>
      </c>
      <c r="AD392" s="3">
        <f t="shared" si="9"/>
        <v>0.8849557522</v>
      </c>
      <c r="AE392" s="3">
        <f t="shared" si="10"/>
        <v>0.8849557522</v>
      </c>
      <c r="AF392" s="3">
        <f t="shared" si="11"/>
        <v>1.769911504</v>
      </c>
      <c r="AG392" s="3">
        <f t="shared" si="12"/>
        <v>0.4545454545</v>
      </c>
    </row>
    <row r="393">
      <c r="A393" s="1" t="s">
        <v>11</v>
      </c>
      <c r="B393" s="1" t="s">
        <v>182</v>
      </c>
      <c r="C393" s="1" t="s">
        <v>19</v>
      </c>
      <c r="D393" s="1" t="s">
        <v>77</v>
      </c>
      <c r="E393" s="1" t="s">
        <v>104</v>
      </c>
      <c r="F393" s="1" t="s">
        <v>573</v>
      </c>
      <c r="G393" s="1">
        <v>15.5</v>
      </c>
      <c r="H393" s="1" t="s">
        <v>60</v>
      </c>
      <c r="I393" s="1">
        <v>-121.0</v>
      </c>
      <c r="J393" s="1">
        <v>-0.0625652409965021</v>
      </c>
      <c r="K393" s="1" t="s">
        <v>61</v>
      </c>
      <c r="L393" s="1" t="s">
        <v>61</v>
      </c>
      <c r="M393" s="1" t="s">
        <v>62</v>
      </c>
      <c r="N393" s="1">
        <v>-106.0</v>
      </c>
      <c r="O393" s="1">
        <v>5.11938620585406E-4</v>
      </c>
      <c r="P393" s="1" t="s">
        <v>61</v>
      </c>
      <c r="Q393" s="1" t="s">
        <v>61</v>
      </c>
      <c r="R393" s="1">
        <f t="shared" si="1"/>
        <v>0.0005119386206</v>
      </c>
      <c r="S393" s="1">
        <f t="shared" si="2"/>
        <v>-106</v>
      </c>
      <c r="T393" s="1">
        <f t="shared" si="3"/>
        <v>1.943396226</v>
      </c>
      <c r="U393" s="1">
        <f t="shared" si="4"/>
        <v>0</v>
      </c>
      <c r="V393" s="3">
        <f t="shared" si="5"/>
        <v>1</v>
      </c>
      <c r="W393" s="3">
        <f t="shared" si="6"/>
        <v>2</v>
      </c>
      <c r="X393" s="3" t="str">
        <f>IFERROR(__xludf.DUMMYFUNCTION("split(B393,"" "")"),"J.")</f>
        <v>J.</v>
      </c>
      <c r="Y393" s="3" t="str">
        <f>IFERROR(__xludf.DUMMYFUNCTION("""COMPUTED_VALUE"""),"Hill")</f>
        <v>Hill</v>
      </c>
      <c r="AA393" s="3">
        <v>78.0</v>
      </c>
      <c r="AB393" s="3">
        <f t="shared" si="7"/>
        <v>1</v>
      </c>
      <c r="AC393" s="3">
        <f t="shared" si="8"/>
        <v>0</v>
      </c>
      <c r="AD393" s="3">
        <f t="shared" si="9"/>
        <v>0.9433962264</v>
      </c>
      <c r="AE393" s="3">
        <f t="shared" si="10"/>
        <v>-1</v>
      </c>
      <c r="AF393" s="3">
        <f t="shared" si="11"/>
        <v>-2</v>
      </c>
      <c r="AG393" s="3">
        <f t="shared" si="12"/>
        <v>-4.032258065</v>
      </c>
    </row>
    <row r="394">
      <c r="A394" s="1" t="s">
        <v>12</v>
      </c>
      <c r="B394" s="1" t="s">
        <v>499</v>
      </c>
      <c r="C394" s="1" t="s">
        <v>18</v>
      </c>
      <c r="D394" s="1" t="s">
        <v>109</v>
      </c>
      <c r="E394" s="1" t="s">
        <v>58</v>
      </c>
      <c r="F394" s="1" t="s">
        <v>564</v>
      </c>
      <c r="G394" s="1">
        <v>5.5</v>
      </c>
      <c r="H394" s="1" t="s">
        <v>60</v>
      </c>
      <c r="I394" s="1">
        <v>109.0</v>
      </c>
      <c r="J394" s="1">
        <v>0.0857354066985644</v>
      </c>
      <c r="K394" s="1" t="s">
        <v>61</v>
      </c>
      <c r="L394" s="1" t="s">
        <v>61</v>
      </c>
      <c r="M394" s="1" t="s">
        <v>62</v>
      </c>
      <c r="N394" s="1">
        <v>-143.0</v>
      </c>
      <c r="O394" s="1">
        <v>-0.152695061728395</v>
      </c>
      <c r="P394" s="1" t="s">
        <v>61</v>
      </c>
      <c r="Q394" s="1" t="s">
        <v>61</v>
      </c>
      <c r="R394" s="1">
        <f t="shared" si="1"/>
        <v>0.0857354067</v>
      </c>
      <c r="S394" s="1">
        <f t="shared" si="2"/>
        <v>109</v>
      </c>
      <c r="T394" s="1">
        <f t="shared" si="3"/>
        <v>2.09</v>
      </c>
      <c r="U394" s="1">
        <f t="shared" si="4"/>
        <v>1</v>
      </c>
      <c r="V394" s="3">
        <f t="shared" si="5"/>
        <v>2</v>
      </c>
      <c r="W394" s="3">
        <f t="shared" si="6"/>
        <v>2</v>
      </c>
      <c r="X394" s="3" t="str">
        <f>IFERROR(__xludf.DUMMYFUNCTION("split(B394,"" "")"),"D.")</f>
        <v>D.</v>
      </c>
      <c r="Y394" s="3" t="str">
        <f>IFERROR(__xludf.DUMMYFUNCTION("""COMPUTED_VALUE"""),"London")</f>
        <v>London</v>
      </c>
      <c r="AA394" s="3">
        <v>6.0</v>
      </c>
      <c r="AB394" s="3">
        <f t="shared" si="7"/>
        <v>1</v>
      </c>
      <c r="AC394" s="3">
        <f t="shared" si="8"/>
        <v>1</v>
      </c>
      <c r="AD394" s="3">
        <f t="shared" si="9"/>
        <v>2.18</v>
      </c>
      <c r="AE394" s="3">
        <f t="shared" si="10"/>
        <v>2.18</v>
      </c>
      <c r="AF394" s="3">
        <f t="shared" si="11"/>
        <v>2.18</v>
      </c>
      <c r="AG394" s="3">
        <f t="shared" si="12"/>
        <v>0.09090909091</v>
      </c>
    </row>
    <row r="395">
      <c r="A395" s="1" t="s">
        <v>12</v>
      </c>
      <c r="B395" s="1" t="s">
        <v>355</v>
      </c>
      <c r="C395" s="1" t="s">
        <v>18</v>
      </c>
      <c r="D395" s="1" t="s">
        <v>109</v>
      </c>
      <c r="E395" s="1" t="s">
        <v>58</v>
      </c>
      <c r="F395" s="1" t="s">
        <v>564</v>
      </c>
      <c r="G395" s="1">
        <v>3.5</v>
      </c>
      <c r="H395" s="1" t="s">
        <v>60</v>
      </c>
      <c r="I395" s="1">
        <v>-111.0</v>
      </c>
      <c r="J395" s="1">
        <v>-0.150118957345971</v>
      </c>
      <c r="K395" s="1" t="s">
        <v>61</v>
      </c>
      <c r="L395" s="1" t="s">
        <v>61</v>
      </c>
      <c r="M395" s="1" t="s">
        <v>62</v>
      </c>
      <c r="N395" s="1">
        <v>-119.0</v>
      </c>
      <c r="O395" s="1">
        <v>0.0806666666666667</v>
      </c>
      <c r="P395" s="1" t="s">
        <v>61</v>
      </c>
      <c r="Q395" s="1" t="s">
        <v>61</v>
      </c>
      <c r="R395" s="1">
        <f t="shared" si="1"/>
        <v>0.08066666667</v>
      </c>
      <c r="S395" s="1">
        <f t="shared" si="2"/>
        <v>-119</v>
      </c>
      <c r="T395" s="1">
        <f t="shared" si="3"/>
        <v>1.840336134</v>
      </c>
      <c r="U395" s="1">
        <f t="shared" si="4"/>
        <v>0</v>
      </c>
      <c r="V395" s="3">
        <f t="shared" si="5"/>
        <v>2</v>
      </c>
      <c r="W395" s="3">
        <f t="shared" si="6"/>
        <v>3</v>
      </c>
      <c r="X395" s="3" t="str">
        <f>IFERROR(__xludf.DUMMYFUNCTION("split(B395,"" "")"),"D.")</f>
        <v>D.</v>
      </c>
      <c r="Y395" s="3" t="str">
        <f>IFERROR(__xludf.DUMMYFUNCTION("""COMPUTED_VALUE"""),"Mooney")</f>
        <v>Mooney</v>
      </c>
      <c r="AA395" s="3">
        <v>3.0</v>
      </c>
      <c r="AB395" s="3">
        <f t="shared" si="7"/>
        <v>0</v>
      </c>
      <c r="AC395" s="3">
        <f t="shared" si="8"/>
        <v>1</v>
      </c>
      <c r="AD395" s="3">
        <f t="shared" si="9"/>
        <v>1.680672269</v>
      </c>
      <c r="AE395" s="3">
        <f t="shared" si="10"/>
        <v>1.680672269</v>
      </c>
      <c r="AF395" s="3">
        <f t="shared" si="11"/>
        <v>2.521008403</v>
      </c>
      <c r="AG395" s="3">
        <f t="shared" si="12"/>
        <v>0.1428571429</v>
      </c>
    </row>
    <row r="396">
      <c r="A396" s="1" t="s">
        <v>12</v>
      </c>
      <c r="B396" s="1" t="s">
        <v>501</v>
      </c>
      <c r="C396" s="1" t="s">
        <v>18</v>
      </c>
      <c r="D396" s="1" t="s">
        <v>109</v>
      </c>
      <c r="E396" s="1" t="s">
        <v>58</v>
      </c>
      <c r="F396" s="1" t="s">
        <v>564</v>
      </c>
      <c r="G396" s="1">
        <v>3.5</v>
      </c>
      <c r="H396" s="1" t="s">
        <v>60</v>
      </c>
      <c r="I396" s="1">
        <v>114.0</v>
      </c>
      <c r="J396" s="1">
        <v>-0.144189719626168</v>
      </c>
      <c r="K396" s="1" t="s">
        <v>61</v>
      </c>
      <c r="L396" s="1" t="s">
        <v>61</v>
      </c>
      <c r="M396" s="1" t="s">
        <v>62</v>
      </c>
      <c r="N396" s="1">
        <v>-151.0</v>
      </c>
      <c r="O396" s="1">
        <v>0.075306374501992</v>
      </c>
      <c r="P396" s="1" t="s">
        <v>61</v>
      </c>
      <c r="Q396" s="1" t="s">
        <v>61</v>
      </c>
      <c r="R396" s="1">
        <f t="shared" si="1"/>
        <v>0.0753063745</v>
      </c>
      <c r="S396" s="1">
        <f t="shared" si="2"/>
        <v>-151</v>
      </c>
      <c r="T396" s="1">
        <f t="shared" si="3"/>
        <v>1.662251656</v>
      </c>
      <c r="U396" s="1">
        <f t="shared" si="4"/>
        <v>0</v>
      </c>
      <c r="V396" s="3">
        <f t="shared" si="5"/>
        <v>2</v>
      </c>
      <c r="W396" s="3">
        <f t="shared" si="6"/>
        <v>3</v>
      </c>
      <c r="X396" s="3" t="str">
        <f>IFERROR(__xludf.DUMMYFUNCTION("split(B396,"" "")"),"R.")</f>
        <v>R.</v>
      </c>
      <c r="Y396" s="3" t="str">
        <f>IFERROR(__xludf.DUMMYFUNCTION("""COMPUTED_VALUE"""),"McCloud")</f>
        <v>McCloud</v>
      </c>
      <c r="Z396" s="3" t="str">
        <f>IFERROR(__xludf.DUMMYFUNCTION("""COMPUTED_VALUE"""),"III")</f>
        <v>III</v>
      </c>
      <c r="AA396" s="3">
        <v>6.0</v>
      </c>
      <c r="AB396" s="3">
        <f t="shared" si="7"/>
        <v>1</v>
      </c>
      <c r="AC396" s="3">
        <f t="shared" si="8"/>
        <v>0</v>
      </c>
      <c r="AD396" s="3">
        <f t="shared" si="9"/>
        <v>1.324503311</v>
      </c>
      <c r="AE396" s="3">
        <f t="shared" si="10"/>
        <v>-2</v>
      </c>
      <c r="AF396" s="3">
        <f t="shared" si="11"/>
        <v>-3</v>
      </c>
      <c r="AG396" s="3">
        <f t="shared" si="12"/>
        <v>-0.7142857143</v>
      </c>
    </row>
    <row r="397">
      <c r="A397" s="1" t="s">
        <v>17</v>
      </c>
      <c r="B397" s="1" t="s">
        <v>328</v>
      </c>
      <c r="C397" s="1" t="s">
        <v>21</v>
      </c>
      <c r="D397" s="1" t="s">
        <v>109</v>
      </c>
      <c r="E397" s="1" t="s">
        <v>58</v>
      </c>
      <c r="F397" s="1" t="s">
        <v>564</v>
      </c>
      <c r="G397" s="1">
        <v>0.5</v>
      </c>
      <c r="H397" s="1" t="s">
        <v>60</v>
      </c>
      <c r="I397" s="1">
        <v>-128.0</v>
      </c>
      <c r="J397" s="1">
        <v>-0.119959649122807</v>
      </c>
      <c r="K397" s="1" t="s">
        <v>61</v>
      </c>
      <c r="L397" s="1" t="s">
        <v>61</v>
      </c>
      <c r="M397" s="1" t="s">
        <v>62</v>
      </c>
      <c r="N397" s="1">
        <v>-103.0</v>
      </c>
      <c r="O397" s="1">
        <v>0.0511600985221674</v>
      </c>
      <c r="P397" s="1" t="s">
        <v>61</v>
      </c>
      <c r="Q397" s="1" t="s">
        <v>61</v>
      </c>
      <c r="R397" s="1">
        <f t="shared" si="1"/>
        <v>0.05116009852</v>
      </c>
      <c r="S397" s="1">
        <f t="shared" si="2"/>
        <v>-103</v>
      </c>
      <c r="T397" s="1">
        <f t="shared" si="3"/>
        <v>1.970873786</v>
      </c>
      <c r="U397" s="1">
        <f t="shared" si="4"/>
        <v>0</v>
      </c>
      <c r="V397" s="3">
        <f t="shared" si="5"/>
        <v>2</v>
      </c>
      <c r="W397" s="3">
        <f t="shared" si="6"/>
        <v>2</v>
      </c>
      <c r="X397" s="3" t="str">
        <f>IFERROR(__xludf.DUMMYFUNCTION("split(B397,"" "")"),"K.")</f>
        <v>K.</v>
      </c>
      <c r="Y397" s="3" t="str">
        <f>IFERROR(__xludf.DUMMYFUNCTION("""COMPUTED_VALUE"""),"Cousins")</f>
        <v>Cousins</v>
      </c>
      <c r="AA397" s="3">
        <v>1.0</v>
      </c>
      <c r="AB397" s="3">
        <f t="shared" si="7"/>
        <v>1</v>
      </c>
      <c r="AC397" s="3">
        <f t="shared" si="8"/>
        <v>0</v>
      </c>
      <c r="AD397" s="3">
        <f t="shared" si="9"/>
        <v>1.941747573</v>
      </c>
      <c r="AE397" s="3">
        <f t="shared" si="10"/>
        <v>-2</v>
      </c>
      <c r="AF397" s="3">
        <f t="shared" si="11"/>
        <v>-2</v>
      </c>
      <c r="AG397" s="3">
        <f t="shared" si="12"/>
        <v>-1</v>
      </c>
    </row>
    <row r="398">
      <c r="A398" s="1" t="s">
        <v>11</v>
      </c>
      <c r="B398" s="1" t="s">
        <v>501</v>
      </c>
      <c r="C398" s="1" t="s">
        <v>18</v>
      </c>
      <c r="D398" s="1" t="s">
        <v>109</v>
      </c>
      <c r="E398" s="1" t="s">
        <v>58</v>
      </c>
      <c r="F398" s="1" t="s">
        <v>564</v>
      </c>
      <c r="G398" s="1">
        <v>30.5</v>
      </c>
      <c r="H398" s="1" t="s">
        <v>60</v>
      </c>
      <c r="I398" s="1">
        <v>-114.0</v>
      </c>
      <c r="J398" s="1">
        <v>-0.104014569990887</v>
      </c>
      <c r="K398" s="1" t="s">
        <v>61</v>
      </c>
      <c r="L398" s="1" t="s">
        <v>61</v>
      </c>
      <c r="M398" s="1" t="s">
        <v>62</v>
      </c>
      <c r="N398" s="1">
        <v>-116.0</v>
      </c>
      <c r="O398" s="1">
        <v>0.0342964392605277</v>
      </c>
      <c r="P398" s="1" t="s">
        <v>61</v>
      </c>
      <c r="Q398" s="1" t="s">
        <v>61</v>
      </c>
      <c r="R398" s="1">
        <f t="shared" si="1"/>
        <v>0.03429643926</v>
      </c>
      <c r="S398" s="1">
        <f t="shared" si="2"/>
        <v>-116</v>
      </c>
      <c r="T398" s="1">
        <f t="shared" si="3"/>
        <v>1.862068966</v>
      </c>
      <c r="U398" s="1">
        <f t="shared" si="4"/>
        <v>0</v>
      </c>
      <c r="V398" s="3">
        <f t="shared" si="5"/>
        <v>1</v>
      </c>
      <c r="W398" s="3">
        <f t="shared" si="6"/>
        <v>2</v>
      </c>
      <c r="X398" s="3" t="str">
        <f>IFERROR(__xludf.DUMMYFUNCTION("split(B398,"" "")"),"R.")</f>
        <v>R.</v>
      </c>
      <c r="Y398" s="3" t="str">
        <f>IFERROR(__xludf.DUMMYFUNCTION("""COMPUTED_VALUE"""),"McCloud")</f>
        <v>McCloud</v>
      </c>
      <c r="Z398" s="3" t="str">
        <f>IFERROR(__xludf.DUMMYFUNCTION("""COMPUTED_VALUE"""),"III")</f>
        <v>III</v>
      </c>
      <c r="AA398" s="3">
        <v>52.0</v>
      </c>
      <c r="AB398" s="3">
        <f t="shared" si="7"/>
        <v>1</v>
      </c>
      <c r="AC398" s="3">
        <f t="shared" si="8"/>
        <v>0</v>
      </c>
      <c r="AD398" s="3">
        <f t="shared" si="9"/>
        <v>0.8620689655</v>
      </c>
      <c r="AE398" s="3">
        <f t="shared" si="10"/>
        <v>-1</v>
      </c>
      <c r="AF398" s="3">
        <f t="shared" si="11"/>
        <v>-2</v>
      </c>
      <c r="AG398" s="3">
        <f t="shared" si="12"/>
        <v>-0.7049180328</v>
      </c>
    </row>
    <row r="399">
      <c r="A399" s="1" t="s">
        <v>11</v>
      </c>
      <c r="B399" s="1" t="s">
        <v>264</v>
      </c>
      <c r="C399" s="1" t="s">
        <v>19</v>
      </c>
      <c r="D399" s="1" t="s">
        <v>109</v>
      </c>
      <c r="E399" s="1" t="s">
        <v>58</v>
      </c>
      <c r="F399" s="1" t="s">
        <v>564</v>
      </c>
      <c r="G399" s="1">
        <v>27.5</v>
      </c>
      <c r="H399" s="1" t="s">
        <v>60</v>
      </c>
      <c r="I399" s="1">
        <v>-114.0</v>
      </c>
      <c r="J399" s="1">
        <v>-0.102291791835976</v>
      </c>
      <c r="K399" s="1" t="s">
        <v>61</v>
      </c>
      <c r="L399" s="1" t="s">
        <v>61</v>
      </c>
      <c r="M399" s="1" t="s">
        <v>62</v>
      </c>
      <c r="N399" s="1">
        <v>-116.0</v>
      </c>
      <c r="O399" s="1">
        <v>0.0326312703951983</v>
      </c>
      <c r="P399" s="1" t="s">
        <v>61</v>
      </c>
      <c r="Q399" s="1" t="s">
        <v>61</v>
      </c>
      <c r="R399" s="1">
        <f t="shared" si="1"/>
        <v>0.0326312704</v>
      </c>
      <c r="S399" s="1">
        <f t="shared" si="2"/>
        <v>-116</v>
      </c>
      <c r="T399" s="1">
        <f t="shared" si="3"/>
        <v>1.862068966</v>
      </c>
      <c r="U399" s="1">
        <f t="shared" si="4"/>
        <v>0</v>
      </c>
      <c r="V399" s="3">
        <f t="shared" si="5"/>
        <v>1</v>
      </c>
      <c r="W399" s="3">
        <f t="shared" si="6"/>
        <v>2</v>
      </c>
      <c r="X399" s="3" t="str">
        <f>IFERROR(__xludf.DUMMYFUNCTION("split(B399,"" "")"),"B.")</f>
        <v>B.</v>
      </c>
      <c r="Y399" s="3" t="str">
        <f>IFERROR(__xludf.DUMMYFUNCTION("""COMPUTED_VALUE"""),"Robinson")</f>
        <v>Robinson</v>
      </c>
      <c r="AA399" s="3">
        <v>46.0</v>
      </c>
      <c r="AB399" s="3">
        <f t="shared" si="7"/>
        <v>1</v>
      </c>
      <c r="AC399" s="3">
        <f t="shared" si="8"/>
        <v>0</v>
      </c>
      <c r="AD399" s="3">
        <f t="shared" si="9"/>
        <v>0.8620689655</v>
      </c>
      <c r="AE399" s="3">
        <f t="shared" si="10"/>
        <v>-1</v>
      </c>
      <c r="AF399" s="3">
        <f t="shared" si="11"/>
        <v>-2</v>
      </c>
      <c r="AG399" s="3">
        <f t="shared" si="12"/>
        <v>-0.6727272727</v>
      </c>
    </row>
    <row r="400">
      <c r="A400" s="1" t="s">
        <v>9</v>
      </c>
      <c r="B400" s="1" t="s">
        <v>264</v>
      </c>
      <c r="C400" s="1" t="s">
        <v>19</v>
      </c>
      <c r="D400" s="1" t="s">
        <v>109</v>
      </c>
      <c r="E400" s="1" t="s">
        <v>58</v>
      </c>
      <c r="F400" s="1" t="s">
        <v>564</v>
      </c>
      <c r="G400" s="1">
        <v>107.5</v>
      </c>
      <c r="H400" s="1" t="s">
        <v>60</v>
      </c>
      <c r="I400" s="1">
        <v>-119.0</v>
      </c>
      <c r="J400" s="1">
        <v>-0.104230544334723</v>
      </c>
      <c r="K400" s="1" t="s">
        <v>61</v>
      </c>
      <c r="L400" s="1" t="s">
        <v>61</v>
      </c>
      <c r="M400" s="1" t="s">
        <v>62</v>
      </c>
      <c r="N400" s="1">
        <v>-114.0</v>
      </c>
      <c r="O400" s="1">
        <v>0.0281330322370387</v>
      </c>
      <c r="P400" s="1" t="s">
        <v>61</v>
      </c>
      <c r="Q400" s="1" t="s">
        <v>61</v>
      </c>
      <c r="R400" s="1">
        <f t="shared" si="1"/>
        <v>0.02813303224</v>
      </c>
      <c r="S400" s="1">
        <f t="shared" si="2"/>
        <v>-114</v>
      </c>
      <c r="T400" s="1">
        <f t="shared" si="3"/>
        <v>1.877192982</v>
      </c>
      <c r="U400" s="1">
        <f t="shared" si="4"/>
        <v>0</v>
      </c>
      <c r="V400" s="3">
        <f t="shared" si="5"/>
        <v>1</v>
      </c>
      <c r="W400" s="3">
        <f t="shared" si="6"/>
        <v>2</v>
      </c>
      <c r="X400" s="3" t="str">
        <f>IFERROR(__xludf.DUMMYFUNCTION("split(B400,"" "")"),"B.")</f>
        <v>B.</v>
      </c>
      <c r="Y400" s="3" t="str">
        <f>IFERROR(__xludf.DUMMYFUNCTION("""COMPUTED_VALUE"""),"Robinson")</f>
        <v>Robinson</v>
      </c>
      <c r="AA400" s="3">
        <v>74.0</v>
      </c>
      <c r="AB400" s="3">
        <f t="shared" si="7"/>
        <v>0</v>
      </c>
      <c r="AC400" s="3">
        <f t="shared" si="8"/>
        <v>1</v>
      </c>
      <c r="AD400" s="3">
        <f t="shared" si="9"/>
        <v>0.8771929825</v>
      </c>
      <c r="AE400" s="3">
        <f t="shared" si="10"/>
        <v>0.8771929825</v>
      </c>
      <c r="AF400" s="3">
        <f t="shared" si="11"/>
        <v>1.754385965</v>
      </c>
      <c r="AG400" s="3">
        <f t="shared" si="12"/>
        <v>0.311627907</v>
      </c>
    </row>
    <row r="401">
      <c r="A401" s="1" t="s">
        <v>10</v>
      </c>
      <c r="B401" s="1" t="s">
        <v>264</v>
      </c>
      <c r="C401" s="1" t="s">
        <v>19</v>
      </c>
      <c r="D401" s="1" t="s">
        <v>109</v>
      </c>
      <c r="E401" s="1" t="s">
        <v>58</v>
      </c>
      <c r="F401" s="1" t="s">
        <v>564</v>
      </c>
      <c r="G401" s="1">
        <v>75.5</v>
      </c>
      <c r="H401" s="1" t="s">
        <v>60</v>
      </c>
      <c r="I401" s="1">
        <v>-114.0</v>
      </c>
      <c r="J401" s="1">
        <v>-0.0945227940435722</v>
      </c>
      <c r="K401" s="1" t="s">
        <v>61</v>
      </c>
      <c r="L401" s="1" t="s">
        <v>61</v>
      </c>
      <c r="M401" s="1" t="s">
        <v>62</v>
      </c>
      <c r="N401" s="1">
        <v>-115.0</v>
      </c>
      <c r="O401" s="1">
        <v>0.0269002797943848</v>
      </c>
      <c r="P401" s="1" t="s">
        <v>61</v>
      </c>
      <c r="Q401" s="1" t="s">
        <v>61</v>
      </c>
      <c r="R401" s="1">
        <f t="shared" si="1"/>
        <v>0.02690027979</v>
      </c>
      <c r="S401" s="1">
        <f t="shared" si="2"/>
        <v>-115</v>
      </c>
      <c r="T401" s="1">
        <f t="shared" si="3"/>
        <v>1.869565217</v>
      </c>
      <c r="U401" s="1">
        <f t="shared" si="4"/>
        <v>0</v>
      </c>
      <c r="V401" s="3">
        <f t="shared" si="5"/>
        <v>1</v>
      </c>
      <c r="W401" s="3">
        <f t="shared" si="6"/>
        <v>2</v>
      </c>
      <c r="X401" s="3" t="str">
        <f>IFERROR(__xludf.DUMMYFUNCTION("split(B401,"" "")"),"B.")</f>
        <v>B.</v>
      </c>
      <c r="Y401" s="3" t="str">
        <f>IFERROR(__xludf.DUMMYFUNCTION("""COMPUTED_VALUE"""),"Robinson")</f>
        <v>Robinson</v>
      </c>
      <c r="AA401" s="3">
        <v>28.0</v>
      </c>
      <c r="AB401" s="3">
        <f t="shared" si="7"/>
        <v>0</v>
      </c>
      <c r="AC401" s="3">
        <f t="shared" si="8"/>
        <v>1</v>
      </c>
      <c r="AD401" s="3">
        <f t="shared" si="9"/>
        <v>0.8695652174</v>
      </c>
      <c r="AE401" s="3">
        <f t="shared" si="10"/>
        <v>0.8695652174</v>
      </c>
      <c r="AF401" s="3">
        <f t="shared" si="11"/>
        <v>1.739130435</v>
      </c>
      <c r="AG401" s="3">
        <f t="shared" si="12"/>
        <v>0.6291390728</v>
      </c>
    </row>
    <row r="402">
      <c r="A402" s="1" t="s">
        <v>11</v>
      </c>
      <c r="B402" s="1" t="s">
        <v>355</v>
      </c>
      <c r="C402" s="1" t="s">
        <v>18</v>
      </c>
      <c r="D402" s="1" t="s">
        <v>109</v>
      </c>
      <c r="E402" s="1" t="s">
        <v>58</v>
      </c>
      <c r="F402" s="1" t="s">
        <v>564</v>
      </c>
      <c r="G402" s="1">
        <v>40.5</v>
      </c>
      <c r="H402" s="1" t="s">
        <v>60</v>
      </c>
      <c r="I402" s="1">
        <v>-115.0</v>
      </c>
      <c r="J402" s="1">
        <v>-0.0891340957188371</v>
      </c>
      <c r="K402" s="1" t="s">
        <v>61</v>
      </c>
      <c r="L402" s="1" t="s">
        <v>61</v>
      </c>
      <c r="M402" s="1" t="s">
        <v>62</v>
      </c>
      <c r="N402" s="1">
        <v>-115.0</v>
      </c>
      <c r="O402" s="1">
        <v>0.0193437712891627</v>
      </c>
      <c r="P402" s="1" t="s">
        <v>61</v>
      </c>
      <c r="Q402" s="1" t="s">
        <v>61</v>
      </c>
      <c r="R402" s="1">
        <f t="shared" si="1"/>
        <v>0.01934377129</v>
      </c>
      <c r="S402" s="1">
        <f t="shared" si="2"/>
        <v>-115</v>
      </c>
      <c r="T402" s="1">
        <f t="shared" si="3"/>
        <v>1.869565217</v>
      </c>
      <c r="U402" s="1">
        <f t="shared" si="4"/>
        <v>0</v>
      </c>
      <c r="V402" s="3">
        <f t="shared" si="5"/>
        <v>1</v>
      </c>
      <c r="W402" s="3">
        <f t="shared" si="6"/>
        <v>2</v>
      </c>
      <c r="X402" s="3" t="str">
        <f>IFERROR(__xludf.DUMMYFUNCTION("split(B402,"" "")"),"D.")</f>
        <v>D.</v>
      </c>
      <c r="Y402" s="3" t="str">
        <f>IFERROR(__xludf.DUMMYFUNCTION("""COMPUTED_VALUE"""),"Mooney")</f>
        <v>Mooney</v>
      </c>
      <c r="AA402" s="3">
        <v>56.0</v>
      </c>
      <c r="AB402" s="3">
        <f t="shared" si="7"/>
        <v>1</v>
      </c>
      <c r="AC402" s="3">
        <f t="shared" si="8"/>
        <v>0</v>
      </c>
      <c r="AD402" s="3">
        <f t="shared" si="9"/>
        <v>0.8695652174</v>
      </c>
      <c r="AE402" s="3">
        <f t="shared" si="10"/>
        <v>-1</v>
      </c>
      <c r="AF402" s="3">
        <f t="shared" si="11"/>
        <v>-2</v>
      </c>
      <c r="AG402" s="3">
        <f t="shared" si="12"/>
        <v>-0.3827160494</v>
      </c>
    </row>
    <row r="403">
      <c r="A403" s="1" t="s">
        <v>12</v>
      </c>
      <c r="B403" s="1" t="s">
        <v>264</v>
      </c>
      <c r="C403" s="1" t="s">
        <v>19</v>
      </c>
      <c r="D403" s="1" t="s">
        <v>109</v>
      </c>
      <c r="E403" s="1" t="s">
        <v>58</v>
      </c>
      <c r="F403" s="1" t="s">
        <v>564</v>
      </c>
      <c r="G403" s="1">
        <v>4.5</v>
      </c>
      <c r="H403" s="1" t="s">
        <v>60</v>
      </c>
      <c r="I403" s="1">
        <v>126.0</v>
      </c>
      <c r="J403" s="1">
        <v>-0.0702778761061946</v>
      </c>
      <c r="K403" s="1" t="s">
        <v>61</v>
      </c>
      <c r="L403" s="1" t="s">
        <v>61</v>
      </c>
      <c r="M403" s="1" t="s">
        <v>62</v>
      </c>
      <c r="N403" s="1">
        <v>-167.0</v>
      </c>
      <c r="O403" s="1">
        <v>0.00233183520599233</v>
      </c>
      <c r="P403" s="1" t="s">
        <v>61</v>
      </c>
      <c r="Q403" s="1" t="s">
        <v>61</v>
      </c>
      <c r="R403" s="1">
        <f t="shared" si="1"/>
        <v>0.002331835206</v>
      </c>
      <c r="S403" s="1">
        <f t="shared" si="2"/>
        <v>-167</v>
      </c>
      <c r="T403" s="1">
        <f t="shared" si="3"/>
        <v>1.598802395</v>
      </c>
      <c r="U403" s="1">
        <f t="shared" si="4"/>
        <v>0</v>
      </c>
      <c r="V403" s="3">
        <f t="shared" si="5"/>
        <v>1</v>
      </c>
      <c r="W403" s="3">
        <f t="shared" si="6"/>
        <v>3</v>
      </c>
      <c r="X403" s="3" t="str">
        <f>IFERROR(__xludf.DUMMYFUNCTION("split(B403,"" "")"),"B.")</f>
        <v>B.</v>
      </c>
      <c r="Y403" s="3" t="str">
        <f>IFERROR(__xludf.DUMMYFUNCTION("""COMPUTED_VALUE"""),"Robinson")</f>
        <v>Robinson</v>
      </c>
      <c r="AA403" s="3">
        <v>4.0</v>
      </c>
      <c r="AB403" s="3">
        <f t="shared" si="7"/>
        <v>0</v>
      </c>
      <c r="AC403" s="3">
        <f t="shared" si="8"/>
        <v>1</v>
      </c>
      <c r="AD403" s="3">
        <f t="shared" si="9"/>
        <v>0.5988023952</v>
      </c>
      <c r="AE403" s="3">
        <f t="shared" si="10"/>
        <v>0.5988023952</v>
      </c>
      <c r="AF403" s="3">
        <f t="shared" si="11"/>
        <v>1.796407186</v>
      </c>
      <c r="AG403" s="3">
        <f t="shared" si="12"/>
        <v>0.1111111111</v>
      </c>
    </row>
    <row r="404">
      <c r="A404" s="1" t="s">
        <v>8</v>
      </c>
      <c r="B404" s="1" t="s">
        <v>204</v>
      </c>
      <c r="C404" s="1" t="s">
        <v>21</v>
      </c>
      <c r="D404" s="1" t="s">
        <v>105</v>
      </c>
      <c r="E404" s="1" t="s">
        <v>114</v>
      </c>
      <c r="F404" s="1" t="s">
        <v>560</v>
      </c>
      <c r="G404" s="1">
        <v>5.5</v>
      </c>
      <c r="H404" s="1" t="s">
        <v>60</v>
      </c>
      <c r="I404" s="1">
        <v>-132.0</v>
      </c>
      <c r="J404" s="1">
        <v>-0.243009657917488</v>
      </c>
      <c r="K404" s="1" t="s">
        <v>61</v>
      </c>
      <c r="L404" s="1" t="s">
        <v>61</v>
      </c>
      <c r="M404" s="1" t="s">
        <v>62</v>
      </c>
      <c r="N404" s="1">
        <v>-102.0</v>
      </c>
      <c r="O404" s="1">
        <v>0.169084066582151</v>
      </c>
      <c r="P404" s="1" t="s">
        <v>61</v>
      </c>
      <c r="Q404" s="1" t="s">
        <v>61</v>
      </c>
      <c r="R404" s="1">
        <f t="shared" si="1"/>
        <v>0.1690840666</v>
      </c>
      <c r="S404" s="1">
        <f t="shared" si="2"/>
        <v>-102</v>
      </c>
      <c r="T404" s="1">
        <f t="shared" si="3"/>
        <v>1.980392157</v>
      </c>
      <c r="U404" s="1">
        <f t="shared" si="4"/>
        <v>0</v>
      </c>
      <c r="V404" s="3">
        <f t="shared" si="5"/>
        <v>3</v>
      </c>
      <c r="W404" s="3">
        <f t="shared" si="6"/>
        <v>2</v>
      </c>
      <c r="X404" s="3" t="str">
        <f>IFERROR(__xludf.DUMMYFUNCTION("split(B404,"" "")"),"K.")</f>
        <v>K.</v>
      </c>
      <c r="Y404" s="3" t="str">
        <f>IFERROR(__xludf.DUMMYFUNCTION("""COMPUTED_VALUE"""),"Murray")</f>
        <v>Murray</v>
      </c>
      <c r="AA404" s="3">
        <v>1.0</v>
      </c>
      <c r="AB404" s="3">
        <f t="shared" si="7"/>
        <v>0</v>
      </c>
      <c r="AC404" s="3">
        <f t="shared" si="8"/>
        <v>1</v>
      </c>
      <c r="AD404" s="3">
        <f t="shared" si="9"/>
        <v>2.941176471</v>
      </c>
      <c r="AE404" s="3">
        <f t="shared" si="10"/>
        <v>2.941176471</v>
      </c>
      <c r="AF404" s="3">
        <f t="shared" si="11"/>
        <v>1.960784314</v>
      </c>
      <c r="AG404" s="3">
        <f t="shared" si="12"/>
        <v>0.8181818182</v>
      </c>
    </row>
    <row r="405">
      <c r="A405" s="1" t="s">
        <v>12</v>
      </c>
      <c r="B405" s="1" t="s">
        <v>233</v>
      </c>
      <c r="C405" s="1" t="s">
        <v>18</v>
      </c>
      <c r="D405" s="1" t="s">
        <v>105</v>
      </c>
      <c r="E405" s="1" t="s">
        <v>114</v>
      </c>
      <c r="F405" s="1" t="s">
        <v>560</v>
      </c>
      <c r="G405" s="1">
        <v>3.5</v>
      </c>
      <c r="H405" s="1" t="s">
        <v>60</v>
      </c>
      <c r="I405" s="1">
        <v>-110.0</v>
      </c>
      <c r="J405" s="1">
        <v>-0.196109523809523</v>
      </c>
      <c r="K405" s="1" t="s">
        <v>61</v>
      </c>
      <c r="L405" s="1" t="s">
        <v>61</v>
      </c>
      <c r="M405" s="1" t="s">
        <v>62</v>
      </c>
      <c r="N405" s="1">
        <v>-120.0</v>
      </c>
      <c r="O405" s="1">
        <v>0.126845454545454</v>
      </c>
      <c r="P405" s="1" t="s">
        <v>61</v>
      </c>
      <c r="Q405" s="1" t="s">
        <v>61</v>
      </c>
      <c r="R405" s="1">
        <f t="shared" si="1"/>
        <v>0.1268454545</v>
      </c>
      <c r="S405" s="1">
        <f t="shared" si="2"/>
        <v>-120</v>
      </c>
      <c r="T405" s="1">
        <f t="shared" si="3"/>
        <v>1.833333333</v>
      </c>
      <c r="U405" s="1">
        <f t="shared" si="4"/>
        <v>0</v>
      </c>
      <c r="V405" s="3">
        <f t="shared" si="5"/>
        <v>3</v>
      </c>
      <c r="W405" s="3">
        <f t="shared" si="6"/>
        <v>3</v>
      </c>
      <c r="X405" s="3" t="str">
        <f>IFERROR(__xludf.DUMMYFUNCTION("split(B405,"" "")"),"M.")</f>
        <v>M.</v>
      </c>
      <c r="Y405" s="3" t="str">
        <f>IFERROR(__xludf.DUMMYFUNCTION("""COMPUTED_VALUE"""),"Wilson")</f>
        <v>Wilson</v>
      </c>
      <c r="AA405" s="3">
        <v>3.0</v>
      </c>
      <c r="AB405" s="3">
        <f t="shared" si="7"/>
        <v>0</v>
      </c>
      <c r="AC405" s="3">
        <f t="shared" si="8"/>
        <v>1</v>
      </c>
      <c r="AD405" s="3">
        <f t="shared" si="9"/>
        <v>2.5</v>
      </c>
      <c r="AE405" s="3">
        <f t="shared" si="10"/>
        <v>2.5</v>
      </c>
      <c r="AF405" s="3">
        <f t="shared" si="11"/>
        <v>2.5</v>
      </c>
      <c r="AG405" s="3">
        <f t="shared" si="12"/>
        <v>0.1428571429</v>
      </c>
    </row>
    <row r="406">
      <c r="A406" s="1" t="s">
        <v>12</v>
      </c>
      <c r="B406" s="1" t="s">
        <v>451</v>
      </c>
      <c r="C406" s="1" t="s">
        <v>18</v>
      </c>
      <c r="D406" s="1" t="s">
        <v>105</v>
      </c>
      <c r="E406" s="1" t="s">
        <v>114</v>
      </c>
      <c r="F406" s="1" t="s">
        <v>560</v>
      </c>
      <c r="G406" s="1">
        <v>3.5</v>
      </c>
      <c r="H406" s="1" t="s">
        <v>60</v>
      </c>
      <c r="I406" s="1">
        <v>123.0</v>
      </c>
      <c r="J406" s="1">
        <v>-0.186130493273542</v>
      </c>
      <c r="K406" s="1" t="s">
        <v>61</v>
      </c>
      <c r="L406" s="1" t="s">
        <v>61</v>
      </c>
      <c r="M406" s="1" t="s">
        <v>62</v>
      </c>
      <c r="N406" s="1">
        <v>-162.0</v>
      </c>
      <c r="O406" s="1">
        <v>0.119379389312977</v>
      </c>
      <c r="P406" s="1" t="s">
        <v>61</v>
      </c>
      <c r="Q406" s="1" t="s">
        <v>61</v>
      </c>
      <c r="R406" s="1">
        <f t="shared" si="1"/>
        <v>0.1193793893</v>
      </c>
      <c r="S406" s="1">
        <f t="shared" si="2"/>
        <v>-162</v>
      </c>
      <c r="T406" s="1">
        <f t="shared" si="3"/>
        <v>1.617283951</v>
      </c>
      <c r="U406" s="1">
        <f t="shared" si="4"/>
        <v>0</v>
      </c>
      <c r="V406" s="3">
        <f t="shared" si="5"/>
        <v>3</v>
      </c>
      <c r="W406" s="3">
        <f t="shared" si="6"/>
        <v>3</v>
      </c>
      <c r="X406" s="3" t="str">
        <f>IFERROR(__xludf.DUMMYFUNCTION("split(B406,"" "")"),"G.")</f>
        <v>G.</v>
      </c>
      <c r="Y406" s="3" t="str">
        <f>IFERROR(__xludf.DUMMYFUNCTION("""COMPUTED_VALUE"""),"Dortch")</f>
        <v>Dortch</v>
      </c>
      <c r="AA406" s="3">
        <v>4.0</v>
      </c>
      <c r="AB406" s="3">
        <f t="shared" si="7"/>
        <v>1</v>
      </c>
      <c r="AC406" s="3">
        <f t="shared" si="8"/>
        <v>0</v>
      </c>
      <c r="AD406" s="3">
        <f t="shared" si="9"/>
        <v>1.851851852</v>
      </c>
      <c r="AE406" s="3">
        <f t="shared" si="10"/>
        <v>-3</v>
      </c>
      <c r="AF406" s="3">
        <f t="shared" si="11"/>
        <v>-3</v>
      </c>
      <c r="AG406" s="3">
        <f t="shared" si="12"/>
        <v>-0.1428571429</v>
      </c>
    </row>
    <row r="407">
      <c r="A407" s="1" t="s">
        <v>11</v>
      </c>
      <c r="B407" s="1" t="s">
        <v>451</v>
      </c>
      <c r="C407" s="1" t="s">
        <v>18</v>
      </c>
      <c r="D407" s="1" t="s">
        <v>105</v>
      </c>
      <c r="E407" s="1" t="s">
        <v>114</v>
      </c>
      <c r="F407" s="1" t="s">
        <v>560</v>
      </c>
      <c r="G407" s="1">
        <v>35.5</v>
      </c>
      <c r="H407" s="1" t="s">
        <v>60</v>
      </c>
      <c r="I407" s="1">
        <v>-114.0</v>
      </c>
      <c r="J407" s="1">
        <v>-0.165180071357476</v>
      </c>
      <c r="K407" s="1" t="s">
        <v>61</v>
      </c>
      <c r="L407" s="1" t="s">
        <v>61</v>
      </c>
      <c r="M407" s="1" t="s">
        <v>62</v>
      </c>
      <c r="N407" s="1">
        <v>-116.0</v>
      </c>
      <c r="O407" s="1">
        <v>0.0954269893127591</v>
      </c>
      <c r="P407" s="1" t="s">
        <v>61</v>
      </c>
      <c r="Q407" s="1" t="s">
        <v>61</v>
      </c>
      <c r="R407" s="1">
        <f t="shared" si="1"/>
        <v>0.09542698931</v>
      </c>
      <c r="S407" s="1">
        <f t="shared" si="2"/>
        <v>-116</v>
      </c>
      <c r="T407" s="1">
        <f t="shared" si="3"/>
        <v>1.862068966</v>
      </c>
      <c r="U407" s="1">
        <f t="shared" si="4"/>
        <v>0</v>
      </c>
      <c r="V407" s="3">
        <f t="shared" si="5"/>
        <v>2</v>
      </c>
      <c r="W407" s="3">
        <f t="shared" si="6"/>
        <v>2</v>
      </c>
      <c r="X407" s="3" t="str">
        <f>IFERROR(__xludf.DUMMYFUNCTION("split(B407,"" "")"),"G.")</f>
        <v>G.</v>
      </c>
      <c r="Y407" s="3" t="str">
        <f>IFERROR(__xludf.DUMMYFUNCTION("""COMPUTED_VALUE"""),"Dortch")</f>
        <v>Dortch</v>
      </c>
      <c r="AA407" s="3">
        <v>38.0</v>
      </c>
      <c r="AB407" s="3">
        <f t="shared" si="7"/>
        <v>1</v>
      </c>
      <c r="AC407" s="3">
        <f t="shared" si="8"/>
        <v>0</v>
      </c>
      <c r="AD407" s="3">
        <f t="shared" si="9"/>
        <v>1.724137931</v>
      </c>
      <c r="AE407" s="3">
        <f t="shared" si="10"/>
        <v>-2</v>
      </c>
      <c r="AF407" s="3">
        <f t="shared" si="11"/>
        <v>-2</v>
      </c>
      <c r="AG407" s="3">
        <f t="shared" si="12"/>
        <v>-0.07042253521</v>
      </c>
    </row>
    <row r="408">
      <c r="A408" s="1" t="s">
        <v>11</v>
      </c>
      <c r="B408" s="1" t="s">
        <v>233</v>
      </c>
      <c r="C408" s="1" t="s">
        <v>18</v>
      </c>
      <c r="D408" s="1" t="s">
        <v>105</v>
      </c>
      <c r="E408" s="1" t="s">
        <v>114</v>
      </c>
      <c r="F408" s="1" t="s">
        <v>560</v>
      </c>
      <c r="G408" s="1">
        <v>43.5</v>
      </c>
      <c r="H408" s="1" t="s">
        <v>60</v>
      </c>
      <c r="I408" s="1">
        <v>-115.0</v>
      </c>
      <c r="J408" s="1">
        <v>-0.133520903836046</v>
      </c>
      <c r="K408" s="1" t="s">
        <v>61</v>
      </c>
      <c r="L408" s="1" t="s">
        <v>61</v>
      </c>
      <c r="M408" s="1" t="s">
        <v>62</v>
      </c>
      <c r="N408" s="1">
        <v>-115.0</v>
      </c>
      <c r="O408" s="1">
        <v>0.0637585570729535</v>
      </c>
      <c r="P408" s="1" t="s">
        <v>61</v>
      </c>
      <c r="Q408" s="1" t="s">
        <v>61</v>
      </c>
      <c r="R408" s="1">
        <f t="shared" si="1"/>
        <v>0.06375855707</v>
      </c>
      <c r="S408" s="1">
        <f t="shared" si="2"/>
        <v>-115</v>
      </c>
      <c r="T408" s="1">
        <f t="shared" si="3"/>
        <v>1.869565217</v>
      </c>
      <c r="U408" s="1">
        <f t="shared" si="4"/>
        <v>0</v>
      </c>
      <c r="V408" s="3">
        <f t="shared" si="5"/>
        <v>2</v>
      </c>
      <c r="W408" s="3">
        <f t="shared" si="6"/>
        <v>2</v>
      </c>
      <c r="X408" s="3" t="str">
        <f>IFERROR(__xludf.DUMMYFUNCTION("split(B408,"" "")"),"M.")</f>
        <v>M.</v>
      </c>
      <c r="Y408" s="3" t="str">
        <f>IFERROR(__xludf.DUMMYFUNCTION("""COMPUTED_VALUE"""),"Wilson")</f>
        <v>Wilson</v>
      </c>
      <c r="AA408" s="3">
        <v>38.0</v>
      </c>
      <c r="AB408" s="3">
        <f t="shared" si="7"/>
        <v>0</v>
      </c>
      <c r="AC408" s="3">
        <f t="shared" si="8"/>
        <v>1</v>
      </c>
      <c r="AD408" s="3">
        <f t="shared" si="9"/>
        <v>1.739130435</v>
      </c>
      <c r="AE408" s="3">
        <f t="shared" si="10"/>
        <v>1.739130435</v>
      </c>
      <c r="AF408" s="3">
        <f t="shared" si="11"/>
        <v>1.739130435</v>
      </c>
      <c r="AG408" s="3">
        <f t="shared" si="12"/>
        <v>0.1264367816</v>
      </c>
    </row>
    <row r="409">
      <c r="A409" s="1" t="s">
        <v>14</v>
      </c>
      <c r="B409" s="1" t="s">
        <v>204</v>
      </c>
      <c r="C409" s="1" t="s">
        <v>21</v>
      </c>
      <c r="D409" s="1" t="s">
        <v>105</v>
      </c>
      <c r="E409" s="1" t="s">
        <v>114</v>
      </c>
      <c r="F409" s="1" t="s">
        <v>560</v>
      </c>
      <c r="G409" s="1">
        <v>1.5</v>
      </c>
      <c r="H409" s="1" t="s">
        <v>60</v>
      </c>
      <c r="I409" s="1">
        <v>-133.0</v>
      </c>
      <c r="J409" s="1">
        <v>-0.128815450643776</v>
      </c>
      <c r="K409" s="1" t="s">
        <v>61</v>
      </c>
      <c r="L409" s="1" t="s">
        <v>61</v>
      </c>
      <c r="M409" s="1" t="s">
        <v>62</v>
      </c>
      <c r="N409" s="1">
        <v>101.0</v>
      </c>
      <c r="O409" s="1">
        <v>0.0604875621890547</v>
      </c>
      <c r="P409" s="1" t="s">
        <v>61</v>
      </c>
      <c r="Q409" s="1" t="s">
        <v>61</v>
      </c>
      <c r="R409" s="1">
        <f t="shared" si="1"/>
        <v>0.06048756219</v>
      </c>
      <c r="S409" s="1">
        <f t="shared" si="2"/>
        <v>101</v>
      </c>
      <c r="T409" s="1">
        <f t="shared" si="3"/>
        <v>2.01</v>
      </c>
      <c r="U409" s="1">
        <f t="shared" si="4"/>
        <v>0</v>
      </c>
      <c r="V409" s="3">
        <f t="shared" si="5"/>
        <v>2</v>
      </c>
      <c r="W409" s="3">
        <f t="shared" si="6"/>
        <v>2</v>
      </c>
      <c r="X409" s="3" t="str">
        <f>IFERROR(__xludf.DUMMYFUNCTION("split(B409,"" "")"),"K.")</f>
        <v>K.</v>
      </c>
      <c r="Y409" s="3" t="str">
        <f>IFERROR(__xludf.DUMMYFUNCTION("""COMPUTED_VALUE"""),"Murray")</f>
        <v>Murray</v>
      </c>
      <c r="AA409" s="3">
        <v>1.0</v>
      </c>
      <c r="AB409" s="3">
        <f t="shared" si="7"/>
        <v>0</v>
      </c>
      <c r="AC409" s="3">
        <f t="shared" si="8"/>
        <v>1</v>
      </c>
      <c r="AD409" s="3">
        <f t="shared" si="9"/>
        <v>2.02</v>
      </c>
      <c r="AE409" s="3">
        <f t="shared" si="10"/>
        <v>2.02</v>
      </c>
      <c r="AF409" s="3">
        <f t="shared" si="11"/>
        <v>2.02</v>
      </c>
      <c r="AG409" s="3">
        <f t="shared" si="12"/>
        <v>0.3333333333</v>
      </c>
    </row>
    <row r="410">
      <c r="A410" s="1" t="s">
        <v>16</v>
      </c>
      <c r="B410" s="1" t="s">
        <v>204</v>
      </c>
      <c r="C410" s="1" t="s">
        <v>21</v>
      </c>
      <c r="D410" s="1" t="s">
        <v>105</v>
      </c>
      <c r="E410" s="1" t="s">
        <v>114</v>
      </c>
      <c r="F410" s="1" t="s">
        <v>560</v>
      </c>
      <c r="G410" s="1">
        <v>28.5</v>
      </c>
      <c r="H410" s="1" t="s">
        <v>60</v>
      </c>
      <c r="I410" s="1">
        <v>-127.0</v>
      </c>
      <c r="J410" s="1">
        <v>-0.119326297621145</v>
      </c>
      <c r="K410" s="1" t="s">
        <v>61</v>
      </c>
      <c r="L410" s="1" t="s">
        <v>61</v>
      </c>
      <c r="M410" s="1" t="s">
        <v>62</v>
      </c>
      <c r="N410" s="1">
        <v>-104.0</v>
      </c>
      <c r="O410" s="1">
        <v>0.0500439232470588</v>
      </c>
      <c r="P410" s="1" t="s">
        <v>61</v>
      </c>
      <c r="Q410" s="1" t="s">
        <v>61</v>
      </c>
      <c r="R410" s="1">
        <f t="shared" si="1"/>
        <v>0.05004392325</v>
      </c>
      <c r="S410" s="1">
        <f t="shared" si="2"/>
        <v>-104</v>
      </c>
      <c r="T410" s="1">
        <f t="shared" si="3"/>
        <v>1.961538462</v>
      </c>
      <c r="U410" s="1">
        <f t="shared" si="4"/>
        <v>0</v>
      </c>
      <c r="V410" s="3">
        <f t="shared" si="5"/>
        <v>2</v>
      </c>
      <c r="W410" s="3">
        <f t="shared" si="6"/>
        <v>2</v>
      </c>
      <c r="X410" s="3" t="str">
        <f>IFERROR(__xludf.DUMMYFUNCTION("split(B410,"" "")"),"K.")</f>
        <v>K.</v>
      </c>
      <c r="Y410" s="3" t="str">
        <f>IFERROR(__xludf.DUMMYFUNCTION("""COMPUTED_VALUE"""),"Murray")</f>
        <v>Murray</v>
      </c>
      <c r="AA410" s="3">
        <v>22.0</v>
      </c>
      <c r="AB410" s="3">
        <f t="shared" si="7"/>
        <v>0</v>
      </c>
      <c r="AC410" s="3">
        <f t="shared" si="8"/>
        <v>1</v>
      </c>
      <c r="AD410" s="3">
        <f t="shared" si="9"/>
        <v>1.923076923</v>
      </c>
      <c r="AE410" s="3">
        <f t="shared" si="10"/>
        <v>1.923076923</v>
      </c>
      <c r="AF410" s="3">
        <f t="shared" si="11"/>
        <v>1.923076923</v>
      </c>
      <c r="AG410" s="3">
        <f t="shared" si="12"/>
        <v>0.2280701754</v>
      </c>
    </row>
    <row r="411">
      <c r="A411" s="1" t="s">
        <v>10</v>
      </c>
      <c r="B411" s="1" t="s">
        <v>204</v>
      </c>
      <c r="C411" s="1" t="s">
        <v>21</v>
      </c>
      <c r="D411" s="1" t="s">
        <v>105</v>
      </c>
      <c r="E411" s="1" t="s">
        <v>114</v>
      </c>
      <c r="F411" s="1" t="s">
        <v>560</v>
      </c>
      <c r="G411" s="1">
        <v>35.5</v>
      </c>
      <c r="H411" s="1" t="s">
        <v>60</v>
      </c>
      <c r="I411" s="1">
        <v>-113.0</v>
      </c>
      <c r="J411" s="1">
        <v>-0.115902861936737</v>
      </c>
      <c r="K411" s="1" t="s">
        <v>61</v>
      </c>
      <c r="L411" s="1" t="s">
        <v>61</v>
      </c>
      <c r="M411" s="1" t="s">
        <v>62</v>
      </c>
      <c r="N411" s="1">
        <v>-116.0</v>
      </c>
      <c r="O411" s="1">
        <v>0.0484049959598565</v>
      </c>
      <c r="P411" s="1" t="s">
        <v>61</v>
      </c>
      <c r="Q411" s="1" t="s">
        <v>61</v>
      </c>
      <c r="R411" s="1">
        <f t="shared" si="1"/>
        <v>0.04840499596</v>
      </c>
      <c r="S411" s="1">
        <f t="shared" si="2"/>
        <v>-116</v>
      </c>
      <c r="T411" s="1">
        <f t="shared" si="3"/>
        <v>1.862068966</v>
      </c>
      <c r="U411" s="1">
        <f t="shared" si="4"/>
        <v>0</v>
      </c>
      <c r="V411" s="3">
        <f t="shared" si="5"/>
        <v>1</v>
      </c>
      <c r="W411" s="3">
        <f t="shared" si="6"/>
        <v>2</v>
      </c>
      <c r="X411" s="3" t="str">
        <f>IFERROR(__xludf.DUMMYFUNCTION("split(B411,"" "")"),"K.")</f>
        <v>K.</v>
      </c>
      <c r="Y411" s="3" t="str">
        <f>IFERROR(__xludf.DUMMYFUNCTION("""COMPUTED_VALUE"""),"Murray")</f>
        <v>Murray</v>
      </c>
      <c r="AA411" s="3">
        <v>3.0</v>
      </c>
      <c r="AB411" s="3">
        <f t="shared" si="7"/>
        <v>0</v>
      </c>
      <c r="AC411" s="3">
        <f t="shared" si="8"/>
        <v>1</v>
      </c>
      <c r="AD411" s="3">
        <f t="shared" si="9"/>
        <v>0.8620689655</v>
      </c>
      <c r="AE411" s="3">
        <f t="shared" si="10"/>
        <v>0.8620689655</v>
      </c>
      <c r="AF411" s="3">
        <f t="shared" si="11"/>
        <v>1.724137931</v>
      </c>
      <c r="AG411" s="3">
        <f t="shared" si="12"/>
        <v>0.9154929577</v>
      </c>
    </row>
    <row r="412">
      <c r="A412" s="1" t="s">
        <v>9</v>
      </c>
      <c r="B412" s="1" t="s">
        <v>345</v>
      </c>
      <c r="C412" s="1" t="s">
        <v>19</v>
      </c>
      <c r="D412" s="1" t="s">
        <v>105</v>
      </c>
      <c r="E412" s="1" t="s">
        <v>114</v>
      </c>
      <c r="F412" s="1" t="s">
        <v>560</v>
      </c>
      <c r="G412" s="1">
        <v>89.5</v>
      </c>
      <c r="H412" s="1" t="s">
        <v>60</v>
      </c>
      <c r="I412" s="1">
        <v>-115.0</v>
      </c>
      <c r="J412" s="1">
        <v>-0.111119675048131</v>
      </c>
      <c r="K412" s="1" t="s">
        <v>61</v>
      </c>
      <c r="L412" s="1" t="s">
        <v>61</v>
      </c>
      <c r="M412" s="1" t="s">
        <v>62</v>
      </c>
      <c r="N412" s="1">
        <v>-118.0</v>
      </c>
      <c r="O412" s="1">
        <v>0.0349561381467472</v>
      </c>
      <c r="P412" s="1" t="s">
        <v>61</v>
      </c>
      <c r="Q412" s="1" t="s">
        <v>61</v>
      </c>
      <c r="R412" s="1">
        <f t="shared" si="1"/>
        <v>0.03495613815</v>
      </c>
      <c r="S412" s="1">
        <f t="shared" si="2"/>
        <v>-118</v>
      </c>
      <c r="T412" s="1">
        <f t="shared" si="3"/>
        <v>1.847457627</v>
      </c>
      <c r="U412" s="1">
        <f t="shared" si="4"/>
        <v>0</v>
      </c>
      <c r="V412" s="3">
        <f t="shared" si="5"/>
        <v>1</v>
      </c>
      <c r="W412" s="3">
        <f t="shared" si="6"/>
        <v>3</v>
      </c>
      <c r="X412" s="3" t="str">
        <f>IFERROR(__xludf.DUMMYFUNCTION("split(B412,"" "")"),"J.")</f>
        <v>J.</v>
      </c>
      <c r="Y412" s="3" t="str">
        <f>IFERROR(__xludf.DUMMYFUNCTION("""COMPUTED_VALUE"""),"Conner")</f>
        <v>Conner</v>
      </c>
      <c r="AA412" s="3">
        <v>113.0</v>
      </c>
      <c r="AB412" s="3">
        <f t="shared" si="7"/>
        <v>1</v>
      </c>
      <c r="AC412" s="3">
        <f t="shared" si="8"/>
        <v>0</v>
      </c>
      <c r="AD412" s="3">
        <f t="shared" si="9"/>
        <v>0.8474576271</v>
      </c>
      <c r="AE412" s="3">
        <f t="shared" si="10"/>
        <v>-1</v>
      </c>
      <c r="AF412" s="3">
        <f t="shared" si="11"/>
        <v>-3</v>
      </c>
      <c r="AG412" s="3">
        <f t="shared" si="12"/>
        <v>-0.2625698324</v>
      </c>
    </row>
    <row r="413">
      <c r="A413" s="1" t="s">
        <v>8</v>
      </c>
      <c r="B413" s="1" t="s">
        <v>345</v>
      </c>
      <c r="C413" s="1" t="s">
        <v>19</v>
      </c>
      <c r="D413" s="1" t="s">
        <v>105</v>
      </c>
      <c r="E413" s="1" t="s">
        <v>114</v>
      </c>
      <c r="F413" s="1" t="s">
        <v>560</v>
      </c>
      <c r="G413" s="1">
        <v>16.5</v>
      </c>
      <c r="H413" s="1" t="s">
        <v>60</v>
      </c>
      <c r="I413" s="1">
        <v>-133.0</v>
      </c>
      <c r="J413" s="1">
        <v>-0.0985715674678112</v>
      </c>
      <c r="K413" s="1" t="s">
        <v>61</v>
      </c>
      <c r="L413" s="1" t="s">
        <v>61</v>
      </c>
      <c r="M413" s="1" t="s">
        <v>62</v>
      </c>
      <c r="N413" s="1">
        <v>-101.0</v>
      </c>
      <c r="O413" s="1">
        <v>0.0252610595631839</v>
      </c>
      <c r="P413" s="1" t="s">
        <v>61</v>
      </c>
      <c r="Q413" s="1" t="s">
        <v>61</v>
      </c>
      <c r="R413" s="1">
        <f t="shared" si="1"/>
        <v>0.02526105956</v>
      </c>
      <c r="S413" s="1">
        <f t="shared" si="2"/>
        <v>-101</v>
      </c>
      <c r="T413" s="1">
        <f t="shared" si="3"/>
        <v>1.99009901</v>
      </c>
      <c r="U413" s="1">
        <f t="shared" si="4"/>
        <v>0</v>
      </c>
      <c r="V413" s="3">
        <f t="shared" si="5"/>
        <v>1</v>
      </c>
      <c r="W413" s="3">
        <f t="shared" si="6"/>
        <v>2</v>
      </c>
      <c r="X413" s="3" t="str">
        <f>IFERROR(__xludf.DUMMYFUNCTION("split(B413,"" "")"),"J.")</f>
        <v>J.</v>
      </c>
      <c r="Y413" s="3" t="str">
        <f>IFERROR(__xludf.DUMMYFUNCTION("""COMPUTED_VALUE"""),"Conner")</f>
        <v>Conner</v>
      </c>
      <c r="AA413" s="3">
        <v>18.0</v>
      </c>
      <c r="AB413" s="3">
        <f t="shared" si="7"/>
        <v>1</v>
      </c>
      <c r="AC413" s="3">
        <f t="shared" si="8"/>
        <v>0</v>
      </c>
      <c r="AD413" s="3">
        <f t="shared" si="9"/>
        <v>0.9900990099</v>
      </c>
      <c r="AE413" s="3">
        <f t="shared" si="10"/>
        <v>-1</v>
      </c>
      <c r="AF413" s="3">
        <f t="shared" si="11"/>
        <v>-2</v>
      </c>
      <c r="AG413" s="3">
        <f t="shared" si="12"/>
        <v>-0.09090909091</v>
      </c>
    </row>
    <row r="414">
      <c r="A414" s="1" t="s">
        <v>10</v>
      </c>
      <c r="B414" s="1" t="s">
        <v>345</v>
      </c>
      <c r="C414" s="1" t="s">
        <v>19</v>
      </c>
      <c r="D414" s="1" t="s">
        <v>105</v>
      </c>
      <c r="E414" s="1" t="s">
        <v>114</v>
      </c>
      <c r="F414" s="1" t="s">
        <v>560</v>
      </c>
      <c r="G414" s="1">
        <v>71.5</v>
      </c>
      <c r="H414" s="1" t="s">
        <v>60</v>
      </c>
      <c r="I414" s="1">
        <v>-116.0</v>
      </c>
      <c r="J414" s="1">
        <v>-0.0970263391313441</v>
      </c>
      <c r="K414" s="1" t="s">
        <v>61</v>
      </c>
      <c r="L414" s="1" t="s">
        <v>61</v>
      </c>
      <c r="M414" s="1" t="s">
        <v>62</v>
      </c>
      <c r="N414" s="1">
        <v>-115.0</v>
      </c>
      <c r="O414" s="1">
        <v>0.0251326673939725</v>
      </c>
      <c r="P414" s="1" t="s">
        <v>61</v>
      </c>
      <c r="Q414" s="1" t="s">
        <v>61</v>
      </c>
      <c r="R414" s="1">
        <f t="shared" si="1"/>
        <v>0.02513266739</v>
      </c>
      <c r="S414" s="1">
        <f t="shared" si="2"/>
        <v>-115</v>
      </c>
      <c r="T414" s="1">
        <f t="shared" si="3"/>
        <v>1.869565217</v>
      </c>
      <c r="U414" s="1">
        <f t="shared" si="4"/>
        <v>0</v>
      </c>
      <c r="V414" s="3">
        <f t="shared" si="5"/>
        <v>1</v>
      </c>
      <c r="W414" s="3">
        <f t="shared" si="6"/>
        <v>2</v>
      </c>
      <c r="X414" s="3" t="str">
        <f>IFERROR(__xludf.DUMMYFUNCTION("split(B414,"" "")"),"J.")</f>
        <v>J.</v>
      </c>
      <c r="Y414" s="3" t="str">
        <f>IFERROR(__xludf.DUMMYFUNCTION("""COMPUTED_VALUE"""),"Conner")</f>
        <v>Conner</v>
      </c>
      <c r="AA414" s="3">
        <v>104.0</v>
      </c>
      <c r="AB414" s="3">
        <f t="shared" si="7"/>
        <v>1</v>
      </c>
      <c r="AC414" s="3">
        <f t="shared" si="8"/>
        <v>0</v>
      </c>
      <c r="AD414" s="3">
        <f t="shared" si="9"/>
        <v>0.8695652174</v>
      </c>
      <c r="AE414" s="3">
        <f t="shared" si="10"/>
        <v>-1</v>
      </c>
      <c r="AF414" s="3">
        <f t="shared" si="11"/>
        <v>-2</v>
      </c>
      <c r="AG414" s="3">
        <f t="shared" si="12"/>
        <v>-0.4545454545</v>
      </c>
    </row>
    <row r="415">
      <c r="A415" s="1" t="s">
        <v>12</v>
      </c>
      <c r="B415" s="1" t="s">
        <v>452</v>
      </c>
      <c r="C415" s="1" t="s">
        <v>18</v>
      </c>
      <c r="D415" s="1" t="s">
        <v>105</v>
      </c>
      <c r="E415" s="1" t="s">
        <v>114</v>
      </c>
      <c r="F415" s="1" t="s">
        <v>560</v>
      </c>
      <c r="G415" s="1">
        <v>5.5</v>
      </c>
      <c r="H415" s="1" t="s">
        <v>60</v>
      </c>
      <c r="I415" s="1">
        <v>103.0</v>
      </c>
      <c r="J415" s="1">
        <v>0.0155891625615764</v>
      </c>
      <c r="K415" s="1" t="s">
        <v>61</v>
      </c>
      <c r="L415" s="1" t="s">
        <v>61</v>
      </c>
      <c r="M415" s="1" t="s">
        <v>62</v>
      </c>
      <c r="N415" s="1">
        <v>-138.0</v>
      </c>
      <c r="O415" s="1">
        <v>-0.0880319327731091</v>
      </c>
      <c r="P415" s="1" t="s">
        <v>61</v>
      </c>
      <c r="Q415" s="1" t="s">
        <v>61</v>
      </c>
      <c r="R415" s="1">
        <f t="shared" si="1"/>
        <v>0.01558916256</v>
      </c>
      <c r="S415" s="1">
        <f t="shared" si="2"/>
        <v>103</v>
      </c>
      <c r="T415" s="1">
        <f t="shared" si="3"/>
        <v>2.03</v>
      </c>
      <c r="U415" s="1">
        <f t="shared" si="4"/>
        <v>1</v>
      </c>
      <c r="V415" s="3">
        <f t="shared" si="5"/>
        <v>1</v>
      </c>
      <c r="W415" s="3">
        <f t="shared" si="6"/>
        <v>2</v>
      </c>
      <c r="X415" s="3" t="str">
        <f>IFERROR(__xludf.DUMMYFUNCTION("split(B415,"" "")"),"M.")</f>
        <v>M.</v>
      </c>
      <c r="Y415" s="3" t="str">
        <f>IFERROR(__xludf.DUMMYFUNCTION("""COMPUTED_VALUE"""),"Harrison")</f>
        <v>Harrison</v>
      </c>
      <c r="Z415" s="3" t="str">
        <f>IFERROR(__xludf.DUMMYFUNCTION("""COMPUTED_VALUE"""),"Jr.")</f>
        <v>Jr.</v>
      </c>
      <c r="AA415" s="3">
        <v>5.0</v>
      </c>
      <c r="AB415" s="3">
        <f t="shared" si="7"/>
        <v>0</v>
      </c>
      <c r="AC415" s="3">
        <f t="shared" si="8"/>
        <v>0</v>
      </c>
      <c r="AD415" s="3">
        <f t="shared" si="9"/>
        <v>1.03</v>
      </c>
      <c r="AE415" s="3">
        <f t="shared" si="10"/>
        <v>-1</v>
      </c>
      <c r="AF415" s="3">
        <f t="shared" si="11"/>
        <v>-2</v>
      </c>
      <c r="AG415" s="3">
        <f t="shared" si="12"/>
        <v>-0.09090909091</v>
      </c>
    </row>
  </sheetData>
  <conditionalFormatting sqref="AK19:AK30">
    <cfRule type="colorScale" priority="1">
      <colorScale>
        <cfvo type="min"/>
        <cfvo type="max"/>
        <color rgb="FFD9EAD3"/>
        <color rgb="FF57BB8A"/>
      </colorScale>
    </cfRule>
  </conditionalFormatting>
  <conditionalFormatting sqref="AN19:AN30">
    <cfRule type="colorScale" priority="2">
      <colorScale>
        <cfvo type="min"/>
        <cfvo type="percentile" val="50"/>
        <cfvo type="max"/>
        <color rgb="FFDD7E6B"/>
        <color rgb="FFFFFFFF"/>
        <color rgb="FF57BB8A"/>
      </colorScale>
    </cfRule>
  </conditionalFormatting>
  <conditionalFormatting sqref="AG2:AG415">
    <cfRule type="colorScale" priority="3">
      <colorScale>
        <cfvo type="min"/>
        <cfvo type="formula" val="-0.1428571429"/>
        <cfvo type="max"/>
        <color rgb="FFB6D7A8"/>
        <color rgb="FFEFEFEF"/>
        <color rgb="FF93C47D"/>
      </colorScale>
    </cfRule>
  </conditionalFormatting>
  <conditionalFormatting sqref="O1:O979">
    <cfRule type="cellIs" dxfId="0" priority="4" operator="greaterThan">
      <formula>0</formula>
    </cfRule>
  </conditionalFormatting>
  <conditionalFormatting sqref="J1:J979">
    <cfRule type="cellIs" dxfId="0" priority="5" operator="greaterThan">
      <formula>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SUM(AE2:AE99930)</f>
        <v>-75.86642013</v>
      </c>
      <c r="AH1" s="2">
        <f>COUNTIF(AC:AC,1)/COUNT(AC:AC)</f>
        <v>0.4755381605</v>
      </c>
      <c r="AI1" s="3">
        <f>COUNTIF(AC:AC,1)</f>
        <v>243</v>
      </c>
      <c r="AJ1" s="1">
        <f>COUNT(AC:AC)-AI1</f>
        <v>268</v>
      </c>
      <c r="AK1" s="1">
        <f>SUM(AF2:AF983)</f>
        <v>-83.92112246</v>
      </c>
      <c r="AL1" s="1"/>
      <c r="AM1" s="1"/>
      <c r="AN1" s="1"/>
      <c r="AO1" s="1"/>
      <c r="AP1" s="1"/>
      <c r="AQ1" s="1"/>
      <c r="AR1" s="1"/>
    </row>
    <row r="2">
      <c r="A2" s="1" t="s">
        <v>8</v>
      </c>
      <c r="B2" s="1" t="s">
        <v>204</v>
      </c>
      <c r="C2" s="1" t="s">
        <v>21</v>
      </c>
      <c r="D2" s="1" t="s">
        <v>105</v>
      </c>
      <c r="E2" s="1" t="s">
        <v>164</v>
      </c>
      <c r="F2" s="1" t="s">
        <v>574</v>
      </c>
      <c r="G2" s="1">
        <v>4.5</v>
      </c>
      <c r="H2" s="1" t="s">
        <v>60</v>
      </c>
      <c r="I2" s="1">
        <v>-140.0</v>
      </c>
      <c r="J2" s="1">
        <v>-0.227642199492677</v>
      </c>
      <c r="K2" s="1" t="s">
        <v>61</v>
      </c>
      <c r="L2" s="1" t="s">
        <v>61</v>
      </c>
      <c r="M2" s="1" t="s">
        <v>62</v>
      </c>
      <c r="N2" s="1">
        <v>105.0</v>
      </c>
      <c r="O2" s="1">
        <v>0.156488428674354</v>
      </c>
      <c r="P2" s="1" t="s">
        <v>61</v>
      </c>
      <c r="Q2" s="1" t="s">
        <v>61</v>
      </c>
      <c r="R2" s="1">
        <f t="shared" ref="R2:R512" si="1">if(O2&gt;0, O2, J2)</f>
        <v>0.1564884287</v>
      </c>
      <c r="S2" s="1">
        <f t="shared" ref="S2:S512" si="2">if(O2&gt;0,N2,I2)</f>
        <v>105</v>
      </c>
      <c r="T2" s="1">
        <f t="shared" ref="T2:T512" si="3">if(S2&gt;0, S2/100, -100/S2) + 1</f>
        <v>2.05</v>
      </c>
      <c r="U2" s="1">
        <f t="shared" ref="U2:U512" si="4">if(and(M2="under", O2&gt;0),0,1)</f>
        <v>0</v>
      </c>
      <c r="V2" s="3">
        <f t="shared" ref="V2:V512" si="5">IF(R2&lt;0.05, 1,if(R2&gt;0.1,3,2))</f>
        <v>3</v>
      </c>
      <c r="W2" s="3">
        <f t="shared" ref="W2:W512" si="6">IFS(T2&gt;2.1, 1, T2&lt;1.85,3, TRUE,2)</f>
        <v>2</v>
      </c>
      <c r="X2" s="3" t="str">
        <f>IFERROR(__xludf.DUMMYFUNCTION("split(B2,"" "")"),"K.")</f>
        <v>K.</v>
      </c>
      <c r="Y2" s="3" t="str">
        <f>IFERROR(__xludf.DUMMYFUNCTION("""COMPUTED_VALUE"""),"Murray")</f>
        <v>Murray</v>
      </c>
      <c r="AA2" s="3">
        <v>7.0</v>
      </c>
      <c r="AB2" s="3">
        <f t="shared" ref="AB2:AB512" si="7">if(AA2&lt;G2,0,1)</f>
        <v>1</v>
      </c>
      <c r="AC2" s="3">
        <f t="shared" ref="AC2:AC512" si="8">if(AB2=U2,1,0)</f>
        <v>0</v>
      </c>
      <c r="AD2" s="3">
        <f t="shared" ref="AD2:AD512" si="9">if(S2&lt;0, (100/(-S2))*V2, (S2/100)*V2)</f>
        <v>3.15</v>
      </c>
      <c r="AE2" s="3">
        <f t="shared" ref="AE2:AE512" si="10">if(T2&gt;4, 0, if(AC2=1,AD2,-V2))</f>
        <v>-3</v>
      </c>
      <c r="AF2" s="3">
        <f t="shared" ref="AF2:AF512" si="11">IF(AC2=0, -W2, (W2*T2)-W2)</f>
        <v>-2</v>
      </c>
      <c r="AG2" s="3">
        <f t="shared" ref="AG2:AG512" si="12">if(AC2 = 1, ABS((AA2-G2)/G2), ABS((AA2-G2)/G2)*-1)</f>
        <v>-0.5555555556</v>
      </c>
    </row>
    <row r="3">
      <c r="A3" s="1" t="s">
        <v>12</v>
      </c>
      <c r="B3" s="1" t="s">
        <v>451</v>
      </c>
      <c r="C3" s="1" t="s">
        <v>18</v>
      </c>
      <c r="D3" s="1" t="s">
        <v>105</v>
      </c>
      <c r="E3" s="1" t="s">
        <v>164</v>
      </c>
      <c r="F3" s="1" t="s">
        <v>574</v>
      </c>
      <c r="G3" s="1">
        <v>3.5</v>
      </c>
      <c r="H3" s="1" t="s">
        <v>60</v>
      </c>
      <c r="I3" s="1">
        <v>-104.0</v>
      </c>
      <c r="J3" s="1">
        <v>-0.214354901960784</v>
      </c>
      <c r="K3" s="1" t="s">
        <v>61</v>
      </c>
      <c r="L3" s="1" t="s">
        <v>61</v>
      </c>
      <c r="M3" s="1" t="s">
        <v>62</v>
      </c>
      <c r="N3" s="1">
        <v>-127.0</v>
      </c>
      <c r="O3" s="1">
        <v>0.145072687224669</v>
      </c>
      <c r="P3" s="1" t="s">
        <v>61</v>
      </c>
      <c r="Q3" s="1" t="s">
        <v>61</v>
      </c>
      <c r="R3" s="1">
        <f t="shared" si="1"/>
        <v>0.1450726872</v>
      </c>
      <c r="S3" s="1">
        <f t="shared" si="2"/>
        <v>-127</v>
      </c>
      <c r="T3" s="1">
        <f t="shared" si="3"/>
        <v>1.787401575</v>
      </c>
      <c r="U3" s="1">
        <f t="shared" si="4"/>
        <v>0</v>
      </c>
      <c r="V3" s="3">
        <f t="shared" si="5"/>
        <v>3</v>
      </c>
      <c r="W3" s="3">
        <f t="shared" si="6"/>
        <v>3</v>
      </c>
      <c r="X3" s="3" t="str">
        <f>IFERROR(__xludf.DUMMYFUNCTION("split(B3,"" "")"),"G.")</f>
        <v>G.</v>
      </c>
      <c r="Y3" s="3" t="str">
        <f>IFERROR(__xludf.DUMMYFUNCTION("""COMPUTED_VALUE"""),"Dortch")</f>
        <v>Dortch</v>
      </c>
      <c r="AA3" s="3">
        <v>1.0</v>
      </c>
      <c r="AB3" s="3">
        <f t="shared" si="7"/>
        <v>0</v>
      </c>
      <c r="AC3" s="3">
        <f t="shared" si="8"/>
        <v>1</v>
      </c>
      <c r="AD3" s="3">
        <f t="shared" si="9"/>
        <v>2.362204724</v>
      </c>
      <c r="AE3" s="3">
        <f t="shared" si="10"/>
        <v>2.362204724</v>
      </c>
      <c r="AF3" s="3">
        <f t="shared" si="11"/>
        <v>2.362204724</v>
      </c>
      <c r="AG3" s="3">
        <f t="shared" si="12"/>
        <v>0.7142857143</v>
      </c>
    </row>
    <row r="4">
      <c r="A4" s="1" t="s">
        <v>12</v>
      </c>
      <c r="B4" s="1" t="s">
        <v>345</v>
      </c>
      <c r="C4" s="1" t="s">
        <v>19</v>
      </c>
      <c r="D4" s="1" t="s">
        <v>105</v>
      </c>
      <c r="E4" s="1" t="s">
        <v>164</v>
      </c>
      <c r="F4" s="1" t="s">
        <v>574</v>
      </c>
      <c r="G4" s="1">
        <v>2.5</v>
      </c>
      <c r="H4" s="1" t="s">
        <v>60</v>
      </c>
      <c r="I4" s="1">
        <v>120.0</v>
      </c>
      <c r="J4" s="1">
        <v>-0.158794584290909</v>
      </c>
      <c r="K4" s="1" t="s">
        <v>61</v>
      </c>
      <c r="L4" s="1" t="s">
        <v>61</v>
      </c>
      <c r="M4" s="1" t="s">
        <v>62</v>
      </c>
      <c r="N4" s="1">
        <v>-157.0</v>
      </c>
      <c r="O4" s="1">
        <v>0.0933600824062256</v>
      </c>
      <c r="P4" s="1" t="s">
        <v>61</v>
      </c>
      <c r="Q4" s="1" t="s">
        <v>61</v>
      </c>
      <c r="R4" s="1">
        <f t="shared" si="1"/>
        <v>0.09336008241</v>
      </c>
      <c r="S4" s="1">
        <f t="shared" si="2"/>
        <v>-157</v>
      </c>
      <c r="T4" s="1">
        <f t="shared" si="3"/>
        <v>1.636942675</v>
      </c>
      <c r="U4" s="1">
        <f t="shared" si="4"/>
        <v>0</v>
      </c>
      <c r="V4" s="3">
        <f t="shared" si="5"/>
        <v>2</v>
      </c>
      <c r="W4" s="3">
        <f t="shared" si="6"/>
        <v>3</v>
      </c>
      <c r="X4" s="3" t="str">
        <f>IFERROR(__xludf.DUMMYFUNCTION("split(B4,"" "")"),"J.")</f>
        <v>J.</v>
      </c>
      <c r="Y4" s="3" t="str">
        <f>IFERROR(__xludf.DUMMYFUNCTION("""COMPUTED_VALUE"""),"Conner")</f>
        <v>Conner</v>
      </c>
      <c r="AA4" s="3">
        <v>2.0</v>
      </c>
      <c r="AB4" s="3">
        <f t="shared" si="7"/>
        <v>0</v>
      </c>
      <c r="AC4" s="3">
        <f t="shared" si="8"/>
        <v>1</v>
      </c>
      <c r="AD4" s="3">
        <f t="shared" si="9"/>
        <v>1.27388535</v>
      </c>
      <c r="AE4" s="3">
        <f t="shared" si="10"/>
        <v>1.27388535</v>
      </c>
      <c r="AF4" s="3">
        <f t="shared" si="11"/>
        <v>1.910828025</v>
      </c>
      <c r="AG4" s="3">
        <f t="shared" si="12"/>
        <v>0.2</v>
      </c>
      <c r="AH4" s="1" t="s">
        <v>18</v>
      </c>
      <c r="AI4" s="3">
        <f t="shared" ref="AI4:AI7" si="13">COUNTIFS(C:C, "="&amp;AH4, AC:AC, "=1")</f>
        <v>79</v>
      </c>
      <c r="AJ4" s="3">
        <f t="shared" ref="AJ4:AJ7" si="14">countif(C:C, "="&amp;AH4)</f>
        <v>163</v>
      </c>
      <c r="AK4" s="3">
        <f t="shared" ref="AK4:AK7" si="15">AI4/AJ4</f>
        <v>0.4846625767</v>
      </c>
    </row>
    <row r="5">
      <c r="A5" s="1" t="s">
        <v>11</v>
      </c>
      <c r="B5" s="1" t="s">
        <v>451</v>
      </c>
      <c r="C5" s="1" t="s">
        <v>18</v>
      </c>
      <c r="D5" s="1" t="s">
        <v>105</v>
      </c>
      <c r="E5" s="1" t="s">
        <v>164</v>
      </c>
      <c r="F5" s="1" t="s">
        <v>574</v>
      </c>
      <c r="G5" s="1">
        <v>33.5</v>
      </c>
      <c r="H5" s="1" t="s">
        <v>60</v>
      </c>
      <c r="I5" s="1">
        <v>-113.0</v>
      </c>
      <c r="J5" s="1">
        <v>-0.135517793749906</v>
      </c>
      <c r="K5" s="1" t="s">
        <v>61</v>
      </c>
      <c r="L5" s="1" t="s">
        <v>61</v>
      </c>
      <c r="M5" s="1" t="s">
        <v>62</v>
      </c>
      <c r="N5" s="1">
        <v>-116.0</v>
      </c>
      <c r="O5" s="1">
        <v>0.0680065604827538</v>
      </c>
      <c r="P5" s="1" t="s">
        <v>61</v>
      </c>
      <c r="Q5" s="1" t="s">
        <v>61</v>
      </c>
      <c r="R5" s="1">
        <f t="shared" si="1"/>
        <v>0.06800656048</v>
      </c>
      <c r="S5" s="1">
        <f t="shared" si="2"/>
        <v>-116</v>
      </c>
      <c r="T5" s="1">
        <f t="shared" si="3"/>
        <v>1.862068966</v>
      </c>
      <c r="U5" s="1">
        <f t="shared" si="4"/>
        <v>0</v>
      </c>
      <c r="V5" s="3">
        <f t="shared" si="5"/>
        <v>2</v>
      </c>
      <c r="W5" s="3">
        <f t="shared" si="6"/>
        <v>2</v>
      </c>
      <c r="X5" s="3" t="str">
        <f>IFERROR(__xludf.DUMMYFUNCTION("split(B5,"" "")"),"G.")</f>
        <v>G.</v>
      </c>
      <c r="Y5" s="3" t="str">
        <f>IFERROR(__xludf.DUMMYFUNCTION("""COMPUTED_VALUE"""),"Dortch")</f>
        <v>Dortch</v>
      </c>
      <c r="AA5" s="3">
        <v>7.0</v>
      </c>
      <c r="AB5" s="3">
        <f t="shared" si="7"/>
        <v>0</v>
      </c>
      <c r="AC5" s="3">
        <f t="shared" si="8"/>
        <v>1</v>
      </c>
      <c r="AD5" s="3">
        <f t="shared" si="9"/>
        <v>1.724137931</v>
      </c>
      <c r="AE5" s="3">
        <f t="shared" si="10"/>
        <v>1.724137931</v>
      </c>
      <c r="AF5" s="3">
        <f t="shared" si="11"/>
        <v>1.724137931</v>
      </c>
      <c r="AG5" s="3">
        <f t="shared" si="12"/>
        <v>0.7910447761</v>
      </c>
      <c r="AH5" s="1" t="s">
        <v>19</v>
      </c>
      <c r="AI5" s="3">
        <f t="shared" si="13"/>
        <v>80</v>
      </c>
      <c r="AJ5" s="3">
        <f t="shared" si="14"/>
        <v>155</v>
      </c>
      <c r="AK5" s="3">
        <f t="shared" si="15"/>
        <v>0.5161290323</v>
      </c>
    </row>
    <row r="6">
      <c r="A6" s="1" t="s">
        <v>17</v>
      </c>
      <c r="B6" s="1" t="s">
        <v>204</v>
      </c>
      <c r="C6" s="1" t="s">
        <v>21</v>
      </c>
      <c r="D6" s="1" t="s">
        <v>105</v>
      </c>
      <c r="E6" s="1" t="s">
        <v>164</v>
      </c>
      <c r="F6" s="1" t="s">
        <v>574</v>
      </c>
      <c r="G6" s="1">
        <v>0.5</v>
      </c>
      <c r="H6" s="1" t="s">
        <v>60</v>
      </c>
      <c r="I6" s="1">
        <v>-130.0</v>
      </c>
      <c r="J6" s="1">
        <v>-0.125060869565217</v>
      </c>
      <c r="K6" s="1" t="s">
        <v>61</v>
      </c>
      <c r="L6" s="1" t="s">
        <v>61</v>
      </c>
      <c r="M6" s="1" t="s">
        <v>62</v>
      </c>
      <c r="N6" s="1">
        <v>100.0</v>
      </c>
      <c r="O6" s="1">
        <v>0.05985</v>
      </c>
      <c r="P6" s="1" t="s">
        <v>61</v>
      </c>
      <c r="Q6" s="1" t="s">
        <v>61</v>
      </c>
      <c r="R6" s="1">
        <f t="shared" si="1"/>
        <v>0.05985</v>
      </c>
      <c r="S6" s="1">
        <f t="shared" si="2"/>
        <v>100</v>
      </c>
      <c r="T6" s="1">
        <f t="shared" si="3"/>
        <v>2</v>
      </c>
      <c r="U6" s="1">
        <f t="shared" si="4"/>
        <v>0</v>
      </c>
      <c r="V6" s="3">
        <f t="shared" si="5"/>
        <v>2</v>
      </c>
      <c r="W6" s="3">
        <f t="shared" si="6"/>
        <v>2</v>
      </c>
      <c r="X6" s="3" t="str">
        <f>IFERROR(__xludf.DUMMYFUNCTION("split(B6,"" "")"),"K.")</f>
        <v>K.</v>
      </c>
      <c r="Y6" s="3" t="str">
        <f>IFERROR(__xludf.DUMMYFUNCTION("""COMPUTED_VALUE"""),"Murray")</f>
        <v>Murray</v>
      </c>
      <c r="AA6" s="3">
        <v>1.0</v>
      </c>
      <c r="AB6" s="3">
        <f t="shared" si="7"/>
        <v>1</v>
      </c>
      <c r="AC6" s="3">
        <f t="shared" si="8"/>
        <v>0</v>
      </c>
      <c r="AD6" s="3">
        <f t="shared" si="9"/>
        <v>2</v>
      </c>
      <c r="AE6" s="3">
        <f t="shared" si="10"/>
        <v>-2</v>
      </c>
      <c r="AF6" s="3">
        <f t="shared" si="11"/>
        <v>-2</v>
      </c>
      <c r="AG6" s="3">
        <f t="shared" si="12"/>
        <v>-1</v>
      </c>
      <c r="AH6" s="1" t="s">
        <v>20</v>
      </c>
      <c r="AI6" s="3">
        <f t="shared" si="13"/>
        <v>21</v>
      </c>
      <c r="AJ6" s="3">
        <f t="shared" si="14"/>
        <v>60</v>
      </c>
      <c r="AK6" s="3">
        <f t="shared" si="15"/>
        <v>0.35</v>
      </c>
    </row>
    <row r="7">
      <c r="A7" s="1" t="s">
        <v>10</v>
      </c>
      <c r="B7" s="1" t="s">
        <v>204</v>
      </c>
      <c r="C7" s="1" t="s">
        <v>21</v>
      </c>
      <c r="D7" s="1" t="s">
        <v>105</v>
      </c>
      <c r="E7" s="1" t="s">
        <v>164</v>
      </c>
      <c r="F7" s="1" t="s">
        <v>574</v>
      </c>
      <c r="G7" s="1">
        <v>30.5</v>
      </c>
      <c r="H7" s="1" t="s">
        <v>60</v>
      </c>
      <c r="I7" s="1">
        <v>-116.0</v>
      </c>
      <c r="J7" s="1">
        <v>-0.120453039616555</v>
      </c>
      <c r="K7" s="1" t="s">
        <v>61</v>
      </c>
      <c r="L7" s="1" t="s">
        <v>61</v>
      </c>
      <c r="M7" s="1" t="s">
        <v>62</v>
      </c>
      <c r="N7" s="1">
        <v>-112.0</v>
      </c>
      <c r="O7" s="1">
        <v>0.0551587138869675</v>
      </c>
      <c r="P7" s="1" t="s">
        <v>61</v>
      </c>
      <c r="Q7" s="1" t="s">
        <v>61</v>
      </c>
      <c r="R7" s="1">
        <f t="shared" si="1"/>
        <v>0.05515871389</v>
      </c>
      <c r="S7" s="1">
        <f t="shared" si="2"/>
        <v>-112</v>
      </c>
      <c r="T7" s="1">
        <f t="shared" si="3"/>
        <v>1.892857143</v>
      </c>
      <c r="U7" s="1">
        <f t="shared" si="4"/>
        <v>0</v>
      </c>
      <c r="V7" s="3">
        <f t="shared" si="5"/>
        <v>2</v>
      </c>
      <c r="W7" s="3">
        <f t="shared" si="6"/>
        <v>2</v>
      </c>
      <c r="X7" s="3" t="str">
        <f>IFERROR(__xludf.DUMMYFUNCTION("split(B7,"" "")"),"K.")</f>
        <v>K.</v>
      </c>
      <c r="Y7" s="3" t="str">
        <f>IFERROR(__xludf.DUMMYFUNCTION("""COMPUTED_VALUE"""),"Murray")</f>
        <v>Murray</v>
      </c>
      <c r="AA7" s="3">
        <v>83.0</v>
      </c>
      <c r="AB7" s="3">
        <f t="shared" si="7"/>
        <v>1</v>
      </c>
      <c r="AC7" s="3">
        <f t="shared" si="8"/>
        <v>0</v>
      </c>
      <c r="AD7" s="3">
        <f t="shared" si="9"/>
        <v>1.785714286</v>
      </c>
      <c r="AE7" s="3">
        <f t="shared" si="10"/>
        <v>-2</v>
      </c>
      <c r="AF7" s="3">
        <f t="shared" si="11"/>
        <v>-2</v>
      </c>
      <c r="AG7" s="3">
        <f t="shared" si="12"/>
        <v>-1.721311475</v>
      </c>
      <c r="AH7" s="1" t="s">
        <v>21</v>
      </c>
      <c r="AI7" s="3">
        <f t="shared" si="13"/>
        <v>63</v>
      </c>
      <c r="AJ7" s="3">
        <f t="shared" si="14"/>
        <v>133</v>
      </c>
      <c r="AK7" s="3">
        <f t="shared" si="15"/>
        <v>0.4736842105</v>
      </c>
    </row>
    <row r="8">
      <c r="A8" s="1" t="s">
        <v>12</v>
      </c>
      <c r="B8" s="1" t="s">
        <v>233</v>
      </c>
      <c r="C8" s="1" t="s">
        <v>18</v>
      </c>
      <c r="D8" s="1" t="s">
        <v>105</v>
      </c>
      <c r="E8" s="1" t="s">
        <v>164</v>
      </c>
      <c r="F8" s="1" t="s">
        <v>574</v>
      </c>
      <c r="G8" s="1">
        <v>3.5</v>
      </c>
      <c r="H8" s="1" t="s">
        <v>60</v>
      </c>
      <c r="I8" s="1">
        <v>121.0</v>
      </c>
      <c r="J8" s="1">
        <v>-0.120333936651583</v>
      </c>
      <c r="K8" s="1" t="s">
        <v>61</v>
      </c>
      <c r="L8" s="1" t="s">
        <v>61</v>
      </c>
      <c r="M8" s="1" t="s">
        <v>62</v>
      </c>
      <c r="N8" s="1">
        <v>-161.0</v>
      </c>
      <c r="O8" s="1">
        <v>0.0509800766283523</v>
      </c>
      <c r="P8" s="1" t="s">
        <v>61</v>
      </c>
      <c r="Q8" s="1" t="s">
        <v>61</v>
      </c>
      <c r="R8" s="1">
        <f t="shared" si="1"/>
        <v>0.05098007663</v>
      </c>
      <c r="S8" s="1">
        <f t="shared" si="2"/>
        <v>-161</v>
      </c>
      <c r="T8" s="1">
        <f t="shared" si="3"/>
        <v>1.621118012</v>
      </c>
      <c r="U8" s="1">
        <f t="shared" si="4"/>
        <v>0</v>
      </c>
      <c r="V8" s="3">
        <f t="shared" si="5"/>
        <v>2</v>
      </c>
      <c r="W8" s="3">
        <f t="shared" si="6"/>
        <v>3</v>
      </c>
      <c r="X8" s="3" t="str">
        <f>IFERROR(__xludf.DUMMYFUNCTION("split(B8,"" "")"),"M.")</f>
        <v>M.</v>
      </c>
      <c r="Y8" s="3" t="str">
        <f>IFERROR(__xludf.DUMMYFUNCTION("""COMPUTED_VALUE"""),"Wilson")</f>
        <v>Wilson</v>
      </c>
      <c r="AA8" s="3">
        <v>5.0</v>
      </c>
      <c r="AB8" s="3">
        <f t="shared" si="7"/>
        <v>1</v>
      </c>
      <c r="AC8" s="3">
        <f t="shared" si="8"/>
        <v>0</v>
      </c>
      <c r="AD8" s="3">
        <f t="shared" si="9"/>
        <v>1.242236025</v>
      </c>
      <c r="AE8" s="3">
        <f t="shared" si="10"/>
        <v>-2</v>
      </c>
      <c r="AF8" s="3">
        <f t="shared" si="11"/>
        <v>-3</v>
      </c>
      <c r="AG8" s="3">
        <f t="shared" si="12"/>
        <v>-0.4285714286</v>
      </c>
    </row>
    <row r="9">
      <c r="A9" s="1" t="s">
        <v>11</v>
      </c>
      <c r="B9" s="1" t="s">
        <v>233</v>
      </c>
      <c r="C9" s="1" t="s">
        <v>18</v>
      </c>
      <c r="D9" s="1" t="s">
        <v>105</v>
      </c>
      <c r="E9" s="1" t="s">
        <v>164</v>
      </c>
      <c r="F9" s="1" t="s">
        <v>574</v>
      </c>
      <c r="G9" s="1">
        <v>36.5</v>
      </c>
      <c r="H9" s="1" t="s">
        <v>60</v>
      </c>
      <c r="I9" s="1">
        <v>-115.0</v>
      </c>
      <c r="J9" s="1">
        <v>-0.10731026100093</v>
      </c>
      <c r="K9" s="1" t="s">
        <v>61</v>
      </c>
      <c r="L9" s="1" t="s">
        <v>61</v>
      </c>
      <c r="M9" s="1" t="s">
        <v>62</v>
      </c>
      <c r="N9" s="1">
        <v>-113.0</v>
      </c>
      <c r="O9" s="1">
        <v>0.041926669718338</v>
      </c>
      <c r="P9" s="1" t="s">
        <v>61</v>
      </c>
      <c r="Q9" s="1" t="s">
        <v>61</v>
      </c>
      <c r="R9" s="1">
        <f t="shared" si="1"/>
        <v>0.04192666972</v>
      </c>
      <c r="S9" s="1">
        <f t="shared" si="2"/>
        <v>-113</v>
      </c>
      <c r="T9" s="1">
        <f t="shared" si="3"/>
        <v>1.884955752</v>
      </c>
      <c r="U9" s="1">
        <f t="shared" si="4"/>
        <v>0</v>
      </c>
      <c r="V9" s="3">
        <f t="shared" si="5"/>
        <v>1</v>
      </c>
      <c r="W9" s="3">
        <f t="shared" si="6"/>
        <v>2</v>
      </c>
      <c r="X9" s="3" t="str">
        <f>IFERROR(__xludf.DUMMYFUNCTION("split(B9,"" "")"),"M.")</f>
        <v>M.</v>
      </c>
      <c r="Y9" s="3" t="str">
        <f>IFERROR(__xludf.DUMMYFUNCTION("""COMPUTED_VALUE"""),"Wilson")</f>
        <v>Wilson</v>
      </c>
      <c r="AA9" s="3">
        <v>78.0</v>
      </c>
      <c r="AB9" s="3">
        <f t="shared" si="7"/>
        <v>1</v>
      </c>
      <c r="AC9" s="3">
        <f t="shared" si="8"/>
        <v>0</v>
      </c>
      <c r="AD9" s="3">
        <f t="shared" si="9"/>
        <v>0.8849557522</v>
      </c>
      <c r="AE9" s="3">
        <f t="shared" si="10"/>
        <v>-1</v>
      </c>
      <c r="AF9" s="3">
        <f t="shared" si="11"/>
        <v>-2</v>
      </c>
      <c r="AG9" s="3">
        <f t="shared" si="12"/>
        <v>-1.136986301</v>
      </c>
    </row>
    <row r="10">
      <c r="A10" s="1" t="s">
        <v>8</v>
      </c>
      <c r="B10" s="1" t="s">
        <v>345</v>
      </c>
      <c r="C10" s="1" t="s">
        <v>19</v>
      </c>
      <c r="D10" s="1" t="s">
        <v>105</v>
      </c>
      <c r="E10" s="1" t="s">
        <v>164</v>
      </c>
      <c r="F10" s="1" t="s">
        <v>574</v>
      </c>
      <c r="G10" s="1">
        <v>14.5</v>
      </c>
      <c r="H10" s="1" t="s">
        <v>60</v>
      </c>
      <c r="I10" s="1">
        <v>-112.0</v>
      </c>
      <c r="J10" s="1">
        <v>-0.096296128504717</v>
      </c>
      <c r="K10" s="1" t="s">
        <v>61</v>
      </c>
      <c r="L10" s="1" t="s">
        <v>61</v>
      </c>
      <c r="M10" s="1" t="s">
        <v>62</v>
      </c>
      <c r="N10" s="1">
        <v>-119.0</v>
      </c>
      <c r="O10" s="1">
        <v>0.0246295675761187</v>
      </c>
      <c r="P10" s="1" t="s">
        <v>61</v>
      </c>
      <c r="Q10" s="1" t="s">
        <v>61</v>
      </c>
      <c r="R10" s="1">
        <f t="shared" si="1"/>
        <v>0.02462956758</v>
      </c>
      <c r="S10" s="1">
        <f t="shared" si="2"/>
        <v>-119</v>
      </c>
      <c r="T10" s="1">
        <f t="shared" si="3"/>
        <v>1.840336134</v>
      </c>
      <c r="U10" s="1">
        <f t="shared" si="4"/>
        <v>0</v>
      </c>
      <c r="V10" s="3">
        <f t="shared" si="5"/>
        <v>1</v>
      </c>
      <c r="W10" s="3">
        <f t="shared" si="6"/>
        <v>3</v>
      </c>
      <c r="X10" s="3" t="str">
        <f>IFERROR(__xludf.DUMMYFUNCTION("split(B10,"" "")"),"J.")</f>
        <v>J.</v>
      </c>
      <c r="Y10" s="3" t="str">
        <f>IFERROR(__xludf.DUMMYFUNCTION("""COMPUTED_VALUE"""),"Conner")</f>
        <v>Conner</v>
      </c>
      <c r="AA10" s="3">
        <v>19.0</v>
      </c>
      <c r="AB10" s="3">
        <f t="shared" si="7"/>
        <v>1</v>
      </c>
      <c r="AC10" s="3">
        <f t="shared" si="8"/>
        <v>0</v>
      </c>
      <c r="AD10" s="3">
        <f t="shared" si="9"/>
        <v>0.8403361345</v>
      </c>
      <c r="AE10" s="3">
        <f t="shared" si="10"/>
        <v>-1</v>
      </c>
      <c r="AF10" s="3">
        <f t="shared" si="11"/>
        <v>-3</v>
      </c>
      <c r="AG10" s="3">
        <f t="shared" si="12"/>
        <v>-0.3103448276</v>
      </c>
    </row>
    <row r="11">
      <c r="A11" s="1" t="s">
        <v>9</v>
      </c>
      <c r="B11" s="1" t="s">
        <v>345</v>
      </c>
      <c r="C11" s="1" t="s">
        <v>19</v>
      </c>
      <c r="D11" s="1" t="s">
        <v>105</v>
      </c>
      <c r="E11" s="1" t="s">
        <v>164</v>
      </c>
      <c r="F11" s="1" t="s">
        <v>574</v>
      </c>
      <c r="G11" s="1">
        <v>75.5</v>
      </c>
      <c r="H11" s="1" t="s">
        <v>60</v>
      </c>
      <c r="I11" s="1">
        <v>-114.0</v>
      </c>
      <c r="J11" s="1">
        <v>-0.0927486937318446</v>
      </c>
      <c r="K11" s="1" t="s">
        <v>61</v>
      </c>
      <c r="L11" s="1" t="s">
        <v>61</v>
      </c>
      <c r="M11" s="1" t="s">
        <v>62</v>
      </c>
      <c r="N11" s="1">
        <v>-117.0</v>
      </c>
      <c r="O11" s="1">
        <v>0.0208430503989828</v>
      </c>
      <c r="P11" s="1" t="s">
        <v>61</v>
      </c>
      <c r="Q11" s="1" t="s">
        <v>61</v>
      </c>
      <c r="R11" s="1">
        <f t="shared" si="1"/>
        <v>0.0208430504</v>
      </c>
      <c r="S11" s="1">
        <f t="shared" si="2"/>
        <v>-117</v>
      </c>
      <c r="T11" s="1">
        <f t="shared" si="3"/>
        <v>1.854700855</v>
      </c>
      <c r="U11" s="1">
        <f t="shared" si="4"/>
        <v>0</v>
      </c>
      <c r="V11" s="3">
        <f t="shared" si="5"/>
        <v>1</v>
      </c>
      <c r="W11" s="3">
        <f t="shared" si="6"/>
        <v>2</v>
      </c>
      <c r="X11" s="3" t="str">
        <f>IFERROR(__xludf.DUMMYFUNCTION("split(B11,"" "")"),"J.")</f>
        <v>J.</v>
      </c>
      <c r="Y11" s="3" t="str">
        <f>IFERROR(__xludf.DUMMYFUNCTION("""COMPUTED_VALUE"""),"Conner")</f>
        <v>Conner</v>
      </c>
      <c r="AA11" s="3">
        <v>100.0</v>
      </c>
      <c r="AB11" s="3">
        <f t="shared" si="7"/>
        <v>1</v>
      </c>
      <c r="AC11" s="3">
        <f t="shared" si="8"/>
        <v>0</v>
      </c>
      <c r="AD11" s="3">
        <f t="shared" si="9"/>
        <v>0.8547008547</v>
      </c>
      <c r="AE11" s="3">
        <f t="shared" si="10"/>
        <v>-1</v>
      </c>
      <c r="AF11" s="3">
        <f t="shared" si="11"/>
        <v>-2</v>
      </c>
      <c r="AG11" s="3">
        <f t="shared" si="12"/>
        <v>-0.3245033113</v>
      </c>
      <c r="AH11" s="1" t="s">
        <v>209</v>
      </c>
      <c r="AI11" s="3">
        <f>COUNTIFs(AC:AC, "=1", AB:AB, "=0")</f>
        <v>178</v>
      </c>
      <c r="AJ11" s="3">
        <f>countif(AB:AB, "=0")</f>
        <v>261</v>
      </c>
      <c r="AK11" s="3">
        <f t="shared" ref="AK11:AK12" si="16">AI11/AJ11</f>
        <v>0.6819923372</v>
      </c>
      <c r="AL11" s="3">
        <f>sumifs(AE:AE,U:U, "=0")</f>
        <v>-31.08965484</v>
      </c>
    </row>
    <row r="12">
      <c r="A12" s="1" t="s">
        <v>15</v>
      </c>
      <c r="B12" s="1" t="s">
        <v>204</v>
      </c>
      <c r="C12" s="1" t="s">
        <v>21</v>
      </c>
      <c r="D12" s="1" t="s">
        <v>105</v>
      </c>
      <c r="E12" s="1" t="s">
        <v>164</v>
      </c>
      <c r="F12" s="1" t="s">
        <v>574</v>
      </c>
      <c r="G12" s="1">
        <v>22.5</v>
      </c>
      <c r="H12" s="1" t="s">
        <v>60</v>
      </c>
      <c r="I12" s="1">
        <v>107.0</v>
      </c>
      <c r="J12" s="1">
        <v>0.0190565217391304</v>
      </c>
      <c r="K12" s="1" t="s">
        <v>61</v>
      </c>
      <c r="L12" s="1" t="s">
        <v>61</v>
      </c>
      <c r="M12" s="1" t="s">
        <v>62</v>
      </c>
      <c r="N12" s="1">
        <v>-136.0</v>
      </c>
      <c r="O12" s="1">
        <v>-0.0784135593220338</v>
      </c>
      <c r="P12" s="1" t="s">
        <v>61</v>
      </c>
      <c r="Q12" s="1" t="s">
        <v>61</v>
      </c>
      <c r="R12" s="1">
        <f t="shared" si="1"/>
        <v>0.01905652174</v>
      </c>
      <c r="S12" s="1">
        <f t="shared" si="2"/>
        <v>107</v>
      </c>
      <c r="T12" s="1">
        <f t="shared" si="3"/>
        <v>2.07</v>
      </c>
      <c r="U12" s="1">
        <f t="shared" si="4"/>
        <v>1</v>
      </c>
      <c r="V12" s="3">
        <f t="shared" si="5"/>
        <v>1</v>
      </c>
      <c r="W12" s="3">
        <f t="shared" si="6"/>
        <v>2</v>
      </c>
      <c r="X12" s="3" t="str">
        <f>IFERROR(__xludf.DUMMYFUNCTION("split(B12,"" "")"),"K.")</f>
        <v>K.</v>
      </c>
      <c r="Y12" s="3" t="str">
        <f>IFERROR(__xludf.DUMMYFUNCTION("""COMPUTED_VALUE"""),"Murray")</f>
        <v>Murray</v>
      </c>
      <c r="AA12" s="3">
        <v>19.0</v>
      </c>
      <c r="AB12" s="3">
        <f t="shared" si="7"/>
        <v>0</v>
      </c>
      <c r="AC12" s="3">
        <f t="shared" si="8"/>
        <v>0</v>
      </c>
      <c r="AD12" s="3">
        <f t="shared" si="9"/>
        <v>1.07</v>
      </c>
      <c r="AE12" s="3">
        <f t="shared" si="10"/>
        <v>-1</v>
      </c>
      <c r="AF12" s="3">
        <f t="shared" si="11"/>
        <v>-2</v>
      </c>
      <c r="AG12" s="3">
        <f t="shared" si="12"/>
        <v>-0.1555555556</v>
      </c>
      <c r="AH12" s="1" t="s">
        <v>206</v>
      </c>
      <c r="AI12" s="3">
        <f>COUNTIFs(AC:AC, "=1", AB:AB, "=1")</f>
        <v>65</v>
      </c>
      <c r="AJ12" s="3">
        <f>countif(AB:AB, "=1")</f>
        <v>250</v>
      </c>
      <c r="AK12" s="3">
        <f t="shared" si="16"/>
        <v>0.26</v>
      </c>
      <c r="AL12" s="3">
        <f>sumifs(AE:AE,U:U, "=1")</f>
        <v>-44.77676529</v>
      </c>
    </row>
    <row r="13">
      <c r="A13" s="1" t="s">
        <v>11</v>
      </c>
      <c r="B13" s="1" t="s">
        <v>349</v>
      </c>
      <c r="C13" s="1" t="s">
        <v>20</v>
      </c>
      <c r="D13" s="1" t="s">
        <v>105</v>
      </c>
      <c r="E13" s="1" t="s">
        <v>164</v>
      </c>
      <c r="F13" s="1" t="s">
        <v>574</v>
      </c>
      <c r="G13" s="1">
        <v>46.5</v>
      </c>
      <c r="H13" s="1" t="s">
        <v>60</v>
      </c>
      <c r="I13" s="1">
        <v>-111.0</v>
      </c>
      <c r="J13" s="1">
        <v>-0.0626732158553555</v>
      </c>
      <c r="K13" s="1" t="s">
        <v>61</v>
      </c>
      <c r="L13" s="1" t="s">
        <v>61</v>
      </c>
      <c r="M13" s="1" t="s">
        <v>62</v>
      </c>
      <c r="N13" s="1">
        <v>-114.0</v>
      </c>
      <c r="O13" s="1">
        <v>0.00388449856183181</v>
      </c>
      <c r="P13" s="1" t="s">
        <v>61</v>
      </c>
      <c r="Q13" s="1" t="s">
        <v>61</v>
      </c>
      <c r="R13" s="1">
        <f t="shared" si="1"/>
        <v>0.003884498562</v>
      </c>
      <c r="S13" s="1">
        <f t="shared" si="2"/>
        <v>-114</v>
      </c>
      <c r="T13" s="1">
        <f t="shared" si="3"/>
        <v>1.877192982</v>
      </c>
      <c r="U13" s="1">
        <f t="shared" si="4"/>
        <v>0</v>
      </c>
      <c r="V13" s="3">
        <f t="shared" si="5"/>
        <v>1</v>
      </c>
      <c r="W13" s="3">
        <f t="shared" si="6"/>
        <v>2</v>
      </c>
      <c r="X13" s="3" t="str">
        <f>IFERROR(__xludf.DUMMYFUNCTION("split(B13,"" "")"),"T.")</f>
        <v>T.</v>
      </c>
      <c r="Y13" s="3" t="str">
        <f>IFERROR(__xludf.DUMMYFUNCTION("""COMPUTED_VALUE"""),"McBride")</f>
        <v>McBride</v>
      </c>
      <c r="AA13" s="3">
        <v>53.0</v>
      </c>
      <c r="AB13" s="3">
        <f t="shared" si="7"/>
        <v>1</v>
      </c>
      <c r="AC13" s="3">
        <f t="shared" si="8"/>
        <v>0</v>
      </c>
      <c r="AD13" s="3">
        <f t="shared" si="9"/>
        <v>0.8771929825</v>
      </c>
      <c r="AE13" s="3">
        <f t="shared" si="10"/>
        <v>-1</v>
      </c>
      <c r="AF13" s="3">
        <f t="shared" si="11"/>
        <v>-2</v>
      </c>
      <c r="AG13" s="3">
        <f t="shared" si="12"/>
        <v>-0.1397849462</v>
      </c>
    </row>
    <row r="14">
      <c r="A14" s="1" t="s">
        <v>12</v>
      </c>
      <c r="B14" s="1" t="s">
        <v>355</v>
      </c>
      <c r="C14" s="1" t="s">
        <v>18</v>
      </c>
      <c r="D14" s="1" t="s">
        <v>109</v>
      </c>
      <c r="E14" s="1" t="s">
        <v>113</v>
      </c>
      <c r="F14" s="1" t="s">
        <v>575</v>
      </c>
      <c r="G14" s="1">
        <v>3.5</v>
      </c>
      <c r="H14" s="1" t="s">
        <v>60</v>
      </c>
      <c r="I14" s="1">
        <v>-154.0</v>
      </c>
      <c r="J14" s="1">
        <v>-0.242138582677165</v>
      </c>
      <c r="K14" s="1" t="s">
        <v>61</v>
      </c>
      <c r="L14" s="1" t="s">
        <v>61</v>
      </c>
      <c r="M14" s="1" t="s">
        <v>62</v>
      </c>
      <c r="N14" s="1">
        <v>117.0</v>
      </c>
      <c r="O14" s="1">
        <v>0.175016589861751</v>
      </c>
      <c r="P14" s="1" t="s">
        <v>61</v>
      </c>
      <c r="Q14" s="1" t="s">
        <v>61</v>
      </c>
      <c r="R14" s="1">
        <f t="shared" si="1"/>
        <v>0.1750165899</v>
      </c>
      <c r="S14" s="1">
        <f t="shared" si="2"/>
        <v>117</v>
      </c>
      <c r="T14" s="1">
        <f t="shared" si="3"/>
        <v>2.17</v>
      </c>
      <c r="U14" s="1">
        <f t="shared" si="4"/>
        <v>0</v>
      </c>
      <c r="V14" s="3">
        <f t="shared" si="5"/>
        <v>3</v>
      </c>
      <c r="W14" s="3">
        <f t="shared" si="6"/>
        <v>1</v>
      </c>
      <c r="X14" s="3" t="str">
        <f>IFERROR(__xludf.DUMMYFUNCTION("split(B14,"" "")"),"D.")</f>
        <v>D.</v>
      </c>
      <c r="Y14" s="3" t="str">
        <f>IFERROR(__xludf.DUMMYFUNCTION("""COMPUTED_VALUE"""),"Mooney")</f>
        <v>Mooney</v>
      </c>
      <c r="AA14" s="3">
        <v>9.0</v>
      </c>
      <c r="AB14" s="3">
        <f t="shared" si="7"/>
        <v>1</v>
      </c>
      <c r="AC14" s="3">
        <f t="shared" si="8"/>
        <v>0</v>
      </c>
      <c r="AD14" s="3">
        <f t="shared" si="9"/>
        <v>3.51</v>
      </c>
      <c r="AE14" s="3">
        <f t="shared" si="10"/>
        <v>-3</v>
      </c>
      <c r="AF14" s="3">
        <f t="shared" si="11"/>
        <v>-1</v>
      </c>
      <c r="AG14" s="3">
        <f t="shared" si="12"/>
        <v>-1.571428571</v>
      </c>
    </row>
    <row r="15">
      <c r="A15" s="1" t="s">
        <v>10</v>
      </c>
      <c r="B15" s="1" t="s">
        <v>328</v>
      </c>
      <c r="C15" s="1" t="s">
        <v>21</v>
      </c>
      <c r="D15" s="1" t="s">
        <v>109</v>
      </c>
      <c r="E15" s="1" t="s">
        <v>113</v>
      </c>
      <c r="F15" s="1" t="s">
        <v>575</v>
      </c>
      <c r="G15" s="1">
        <v>0.5</v>
      </c>
      <c r="H15" s="1" t="s">
        <v>60</v>
      </c>
      <c r="I15" s="1">
        <v>110.0</v>
      </c>
      <c r="J15" s="1">
        <v>0.174164224768156</v>
      </c>
      <c r="K15" s="1" t="s">
        <v>61</v>
      </c>
      <c r="L15" s="1" t="s">
        <v>61</v>
      </c>
      <c r="M15" s="1" t="s">
        <v>62</v>
      </c>
      <c r="N15" s="1">
        <v>-144.0</v>
      </c>
      <c r="O15" s="1">
        <v>-0.240525564717964</v>
      </c>
      <c r="P15" s="1" t="s">
        <v>61</v>
      </c>
      <c r="Q15" s="1" t="s">
        <v>61</v>
      </c>
      <c r="R15" s="1">
        <f t="shared" si="1"/>
        <v>0.1741642248</v>
      </c>
      <c r="S15" s="1">
        <f t="shared" si="2"/>
        <v>110</v>
      </c>
      <c r="T15" s="1">
        <f t="shared" si="3"/>
        <v>2.1</v>
      </c>
      <c r="U15" s="1">
        <f t="shared" si="4"/>
        <v>1</v>
      </c>
      <c r="V15" s="3">
        <f t="shared" si="5"/>
        <v>3</v>
      </c>
      <c r="W15" s="3">
        <f t="shared" si="6"/>
        <v>2</v>
      </c>
      <c r="X15" s="3" t="str">
        <f>IFERROR(__xludf.DUMMYFUNCTION("split(B15,"" "")"),"K.")</f>
        <v>K.</v>
      </c>
      <c r="Y15" s="3" t="str">
        <f>IFERROR(__xludf.DUMMYFUNCTION("""COMPUTED_VALUE"""),"Cousins")</f>
        <v>Cousins</v>
      </c>
      <c r="AA15" s="3">
        <v>0.0</v>
      </c>
      <c r="AB15" s="3">
        <f t="shared" si="7"/>
        <v>0</v>
      </c>
      <c r="AC15" s="3">
        <f t="shared" si="8"/>
        <v>0</v>
      </c>
      <c r="AD15" s="3">
        <f t="shared" si="9"/>
        <v>3.3</v>
      </c>
      <c r="AE15" s="3">
        <f t="shared" si="10"/>
        <v>-3</v>
      </c>
      <c r="AF15" s="3">
        <f t="shared" si="11"/>
        <v>-2</v>
      </c>
      <c r="AG15" s="3">
        <f t="shared" si="12"/>
        <v>-1</v>
      </c>
      <c r="AH15" s="1" t="s">
        <v>216</v>
      </c>
      <c r="AI15" s="3">
        <f>COUNTIFS(AC:AC, "=1",V:V, "=1")/COUNTIF(V:V, "=1")</f>
        <v>0.4926470588</v>
      </c>
      <c r="AJ15" s="3">
        <f>SUMIF(V:V, "=1", AE:AE)</f>
        <v>-20.35292073</v>
      </c>
      <c r="AK15" s="3">
        <f>AVERAGEIF(V:V, "=1",T:T)</f>
        <v>1.882207542</v>
      </c>
      <c r="AL15" s="7">
        <f t="shared" ref="AL15:AL16" si="17">if(AK15&gt;2, (AK15-1)/100, (-100/(AK15-1)))</f>
        <v>-113.3520121</v>
      </c>
    </row>
    <row r="16">
      <c r="A16" s="1" t="s">
        <v>8</v>
      </c>
      <c r="B16" s="1" t="s">
        <v>202</v>
      </c>
      <c r="C16" s="1" t="s">
        <v>19</v>
      </c>
      <c r="D16" s="1" t="s">
        <v>109</v>
      </c>
      <c r="E16" s="1" t="s">
        <v>113</v>
      </c>
      <c r="F16" s="1" t="s">
        <v>575</v>
      </c>
      <c r="G16" s="1">
        <v>8.5</v>
      </c>
      <c r="H16" s="1" t="s">
        <v>60</v>
      </c>
      <c r="I16" s="1">
        <v>-105.0</v>
      </c>
      <c r="J16" s="1">
        <v>-0.227988203855385</v>
      </c>
      <c r="K16" s="1" t="s">
        <v>61</v>
      </c>
      <c r="L16" s="1" t="s">
        <v>61</v>
      </c>
      <c r="M16" s="1" t="s">
        <v>62</v>
      </c>
      <c r="N16" s="1">
        <v>-129.0</v>
      </c>
      <c r="O16" s="1">
        <v>0.152473233666186</v>
      </c>
      <c r="P16" s="1" t="s">
        <v>61</v>
      </c>
      <c r="Q16" s="1" t="s">
        <v>61</v>
      </c>
      <c r="R16" s="1">
        <f t="shared" si="1"/>
        <v>0.1524732337</v>
      </c>
      <c r="S16" s="1">
        <f t="shared" si="2"/>
        <v>-129</v>
      </c>
      <c r="T16" s="1">
        <f t="shared" si="3"/>
        <v>1.775193798</v>
      </c>
      <c r="U16" s="1">
        <f t="shared" si="4"/>
        <v>0</v>
      </c>
      <c r="V16" s="3">
        <f t="shared" si="5"/>
        <v>3</v>
      </c>
      <c r="W16" s="3">
        <f t="shared" si="6"/>
        <v>3</v>
      </c>
      <c r="X16" s="3" t="str">
        <f>IFERROR(__xludf.DUMMYFUNCTION("split(B16,"" "")"),"T.")</f>
        <v>T.</v>
      </c>
      <c r="Y16" s="3" t="str">
        <f>IFERROR(__xludf.DUMMYFUNCTION("""COMPUTED_VALUE"""),"Allgeier")</f>
        <v>Allgeier</v>
      </c>
      <c r="AA16" s="3">
        <v>6.0</v>
      </c>
      <c r="AB16" s="3">
        <f t="shared" si="7"/>
        <v>0</v>
      </c>
      <c r="AC16" s="3">
        <f t="shared" si="8"/>
        <v>1</v>
      </c>
      <c r="AD16" s="3">
        <f t="shared" si="9"/>
        <v>2.325581395</v>
      </c>
      <c r="AE16" s="3">
        <f t="shared" si="10"/>
        <v>2.325581395</v>
      </c>
      <c r="AF16" s="3">
        <f t="shared" si="11"/>
        <v>2.325581395</v>
      </c>
      <c r="AG16" s="3">
        <f t="shared" si="12"/>
        <v>0.2941176471</v>
      </c>
      <c r="AH16" s="1" t="s">
        <v>219</v>
      </c>
      <c r="AI16" s="3">
        <f>COUNTIFS(AC:AC, "=1",V:V, "=2")/COUNTIF(V:V, "=2")</f>
        <v>0.4871794872</v>
      </c>
      <c r="AJ16" s="3">
        <f>SUMIF(V:V, "=2", AE:AE)</f>
        <v>-19.25240085</v>
      </c>
      <c r="AK16" s="3">
        <f>AVERAGEIF(V:V, "=2",T:T)</f>
        <v>1.907366252</v>
      </c>
      <c r="AL16" s="7">
        <f t="shared" si="17"/>
        <v>-110.2090801</v>
      </c>
    </row>
    <row r="17">
      <c r="A17" s="1" t="s">
        <v>12</v>
      </c>
      <c r="B17" s="1" t="s">
        <v>501</v>
      </c>
      <c r="C17" s="1" t="s">
        <v>18</v>
      </c>
      <c r="D17" s="1" t="s">
        <v>109</v>
      </c>
      <c r="E17" s="1" t="s">
        <v>113</v>
      </c>
      <c r="F17" s="1" t="s">
        <v>575</v>
      </c>
      <c r="G17" s="1">
        <v>3.5</v>
      </c>
      <c r="H17" s="1" t="s">
        <v>60</v>
      </c>
      <c r="I17" s="1">
        <v>-117.0</v>
      </c>
      <c r="J17" s="1">
        <v>-0.220162672811059</v>
      </c>
      <c r="K17" s="1" t="s">
        <v>61</v>
      </c>
      <c r="L17" s="1" t="s">
        <v>61</v>
      </c>
      <c r="M17" s="1" t="s">
        <v>62</v>
      </c>
      <c r="N17" s="1">
        <v>-113.0</v>
      </c>
      <c r="O17" s="1">
        <v>0.150489671361502</v>
      </c>
      <c r="P17" s="1" t="s">
        <v>61</v>
      </c>
      <c r="Q17" s="1" t="s">
        <v>61</v>
      </c>
      <c r="R17" s="1">
        <f t="shared" si="1"/>
        <v>0.1504896714</v>
      </c>
      <c r="S17" s="1">
        <f t="shared" si="2"/>
        <v>-113</v>
      </c>
      <c r="T17" s="1">
        <f t="shared" si="3"/>
        <v>1.884955752</v>
      </c>
      <c r="U17" s="1">
        <f t="shared" si="4"/>
        <v>0</v>
      </c>
      <c r="V17" s="3">
        <f t="shared" si="5"/>
        <v>3</v>
      </c>
      <c r="W17" s="3">
        <f t="shared" si="6"/>
        <v>2</v>
      </c>
      <c r="X17" s="3" t="str">
        <f>IFERROR(__xludf.DUMMYFUNCTION("split(B17,"" "")"),"R.")</f>
        <v>R.</v>
      </c>
      <c r="Y17" s="3" t="str">
        <f>IFERROR(__xludf.DUMMYFUNCTION("""COMPUTED_VALUE"""),"McCloud")</f>
        <v>McCloud</v>
      </c>
      <c r="Z17" s="3" t="str">
        <f>IFERROR(__xludf.DUMMYFUNCTION("""COMPUTED_VALUE"""),"III")</f>
        <v>III</v>
      </c>
      <c r="AA17" s="3">
        <v>6.0</v>
      </c>
      <c r="AB17" s="3">
        <f t="shared" si="7"/>
        <v>1</v>
      </c>
      <c r="AC17" s="3">
        <f t="shared" si="8"/>
        <v>0</v>
      </c>
      <c r="AD17" s="3">
        <f t="shared" si="9"/>
        <v>2.654867257</v>
      </c>
      <c r="AE17" s="3">
        <f t="shared" si="10"/>
        <v>-3</v>
      </c>
      <c r="AF17" s="3">
        <f t="shared" si="11"/>
        <v>-2</v>
      </c>
      <c r="AG17" s="3">
        <f t="shared" si="12"/>
        <v>-0.7142857143</v>
      </c>
      <c r="AH17" s="1" t="s">
        <v>222</v>
      </c>
      <c r="AI17" s="3">
        <f>COUNTIFS(AC:AC, "=1",V:V, "=3")/COUNTIF(V:V, "=3")</f>
        <v>0.4262295082</v>
      </c>
      <c r="AJ17" s="3">
        <f>SUMIF(V:V, "=3", AE:AE)</f>
        <v>-36.26109855</v>
      </c>
      <c r="AK17" s="3">
        <f>AVERAGEIF(V:V, "=3",T:T)</f>
        <v>2.40522819</v>
      </c>
      <c r="AL17" s="7">
        <f>if(AK17&gt;2, (AK17-1)*100, (-100/(AK17-1)))</f>
        <v>140.522819</v>
      </c>
    </row>
    <row r="18">
      <c r="A18" s="1" t="s">
        <v>12</v>
      </c>
      <c r="B18" s="1" t="s">
        <v>264</v>
      </c>
      <c r="C18" s="1" t="s">
        <v>19</v>
      </c>
      <c r="D18" s="1" t="s">
        <v>109</v>
      </c>
      <c r="E18" s="1" t="s">
        <v>113</v>
      </c>
      <c r="F18" s="1" t="s">
        <v>575</v>
      </c>
      <c r="G18" s="1">
        <v>3.5</v>
      </c>
      <c r="H18" s="1" t="s">
        <v>60</v>
      </c>
      <c r="I18" s="1">
        <v>-144.0</v>
      </c>
      <c r="J18" s="1">
        <v>-0.209522950819672</v>
      </c>
      <c r="K18" s="1" t="s">
        <v>61</v>
      </c>
      <c r="L18" s="1" t="s">
        <v>61</v>
      </c>
      <c r="M18" s="1" t="s">
        <v>62</v>
      </c>
      <c r="N18" s="1">
        <v>109.0</v>
      </c>
      <c r="O18" s="1">
        <v>0.140883253588516</v>
      </c>
      <c r="P18" s="1" t="s">
        <v>61</v>
      </c>
      <c r="Q18" s="1" t="s">
        <v>61</v>
      </c>
      <c r="R18" s="1">
        <f t="shared" si="1"/>
        <v>0.1408832536</v>
      </c>
      <c r="S18" s="1">
        <f t="shared" si="2"/>
        <v>109</v>
      </c>
      <c r="T18" s="1">
        <f t="shared" si="3"/>
        <v>2.09</v>
      </c>
      <c r="U18" s="1">
        <f t="shared" si="4"/>
        <v>0</v>
      </c>
      <c r="V18" s="3">
        <f t="shared" si="5"/>
        <v>3</v>
      </c>
      <c r="W18" s="3">
        <f t="shared" si="6"/>
        <v>2</v>
      </c>
      <c r="X18" s="3" t="str">
        <f>IFERROR(__xludf.DUMMYFUNCTION("split(B18,"" "")"),"B.")</f>
        <v>B.</v>
      </c>
      <c r="Y18" s="3" t="str">
        <f>IFERROR(__xludf.DUMMYFUNCTION("""COMPUTED_VALUE"""),"Robinson")</f>
        <v>Robinson</v>
      </c>
      <c r="AA18" s="3">
        <v>3.0</v>
      </c>
      <c r="AB18" s="3">
        <f t="shared" si="7"/>
        <v>0</v>
      </c>
      <c r="AC18" s="3">
        <f t="shared" si="8"/>
        <v>1</v>
      </c>
      <c r="AD18" s="3">
        <f t="shared" si="9"/>
        <v>3.27</v>
      </c>
      <c r="AE18" s="3">
        <f t="shared" si="10"/>
        <v>3.27</v>
      </c>
      <c r="AF18" s="3">
        <f t="shared" si="11"/>
        <v>2.18</v>
      </c>
      <c r="AG18" s="3">
        <f t="shared" si="12"/>
        <v>0.1428571429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</row>
    <row r="19">
      <c r="A19" s="1" t="s">
        <v>11</v>
      </c>
      <c r="B19" s="1" t="s">
        <v>202</v>
      </c>
      <c r="C19" s="1" t="s">
        <v>19</v>
      </c>
      <c r="D19" s="1" t="s">
        <v>109</v>
      </c>
      <c r="E19" s="1" t="s">
        <v>113</v>
      </c>
      <c r="F19" s="1" t="s">
        <v>575</v>
      </c>
      <c r="G19" s="1">
        <v>3.5</v>
      </c>
      <c r="H19" s="1" t="s">
        <v>60</v>
      </c>
      <c r="I19" s="1">
        <v>-120.0</v>
      </c>
      <c r="J19" s="1">
        <v>0.108822007973264</v>
      </c>
      <c r="K19" s="1" t="s">
        <v>61</v>
      </c>
      <c r="L19" s="1" t="s">
        <v>61</v>
      </c>
      <c r="M19" s="1" t="s">
        <v>62</v>
      </c>
      <c r="N19" s="1">
        <v>-108.0</v>
      </c>
      <c r="O19" s="1">
        <v>-0.173518216800229</v>
      </c>
      <c r="P19" s="1" t="s">
        <v>61</v>
      </c>
      <c r="Q19" s="1" t="s">
        <v>61</v>
      </c>
      <c r="R19" s="1">
        <f t="shared" si="1"/>
        <v>0.108822008</v>
      </c>
      <c r="S19" s="1">
        <f t="shared" si="2"/>
        <v>-120</v>
      </c>
      <c r="T19" s="1">
        <f t="shared" si="3"/>
        <v>1.833333333</v>
      </c>
      <c r="U19" s="1">
        <f t="shared" si="4"/>
        <v>1</v>
      </c>
      <c r="V19" s="3">
        <f t="shared" si="5"/>
        <v>3</v>
      </c>
      <c r="W19" s="3">
        <f t="shared" si="6"/>
        <v>3</v>
      </c>
      <c r="X19" s="3" t="str">
        <f>IFERROR(__xludf.DUMMYFUNCTION("split(B19,"" "")"),"T.")</f>
        <v>T.</v>
      </c>
      <c r="Y19" s="3" t="str">
        <f>IFERROR(__xludf.DUMMYFUNCTION("""COMPUTED_VALUE"""),"Allgeier")</f>
        <v>Allgeier</v>
      </c>
      <c r="AA19" s="3">
        <v>13.0</v>
      </c>
      <c r="AB19" s="3">
        <f t="shared" si="7"/>
        <v>1</v>
      </c>
      <c r="AC19" s="3">
        <f t="shared" si="8"/>
        <v>1</v>
      </c>
      <c r="AD19" s="3">
        <f t="shared" si="9"/>
        <v>2.5</v>
      </c>
      <c r="AE19" s="3">
        <f t="shared" si="10"/>
        <v>2.5</v>
      </c>
      <c r="AF19" s="3">
        <f t="shared" si="11"/>
        <v>2.5</v>
      </c>
      <c r="AG19" s="3">
        <f t="shared" si="12"/>
        <v>2.714285714</v>
      </c>
      <c r="AH19" s="1" t="s">
        <v>8</v>
      </c>
      <c r="AI19" s="3">
        <f t="shared" ref="AI19:AI21" si="18">COUNTIFs(A:A, "=" &amp; AH19, AC:AC, "=1")</f>
        <v>30</v>
      </c>
      <c r="AJ19" s="3">
        <f t="shared" ref="AJ19:AJ21" si="19">countif(A:A, "=" &amp; AH19)</f>
        <v>59</v>
      </c>
      <c r="AK19" s="3">
        <f t="shared" ref="AK19:AK21" si="20">AI19/AJ19</f>
        <v>0.5084745763</v>
      </c>
      <c r="AL19" s="3">
        <f t="shared" ref="AL19:AL21" si="21">SUMIFS(AE:AE, A:A,"=" &amp; AH19,AC:AC, "=1")</f>
        <v>64.09383952</v>
      </c>
      <c r="AM19" s="3">
        <f t="shared" ref="AM19:AM21" si="22">SUMIFS(AE:AE, A:A,"=" &amp; AH19,AC:AC, "=0")</f>
        <v>-59</v>
      </c>
      <c r="AN19" s="3">
        <f t="shared" ref="AN19:AN21" si="23">AL19+AM19</f>
        <v>5.093839518</v>
      </c>
      <c r="AO19" s="4">
        <f t="shared" ref="AO19:AO21" si="24">IFERROR( countifs(A:A, "="&amp;AH19, U:U, "=1", AC:AC, "=1")/countifs(A:A, "="&amp;AH19, U:U, "=1"), 0)</f>
        <v>0.25</v>
      </c>
      <c r="AP19" s="4">
        <f t="shared" ref="AP19:AP21" si="25">IFERROR( countifs(A:A, "="&amp;AH19, U:U, "=0", AC:AC, "=1")/countifs(A:A, "="&amp;AH19, U:U, "=0"), 0)</f>
        <v>0.5272727273</v>
      </c>
      <c r="AQ19" s="5">
        <f t="shared" ref="AQ19:AQ21" si="26">iferror(IFS(AND(AP19 &gt; 0.5, AO19 &gt; 0.5), 1, AND(AP19 &lt;= 0.5, AO19 &lt;= 0.5), -1), 0)
</f>
        <v>0</v>
      </c>
      <c r="AR19" s="5">
        <f t="shared" ref="AR19:AR21" si="27">if(AN19&lt;0, -1, 1)</f>
        <v>1</v>
      </c>
    </row>
    <row r="20">
      <c r="A20" s="1" t="s">
        <v>10</v>
      </c>
      <c r="B20" s="1" t="s">
        <v>202</v>
      </c>
      <c r="C20" s="1" t="s">
        <v>19</v>
      </c>
      <c r="D20" s="1" t="s">
        <v>109</v>
      </c>
      <c r="E20" s="1" t="s">
        <v>113</v>
      </c>
      <c r="F20" s="1" t="s">
        <v>575</v>
      </c>
      <c r="G20" s="1">
        <v>34.5</v>
      </c>
      <c r="H20" s="1" t="s">
        <v>60</v>
      </c>
      <c r="I20" s="1">
        <v>-136.0</v>
      </c>
      <c r="J20" s="1">
        <v>-0.154817687535258</v>
      </c>
      <c r="K20" s="1" t="s">
        <v>61</v>
      </c>
      <c r="L20" s="1" t="s">
        <v>61</v>
      </c>
      <c r="M20" s="1" t="s">
        <v>62</v>
      </c>
      <c r="N20" s="1">
        <v>104.0</v>
      </c>
      <c r="O20" s="1">
        <v>0.088404775776083</v>
      </c>
      <c r="P20" s="1" t="s">
        <v>61</v>
      </c>
      <c r="Q20" s="1" t="s">
        <v>61</v>
      </c>
      <c r="R20" s="1">
        <f t="shared" si="1"/>
        <v>0.08840477578</v>
      </c>
      <c r="S20" s="1">
        <f t="shared" si="2"/>
        <v>104</v>
      </c>
      <c r="T20" s="1">
        <f t="shared" si="3"/>
        <v>2.04</v>
      </c>
      <c r="U20" s="1">
        <f t="shared" si="4"/>
        <v>0</v>
      </c>
      <c r="V20" s="3">
        <f t="shared" si="5"/>
        <v>2</v>
      </c>
      <c r="W20" s="3">
        <f t="shared" si="6"/>
        <v>2</v>
      </c>
      <c r="X20" s="3" t="str">
        <f>IFERROR(__xludf.DUMMYFUNCTION("split(B20,"" "")"),"T.")</f>
        <v>T.</v>
      </c>
      <c r="Y20" s="3" t="str">
        <f>IFERROR(__xludf.DUMMYFUNCTION("""COMPUTED_VALUE"""),"Allgeier")</f>
        <v>Allgeier</v>
      </c>
      <c r="AA20" s="3">
        <v>12.0</v>
      </c>
      <c r="AB20" s="3">
        <f t="shared" si="7"/>
        <v>0</v>
      </c>
      <c r="AC20" s="3">
        <f t="shared" si="8"/>
        <v>1</v>
      </c>
      <c r="AD20" s="3">
        <f t="shared" si="9"/>
        <v>2.08</v>
      </c>
      <c r="AE20" s="3">
        <f t="shared" si="10"/>
        <v>2.08</v>
      </c>
      <c r="AF20" s="3">
        <f t="shared" si="11"/>
        <v>2.08</v>
      </c>
      <c r="AG20" s="3">
        <f t="shared" si="12"/>
        <v>0.652173913</v>
      </c>
      <c r="AH20" s="1" t="s">
        <v>9</v>
      </c>
      <c r="AI20" s="3">
        <f t="shared" si="18"/>
        <v>27</v>
      </c>
      <c r="AJ20" s="3">
        <f t="shared" si="19"/>
        <v>58</v>
      </c>
      <c r="AK20" s="3">
        <f t="shared" si="20"/>
        <v>0.4655172414</v>
      </c>
      <c r="AL20" s="3">
        <f t="shared" si="21"/>
        <v>28.49903965</v>
      </c>
      <c r="AM20" s="3">
        <f t="shared" si="22"/>
        <v>-46</v>
      </c>
      <c r="AN20" s="3">
        <f t="shared" si="23"/>
        <v>-17.50096035</v>
      </c>
      <c r="AO20" s="4">
        <f t="shared" si="24"/>
        <v>0.4411764706</v>
      </c>
      <c r="AP20" s="4">
        <f t="shared" si="25"/>
        <v>0.5</v>
      </c>
      <c r="AQ20" s="5">
        <f t="shared" si="26"/>
        <v>-1</v>
      </c>
      <c r="AR20" s="5">
        <f t="shared" si="27"/>
        <v>-1</v>
      </c>
    </row>
    <row r="21">
      <c r="A21" s="1" t="s">
        <v>12</v>
      </c>
      <c r="B21" s="1" t="s">
        <v>108</v>
      </c>
      <c r="C21" s="1" t="s">
        <v>20</v>
      </c>
      <c r="D21" s="1" t="s">
        <v>109</v>
      </c>
      <c r="E21" s="1" t="s">
        <v>113</v>
      </c>
      <c r="F21" s="1" t="s">
        <v>575</v>
      </c>
      <c r="G21" s="1">
        <v>2.5</v>
      </c>
      <c r="H21" s="1" t="s">
        <v>60</v>
      </c>
      <c r="I21" s="1">
        <v>-150.0</v>
      </c>
      <c r="J21" s="1">
        <v>-0.1523</v>
      </c>
      <c r="K21" s="1" t="s">
        <v>61</v>
      </c>
      <c r="L21" s="1" t="s">
        <v>61</v>
      </c>
      <c r="M21" s="1" t="s">
        <v>62</v>
      </c>
      <c r="N21" s="1">
        <v>115.0</v>
      </c>
      <c r="O21" s="1">
        <v>0.0871837209302325</v>
      </c>
      <c r="P21" s="1" t="s">
        <v>61</v>
      </c>
      <c r="Q21" s="1" t="s">
        <v>61</v>
      </c>
      <c r="R21" s="1">
        <f t="shared" si="1"/>
        <v>0.08718372093</v>
      </c>
      <c r="S21" s="1">
        <f t="shared" si="2"/>
        <v>115</v>
      </c>
      <c r="T21" s="1">
        <f t="shared" si="3"/>
        <v>2.15</v>
      </c>
      <c r="U21" s="1">
        <f t="shared" si="4"/>
        <v>0</v>
      </c>
      <c r="V21" s="3">
        <f t="shared" si="5"/>
        <v>2</v>
      </c>
      <c r="W21" s="3">
        <f t="shared" si="6"/>
        <v>1</v>
      </c>
      <c r="X21" s="3" t="str">
        <f>IFERROR(__xludf.DUMMYFUNCTION("split(B21,"" "")"),"K.")</f>
        <v>K.</v>
      </c>
      <c r="Y21" s="3" t="str">
        <f>IFERROR(__xludf.DUMMYFUNCTION("""COMPUTED_VALUE"""),"Pitts")</f>
        <v>Pitts</v>
      </c>
      <c r="AA21" s="3">
        <v>7.0</v>
      </c>
      <c r="AB21" s="3">
        <f t="shared" si="7"/>
        <v>1</v>
      </c>
      <c r="AC21" s="3">
        <f t="shared" si="8"/>
        <v>0</v>
      </c>
      <c r="AD21" s="3">
        <f t="shared" si="9"/>
        <v>2.3</v>
      </c>
      <c r="AE21" s="3">
        <f t="shared" si="10"/>
        <v>-2</v>
      </c>
      <c r="AF21" s="3">
        <f t="shared" si="11"/>
        <v>-1</v>
      </c>
      <c r="AG21" s="3">
        <f t="shared" si="12"/>
        <v>-1.8</v>
      </c>
      <c r="AH21" s="1" t="s">
        <v>10</v>
      </c>
      <c r="AI21" s="3">
        <f t="shared" si="18"/>
        <v>30</v>
      </c>
      <c r="AJ21" s="3">
        <f t="shared" si="19"/>
        <v>70</v>
      </c>
      <c r="AK21" s="3">
        <f t="shared" si="20"/>
        <v>0.4285714286</v>
      </c>
      <c r="AL21" s="3">
        <f t="shared" si="21"/>
        <v>32.42160631</v>
      </c>
      <c r="AM21" s="3">
        <f t="shared" si="22"/>
        <v>-46</v>
      </c>
      <c r="AN21" s="3">
        <f t="shared" si="23"/>
        <v>-13.57839369</v>
      </c>
      <c r="AO21" s="4">
        <f t="shared" si="24"/>
        <v>0.1818181818</v>
      </c>
      <c r="AP21" s="4">
        <f t="shared" si="25"/>
        <v>0.5416666667</v>
      </c>
      <c r="AQ21" s="5">
        <f t="shared" si="26"/>
        <v>0</v>
      </c>
      <c r="AR21" s="5">
        <f t="shared" si="27"/>
        <v>-1</v>
      </c>
    </row>
    <row r="22">
      <c r="A22" s="1" t="s">
        <v>11</v>
      </c>
      <c r="B22" s="1" t="s">
        <v>264</v>
      </c>
      <c r="C22" s="1" t="s">
        <v>19</v>
      </c>
      <c r="D22" s="1" t="s">
        <v>109</v>
      </c>
      <c r="E22" s="1" t="s">
        <v>113</v>
      </c>
      <c r="F22" s="1" t="s">
        <v>575</v>
      </c>
      <c r="G22" s="1">
        <v>25.5</v>
      </c>
      <c r="H22" s="1" t="s">
        <v>60</v>
      </c>
      <c r="I22" s="1">
        <v>-132.0</v>
      </c>
      <c r="J22" s="1">
        <v>-0.128548653685797</v>
      </c>
      <c r="K22" s="1" t="s">
        <v>61</v>
      </c>
      <c r="L22" s="1" t="s">
        <v>61</v>
      </c>
      <c r="M22" s="1" t="s">
        <v>62</v>
      </c>
      <c r="N22" s="1">
        <v>101.0</v>
      </c>
      <c r="O22" s="1">
        <v>0.0621606351000247</v>
      </c>
      <c r="P22" s="1" t="s">
        <v>61</v>
      </c>
      <c r="Q22" s="1" t="s">
        <v>61</v>
      </c>
      <c r="R22" s="1">
        <f t="shared" si="1"/>
        <v>0.0621606351</v>
      </c>
      <c r="S22" s="1">
        <f t="shared" si="2"/>
        <v>101</v>
      </c>
      <c r="T22" s="1">
        <f t="shared" si="3"/>
        <v>2.01</v>
      </c>
      <c r="U22" s="1">
        <f t="shared" si="4"/>
        <v>0</v>
      </c>
      <c r="V22" s="3">
        <f t="shared" si="5"/>
        <v>2</v>
      </c>
      <c r="W22" s="3">
        <f t="shared" si="6"/>
        <v>2</v>
      </c>
      <c r="X22" s="3" t="str">
        <f>IFERROR(__xludf.DUMMYFUNCTION("split(B22,"" "")"),"B.")</f>
        <v>B.</v>
      </c>
      <c r="Y22" s="3" t="str">
        <f>IFERROR(__xludf.DUMMYFUNCTION("""COMPUTED_VALUE"""),"Robinson")</f>
        <v>Robinson</v>
      </c>
      <c r="AA22" s="3">
        <v>16.0</v>
      </c>
      <c r="AB22" s="3">
        <f t="shared" si="7"/>
        <v>0</v>
      </c>
      <c r="AC22" s="3">
        <f t="shared" si="8"/>
        <v>1</v>
      </c>
      <c r="AD22" s="3">
        <f t="shared" si="9"/>
        <v>2.02</v>
      </c>
      <c r="AE22" s="3">
        <f t="shared" si="10"/>
        <v>2.02</v>
      </c>
      <c r="AF22" s="3">
        <f t="shared" si="11"/>
        <v>2.02</v>
      </c>
      <c r="AG22" s="3">
        <f t="shared" si="12"/>
        <v>0.3725490196</v>
      </c>
      <c r="AO22" s="4"/>
      <c r="AP22" s="4"/>
      <c r="AQ22" s="5"/>
      <c r="AR22" s="5"/>
    </row>
    <row r="23">
      <c r="A23" s="1" t="s">
        <v>11</v>
      </c>
      <c r="B23" s="1" t="s">
        <v>501</v>
      </c>
      <c r="C23" s="1" t="s">
        <v>18</v>
      </c>
      <c r="D23" s="1" t="s">
        <v>109</v>
      </c>
      <c r="E23" s="1" t="s">
        <v>113</v>
      </c>
      <c r="F23" s="1" t="s">
        <v>575</v>
      </c>
      <c r="G23" s="1">
        <v>35.5</v>
      </c>
      <c r="H23" s="1" t="s">
        <v>60</v>
      </c>
      <c r="I23" s="1">
        <v>-113.0</v>
      </c>
      <c r="J23" s="1">
        <v>-0.12247398927507</v>
      </c>
      <c r="K23" s="1" t="s">
        <v>61</v>
      </c>
      <c r="L23" s="1" t="s">
        <v>61</v>
      </c>
      <c r="M23" s="1" t="s">
        <v>62</v>
      </c>
      <c r="N23" s="1">
        <v>-117.0</v>
      </c>
      <c r="O23" s="1">
        <v>0.0528246662628539</v>
      </c>
      <c r="P23" s="1" t="s">
        <v>61</v>
      </c>
      <c r="Q23" s="1" t="s">
        <v>61</v>
      </c>
      <c r="R23" s="1">
        <f t="shared" si="1"/>
        <v>0.05282466626</v>
      </c>
      <c r="S23" s="1">
        <f t="shared" si="2"/>
        <v>-117</v>
      </c>
      <c r="T23" s="1">
        <f t="shared" si="3"/>
        <v>1.854700855</v>
      </c>
      <c r="U23" s="1">
        <f t="shared" si="4"/>
        <v>0</v>
      </c>
      <c r="V23" s="3">
        <f t="shared" si="5"/>
        <v>2</v>
      </c>
      <c r="W23" s="3">
        <f t="shared" si="6"/>
        <v>2</v>
      </c>
      <c r="X23" s="3" t="str">
        <f>IFERROR(__xludf.DUMMYFUNCTION("split(B23,"" "")"),"R.")</f>
        <v>R.</v>
      </c>
      <c r="Y23" s="3" t="str">
        <f>IFERROR(__xludf.DUMMYFUNCTION("""COMPUTED_VALUE"""),"McCloud")</f>
        <v>McCloud</v>
      </c>
      <c r="Z23" s="3" t="str">
        <f>IFERROR(__xludf.DUMMYFUNCTION("""COMPUTED_VALUE"""),"III")</f>
        <v>III</v>
      </c>
      <c r="AA23" s="3">
        <v>66.0</v>
      </c>
      <c r="AB23" s="3">
        <f t="shared" si="7"/>
        <v>1</v>
      </c>
      <c r="AC23" s="3">
        <f t="shared" si="8"/>
        <v>0</v>
      </c>
      <c r="AD23" s="3">
        <f t="shared" si="9"/>
        <v>1.709401709</v>
      </c>
      <c r="AE23" s="3">
        <f t="shared" si="10"/>
        <v>-2</v>
      </c>
      <c r="AF23" s="3">
        <f t="shared" si="11"/>
        <v>-2</v>
      </c>
      <c r="AG23" s="3">
        <f t="shared" si="12"/>
        <v>-0.8591549296</v>
      </c>
      <c r="AH23" s="1" t="s">
        <v>11</v>
      </c>
      <c r="AI23" s="3">
        <f t="shared" ref="AI23:AI24" si="28">COUNTIFs(A:A, "=" &amp; AH23, AC:AC, "=1")</f>
        <v>46</v>
      </c>
      <c r="AJ23" s="3">
        <f t="shared" ref="AJ23:AJ24" si="29">countif(A:A, "=" &amp; AH23)</f>
        <v>105</v>
      </c>
      <c r="AK23" s="3">
        <f t="shared" ref="AK23:AK24" si="30">AI23/AJ23</f>
        <v>0.4380952381</v>
      </c>
      <c r="AL23" s="3">
        <f t="shared" ref="AL23:AL24" si="31">SUMIFS(AE:AE, A:A,"=" &amp; AH23,AC:AC, "=1")</f>
        <v>54.88001368</v>
      </c>
      <c r="AM23" s="3">
        <f t="shared" ref="AM23:AM24" si="32">SUMIFS(AE:AE, A:A,"=" &amp; AH23,AC:AC, "=0")</f>
        <v>-80</v>
      </c>
      <c r="AN23" s="3">
        <f t="shared" ref="AN23:AN24" si="33">AL23+AM23</f>
        <v>-25.11998632</v>
      </c>
      <c r="AO23" s="4">
        <f t="shared" ref="AO23:AO24" si="34">IFERROR( countifs(A:A, "="&amp;AH23, U:U, "=1", AC:AC, "=1")/countifs(A:A, "="&amp;AH23, U:U, "=1"), 0)</f>
        <v>0.4736842105</v>
      </c>
      <c r="AP23" s="4">
        <f t="shared" ref="AP23:AP24" si="35">IFERROR( countifs(A:A, "="&amp;AH23, U:U, "=0", AC:AC, "=1")/countifs(A:A, "="&amp;AH23, U:U, "=0"), 0)</f>
        <v>0.4179104478</v>
      </c>
      <c r="AQ23" s="5">
        <f t="shared" ref="AQ23:AQ24" si="36">iferror(IFS(AND(AP23 &gt; 0.5, AO23 &gt; 0.5), 1, AND(AP23 &lt;= 0.5, AO23 &lt;= 0.5), -1), 0)
</f>
        <v>-1</v>
      </c>
      <c r="AR23" s="5">
        <f t="shared" ref="AR23:AR24" si="37">if(AN23&lt;0, -1, 1)</f>
        <v>-1</v>
      </c>
    </row>
    <row r="24">
      <c r="A24" s="1" t="s">
        <v>11</v>
      </c>
      <c r="B24" s="1" t="s">
        <v>355</v>
      </c>
      <c r="C24" s="1" t="s">
        <v>18</v>
      </c>
      <c r="D24" s="1" t="s">
        <v>109</v>
      </c>
      <c r="E24" s="1" t="s">
        <v>113</v>
      </c>
      <c r="F24" s="1" t="s">
        <v>575</v>
      </c>
      <c r="G24" s="1">
        <v>46.5</v>
      </c>
      <c r="H24" s="1" t="s">
        <v>60</v>
      </c>
      <c r="I24" s="1">
        <v>-114.0</v>
      </c>
      <c r="J24" s="1">
        <v>-0.108955901024112</v>
      </c>
      <c r="K24" s="1" t="s">
        <v>61</v>
      </c>
      <c r="L24" s="1" t="s">
        <v>61</v>
      </c>
      <c r="M24" s="1" t="s">
        <v>62</v>
      </c>
      <c r="N24" s="1">
        <v>-113.0</v>
      </c>
      <c r="O24" s="1">
        <v>0.0457344015544367</v>
      </c>
      <c r="P24" s="1" t="s">
        <v>61</v>
      </c>
      <c r="Q24" s="1" t="s">
        <v>61</v>
      </c>
      <c r="R24" s="1">
        <f t="shared" si="1"/>
        <v>0.04573440155</v>
      </c>
      <c r="S24" s="1">
        <f t="shared" si="2"/>
        <v>-113</v>
      </c>
      <c r="T24" s="1">
        <f t="shared" si="3"/>
        <v>1.884955752</v>
      </c>
      <c r="U24" s="1">
        <f t="shared" si="4"/>
        <v>0</v>
      </c>
      <c r="V24" s="3">
        <f t="shared" si="5"/>
        <v>1</v>
      </c>
      <c r="W24" s="3">
        <f t="shared" si="6"/>
        <v>2</v>
      </c>
      <c r="X24" s="3" t="str">
        <f>IFERROR(__xludf.DUMMYFUNCTION("split(B24,"" "")"),"D.")</f>
        <v>D.</v>
      </c>
      <c r="Y24" s="3" t="str">
        <f>IFERROR(__xludf.DUMMYFUNCTION("""COMPUTED_VALUE"""),"Mooney")</f>
        <v>Mooney</v>
      </c>
      <c r="AA24" s="3">
        <v>105.0</v>
      </c>
      <c r="AB24" s="3">
        <f t="shared" si="7"/>
        <v>1</v>
      </c>
      <c r="AC24" s="3">
        <f t="shared" si="8"/>
        <v>0</v>
      </c>
      <c r="AD24" s="3">
        <f t="shared" si="9"/>
        <v>0.8849557522</v>
      </c>
      <c r="AE24" s="3">
        <f t="shared" si="10"/>
        <v>-1</v>
      </c>
      <c r="AF24" s="3">
        <f t="shared" si="11"/>
        <v>-2</v>
      </c>
      <c r="AG24" s="3">
        <f t="shared" si="12"/>
        <v>-1.258064516</v>
      </c>
      <c r="AH24" s="1" t="s">
        <v>12</v>
      </c>
      <c r="AI24" s="3">
        <f t="shared" si="28"/>
        <v>68</v>
      </c>
      <c r="AJ24" s="3">
        <f t="shared" si="29"/>
        <v>134</v>
      </c>
      <c r="AK24" s="3">
        <f t="shared" si="30"/>
        <v>0.5074626866</v>
      </c>
      <c r="AL24" s="3">
        <f t="shared" si="31"/>
        <v>135.744226</v>
      </c>
      <c r="AM24" s="3">
        <f t="shared" si="32"/>
        <v>-152</v>
      </c>
      <c r="AN24" s="3">
        <f t="shared" si="33"/>
        <v>-16.255774</v>
      </c>
      <c r="AO24" s="4">
        <f t="shared" si="34"/>
        <v>0.4</v>
      </c>
      <c r="AP24" s="4">
        <f t="shared" si="35"/>
        <v>0.5210084034</v>
      </c>
      <c r="AQ24" s="5">
        <f t="shared" si="36"/>
        <v>0</v>
      </c>
      <c r="AR24" s="5">
        <f t="shared" si="37"/>
        <v>-1</v>
      </c>
    </row>
    <row r="25">
      <c r="A25" s="1" t="s">
        <v>17</v>
      </c>
      <c r="B25" s="1" t="s">
        <v>328</v>
      </c>
      <c r="C25" s="1" t="s">
        <v>21</v>
      </c>
      <c r="D25" s="1" t="s">
        <v>109</v>
      </c>
      <c r="E25" s="1" t="s">
        <v>113</v>
      </c>
      <c r="F25" s="1" t="s">
        <v>575</v>
      </c>
      <c r="G25" s="1">
        <v>0.5</v>
      </c>
      <c r="H25" s="1" t="s">
        <v>60</v>
      </c>
      <c r="I25" s="1">
        <v>-121.0</v>
      </c>
      <c r="J25" s="1">
        <v>-0.107256561085972</v>
      </c>
      <c r="K25" s="1" t="s">
        <v>61</v>
      </c>
      <c r="L25" s="1" t="s">
        <v>61</v>
      </c>
      <c r="M25" s="1" t="s">
        <v>62</v>
      </c>
      <c r="N25" s="1">
        <v>-108.0</v>
      </c>
      <c r="O25" s="1">
        <v>0.0405211538461538</v>
      </c>
      <c r="P25" s="1" t="s">
        <v>61</v>
      </c>
      <c r="Q25" s="1" t="s">
        <v>61</v>
      </c>
      <c r="R25" s="1">
        <f t="shared" si="1"/>
        <v>0.04052115385</v>
      </c>
      <c r="S25" s="1">
        <f t="shared" si="2"/>
        <v>-108</v>
      </c>
      <c r="T25" s="1">
        <f t="shared" si="3"/>
        <v>1.925925926</v>
      </c>
      <c r="U25" s="1">
        <f t="shared" si="4"/>
        <v>0</v>
      </c>
      <c r="V25" s="3">
        <f t="shared" si="5"/>
        <v>1</v>
      </c>
      <c r="W25" s="3">
        <f t="shared" si="6"/>
        <v>2</v>
      </c>
      <c r="X25" s="3" t="str">
        <f>IFERROR(__xludf.DUMMYFUNCTION("split(B25,"" "")"),"K.")</f>
        <v>K.</v>
      </c>
      <c r="Y25" s="3" t="str">
        <f>IFERROR(__xludf.DUMMYFUNCTION("""COMPUTED_VALUE"""),"Cousins")</f>
        <v>Cousins</v>
      </c>
      <c r="AA25" s="3">
        <v>1.0</v>
      </c>
      <c r="AB25" s="3">
        <f t="shared" si="7"/>
        <v>1</v>
      </c>
      <c r="AC25" s="3">
        <f t="shared" si="8"/>
        <v>0</v>
      </c>
      <c r="AD25" s="3">
        <f t="shared" si="9"/>
        <v>0.9259259259</v>
      </c>
      <c r="AE25" s="3">
        <f t="shared" si="10"/>
        <v>-1</v>
      </c>
      <c r="AF25" s="3">
        <f t="shared" si="11"/>
        <v>-2</v>
      </c>
      <c r="AG25" s="3">
        <f t="shared" si="12"/>
        <v>-1</v>
      </c>
      <c r="AO25" s="4"/>
      <c r="AP25" s="4"/>
      <c r="AQ25" s="5"/>
      <c r="AR25" s="5"/>
    </row>
    <row r="26">
      <c r="A26" s="1" t="s">
        <v>12</v>
      </c>
      <c r="B26" s="1" t="s">
        <v>499</v>
      </c>
      <c r="C26" s="1" t="s">
        <v>18</v>
      </c>
      <c r="D26" s="1" t="s">
        <v>109</v>
      </c>
      <c r="E26" s="1" t="s">
        <v>113</v>
      </c>
      <c r="F26" s="1" t="s">
        <v>575</v>
      </c>
      <c r="G26" s="1">
        <v>5.5</v>
      </c>
      <c r="H26" s="1" t="s">
        <v>60</v>
      </c>
      <c r="I26" s="1">
        <v>-107.0</v>
      </c>
      <c r="J26" s="1">
        <v>0.0298917874396136</v>
      </c>
      <c r="K26" s="1" t="s">
        <v>61</v>
      </c>
      <c r="L26" s="1" t="s">
        <v>61</v>
      </c>
      <c r="M26" s="1" t="s">
        <v>62</v>
      </c>
      <c r="N26" s="1">
        <v>-121.0</v>
      </c>
      <c r="O26" s="1">
        <v>-0.0943113122171946</v>
      </c>
      <c r="P26" s="1" t="s">
        <v>61</v>
      </c>
      <c r="Q26" s="1" t="s">
        <v>61</v>
      </c>
      <c r="R26" s="1">
        <f t="shared" si="1"/>
        <v>0.02989178744</v>
      </c>
      <c r="S26" s="1">
        <f t="shared" si="2"/>
        <v>-107</v>
      </c>
      <c r="T26" s="1">
        <f t="shared" si="3"/>
        <v>1.934579439</v>
      </c>
      <c r="U26" s="1">
        <f t="shared" si="4"/>
        <v>1</v>
      </c>
      <c r="V26" s="3">
        <f t="shared" si="5"/>
        <v>1</v>
      </c>
      <c r="W26" s="3">
        <f t="shared" si="6"/>
        <v>2</v>
      </c>
      <c r="X26" s="3" t="str">
        <f>IFERROR(__xludf.DUMMYFUNCTION("split(B26,"" "")"),"D.")</f>
        <v>D.</v>
      </c>
      <c r="Y26" s="3" t="str">
        <f>IFERROR(__xludf.DUMMYFUNCTION("""COMPUTED_VALUE"""),"London")</f>
        <v>London</v>
      </c>
      <c r="AA26" s="3">
        <v>12.0</v>
      </c>
      <c r="AB26" s="3">
        <f t="shared" si="7"/>
        <v>1</v>
      </c>
      <c r="AC26" s="3">
        <f t="shared" si="8"/>
        <v>1</v>
      </c>
      <c r="AD26" s="3">
        <f t="shared" si="9"/>
        <v>0.9345794393</v>
      </c>
      <c r="AE26" s="3">
        <f t="shared" si="10"/>
        <v>0.9345794393</v>
      </c>
      <c r="AF26" s="3">
        <f t="shared" si="11"/>
        <v>1.869158879</v>
      </c>
      <c r="AG26" s="3">
        <f t="shared" si="12"/>
        <v>1.181818182</v>
      </c>
      <c r="AH26" s="1" t="s">
        <v>13</v>
      </c>
      <c r="AI26" s="3">
        <f t="shared" ref="AI26:AI30" si="38">COUNTIFs(A:A, "=" &amp; AH26, AC:AC, "=1")</f>
        <v>5</v>
      </c>
      <c r="AJ26" s="3">
        <f t="shared" ref="AJ26:AJ30" si="39">countif(A:A, "=" &amp; AH26)</f>
        <v>8</v>
      </c>
      <c r="AK26" s="3">
        <f t="shared" ref="AK26:AK30" si="40">AI26/AJ26</f>
        <v>0.625</v>
      </c>
      <c r="AL26" s="3">
        <f t="shared" ref="AL26:AL30" si="41">SUMIFS(AE:AE, A:A,"=" &amp; AH26,AC:AC, "=1")</f>
        <v>5.350946947</v>
      </c>
      <c r="AM26" s="3">
        <f t="shared" ref="AM26:AM30" si="42">SUMIFS(AE:AE, A:A,"=" &amp; AH26,AC:AC, "=0")</f>
        <v>-4</v>
      </c>
      <c r="AN26" s="3">
        <f t="shared" ref="AN26:AN30" si="43">AL26+AM26</f>
        <v>1.350946947</v>
      </c>
      <c r="AO26" s="4">
        <f t="shared" ref="AO26:AO30" si="44">IFERROR( countifs(A:A, "="&amp;AH26, U:U, "=1", AC:AC, "=1")/countifs(A:A, "="&amp;AH26, U:U, "=1"), 0)</f>
        <v>0.7142857143</v>
      </c>
      <c r="AP26" s="4">
        <f t="shared" ref="AP26:AP30" si="45">IFERROR( countifs(A:A, "="&amp;AH26, U:U, "=0", AC:AC, "=1")/countifs(A:A, "="&amp;AH26, U:U, "=0"), 0)</f>
        <v>0</v>
      </c>
      <c r="AQ26" s="5">
        <f t="shared" ref="AQ26:AQ30" si="46">iferror(IFS(AND(AP26 &gt; 0.5, AO26 &gt; 0.5), 1, AND(AP26 &lt;= 0.5, AO26 &lt;= 0.5), -1), 0)
</f>
        <v>0</v>
      </c>
      <c r="AR26" s="5">
        <f t="shared" ref="AR26:AR30" si="47">if(AN26&lt;0, -1, 1)</f>
        <v>1</v>
      </c>
    </row>
    <row r="27">
      <c r="A27" s="1" t="s">
        <v>8</v>
      </c>
      <c r="B27" s="1" t="s">
        <v>328</v>
      </c>
      <c r="C27" s="1" t="s">
        <v>21</v>
      </c>
      <c r="D27" s="1" t="s">
        <v>109</v>
      </c>
      <c r="E27" s="1" t="s">
        <v>113</v>
      </c>
      <c r="F27" s="1" t="s">
        <v>575</v>
      </c>
      <c r="G27" s="1">
        <v>1.5</v>
      </c>
      <c r="H27" s="1" t="s">
        <v>60</v>
      </c>
      <c r="I27" s="1">
        <v>107.0</v>
      </c>
      <c r="J27" s="1">
        <v>0.0260724963093847</v>
      </c>
      <c r="K27" s="1" t="s">
        <v>61</v>
      </c>
      <c r="L27" s="1" t="s">
        <v>61</v>
      </c>
      <c r="M27" s="1" t="s">
        <v>62</v>
      </c>
      <c r="N27" s="1">
        <v>-145.0</v>
      </c>
      <c r="O27" s="1">
        <v>-0.101010336705175</v>
      </c>
      <c r="P27" s="1" t="s">
        <v>61</v>
      </c>
      <c r="Q27" s="1" t="s">
        <v>61</v>
      </c>
      <c r="R27" s="1">
        <f t="shared" si="1"/>
        <v>0.02607249631</v>
      </c>
      <c r="S27" s="1">
        <f t="shared" si="2"/>
        <v>107</v>
      </c>
      <c r="T27" s="1">
        <f t="shared" si="3"/>
        <v>2.07</v>
      </c>
      <c r="U27" s="1">
        <f t="shared" si="4"/>
        <v>1</v>
      </c>
      <c r="V27" s="3">
        <f t="shared" si="5"/>
        <v>1</v>
      </c>
      <c r="W27" s="3">
        <f t="shared" si="6"/>
        <v>2</v>
      </c>
      <c r="X27" s="3" t="str">
        <f>IFERROR(__xludf.DUMMYFUNCTION("split(B27,"" "")"),"K.")</f>
        <v>K.</v>
      </c>
      <c r="Y27" s="3" t="str">
        <f>IFERROR(__xludf.DUMMYFUNCTION("""COMPUTED_VALUE"""),"Cousins")</f>
        <v>Cousins</v>
      </c>
      <c r="AA27" s="3">
        <v>0.0</v>
      </c>
      <c r="AB27" s="3">
        <f t="shared" si="7"/>
        <v>0</v>
      </c>
      <c r="AC27" s="3">
        <f t="shared" si="8"/>
        <v>0</v>
      </c>
      <c r="AD27" s="3">
        <f t="shared" si="9"/>
        <v>1.07</v>
      </c>
      <c r="AE27" s="3">
        <f t="shared" si="10"/>
        <v>-1</v>
      </c>
      <c r="AF27" s="3">
        <f t="shared" si="11"/>
        <v>-2</v>
      </c>
      <c r="AG27" s="3">
        <f t="shared" si="12"/>
        <v>-1</v>
      </c>
      <c r="AH27" s="1" t="s">
        <v>14</v>
      </c>
      <c r="AI27" s="3">
        <f t="shared" si="38"/>
        <v>10</v>
      </c>
      <c r="AJ27" s="3">
        <f t="shared" si="39"/>
        <v>18</v>
      </c>
      <c r="AK27" s="3">
        <f t="shared" si="40"/>
        <v>0.5555555556</v>
      </c>
      <c r="AL27" s="3">
        <f t="shared" si="41"/>
        <v>19.44408167</v>
      </c>
      <c r="AM27" s="3">
        <f t="shared" si="42"/>
        <v>-17</v>
      </c>
      <c r="AN27" s="3">
        <f t="shared" si="43"/>
        <v>2.444081669</v>
      </c>
      <c r="AO27" s="4">
        <f t="shared" si="44"/>
        <v>0.5</v>
      </c>
      <c r="AP27" s="4">
        <f t="shared" si="45"/>
        <v>0.5833333333</v>
      </c>
      <c r="AQ27" s="5">
        <f t="shared" si="46"/>
        <v>0</v>
      </c>
      <c r="AR27" s="5">
        <f t="shared" si="47"/>
        <v>1</v>
      </c>
    </row>
    <row r="28">
      <c r="A28" s="1" t="s">
        <v>16</v>
      </c>
      <c r="B28" s="1" t="s">
        <v>328</v>
      </c>
      <c r="C28" s="1" t="s">
        <v>21</v>
      </c>
      <c r="D28" s="1" t="s">
        <v>109</v>
      </c>
      <c r="E28" s="1" t="s">
        <v>113</v>
      </c>
      <c r="F28" s="1" t="s">
        <v>575</v>
      </c>
      <c r="G28" s="1">
        <v>32.5</v>
      </c>
      <c r="H28" s="1" t="s">
        <v>60</v>
      </c>
      <c r="I28" s="1">
        <v>-116.0</v>
      </c>
      <c r="J28" s="1">
        <v>-0.0809418625296297</v>
      </c>
      <c r="K28" s="1" t="s">
        <v>61</v>
      </c>
      <c r="L28" s="1" t="s">
        <v>61</v>
      </c>
      <c r="M28" s="1" t="s">
        <v>62</v>
      </c>
      <c r="N28" s="1">
        <v>-113.0</v>
      </c>
      <c r="O28" s="1">
        <v>0.01338778657277</v>
      </c>
      <c r="P28" s="1" t="s">
        <v>61</v>
      </c>
      <c r="Q28" s="1" t="s">
        <v>61</v>
      </c>
      <c r="R28" s="1">
        <f t="shared" si="1"/>
        <v>0.01338778657</v>
      </c>
      <c r="S28" s="1">
        <f t="shared" si="2"/>
        <v>-113</v>
      </c>
      <c r="T28" s="1">
        <f t="shared" si="3"/>
        <v>1.884955752</v>
      </c>
      <c r="U28" s="1">
        <f t="shared" si="4"/>
        <v>0</v>
      </c>
      <c r="V28" s="3">
        <f t="shared" si="5"/>
        <v>1</v>
      </c>
      <c r="W28" s="3">
        <f t="shared" si="6"/>
        <v>2</v>
      </c>
      <c r="X28" s="3" t="str">
        <f>IFERROR(__xludf.DUMMYFUNCTION("split(B28,"" "")"),"K.")</f>
        <v>K.</v>
      </c>
      <c r="Y28" s="3" t="str">
        <f>IFERROR(__xludf.DUMMYFUNCTION("""COMPUTED_VALUE"""),"Cousins")</f>
        <v>Cousins</v>
      </c>
      <c r="AA28" s="3">
        <v>58.0</v>
      </c>
      <c r="AB28" s="3">
        <f t="shared" si="7"/>
        <v>1</v>
      </c>
      <c r="AC28" s="3">
        <f t="shared" si="8"/>
        <v>0</v>
      </c>
      <c r="AD28" s="3">
        <f t="shared" si="9"/>
        <v>0.8849557522</v>
      </c>
      <c r="AE28" s="3">
        <f t="shared" si="10"/>
        <v>-1</v>
      </c>
      <c r="AF28" s="3">
        <f t="shared" si="11"/>
        <v>-2</v>
      </c>
      <c r="AG28" s="3">
        <f t="shared" si="12"/>
        <v>-0.7846153846</v>
      </c>
      <c r="AH28" s="1" t="s">
        <v>15</v>
      </c>
      <c r="AI28" s="3">
        <f t="shared" si="38"/>
        <v>12</v>
      </c>
      <c r="AJ28" s="3">
        <f t="shared" si="39"/>
        <v>24</v>
      </c>
      <c r="AK28" s="3">
        <f t="shared" si="40"/>
        <v>0.5</v>
      </c>
      <c r="AL28" s="3">
        <f t="shared" si="41"/>
        <v>14.52934606</v>
      </c>
      <c r="AM28" s="3">
        <f t="shared" si="42"/>
        <v>-13</v>
      </c>
      <c r="AN28" s="3">
        <f t="shared" si="43"/>
        <v>1.52934606</v>
      </c>
      <c r="AO28" s="4">
        <f t="shared" si="44"/>
        <v>0.5</v>
      </c>
      <c r="AP28" s="4">
        <f t="shared" si="45"/>
        <v>0.5</v>
      </c>
      <c r="AQ28" s="5">
        <f t="shared" si="46"/>
        <v>-1</v>
      </c>
      <c r="AR28" s="5">
        <f t="shared" si="47"/>
        <v>1</v>
      </c>
    </row>
    <row r="29">
      <c r="A29" s="1" t="s">
        <v>9</v>
      </c>
      <c r="B29" s="1" t="s">
        <v>264</v>
      </c>
      <c r="C29" s="1" t="s">
        <v>19</v>
      </c>
      <c r="D29" s="1" t="s">
        <v>109</v>
      </c>
      <c r="E29" s="1" t="s">
        <v>113</v>
      </c>
      <c r="F29" s="1" t="s">
        <v>575</v>
      </c>
      <c r="G29" s="1">
        <v>90.5</v>
      </c>
      <c r="H29" s="1" t="s">
        <v>60</v>
      </c>
      <c r="I29" s="1">
        <v>-117.0</v>
      </c>
      <c r="J29" s="1">
        <v>-0.0875345429641697</v>
      </c>
      <c r="K29" s="1" t="s">
        <v>61</v>
      </c>
      <c r="L29" s="1" t="s">
        <v>61</v>
      </c>
      <c r="M29" s="1" t="s">
        <v>62</v>
      </c>
      <c r="N29" s="1">
        <v>-116.0</v>
      </c>
      <c r="O29" s="1">
        <v>0.0113698036718187</v>
      </c>
      <c r="P29" s="1" t="s">
        <v>61</v>
      </c>
      <c r="Q29" s="1" t="s">
        <v>61</v>
      </c>
      <c r="R29" s="1">
        <f t="shared" si="1"/>
        <v>0.01136980367</v>
      </c>
      <c r="S29" s="1">
        <f t="shared" si="2"/>
        <v>-116</v>
      </c>
      <c r="T29" s="1">
        <f t="shared" si="3"/>
        <v>1.862068966</v>
      </c>
      <c r="U29" s="1">
        <f t="shared" si="4"/>
        <v>0</v>
      </c>
      <c r="V29" s="3">
        <f t="shared" si="5"/>
        <v>1</v>
      </c>
      <c r="W29" s="3">
        <f t="shared" si="6"/>
        <v>2</v>
      </c>
      <c r="X29" s="3" t="str">
        <f>IFERROR(__xludf.DUMMYFUNCTION("split(B29,"" "")"),"B.")</f>
        <v>B.</v>
      </c>
      <c r="Y29" s="3" t="str">
        <f>IFERROR(__xludf.DUMMYFUNCTION("""COMPUTED_VALUE"""),"Robinson")</f>
        <v>Robinson</v>
      </c>
      <c r="AA29" s="3">
        <v>77.0</v>
      </c>
      <c r="AB29" s="3">
        <f t="shared" si="7"/>
        <v>0</v>
      </c>
      <c r="AC29" s="3">
        <f t="shared" si="8"/>
        <v>1</v>
      </c>
      <c r="AD29" s="3">
        <f t="shared" si="9"/>
        <v>0.8620689655</v>
      </c>
      <c r="AE29" s="3">
        <f t="shared" si="10"/>
        <v>0.8620689655</v>
      </c>
      <c r="AF29" s="3">
        <f t="shared" si="11"/>
        <v>1.724137931</v>
      </c>
      <c r="AG29" s="3">
        <f t="shared" si="12"/>
        <v>0.1491712707</v>
      </c>
      <c r="AH29" s="1" t="s">
        <v>16</v>
      </c>
      <c r="AI29" s="3">
        <f t="shared" si="38"/>
        <v>7</v>
      </c>
      <c r="AJ29" s="3">
        <f t="shared" si="39"/>
        <v>13</v>
      </c>
      <c r="AK29" s="3">
        <f t="shared" si="40"/>
        <v>0.5384615385</v>
      </c>
      <c r="AL29" s="3">
        <f t="shared" si="41"/>
        <v>7.426618144</v>
      </c>
      <c r="AM29" s="3">
        <f t="shared" si="42"/>
        <v>-8</v>
      </c>
      <c r="AN29" s="3">
        <f t="shared" si="43"/>
        <v>-0.5733818562</v>
      </c>
      <c r="AO29" s="4">
        <f t="shared" si="44"/>
        <v>1</v>
      </c>
      <c r="AP29" s="4">
        <f t="shared" si="45"/>
        <v>0.3333333333</v>
      </c>
      <c r="AQ29" s="5">
        <f t="shared" si="46"/>
        <v>0</v>
      </c>
      <c r="AR29" s="5">
        <f t="shared" si="47"/>
        <v>-1</v>
      </c>
    </row>
    <row r="30">
      <c r="A30" s="1" t="s">
        <v>8</v>
      </c>
      <c r="B30" s="1" t="s">
        <v>264</v>
      </c>
      <c r="C30" s="1" t="s">
        <v>19</v>
      </c>
      <c r="D30" s="1" t="s">
        <v>109</v>
      </c>
      <c r="E30" s="1" t="s">
        <v>113</v>
      </c>
      <c r="F30" s="1" t="s">
        <v>575</v>
      </c>
      <c r="G30" s="1">
        <v>14.5</v>
      </c>
      <c r="H30" s="1" t="s">
        <v>60</v>
      </c>
      <c r="I30" s="1">
        <v>-105.0</v>
      </c>
      <c r="J30" s="1">
        <v>-0.0792437997658536</v>
      </c>
      <c r="K30" s="1" t="s">
        <v>61</v>
      </c>
      <c r="L30" s="1" t="s">
        <v>61</v>
      </c>
      <c r="M30" s="1" t="s">
        <v>62</v>
      </c>
      <c r="N30" s="1">
        <v>-128.0</v>
      </c>
      <c r="O30" s="1">
        <v>0.00565251341473693</v>
      </c>
      <c r="P30" s="1" t="s">
        <v>61</v>
      </c>
      <c r="Q30" s="1" t="s">
        <v>61</v>
      </c>
      <c r="R30" s="1">
        <f t="shared" si="1"/>
        <v>0.005652513415</v>
      </c>
      <c r="S30" s="1">
        <f t="shared" si="2"/>
        <v>-128</v>
      </c>
      <c r="T30" s="1">
        <f t="shared" si="3"/>
        <v>1.78125</v>
      </c>
      <c r="U30" s="1">
        <f t="shared" si="4"/>
        <v>0</v>
      </c>
      <c r="V30" s="3">
        <f t="shared" si="5"/>
        <v>1</v>
      </c>
      <c r="W30" s="3">
        <f t="shared" si="6"/>
        <v>3</v>
      </c>
      <c r="X30" s="3" t="str">
        <f>IFERROR(__xludf.DUMMYFUNCTION("split(B30,"" "")"),"B.")</f>
        <v>B.</v>
      </c>
      <c r="Y30" s="3" t="str">
        <f>IFERROR(__xludf.DUMMYFUNCTION("""COMPUTED_VALUE"""),"Robinson")</f>
        <v>Robinson</v>
      </c>
      <c r="AA30" s="3">
        <v>12.0</v>
      </c>
      <c r="AB30" s="3">
        <f t="shared" si="7"/>
        <v>0</v>
      </c>
      <c r="AC30" s="3">
        <f t="shared" si="8"/>
        <v>1</v>
      </c>
      <c r="AD30" s="3">
        <f t="shared" si="9"/>
        <v>0.78125</v>
      </c>
      <c r="AE30" s="3">
        <f t="shared" si="10"/>
        <v>0.78125</v>
      </c>
      <c r="AF30" s="3">
        <f t="shared" si="11"/>
        <v>2.34375</v>
      </c>
      <c r="AG30" s="3">
        <f t="shared" si="12"/>
        <v>0.1724137931</v>
      </c>
      <c r="AH30" s="1" t="s">
        <v>17</v>
      </c>
      <c r="AI30" s="3">
        <f t="shared" si="38"/>
        <v>8</v>
      </c>
      <c r="AJ30" s="3">
        <f t="shared" si="39"/>
        <v>22</v>
      </c>
      <c r="AK30" s="3">
        <f t="shared" si="40"/>
        <v>0.3636363636</v>
      </c>
      <c r="AL30" s="3">
        <f t="shared" si="41"/>
        <v>8.743861897</v>
      </c>
      <c r="AM30" s="3">
        <f t="shared" si="42"/>
        <v>-22</v>
      </c>
      <c r="AN30" s="3">
        <f t="shared" si="43"/>
        <v>-13.2561381</v>
      </c>
      <c r="AO30" s="4">
        <f t="shared" si="44"/>
        <v>0</v>
      </c>
      <c r="AP30" s="4">
        <f t="shared" si="45"/>
        <v>0.3636363636</v>
      </c>
      <c r="AQ30" s="5">
        <f t="shared" si="46"/>
        <v>-1</v>
      </c>
      <c r="AR30" s="5">
        <f t="shared" si="47"/>
        <v>-1</v>
      </c>
    </row>
    <row r="31">
      <c r="A31" s="1" t="s">
        <v>9</v>
      </c>
      <c r="B31" s="1" t="s">
        <v>138</v>
      </c>
      <c r="C31" s="1" t="s">
        <v>18</v>
      </c>
      <c r="D31" s="1" t="s">
        <v>77</v>
      </c>
      <c r="E31" s="1" t="s">
        <v>67</v>
      </c>
      <c r="F31" s="1" t="s">
        <v>576</v>
      </c>
      <c r="G31" s="1">
        <v>14.5</v>
      </c>
      <c r="H31" s="1" t="s">
        <v>60</v>
      </c>
      <c r="I31" s="1">
        <v>-120.0</v>
      </c>
      <c r="J31" s="1">
        <v>0.143977200014605</v>
      </c>
      <c r="K31" s="1" t="s">
        <v>61</v>
      </c>
      <c r="L31" s="1" t="s">
        <v>61</v>
      </c>
      <c r="M31" s="1" t="s">
        <v>62</v>
      </c>
      <c r="N31" s="1">
        <v>-110.0</v>
      </c>
      <c r="O31" s="1">
        <v>-0.213200392397783</v>
      </c>
      <c r="P31" s="1" t="s">
        <v>61</v>
      </c>
      <c r="Q31" s="1" t="s">
        <v>61</v>
      </c>
      <c r="R31" s="1">
        <f t="shared" si="1"/>
        <v>0.1439772</v>
      </c>
      <c r="S31" s="1">
        <f t="shared" si="2"/>
        <v>-120</v>
      </c>
      <c r="T31" s="1">
        <f t="shared" si="3"/>
        <v>1.833333333</v>
      </c>
      <c r="U31" s="1">
        <f t="shared" si="4"/>
        <v>1</v>
      </c>
      <c r="V31" s="3">
        <f t="shared" si="5"/>
        <v>3</v>
      </c>
      <c r="W31" s="3">
        <f t="shared" si="6"/>
        <v>3</v>
      </c>
      <c r="X31" s="3" t="str">
        <f>IFERROR(__xludf.DUMMYFUNCTION("split(B31,"" "")"),"N.")</f>
        <v>N.</v>
      </c>
      <c r="Y31" s="3" t="str">
        <f>IFERROR(__xludf.DUMMYFUNCTION("""COMPUTED_VALUE"""),"Agholor")</f>
        <v>Agholor</v>
      </c>
      <c r="AA31" s="3">
        <v>4.0</v>
      </c>
      <c r="AB31" s="3">
        <f t="shared" si="7"/>
        <v>0</v>
      </c>
      <c r="AC31" s="3">
        <f t="shared" si="8"/>
        <v>0</v>
      </c>
      <c r="AD31" s="3">
        <f t="shared" si="9"/>
        <v>2.5</v>
      </c>
      <c r="AE31" s="3">
        <f t="shared" si="10"/>
        <v>-3</v>
      </c>
      <c r="AF31" s="3">
        <f t="shared" si="11"/>
        <v>-3</v>
      </c>
      <c r="AG31" s="3">
        <f t="shared" si="12"/>
        <v>-0.724137931</v>
      </c>
      <c r="AJ31" s="1" t="s">
        <v>512</v>
      </c>
      <c r="AK31" s="1" t="s">
        <v>513</v>
      </c>
    </row>
    <row r="32">
      <c r="A32" s="1" t="s">
        <v>8</v>
      </c>
      <c r="B32" s="1" t="s">
        <v>182</v>
      </c>
      <c r="C32" s="1" t="s">
        <v>19</v>
      </c>
      <c r="D32" s="1" t="s">
        <v>77</v>
      </c>
      <c r="E32" s="1" t="s">
        <v>67</v>
      </c>
      <c r="F32" s="1" t="s">
        <v>576</v>
      </c>
      <c r="G32" s="1">
        <v>3.5</v>
      </c>
      <c r="H32" s="1" t="s">
        <v>60</v>
      </c>
      <c r="I32" s="1">
        <v>-110.0</v>
      </c>
      <c r="J32" s="1">
        <v>-0.218348189401662</v>
      </c>
      <c r="K32" s="1" t="s">
        <v>61</v>
      </c>
      <c r="L32" s="1" t="s">
        <v>61</v>
      </c>
      <c r="M32" s="1" t="s">
        <v>62</v>
      </c>
      <c r="N32" s="1">
        <v>-123.0</v>
      </c>
      <c r="O32" s="1">
        <v>0.14299110906928</v>
      </c>
      <c r="P32" s="1" t="s">
        <v>61</v>
      </c>
      <c r="Q32" s="1" t="s">
        <v>61</v>
      </c>
      <c r="R32" s="1">
        <f t="shared" si="1"/>
        <v>0.1429911091</v>
      </c>
      <c r="S32" s="1">
        <f t="shared" si="2"/>
        <v>-123</v>
      </c>
      <c r="T32" s="1">
        <f t="shared" si="3"/>
        <v>1.81300813</v>
      </c>
      <c r="U32" s="1">
        <f t="shared" si="4"/>
        <v>0</v>
      </c>
      <c r="V32" s="3">
        <f t="shared" si="5"/>
        <v>3</v>
      </c>
      <c r="W32" s="3">
        <f t="shared" si="6"/>
        <v>3</v>
      </c>
      <c r="X32" s="3" t="str">
        <f>IFERROR(__xludf.DUMMYFUNCTION("split(B32,"" "")"),"J.")</f>
        <v>J.</v>
      </c>
      <c r="Y32" s="3" t="str">
        <f>IFERROR(__xludf.DUMMYFUNCTION("""COMPUTED_VALUE"""),"Hill")</f>
        <v>Hill</v>
      </c>
      <c r="AA32" s="3">
        <v>5.0</v>
      </c>
      <c r="AB32" s="3">
        <f t="shared" si="7"/>
        <v>1</v>
      </c>
      <c r="AC32" s="3">
        <f t="shared" si="8"/>
        <v>0</v>
      </c>
      <c r="AD32" s="3">
        <f t="shared" si="9"/>
        <v>2.43902439</v>
      </c>
      <c r="AE32" s="3">
        <f t="shared" si="10"/>
        <v>-3</v>
      </c>
      <c r="AF32" s="3">
        <f t="shared" si="11"/>
        <v>-3</v>
      </c>
      <c r="AG32" s="3">
        <f t="shared" si="12"/>
        <v>-0.4285714286</v>
      </c>
      <c r="AH32" s="1" t="s">
        <v>514</v>
      </c>
      <c r="AI32" s="3">
        <f>COUNTIFS(AG2:AG999, "&gt;1.7", AC2:AC999,"=1", U2:U999, "=1") + countifs(U2:U999, "=0", AA2:AA999, "=0")</f>
        <v>46</v>
      </c>
      <c r="AJ32" s="3">
        <f>COUNTIFS(AG2:AG999, "&gt;1.7", AC2:AC999,"=1", U2:U999, "=1")</f>
        <v>17</v>
      </c>
      <c r="AK32" s="3">
        <f>AI32-AJ32</f>
        <v>29</v>
      </c>
    </row>
    <row r="33">
      <c r="A33" s="1" t="s">
        <v>8</v>
      </c>
      <c r="B33" s="1" t="s">
        <v>347</v>
      </c>
      <c r="C33" s="1" t="s">
        <v>21</v>
      </c>
      <c r="D33" s="1" t="s">
        <v>77</v>
      </c>
      <c r="E33" s="1" t="s">
        <v>67</v>
      </c>
      <c r="F33" s="1" t="s">
        <v>576</v>
      </c>
      <c r="G33" s="1">
        <v>9.5</v>
      </c>
      <c r="H33" s="1" t="s">
        <v>60</v>
      </c>
      <c r="I33" s="1">
        <v>-122.0</v>
      </c>
      <c r="J33" s="1">
        <v>-0.216837439797416</v>
      </c>
      <c r="K33" s="1" t="s">
        <v>61</v>
      </c>
      <c r="L33" s="1" t="s">
        <v>61</v>
      </c>
      <c r="M33" s="1" t="s">
        <v>62</v>
      </c>
      <c r="N33" s="1">
        <v>-111.0</v>
      </c>
      <c r="O33" s="1">
        <v>0.141236293435446</v>
      </c>
      <c r="P33" s="1" t="s">
        <v>61</v>
      </c>
      <c r="Q33" s="1" t="s">
        <v>61</v>
      </c>
      <c r="R33" s="1">
        <f t="shared" si="1"/>
        <v>0.1412362934</v>
      </c>
      <c r="S33" s="1">
        <f t="shared" si="2"/>
        <v>-111</v>
      </c>
      <c r="T33" s="1">
        <f t="shared" si="3"/>
        <v>1.900900901</v>
      </c>
      <c r="U33" s="1">
        <f t="shared" si="4"/>
        <v>0</v>
      </c>
      <c r="V33" s="3">
        <f t="shared" si="5"/>
        <v>3</v>
      </c>
      <c r="W33" s="3">
        <f t="shared" si="6"/>
        <v>2</v>
      </c>
      <c r="X33" s="3" t="str">
        <f>IFERROR(__xludf.DUMMYFUNCTION("split(B33,"" "")"),"L.")</f>
        <v>L.</v>
      </c>
      <c r="Y33" s="3" t="str">
        <f>IFERROR(__xludf.DUMMYFUNCTION("""COMPUTED_VALUE"""),"Jackson")</f>
        <v>Jackson</v>
      </c>
      <c r="AA33" s="3">
        <v>12.0</v>
      </c>
      <c r="AB33" s="3">
        <f t="shared" si="7"/>
        <v>1</v>
      </c>
      <c r="AC33" s="3">
        <f t="shared" si="8"/>
        <v>0</v>
      </c>
      <c r="AD33" s="3">
        <f t="shared" si="9"/>
        <v>2.702702703</v>
      </c>
      <c r="AE33" s="3">
        <f t="shared" si="10"/>
        <v>-3</v>
      </c>
      <c r="AF33" s="3">
        <f t="shared" si="11"/>
        <v>-2</v>
      </c>
      <c r="AG33" s="3">
        <f t="shared" si="12"/>
        <v>-0.2631578947</v>
      </c>
    </row>
    <row r="34">
      <c r="A34" s="1" t="s">
        <v>12</v>
      </c>
      <c r="B34" s="1" t="s">
        <v>182</v>
      </c>
      <c r="C34" s="1" t="s">
        <v>19</v>
      </c>
      <c r="D34" s="1" t="s">
        <v>77</v>
      </c>
      <c r="E34" s="1" t="s">
        <v>67</v>
      </c>
      <c r="F34" s="1" t="s">
        <v>576</v>
      </c>
      <c r="G34" s="1">
        <v>2.5</v>
      </c>
      <c r="H34" s="1" t="s">
        <v>60</v>
      </c>
      <c r="I34" s="1">
        <v>-125.0</v>
      </c>
      <c r="J34" s="1">
        <v>-0.159441605555555</v>
      </c>
      <c r="K34" s="1" t="s">
        <v>61</v>
      </c>
      <c r="L34" s="1" t="s">
        <v>61</v>
      </c>
      <c r="M34" s="1" t="s">
        <v>62</v>
      </c>
      <c r="N34" s="1">
        <v>-105.0</v>
      </c>
      <c r="O34" s="1">
        <v>0.0917040454268293</v>
      </c>
      <c r="P34" s="1" t="s">
        <v>61</v>
      </c>
      <c r="Q34" s="1" t="s">
        <v>61</v>
      </c>
      <c r="R34" s="1">
        <f t="shared" si="1"/>
        <v>0.09170404543</v>
      </c>
      <c r="S34" s="1">
        <f t="shared" si="2"/>
        <v>-105</v>
      </c>
      <c r="T34" s="1">
        <f t="shared" si="3"/>
        <v>1.952380952</v>
      </c>
      <c r="U34" s="1">
        <f t="shared" si="4"/>
        <v>0</v>
      </c>
      <c r="V34" s="3">
        <f t="shared" si="5"/>
        <v>2</v>
      </c>
      <c r="W34" s="3">
        <f t="shared" si="6"/>
        <v>2</v>
      </c>
      <c r="X34" s="3" t="str">
        <f>IFERROR(__xludf.DUMMYFUNCTION("split(B34,"" "")"),"J.")</f>
        <v>J.</v>
      </c>
      <c r="Y34" s="3" t="str">
        <f>IFERROR(__xludf.DUMMYFUNCTION("""COMPUTED_VALUE"""),"Hill")</f>
        <v>Hill</v>
      </c>
      <c r="AA34" s="3">
        <v>1.0</v>
      </c>
      <c r="AB34" s="3">
        <f t="shared" si="7"/>
        <v>0</v>
      </c>
      <c r="AC34" s="3">
        <f t="shared" si="8"/>
        <v>1</v>
      </c>
      <c r="AD34" s="3">
        <f t="shared" si="9"/>
        <v>1.904761905</v>
      </c>
      <c r="AE34" s="3">
        <f t="shared" si="10"/>
        <v>1.904761905</v>
      </c>
      <c r="AF34" s="3">
        <f t="shared" si="11"/>
        <v>1.904761905</v>
      </c>
      <c r="AG34" s="3">
        <f t="shared" si="12"/>
        <v>0.6</v>
      </c>
    </row>
    <row r="35">
      <c r="A35" s="1" t="s">
        <v>12</v>
      </c>
      <c r="B35" s="1" t="s">
        <v>239</v>
      </c>
      <c r="C35" s="1" t="s">
        <v>18</v>
      </c>
      <c r="D35" s="1" t="s">
        <v>77</v>
      </c>
      <c r="E35" s="1" t="s">
        <v>67</v>
      </c>
      <c r="F35" s="1" t="s">
        <v>576</v>
      </c>
      <c r="G35" s="1">
        <v>2.5</v>
      </c>
      <c r="H35" s="1" t="s">
        <v>60</v>
      </c>
      <c r="I35" s="1">
        <v>-101.0</v>
      </c>
      <c r="J35" s="1">
        <v>-0.145285938258706</v>
      </c>
      <c r="K35" s="1" t="s">
        <v>61</v>
      </c>
      <c r="L35" s="1" t="s">
        <v>61</v>
      </c>
      <c r="M35" s="1" t="s">
        <v>62</v>
      </c>
      <c r="N35" s="1">
        <v>-130.0</v>
      </c>
      <c r="O35" s="1">
        <v>0.0775671550739129</v>
      </c>
      <c r="P35" s="1" t="s">
        <v>61</v>
      </c>
      <c r="Q35" s="1" t="s">
        <v>61</v>
      </c>
      <c r="R35" s="1">
        <f t="shared" si="1"/>
        <v>0.07756715507</v>
      </c>
      <c r="S35" s="1">
        <f t="shared" si="2"/>
        <v>-130</v>
      </c>
      <c r="T35" s="1">
        <f t="shared" si="3"/>
        <v>1.769230769</v>
      </c>
      <c r="U35" s="1">
        <f t="shared" si="4"/>
        <v>0</v>
      </c>
      <c r="V35" s="3">
        <f t="shared" si="5"/>
        <v>2</v>
      </c>
      <c r="W35" s="3">
        <f t="shared" si="6"/>
        <v>3</v>
      </c>
      <c r="X35" s="3" t="str">
        <f>IFERROR(__xludf.DUMMYFUNCTION("split(B35,"" "")"),"R.")</f>
        <v>R.</v>
      </c>
      <c r="Y35" s="3" t="str">
        <f>IFERROR(__xludf.DUMMYFUNCTION("""COMPUTED_VALUE"""),"Bateman")</f>
        <v>Bateman</v>
      </c>
      <c r="AA35" s="3">
        <v>4.0</v>
      </c>
      <c r="AB35" s="3">
        <f t="shared" si="7"/>
        <v>1</v>
      </c>
      <c r="AC35" s="3">
        <f t="shared" si="8"/>
        <v>0</v>
      </c>
      <c r="AD35" s="3">
        <f t="shared" si="9"/>
        <v>1.538461538</v>
      </c>
      <c r="AE35" s="3">
        <f t="shared" si="10"/>
        <v>-2</v>
      </c>
      <c r="AF35" s="3">
        <f t="shared" si="11"/>
        <v>-3</v>
      </c>
      <c r="AG35" s="3">
        <f t="shared" si="12"/>
        <v>-0.6</v>
      </c>
    </row>
    <row r="36">
      <c r="A36" s="1" t="s">
        <v>12</v>
      </c>
      <c r="B36" s="1" t="s">
        <v>309</v>
      </c>
      <c r="C36" s="1" t="s">
        <v>19</v>
      </c>
      <c r="D36" s="1" t="s">
        <v>77</v>
      </c>
      <c r="E36" s="1" t="s">
        <v>67</v>
      </c>
      <c r="F36" s="1" t="s">
        <v>576</v>
      </c>
      <c r="G36" s="1">
        <v>1.5</v>
      </c>
      <c r="H36" s="1" t="s">
        <v>60</v>
      </c>
      <c r="I36" s="1">
        <v>112.0</v>
      </c>
      <c r="J36" s="1">
        <v>-0.126537117859622</v>
      </c>
      <c r="K36" s="1" t="s">
        <v>61</v>
      </c>
      <c r="L36" s="1" t="s">
        <v>61</v>
      </c>
      <c r="M36" s="1" t="s">
        <v>62</v>
      </c>
      <c r="N36" s="1">
        <v>-144.0</v>
      </c>
      <c r="O36" s="1">
        <v>0.0646679279134426</v>
      </c>
      <c r="P36" s="1" t="s">
        <v>61</v>
      </c>
      <c r="Q36" s="1" t="s">
        <v>61</v>
      </c>
      <c r="R36" s="1">
        <f t="shared" si="1"/>
        <v>0.06466792791</v>
      </c>
      <c r="S36" s="1">
        <f t="shared" si="2"/>
        <v>-144</v>
      </c>
      <c r="T36" s="1">
        <f t="shared" si="3"/>
        <v>1.694444444</v>
      </c>
      <c r="U36" s="1">
        <f t="shared" si="4"/>
        <v>0</v>
      </c>
      <c r="V36" s="3">
        <f t="shared" si="5"/>
        <v>2</v>
      </c>
      <c r="W36" s="3">
        <f t="shared" si="6"/>
        <v>3</v>
      </c>
      <c r="X36" s="3" t="str">
        <f>IFERROR(__xludf.DUMMYFUNCTION("split(B36,"" "")"),"D.")</f>
        <v>D.</v>
      </c>
      <c r="Y36" s="3" t="str">
        <f>IFERROR(__xludf.DUMMYFUNCTION("""COMPUTED_VALUE"""),"Henry")</f>
        <v>Henry</v>
      </c>
      <c r="AA36" s="3">
        <v>1.0</v>
      </c>
      <c r="AB36" s="3">
        <f t="shared" si="7"/>
        <v>0</v>
      </c>
      <c r="AC36" s="3">
        <f t="shared" si="8"/>
        <v>1</v>
      </c>
      <c r="AD36" s="3">
        <f t="shared" si="9"/>
        <v>1.388888889</v>
      </c>
      <c r="AE36" s="3">
        <f t="shared" si="10"/>
        <v>1.388888889</v>
      </c>
      <c r="AF36" s="3">
        <f t="shared" si="11"/>
        <v>2.083333333</v>
      </c>
      <c r="AG36" s="3">
        <f t="shared" si="12"/>
        <v>0.3333333333</v>
      </c>
    </row>
    <row r="37">
      <c r="A37" s="1" t="s">
        <v>12</v>
      </c>
      <c r="B37" s="1" t="s">
        <v>138</v>
      </c>
      <c r="C37" s="1" t="s">
        <v>18</v>
      </c>
      <c r="D37" s="1" t="s">
        <v>77</v>
      </c>
      <c r="E37" s="1" t="s">
        <v>67</v>
      </c>
      <c r="F37" s="1" t="s">
        <v>576</v>
      </c>
      <c r="G37" s="1">
        <v>1.5</v>
      </c>
      <c r="H37" s="1" t="s">
        <v>60</v>
      </c>
      <c r="I37" s="1">
        <v>112.0</v>
      </c>
      <c r="J37" s="1">
        <v>-0.121989448792452</v>
      </c>
      <c r="K37" s="1" t="s">
        <v>61</v>
      </c>
      <c r="L37" s="1" t="s">
        <v>61</v>
      </c>
      <c r="M37" s="1" t="s">
        <v>62</v>
      </c>
      <c r="N37" s="1">
        <v>-146.0</v>
      </c>
      <c r="O37" s="1">
        <v>0.0567943314105691</v>
      </c>
      <c r="P37" s="1" t="s">
        <v>61</v>
      </c>
      <c r="Q37" s="1" t="s">
        <v>61</v>
      </c>
      <c r="R37" s="1">
        <f t="shared" si="1"/>
        <v>0.05679433141</v>
      </c>
      <c r="S37" s="1">
        <f t="shared" si="2"/>
        <v>-146</v>
      </c>
      <c r="T37" s="1">
        <f t="shared" si="3"/>
        <v>1.684931507</v>
      </c>
      <c r="U37" s="1">
        <f t="shared" si="4"/>
        <v>0</v>
      </c>
      <c r="V37" s="3">
        <f t="shared" si="5"/>
        <v>2</v>
      </c>
      <c r="W37" s="3">
        <f t="shared" si="6"/>
        <v>3</v>
      </c>
      <c r="X37" s="3" t="str">
        <f>IFERROR(__xludf.DUMMYFUNCTION("split(B37,"" "")"),"N.")</f>
        <v>N.</v>
      </c>
      <c r="Y37" s="3" t="str">
        <f>IFERROR(__xludf.DUMMYFUNCTION("""COMPUTED_VALUE"""),"Agholor")</f>
        <v>Agholor</v>
      </c>
      <c r="AA37" s="3">
        <v>1.0</v>
      </c>
      <c r="AB37" s="3">
        <f t="shared" si="7"/>
        <v>0</v>
      </c>
      <c r="AC37" s="3">
        <f t="shared" si="8"/>
        <v>1</v>
      </c>
      <c r="AD37" s="3">
        <f t="shared" si="9"/>
        <v>1.369863014</v>
      </c>
      <c r="AE37" s="3">
        <f t="shared" si="10"/>
        <v>1.369863014</v>
      </c>
      <c r="AF37" s="3">
        <f t="shared" si="11"/>
        <v>2.054794521</v>
      </c>
      <c r="AG37" s="3">
        <f t="shared" si="12"/>
        <v>0.3333333333</v>
      </c>
    </row>
    <row r="38">
      <c r="A38" s="1" t="s">
        <v>11</v>
      </c>
      <c r="B38" s="1" t="s">
        <v>309</v>
      </c>
      <c r="C38" s="1" t="s">
        <v>19</v>
      </c>
      <c r="D38" s="1" t="s">
        <v>77</v>
      </c>
      <c r="E38" s="1" t="s">
        <v>67</v>
      </c>
      <c r="F38" s="1" t="s">
        <v>576</v>
      </c>
      <c r="G38" s="1">
        <v>7.5</v>
      </c>
      <c r="H38" s="1" t="s">
        <v>60</v>
      </c>
      <c r="I38" s="1">
        <v>-114.0</v>
      </c>
      <c r="J38" s="1">
        <v>0.0567504879868743</v>
      </c>
      <c r="K38" s="1" t="s">
        <v>61</v>
      </c>
      <c r="L38" s="1" t="s">
        <v>61</v>
      </c>
      <c r="M38" s="1" t="s">
        <v>62</v>
      </c>
      <c r="N38" s="1">
        <v>-113.0</v>
      </c>
      <c r="O38" s="1">
        <v>-0.119917769976459</v>
      </c>
      <c r="P38" s="1" t="s">
        <v>61</v>
      </c>
      <c r="Q38" s="1" t="s">
        <v>61</v>
      </c>
      <c r="R38" s="1">
        <f t="shared" si="1"/>
        <v>0.05675048799</v>
      </c>
      <c r="S38" s="1">
        <f t="shared" si="2"/>
        <v>-114</v>
      </c>
      <c r="T38" s="1">
        <f t="shared" si="3"/>
        <v>1.877192982</v>
      </c>
      <c r="U38" s="1">
        <f t="shared" si="4"/>
        <v>1</v>
      </c>
      <c r="V38" s="3">
        <f t="shared" si="5"/>
        <v>2</v>
      </c>
      <c r="W38" s="3">
        <f t="shared" si="6"/>
        <v>2</v>
      </c>
      <c r="X38" s="3" t="str">
        <f>IFERROR(__xludf.DUMMYFUNCTION("split(B38,"" "")"),"D.")</f>
        <v>D.</v>
      </c>
      <c r="Y38" s="3" t="str">
        <f>IFERROR(__xludf.DUMMYFUNCTION("""COMPUTED_VALUE"""),"Henry")</f>
        <v>Henry</v>
      </c>
      <c r="AA38" s="3">
        <v>4.0</v>
      </c>
      <c r="AB38" s="3">
        <f t="shared" si="7"/>
        <v>0</v>
      </c>
      <c r="AC38" s="3">
        <f t="shared" si="8"/>
        <v>0</v>
      </c>
      <c r="AD38" s="3">
        <f t="shared" si="9"/>
        <v>1.754385965</v>
      </c>
      <c r="AE38" s="3">
        <f t="shared" si="10"/>
        <v>-2</v>
      </c>
      <c r="AF38" s="3">
        <f t="shared" si="11"/>
        <v>-2</v>
      </c>
      <c r="AG38" s="3">
        <f t="shared" si="12"/>
        <v>-0.4666666667</v>
      </c>
    </row>
    <row r="39">
      <c r="A39" s="1" t="s">
        <v>10</v>
      </c>
      <c r="B39" s="1" t="s">
        <v>182</v>
      </c>
      <c r="C39" s="1" t="s">
        <v>19</v>
      </c>
      <c r="D39" s="1" t="s">
        <v>77</v>
      </c>
      <c r="E39" s="1" t="s">
        <v>67</v>
      </c>
      <c r="F39" s="1" t="s">
        <v>576</v>
      </c>
      <c r="G39" s="1">
        <v>15.5</v>
      </c>
      <c r="H39" s="1" t="s">
        <v>60</v>
      </c>
      <c r="I39" s="1">
        <v>-119.0</v>
      </c>
      <c r="J39" s="1">
        <v>-0.122410583792237</v>
      </c>
      <c r="K39" s="1" t="s">
        <v>61</v>
      </c>
      <c r="L39" s="1" t="s">
        <v>61</v>
      </c>
      <c r="M39" s="1" t="s">
        <v>62</v>
      </c>
      <c r="N39" s="1">
        <v>-113.0</v>
      </c>
      <c r="O39" s="1">
        <v>0.0485364515073476</v>
      </c>
      <c r="P39" s="1" t="s">
        <v>61</v>
      </c>
      <c r="Q39" s="1" t="s">
        <v>61</v>
      </c>
      <c r="R39" s="1">
        <f t="shared" si="1"/>
        <v>0.04853645151</v>
      </c>
      <c r="S39" s="1">
        <f t="shared" si="2"/>
        <v>-113</v>
      </c>
      <c r="T39" s="1">
        <f t="shared" si="3"/>
        <v>1.884955752</v>
      </c>
      <c r="U39" s="1">
        <f t="shared" si="4"/>
        <v>0</v>
      </c>
      <c r="V39" s="3">
        <f t="shared" si="5"/>
        <v>1</v>
      </c>
      <c r="W39" s="3">
        <f t="shared" si="6"/>
        <v>2</v>
      </c>
      <c r="X39" s="3" t="str">
        <f>IFERROR(__xludf.DUMMYFUNCTION("split(B39,"" "")"),"J.")</f>
        <v>J.</v>
      </c>
      <c r="Y39" s="3" t="str">
        <f>IFERROR(__xludf.DUMMYFUNCTION("""COMPUTED_VALUE"""),"Hill")</f>
        <v>Hill</v>
      </c>
      <c r="AA39" s="3">
        <v>17.0</v>
      </c>
      <c r="AB39" s="3">
        <f t="shared" si="7"/>
        <v>1</v>
      </c>
      <c r="AC39" s="3">
        <f t="shared" si="8"/>
        <v>0</v>
      </c>
      <c r="AD39" s="3">
        <f t="shared" si="9"/>
        <v>0.8849557522</v>
      </c>
      <c r="AE39" s="3">
        <f t="shared" si="10"/>
        <v>-1</v>
      </c>
      <c r="AF39" s="3">
        <f t="shared" si="11"/>
        <v>-2</v>
      </c>
      <c r="AG39" s="3">
        <f t="shared" si="12"/>
        <v>-0.09677419355</v>
      </c>
    </row>
    <row r="40">
      <c r="A40" s="1" t="s">
        <v>9</v>
      </c>
      <c r="B40" s="1" t="s">
        <v>239</v>
      </c>
      <c r="C40" s="1" t="s">
        <v>18</v>
      </c>
      <c r="D40" s="1" t="s">
        <v>77</v>
      </c>
      <c r="E40" s="1" t="s">
        <v>67</v>
      </c>
      <c r="F40" s="1" t="s">
        <v>576</v>
      </c>
      <c r="G40" s="1">
        <v>29.5</v>
      </c>
      <c r="H40" s="1" t="s">
        <v>60</v>
      </c>
      <c r="I40" s="1">
        <v>-117.0</v>
      </c>
      <c r="J40" s="1">
        <v>0.0367632887316321</v>
      </c>
      <c r="K40" s="1" t="s">
        <v>61</v>
      </c>
      <c r="L40" s="1" t="s">
        <v>61</v>
      </c>
      <c r="M40" s="1" t="s">
        <v>62</v>
      </c>
      <c r="N40" s="1">
        <v>-117.0</v>
      </c>
      <c r="O40" s="1">
        <v>-0.115059047816009</v>
      </c>
      <c r="P40" s="1" t="s">
        <v>61</v>
      </c>
      <c r="Q40" s="1" t="s">
        <v>61</v>
      </c>
      <c r="R40" s="1">
        <f t="shared" si="1"/>
        <v>0.03676328873</v>
      </c>
      <c r="S40" s="1">
        <f t="shared" si="2"/>
        <v>-117</v>
      </c>
      <c r="T40" s="1">
        <f t="shared" si="3"/>
        <v>1.854700855</v>
      </c>
      <c r="U40" s="1">
        <f t="shared" si="4"/>
        <v>1</v>
      </c>
      <c r="V40" s="3">
        <f t="shared" si="5"/>
        <v>1</v>
      </c>
      <c r="W40" s="3">
        <f t="shared" si="6"/>
        <v>2</v>
      </c>
      <c r="X40" s="3" t="str">
        <f>IFERROR(__xludf.DUMMYFUNCTION("split(B40,"" "")"),"R.")</f>
        <v>R.</v>
      </c>
      <c r="Y40" s="3" t="str">
        <f>IFERROR(__xludf.DUMMYFUNCTION("""COMPUTED_VALUE"""),"Bateman")</f>
        <v>Bateman</v>
      </c>
      <c r="AA40" s="3">
        <v>58.0</v>
      </c>
      <c r="AB40" s="3">
        <f t="shared" si="7"/>
        <v>1</v>
      </c>
      <c r="AC40" s="3">
        <f t="shared" si="8"/>
        <v>1</v>
      </c>
      <c r="AD40" s="3">
        <f t="shared" si="9"/>
        <v>0.8547008547</v>
      </c>
      <c r="AE40" s="3">
        <f t="shared" si="10"/>
        <v>0.8547008547</v>
      </c>
      <c r="AF40" s="3">
        <f t="shared" si="11"/>
        <v>1.709401709</v>
      </c>
      <c r="AG40" s="3">
        <f t="shared" si="12"/>
        <v>0.9661016949</v>
      </c>
    </row>
    <row r="41">
      <c r="A41" s="1" t="s">
        <v>12</v>
      </c>
      <c r="B41" s="1" t="s">
        <v>418</v>
      </c>
      <c r="C41" s="1" t="s">
        <v>20</v>
      </c>
      <c r="D41" s="1" t="s">
        <v>77</v>
      </c>
      <c r="E41" s="1" t="s">
        <v>67</v>
      </c>
      <c r="F41" s="1" t="s">
        <v>576</v>
      </c>
      <c r="G41" s="1">
        <v>2.5</v>
      </c>
      <c r="H41" s="1" t="s">
        <v>60</v>
      </c>
      <c r="I41" s="1">
        <v>115.0</v>
      </c>
      <c r="J41" s="1">
        <v>-0.102313857009302</v>
      </c>
      <c r="K41" s="1" t="s">
        <v>61</v>
      </c>
      <c r="L41" s="1" t="s">
        <v>61</v>
      </c>
      <c r="M41" s="1" t="s">
        <v>62</v>
      </c>
      <c r="N41" s="1">
        <v>-151.0</v>
      </c>
      <c r="O41" s="1">
        <v>0.0356036503657369</v>
      </c>
      <c r="P41" s="1" t="s">
        <v>61</v>
      </c>
      <c r="Q41" s="1" t="s">
        <v>61</v>
      </c>
      <c r="R41" s="1">
        <f t="shared" si="1"/>
        <v>0.03560365037</v>
      </c>
      <c r="S41" s="1">
        <f t="shared" si="2"/>
        <v>-151</v>
      </c>
      <c r="T41" s="1">
        <f t="shared" si="3"/>
        <v>1.662251656</v>
      </c>
      <c r="U41" s="1">
        <f t="shared" si="4"/>
        <v>0</v>
      </c>
      <c r="V41" s="3">
        <f t="shared" si="5"/>
        <v>1</v>
      </c>
      <c r="W41" s="3">
        <f t="shared" si="6"/>
        <v>3</v>
      </c>
      <c r="X41" s="3" t="str">
        <f>IFERROR(__xludf.DUMMYFUNCTION("split(B41,"" "")"),"M.")</f>
        <v>M.</v>
      </c>
      <c r="Y41" s="3" t="str">
        <f>IFERROR(__xludf.DUMMYFUNCTION("""COMPUTED_VALUE"""),"Andrews")</f>
        <v>Andrews</v>
      </c>
      <c r="AA41" s="3">
        <v>4.0</v>
      </c>
      <c r="AB41" s="3">
        <f t="shared" si="7"/>
        <v>1</v>
      </c>
      <c r="AC41" s="3">
        <f t="shared" si="8"/>
        <v>0</v>
      </c>
      <c r="AD41" s="3">
        <f t="shared" si="9"/>
        <v>0.6622516556</v>
      </c>
      <c r="AE41" s="3">
        <f t="shared" si="10"/>
        <v>-1</v>
      </c>
      <c r="AF41" s="3">
        <f t="shared" si="11"/>
        <v>-3</v>
      </c>
      <c r="AG41" s="3">
        <f t="shared" si="12"/>
        <v>-0.6</v>
      </c>
    </row>
    <row r="42">
      <c r="A42" s="1" t="s">
        <v>8</v>
      </c>
      <c r="B42" s="1" t="s">
        <v>309</v>
      </c>
      <c r="C42" s="1" t="s">
        <v>19</v>
      </c>
      <c r="D42" s="1" t="s">
        <v>77</v>
      </c>
      <c r="E42" s="1" t="s">
        <v>67</v>
      </c>
      <c r="F42" s="1" t="s">
        <v>576</v>
      </c>
      <c r="G42" s="1">
        <v>18.5</v>
      </c>
      <c r="H42" s="1" t="s">
        <v>60</v>
      </c>
      <c r="I42" s="1">
        <v>-108.0</v>
      </c>
      <c r="J42" s="1">
        <v>0.0323207873250001</v>
      </c>
      <c r="K42" s="1" t="s">
        <v>61</v>
      </c>
      <c r="L42" s="1" t="s">
        <v>61</v>
      </c>
      <c r="M42" s="1" t="s">
        <v>62</v>
      </c>
      <c r="N42" s="1">
        <v>-124.0</v>
      </c>
      <c r="O42" s="1">
        <v>-0.105101735133928</v>
      </c>
      <c r="P42" s="1" t="s">
        <v>61</v>
      </c>
      <c r="Q42" s="1" t="s">
        <v>61</v>
      </c>
      <c r="R42" s="1">
        <f t="shared" si="1"/>
        <v>0.03232078733</v>
      </c>
      <c r="S42" s="1">
        <f t="shared" si="2"/>
        <v>-108</v>
      </c>
      <c r="T42" s="1">
        <f t="shared" si="3"/>
        <v>1.925925926</v>
      </c>
      <c r="U42" s="1">
        <f t="shared" si="4"/>
        <v>1</v>
      </c>
      <c r="V42" s="3">
        <f t="shared" si="5"/>
        <v>1</v>
      </c>
      <c r="W42" s="3">
        <f t="shared" si="6"/>
        <v>2</v>
      </c>
      <c r="X42" s="3" t="str">
        <f>IFERROR(__xludf.DUMMYFUNCTION("split(B42,"" "")"),"D.")</f>
        <v>D.</v>
      </c>
      <c r="Y42" s="3" t="str">
        <f>IFERROR(__xludf.DUMMYFUNCTION("""COMPUTED_VALUE"""),"Henry")</f>
        <v>Henry</v>
      </c>
      <c r="AA42" s="3">
        <v>15.0</v>
      </c>
      <c r="AB42" s="3">
        <f t="shared" si="7"/>
        <v>0</v>
      </c>
      <c r="AC42" s="3">
        <f t="shared" si="8"/>
        <v>0</v>
      </c>
      <c r="AD42" s="3">
        <f t="shared" si="9"/>
        <v>0.9259259259</v>
      </c>
      <c r="AE42" s="3">
        <f t="shared" si="10"/>
        <v>-1</v>
      </c>
      <c r="AF42" s="3">
        <f t="shared" si="11"/>
        <v>-2</v>
      </c>
      <c r="AG42" s="3">
        <f t="shared" si="12"/>
        <v>-0.1891891892</v>
      </c>
    </row>
    <row r="43">
      <c r="A43" s="1" t="s">
        <v>12</v>
      </c>
      <c r="B43" s="1" t="s">
        <v>454</v>
      </c>
      <c r="C43" s="1" t="s">
        <v>20</v>
      </c>
      <c r="D43" s="1" t="s">
        <v>77</v>
      </c>
      <c r="E43" s="1" t="s">
        <v>67</v>
      </c>
      <c r="F43" s="1" t="s">
        <v>576</v>
      </c>
      <c r="G43" s="1">
        <v>2.5</v>
      </c>
      <c r="H43" s="1" t="s">
        <v>60</v>
      </c>
      <c r="I43" s="1">
        <v>-101.0</v>
      </c>
      <c r="J43" s="1">
        <v>-0.0949337515422885</v>
      </c>
      <c r="K43" s="1" t="s">
        <v>61</v>
      </c>
      <c r="L43" s="1" t="s">
        <v>61</v>
      </c>
      <c r="M43" s="1" t="s">
        <v>62</v>
      </c>
      <c r="N43" s="1">
        <v>-130.0</v>
      </c>
      <c r="O43" s="1">
        <v>0.0272350838173912</v>
      </c>
      <c r="P43" s="1" t="s">
        <v>61</v>
      </c>
      <c r="Q43" s="1" t="s">
        <v>61</v>
      </c>
      <c r="R43" s="1">
        <f t="shared" si="1"/>
        <v>0.02723508382</v>
      </c>
      <c r="S43" s="1">
        <f t="shared" si="2"/>
        <v>-130</v>
      </c>
      <c r="T43" s="1">
        <f t="shared" si="3"/>
        <v>1.769230769</v>
      </c>
      <c r="U43" s="1">
        <f t="shared" si="4"/>
        <v>0</v>
      </c>
      <c r="V43" s="3">
        <f t="shared" si="5"/>
        <v>1</v>
      </c>
      <c r="W43" s="3">
        <f t="shared" si="6"/>
        <v>3</v>
      </c>
      <c r="X43" s="3" t="str">
        <f>IFERROR(__xludf.DUMMYFUNCTION("split(B43,"" "")"),"I.")</f>
        <v>I.</v>
      </c>
      <c r="Y43" s="3" t="str">
        <f>IFERROR(__xludf.DUMMYFUNCTION("""COMPUTED_VALUE"""),"Likely")</f>
        <v>Likely</v>
      </c>
      <c r="AA43" s="3">
        <v>3.0</v>
      </c>
      <c r="AB43" s="3">
        <f t="shared" si="7"/>
        <v>1</v>
      </c>
      <c r="AC43" s="3">
        <f t="shared" si="8"/>
        <v>0</v>
      </c>
      <c r="AD43" s="3">
        <f t="shared" si="9"/>
        <v>0.7692307692</v>
      </c>
      <c r="AE43" s="3">
        <f t="shared" si="10"/>
        <v>-1</v>
      </c>
      <c r="AF43" s="3">
        <f t="shared" si="11"/>
        <v>-3</v>
      </c>
      <c r="AG43" s="3">
        <f t="shared" si="12"/>
        <v>-0.2</v>
      </c>
    </row>
    <row r="44">
      <c r="A44" s="1" t="s">
        <v>9</v>
      </c>
      <c r="B44" s="1" t="s">
        <v>309</v>
      </c>
      <c r="C44" s="1" t="s">
        <v>19</v>
      </c>
      <c r="D44" s="1" t="s">
        <v>77</v>
      </c>
      <c r="E44" s="1" t="s">
        <v>67</v>
      </c>
      <c r="F44" s="1" t="s">
        <v>576</v>
      </c>
      <c r="G44" s="1">
        <v>94.5</v>
      </c>
      <c r="H44" s="1" t="s">
        <v>60</v>
      </c>
      <c r="I44" s="1">
        <v>-119.0</v>
      </c>
      <c r="J44" s="1">
        <v>-0.0954840129231159</v>
      </c>
      <c r="K44" s="1" t="s">
        <v>61</v>
      </c>
      <c r="L44" s="1" t="s">
        <v>61</v>
      </c>
      <c r="M44" s="1" t="s">
        <v>62</v>
      </c>
      <c r="N44" s="1">
        <v>-113.0</v>
      </c>
      <c r="O44" s="1">
        <v>0.0215726789685469</v>
      </c>
      <c r="P44" s="1" t="s">
        <v>61</v>
      </c>
      <c r="Q44" s="1" t="s">
        <v>61</v>
      </c>
      <c r="R44" s="1">
        <f t="shared" si="1"/>
        <v>0.02157267897</v>
      </c>
      <c r="S44" s="1">
        <f t="shared" si="2"/>
        <v>-113</v>
      </c>
      <c r="T44" s="1">
        <f t="shared" si="3"/>
        <v>1.884955752</v>
      </c>
      <c r="U44" s="1">
        <f t="shared" si="4"/>
        <v>0</v>
      </c>
      <c r="V44" s="3">
        <f t="shared" si="5"/>
        <v>1</v>
      </c>
      <c r="W44" s="3">
        <f t="shared" si="6"/>
        <v>2</v>
      </c>
      <c r="X44" s="3" t="str">
        <f>IFERROR(__xludf.DUMMYFUNCTION("split(B44,"" "")"),"D.")</f>
        <v>D.</v>
      </c>
      <c r="Y44" s="3" t="str">
        <f>IFERROR(__xludf.DUMMYFUNCTION("""COMPUTED_VALUE"""),"Henry")</f>
        <v>Henry</v>
      </c>
      <c r="AA44" s="3">
        <v>96.0</v>
      </c>
      <c r="AB44" s="3">
        <f t="shared" si="7"/>
        <v>1</v>
      </c>
      <c r="AC44" s="3">
        <f t="shared" si="8"/>
        <v>0</v>
      </c>
      <c r="AD44" s="3">
        <f t="shared" si="9"/>
        <v>0.8849557522</v>
      </c>
      <c r="AE44" s="3">
        <f t="shared" si="10"/>
        <v>-1</v>
      </c>
      <c r="AF44" s="3">
        <f t="shared" si="11"/>
        <v>-2</v>
      </c>
      <c r="AG44" s="3">
        <f t="shared" si="12"/>
        <v>-0.01587301587</v>
      </c>
    </row>
    <row r="45">
      <c r="A45" s="1" t="s">
        <v>13</v>
      </c>
      <c r="B45" s="1" t="s">
        <v>347</v>
      </c>
      <c r="C45" s="1" t="s">
        <v>21</v>
      </c>
      <c r="D45" s="1" t="s">
        <v>77</v>
      </c>
      <c r="E45" s="1" t="s">
        <v>67</v>
      </c>
      <c r="F45" s="1" t="s">
        <v>576</v>
      </c>
      <c r="G45" s="1">
        <v>210.5</v>
      </c>
      <c r="H45" s="1" t="s">
        <v>60</v>
      </c>
      <c r="I45" s="1">
        <v>-109.0</v>
      </c>
      <c r="J45" s="1">
        <v>0.0158723634928223</v>
      </c>
      <c r="K45" s="1" t="s">
        <v>61</v>
      </c>
      <c r="L45" s="1" t="s">
        <v>61</v>
      </c>
      <c r="M45" s="1" t="s">
        <v>62</v>
      </c>
      <c r="N45" s="1">
        <v>-115.0</v>
      </c>
      <c r="O45" s="1">
        <v>-0.0722875933279065</v>
      </c>
      <c r="P45" s="1" t="s">
        <v>61</v>
      </c>
      <c r="Q45" s="1" t="s">
        <v>61</v>
      </c>
      <c r="R45" s="1">
        <f t="shared" si="1"/>
        <v>0.01587236349</v>
      </c>
      <c r="S45" s="1">
        <f t="shared" si="2"/>
        <v>-109</v>
      </c>
      <c r="T45" s="1">
        <f t="shared" si="3"/>
        <v>1.917431193</v>
      </c>
      <c r="U45" s="1">
        <f t="shared" si="4"/>
        <v>1</v>
      </c>
      <c r="V45" s="3">
        <f t="shared" si="5"/>
        <v>1</v>
      </c>
      <c r="W45" s="3">
        <f t="shared" si="6"/>
        <v>2</v>
      </c>
      <c r="X45" s="3" t="str">
        <f>IFERROR(__xludf.DUMMYFUNCTION("split(B45,"" "")"),"L.")</f>
        <v>L.</v>
      </c>
      <c r="Y45" s="3" t="str">
        <f>IFERROR(__xludf.DUMMYFUNCTION("""COMPUTED_VALUE"""),"Jackson")</f>
        <v>Jackson</v>
      </c>
      <c r="AA45" s="3">
        <v>348.0</v>
      </c>
      <c r="AB45" s="3">
        <f t="shared" si="7"/>
        <v>1</v>
      </c>
      <c r="AC45" s="3">
        <f t="shared" si="8"/>
        <v>1</v>
      </c>
      <c r="AD45" s="3">
        <f t="shared" si="9"/>
        <v>0.9174311927</v>
      </c>
      <c r="AE45" s="3">
        <f t="shared" si="10"/>
        <v>0.9174311927</v>
      </c>
      <c r="AF45" s="3">
        <f t="shared" si="11"/>
        <v>1.834862385</v>
      </c>
      <c r="AG45" s="3">
        <f t="shared" si="12"/>
        <v>0.6532066508</v>
      </c>
    </row>
    <row r="46">
      <c r="A46" s="1" t="s">
        <v>15</v>
      </c>
      <c r="B46" s="1" t="s">
        <v>347</v>
      </c>
      <c r="C46" s="1" t="s">
        <v>21</v>
      </c>
      <c r="D46" s="1" t="s">
        <v>77</v>
      </c>
      <c r="E46" s="1" t="s">
        <v>67</v>
      </c>
      <c r="F46" s="1" t="s">
        <v>576</v>
      </c>
      <c r="G46" s="1">
        <v>19.5</v>
      </c>
      <c r="H46" s="1" t="s">
        <v>60</v>
      </c>
      <c r="I46" s="1">
        <v>-106.0</v>
      </c>
      <c r="J46" s="1">
        <v>0.0150430290776698</v>
      </c>
      <c r="K46" s="1" t="s">
        <v>61</v>
      </c>
      <c r="L46" s="1" t="s">
        <v>61</v>
      </c>
      <c r="M46" s="1" t="s">
        <v>62</v>
      </c>
      <c r="N46" s="1">
        <v>-125.0</v>
      </c>
      <c r="O46" s="1">
        <v>-0.0851481332777778</v>
      </c>
      <c r="P46" s="1" t="s">
        <v>61</v>
      </c>
      <c r="Q46" s="1" t="s">
        <v>61</v>
      </c>
      <c r="R46" s="1">
        <f t="shared" si="1"/>
        <v>0.01504302908</v>
      </c>
      <c r="S46" s="1">
        <f t="shared" si="2"/>
        <v>-106</v>
      </c>
      <c r="T46" s="1">
        <f t="shared" si="3"/>
        <v>1.943396226</v>
      </c>
      <c r="U46" s="1">
        <f t="shared" si="4"/>
        <v>1</v>
      </c>
      <c r="V46" s="3">
        <f t="shared" si="5"/>
        <v>1</v>
      </c>
      <c r="W46" s="3">
        <f t="shared" si="6"/>
        <v>2</v>
      </c>
      <c r="X46" s="3" t="str">
        <f>IFERROR(__xludf.DUMMYFUNCTION("split(B46,"" "")"),"L.")</f>
        <v>L.</v>
      </c>
      <c r="Y46" s="3" t="str">
        <f>IFERROR(__xludf.DUMMYFUNCTION("""COMPUTED_VALUE"""),"Jackson")</f>
        <v>Jackson</v>
      </c>
      <c r="AA46" s="3">
        <v>26.0</v>
      </c>
      <c r="AB46" s="3">
        <f t="shared" si="7"/>
        <v>1</v>
      </c>
      <c r="AC46" s="3">
        <f t="shared" si="8"/>
        <v>1</v>
      </c>
      <c r="AD46" s="3">
        <f t="shared" si="9"/>
        <v>0.9433962264</v>
      </c>
      <c r="AE46" s="3">
        <f t="shared" si="10"/>
        <v>0.9433962264</v>
      </c>
      <c r="AF46" s="3">
        <f t="shared" si="11"/>
        <v>1.886792453</v>
      </c>
      <c r="AG46" s="3">
        <f t="shared" si="12"/>
        <v>0.3333333333</v>
      </c>
    </row>
    <row r="47">
      <c r="A47" s="1" t="s">
        <v>10</v>
      </c>
      <c r="B47" s="1" t="s">
        <v>347</v>
      </c>
      <c r="C47" s="1" t="s">
        <v>21</v>
      </c>
      <c r="D47" s="1" t="s">
        <v>77</v>
      </c>
      <c r="E47" s="1" t="s">
        <v>67</v>
      </c>
      <c r="F47" s="1" t="s">
        <v>576</v>
      </c>
      <c r="G47" s="1">
        <v>60.5</v>
      </c>
      <c r="H47" s="1" t="s">
        <v>60</v>
      </c>
      <c r="I47" s="1">
        <v>-108.0</v>
      </c>
      <c r="J47" s="1">
        <v>-0.0688363314256588</v>
      </c>
      <c r="K47" s="1" t="s">
        <v>61</v>
      </c>
      <c r="L47" s="1" t="s">
        <v>61</v>
      </c>
      <c r="M47" s="1" t="s">
        <v>62</v>
      </c>
      <c r="N47" s="1">
        <v>-119.0</v>
      </c>
      <c r="O47" s="1">
        <v>0.00618755956783312</v>
      </c>
      <c r="P47" s="1" t="s">
        <v>61</v>
      </c>
      <c r="Q47" s="1" t="s">
        <v>61</v>
      </c>
      <c r="R47" s="1">
        <f t="shared" si="1"/>
        <v>0.006187559568</v>
      </c>
      <c r="S47" s="1">
        <f t="shared" si="2"/>
        <v>-119</v>
      </c>
      <c r="T47" s="1">
        <f t="shared" si="3"/>
        <v>1.840336134</v>
      </c>
      <c r="U47" s="1">
        <f t="shared" si="4"/>
        <v>0</v>
      </c>
      <c r="V47" s="3">
        <f t="shared" si="5"/>
        <v>1</v>
      </c>
      <c r="W47" s="3">
        <f t="shared" si="6"/>
        <v>3</v>
      </c>
      <c r="X47" s="3" t="str">
        <f>IFERROR(__xludf.DUMMYFUNCTION("split(B47,"" "")"),"L.")</f>
        <v>L.</v>
      </c>
      <c r="Y47" s="3" t="str">
        <f>IFERROR(__xludf.DUMMYFUNCTION("""COMPUTED_VALUE"""),"Jackson")</f>
        <v>Jackson</v>
      </c>
      <c r="AA47" s="3">
        <v>55.0</v>
      </c>
      <c r="AB47" s="3">
        <f t="shared" si="7"/>
        <v>0</v>
      </c>
      <c r="AC47" s="3">
        <f t="shared" si="8"/>
        <v>1</v>
      </c>
      <c r="AD47" s="3">
        <f t="shared" si="9"/>
        <v>0.8403361345</v>
      </c>
      <c r="AE47" s="3">
        <f t="shared" si="10"/>
        <v>0.8403361345</v>
      </c>
      <c r="AF47" s="3">
        <f t="shared" si="11"/>
        <v>2.521008403</v>
      </c>
      <c r="AG47" s="3">
        <f t="shared" si="12"/>
        <v>0.09090909091</v>
      </c>
    </row>
    <row r="48">
      <c r="A48" s="1" t="s">
        <v>11</v>
      </c>
      <c r="B48" s="1" t="s">
        <v>239</v>
      </c>
      <c r="C48" s="1" t="s">
        <v>18</v>
      </c>
      <c r="D48" s="1" t="s">
        <v>77</v>
      </c>
      <c r="E48" s="1" t="s">
        <v>67</v>
      </c>
      <c r="F48" s="1" t="s">
        <v>576</v>
      </c>
      <c r="G48" s="1">
        <v>29.5</v>
      </c>
      <c r="H48" s="1" t="s">
        <v>60</v>
      </c>
      <c r="I48" s="1">
        <v>-114.0</v>
      </c>
      <c r="J48" s="1">
        <v>-0.0721113294702336</v>
      </c>
      <c r="K48" s="1" t="s">
        <v>61</v>
      </c>
      <c r="L48" s="1" t="s">
        <v>61</v>
      </c>
      <c r="M48" s="1" t="s">
        <v>62</v>
      </c>
      <c r="N48" s="1">
        <v>-115.0</v>
      </c>
      <c r="O48" s="1">
        <v>0.0045599324317419</v>
      </c>
      <c r="P48" s="1" t="s">
        <v>61</v>
      </c>
      <c r="Q48" s="1" t="s">
        <v>61</v>
      </c>
      <c r="R48" s="1">
        <f t="shared" si="1"/>
        <v>0.004559932432</v>
      </c>
      <c r="S48" s="1">
        <f t="shared" si="2"/>
        <v>-115</v>
      </c>
      <c r="T48" s="1">
        <f t="shared" si="3"/>
        <v>1.869565217</v>
      </c>
      <c r="U48" s="1">
        <f t="shared" si="4"/>
        <v>0</v>
      </c>
      <c r="V48" s="3">
        <f t="shared" si="5"/>
        <v>1</v>
      </c>
      <c r="W48" s="3">
        <f t="shared" si="6"/>
        <v>2</v>
      </c>
      <c r="X48" s="3" t="str">
        <f>IFERROR(__xludf.DUMMYFUNCTION("split(B48,"" "")"),"R.")</f>
        <v>R.</v>
      </c>
      <c r="Y48" s="3" t="str">
        <f>IFERROR(__xludf.DUMMYFUNCTION("""COMPUTED_VALUE"""),"Bateman")</f>
        <v>Bateman</v>
      </c>
      <c r="AA48" s="3">
        <v>58.0</v>
      </c>
      <c r="AB48" s="3">
        <f t="shared" si="7"/>
        <v>1</v>
      </c>
      <c r="AC48" s="3">
        <f t="shared" si="8"/>
        <v>0</v>
      </c>
      <c r="AD48" s="3">
        <f t="shared" si="9"/>
        <v>0.8695652174</v>
      </c>
      <c r="AE48" s="3">
        <f t="shared" si="10"/>
        <v>-1</v>
      </c>
      <c r="AF48" s="3">
        <f t="shared" si="11"/>
        <v>-2</v>
      </c>
      <c r="AG48" s="3">
        <f t="shared" si="12"/>
        <v>-0.9661016949</v>
      </c>
    </row>
    <row r="49">
      <c r="A49" s="1" t="s">
        <v>10</v>
      </c>
      <c r="B49" s="1" t="s">
        <v>309</v>
      </c>
      <c r="C49" s="1" t="s">
        <v>19</v>
      </c>
      <c r="D49" s="1" t="s">
        <v>77</v>
      </c>
      <c r="E49" s="1" t="s">
        <v>67</v>
      </c>
      <c r="F49" s="1" t="s">
        <v>576</v>
      </c>
      <c r="G49" s="1">
        <v>82.5</v>
      </c>
      <c r="H49" s="1" t="s">
        <v>60</v>
      </c>
      <c r="I49" s="1">
        <v>-117.0</v>
      </c>
      <c r="J49" s="1">
        <v>-0.0671790454552914</v>
      </c>
      <c r="K49" s="1" t="s">
        <v>61</v>
      </c>
      <c r="L49" s="1" t="s">
        <v>61</v>
      </c>
      <c r="M49" s="1" t="s">
        <v>62</v>
      </c>
      <c r="N49" s="1">
        <v>-111.0</v>
      </c>
      <c r="O49" s="1">
        <v>0.00192784644077526</v>
      </c>
      <c r="P49" s="1" t="s">
        <v>61</v>
      </c>
      <c r="Q49" s="1" t="s">
        <v>61</v>
      </c>
      <c r="R49" s="1">
        <f t="shared" si="1"/>
        <v>0.001927846441</v>
      </c>
      <c r="S49" s="1">
        <f t="shared" si="2"/>
        <v>-111</v>
      </c>
      <c r="T49" s="1">
        <f t="shared" si="3"/>
        <v>1.900900901</v>
      </c>
      <c r="U49" s="1">
        <f t="shared" si="4"/>
        <v>0</v>
      </c>
      <c r="V49" s="3">
        <f t="shared" si="5"/>
        <v>1</v>
      </c>
      <c r="W49" s="3">
        <f t="shared" si="6"/>
        <v>2</v>
      </c>
      <c r="X49" s="3" t="str">
        <f>IFERROR(__xludf.DUMMYFUNCTION("split(B49,"" "")"),"D.")</f>
        <v>D.</v>
      </c>
      <c r="Y49" s="3" t="str">
        <f>IFERROR(__xludf.DUMMYFUNCTION("""COMPUTED_VALUE"""),"Henry")</f>
        <v>Henry</v>
      </c>
      <c r="AA49" s="3">
        <v>92.0</v>
      </c>
      <c r="AB49" s="3">
        <f t="shared" si="7"/>
        <v>1</v>
      </c>
      <c r="AC49" s="3">
        <f t="shared" si="8"/>
        <v>0</v>
      </c>
      <c r="AD49" s="3">
        <f t="shared" si="9"/>
        <v>0.9009009009</v>
      </c>
      <c r="AE49" s="3">
        <f t="shared" si="10"/>
        <v>-1</v>
      </c>
      <c r="AF49" s="3">
        <f t="shared" si="11"/>
        <v>-2</v>
      </c>
      <c r="AG49" s="3">
        <f t="shared" si="12"/>
        <v>-0.1151515152</v>
      </c>
    </row>
    <row r="50">
      <c r="A50" s="1" t="s">
        <v>12</v>
      </c>
      <c r="B50" s="1" t="s">
        <v>458</v>
      </c>
      <c r="C50" s="1" t="s">
        <v>19</v>
      </c>
      <c r="D50" s="1" t="s">
        <v>104</v>
      </c>
      <c r="E50" s="1" t="s">
        <v>72</v>
      </c>
      <c r="F50" s="1" t="s">
        <v>576</v>
      </c>
      <c r="G50" s="1">
        <v>2.5</v>
      </c>
      <c r="H50" s="1" t="s">
        <v>60</v>
      </c>
      <c r="I50" s="1">
        <v>-143.0</v>
      </c>
      <c r="J50" s="1">
        <v>-0.238434590864197</v>
      </c>
      <c r="K50" s="1" t="s">
        <v>61</v>
      </c>
      <c r="L50" s="1" t="s">
        <v>61</v>
      </c>
      <c r="M50" s="1" t="s">
        <v>62</v>
      </c>
      <c r="N50" s="1">
        <v>109.0</v>
      </c>
      <c r="O50" s="1">
        <v>0.171481366411483</v>
      </c>
      <c r="P50" s="1" t="s">
        <v>61</v>
      </c>
      <c r="Q50" s="1" t="s">
        <v>61</v>
      </c>
      <c r="R50" s="1">
        <f t="shared" si="1"/>
        <v>0.1714813664</v>
      </c>
      <c r="S50" s="1">
        <f t="shared" si="2"/>
        <v>109</v>
      </c>
      <c r="T50" s="1">
        <f t="shared" si="3"/>
        <v>2.09</v>
      </c>
      <c r="U50" s="1">
        <f t="shared" si="4"/>
        <v>0</v>
      </c>
      <c r="V50" s="3">
        <f t="shared" si="5"/>
        <v>3</v>
      </c>
      <c r="W50" s="3">
        <f t="shared" si="6"/>
        <v>2</v>
      </c>
      <c r="X50" s="3" t="str">
        <f>IFERROR(__xludf.DUMMYFUNCTION("split(B50,"" "")"),"J.")</f>
        <v>J.</v>
      </c>
      <c r="Y50" s="3" t="str">
        <f>IFERROR(__xludf.DUMMYFUNCTION("""COMPUTED_VALUE"""),"Cook")</f>
        <v>Cook</v>
      </c>
      <c r="AA50" s="3">
        <v>2.0</v>
      </c>
      <c r="AB50" s="3">
        <f t="shared" si="7"/>
        <v>0</v>
      </c>
      <c r="AC50" s="3">
        <f t="shared" si="8"/>
        <v>1</v>
      </c>
      <c r="AD50" s="3">
        <f t="shared" si="9"/>
        <v>3.27</v>
      </c>
      <c r="AE50" s="3">
        <f t="shared" si="10"/>
        <v>3.27</v>
      </c>
      <c r="AF50" s="3">
        <f t="shared" si="11"/>
        <v>2.18</v>
      </c>
      <c r="AG50" s="3">
        <f t="shared" si="12"/>
        <v>0.2</v>
      </c>
    </row>
    <row r="51">
      <c r="A51" s="1" t="s">
        <v>9</v>
      </c>
      <c r="B51" s="1" t="s">
        <v>577</v>
      </c>
      <c r="C51" s="1" t="s">
        <v>18</v>
      </c>
      <c r="D51" s="1" t="s">
        <v>104</v>
      </c>
      <c r="E51" s="1" t="s">
        <v>72</v>
      </c>
      <c r="F51" s="1" t="s">
        <v>576</v>
      </c>
      <c r="G51" s="1">
        <v>13.5</v>
      </c>
      <c r="H51" s="1" t="s">
        <v>60</v>
      </c>
      <c r="I51" s="1">
        <v>-115.0</v>
      </c>
      <c r="J51" s="1">
        <v>0.15706178984085</v>
      </c>
      <c r="K51" s="1" t="s">
        <v>61</v>
      </c>
      <c r="L51" s="1" t="s">
        <v>61</v>
      </c>
      <c r="M51" s="1" t="s">
        <v>62</v>
      </c>
      <c r="N51" s="1">
        <v>-118.0</v>
      </c>
      <c r="O51" s="1">
        <v>-0.233237367351485</v>
      </c>
      <c r="P51" s="1" t="s">
        <v>61</v>
      </c>
      <c r="Q51" s="1" t="s">
        <v>61</v>
      </c>
      <c r="R51" s="1">
        <f t="shared" si="1"/>
        <v>0.1570617898</v>
      </c>
      <c r="S51" s="1">
        <f t="shared" si="2"/>
        <v>-115</v>
      </c>
      <c r="T51" s="1">
        <f t="shared" si="3"/>
        <v>1.869565217</v>
      </c>
      <c r="U51" s="1">
        <f t="shared" si="4"/>
        <v>1</v>
      </c>
      <c r="V51" s="3">
        <f t="shared" si="5"/>
        <v>3</v>
      </c>
      <c r="W51" s="3">
        <f t="shared" si="6"/>
        <v>2</v>
      </c>
      <c r="X51" s="3" t="str">
        <f>IFERROR(__xludf.DUMMYFUNCTION("split(B51,"" "")"),"M.")</f>
        <v>M.</v>
      </c>
      <c r="Y51" s="3" t="str">
        <f>IFERROR(__xludf.DUMMYFUNCTION("""COMPUTED_VALUE"""),"Valdes-Scantling")</f>
        <v>Valdes-Scantling</v>
      </c>
      <c r="AA51" s="3">
        <v>0.0</v>
      </c>
      <c r="AB51" s="3">
        <f t="shared" si="7"/>
        <v>0</v>
      </c>
      <c r="AC51" s="3">
        <f t="shared" si="8"/>
        <v>0</v>
      </c>
      <c r="AD51" s="3">
        <f t="shared" si="9"/>
        <v>2.608695652</v>
      </c>
      <c r="AE51" s="3">
        <f t="shared" si="10"/>
        <v>-3</v>
      </c>
      <c r="AF51" s="3">
        <f t="shared" si="11"/>
        <v>-2</v>
      </c>
      <c r="AG51" s="3">
        <f t="shared" si="12"/>
        <v>-1</v>
      </c>
    </row>
    <row r="52">
      <c r="A52" s="1" t="s">
        <v>8</v>
      </c>
      <c r="B52" s="1" t="s">
        <v>434</v>
      </c>
      <c r="C52" s="1" t="s">
        <v>21</v>
      </c>
      <c r="D52" s="1" t="s">
        <v>104</v>
      </c>
      <c r="E52" s="1" t="s">
        <v>72</v>
      </c>
      <c r="F52" s="1" t="s">
        <v>576</v>
      </c>
      <c r="G52" s="1">
        <v>7.5</v>
      </c>
      <c r="H52" s="1" t="s">
        <v>60</v>
      </c>
      <c r="I52" s="1">
        <v>119.0</v>
      </c>
      <c r="J52" s="1">
        <v>-0.168263389228969</v>
      </c>
      <c r="K52" s="1" t="s">
        <v>61</v>
      </c>
      <c r="L52" s="1" t="s">
        <v>61</v>
      </c>
      <c r="M52" s="1" t="s">
        <v>62</v>
      </c>
      <c r="N52" s="1">
        <v>-162.0</v>
      </c>
      <c r="O52" s="1">
        <v>0.093341411349842</v>
      </c>
      <c r="P52" s="1" t="s">
        <v>61</v>
      </c>
      <c r="Q52" s="1" t="s">
        <v>61</v>
      </c>
      <c r="R52" s="1">
        <f t="shared" si="1"/>
        <v>0.09334141135</v>
      </c>
      <c r="S52" s="1">
        <f t="shared" si="2"/>
        <v>-162</v>
      </c>
      <c r="T52" s="1">
        <f t="shared" si="3"/>
        <v>1.617283951</v>
      </c>
      <c r="U52" s="1">
        <f t="shared" si="4"/>
        <v>0</v>
      </c>
      <c r="V52" s="3">
        <f t="shared" si="5"/>
        <v>2</v>
      </c>
      <c r="W52" s="3">
        <f t="shared" si="6"/>
        <v>3</v>
      </c>
      <c r="X52" s="3" t="str">
        <f>IFERROR(__xludf.DUMMYFUNCTION("split(B52,"" "")"),"J.")</f>
        <v>J.</v>
      </c>
      <c r="Y52" s="3" t="str">
        <f>IFERROR(__xludf.DUMMYFUNCTION("""COMPUTED_VALUE"""),"Allen")</f>
        <v>Allen</v>
      </c>
      <c r="AA52" s="3">
        <v>4.0</v>
      </c>
      <c r="AB52" s="3">
        <f t="shared" si="7"/>
        <v>0</v>
      </c>
      <c r="AC52" s="3">
        <f t="shared" si="8"/>
        <v>1</v>
      </c>
      <c r="AD52" s="3">
        <f t="shared" si="9"/>
        <v>1.234567901</v>
      </c>
      <c r="AE52" s="3">
        <f t="shared" si="10"/>
        <v>1.234567901</v>
      </c>
      <c r="AF52" s="3">
        <f t="shared" si="11"/>
        <v>1.851851852</v>
      </c>
      <c r="AG52" s="3">
        <f t="shared" si="12"/>
        <v>0.4666666667</v>
      </c>
    </row>
    <row r="53">
      <c r="A53" s="1" t="s">
        <v>12</v>
      </c>
      <c r="B53" s="1" t="s">
        <v>457</v>
      </c>
      <c r="C53" s="1" t="s">
        <v>18</v>
      </c>
      <c r="D53" s="1" t="s">
        <v>104</v>
      </c>
      <c r="E53" s="1" t="s">
        <v>72</v>
      </c>
      <c r="F53" s="1" t="s">
        <v>576</v>
      </c>
      <c r="G53" s="1">
        <v>2.5</v>
      </c>
      <c r="H53" s="1" t="s">
        <v>60</v>
      </c>
      <c r="I53" s="1">
        <v>121.0</v>
      </c>
      <c r="J53" s="1">
        <v>-0.118532129809502</v>
      </c>
      <c r="K53" s="1" t="s">
        <v>61</v>
      </c>
      <c r="L53" s="1" t="s">
        <v>61</v>
      </c>
      <c r="M53" s="1" t="s">
        <v>62</v>
      </c>
      <c r="N53" s="1">
        <v>-159.0</v>
      </c>
      <c r="O53" s="1">
        <v>0.05213697020888</v>
      </c>
      <c r="P53" s="1" t="s">
        <v>61</v>
      </c>
      <c r="Q53" s="1" t="s">
        <v>61</v>
      </c>
      <c r="R53" s="1">
        <f t="shared" si="1"/>
        <v>0.05213697021</v>
      </c>
      <c r="S53" s="1">
        <f t="shared" si="2"/>
        <v>-159</v>
      </c>
      <c r="T53" s="1">
        <f t="shared" si="3"/>
        <v>1.628930818</v>
      </c>
      <c r="U53" s="1">
        <f t="shared" si="4"/>
        <v>0</v>
      </c>
      <c r="V53" s="3">
        <f t="shared" si="5"/>
        <v>2</v>
      </c>
      <c r="W53" s="3">
        <f t="shared" si="6"/>
        <v>3</v>
      </c>
      <c r="X53" s="3" t="str">
        <f>IFERROR(__xludf.DUMMYFUNCTION("split(B53,"" "")"),"M.")</f>
        <v>M.</v>
      </c>
      <c r="Y53" s="3" t="str">
        <f>IFERROR(__xludf.DUMMYFUNCTION("""COMPUTED_VALUE"""),"Hollins")</f>
        <v>Hollins</v>
      </c>
      <c r="AA53" s="3">
        <v>2.0</v>
      </c>
      <c r="AB53" s="3">
        <f t="shared" si="7"/>
        <v>0</v>
      </c>
      <c r="AC53" s="3">
        <f t="shared" si="8"/>
        <v>1</v>
      </c>
      <c r="AD53" s="3">
        <f t="shared" si="9"/>
        <v>1.257861635</v>
      </c>
      <c r="AE53" s="3">
        <f t="shared" si="10"/>
        <v>1.257861635</v>
      </c>
      <c r="AF53" s="3">
        <f t="shared" si="11"/>
        <v>1.886792453</v>
      </c>
      <c r="AG53" s="3">
        <f t="shared" si="12"/>
        <v>0.2</v>
      </c>
    </row>
    <row r="54">
      <c r="A54" s="1" t="s">
        <v>9</v>
      </c>
      <c r="B54" s="1" t="s">
        <v>457</v>
      </c>
      <c r="C54" s="1" t="s">
        <v>18</v>
      </c>
      <c r="D54" s="1" t="s">
        <v>104</v>
      </c>
      <c r="E54" s="1" t="s">
        <v>72</v>
      </c>
      <c r="F54" s="1" t="s">
        <v>576</v>
      </c>
      <c r="G54" s="1">
        <v>27.5</v>
      </c>
      <c r="H54" s="1" t="s">
        <v>60</v>
      </c>
      <c r="I54" s="1">
        <v>-114.0</v>
      </c>
      <c r="J54" s="1">
        <v>0.0484505402806706</v>
      </c>
      <c r="K54" s="1" t="s">
        <v>61</v>
      </c>
      <c r="L54" s="1" t="s">
        <v>61</v>
      </c>
      <c r="M54" s="1" t="s">
        <v>62</v>
      </c>
      <c r="N54" s="1">
        <v>-118.0</v>
      </c>
      <c r="O54" s="1">
        <v>-0.122423185466398</v>
      </c>
      <c r="P54" s="1" t="s">
        <v>61</v>
      </c>
      <c r="Q54" s="1" t="s">
        <v>61</v>
      </c>
      <c r="R54" s="1">
        <f t="shared" si="1"/>
        <v>0.04845054028</v>
      </c>
      <c r="S54" s="1">
        <f t="shared" si="2"/>
        <v>-114</v>
      </c>
      <c r="T54" s="1">
        <f t="shared" si="3"/>
        <v>1.877192982</v>
      </c>
      <c r="U54" s="1">
        <f t="shared" si="4"/>
        <v>1</v>
      </c>
      <c r="V54" s="3">
        <f t="shared" si="5"/>
        <v>1</v>
      </c>
      <c r="W54" s="3">
        <f t="shared" si="6"/>
        <v>2</v>
      </c>
      <c r="X54" s="3" t="str">
        <f>IFERROR(__xludf.DUMMYFUNCTION("split(B54,"" "")"),"M.")</f>
        <v>M.</v>
      </c>
      <c r="Y54" s="3" t="str">
        <f>IFERROR(__xludf.DUMMYFUNCTION("""COMPUTED_VALUE"""),"Hollins")</f>
        <v>Hollins</v>
      </c>
      <c r="AA54" s="3">
        <v>27.0</v>
      </c>
      <c r="AB54" s="3">
        <f t="shared" si="7"/>
        <v>0</v>
      </c>
      <c r="AC54" s="3">
        <f t="shared" si="8"/>
        <v>0</v>
      </c>
      <c r="AD54" s="3">
        <f t="shared" si="9"/>
        <v>0.8771929825</v>
      </c>
      <c r="AE54" s="3">
        <f t="shared" si="10"/>
        <v>-1</v>
      </c>
      <c r="AF54" s="3">
        <f t="shared" si="11"/>
        <v>-2</v>
      </c>
      <c r="AG54" s="3">
        <f t="shared" si="12"/>
        <v>-0.01818181818</v>
      </c>
    </row>
    <row r="55">
      <c r="A55" s="1" t="s">
        <v>9</v>
      </c>
      <c r="B55" s="1" t="s">
        <v>458</v>
      </c>
      <c r="C55" s="1" t="s">
        <v>19</v>
      </c>
      <c r="D55" s="1" t="s">
        <v>104</v>
      </c>
      <c r="E55" s="1" t="s">
        <v>72</v>
      </c>
      <c r="F55" s="1" t="s">
        <v>576</v>
      </c>
      <c r="G55" s="1">
        <v>84.5</v>
      </c>
      <c r="H55" s="1" t="s">
        <v>60</v>
      </c>
      <c r="I55" s="1">
        <v>-114.0</v>
      </c>
      <c r="J55" s="1">
        <v>-0.119122351857508</v>
      </c>
      <c r="K55" s="1" t="s">
        <v>61</v>
      </c>
      <c r="L55" s="1" t="s">
        <v>61</v>
      </c>
      <c r="M55" s="1" t="s">
        <v>62</v>
      </c>
      <c r="N55" s="1">
        <v>-119.0</v>
      </c>
      <c r="O55" s="1">
        <v>0.0431001740823429</v>
      </c>
      <c r="P55" s="1" t="s">
        <v>61</v>
      </c>
      <c r="Q55" s="1" t="s">
        <v>61</v>
      </c>
      <c r="R55" s="1">
        <f t="shared" si="1"/>
        <v>0.04310017408</v>
      </c>
      <c r="S55" s="1">
        <f t="shared" si="2"/>
        <v>-119</v>
      </c>
      <c r="T55" s="1">
        <f t="shared" si="3"/>
        <v>1.840336134</v>
      </c>
      <c r="U55" s="1">
        <f t="shared" si="4"/>
        <v>0</v>
      </c>
      <c r="V55" s="3">
        <f t="shared" si="5"/>
        <v>1</v>
      </c>
      <c r="W55" s="3">
        <f t="shared" si="6"/>
        <v>3</v>
      </c>
      <c r="X55" s="3" t="str">
        <f>IFERROR(__xludf.DUMMYFUNCTION("split(B55,"" "")"),"J.")</f>
        <v>J.</v>
      </c>
      <c r="Y55" s="3" t="str">
        <f>IFERROR(__xludf.DUMMYFUNCTION("""COMPUTED_VALUE"""),"Cook")</f>
        <v>Cook</v>
      </c>
      <c r="AA55" s="3">
        <v>99.0</v>
      </c>
      <c r="AB55" s="3">
        <f t="shared" si="7"/>
        <v>1</v>
      </c>
      <c r="AC55" s="3">
        <f t="shared" si="8"/>
        <v>0</v>
      </c>
      <c r="AD55" s="3">
        <f t="shared" si="9"/>
        <v>0.8403361345</v>
      </c>
      <c r="AE55" s="3">
        <f t="shared" si="10"/>
        <v>-1</v>
      </c>
      <c r="AF55" s="3">
        <f t="shared" si="11"/>
        <v>-3</v>
      </c>
      <c r="AG55" s="3">
        <f t="shared" si="12"/>
        <v>-0.1715976331</v>
      </c>
    </row>
    <row r="56">
      <c r="A56" s="1" t="s">
        <v>10</v>
      </c>
      <c r="B56" s="1" t="s">
        <v>434</v>
      </c>
      <c r="C56" s="1" t="s">
        <v>21</v>
      </c>
      <c r="D56" s="1" t="s">
        <v>104</v>
      </c>
      <c r="E56" s="1" t="s">
        <v>72</v>
      </c>
      <c r="F56" s="1" t="s">
        <v>576</v>
      </c>
      <c r="G56" s="1">
        <v>33.5</v>
      </c>
      <c r="H56" s="1" t="s">
        <v>60</v>
      </c>
      <c r="I56" s="1">
        <v>-118.0</v>
      </c>
      <c r="J56" s="1">
        <v>-0.107976924794536</v>
      </c>
      <c r="K56" s="1" t="s">
        <v>61</v>
      </c>
      <c r="L56" s="1" t="s">
        <v>61</v>
      </c>
      <c r="M56" s="1" t="s">
        <v>62</v>
      </c>
      <c r="N56" s="1">
        <v>-110.0</v>
      </c>
      <c r="O56" s="1">
        <v>0.0429103169796658</v>
      </c>
      <c r="P56" s="1" t="s">
        <v>61</v>
      </c>
      <c r="Q56" s="1" t="s">
        <v>61</v>
      </c>
      <c r="R56" s="1">
        <f t="shared" si="1"/>
        <v>0.04291031698</v>
      </c>
      <c r="S56" s="1">
        <f t="shared" si="2"/>
        <v>-110</v>
      </c>
      <c r="T56" s="1">
        <f t="shared" si="3"/>
        <v>1.909090909</v>
      </c>
      <c r="U56" s="1">
        <f t="shared" si="4"/>
        <v>0</v>
      </c>
      <c r="V56" s="3">
        <f t="shared" si="5"/>
        <v>1</v>
      </c>
      <c r="W56" s="3">
        <f t="shared" si="6"/>
        <v>2</v>
      </c>
      <c r="X56" s="3" t="str">
        <f>IFERROR(__xludf.DUMMYFUNCTION("split(B56,"" "")"),"J.")</f>
        <v>J.</v>
      </c>
      <c r="Y56" s="3" t="str">
        <f>IFERROR(__xludf.DUMMYFUNCTION("""COMPUTED_VALUE"""),"Allen")</f>
        <v>Allen</v>
      </c>
      <c r="AA56" s="3">
        <v>54.0</v>
      </c>
      <c r="AB56" s="3">
        <f t="shared" si="7"/>
        <v>1</v>
      </c>
      <c r="AC56" s="3">
        <f t="shared" si="8"/>
        <v>0</v>
      </c>
      <c r="AD56" s="3">
        <f t="shared" si="9"/>
        <v>0.9090909091</v>
      </c>
      <c r="AE56" s="3">
        <f t="shared" si="10"/>
        <v>-1</v>
      </c>
      <c r="AF56" s="3">
        <f t="shared" si="11"/>
        <v>-2</v>
      </c>
      <c r="AG56" s="3">
        <f t="shared" si="12"/>
        <v>-0.6119402985</v>
      </c>
    </row>
    <row r="57">
      <c r="A57" s="1" t="s">
        <v>8</v>
      </c>
      <c r="B57" s="1" t="s">
        <v>458</v>
      </c>
      <c r="C57" s="1" t="s">
        <v>19</v>
      </c>
      <c r="D57" s="1" t="s">
        <v>104</v>
      </c>
      <c r="E57" s="1" t="s">
        <v>72</v>
      </c>
      <c r="F57" s="1" t="s">
        <v>576</v>
      </c>
      <c r="G57" s="1">
        <v>14.5</v>
      </c>
      <c r="H57" s="1" t="s">
        <v>60</v>
      </c>
      <c r="I57" s="1">
        <v>-103.0</v>
      </c>
      <c r="J57" s="1">
        <v>-0.111735875655172</v>
      </c>
      <c r="K57" s="1" t="s">
        <v>61</v>
      </c>
      <c r="L57" s="1" t="s">
        <v>61</v>
      </c>
      <c r="M57" s="1" t="s">
        <v>62</v>
      </c>
      <c r="N57" s="1">
        <v>-129.0</v>
      </c>
      <c r="O57" s="1">
        <v>0.0410202871520524</v>
      </c>
      <c r="P57" s="1" t="s">
        <v>61</v>
      </c>
      <c r="Q57" s="1" t="s">
        <v>61</v>
      </c>
      <c r="R57" s="1">
        <f t="shared" si="1"/>
        <v>0.04102028715</v>
      </c>
      <c r="S57" s="1">
        <f t="shared" si="2"/>
        <v>-129</v>
      </c>
      <c r="T57" s="1">
        <f t="shared" si="3"/>
        <v>1.775193798</v>
      </c>
      <c r="U57" s="1">
        <f t="shared" si="4"/>
        <v>0</v>
      </c>
      <c r="V57" s="3">
        <f t="shared" si="5"/>
        <v>1</v>
      </c>
      <c r="W57" s="3">
        <f t="shared" si="6"/>
        <v>3</v>
      </c>
      <c r="X57" s="3" t="str">
        <f>IFERROR(__xludf.DUMMYFUNCTION("split(B57,"" "")"),"J.")</f>
        <v>J.</v>
      </c>
      <c r="Y57" s="3" t="str">
        <f>IFERROR(__xludf.DUMMYFUNCTION("""COMPUTED_VALUE"""),"Cook")</f>
        <v>Cook</v>
      </c>
      <c r="AA57" s="3">
        <v>20.0</v>
      </c>
      <c r="AB57" s="3">
        <f t="shared" si="7"/>
        <v>1</v>
      </c>
      <c r="AC57" s="3">
        <f t="shared" si="8"/>
        <v>0</v>
      </c>
      <c r="AD57" s="3">
        <f t="shared" si="9"/>
        <v>0.7751937984</v>
      </c>
      <c r="AE57" s="3">
        <f t="shared" si="10"/>
        <v>-1</v>
      </c>
      <c r="AF57" s="3">
        <f t="shared" si="11"/>
        <v>-3</v>
      </c>
      <c r="AG57" s="3">
        <f t="shared" si="12"/>
        <v>-0.3793103448</v>
      </c>
    </row>
    <row r="58">
      <c r="A58" s="1" t="s">
        <v>11</v>
      </c>
      <c r="B58" s="1" t="s">
        <v>459</v>
      </c>
      <c r="C58" s="1" t="s">
        <v>20</v>
      </c>
      <c r="D58" s="1" t="s">
        <v>104</v>
      </c>
      <c r="E58" s="1" t="s">
        <v>72</v>
      </c>
      <c r="F58" s="1" t="s">
        <v>576</v>
      </c>
      <c r="G58" s="1">
        <v>10.5</v>
      </c>
      <c r="H58" s="1" t="s">
        <v>60</v>
      </c>
      <c r="I58" s="1">
        <v>-112.0</v>
      </c>
      <c r="J58" s="1">
        <v>0.0384469376272053</v>
      </c>
      <c r="K58" s="1" t="s">
        <v>61</v>
      </c>
      <c r="L58" s="1" t="s">
        <v>61</v>
      </c>
      <c r="M58" s="1" t="s">
        <v>62</v>
      </c>
      <c r="N58" s="1">
        <v>-116.0</v>
      </c>
      <c r="O58" s="1">
        <v>-0.103778772691121</v>
      </c>
      <c r="P58" s="1" t="s">
        <v>61</v>
      </c>
      <c r="Q58" s="1" t="s">
        <v>61</v>
      </c>
      <c r="R58" s="1">
        <f t="shared" si="1"/>
        <v>0.03844693763</v>
      </c>
      <c r="S58" s="1">
        <f t="shared" si="2"/>
        <v>-112</v>
      </c>
      <c r="T58" s="1">
        <f t="shared" si="3"/>
        <v>1.892857143</v>
      </c>
      <c r="U58" s="1">
        <f t="shared" si="4"/>
        <v>1</v>
      </c>
      <c r="V58" s="3">
        <f t="shared" si="5"/>
        <v>1</v>
      </c>
      <c r="W58" s="3">
        <f t="shared" si="6"/>
        <v>2</v>
      </c>
      <c r="X58" s="3" t="str">
        <f>IFERROR(__xludf.DUMMYFUNCTION("split(B58,"" "")"),"D.")</f>
        <v>D.</v>
      </c>
      <c r="Y58" s="3" t="str">
        <f>IFERROR(__xludf.DUMMYFUNCTION("""COMPUTED_VALUE"""),"Knox")</f>
        <v>Knox</v>
      </c>
      <c r="AA58" s="3">
        <v>0.0</v>
      </c>
      <c r="AB58" s="3">
        <f t="shared" si="7"/>
        <v>0</v>
      </c>
      <c r="AC58" s="3">
        <f t="shared" si="8"/>
        <v>0</v>
      </c>
      <c r="AD58" s="3">
        <f t="shared" si="9"/>
        <v>0.8928571429</v>
      </c>
      <c r="AE58" s="3">
        <f t="shared" si="10"/>
        <v>-1</v>
      </c>
      <c r="AF58" s="3">
        <f t="shared" si="11"/>
        <v>-2</v>
      </c>
      <c r="AG58" s="3">
        <f t="shared" si="12"/>
        <v>-1</v>
      </c>
    </row>
    <row r="59">
      <c r="A59" s="1" t="s">
        <v>12</v>
      </c>
      <c r="B59" s="1" t="s">
        <v>103</v>
      </c>
      <c r="C59" s="1" t="s">
        <v>18</v>
      </c>
      <c r="D59" s="1" t="s">
        <v>104</v>
      </c>
      <c r="E59" s="1" t="s">
        <v>72</v>
      </c>
      <c r="F59" s="1" t="s">
        <v>576</v>
      </c>
      <c r="G59" s="1">
        <v>3.5</v>
      </c>
      <c r="H59" s="1" t="s">
        <v>60</v>
      </c>
      <c r="I59" s="1">
        <v>111.0</v>
      </c>
      <c r="J59" s="1">
        <v>-0.0945336492890994</v>
      </c>
      <c r="K59" s="1" t="s">
        <v>61</v>
      </c>
      <c r="L59" s="1" t="s">
        <v>61</v>
      </c>
      <c r="M59" s="1" t="s">
        <v>62</v>
      </c>
      <c r="N59" s="1">
        <v>-145.0</v>
      </c>
      <c r="O59" s="1">
        <v>0.0287632653061225</v>
      </c>
      <c r="P59" s="1" t="s">
        <v>61</v>
      </c>
      <c r="Q59" s="1" t="s">
        <v>61</v>
      </c>
      <c r="R59" s="1">
        <f t="shared" si="1"/>
        <v>0.02876326531</v>
      </c>
      <c r="S59" s="1">
        <f t="shared" si="2"/>
        <v>-145</v>
      </c>
      <c r="T59" s="1">
        <f t="shared" si="3"/>
        <v>1.689655172</v>
      </c>
      <c r="U59" s="1">
        <f t="shared" si="4"/>
        <v>0</v>
      </c>
      <c r="V59" s="3">
        <f t="shared" si="5"/>
        <v>1</v>
      </c>
      <c r="W59" s="3">
        <f t="shared" si="6"/>
        <v>3</v>
      </c>
      <c r="X59" s="3" t="str">
        <f>IFERROR(__xludf.DUMMYFUNCTION("split(B59,"" "")"),"C.")</f>
        <v>C.</v>
      </c>
      <c r="Y59" s="3" t="str">
        <f>IFERROR(__xludf.DUMMYFUNCTION("""COMPUTED_VALUE"""),"Samuel")</f>
        <v>Samuel</v>
      </c>
      <c r="AA59" s="3">
        <v>1.0</v>
      </c>
      <c r="AB59" s="3">
        <f t="shared" si="7"/>
        <v>0</v>
      </c>
      <c r="AC59" s="3">
        <f t="shared" si="8"/>
        <v>1</v>
      </c>
      <c r="AD59" s="3">
        <f t="shared" si="9"/>
        <v>0.6896551724</v>
      </c>
      <c r="AE59" s="3">
        <f t="shared" si="10"/>
        <v>0.6896551724</v>
      </c>
      <c r="AF59" s="3">
        <f t="shared" si="11"/>
        <v>2.068965517</v>
      </c>
      <c r="AG59" s="3">
        <f t="shared" si="12"/>
        <v>0.7142857143</v>
      </c>
    </row>
    <row r="60">
      <c r="A60" s="1" t="s">
        <v>11</v>
      </c>
      <c r="B60" s="1" t="s">
        <v>103</v>
      </c>
      <c r="C60" s="1" t="s">
        <v>18</v>
      </c>
      <c r="D60" s="1" t="s">
        <v>104</v>
      </c>
      <c r="E60" s="1" t="s">
        <v>72</v>
      </c>
      <c r="F60" s="1" t="s">
        <v>576</v>
      </c>
      <c r="G60" s="1">
        <v>34.5</v>
      </c>
      <c r="H60" s="1" t="s">
        <v>60</v>
      </c>
      <c r="I60" s="1">
        <v>-116.0</v>
      </c>
      <c r="J60" s="1">
        <v>-0.0961974972475465</v>
      </c>
      <c r="K60" s="1" t="s">
        <v>61</v>
      </c>
      <c r="L60" s="1" t="s">
        <v>61</v>
      </c>
      <c r="M60" s="1" t="s">
        <v>62</v>
      </c>
      <c r="N60" s="1">
        <v>-113.0</v>
      </c>
      <c r="O60" s="1">
        <v>0.0286950694974138</v>
      </c>
      <c r="P60" s="1" t="s">
        <v>61</v>
      </c>
      <c r="Q60" s="1" t="s">
        <v>61</v>
      </c>
      <c r="R60" s="1">
        <f t="shared" si="1"/>
        <v>0.0286950695</v>
      </c>
      <c r="S60" s="1">
        <f t="shared" si="2"/>
        <v>-113</v>
      </c>
      <c r="T60" s="1">
        <f t="shared" si="3"/>
        <v>1.884955752</v>
      </c>
      <c r="U60" s="1">
        <f t="shared" si="4"/>
        <v>0</v>
      </c>
      <c r="V60" s="3">
        <f t="shared" si="5"/>
        <v>1</v>
      </c>
      <c r="W60" s="3">
        <f t="shared" si="6"/>
        <v>2</v>
      </c>
      <c r="X60" s="3" t="str">
        <f>IFERROR(__xludf.DUMMYFUNCTION("split(B60,"" "")"),"C.")</f>
        <v>C.</v>
      </c>
      <c r="Y60" s="3" t="str">
        <f>IFERROR(__xludf.DUMMYFUNCTION("""COMPUTED_VALUE"""),"Samuel")</f>
        <v>Samuel</v>
      </c>
      <c r="AA60" s="3">
        <v>0.0</v>
      </c>
      <c r="AB60" s="3">
        <f t="shared" si="7"/>
        <v>0</v>
      </c>
      <c r="AC60" s="3">
        <f t="shared" si="8"/>
        <v>1</v>
      </c>
      <c r="AD60" s="3">
        <f t="shared" si="9"/>
        <v>0.8849557522</v>
      </c>
      <c r="AE60" s="3">
        <f t="shared" si="10"/>
        <v>0.8849557522</v>
      </c>
      <c r="AF60" s="3">
        <f t="shared" si="11"/>
        <v>1.769911504</v>
      </c>
      <c r="AG60" s="3">
        <f t="shared" si="12"/>
        <v>1</v>
      </c>
    </row>
    <row r="61">
      <c r="A61" s="1" t="s">
        <v>9</v>
      </c>
      <c r="B61" s="1" t="s">
        <v>103</v>
      </c>
      <c r="C61" s="1" t="s">
        <v>18</v>
      </c>
      <c r="D61" s="1" t="s">
        <v>104</v>
      </c>
      <c r="E61" s="1" t="s">
        <v>72</v>
      </c>
      <c r="F61" s="1" t="s">
        <v>576</v>
      </c>
      <c r="G61" s="1">
        <v>33.5</v>
      </c>
      <c r="H61" s="1" t="s">
        <v>60</v>
      </c>
      <c r="I61" s="1">
        <v>-120.0</v>
      </c>
      <c r="J61" s="1">
        <v>0.0232560406114245</v>
      </c>
      <c r="K61" s="1" t="s">
        <v>61</v>
      </c>
      <c r="L61" s="1" t="s">
        <v>61</v>
      </c>
      <c r="M61" s="1" t="s">
        <v>62</v>
      </c>
      <c r="N61" s="1">
        <v>-110.0</v>
      </c>
      <c r="O61" s="1">
        <v>-0.09250648489507</v>
      </c>
      <c r="P61" s="1" t="s">
        <v>61</v>
      </c>
      <c r="Q61" s="1" t="s">
        <v>61</v>
      </c>
      <c r="R61" s="1">
        <f t="shared" si="1"/>
        <v>0.02325604061</v>
      </c>
      <c r="S61" s="1">
        <f t="shared" si="2"/>
        <v>-120</v>
      </c>
      <c r="T61" s="1">
        <f t="shared" si="3"/>
        <v>1.833333333</v>
      </c>
      <c r="U61" s="1">
        <f t="shared" si="4"/>
        <v>1</v>
      </c>
      <c r="V61" s="3">
        <f t="shared" si="5"/>
        <v>1</v>
      </c>
      <c r="W61" s="3">
        <f t="shared" si="6"/>
        <v>3</v>
      </c>
      <c r="X61" s="3" t="str">
        <f>IFERROR(__xludf.DUMMYFUNCTION("split(B61,"" "")"),"C.")</f>
        <v>C.</v>
      </c>
      <c r="Y61" s="3" t="str">
        <f>IFERROR(__xludf.DUMMYFUNCTION("""COMPUTED_VALUE"""),"Samuel")</f>
        <v>Samuel</v>
      </c>
      <c r="AA61" s="3">
        <v>-1.0</v>
      </c>
      <c r="AB61" s="3">
        <f t="shared" si="7"/>
        <v>0</v>
      </c>
      <c r="AC61" s="3">
        <f t="shared" si="8"/>
        <v>0</v>
      </c>
      <c r="AD61" s="3">
        <f t="shared" si="9"/>
        <v>0.8333333333</v>
      </c>
      <c r="AE61" s="3">
        <f t="shared" si="10"/>
        <v>-1</v>
      </c>
      <c r="AF61" s="3">
        <f t="shared" si="11"/>
        <v>-3</v>
      </c>
      <c r="AG61" s="3">
        <f t="shared" si="12"/>
        <v>-1.029850746</v>
      </c>
    </row>
    <row r="62">
      <c r="A62" s="1" t="s">
        <v>10</v>
      </c>
      <c r="B62" s="1" t="s">
        <v>458</v>
      </c>
      <c r="C62" s="1" t="s">
        <v>19</v>
      </c>
      <c r="D62" s="1" t="s">
        <v>104</v>
      </c>
      <c r="E62" s="1" t="s">
        <v>72</v>
      </c>
      <c r="F62" s="1" t="s">
        <v>576</v>
      </c>
      <c r="G62" s="1">
        <v>59.5</v>
      </c>
      <c r="H62" s="1" t="s">
        <v>60</v>
      </c>
      <c r="I62" s="1">
        <v>-116.0</v>
      </c>
      <c r="J62" s="1">
        <v>-0.0900873050047885</v>
      </c>
      <c r="K62" s="1" t="s">
        <v>61</v>
      </c>
      <c r="L62" s="1" t="s">
        <v>61</v>
      </c>
      <c r="M62" s="1" t="s">
        <v>62</v>
      </c>
      <c r="N62" s="1">
        <v>-113.0</v>
      </c>
      <c r="O62" s="1">
        <v>0.0225256340263091</v>
      </c>
      <c r="P62" s="1" t="s">
        <v>61</v>
      </c>
      <c r="Q62" s="1" t="s">
        <v>61</v>
      </c>
      <c r="R62" s="1">
        <f t="shared" si="1"/>
        <v>0.02252563403</v>
      </c>
      <c r="S62" s="1">
        <f t="shared" si="2"/>
        <v>-113</v>
      </c>
      <c r="T62" s="1">
        <f t="shared" si="3"/>
        <v>1.884955752</v>
      </c>
      <c r="U62" s="1">
        <f t="shared" si="4"/>
        <v>0</v>
      </c>
      <c r="V62" s="3">
        <f t="shared" si="5"/>
        <v>1</v>
      </c>
      <c r="W62" s="3">
        <f t="shared" si="6"/>
        <v>2</v>
      </c>
      <c r="X62" s="3" t="str">
        <f>IFERROR(__xludf.DUMMYFUNCTION("split(B62,"" "")"),"J.")</f>
        <v>J.</v>
      </c>
      <c r="Y62" s="3" t="str">
        <f>IFERROR(__xludf.DUMMYFUNCTION("""COMPUTED_VALUE"""),"Cook")</f>
        <v>Cook</v>
      </c>
      <c r="AA62" s="3">
        <v>82.0</v>
      </c>
      <c r="AB62" s="3">
        <f t="shared" si="7"/>
        <v>1</v>
      </c>
      <c r="AC62" s="3">
        <f t="shared" si="8"/>
        <v>0</v>
      </c>
      <c r="AD62" s="3">
        <f t="shared" si="9"/>
        <v>0.8849557522</v>
      </c>
      <c r="AE62" s="3">
        <f t="shared" si="10"/>
        <v>-1</v>
      </c>
      <c r="AF62" s="3">
        <f t="shared" si="11"/>
        <v>-2</v>
      </c>
      <c r="AG62" s="3">
        <f t="shared" si="12"/>
        <v>-0.3781512605</v>
      </c>
    </row>
    <row r="63">
      <c r="A63" s="1" t="s">
        <v>11</v>
      </c>
      <c r="B63" s="1" t="s">
        <v>235</v>
      </c>
      <c r="C63" s="1" t="s">
        <v>20</v>
      </c>
      <c r="D63" s="1" t="s">
        <v>104</v>
      </c>
      <c r="E63" s="1" t="s">
        <v>72</v>
      </c>
      <c r="F63" s="1" t="s">
        <v>576</v>
      </c>
      <c r="G63" s="1">
        <v>45.5</v>
      </c>
      <c r="H63" s="1" t="s">
        <v>60</v>
      </c>
      <c r="I63" s="1">
        <v>-114.0</v>
      </c>
      <c r="J63" s="1">
        <v>-0.088613341856075</v>
      </c>
      <c r="K63" s="1" t="s">
        <v>61</v>
      </c>
      <c r="L63" s="1" t="s">
        <v>61</v>
      </c>
      <c r="M63" s="1" t="s">
        <v>62</v>
      </c>
      <c r="N63" s="1">
        <v>-115.0</v>
      </c>
      <c r="O63" s="1">
        <v>0.0210188404976048</v>
      </c>
      <c r="P63" s="1" t="s">
        <v>61</v>
      </c>
      <c r="Q63" s="1" t="s">
        <v>61</v>
      </c>
      <c r="R63" s="1">
        <f t="shared" si="1"/>
        <v>0.0210188405</v>
      </c>
      <c r="S63" s="1">
        <f t="shared" si="2"/>
        <v>-115</v>
      </c>
      <c r="T63" s="1">
        <f t="shared" si="3"/>
        <v>1.869565217</v>
      </c>
      <c r="U63" s="1">
        <f t="shared" si="4"/>
        <v>0</v>
      </c>
      <c r="V63" s="3">
        <f t="shared" si="5"/>
        <v>1</v>
      </c>
      <c r="W63" s="3">
        <f t="shared" si="6"/>
        <v>2</v>
      </c>
      <c r="X63" s="3" t="str">
        <f>IFERROR(__xludf.DUMMYFUNCTION("split(B63,"" "")"),"D.")</f>
        <v>D.</v>
      </c>
      <c r="Y63" s="3" t="str">
        <f>IFERROR(__xludf.DUMMYFUNCTION("""COMPUTED_VALUE"""),"Kincaid")</f>
        <v>Kincaid</v>
      </c>
      <c r="AA63" s="3">
        <v>34.0</v>
      </c>
      <c r="AB63" s="3">
        <f t="shared" si="7"/>
        <v>0</v>
      </c>
      <c r="AC63" s="3">
        <f t="shared" si="8"/>
        <v>1</v>
      </c>
      <c r="AD63" s="3">
        <f t="shared" si="9"/>
        <v>0.8695652174</v>
      </c>
      <c r="AE63" s="3">
        <f t="shared" si="10"/>
        <v>0.8695652174</v>
      </c>
      <c r="AF63" s="3">
        <f t="shared" si="11"/>
        <v>1.739130435</v>
      </c>
      <c r="AG63" s="3">
        <f t="shared" si="12"/>
        <v>0.2527472527</v>
      </c>
    </row>
    <row r="64">
      <c r="A64" s="1" t="s">
        <v>11</v>
      </c>
      <c r="B64" s="1" t="s">
        <v>458</v>
      </c>
      <c r="C64" s="1" t="s">
        <v>19</v>
      </c>
      <c r="D64" s="1" t="s">
        <v>104</v>
      </c>
      <c r="E64" s="1" t="s">
        <v>72</v>
      </c>
      <c r="F64" s="1" t="s">
        <v>576</v>
      </c>
      <c r="G64" s="1">
        <v>20.5</v>
      </c>
      <c r="H64" s="1" t="s">
        <v>60</v>
      </c>
      <c r="I64" s="1">
        <v>-114.0</v>
      </c>
      <c r="J64" s="1">
        <v>-0.0839490065943365</v>
      </c>
      <c r="K64" s="1" t="s">
        <v>61</v>
      </c>
      <c r="L64" s="1" t="s">
        <v>61</v>
      </c>
      <c r="M64" s="1" t="s">
        <v>62</v>
      </c>
      <c r="N64" s="1">
        <v>-114.0</v>
      </c>
      <c r="O64" s="1">
        <v>0.0185618675175436</v>
      </c>
      <c r="P64" s="1" t="s">
        <v>61</v>
      </c>
      <c r="Q64" s="1" t="s">
        <v>61</v>
      </c>
      <c r="R64" s="1">
        <f t="shared" si="1"/>
        <v>0.01856186752</v>
      </c>
      <c r="S64" s="1">
        <f t="shared" si="2"/>
        <v>-114</v>
      </c>
      <c r="T64" s="1">
        <f t="shared" si="3"/>
        <v>1.877192982</v>
      </c>
      <c r="U64" s="1">
        <f t="shared" si="4"/>
        <v>0</v>
      </c>
      <c r="V64" s="3">
        <f t="shared" si="5"/>
        <v>1</v>
      </c>
      <c r="W64" s="3">
        <f t="shared" si="6"/>
        <v>2</v>
      </c>
      <c r="X64" s="3" t="str">
        <f>IFERROR(__xludf.DUMMYFUNCTION("split(B64,"" "")"),"J.")</f>
        <v>J.</v>
      </c>
      <c r="Y64" s="3" t="str">
        <f>IFERROR(__xludf.DUMMYFUNCTION("""COMPUTED_VALUE"""),"Cook")</f>
        <v>Cook</v>
      </c>
      <c r="AA64" s="3">
        <v>17.0</v>
      </c>
      <c r="AB64" s="3">
        <f t="shared" si="7"/>
        <v>0</v>
      </c>
      <c r="AC64" s="3">
        <f t="shared" si="8"/>
        <v>1</v>
      </c>
      <c r="AD64" s="3">
        <f t="shared" si="9"/>
        <v>0.8771929825</v>
      </c>
      <c r="AE64" s="3">
        <f t="shared" si="10"/>
        <v>0.8771929825</v>
      </c>
      <c r="AF64" s="3">
        <f t="shared" si="11"/>
        <v>1.754385965</v>
      </c>
      <c r="AG64" s="3">
        <f t="shared" si="12"/>
        <v>0.1707317073</v>
      </c>
    </row>
    <row r="65">
      <c r="A65" s="1" t="s">
        <v>17</v>
      </c>
      <c r="B65" s="1" t="s">
        <v>434</v>
      </c>
      <c r="C65" s="1" t="s">
        <v>21</v>
      </c>
      <c r="D65" s="1" t="s">
        <v>104</v>
      </c>
      <c r="E65" s="1" t="s">
        <v>72</v>
      </c>
      <c r="F65" s="1" t="s">
        <v>576</v>
      </c>
      <c r="G65" s="1">
        <v>0.5</v>
      </c>
      <c r="H65" s="1" t="s">
        <v>60</v>
      </c>
      <c r="I65" s="1">
        <v>-113.0</v>
      </c>
      <c r="J65" s="1">
        <v>-0.081869483568075</v>
      </c>
      <c r="K65" s="1" t="s">
        <v>61</v>
      </c>
      <c r="L65" s="1" t="s">
        <v>61</v>
      </c>
      <c r="M65" s="1" t="s">
        <v>62</v>
      </c>
      <c r="N65" s="1">
        <v>-116.0</v>
      </c>
      <c r="O65" s="1">
        <v>0.0143092592592593</v>
      </c>
      <c r="P65" s="1" t="s">
        <v>61</v>
      </c>
      <c r="Q65" s="1" t="s">
        <v>61</v>
      </c>
      <c r="R65" s="1">
        <f t="shared" si="1"/>
        <v>0.01430925926</v>
      </c>
      <c r="S65" s="1">
        <f t="shared" si="2"/>
        <v>-116</v>
      </c>
      <c r="T65" s="1">
        <f t="shared" si="3"/>
        <v>1.862068966</v>
      </c>
      <c r="U65" s="1">
        <f t="shared" si="4"/>
        <v>0</v>
      </c>
      <c r="V65" s="3">
        <f t="shared" si="5"/>
        <v>1</v>
      </c>
      <c r="W65" s="3">
        <f t="shared" si="6"/>
        <v>2</v>
      </c>
      <c r="X65" s="3" t="str">
        <f>IFERROR(__xludf.DUMMYFUNCTION("split(B65,"" "")"),"J.")</f>
        <v>J.</v>
      </c>
      <c r="Y65" s="3" t="str">
        <f>IFERROR(__xludf.DUMMYFUNCTION("""COMPUTED_VALUE"""),"Allen")</f>
        <v>Allen</v>
      </c>
      <c r="AA65" s="3">
        <v>0.0</v>
      </c>
      <c r="AB65" s="3">
        <f t="shared" si="7"/>
        <v>0</v>
      </c>
      <c r="AC65" s="3">
        <f t="shared" si="8"/>
        <v>1</v>
      </c>
      <c r="AD65" s="3">
        <f t="shared" si="9"/>
        <v>0.8620689655</v>
      </c>
      <c r="AE65" s="3">
        <f t="shared" si="10"/>
        <v>0.8620689655</v>
      </c>
      <c r="AF65" s="3">
        <f t="shared" si="11"/>
        <v>1.724137931</v>
      </c>
      <c r="AG65" s="3">
        <f t="shared" si="12"/>
        <v>1</v>
      </c>
    </row>
    <row r="66">
      <c r="A66" s="1" t="s">
        <v>12</v>
      </c>
      <c r="B66" s="1" t="s">
        <v>577</v>
      </c>
      <c r="C66" s="1" t="s">
        <v>18</v>
      </c>
      <c r="D66" s="1" t="s">
        <v>104</v>
      </c>
      <c r="E66" s="1" t="s">
        <v>72</v>
      </c>
      <c r="F66" s="1" t="s">
        <v>576</v>
      </c>
      <c r="G66" s="1">
        <v>1.5</v>
      </c>
      <c r="H66" s="1" t="s">
        <v>60</v>
      </c>
      <c r="I66" s="1">
        <v>150.0</v>
      </c>
      <c r="J66" s="1">
        <v>-0.078182850068</v>
      </c>
      <c r="K66" s="1" t="s">
        <v>61</v>
      </c>
      <c r="L66" s="1" t="s">
        <v>61</v>
      </c>
      <c r="M66" s="1" t="s">
        <v>62</v>
      </c>
      <c r="N66" s="1">
        <v>-200.0</v>
      </c>
      <c r="O66" s="1">
        <v>0.0115142778533333</v>
      </c>
      <c r="P66" s="1" t="s">
        <v>61</v>
      </c>
      <c r="Q66" s="1" t="s">
        <v>61</v>
      </c>
      <c r="R66" s="1">
        <f t="shared" si="1"/>
        <v>0.01151427785</v>
      </c>
      <c r="S66" s="1">
        <f t="shared" si="2"/>
        <v>-200</v>
      </c>
      <c r="T66" s="1">
        <f t="shared" si="3"/>
        <v>1.5</v>
      </c>
      <c r="U66" s="1">
        <f t="shared" si="4"/>
        <v>0</v>
      </c>
      <c r="V66" s="3">
        <f t="shared" si="5"/>
        <v>1</v>
      </c>
      <c r="W66" s="3">
        <f t="shared" si="6"/>
        <v>3</v>
      </c>
      <c r="X66" s="3" t="str">
        <f>IFERROR(__xludf.DUMMYFUNCTION("split(B66,"" "")"),"M.")</f>
        <v>M.</v>
      </c>
      <c r="Y66" s="3" t="str">
        <f>IFERROR(__xludf.DUMMYFUNCTION("""COMPUTED_VALUE"""),"Valdes-Scantling")</f>
        <v>Valdes-Scantling</v>
      </c>
      <c r="AA66" s="3">
        <v>0.0</v>
      </c>
      <c r="AB66" s="3">
        <f t="shared" si="7"/>
        <v>0</v>
      </c>
      <c r="AC66" s="3">
        <f t="shared" si="8"/>
        <v>1</v>
      </c>
      <c r="AD66" s="3">
        <f t="shared" si="9"/>
        <v>0.5</v>
      </c>
      <c r="AE66" s="3">
        <f t="shared" si="10"/>
        <v>0.5</v>
      </c>
      <c r="AF66" s="3">
        <f t="shared" si="11"/>
        <v>1.5</v>
      </c>
      <c r="AG66" s="3">
        <f t="shared" si="12"/>
        <v>1</v>
      </c>
    </row>
    <row r="67">
      <c r="A67" s="1" t="s">
        <v>10</v>
      </c>
      <c r="B67" s="1" t="s">
        <v>342</v>
      </c>
      <c r="C67" s="1" t="s">
        <v>19</v>
      </c>
      <c r="D67" s="1" t="s">
        <v>104</v>
      </c>
      <c r="E67" s="1" t="s">
        <v>72</v>
      </c>
      <c r="F67" s="1" t="s">
        <v>576</v>
      </c>
      <c r="G67" s="1">
        <v>11.5</v>
      </c>
      <c r="H67" s="1" t="s">
        <v>60</v>
      </c>
      <c r="I67" s="1">
        <v>-130.0</v>
      </c>
      <c r="J67" s="1">
        <v>-0.0762792614320043</v>
      </c>
      <c r="K67" s="1" t="s">
        <v>61</v>
      </c>
      <c r="L67" s="1" t="s">
        <v>61</v>
      </c>
      <c r="M67" s="1" t="s">
        <v>62</v>
      </c>
      <c r="N67" s="1">
        <v>-101.0</v>
      </c>
      <c r="O67" s="1">
        <v>0.00855279816246046</v>
      </c>
      <c r="P67" s="1" t="s">
        <v>61</v>
      </c>
      <c r="Q67" s="1" t="s">
        <v>61</v>
      </c>
      <c r="R67" s="1">
        <f t="shared" si="1"/>
        <v>0.008552798162</v>
      </c>
      <c r="S67" s="1">
        <f t="shared" si="2"/>
        <v>-101</v>
      </c>
      <c r="T67" s="1">
        <f t="shared" si="3"/>
        <v>1.99009901</v>
      </c>
      <c r="U67" s="1">
        <f t="shared" si="4"/>
        <v>0</v>
      </c>
      <c r="V67" s="3">
        <f t="shared" si="5"/>
        <v>1</v>
      </c>
      <c r="W67" s="3">
        <f t="shared" si="6"/>
        <v>2</v>
      </c>
      <c r="X67" s="3" t="str">
        <f>IFERROR(__xludf.DUMMYFUNCTION("split(B67,"" "")"),"R.")</f>
        <v>R.</v>
      </c>
      <c r="Y67" s="3" t="str">
        <f>IFERROR(__xludf.DUMMYFUNCTION("""COMPUTED_VALUE"""),"Davis")</f>
        <v>Davis</v>
      </c>
      <c r="AA67" s="3">
        <v>0.0</v>
      </c>
      <c r="AB67" s="3">
        <f t="shared" si="7"/>
        <v>0</v>
      </c>
      <c r="AC67" s="3">
        <f t="shared" si="8"/>
        <v>1</v>
      </c>
      <c r="AD67" s="3">
        <f t="shared" si="9"/>
        <v>0.9900990099</v>
      </c>
      <c r="AE67" s="3">
        <f t="shared" si="10"/>
        <v>0.9900990099</v>
      </c>
      <c r="AF67" s="3">
        <f t="shared" si="11"/>
        <v>1.98019802</v>
      </c>
      <c r="AG67" s="3">
        <f t="shared" si="12"/>
        <v>1</v>
      </c>
    </row>
    <row r="68">
      <c r="A68" s="1" t="s">
        <v>11</v>
      </c>
      <c r="B68" s="1" t="s">
        <v>426</v>
      </c>
      <c r="C68" s="1" t="s">
        <v>18</v>
      </c>
      <c r="D68" s="1" t="s">
        <v>104</v>
      </c>
      <c r="E68" s="1" t="s">
        <v>72</v>
      </c>
      <c r="F68" s="1" t="s">
        <v>576</v>
      </c>
      <c r="G68" s="1">
        <v>41.5</v>
      </c>
      <c r="H68" s="1" t="s">
        <v>60</v>
      </c>
      <c r="I68" s="1">
        <v>-113.0</v>
      </c>
      <c r="J68" s="1">
        <v>-0.0654520465060564</v>
      </c>
      <c r="K68" s="1" t="s">
        <v>61</v>
      </c>
      <c r="L68" s="1" t="s">
        <v>61</v>
      </c>
      <c r="M68" s="1" t="s">
        <v>62</v>
      </c>
      <c r="N68" s="1">
        <v>-113.0</v>
      </c>
      <c r="O68" s="1">
        <v>0.00444861679494379</v>
      </c>
      <c r="P68" s="1" t="s">
        <v>61</v>
      </c>
      <c r="Q68" s="1" t="s">
        <v>61</v>
      </c>
      <c r="R68" s="1">
        <f t="shared" si="1"/>
        <v>0.004448616795</v>
      </c>
      <c r="S68" s="1">
        <f t="shared" si="2"/>
        <v>-113</v>
      </c>
      <c r="T68" s="1">
        <f t="shared" si="3"/>
        <v>1.884955752</v>
      </c>
      <c r="U68" s="1">
        <f t="shared" si="4"/>
        <v>0</v>
      </c>
      <c r="V68" s="3">
        <f t="shared" si="5"/>
        <v>1</v>
      </c>
      <c r="W68" s="3">
        <f t="shared" si="6"/>
        <v>2</v>
      </c>
      <c r="X68" s="3" t="str">
        <f>IFERROR(__xludf.DUMMYFUNCTION("split(B68,"" "")"),"K.")</f>
        <v>K.</v>
      </c>
      <c r="Y68" s="3" t="str">
        <f>IFERROR(__xludf.DUMMYFUNCTION("""COMPUTED_VALUE"""),"Coleman")</f>
        <v>Coleman</v>
      </c>
      <c r="AA68" s="3">
        <v>49.0</v>
      </c>
      <c r="AB68" s="3">
        <f t="shared" si="7"/>
        <v>1</v>
      </c>
      <c r="AC68" s="3">
        <f t="shared" si="8"/>
        <v>0</v>
      </c>
      <c r="AD68" s="3">
        <f t="shared" si="9"/>
        <v>0.8849557522</v>
      </c>
      <c r="AE68" s="3">
        <f t="shared" si="10"/>
        <v>-1</v>
      </c>
      <c r="AF68" s="3">
        <f t="shared" si="11"/>
        <v>-2</v>
      </c>
      <c r="AG68" s="3">
        <f t="shared" si="12"/>
        <v>-0.1807228916</v>
      </c>
    </row>
    <row r="69">
      <c r="A69" s="1" t="s">
        <v>15</v>
      </c>
      <c r="B69" s="1" t="s">
        <v>434</v>
      </c>
      <c r="C69" s="1" t="s">
        <v>21</v>
      </c>
      <c r="D69" s="1" t="s">
        <v>104</v>
      </c>
      <c r="E69" s="1" t="s">
        <v>72</v>
      </c>
      <c r="F69" s="1" t="s">
        <v>576</v>
      </c>
      <c r="G69" s="1">
        <v>20.5</v>
      </c>
      <c r="H69" s="1" t="s">
        <v>60</v>
      </c>
      <c r="I69" s="1">
        <v>-118.0</v>
      </c>
      <c r="J69" s="1">
        <v>0.00141559633027521</v>
      </c>
      <c r="K69" s="1" t="s">
        <v>61</v>
      </c>
      <c r="L69" s="1" t="s">
        <v>61</v>
      </c>
      <c r="M69" s="1" t="s">
        <v>62</v>
      </c>
      <c r="N69" s="1">
        <v>-111.0</v>
      </c>
      <c r="O69" s="1">
        <v>-0.0687663507109003</v>
      </c>
      <c r="P69" s="1" t="s">
        <v>61</v>
      </c>
      <c r="Q69" s="1" t="s">
        <v>61</v>
      </c>
      <c r="R69" s="1">
        <f t="shared" si="1"/>
        <v>0.00141559633</v>
      </c>
      <c r="S69" s="1">
        <f t="shared" si="2"/>
        <v>-118</v>
      </c>
      <c r="T69" s="1">
        <f t="shared" si="3"/>
        <v>1.847457627</v>
      </c>
      <c r="U69" s="1">
        <f t="shared" si="4"/>
        <v>1</v>
      </c>
      <c r="V69" s="3">
        <f t="shared" si="5"/>
        <v>1</v>
      </c>
      <c r="W69" s="3">
        <f t="shared" si="6"/>
        <v>3</v>
      </c>
      <c r="X69" s="3" t="str">
        <f>IFERROR(__xludf.DUMMYFUNCTION("split(B69,"" "")"),"J.")</f>
        <v>J.</v>
      </c>
      <c r="Y69" s="3" t="str">
        <f>IFERROR(__xludf.DUMMYFUNCTION("""COMPUTED_VALUE"""),"Allen")</f>
        <v>Allen</v>
      </c>
      <c r="AA69" s="3">
        <v>9.0</v>
      </c>
      <c r="AB69" s="3">
        <f t="shared" si="7"/>
        <v>0</v>
      </c>
      <c r="AC69" s="3">
        <f t="shared" si="8"/>
        <v>0</v>
      </c>
      <c r="AD69" s="3">
        <f t="shared" si="9"/>
        <v>0.8474576271</v>
      </c>
      <c r="AE69" s="3">
        <f t="shared" si="10"/>
        <v>-1</v>
      </c>
      <c r="AF69" s="3">
        <f t="shared" si="11"/>
        <v>-3</v>
      </c>
      <c r="AG69" s="3">
        <f t="shared" si="12"/>
        <v>-0.5609756098</v>
      </c>
    </row>
    <row r="70">
      <c r="A70" s="1" t="s">
        <v>12</v>
      </c>
      <c r="B70" s="1" t="s">
        <v>520</v>
      </c>
      <c r="C70" s="1" t="s">
        <v>20</v>
      </c>
      <c r="D70" s="1" t="s">
        <v>57</v>
      </c>
      <c r="E70" s="1" t="s">
        <v>99</v>
      </c>
      <c r="F70" s="1" t="s">
        <v>576</v>
      </c>
      <c r="G70" s="1">
        <v>1.5</v>
      </c>
      <c r="H70" s="1" t="s">
        <v>60</v>
      </c>
      <c r="I70" s="1">
        <v>-190.0</v>
      </c>
      <c r="J70" s="1">
        <v>-0.287134266648275</v>
      </c>
      <c r="K70" s="1" t="s">
        <v>61</v>
      </c>
      <c r="L70" s="1" t="s">
        <v>61</v>
      </c>
      <c r="M70" s="1" t="s">
        <v>62</v>
      </c>
      <c r="N70" s="1">
        <v>144.0</v>
      </c>
      <c r="O70" s="1">
        <v>0.222137448065573</v>
      </c>
      <c r="P70" s="1" t="s">
        <v>61</v>
      </c>
      <c r="Q70" s="1" t="s">
        <v>61</v>
      </c>
      <c r="R70" s="1">
        <f t="shared" si="1"/>
        <v>0.2221374481</v>
      </c>
      <c r="S70" s="1">
        <f t="shared" si="2"/>
        <v>144</v>
      </c>
      <c r="T70" s="1">
        <f t="shared" si="3"/>
        <v>2.44</v>
      </c>
      <c r="U70" s="1">
        <f t="shared" si="4"/>
        <v>0</v>
      </c>
      <c r="V70" s="3">
        <f t="shared" si="5"/>
        <v>3</v>
      </c>
      <c r="W70" s="3">
        <f t="shared" si="6"/>
        <v>1</v>
      </c>
      <c r="X70" s="3" t="str">
        <f>IFERROR(__xludf.DUMMYFUNCTION("split(B70,"" "")"),"T.")</f>
        <v>T.</v>
      </c>
      <c r="Y70" s="3" t="str">
        <f>IFERROR(__xludf.DUMMYFUNCTION("""COMPUTED_VALUE"""),"Tremble")</f>
        <v>Tremble</v>
      </c>
      <c r="AA70" s="3">
        <v>1.0</v>
      </c>
      <c r="AB70" s="3">
        <f t="shared" si="7"/>
        <v>0</v>
      </c>
      <c r="AC70" s="3">
        <f t="shared" si="8"/>
        <v>1</v>
      </c>
      <c r="AD70" s="3">
        <f t="shared" si="9"/>
        <v>4.32</v>
      </c>
      <c r="AE70" s="3">
        <f t="shared" si="10"/>
        <v>4.32</v>
      </c>
      <c r="AF70" s="3">
        <f t="shared" si="11"/>
        <v>1.44</v>
      </c>
      <c r="AG70" s="3">
        <f t="shared" si="12"/>
        <v>0.3333333333</v>
      </c>
    </row>
    <row r="71">
      <c r="A71" s="1" t="s">
        <v>8</v>
      </c>
      <c r="B71" s="1" t="s">
        <v>521</v>
      </c>
      <c r="C71" s="1" t="s">
        <v>19</v>
      </c>
      <c r="D71" s="1" t="s">
        <v>57</v>
      </c>
      <c r="E71" s="1" t="s">
        <v>99</v>
      </c>
      <c r="F71" s="1" t="s">
        <v>576</v>
      </c>
      <c r="G71" s="1">
        <v>5.5</v>
      </c>
      <c r="H71" s="1" t="s">
        <v>60</v>
      </c>
      <c r="I71" s="1">
        <v>-161.0</v>
      </c>
      <c r="J71" s="1">
        <v>-0.270028521555553</v>
      </c>
      <c r="K71" s="1" t="s">
        <v>61</v>
      </c>
      <c r="L71" s="1" t="s">
        <v>61</v>
      </c>
      <c r="M71" s="1" t="s">
        <v>62</v>
      </c>
      <c r="N71" s="1">
        <v>121.0</v>
      </c>
      <c r="O71" s="1">
        <v>0.200694317312214</v>
      </c>
      <c r="P71" s="1" t="s">
        <v>61</v>
      </c>
      <c r="Q71" s="1" t="s">
        <v>61</v>
      </c>
      <c r="R71" s="1">
        <f t="shared" si="1"/>
        <v>0.2006943173</v>
      </c>
      <c r="S71" s="1">
        <f t="shared" si="2"/>
        <v>121</v>
      </c>
      <c r="T71" s="1">
        <f t="shared" si="3"/>
        <v>2.21</v>
      </c>
      <c r="U71" s="1">
        <f t="shared" si="4"/>
        <v>0</v>
      </c>
      <c r="V71" s="3">
        <f t="shared" si="5"/>
        <v>3</v>
      </c>
      <c r="W71" s="3">
        <f t="shared" si="6"/>
        <v>1</v>
      </c>
      <c r="X71" s="3" t="str">
        <f>IFERROR(__xludf.DUMMYFUNCTION("split(B71,"" "")"),"M.")</f>
        <v>M.</v>
      </c>
      <c r="Y71" s="3" t="str">
        <f>IFERROR(__xludf.DUMMYFUNCTION("""COMPUTED_VALUE"""),"Sanders")</f>
        <v>Sanders</v>
      </c>
      <c r="AA71" s="3">
        <v>2.0</v>
      </c>
      <c r="AB71" s="3">
        <f t="shared" si="7"/>
        <v>0</v>
      </c>
      <c r="AC71" s="3">
        <f t="shared" si="8"/>
        <v>1</v>
      </c>
      <c r="AD71" s="3">
        <f t="shared" si="9"/>
        <v>3.63</v>
      </c>
      <c r="AE71" s="3">
        <f t="shared" si="10"/>
        <v>3.63</v>
      </c>
      <c r="AF71" s="3">
        <f t="shared" si="11"/>
        <v>1.21</v>
      </c>
      <c r="AG71" s="3">
        <f t="shared" si="12"/>
        <v>0.6363636364</v>
      </c>
    </row>
    <row r="72">
      <c r="A72" s="1" t="s">
        <v>12</v>
      </c>
      <c r="B72" s="1" t="s">
        <v>266</v>
      </c>
      <c r="C72" s="1" t="s">
        <v>19</v>
      </c>
      <c r="D72" s="1" t="s">
        <v>57</v>
      </c>
      <c r="E72" s="1" t="s">
        <v>99</v>
      </c>
      <c r="F72" s="1" t="s">
        <v>576</v>
      </c>
      <c r="G72" s="1">
        <v>2.5</v>
      </c>
      <c r="H72" s="1" t="s">
        <v>60</v>
      </c>
      <c r="I72" s="1">
        <v>-154.0</v>
      </c>
      <c r="J72" s="1">
        <v>-0.250297555748031</v>
      </c>
      <c r="K72" s="1" t="s">
        <v>61</v>
      </c>
      <c r="L72" s="1" t="s">
        <v>61</v>
      </c>
      <c r="M72" s="1" t="s">
        <v>62</v>
      </c>
      <c r="N72" s="1">
        <v>118.0</v>
      </c>
      <c r="O72" s="1">
        <v>0.185282473211009</v>
      </c>
      <c r="P72" s="1" t="s">
        <v>61</v>
      </c>
      <c r="Q72" s="1" t="s">
        <v>61</v>
      </c>
      <c r="R72" s="1">
        <f t="shared" si="1"/>
        <v>0.1852824732</v>
      </c>
      <c r="S72" s="1">
        <f t="shared" si="2"/>
        <v>118</v>
      </c>
      <c r="T72" s="1">
        <f t="shared" si="3"/>
        <v>2.18</v>
      </c>
      <c r="U72" s="1">
        <f t="shared" si="4"/>
        <v>0</v>
      </c>
      <c r="V72" s="3">
        <f t="shared" si="5"/>
        <v>3</v>
      </c>
      <c r="W72" s="3">
        <f t="shared" si="6"/>
        <v>1</v>
      </c>
      <c r="X72" s="3" t="str">
        <f>IFERROR(__xludf.DUMMYFUNCTION("split(B72,"" "")"),"C.")</f>
        <v>C.</v>
      </c>
      <c r="Y72" s="3" t="str">
        <f>IFERROR(__xludf.DUMMYFUNCTION("""COMPUTED_VALUE"""),"Hubbard")</f>
        <v>Hubbard</v>
      </c>
      <c r="AA72" s="3">
        <v>4.0</v>
      </c>
      <c r="AB72" s="3">
        <f t="shared" si="7"/>
        <v>1</v>
      </c>
      <c r="AC72" s="3">
        <f t="shared" si="8"/>
        <v>0</v>
      </c>
      <c r="AD72" s="3">
        <f t="shared" si="9"/>
        <v>3.54</v>
      </c>
      <c r="AE72" s="3">
        <f t="shared" si="10"/>
        <v>-3</v>
      </c>
      <c r="AF72" s="3">
        <f t="shared" si="11"/>
        <v>-1</v>
      </c>
      <c r="AG72" s="3">
        <f t="shared" si="12"/>
        <v>-0.6</v>
      </c>
    </row>
    <row r="73">
      <c r="A73" s="1" t="s">
        <v>12</v>
      </c>
      <c r="B73" s="1" t="s">
        <v>521</v>
      </c>
      <c r="C73" s="1" t="s">
        <v>19</v>
      </c>
      <c r="D73" s="1" t="s">
        <v>57</v>
      </c>
      <c r="E73" s="1" t="s">
        <v>99</v>
      </c>
      <c r="F73" s="1" t="s">
        <v>576</v>
      </c>
      <c r="G73" s="1">
        <v>1.5</v>
      </c>
      <c r="H73" s="1" t="s">
        <v>60</v>
      </c>
      <c r="I73" s="1">
        <v>-137.0</v>
      </c>
      <c r="J73" s="1">
        <v>-0.225251882</v>
      </c>
      <c r="K73" s="1" t="s">
        <v>61</v>
      </c>
      <c r="L73" s="1" t="s">
        <v>61</v>
      </c>
      <c r="M73" s="1" t="s">
        <v>62</v>
      </c>
      <c r="N73" s="1">
        <v>105.0</v>
      </c>
      <c r="O73" s="1">
        <v>0.159386809921951</v>
      </c>
      <c r="P73" s="1" t="s">
        <v>61</v>
      </c>
      <c r="Q73" s="1" t="s">
        <v>61</v>
      </c>
      <c r="R73" s="1">
        <f t="shared" si="1"/>
        <v>0.1593868099</v>
      </c>
      <c r="S73" s="1">
        <f t="shared" si="2"/>
        <v>105</v>
      </c>
      <c r="T73" s="1">
        <f t="shared" si="3"/>
        <v>2.05</v>
      </c>
      <c r="U73" s="1">
        <f t="shared" si="4"/>
        <v>0</v>
      </c>
      <c r="V73" s="3">
        <f t="shared" si="5"/>
        <v>3</v>
      </c>
      <c r="W73" s="3">
        <f t="shared" si="6"/>
        <v>2</v>
      </c>
      <c r="X73" s="3" t="str">
        <f>IFERROR(__xludf.DUMMYFUNCTION("split(B73,"" "")"),"M.")</f>
        <v>M.</v>
      </c>
      <c r="Y73" s="3" t="str">
        <f>IFERROR(__xludf.DUMMYFUNCTION("""COMPUTED_VALUE"""),"Sanders")</f>
        <v>Sanders</v>
      </c>
      <c r="AA73" s="3">
        <v>2.0</v>
      </c>
      <c r="AB73" s="3">
        <f t="shared" si="7"/>
        <v>1</v>
      </c>
      <c r="AC73" s="3">
        <f t="shared" si="8"/>
        <v>0</v>
      </c>
      <c r="AD73" s="3">
        <f t="shared" si="9"/>
        <v>3.15</v>
      </c>
      <c r="AE73" s="3">
        <f t="shared" si="10"/>
        <v>-3</v>
      </c>
      <c r="AF73" s="3">
        <f t="shared" si="11"/>
        <v>-2</v>
      </c>
      <c r="AG73" s="3">
        <f t="shared" si="12"/>
        <v>-0.3333333333</v>
      </c>
    </row>
    <row r="74">
      <c r="A74" s="1" t="s">
        <v>11</v>
      </c>
      <c r="B74" s="1" t="s">
        <v>523</v>
      </c>
      <c r="C74" s="1" t="s">
        <v>20</v>
      </c>
      <c r="D74" s="1" t="s">
        <v>57</v>
      </c>
      <c r="E74" s="1" t="s">
        <v>99</v>
      </c>
      <c r="F74" s="1" t="s">
        <v>576</v>
      </c>
      <c r="G74" s="1">
        <v>4.5</v>
      </c>
      <c r="H74" s="1" t="s">
        <v>60</v>
      </c>
      <c r="I74" s="1">
        <v>-114.0</v>
      </c>
      <c r="J74" s="1">
        <v>0.128982499922767</v>
      </c>
      <c r="K74" s="1" t="s">
        <v>61</v>
      </c>
      <c r="L74" s="1" t="s">
        <v>61</v>
      </c>
      <c r="M74" s="1" t="s">
        <v>62</v>
      </c>
      <c r="N74" s="1">
        <v>-110.0</v>
      </c>
      <c r="O74" s="1">
        <v>-0.185489335627711</v>
      </c>
      <c r="P74" s="1" t="s">
        <v>61</v>
      </c>
      <c r="Q74" s="1" t="s">
        <v>61</v>
      </c>
      <c r="R74" s="1">
        <f t="shared" si="1"/>
        <v>0.1289824999</v>
      </c>
      <c r="S74" s="1">
        <f t="shared" si="2"/>
        <v>-114</v>
      </c>
      <c r="T74" s="1">
        <f t="shared" si="3"/>
        <v>1.877192982</v>
      </c>
      <c r="U74" s="1">
        <f t="shared" si="4"/>
        <v>1</v>
      </c>
      <c r="V74" s="3">
        <f t="shared" si="5"/>
        <v>3</v>
      </c>
      <c r="W74" s="3">
        <f t="shared" si="6"/>
        <v>2</v>
      </c>
      <c r="X74" s="3" t="str">
        <f>IFERROR(__xludf.DUMMYFUNCTION("split(B74,"" "")"),"J.")</f>
        <v>J.</v>
      </c>
      <c r="Y74" s="3" t="str">
        <f>IFERROR(__xludf.DUMMYFUNCTION("""COMPUTED_VALUE"""),"Sanders")</f>
        <v>Sanders</v>
      </c>
      <c r="AA74" s="3">
        <v>27.0</v>
      </c>
      <c r="AB74" s="3">
        <f t="shared" si="7"/>
        <v>1</v>
      </c>
      <c r="AC74" s="3">
        <f t="shared" si="8"/>
        <v>1</v>
      </c>
      <c r="AD74" s="3">
        <f t="shared" si="9"/>
        <v>2.631578947</v>
      </c>
      <c r="AE74" s="3">
        <f t="shared" si="10"/>
        <v>2.631578947</v>
      </c>
      <c r="AF74" s="3">
        <f t="shared" si="11"/>
        <v>1.754385965</v>
      </c>
      <c r="AG74" s="3">
        <f t="shared" si="12"/>
        <v>5</v>
      </c>
    </row>
    <row r="75">
      <c r="A75" s="1" t="s">
        <v>12</v>
      </c>
      <c r="B75" s="1" t="s">
        <v>207</v>
      </c>
      <c r="C75" s="1" t="s">
        <v>18</v>
      </c>
      <c r="D75" s="1" t="s">
        <v>57</v>
      </c>
      <c r="E75" s="1" t="s">
        <v>99</v>
      </c>
      <c r="F75" s="1" t="s">
        <v>576</v>
      </c>
      <c r="G75" s="1">
        <v>2.5</v>
      </c>
      <c r="H75" s="1" t="s">
        <v>60</v>
      </c>
      <c r="I75" s="1">
        <v>-126.0</v>
      </c>
      <c r="J75" s="1">
        <v>-0.184519894159292</v>
      </c>
      <c r="K75" s="1" t="s">
        <v>61</v>
      </c>
      <c r="L75" s="1" t="s">
        <v>61</v>
      </c>
      <c r="M75" s="1" t="s">
        <v>62</v>
      </c>
      <c r="N75" s="1">
        <v>-105.0</v>
      </c>
      <c r="O75" s="1">
        <v>0.114802296995122</v>
      </c>
      <c r="P75" s="1" t="s">
        <v>61</v>
      </c>
      <c r="Q75" s="1" t="s">
        <v>61</v>
      </c>
      <c r="R75" s="1">
        <f t="shared" si="1"/>
        <v>0.114802297</v>
      </c>
      <c r="S75" s="1">
        <f t="shared" si="2"/>
        <v>-105</v>
      </c>
      <c r="T75" s="1">
        <f t="shared" si="3"/>
        <v>1.952380952</v>
      </c>
      <c r="U75" s="1">
        <f t="shared" si="4"/>
        <v>0</v>
      </c>
      <c r="V75" s="3">
        <f t="shared" si="5"/>
        <v>3</v>
      </c>
      <c r="W75" s="3">
        <f t="shared" si="6"/>
        <v>2</v>
      </c>
      <c r="X75" s="3" t="str">
        <f>IFERROR(__xludf.DUMMYFUNCTION("split(B75,"" "")"),"J.")</f>
        <v>J.</v>
      </c>
      <c r="Y75" s="3" t="str">
        <f>IFERROR(__xludf.DUMMYFUNCTION("""COMPUTED_VALUE"""),"Mingo")</f>
        <v>Mingo</v>
      </c>
      <c r="AA75" s="3">
        <v>2.0</v>
      </c>
      <c r="AB75" s="3">
        <f t="shared" si="7"/>
        <v>0</v>
      </c>
      <c r="AC75" s="3">
        <f t="shared" si="8"/>
        <v>1</v>
      </c>
      <c r="AD75" s="3">
        <f t="shared" si="9"/>
        <v>2.857142857</v>
      </c>
      <c r="AE75" s="3">
        <f t="shared" si="10"/>
        <v>2.857142857</v>
      </c>
      <c r="AF75" s="3">
        <f t="shared" si="11"/>
        <v>1.904761905</v>
      </c>
      <c r="AG75" s="3">
        <f t="shared" si="12"/>
        <v>0.2</v>
      </c>
    </row>
    <row r="76">
      <c r="A76" s="1" t="s">
        <v>12</v>
      </c>
      <c r="B76" s="1" t="s">
        <v>357</v>
      </c>
      <c r="C76" s="1" t="s">
        <v>18</v>
      </c>
      <c r="D76" s="1" t="s">
        <v>57</v>
      </c>
      <c r="E76" s="1" t="s">
        <v>99</v>
      </c>
      <c r="F76" s="1" t="s">
        <v>576</v>
      </c>
      <c r="G76" s="1">
        <v>3.5</v>
      </c>
      <c r="H76" s="1" t="s">
        <v>60</v>
      </c>
      <c r="I76" s="1">
        <v>-143.0</v>
      </c>
      <c r="J76" s="1">
        <v>-0.166418518518518</v>
      </c>
      <c r="K76" s="1" t="s">
        <v>61</v>
      </c>
      <c r="L76" s="1" t="s">
        <v>61</v>
      </c>
      <c r="M76" s="1" t="s">
        <v>62</v>
      </c>
      <c r="N76" s="1">
        <v>109.0</v>
      </c>
      <c r="O76" s="1">
        <v>0.099478947368421</v>
      </c>
      <c r="P76" s="1" t="s">
        <v>61</v>
      </c>
      <c r="Q76" s="1" t="s">
        <v>61</v>
      </c>
      <c r="R76" s="1">
        <f t="shared" si="1"/>
        <v>0.09947894737</v>
      </c>
      <c r="S76" s="1">
        <f t="shared" si="2"/>
        <v>109</v>
      </c>
      <c r="T76" s="1">
        <f t="shared" si="3"/>
        <v>2.09</v>
      </c>
      <c r="U76" s="1">
        <f t="shared" si="4"/>
        <v>0</v>
      </c>
      <c r="V76" s="3">
        <f t="shared" si="5"/>
        <v>2</v>
      </c>
      <c r="W76" s="3">
        <f t="shared" si="6"/>
        <v>2</v>
      </c>
      <c r="X76" s="3" t="str">
        <f>IFERROR(__xludf.DUMMYFUNCTION("split(B76,"" "")"),"X.")</f>
        <v>X.</v>
      </c>
      <c r="Y76" s="3" t="str">
        <f>IFERROR(__xludf.DUMMYFUNCTION("""COMPUTED_VALUE"""),"Legette")</f>
        <v>Legette</v>
      </c>
      <c r="AA76" s="3">
        <v>1.0</v>
      </c>
      <c r="AB76" s="3">
        <f t="shared" si="7"/>
        <v>0</v>
      </c>
      <c r="AC76" s="3">
        <f t="shared" si="8"/>
        <v>1</v>
      </c>
      <c r="AD76" s="3">
        <f t="shared" si="9"/>
        <v>2.18</v>
      </c>
      <c r="AE76" s="3">
        <f t="shared" si="10"/>
        <v>2.18</v>
      </c>
      <c r="AF76" s="3">
        <f t="shared" si="11"/>
        <v>2.18</v>
      </c>
      <c r="AG76" s="3">
        <f t="shared" si="12"/>
        <v>0.7142857143</v>
      </c>
    </row>
    <row r="77">
      <c r="A77" s="1" t="s">
        <v>10</v>
      </c>
      <c r="B77" s="1" t="s">
        <v>522</v>
      </c>
      <c r="C77" s="1" t="s">
        <v>21</v>
      </c>
      <c r="D77" s="1" t="s">
        <v>57</v>
      </c>
      <c r="E77" s="1" t="s">
        <v>99</v>
      </c>
      <c r="F77" s="1" t="s">
        <v>576</v>
      </c>
      <c r="G77" s="1">
        <v>3.5</v>
      </c>
      <c r="H77" s="1" t="s">
        <v>60</v>
      </c>
      <c r="I77" s="1">
        <v>-102.0</v>
      </c>
      <c r="J77" s="1">
        <v>0.0950970090958748</v>
      </c>
      <c r="K77" s="1" t="s">
        <v>61</v>
      </c>
      <c r="L77" s="1" t="s">
        <v>61</v>
      </c>
      <c r="M77" s="1" t="s">
        <v>62</v>
      </c>
      <c r="N77" s="1">
        <v>-128.0</v>
      </c>
      <c r="O77" s="1">
        <v>-0.161430573122058</v>
      </c>
      <c r="P77" s="1" t="s">
        <v>61</v>
      </c>
      <c r="Q77" s="1" t="s">
        <v>61</v>
      </c>
      <c r="R77" s="1">
        <f t="shared" si="1"/>
        <v>0.0950970091</v>
      </c>
      <c r="S77" s="1">
        <f t="shared" si="2"/>
        <v>-102</v>
      </c>
      <c r="T77" s="1">
        <f t="shared" si="3"/>
        <v>1.980392157</v>
      </c>
      <c r="U77" s="1">
        <f t="shared" si="4"/>
        <v>1</v>
      </c>
      <c r="V77" s="3">
        <f t="shared" si="5"/>
        <v>2</v>
      </c>
      <c r="W77" s="3">
        <f t="shared" si="6"/>
        <v>2</v>
      </c>
      <c r="X77" s="3" t="str">
        <f>IFERROR(__xludf.DUMMYFUNCTION("split(B77,"" "")"),"A.")</f>
        <v>A.</v>
      </c>
      <c r="Y77" s="3" t="str">
        <f>IFERROR(__xludf.DUMMYFUNCTION("""COMPUTED_VALUE"""),"Dalton")</f>
        <v>Dalton</v>
      </c>
      <c r="AA77" s="3">
        <v>3.0</v>
      </c>
      <c r="AB77" s="3">
        <f t="shared" si="7"/>
        <v>0</v>
      </c>
      <c r="AC77" s="3">
        <f t="shared" si="8"/>
        <v>0</v>
      </c>
      <c r="AD77" s="3">
        <f t="shared" si="9"/>
        <v>1.960784314</v>
      </c>
      <c r="AE77" s="3">
        <f t="shared" si="10"/>
        <v>-2</v>
      </c>
      <c r="AF77" s="3">
        <f t="shared" si="11"/>
        <v>-2</v>
      </c>
      <c r="AG77" s="3">
        <f t="shared" si="12"/>
        <v>-0.1428571429</v>
      </c>
    </row>
    <row r="78">
      <c r="A78" s="1" t="s">
        <v>12</v>
      </c>
      <c r="B78" s="1" t="s">
        <v>353</v>
      </c>
      <c r="C78" s="1" t="s">
        <v>18</v>
      </c>
      <c r="D78" s="1" t="s">
        <v>57</v>
      </c>
      <c r="E78" s="1" t="s">
        <v>99</v>
      </c>
      <c r="F78" s="1" t="s">
        <v>576</v>
      </c>
      <c r="G78" s="1">
        <v>5.5</v>
      </c>
      <c r="H78" s="1" t="s">
        <v>60</v>
      </c>
      <c r="I78" s="1">
        <v>108.0</v>
      </c>
      <c r="J78" s="1">
        <v>0.0905788461538462</v>
      </c>
      <c r="K78" s="1" t="s">
        <v>61</v>
      </c>
      <c r="L78" s="1" t="s">
        <v>61</v>
      </c>
      <c r="M78" s="1" t="s">
        <v>62</v>
      </c>
      <c r="N78" s="1">
        <v>-142.0</v>
      </c>
      <c r="O78" s="1">
        <v>-0.158118181818181</v>
      </c>
      <c r="P78" s="1" t="s">
        <v>61</v>
      </c>
      <c r="Q78" s="1" t="s">
        <v>61</v>
      </c>
      <c r="R78" s="1">
        <f t="shared" si="1"/>
        <v>0.09057884615</v>
      </c>
      <c r="S78" s="1">
        <f t="shared" si="2"/>
        <v>108</v>
      </c>
      <c r="T78" s="1">
        <f t="shared" si="3"/>
        <v>2.08</v>
      </c>
      <c r="U78" s="1">
        <f t="shared" si="4"/>
        <v>1</v>
      </c>
      <c r="V78" s="3">
        <f t="shared" si="5"/>
        <v>2</v>
      </c>
      <c r="W78" s="3">
        <f t="shared" si="6"/>
        <v>2</v>
      </c>
      <c r="X78" s="3" t="str">
        <f>IFERROR(__xludf.DUMMYFUNCTION("split(B78,"" "")"),"D.")</f>
        <v>D.</v>
      </c>
      <c r="Y78" s="3" t="str">
        <f>IFERROR(__xludf.DUMMYFUNCTION("""COMPUTED_VALUE"""),"Johnson")</f>
        <v>Johnson</v>
      </c>
      <c r="AA78" s="3">
        <v>3.0</v>
      </c>
      <c r="AB78" s="3">
        <f t="shared" si="7"/>
        <v>0</v>
      </c>
      <c r="AC78" s="3">
        <f t="shared" si="8"/>
        <v>0</v>
      </c>
      <c r="AD78" s="3">
        <f t="shared" si="9"/>
        <v>2.16</v>
      </c>
      <c r="AE78" s="3">
        <f t="shared" si="10"/>
        <v>-2</v>
      </c>
      <c r="AF78" s="3">
        <f t="shared" si="11"/>
        <v>-2</v>
      </c>
      <c r="AG78" s="3">
        <f t="shared" si="12"/>
        <v>-0.4545454545</v>
      </c>
    </row>
    <row r="79">
      <c r="A79" s="1" t="s">
        <v>17</v>
      </c>
      <c r="B79" s="1" t="s">
        <v>522</v>
      </c>
      <c r="C79" s="1" t="s">
        <v>21</v>
      </c>
      <c r="D79" s="1" t="s">
        <v>57</v>
      </c>
      <c r="E79" s="1" t="s">
        <v>99</v>
      </c>
      <c r="F79" s="1" t="s">
        <v>576</v>
      </c>
      <c r="G79" s="1">
        <v>0.5</v>
      </c>
      <c r="H79" s="1" t="s">
        <v>60</v>
      </c>
      <c r="I79" s="1">
        <v>-145.0</v>
      </c>
      <c r="J79" s="1">
        <v>-0.136036734693877</v>
      </c>
      <c r="K79" s="1" t="s">
        <v>61</v>
      </c>
      <c r="L79" s="1" t="s">
        <v>61</v>
      </c>
      <c r="M79" s="1" t="s">
        <v>62</v>
      </c>
      <c r="N79" s="1">
        <v>111.0</v>
      </c>
      <c r="O79" s="1">
        <v>0.0702663507109005</v>
      </c>
      <c r="P79" s="1" t="s">
        <v>61</v>
      </c>
      <c r="Q79" s="1" t="s">
        <v>61</v>
      </c>
      <c r="R79" s="1">
        <f t="shared" si="1"/>
        <v>0.07026635071</v>
      </c>
      <c r="S79" s="1">
        <f t="shared" si="2"/>
        <v>111</v>
      </c>
      <c r="T79" s="1">
        <f t="shared" si="3"/>
        <v>2.11</v>
      </c>
      <c r="U79" s="1">
        <f t="shared" si="4"/>
        <v>0</v>
      </c>
      <c r="V79" s="3">
        <f t="shared" si="5"/>
        <v>2</v>
      </c>
      <c r="W79" s="3">
        <f t="shared" si="6"/>
        <v>1</v>
      </c>
      <c r="X79" s="3" t="str">
        <f>IFERROR(__xludf.DUMMYFUNCTION("split(B79,"" "")"),"A.")</f>
        <v>A.</v>
      </c>
      <c r="Y79" s="3" t="str">
        <f>IFERROR(__xludf.DUMMYFUNCTION("""COMPUTED_VALUE"""),"Dalton")</f>
        <v>Dalton</v>
      </c>
      <c r="AA79" s="3">
        <v>1.0</v>
      </c>
      <c r="AB79" s="3">
        <f t="shared" si="7"/>
        <v>1</v>
      </c>
      <c r="AC79" s="3">
        <f t="shared" si="8"/>
        <v>0</v>
      </c>
      <c r="AD79" s="3">
        <f t="shared" si="9"/>
        <v>2.22</v>
      </c>
      <c r="AE79" s="3">
        <f t="shared" si="10"/>
        <v>-2</v>
      </c>
      <c r="AF79" s="3">
        <f t="shared" si="11"/>
        <v>-1</v>
      </c>
      <c r="AG79" s="3">
        <f t="shared" si="12"/>
        <v>-1</v>
      </c>
    </row>
    <row r="80">
      <c r="A80" s="1" t="s">
        <v>14</v>
      </c>
      <c r="B80" s="1" t="s">
        <v>522</v>
      </c>
      <c r="C80" s="1" t="s">
        <v>21</v>
      </c>
      <c r="D80" s="1" t="s">
        <v>57</v>
      </c>
      <c r="E80" s="1" t="s">
        <v>99</v>
      </c>
      <c r="F80" s="1" t="s">
        <v>576</v>
      </c>
      <c r="G80" s="1">
        <v>1.5</v>
      </c>
      <c r="H80" s="1" t="s">
        <v>60</v>
      </c>
      <c r="I80" s="1">
        <v>170.0</v>
      </c>
      <c r="J80" s="1">
        <v>0.0593666666666667</v>
      </c>
      <c r="K80" s="1" t="s">
        <v>61</v>
      </c>
      <c r="L80" s="1" t="s">
        <v>61</v>
      </c>
      <c r="M80" s="1" t="s">
        <v>62</v>
      </c>
      <c r="N80" s="1">
        <v>-222.0</v>
      </c>
      <c r="O80" s="1">
        <v>-0.119172049689441</v>
      </c>
      <c r="P80" s="1" t="s">
        <v>61</v>
      </c>
      <c r="Q80" s="1" t="s">
        <v>61</v>
      </c>
      <c r="R80" s="1">
        <f t="shared" si="1"/>
        <v>0.05936666667</v>
      </c>
      <c r="S80" s="1">
        <f t="shared" si="2"/>
        <v>170</v>
      </c>
      <c r="T80" s="1">
        <f t="shared" si="3"/>
        <v>2.7</v>
      </c>
      <c r="U80" s="1">
        <f t="shared" si="4"/>
        <v>1</v>
      </c>
      <c r="V80" s="3">
        <f t="shared" si="5"/>
        <v>2</v>
      </c>
      <c r="W80" s="3">
        <f t="shared" si="6"/>
        <v>1</v>
      </c>
      <c r="X80" s="3" t="str">
        <f>IFERROR(__xludf.DUMMYFUNCTION("split(B80,"" "")"),"A.")</f>
        <v>A.</v>
      </c>
      <c r="Y80" s="3" t="str">
        <f>IFERROR(__xludf.DUMMYFUNCTION("""COMPUTED_VALUE"""),"Dalton")</f>
        <v>Dalton</v>
      </c>
      <c r="AA80" s="3">
        <v>0.0</v>
      </c>
      <c r="AB80" s="3">
        <f t="shared" si="7"/>
        <v>0</v>
      </c>
      <c r="AC80" s="3">
        <f t="shared" si="8"/>
        <v>0</v>
      </c>
      <c r="AD80" s="3">
        <f t="shared" si="9"/>
        <v>3.4</v>
      </c>
      <c r="AE80" s="3">
        <f t="shared" si="10"/>
        <v>-2</v>
      </c>
      <c r="AF80" s="3">
        <f t="shared" si="11"/>
        <v>-1</v>
      </c>
      <c r="AG80" s="3">
        <f t="shared" si="12"/>
        <v>-1</v>
      </c>
    </row>
    <row r="81">
      <c r="A81" s="1" t="s">
        <v>9</v>
      </c>
      <c r="B81" s="1" t="s">
        <v>207</v>
      </c>
      <c r="C81" s="1" t="s">
        <v>18</v>
      </c>
      <c r="D81" s="1" t="s">
        <v>57</v>
      </c>
      <c r="E81" s="1" t="s">
        <v>99</v>
      </c>
      <c r="F81" s="1" t="s">
        <v>576</v>
      </c>
      <c r="G81" s="1">
        <v>30.5</v>
      </c>
      <c r="H81" s="1" t="s">
        <v>60</v>
      </c>
      <c r="I81" s="1">
        <v>-110.0</v>
      </c>
      <c r="J81" s="1">
        <v>0.0385571531211949</v>
      </c>
      <c r="K81" s="1" t="s">
        <v>61</v>
      </c>
      <c r="L81" s="1" t="s">
        <v>61</v>
      </c>
      <c r="M81" s="1" t="s">
        <v>62</v>
      </c>
      <c r="N81" s="1">
        <v>-120.0</v>
      </c>
      <c r="O81" s="1">
        <v>-0.107801829938823</v>
      </c>
      <c r="P81" s="1" t="s">
        <v>61</v>
      </c>
      <c r="Q81" s="1" t="s">
        <v>61</v>
      </c>
      <c r="R81" s="1">
        <f t="shared" si="1"/>
        <v>0.03855715312</v>
      </c>
      <c r="S81" s="1">
        <f t="shared" si="2"/>
        <v>-110</v>
      </c>
      <c r="T81" s="1">
        <f t="shared" si="3"/>
        <v>1.909090909</v>
      </c>
      <c r="U81" s="1">
        <f t="shared" si="4"/>
        <v>1</v>
      </c>
      <c r="V81" s="3">
        <f t="shared" si="5"/>
        <v>1</v>
      </c>
      <c r="W81" s="3">
        <f t="shared" si="6"/>
        <v>2</v>
      </c>
      <c r="X81" s="3" t="str">
        <f>IFERROR(__xludf.DUMMYFUNCTION("split(B81,"" "")"),"J.")</f>
        <v>J.</v>
      </c>
      <c r="Y81" s="3" t="str">
        <f>IFERROR(__xludf.DUMMYFUNCTION("""COMPUTED_VALUE"""),"Mingo")</f>
        <v>Mingo</v>
      </c>
      <c r="AA81" s="3">
        <v>37.0</v>
      </c>
      <c r="AB81" s="3">
        <f t="shared" si="7"/>
        <v>1</v>
      </c>
      <c r="AC81" s="3">
        <f t="shared" si="8"/>
        <v>1</v>
      </c>
      <c r="AD81" s="3">
        <f t="shared" si="9"/>
        <v>0.9090909091</v>
      </c>
      <c r="AE81" s="3">
        <f t="shared" si="10"/>
        <v>0.9090909091</v>
      </c>
      <c r="AF81" s="3">
        <f t="shared" si="11"/>
        <v>1.818181818</v>
      </c>
      <c r="AG81" s="3">
        <f t="shared" si="12"/>
        <v>0.2131147541</v>
      </c>
    </row>
    <row r="82">
      <c r="A82" s="1" t="s">
        <v>15</v>
      </c>
      <c r="B82" s="1" t="s">
        <v>522</v>
      </c>
      <c r="C82" s="1" t="s">
        <v>21</v>
      </c>
      <c r="D82" s="1" t="s">
        <v>57</v>
      </c>
      <c r="E82" s="1" t="s">
        <v>99</v>
      </c>
      <c r="F82" s="1" t="s">
        <v>576</v>
      </c>
      <c r="G82" s="1">
        <v>20.5</v>
      </c>
      <c r="H82" s="1" t="s">
        <v>60</v>
      </c>
      <c r="I82" s="1">
        <v>-107.0</v>
      </c>
      <c r="J82" s="1">
        <v>0.0336434782608695</v>
      </c>
      <c r="K82" s="1" t="s">
        <v>61</v>
      </c>
      <c r="L82" s="1" t="s">
        <v>61</v>
      </c>
      <c r="M82" s="1" t="s">
        <v>62</v>
      </c>
      <c r="N82" s="1">
        <v>-122.0</v>
      </c>
      <c r="O82" s="1">
        <v>-0.100094594594594</v>
      </c>
      <c r="P82" s="1" t="s">
        <v>61</v>
      </c>
      <c r="Q82" s="1" t="s">
        <v>61</v>
      </c>
      <c r="R82" s="1">
        <f t="shared" si="1"/>
        <v>0.03364347826</v>
      </c>
      <c r="S82" s="1">
        <f t="shared" si="2"/>
        <v>-107</v>
      </c>
      <c r="T82" s="1">
        <f t="shared" si="3"/>
        <v>1.934579439</v>
      </c>
      <c r="U82" s="1">
        <f t="shared" si="4"/>
        <v>1</v>
      </c>
      <c r="V82" s="3">
        <f t="shared" si="5"/>
        <v>1</v>
      </c>
      <c r="W82" s="3">
        <f t="shared" si="6"/>
        <v>2</v>
      </c>
      <c r="X82" s="3" t="str">
        <f>IFERROR(__xludf.DUMMYFUNCTION("split(B82,"" "")"),"A.")</f>
        <v>A.</v>
      </c>
      <c r="Y82" s="3" t="str">
        <f>IFERROR(__xludf.DUMMYFUNCTION("""COMPUTED_VALUE"""),"Dalton")</f>
        <v>Dalton</v>
      </c>
      <c r="AA82" s="3">
        <v>18.0</v>
      </c>
      <c r="AB82" s="3">
        <f t="shared" si="7"/>
        <v>0</v>
      </c>
      <c r="AC82" s="3">
        <f t="shared" si="8"/>
        <v>0</v>
      </c>
      <c r="AD82" s="3">
        <f t="shared" si="9"/>
        <v>0.9345794393</v>
      </c>
      <c r="AE82" s="3">
        <f t="shared" si="10"/>
        <v>-1</v>
      </c>
      <c r="AF82" s="3">
        <f t="shared" si="11"/>
        <v>-2</v>
      </c>
      <c r="AG82" s="3">
        <f t="shared" si="12"/>
        <v>-0.1219512195</v>
      </c>
    </row>
    <row r="83">
      <c r="A83" s="1" t="s">
        <v>9</v>
      </c>
      <c r="B83" s="1" t="s">
        <v>266</v>
      </c>
      <c r="C83" s="1" t="s">
        <v>19</v>
      </c>
      <c r="D83" s="1" t="s">
        <v>57</v>
      </c>
      <c r="E83" s="1" t="s">
        <v>99</v>
      </c>
      <c r="F83" s="1" t="s">
        <v>576</v>
      </c>
      <c r="G83" s="1">
        <v>85.0</v>
      </c>
      <c r="H83" s="1" t="s">
        <v>60</v>
      </c>
      <c r="I83" s="1">
        <v>-117.0</v>
      </c>
      <c r="J83" s="1">
        <v>-0.10535589398882</v>
      </c>
      <c r="K83" s="1" t="s">
        <v>61</v>
      </c>
      <c r="L83" s="1" t="s">
        <v>61</v>
      </c>
      <c r="M83" s="1" t="s">
        <v>62</v>
      </c>
      <c r="N83" s="1">
        <v>-115.0</v>
      </c>
      <c r="O83" s="1">
        <v>0.0316849923019072</v>
      </c>
      <c r="P83" s="1" t="s">
        <v>61</v>
      </c>
      <c r="Q83" s="1" t="s">
        <v>61</v>
      </c>
      <c r="R83" s="1">
        <f t="shared" si="1"/>
        <v>0.0316849923</v>
      </c>
      <c r="S83" s="1">
        <f t="shared" si="2"/>
        <v>-115</v>
      </c>
      <c r="T83" s="1">
        <f t="shared" si="3"/>
        <v>1.869565217</v>
      </c>
      <c r="U83" s="1">
        <f t="shared" si="4"/>
        <v>0</v>
      </c>
      <c r="V83" s="3">
        <f t="shared" si="5"/>
        <v>1</v>
      </c>
      <c r="W83" s="3">
        <f t="shared" si="6"/>
        <v>2</v>
      </c>
      <c r="X83" s="3" t="str">
        <f>IFERROR(__xludf.DUMMYFUNCTION("split(B83,"" "")"),"C.")</f>
        <v>C.</v>
      </c>
      <c r="Y83" s="3" t="str">
        <f>IFERROR(__xludf.DUMMYFUNCTION("""COMPUTED_VALUE"""),"Hubbard")</f>
        <v>Hubbard</v>
      </c>
      <c r="AA83" s="3">
        <v>95.0</v>
      </c>
      <c r="AB83" s="3">
        <f t="shared" si="7"/>
        <v>1</v>
      </c>
      <c r="AC83" s="3">
        <f t="shared" si="8"/>
        <v>0</v>
      </c>
      <c r="AD83" s="3">
        <f t="shared" si="9"/>
        <v>0.8695652174</v>
      </c>
      <c r="AE83" s="3">
        <f t="shared" si="10"/>
        <v>-1</v>
      </c>
      <c r="AF83" s="3">
        <f t="shared" si="11"/>
        <v>-2</v>
      </c>
      <c r="AG83" s="3">
        <f t="shared" si="12"/>
        <v>-0.1176470588</v>
      </c>
    </row>
    <row r="84">
      <c r="A84" s="1" t="s">
        <v>10</v>
      </c>
      <c r="B84" s="1" t="s">
        <v>266</v>
      </c>
      <c r="C84" s="1" t="s">
        <v>19</v>
      </c>
      <c r="D84" s="1" t="s">
        <v>57</v>
      </c>
      <c r="E84" s="1" t="s">
        <v>99</v>
      </c>
      <c r="F84" s="1" t="s">
        <v>576</v>
      </c>
      <c r="G84" s="1">
        <v>63.5</v>
      </c>
      <c r="H84" s="1" t="s">
        <v>60</v>
      </c>
      <c r="I84" s="1">
        <v>-125.0</v>
      </c>
      <c r="J84" s="1">
        <v>-0.10499442648718</v>
      </c>
      <c r="K84" s="1" t="s">
        <v>61</v>
      </c>
      <c r="L84" s="1" t="s">
        <v>61</v>
      </c>
      <c r="M84" s="1" t="s">
        <v>62</v>
      </c>
      <c r="N84" s="1">
        <v>-108.0</v>
      </c>
      <c r="O84" s="1">
        <v>0.030214197045208</v>
      </c>
      <c r="P84" s="1" t="s">
        <v>61</v>
      </c>
      <c r="Q84" s="1" t="s">
        <v>61</v>
      </c>
      <c r="R84" s="1">
        <f t="shared" si="1"/>
        <v>0.03021419705</v>
      </c>
      <c r="S84" s="1">
        <f t="shared" si="2"/>
        <v>-108</v>
      </c>
      <c r="T84" s="1">
        <f t="shared" si="3"/>
        <v>1.925925926</v>
      </c>
      <c r="U84" s="1">
        <f t="shared" si="4"/>
        <v>0</v>
      </c>
      <c r="V84" s="3">
        <f t="shared" si="5"/>
        <v>1</v>
      </c>
      <c r="W84" s="3">
        <f t="shared" si="6"/>
        <v>2</v>
      </c>
      <c r="X84" s="3" t="str">
        <f>IFERROR(__xludf.DUMMYFUNCTION("split(B84,"" "")"),"C.")</f>
        <v>C.</v>
      </c>
      <c r="Y84" s="3" t="str">
        <f>IFERROR(__xludf.DUMMYFUNCTION("""COMPUTED_VALUE"""),"Hubbard")</f>
        <v>Hubbard</v>
      </c>
      <c r="AA84" s="3">
        <v>97.0</v>
      </c>
      <c r="AB84" s="3">
        <f t="shared" si="7"/>
        <v>1</v>
      </c>
      <c r="AC84" s="3">
        <f t="shared" si="8"/>
        <v>0</v>
      </c>
      <c r="AD84" s="3">
        <f t="shared" si="9"/>
        <v>0.9259259259</v>
      </c>
      <c r="AE84" s="3">
        <f t="shared" si="10"/>
        <v>-1</v>
      </c>
      <c r="AF84" s="3">
        <f t="shared" si="11"/>
        <v>-2</v>
      </c>
      <c r="AG84" s="3">
        <f t="shared" si="12"/>
        <v>-0.5275590551</v>
      </c>
    </row>
    <row r="85">
      <c r="A85" s="1" t="s">
        <v>11</v>
      </c>
      <c r="B85" s="1" t="s">
        <v>521</v>
      </c>
      <c r="C85" s="1" t="s">
        <v>19</v>
      </c>
      <c r="D85" s="1" t="s">
        <v>57</v>
      </c>
      <c r="E85" s="1" t="s">
        <v>99</v>
      </c>
      <c r="F85" s="1" t="s">
        <v>576</v>
      </c>
      <c r="G85" s="1">
        <v>8.5</v>
      </c>
      <c r="H85" s="1" t="s">
        <v>60</v>
      </c>
      <c r="I85" s="1">
        <v>-117.0</v>
      </c>
      <c r="J85" s="1">
        <v>0.027166957257093</v>
      </c>
      <c r="K85" s="1" t="s">
        <v>61</v>
      </c>
      <c r="L85" s="1" t="s">
        <v>61</v>
      </c>
      <c r="M85" s="1" t="s">
        <v>62</v>
      </c>
      <c r="N85" s="1">
        <v>-107.0</v>
      </c>
      <c r="O85" s="1">
        <v>-0.0832258976112291</v>
      </c>
      <c r="P85" s="1" t="s">
        <v>61</v>
      </c>
      <c r="Q85" s="1" t="s">
        <v>61</v>
      </c>
      <c r="R85" s="1">
        <f t="shared" si="1"/>
        <v>0.02716695726</v>
      </c>
      <c r="S85" s="1">
        <f t="shared" si="2"/>
        <v>-117</v>
      </c>
      <c r="T85" s="1">
        <f t="shared" si="3"/>
        <v>1.854700855</v>
      </c>
      <c r="U85" s="1">
        <f t="shared" si="4"/>
        <v>1</v>
      </c>
      <c r="V85" s="3">
        <f t="shared" si="5"/>
        <v>1</v>
      </c>
      <c r="W85" s="3">
        <f t="shared" si="6"/>
        <v>2</v>
      </c>
      <c r="X85" s="3" t="str">
        <f>IFERROR(__xludf.DUMMYFUNCTION("split(B85,"" "")"),"M.")</f>
        <v>M.</v>
      </c>
      <c r="Y85" s="3" t="str">
        <f>IFERROR(__xludf.DUMMYFUNCTION("""COMPUTED_VALUE"""),"Sanders")</f>
        <v>Sanders</v>
      </c>
      <c r="AA85" s="3">
        <v>27.0</v>
      </c>
      <c r="AB85" s="3">
        <f t="shared" si="7"/>
        <v>1</v>
      </c>
      <c r="AC85" s="3">
        <f t="shared" si="8"/>
        <v>1</v>
      </c>
      <c r="AD85" s="3">
        <f t="shared" si="9"/>
        <v>0.8547008547</v>
      </c>
      <c r="AE85" s="3">
        <f t="shared" si="10"/>
        <v>0.8547008547</v>
      </c>
      <c r="AF85" s="3">
        <f t="shared" si="11"/>
        <v>1.709401709</v>
      </c>
      <c r="AG85" s="3">
        <f t="shared" si="12"/>
        <v>2.176470588</v>
      </c>
    </row>
    <row r="86">
      <c r="A86" s="1" t="s">
        <v>9</v>
      </c>
      <c r="B86" s="1" t="s">
        <v>521</v>
      </c>
      <c r="C86" s="1" t="s">
        <v>19</v>
      </c>
      <c r="D86" s="1" t="s">
        <v>57</v>
      </c>
      <c r="E86" s="1" t="s">
        <v>99</v>
      </c>
      <c r="F86" s="1" t="s">
        <v>576</v>
      </c>
      <c r="G86" s="1">
        <v>33.5</v>
      </c>
      <c r="H86" s="1" t="s">
        <v>60</v>
      </c>
      <c r="I86" s="1">
        <v>-120.0</v>
      </c>
      <c r="J86" s="1">
        <v>0.0254255450919684</v>
      </c>
      <c r="K86" s="1" t="s">
        <v>61</v>
      </c>
      <c r="L86" s="1" t="s">
        <v>61</v>
      </c>
      <c r="M86" s="1" t="s">
        <v>62</v>
      </c>
      <c r="N86" s="1">
        <v>-112.0</v>
      </c>
      <c r="O86" s="1">
        <v>-0.099130067503118</v>
      </c>
      <c r="P86" s="1" t="s">
        <v>61</v>
      </c>
      <c r="Q86" s="1" t="s">
        <v>61</v>
      </c>
      <c r="R86" s="1">
        <f t="shared" si="1"/>
        <v>0.02542554509</v>
      </c>
      <c r="S86" s="1">
        <f t="shared" si="2"/>
        <v>-120</v>
      </c>
      <c r="T86" s="1">
        <f t="shared" si="3"/>
        <v>1.833333333</v>
      </c>
      <c r="U86" s="1">
        <f t="shared" si="4"/>
        <v>1</v>
      </c>
      <c r="V86" s="3">
        <f t="shared" si="5"/>
        <v>1</v>
      </c>
      <c r="W86" s="3">
        <f t="shared" si="6"/>
        <v>3</v>
      </c>
      <c r="X86" s="3" t="str">
        <f>IFERROR(__xludf.DUMMYFUNCTION("split(B86,"" "")"),"M.")</f>
        <v>M.</v>
      </c>
      <c r="Y86" s="3" t="str">
        <f>IFERROR(__xludf.DUMMYFUNCTION("""COMPUTED_VALUE"""),"Sanders")</f>
        <v>Sanders</v>
      </c>
      <c r="AA86" s="3">
        <v>33.0</v>
      </c>
      <c r="AB86" s="3">
        <f t="shared" si="7"/>
        <v>0</v>
      </c>
      <c r="AC86" s="3">
        <f t="shared" si="8"/>
        <v>0</v>
      </c>
      <c r="AD86" s="3">
        <f t="shared" si="9"/>
        <v>0.8333333333</v>
      </c>
      <c r="AE86" s="3">
        <f t="shared" si="10"/>
        <v>-1</v>
      </c>
      <c r="AF86" s="3">
        <f t="shared" si="11"/>
        <v>-3</v>
      </c>
      <c r="AG86" s="3">
        <f t="shared" si="12"/>
        <v>-0.01492537313</v>
      </c>
    </row>
    <row r="87">
      <c r="A87" s="1" t="s">
        <v>8</v>
      </c>
      <c r="B87" s="1" t="s">
        <v>522</v>
      </c>
      <c r="C87" s="1" t="s">
        <v>21</v>
      </c>
      <c r="D87" s="1" t="s">
        <v>57</v>
      </c>
      <c r="E87" s="1" t="s">
        <v>99</v>
      </c>
      <c r="F87" s="1" t="s">
        <v>576</v>
      </c>
      <c r="G87" s="1">
        <v>1.5</v>
      </c>
      <c r="H87" s="1" t="s">
        <v>60</v>
      </c>
      <c r="I87" s="1">
        <v>-151.0</v>
      </c>
      <c r="J87" s="1">
        <v>-0.0943239645569636</v>
      </c>
      <c r="K87" s="1" t="s">
        <v>61</v>
      </c>
      <c r="L87" s="1" t="s">
        <v>61</v>
      </c>
      <c r="M87" s="1" t="s">
        <v>62</v>
      </c>
      <c r="N87" s="1">
        <v>112.0</v>
      </c>
      <c r="O87" s="1">
        <v>0.0210378070933862</v>
      </c>
      <c r="P87" s="1" t="s">
        <v>61</v>
      </c>
      <c r="Q87" s="1" t="s">
        <v>61</v>
      </c>
      <c r="R87" s="1">
        <f t="shared" si="1"/>
        <v>0.02103780709</v>
      </c>
      <c r="S87" s="1">
        <f t="shared" si="2"/>
        <v>112</v>
      </c>
      <c r="T87" s="1">
        <f t="shared" si="3"/>
        <v>2.12</v>
      </c>
      <c r="U87" s="1">
        <f t="shared" si="4"/>
        <v>0</v>
      </c>
      <c r="V87" s="3">
        <f t="shared" si="5"/>
        <v>1</v>
      </c>
      <c r="W87" s="3">
        <f t="shared" si="6"/>
        <v>1</v>
      </c>
      <c r="X87" s="3" t="str">
        <f>IFERROR(__xludf.DUMMYFUNCTION("split(B87,"" "")"),"A.")</f>
        <v>A.</v>
      </c>
      <c r="Y87" s="3" t="str">
        <f>IFERROR(__xludf.DUMMYFUNCTION("""COMPUTED_VALUE"""),"Dalton")</f>
        <v>Dalton</v>
      </c>
      <c r="AA87" s="3">
        <v>1.0</v>
      </c>
      <c r="AB87" s="3">
        <f t="shared" si="7"/>
        <v>0</v>
      </c>
      <c r="AC87" s="3">
        <f t="shared" si="8"/>
        <v>1</v>
      </c>
      <c r="AD87" s="3">
        <f t="shared" si="9"/>
        <v>1.12</v>
      </c>
      <c r="AE87" s="3">
        <f t="shared" si="10"/>
        <v>1.12</v>
      </c>
      <c r="AF87" s="3">
        <f t="shared" si="11"/>
        <v>1.12</v>
      </c>
      <c r="AG87" s="3">
        <f t="shared" si="12"/>
        <v>0.3333333333</v>
      </c>
    </row>
    <row r="88">
      <c r="A88" s="1" t="s">
        <v>10</v>
      </c>
      <c r="B88" s="1" t="s">
        <v>521</v>
      </c>
      <c r="C88" s="1" t="s">
        <v>19</v>
      </c>
      <c r="D88" s="1" t="s">
        <v>57</v>
      </c>
      <c r="E88" s="1" t="s">
        <v>99</v>
      </c>
      <c r="F88" s="1" t="s">
        <v>576</v>
      </c>
      <c r="G88" s="1">
        <v>21.5</v>
      </c>
      <c r="H88" s="1" t="s">
        <v>60</v>
      </c>
      <c r="I88" s="1">
        <v>-112.0</v>
      </c>
      <c r="J88" s="1">
        <v>-0.0709833036302477</v>
      </c>
      <c r="K88" s="1" t="s">
        <v>61</v>
      </c>
      <c r="L88" s="1" t="s">
        <v>61</v>
      </c>
      <c r="M88" s="1" t="s">
        <v>62</v>
      </c>
      <c r="N88" s="1">
        <v>-112.0</v>
      </c>
      <c r="O88" s="1">
        <v>0.0143773000658774</v>
      </c>
      <c r="P88" s="1" t="s">
        <v>61</v>
      </c>
      <c r="Q88" s="1" t="s">
        <v>61</v>
      </c>
      <c r="R88" s="1">
        <f t="shared" si="1"/>
        <v>0.01437730007</v>
      </c>
      <c r="S88" s="1">
        <f t="shared" si="2"/>
        <v>-112</v>
      </c>
      <c r="T88" s="1">
        <f t="shared" si="3"/>
        <v>1.892857143</v>
      </c>
      <c r="U88" s="1">
        <f t="shared" si="4"/>
        <v>0</v>
      </c>
      <c r="V88" s="3">
        <f t="shared" si="5"/>
        <v>1</v>
      </c>
      <c r="W88" s="3">
        <f t="shared" si="6"/>
        <v>2</v>
      </c>
      <c r="X88" s="3" t="str">
        <f>IFERROR(__xludf.DUMMYFUNCTION("split(B88,"" "")"),"M.")</f>
        <v>M.</v>
      </c>
      <c r="Y88" s="3" t="str">
        <f>IFERROR(__xludf.DUMMYFUNCTION("""COMPUTED_VALUE"""),"Sanders")</f>
        <v>Sanders</v>
      </c>
      <c r="AA88" s="3">
        <v>6.0</v>
      </c>
      <c r="AB88" s="3">
        <f t="shared" si="7"/>
        <v>0</v>
      </c>
      <c r="AC88" s="3">
        <f t="shared" si="8"/>
        <v>1</v>
      </c>
      <c r="AD88" s="3">
        <f t="shared" si="9"/>
        <v>0.8928571429</v>
      </c>
      <c r="AE88" s="3">
        <f t="shared" si="10"/>
        <v>0.8928571429</v>
      </c>
      <c r="AF88" s="3">
        <f t="shared" si="11"/>
        <v>1.785714286</v>
      </c>
      <c r="AG88" s="3">
        <f t="shared" si="12"/>
        <v>0.7209302326</v>
      </c>
    </row>
    <row r="89">
      <c r="A89" s="1" t="s">
        <v>8</v>
      </c>
      <c r="B89" s="1" t="s">
        <v>266</v>
      </c>
      <c r="C89" s="1" t="s">
        <v>19</v>
      </c>
      <c r="D89" s="1" t="s">
        <v>57</v>
      </c>
      <c r="E89" s="1" t="s">
        <v>99</v>
      </c>
      <c r="F89" s="1" t="s">
        <v>576</v>
      </c>
      <c r="G89" s="1">
        <v>15.5</v>
      </c>
      <c r="H89" s="1" t="s">
        <v>60</v>
      </c>
      <c r="I89" s="1">
        <v>-117.0</v>
      </c>
      <c r="J89" s="1">
        <v>-0.0758780203640552</v>
      </c>
      <c r="K89" s="1" t="s">
        <v>61</v>
      </c>
      <c r="L89" s="1" t="s">
        <v>61</v>
      </c>
      <c r="M89" s="1" t="s">
        <v>62</v>
      </c>
      <c r="N89" s="1">
        <v>-114.0</v>
      </c>
      <c r="O89" s="1">
        <v>0.00398280690495334</v>
      </c>
      <c r="P89" s="1" t="s">
        <v>61</v>
      </c>
      <c r="Q89" s="1" t="s">
        <v>61</v>
      </c>
      <c r="R89" s="1">
        <f t="shared" si="1"/>
        <v>0.003982806905</v>
      </c>
      <c r="S89" s="1">
        <f t="shared" si="2"/>
        <v>-114</v>
      </c>
      <c r="T89" s="1">
        <f t="shared" si="3"/>
        <v>1.877192982</v>
      </c>
      <c r="U89" s="1">
        <f t="shared" si="4"/>
        <v>0</v>
      </c>
      <c r="V89" s="3">
        <f t="shared" si="5"/>
        <v>1</v>
      </c>
      <c r="W89" s="3">
        <f t="shared" si="6"/>
        <v>2</v>
      </c>
      <c r="X89" s="3" t="str">
        <f>IFERROR(__xludf.DUMMYFUNCTION("split(B89,"" "")"),"C.")</f>
        <v>C.</v>
      </c>
      <c r="Y89" s="3" t="str">
        <f>IFERROR(__xludf.DUMMYFUNCTION("""COMPUTED_VALUE"""),"Hubbard")</f>
        <v>Hubbard</v>
      </c>
      <c r="AA89" s="3">
        <v>13.0</v>
      </c>
      <c r="AB89" s="3">
        <f t="shared" si="7"/>
        <v>0</v>
      </c>
      <c r="AC89" s="3">
        <f t="shared" si="8"/>
        <v>1</v>
      </c>
      <c r="AD89" s="3">
        <f t="shared" si="9"/>
        <v>0.8771929825</v>
      </c>
      <c r="AE89" s="3">
        <f t="shared" si="10"/>
        <v>0.8771929825</v>
      </c>
      <c r="AF89" s="3">
        <f t="shared" si="11"/>
        <v>1.754385965</v>
      </c>
      <c r="AG89" s="3">
        <f t="shared" si="12"/>
        <v>0.1612903226</v>
      </c>
    </row>
    <row r="90">
      <c r="A90" s="1" t="s">
        <v>11</v>
      </c>
      <c r="B90" s="1" t="s">
        <v>357</v>
      </c>
      <c r="C90" s="1" t="s">
        <v>18</v>
      </c>
      <c r="D90" s="1" t="s">
        <v>57</v>
      </c>
      <c r="E90" s="1" t="s">
        <v>99</v>
      </c>
      <c r="F90" s="1" t="s">
        <v>576</v>
      </c>
      <c r="G90" s="1">
        <v>45.5</v>
      </c>
      <c r="H90" s="1" t="s">
        <v>60</v>
      </c>
      <c r="I90" s="1">
        <v>-113.0</v>
      </c>
      <c r="J90" s="1">
        <v>-0.0738311093420657</v>
      </c>
      <c r="K90" s="1" t="s">
        <v>61</v>
      </c>
      <c r="L90" s="1" t="s">
        <v>61</v>
      </c>
      <c r="M90" s="1" t="s">
        <v>62</v>
      </c>
      <c r="N90" s="1">
        <v>-118.0</v>
      </c>
      <c r="O90" s="1">
        <v>0.00200108014188993</v>
      </c>
      <c r="P90" s="1" t="s">
        <v>61</v>
      </c>
      <c r="Q90" s="1" t="s">
        <v>61</v>
      </c>
      <c r="R90" s="1">
        <f t="shared" si="1"/>
        <v>0.002001080142</v>
      </c>
      <c r="S90" s="1">
        <f t="shared" si="2"/>
        <v>-118</v>
      </c>
      <c r="T90" s="1">
        <f t="shared" si="3"/>
        <v>1.847457627</v>
      </c>
      <c r="U90" s="1">
        <f t="shared" si="4"/>
        <v>0</v>
      </c>
      <c r="V90" s="3">
        <f t="shared" si="5"/>
        <v>1</v>
      </c>
      <c r="W90" s="3">
        <f t="shared" si="6"/>
        <v>3</v>
      </c>
      <c r="X90" s="3" t="str">
        <f>IFERROR(__xludf.DUMMYFUNCTION("split(B90,"" "")"),"X.")</f>
        <v>X.</v>
      </c>
      <c r="Y90" s="3" t="str">
        <f>IFERROR(__xludf.DUMMYFUNCTION("""COMPUTED_VALUE"""),"Legette")</f>
        <v>Legette</v>
      </c>
      <c r="AA90" s="3">
        <v>8.0</v>
      </c>
      <c r="AB90" s="3">
        <f t="shared" si="7"/>
        <v>0</v>
      </c>
      <c r="AC90" s="3">
        <f t="shared" si="8"/>
        <v>1</v>
      </c>
      <c r="AD90" s="3">
        <f t="shared" si="9"/>
        <v>0.8474576271</v>
      </c>
      <c r="AE90" s="3">
        <f t="shared" si="10"/>
        <v>0.8474576271</v>
      </c>
      <c r="AF90" s="3">
        <f t="shared" si="11"/>
        <v>2.542372881</v>
      </c>
      <c r="AG90" s="3">
        <f t="shared" si="12"/>
        <v>0.8241758242</v>
      </c>
    </row>
    <row r="91">
      <c r="A91" s="1" t="s">
        <v>12</v>
      </c>
      <c r="B91" s="1" t="s">
        <v>231</v>
      </c>
      <c r="C91" s="1" t="s">
        <v>20</v>
      </c>
      <c r="D91" s="1" t="s">
        <v>99</v>
      </c>
      <c r="E91" s="1" t="s">
        <v>57</v>
      </c>
      <c r="F91" s="1" t="s">
        <v>576</v>
      </c>
      <c r="G91" s="1">
        <v>2.5</v>
      </c>
      <c r="H91" s="1" t="s">
        <v>60</v>
      </c>
      <c r="I91" s="1">
        <v>-163.0</v>
      </c>
      <c r="J91" s="1">
        <v>-0.249169992927756</v>
      </c>
      <c r="K91" s="1" t="s">
        <v>61</v>
      </c>
      <c r="L91" s="1" t="s">
        <v>61</v>
      </c>
      <c r="M91" s="1" t="s">
        <v>62</v>
      </c>
      <c r="N91" s="1">
        <v>125.0</v>
      </c>
      <c r="O91" s="1">
        <v>0.184953369511111</v>
      </c>
      <c r="P91" s="1" t="s">
        <v>61</v>
      </c>
      <c r="Q91" s="1" t="s">
        <v>61</v>
      </c>
      <c r="R91" s="1">
        <f t="shared" si="1"/>
        <v>0.1849533695</v>
      </c>
      <c r="S91" s="1">
        <f t="shared" si="2"/>
        <v>125</v>
      </c>
      <c r="T91" s="1">
        <f t="shared" si="3"/>
        <v>2.25</v>
      </c>
      <c r="U91" s="1">
        <f t="shared" si="4"/>
        <v>0</v>
      </c>
      <c r="V91" s="3">
        <f t="shared" si="5"/>
        <v>3</v>
      </c>
      <c r="W91" s="3">
        <f t="shared" si="6"/>
        <v>1</v>
      </c>
      <c r="X91" s="3" t="str">
        <f>IFERROR(__xludf.DUMMYFUNCTION("split(B91,"" "")"),"C.")</f>
        <v>C.</v>
      </c>
      <c r="Y91" s="3" t="str">
        <f>IFERROR(__xludf.DUMMYFUNCTION("""COMPUTED_VALUE"""),"Kmet")</f>
        <v>Kmet</v>
      </c>
      <c r="AA91" s="3">
        <v>3.0</v>
      </c>
      <c r="AB91" s="3">
        <f t="shared" si="7"/>
        <v>1</v>
      </c>
      <c r="AC91" s="3">
        <f t="shared" si="8"/>
        <v>0</v>
      </c>
      <c r="AD91" s="3">
        <f t="shared" si="9"/>
        <v>3.75</v>
      </c>
      <c r="AE91" s="3">
        <f t="shared" si="10"/>
        <v>-3</v>
      </c>
      <c r="AF91" s="3">
        <f t="shared" si="11"/>
        <v>-1</v>
      </c>
      <c r="AG91" s="3">
        <f t="shared" si="12"/>
        <v>-0.2</v>
      </c>
    </row>
    <row r="92">
      <c r="A92" s="1" t="s">
        <v>8</v>
      </c>
      <c r="B92" s="1" t="s">
        <v>274</v>
      </c>
      <c r="C92" s="1" t="s">
        <v>21</v>
      </c>
      <c r="D92" s="1" t="s">
        <v>99</v>
      </c>
      <c r="E92" s="1" t="s">
        <v>57</v>
      </c>
      <c r="F92" s="1" t="s">
        <v>576</v>
      </c>
      <c r="G92" s="1">
        <v>3.5</v>
      </c>
      <c r="H92" s="1" t="s">
        <v>60</v>
      </c>
      <c r="I92" s="1">
        <v>-147.0</v>
      </c>
      <c r="J92" s="1">
        <v>-0.254636048027669</v>
      </c>
      <c r="K92" s="1" t="s">
        <v>61</v>
      </c>
      <c r="L92" s="1" t="s">
        <v>61</v>
      </c>
      <c r="M92" s="1" t="s">
        <v>62</v>
      </c>
      <c r="N92" s="1">
        <v>109.0</v>
      </c>
      <c r="O92" s="1">
        <v>0.181024420396335</v>
      </c>
      <c r="P92" s="1" t="s">
        <v>61</v>
      </c>
      <c r="Q92" s="1" t="s">
        <v>61</v>
      </c>
      <c r="R92" s="1">
        <f t="shared" si="1"/>
        <v>0.1810244204</v>
      </c>
      <c r="S92" s="1">
        <f t="shared" si="2"/>
        <v>109</v>
      </c>
      <c r="T92" s="1">
        <f t="shared" si="3"/>
        <v>2.09</v>
      </c>
      <c r="U92" s="1">
        <f t="shared" si="4"/>
        <v>0</v>
      </c>
      <c r="V92" s="3">
        <f t="shared" si="5"/>
        <v>3</v>
      </c>
      <c r="W92" s="3">
        <f t="shared" si="6"/>
        <v>2</v>
      </c>
      <c r="X92" s="3" t="str">
        <f>IFERROR(__xludf.DUMMYFUNCTION("split(B92,"" "")"),"C.")</f>
        <v>C.</v>
      </c>
      <c r="Y92" s="3" t="str">
        <f>IFERROR(__xludf.DUMMYFUNCTION("""COMPUTED_VALUE"""),"Williams")</f>
        <v>Williams</v>
      </c>
      <c r="AA92" s="3">
        <v>5.0</v>
      </c>
      <c r="AB92" s="3">
        <f t="shared" si="7"/>
        <v>1</v>
      </c>
      <c r="AC92" s="3">
        <f t="shared" si="8"/>
        <v>0</v>
      </c>
      <c r="AD92" s="3">
        <f t="shared" si="9"/>
        <v>3.27</v>
      </c>
      <c r="AE92" s="3">
        <f t="shared" si="10"/>
        <v>-3</v>
      </c>
      <c r="AF92" s="3">
        <f t="shared" si="11"/>
        <v>-2</v>
      </c>
      <c r="AG92" s="3">
        <f t="shared" si="12"/>
        <v>-0.4285714286</v>
      </c>
    </row>
    <row r="93">
      <c r="A93" s="1" t="s">
        <v>12</v>
      </c>
      <c r="B93" s="1" t="s">
        <v>98</v>
      </c>
      <c r="C93" s="1" t="s">
        <v>19</v>
      </c>
      <c r="D93" s="1" t="s">
        <v>99</v>
      </c>
      <c r="E93" s="1" t="s">
        <v>57</v>
      </c>
      <c r="F93" s="1" t="s">
        <v>576</v>
      </c>
      <c r="G93" s="1">
        <v>2.5</v>
      </c>
      <c r="H93" s="1" t="s">
        <v>60</v>
      </c>
      <c r="I93" s="1">
        <v>-118.0</v>
      </c>
      <c r="J93" s="1">
        <v>-0.2412254653211</v>
      </c>
      <c r="K93" s="1" t="s">
        <v>61</v>
      </c>
      <c r="L93" s="1" t="s">
        <v>61</v>
      </c>
      <c r="M93" s="1" t="s">
        <v>62</v>
      </c>
      <c r="N93" s="1">
        <v>-112.0</v>
      </c>
      <c r="O93" s="1">
        <v>0.171645403833962</v>
      </c>
      <c r="P93" s="1" t="s">
        <v>61</v>
      </c>
      <c r="Q93" s="1" t="s">
        <v>61</v>
      </c>
      <c r="R93" s="1">
        <f t="shared" si="1"/>
        <v>0.1716454038</v>
      </c>
      <c r="S93" s="1">
        <f t="shared" si="2"/>
        <v>-112</v>
      </c>
      <c r="T93" s="1">
        <f t="shared" si="3"/>
        <v>1.892857143</v>
      </c>
      <c r="U93" s="1">
        <f t="shared" si="4"/>
        <v>0</v>
      </c>
      <c r="V93" s="3">
        <f t="shared" si="5"/>
        <v>3</v>
      </c>
      <c r="W93" s="3">
        <f t="shared" si="6"/>
        <v>2</v>
      </c>
      <c r="X93" s="3" t="str">
        <f>IFERROR(__xludf.DUMMYFUNCTION("split(B93,"" "")"),"D.")</f>
        <v>D.</v>
      </c>
      <c r="Y93" s="3" t="str">
        <f>IFERROR(__xludf.DUMMYFUNCTION("""COMPUTED_VALUE"""),"Swift")</f>
        <v>Swift</v>
      </c>
      <c r="AA93" s="3">
        <v>2.0</v>
      </c>
      <c r="AB93" s="3">
        <f t="shared" si="7"/>
        <v>0</v>
      </c>
      <c r="AC93" s="3">
        <f t="shared" si="8"/>
        <v>1</v>
      </c>
      <c r="AD93" s="3">
        <f t="shared" si="9"/>
        <v>2.678571429</v>
      </c>
      <c r="AE93" s="3">
        <f t="shared" si="10"/>
        <v>2.678571429</v>
      </c>
      <c r="AF93" s="3">
        <f t="shared" si="11"/>
        <v>1.785714286</v>
      </c>
      <c r="AG93" s="3">
        <f t="shared" si="12"/>
        <v>0.2</v>
      </c>
    </row>
    <row r="94">
      <c r="A94" s="1" t="s">
        <v>12</v>
      </c>
      <c r="B94" s="1" t="s">
        <v>578</v>
      </c>
      <c r="C94" s="1" t="s">
        <v>19</v>
      </c>
      <c r="D94" s="1" t="s">
        <v>99</v>
      </c>
      <c r="E94" s="1" t="s">
        <v>57</v>
      </c>
      <c r="F94" s="1" t="s">
        <v>576</v>
      </c>
      <c r="G94" s="1">
        <v>1.5</v>
      </c>
      <c r="H94" s="1" t="s">
        <v>60</v>
      </c>
      <c r="I94" s="1">
        <v>101.0</v>
      </c>
      <c r="J94" s="1">
        <v>-0.17994864660791</v>
      </c>
      <c r="K94" s="1" t="s">
        <v>61</v>
      </c>
      <c r="L94" s="1" t="s">
        <v>61</v>
      </c>
      <c r="M94" s="1" t="s">
        <v>62</v>
      </c>
      <c r="N94" s="1">
        <v>-129.0</v>
      </c>
      <c r="O94" s="1">
        <v>0.119109708932358</v>
      </c>
      <c r="P94" s="1" t="s">
        <v>61</v>
      </c>
      <c r="Q94" s="1" t="s">
        <v>61</v>
      </c>
      <c r="R94" s="1">
        <f t="shared" si="1"/>
        <v>0.1191097089</v>
      </c>
      <c r="S94" s="1">
        <f t="shared" si="2"/>
        <v>-129</v>
      </c>
      <c r="T94" s="1">
        <f t="shared" si="3"/>
        <v>1.775193798</v>
      </c>
      <c r="U94" s="1">
        <f t="shared" si="4"/>
        <v>0</v>
      </c>
      <c r="V94" s="3">
        <f t="shared" si="5"/>
        <v>3</v>
      </c>
      <c r="W94" s="3">
        <f t="shared" si="6"/>
        <v>3</v>
      </c>
      <c r="X94" s="3" t="str">
        <f>IFERROR(__xludf.DUMMYFUNCTION("split(B94,"" "")"),"R.")</f>
        <v>R.</v>
      </c>
      <c r="Y94" s="3" t="str">
        <f>IFERROR(__xludf.DUMMYFUNCTION("""COMPUTED_VALUE"""),"Johnson")</f>
        <v>Johnson</v>
      </c>
      <c r="AA94" s="3">
        <v>3.0</v>
      </c>
      <c r="AB94" s="3">
        <f t="shared" si="7"/>
        <v>1</v>
      </c>
      <c r="AC94" s="3">
        <f t="shared" si="8"/>
        <v>0</v>
      </c>
      <c r="AD94" s="3">
        <f t="shared" si="9"/>
        <v>2.325581395</v>
      </c>
      <c r="AE94" s="3">
        <f t="shared" si="10"/>
        <v>-3</v>
      </c>
      <c r="AF94" s="3">
        <f t="shared" si="11"/>
        <v>-3</v>
      </c>
      <c r="AG94" s="3">
        <f t="shared" si="12"/>
        <v>-1</v>
      </c>
    </row>
    <row r="95">
      <c r="A95" s="1" t="s">
        <v>12</v>
      </c>
      <c r="B95" s="1" t="s">
        <v>191</v>
      </c>
      <c r="C95" s="1" t="s">
        <v>18</v>
      </c>
      <c r="D95" s="1" t="s">
        <v>99</v>
      </c>
      <c r="E95" s="1" t="s">
        <v>57</v>
      </c>
      <c r="F95" s="1" t="s">
        <v>576</v>
      </c>
      <c r="G95" s="1">
        <v>2.5</v>
      </c>
      <c r="H95" s="1" t="s">
        <v>60</v>
      </c>
      <c r="I95" s="1">
        <v>-116.0</v>
      </c>
      <c r="J95" s="1">
        <v>-0.142841543842592</v>
      </c>
      <c r="K95" s="1" t="s">
        <v>61</v>
      </c>
      <c r="L95" s="1" t="s">
        <v>61</v>
      </c>
      <c r="M95" s="1" t="s">
        <v>62</v>
      </c>
      <c r="N95" s="1">
        <v>-113.0</v>
      </c>
      <c r="O95" s="1">
        <v>0.0752741409441314</v>
      </c>
      <c r="P95" s="1" t="s">
        <v>61</v>
      </c>
      <c r="Q95" s="1" t="s">
        <v>61</v>
      </c>
      <c r="R95" s="1">
        <f t="shared" si="1"/>
        <v>0.07527414094</v>
      </c>
      <c r="S95" s="1">
        <f t="shared" si="2"/>
        <v>-113</v>
      </c>
      <c r="T95" s="1">
        <f t="shared" si="3"/>
        <v>1.884955752</v>
      </c>
      <c r="U95" s="1">
        <f t="shared" si="4"/>
        <v>0</v>
      </c>
      <c r="V95" s="3">
        <f t="shared" si="5"/>
        <v>2</v>
      </c>
      <c r="W95" s="3">
        <f t="shared" si="6"/>
        <v>2</v>
      </c>
      <c r="X95" s="3" t="str">
        <f>IFERROR(__xludf.DUMMYFUNCTION("split(B95,"" "")"),"R.")</f>
        <v>R.</v>
      </c>
      <c r="Y95" s="3" t="str">
        <f>IFERROR(__xludf.DUMMYFUNCTION("""COMPUTED_VALUE"""),"Odunze")</f>
        <v>Odunze</v>
      </c>
      <c r="AA95" s="3">
        <v>5.0</v>
      </c>
      <c r="AB95" s="3">
        <f t="shared" si="7"/>
        <v>1</v>
      </c>
      <c r="AC95" s="3">
        <f t="shared" si="8"/>
        <v>0</v>
      </c>
      <c r="AD95" s="3">
        <f t="shared" si="9"/>
        <v>1.769911504</v>
      </c>
      <c r="AE95" s="3">
        <f t="shared" si="10"/>
        <v>-2</v>
      </c>
      <c r="AF95" s="3">
        <f t="shared" si="11"/>
        <v>-2</v>
      </c>
      <c r="AG95" s="3">
        <f t="shared" si="12"/>
        <v>-1</v>
      </c>
    </row>
    <row r="96">
      <c r="A96" s="1" t="s">
        <v>8</v>
      </c>
      <c r="B96" s="1" t="s">
        <v>98</v>
      </c>
      <c r="C96" s="1" t="s">
        <v>19</v>
      </c>
      <c r="D96" s="1" t="s">
        <v>99</v>
      </c>
      <c r="E96" s="1" t="s">
        <v>57</v>
      </c>
      <c r="F96" s="1" t="s">
        <v>576</v>
      </c>
      <c r="G96" s="1">
        <v>13.5</v>
      </c>
      <c r="H96" s="1" t="s">
        <v>60</v>
      </c>
      <c r="I96" s="1">
        <v>-129.0</v>
      </c>
      <c r="J96" s="1">
        <v>-0.119515887035807</v>
      </c>
      <c r="K96" s="1" t="s">
        <v>61</v>
      </c>
      <c r="L96" s="1" t="s">
        <v>61</v>
      </c>
      <c r="M96" s="1" t="s">
        <v>62</v>
      </c>
      <c r="N96" s="1">
        <v>-104.0</v>
      </c>
      <c r="O96" s="1">
        <v>0.0463927041982746</v>
      </c>
      <c r="P96" s="1" t="s">
        <v>61</v>
      </c>
      <c r="Q96" s="1" t="s">
        <v>61</v>
      </c>
      <c r="R96" s="1">
        <f t="shared" si="1"/>
        <v>0.0463927042</v>
      </c>
      <c r="S96" s="1">
        <f t="shared" si="2"/>
        <v>-104</v>
      </c>
      <c r="T96" s="1">
        <f t="shared" si="3"/>
        <v>1.961538462</v>
      </c>
      <c r="U96" s="1">
        <f t="shared" si="4"/>
        <v>0</v>
      </c>
      <c r="V96" s="3">
        <f t="shared" si="5"/>
        <v>1</v>
      </c>
      <c r="W96" s="3">
        <f t="shared" si="6"/>
        <v>2</v>
      </c>
      <c r="X96" s="3" t="str">
        <f>IFERROR(__xludf.DUMMYFUNCTION("split(B96,"" "")"),"D.")</f>
        <v>D.</v>
      </c>
      <c r="Y96" s="3" t="str">
        <f>IFERROR(__xludf.DUMMYFUNCTION("""COMPUTED_VALUE"""),"Swift")</f>
        <v>Swift</v>
      </c>
      <c r="AA96" s="3">
        <v>21.0</v>
      </c>
      <c r="AB96" s="3">
        <f t="shared" si="7"/>
        <v>1</v>
      </c>
      <c r="AC96" s="3">
        <f t="shared" si="8"/>
        <v>0</v>
      </c>
      <c r="AD96" s="3">
        <f t="shared" si="9"/>
        <v>0.9615384615</v>
      </c>
      <c r="AE96" s="3">
        <f t="shared" si="10"/>
        <v>-1</v>
      </c>
      <c r="AF96" s="3">
        <f t="shared" si="11"/>
        <v>-2</v>
      </c>
      <c r="AG96" s="3">
        <f t="shared" si="12"/>
        <v>-0.5555555556</v>
      </c>
    </row>
    <row r="97">
      <c r="A97" s="1" t="s">
        <v>9</v>
      </c>
      <c r="B97" s="1" t="s">
        <v>191</v>
      </c>
      <c r="C97" s="1" t="s">
        <v>18</v>
      </c>
      <c r="D97" s="1" t="s">
        <v>99</v>
      </c>
      <c r="E97" s="1" t="s">
        <v>57</v>
      </c>
      <c r="F97" s="1" t="s">
        <v>576</v>
      </c>
      <c r="G97" s="1">
        <v>32.5</v>
      </c>
      <c r="H97" s="1" t="s">
        <v>60</v>
      </c>
      <c r="I97" s="1">
        <v>-115.0</v>
      </c>
      <c r="J97" s="1">
        <v>0.0449710274695067</v>
      </c>
      <c r="K97" s="1" t="s">
        <v>61</v>
      </c>
      <c r="L97" s="1" t="s">
        <v>61</v>
      </c>
      <c r="M97" s="1" t="s">
        <v>62</v>
      </c>
      <c r="N97" s="1">
        <v>-115.0</v>
      </c>
      <c r="O97" s="1">
        <v>-0.114731681589932</v>
      </c>
      <c r="P97" s="1" t="s">
        <v>61</v>
      </c>
      <c r="Q97" s="1" t="s">
        <v>61</v>
      </c>
      <c r="R97" s="1">
        <f t="shared" si="1"/>
        <v>0.04497102747</v>
      </c>
      <c r="S97" s="1">
        <f t="shared" si="2"/>
        <v>-115</v>
      </c>
      <c r="T97" s="1">
        <f t="shared" si="3"/>
        <v>1.869565217</v>
      </c>
      <c r="U97" s="1">
        <f t="shared" si="4"/>
        <v>1</v>
      </c>
      <c r="V97" s="3">
        <f t="shared" si="5"/>
        <v>1</v>
      </c>
      <c r="W97" s="3">
        <f t="shared" si="6"/>
        <v>2</v>
      </c>
      <c r="X97" s="3" t="str">
        <f>IFERROR(__xludf.DUMMYFUNCTION("split(B97,"" "")"),"R.")</f>
        <v>R.</v>
      </c>
      <c r="Y97" s="3" t="str">
        <f>IFERROR(__xludf.DUMMYFUNCTION("""COMPUTED_VALUE"""),"Odunze")</f>
        <v>Odunze</v>
      </c>
      <c r="AA97" s="3">
        <v>40.0</v>
      </c>
      <c r="AB97" s="3">
        <f t="shared" si="7"/>
        <v>1</v>
      </c>
      <c r="AC97" s="3">
        <f t="shared" si="8"/>
        <v>1</v>
      </c>
      <c r="AD97" s="3">
        <f t="shared" si="9"/>
        <v>0.8695652174</v>
      </c>
      <c r="AE97" s="3">
        <f t="shared" si="10"/>
        <v>0.8695652174</v>
      </c>
      <c r="AF97" s="3">
        <f t="shared" si="11"/>
        <v>1.739130435</v>
      </c>
      <c r="AG97" s="3">
        <f t="shared" si="12"/>
        <v>0.2307692308</v>
      </c>
    </row>
    <row r="98">
      <c r="A98" s="1" t="s">
        <v>11</v>
      </c>
      <c r="B98" s="1" t="s">
        <v>268</v>
      </c>
      <c r="C98" s="1" t="s">
        <v>18</v>
      </c>
      <c r="D98" s="1" t="s">
        <v>99</v>
      </c>
      <c r="E98" s="1" t="s">
        <v>57</v>
      </c>
      <c r="F98" s="1" t="s">
        <v>576</v>
      </c>
      <c r="G98" s="1">
        <v>43.5</v>
      </c>
      <c r="H98" s="1" t="s">
        <v>60</v>
      </c>
      <c r="I98" s="1">
        <v>-116.0</v>
      </c>
      <c r="J98" s="1">
        <v>-0.116654743836018</v>
      </c>
      <c r="K98" s="1" t="s">
        <v>61</v>
      </c>
      <c r="L98" s="1" t="s">
        <v>61</v>
      </c>
      <c r="M98" s="1" t="s">
        <v>62</v>
      </c>
      <c r="N98" s="1">
        <v>-116.0</v>
      </c>
      <c r="O98" s="1">
        <v>0.0425496578209813</v>
      </c>
      <c r="P98" s="1" t="s">
        <v>61</v>
      </c>
      <c r="Q98" s="1" t="s">
        <v>61</v>
      </c>
      <c r="R98" s="1">
        <f t="shared" si="1"/>
        <v>0.04254965782</v>
      </c>
      <c r="S98" s="1">
        <f t="shared" si="2"/>
        <v>-116</v>
      </c>
      <c r="T98" s="1">
        <f t="shared" si="3"/>
        <v>1.862068966</v>
      </c>
      <c r="U98" s="1">
        <f t="shared" si="4"/>
        <v>0</v>
      </c>
      <c r="V98" s="3">
        <f t="shared" si="5"/>
        <v>1</v>
      </c>
      <c r="W98" s="3">
        <f t="shared" si="6"/>
        <v>2</v>
      </c>
      <c r="X98" s="3" t="str">
        <f>IFERROR(__xludf.DUMMYFUNCTION("split(B98,"" "")"),"K.")</f>
        <v>K.</v>
      </c>
      <c r="Y98" s="3" t="str">
        <f>IFERROR(__xludf.DUMMYFUNCTION("""COMPUTED_VALUE"""),"Allen")</f>
        <v>Allen</v>
      </c>
      <c r="AA98" s="3">
        <v>33.0</v>
      </c>
      <c r="AB98" s="3">
        <f t="shared" si="7"/>
        <v>0</v>
      </c>
      <c r="AC98" s="3">
        <f t="shared" si="8"/>
        <v>1</v>
      </c>
      <c r="AD98" s="3">
        <f t="shared" si="9"/>
        <v>0.8620689655</v>
      </c>
      <c r="AE98" s="3">
        <f t="shared" si="10"/>
        <v>0.8620689655</v>
      </c>
      <c r="AF98" s="3">
        <f t="shared" si="11"/>
        <v>1.724137931</v>
      </c>
      <c r="AG98" s="3">
        <f t="shared" si="12"/>
        <v>0.2413793103</v>
      </c>
    </row>
    <row r="99">
      <c r="A99" s="1" t="s">
        <v>10</v>
      </c>
      <c r="B99" s="1" t="s">
        <v>274</v>
      </c>
      <c r="C99" s="1" t="s">
        <v>21</v>
      </c>
      <c r="D99" s="1" t="s">
        <v>99</v>
      </c>
      <c r="E99" s="1" t="s">
        <v>57</v>
      </c>
      <c r="F99" s="1" t="s">
        <v>576</v>
      </c>
      <c r="G99" s="1">
        <v>15.5</v>
      </c>
      <c r="H99" s="1" t="s">
        <v>60</v>
      </c>
      <c r="I99" s="1">
        <v>-112.0</v>
      </c>
      <c r="J99" s="1">
        <v>-0.0978501886002287</v>
      </c>
      <c r="K99" s="1" t="s">
        <v>61</v>
      </c>
      <c r="L99" s="1" t="s">
        <v>61</v>
      </c>
      <c r="M99" s="1" t="s">
        <v>62</v>
      </c>
      <c r="N99" s="1">
        <v>-115.0</v>
      </c>
      <c r="O99" s="1">
        <v>0.0346576557243523</v>
      </c>
      <c r="P99" s="1" t="s">
        <v>61</v>
      </c>
      <c r="Q99" s="1" t="s">
        <v>61</v>
      </c>
      <c r="R99" s="1">
        <f t="shared" si="1"/>
        <v>0.03465765572</v>
      </c>
      <c r="S99" s="1">
        <f t="shared" si="2"/>
        <v>-115</v>
      </c>
      <c r="T99" s="1">
        <f t="shared" si="3"/>
        <v>1.869565217</v>
      </c>
      <c r="U99" s="1">
        <f t="shared" si="4"/>
        <v>0</v>
      </c>
      <c r="V99" s="3">
        <f t="shared" si="5"/>
        <v>1</v>
      </c>
      <c r="W99" s="3">
        <f t="shared" si="6"/>
        <v>2</v>
      </c>
      <c r="X99" s="3" t="str">
        <f>IFERROR(__xludf.DUMMYFUNCTION("split(B99,"" "")"),"C.")</f>
        <v>C.</v>
      </c>
      <c r="Y99" s="3" t="str">
        <f>IFERROR(__xludf.DUMMYFUNCTION("""COMPUTED_VALUE"""),"Williams")</f>
        <v>Williams</v>
      </c>
      <c r="AA99" s="3">
        <v>34.0</v>
      </c>
      <c r="AB99" s="3">
        <f t="shared" si="7"/>
        <v>1</v>
      </c>
      <c r="AC99" s="3">
        <f t="shared" si="8"/>
        <v>0</v>
      </c>
      <c r="AD99" s="3">
        <f t="shared" si="9"/>
        <v>0.8695652174</v>
      </c>
      <c r="AE99" s="3">
        <f t="shared" si="10"/>
        <v>-1</v>
      </c>
      <c r="AF99" s="3">
        <f t="shared" si="11"/>
        <v>-2</v>
      </c>
      <c r="AG99" s="3">
        <f t="shared" si="12"/>
        <v>-1.193548387</v>
      </c>
    </row>
    <row r="100">
      <c r="A100" s="1" t="s">
        <v>10</v>
      </c>
      <c r="B100" s="1" t="s">
        <v>578</v>
      </c>
      <c r="C100" s="1" t="s">
        <v>19</v>
      </c>
      <c r="D100" s="1" t="s">
        <v>99</v>
      </c>
      <c r="E100" s="1" t="s">
        <v>57</v>
      </c>
      <c r="F100" s="1" t="s">
        <v>576</v>
      </c>
      <c r="G100" s="1">
        <v>27.5</v>
      </c>
      <c r="H100" s="1" t="s">
        <v>60</v>
      </c>
      <c r="I100" s="1">
        <v>-115.0</v>
      </c>
      <c r="J100" s="1">
        <v>-0.0999208560338916</v>
      </c>
      <c r="K100" s="1" t="s">
        <v>61</v>
      </c>
      <c r="L100" s="1" t="s">
        <v>61</v>
      </c>
      <c r="M100" s="1" t="s">
        <v>62</v>
      </c>
      <c r="N100" s="1">
        <v>-114.0</v>
      </c>
      <c r="O100" s="1">
        <v>0.0323322514668543</v>
      </c>
      <c r="P100" s="1" t="s">
        <v>61</v>
      </c>
      <c r="Q100" s="1" t="s">
        <v>61</v>
      </c>
      <c r="R100" s="1">
        <f t="shared" si="1"/>
        <v>0.03233225147</v>
      </c>
      <c r="S100" s="1">
        <f t="shared" si="2"/>
        <v>-114</v>
      </c>
      <c r="T100" s="1">
        <f t="shared" si="3"/>
        <v>1.877192982</v>
      </c>
      <c r="U100" s="1">
        <f t="shared" si="4"/>
        <v>0</v>
      </c>
      <c r="V100" s="3">
        <f t="shared" si="5"/>
        <v>1</v>
      </c>
      <c r="W100" s="3">
        <f t="shared" si="6"/>
        <v>2</v>
      </c>
      <c r="X100" s="3" t="str">
        <f>IFERROR(__xludf.DUMMYFUNCTION("split(B100,"" "")"),"R.")</f>
        <v>R.</v>
      </c>
      <c r="Y100" s="3" t="str">
        <f>IFERROR(__xludf.DUMMYFUNCTION("""COMPUTED_VALUE"""),"Johnson")</f>
        <v>Johnson</v>
      </c>
      <c r="AA100" s="3">
        <v>6.0</v>
      </c>
      <c r="AB100" s="3">
        <f t="shared" si="7"/>
        <v>0</v>
      </c>
      <c r="AC100" s="3">
        <f t="shared" si="8"/>
        <v>1</v>
      </c>
      <c r="AD100" s="3">
        <f t="shared" si="9"/>
        <v>0.8771929825</v>
      </c>
      <c r="AE100" s="3">
        <f t="shared" si="10"/>
        <v>0.8771929825</v>
      </c>
      <c r="AF100" s="3">
        <f t="shared" si="11"/>
        <v>1.754385965</v>
      </c>
      <c r="AG100" s="3">
        <f t="shared" si="12"/>
        <v>0.7818181818</v>
      </c>
    </row>
    <row r="101">
      <c r="A101" s="1" t="s">
        <v>9</v>
      </c>
      <c r="B101" s="1" t="s">
        <v>98</v>
      </c>
      <c r="C101" s="1" t="s">
        <v>19</v>
      </c>
      <c r="D101" s="1" t="s">
        <v>99</v>
      </c>
      <c r="E101" s="1" t="s">
        <v>57</v>
      </c>
      <c r="F101" s="1" t="s">
        <v>576</v>
      </c>
      <c r="G101" s="1">
        <v>74.0</v>
      </c>
      <c r="H101" s="1" t="s">
        <v>60</v>
      </c>
      <c r="I101" s="1">
        <v>-120.0</v>
      </c>
      <c r="J101" s="1">
        <v>-0.103235814241857</v>
      </c>
      <c r="K101" s="1" t="s">
        <v>61</v>
      </c>
      <c r="L101" s="1" t="s">
        <v>61</v>
      </c>
      <c r="M101" s="1" t="s">
        <v>62</v>
      </c>
      <c r="N101" s="1">
        <v>-112.0</v>
      </c>
      <c r="O101" s="1">
        <v>0.0302876633452527</v>
      </c>
      <c r="P101" s="1" t="s">
        <v>61</v>
      </c>
      <c r="Q101" s="1" t="s">
        <v>61</v>
      </c>
      <c r="R101" s="1">
        <f t="shared" si="1"/>
        <v>0.03028766335</v>
      </c>
      <c r="S101" s="1">
        <f t="shared" si="2"/>
        <v>-112</v>
      </c>
      <c r="T101" s="1">
        <f t="shared" si="3"/>
        <v>1.892857143</v>
      </c>
      <c r="U101" s="1">
        <f t="shared" si="4"/>
        <v>0</v>
      </c>
      <c r="V101" s="3">
        <f t="shared" si="5"/>
        <v>1</v>
      </c>
      <c r="W101" s="3">
        <f t="shared" si="6"/>
        <v>2</v>
      </c>
      <c r="X101" s="3" t="str">
        <f>IFERROR(__xludf.DUMMYFUNCTION("split(B101,"" "")"),"D.")</f>
        <v>D.</v>
      </c>
      <c r="Y101" s="3" t="str">
        <f>IFERROR(__xludf.DUMMYFUNCTION("""COMPUTED_VALUE"""),"Swift")</f>
        <v>Swift</v>
      </c>
      <c r="AA101" s="3">
        <v>120.0</v>
      </c>
      <c r="AB101" s="3">
        <f t="shared" si="7"/>
        <v>1</v>
      </c>
      <c r="AC101" s="3">
        <f t="shared" si="8"/>
        <v>0</v>
      </c>
      <c r="AD101" s="3">
        <f t="shared" si="9"/>
        <v>0.8928571429</v>
      </c>
      <c r="AE101" s="3">
        <f t="shared" si="10"/>
        <v>-1</v>
      </c>
      <c r="AF101" s="3">
        <f t="shared" si="11"/>
        <v>-2</v>
      </c>
      <c r="AG101" s="3">
        <f t="shared" si="12"/>
        <v>-0.6216216216</v>
      </c>
    </row>
    <row r="102">
      <c r="A102" s="1" t="s">
        <v>11</v>
      </c>
      <c r="B102" s="1" t="s">
        <v>231</v>
      </c>
      <c r="C102" s="1" t="s">
        <v>20</v>
      </c>
      <c r="D102" s="1" t="s">
        <v>99</v>
      </c>
      <c r="E102" s="1" t="s">
        <v>57</v>
      </c>
      <c r="F102" s="1" t="s">
        <v>576</v>
      </c>
      <c r="G102" s="1">
        <v>26.5</v>
      </c>
      <c r="H102" s="1" t="s">
        <v>60</v>
      </c>
      <c r="I102" s="1">
        <v>-115.0</v>
      </c>
      <c r="J102" s="1">
        <v>-0.088722551479707</v>
      </c>
      <c r="K102" s="1" t="s">
        <v>61</v>
      </c>
      <c r="L102" s="1" t="s">
        <v>61</v>
      </c>
      <c r="M102" s="1" t="s">
        <v>62</v>
      </c>
      <c r="N102" s="1">
        <v>-114.0</v>
      </c>
      <c r="O102" s="1">
        <v>0.0211923241480196</v>
      </c>
      <c r="P102" s="1" t="s">
        <v>61</v>
      </c>
      <c r="Q102" s="1" t="s">
        <v>61</v>
      </c>
      <c r="R102" s="1">
        <f t="shared" si="1"/>
        <v>0.02119232415</v>
      </c>
      <c r="S102" s="1">
        <f t="shared" si="2"/>
        <v>-114</v>
      </c>
      <c r="T102" s="1">
        <f t="shared" si="3"/>
        <v>1.877192982</v>
      </c>
      <c r="U102" s="1">
        <f t="shared" si="4"/>
        <v>0</v>
      </c>
      <c r="V102" s="3">
        <f t="shared" si="5"/>
        <v>1</v>
      </c>
      <c r="W102" s="3">
        <f t="shared" si="6"/>
        <v>2</v>
      </c>
      <c r="X102" s="3" t="str">
        <f>IFERROR(__xludf.DUMMYFUNCTION("split(B102,"" "")"),"C.")</f>
        <v>C.</v>
      </c>
      <c r="Y102" s="3" t="str">
        <f>IFERROR(__xludf.DUMMYFUNCTION("""COMPUTED_VALUE"""),"Kmet")</f>
        <v>Kmet</v>
      </c>
      <c r="AA102" s="3">
        <v>57.0</v>
      </c>
      <c r="AB102" s="3">
        <f t="shared" si="7"/>
        <v>1</v>
      </c>
      <c r="AC102" s="3">
        <f t="shared" si="8"/>
        <v>0</v>
      </c>
      <c r="AD102" s="3">
        <f t="shared" si="9"/>
        <v>0.8771929825</v>
      </c>
      <c r="AE102" s="3">
        <f t="shared" si="10"/>
        <v>-1</v>
      </c>
      <c r="AF102" s="3">
        <f t="shared" si="11"/>
        <v>-2</v>
      </c>
      <c r="AG102" s="3">
        <f t="shared" si="12"/>
        <v>-1.150943396</v>
      </c>
    </row>
    <row r="103">
      <c r="A103" s="1" t="s">
        <v>11</v>
      </c>
      <c r="B103" s="1" t="s">
        <v>578</v>
      </c>
      <c r="C103" s="1" t="s">
        <v>19</v>
      </c>
      <c r="D103" s="1" t="s">
        <v>99</v>
      </c>
      <c r="E103" s="1" t="s">
        <v>57</v>
      </c>
      <c r="F103" s="1" t="s">
        <v>576</v>
      </c>
      <c r="G103" s="1">
        <v>9.5</v>
      </c>
      <c r="H103" s="1" t="s">
        <v>60</v>
      </c>
      <c r="I103" s="1">
        <v>-102.0</v>
      </c>
      <c r="J103" s="1">
        <v>0.021083241684251</v>
      </c>
      <c r="K103" s="1" t="s">
        <v>61</v>
      </c>
      <c r="L103" s="1" t="s">
        <v>61</v>
      </c>
      <c r="M103" s="1" t="s">
        <v>62</v>
      </c>
      <c r="N103" s="1">
        <v>-124.0</v>
      </c>
      <c r="O103" s="1">
        <v>-0.0795618677547821</v>
      </c>
      <c r="P103" s="1" t="s">
        <v>61</v>
      </c>
      <c r="Q103" s="1" t="s">
        <v>61</v>
      </c>
      <c r="R103" s="1">
        <f t="shared" si="1"/>
        <v>0.02108324168</v>
      </c>
      <c r="S103" s="1">
        <f t="shared" si="2"/>
        <v>-102</v>
      </c>
      <c r="T103" s="1">
        <f t="shared" si="3"/>
        <v>1.980392157</v>
      </c>
      <c r="U103" s="1">
        <f t="shared" si="4"/>
        <v>1</v>
      </c>
      <c r="V103" s="3">
        <f t="shared" si="5"/>
        <v>1</v>
      </c>
      <c r="W103" s="3">
        <f t="shared" si="6"/>
        <v>2</v>
      </c>
      <c r="X103" s="3" t="str">
        <f>IFERROR(__xludf.DUMMYFUNCTION("split(B103,"" "")"),"R.")</f>
        <v>R.</v>
      </c>
      <c r="Y103" s="3" t="str">
        <f>IFERROR(__xludf.DUMMYFUNCTION("""COMPUTED_VALUE"""),"Johnson")</f>
        <v>Johnson</v>
      </c>
      <c r="AA103" s="3">
        <v>23.0</v>
      </c>
      <c r="AB103" s="3">
        <f t="shared" si="7"/>
        <v>1</v>
      </c>
      <c r="AC103" s="3">
        <f t="shared" si="8"/>
        <v>1</v>
      </c>
      <c r="AD103" s="3">
        <f t="shared" si="9"/>
        <v>0.9803921569</v>
      </c>
      <c r="AE103" s="3">
        <f t="shared" si="10"/>
        <v>0.9803921569</v>
      </c>
      <c r="AF103" s="3">
        <f t="shared" si="11"/>
        <v>1.960784314</v>
      </c>
      <c r="AG103" s="3">
        <f t="shared" si="12"/>
        <v>1.421052632</v>
      </c>
    </row>
    <row r="104">
      <c r="A104" s="1" t="s">
        <v>15</v>
      </c>
      <c r="B104" s="1" t="s">
        <v>274</v>
      </c>
      <c r="C104" s="1" t="s">
        <v>21</v>
      </c>
      <c r="D104" s="1" t="s">
        <v>99</v>
      </c>
      <c r="E104" s="1" t="s">
        <v>57</v>
      </c>
      <c r="F104" s="1" t="s">
        <v>576</v>
      </c>
      <c r="G104" s="1">
        <v>20.5</v>
      </c>
      <c r="H104" s="1" t="s">
        <v>60</v>
      </c>
      <c r="I104" s="1">
        <v>-110.0</v>
      </c>
      <c r="J104" s="1">
        <v>0.0209904761904761</v>
      </c>
      <c r="K104" s="1" t="s">
        <v>61</v>
      </c>
      <c r="L104" s="1" t="s">
        <v>61</v>
      </c>
      <c r="M104" s="1" t="s">
        <v>62</v>
      </c>
      <c r="N104" s="1">
        <v>-119.0</v>
      </c>
      <c r="O104" s="1">
        <v>-0.0881789954337898</v>
      </c>
      <c r="P104" s="1" t="s">
        <v>61</v>
      </c>
      <c r="Q104" s="1" t="s">
        <v>61</v>
      </c>
      <c r="R104" s="1">
        <f t="shared" si="1"/>
        <v>0.02099047619</v>
      </c>
      <c r="S104" s="1">
        <f t="shared" si="2"/>
        <v>-110</v>
      </c>
      <c r="T104" s="1">
        <f t="shared" si="3"/>
        <v>1.909090909</v>
      </c>
      <c r="U104" s="1">
        <f t="shared" si="4"/>
        <v>1</v>
      </c>
      <c r="V104" s="3">
        <f t="shared" si="5"/>
        <v>1</v>
      </c>
      <c r="W104" s="3">
        <f t="shared" si="6"/>
        <v>2</v>
      </c>
      <c r="X104" s="3" t="str">
        <f>IFERROR(__xludf.DUMMYFUNCTION("split(B104,"" "")"),"C.")</f>
        <v>C.</v>
      </c>
      <c r="Y104" s="3" t="str">
        <f>IFERROR(__xludf.DUMMYFUNCTION("""COMPUTED_VALUE"""),"Williams")</f>
        <v>Williams</v>
      </c>
      <c r="AA104" s="3">
        <v>20.0</v>
      </c>
      <c r="AB104" s="3">
        <f t="shared" si="7"/>
        <v>0</v>
      </c>
      <c r="AC104" s="3">
        <f t="shared" si="8"/>
        <v>0</v>
      </c>
      <c r="AD104" s="3">
        <f t="shared" si="9"/>
        <v>0.9090909091</v>
      </c>
      <c r="AE104" s="3">
        <f t="shared" si="10"/>
        <v>-1</v>
      </c>
      <c r="AF104" s="3">
        <f t="shared" si="11"/>
        <v>-2</v>
      </c>
      <c r="AG104" s="3">
        <f t="shared" si="12"/>
        <v>-0.0243902439</v>
      </c>
    </row>
    <row r="105">
      <c r="A105" s="1" t="s">
        <v>17</v>
      </c>
      <c r="B105" s="1" t="s">
        <v>274</v>
      </c>
      <c r="C105" s="1" t="s">
        <v>21</v>
      </c>
      <c r="D105" s="1" t="s">
        <v>99</v>
      </c>
      <c r="E105" s="1" t="s">
        <v>57</v>
      </c>
      <c r="F105" s="1" t="s">
        <v>576</v>
      </c>
      <c r="G105" s="1">
        <v>0.5</v>
      </c>
      <c r="H105" s="1" t="s">
        <v>60</v>
      </c>
      <c r="I105" s="1">
        <v>-124.0</v>
      </c>
      <c r="J105" s="1">
        <v>-0.0909160714285715</v>
      </c>
      <c r="K105" s="1" t="s">
        <v>61</v>
      </c>
      <c r="L105" s="1" t="s">
        <v>61</v>
      </c>
      <c r="M105" s="1" t="s">
        <v>62</v>
      </c>
      <c r="N105" s="1">
        <v>-108.0</v>
      </c>
      <c r="O105" s="1">
        <v>0.0181211538461539</v>
      </c>
      <c r="P105" s="1" t="s">
        <v>61</v>
      </c>
      <c r="Q105" s="1" t="s">
        <v>61</v>
      </c>
      <c r="R105" s="1">
        <f t="shared" si="1"/>
        <v>0.01812115385</v>
      </c>
      <c r="S105" s="1">
        <f t="shared" si="2"/>
        <v>-108</v>
      </c>
      <c r="T105" s="1">
        <f t="shared" si="3"/>
        <v>1.925925926</v>
      </c>
      <c r="U105" s="1">
        <f t="shared" si="4"/>
        <v>0</v>
      </c>
      <c r="V105" s="3">
        <f t="shared" si="5"/>
        <v>1</v>
      </c>
      <c r="W105" s="3">
        <f t="shared" si="6"/>
        <v>2</v>
      </c>
      <c r="X105" s="3" t="str">
        <f>IFERROR(__xludf.DUMMYFUNCTION("split(B105,"" "")"),"C.")</f>
        <v>C.</v>
      </c>
      <c r="Y105" s="3" t="str">
        <f>IFERROR(__xludf.DUMMYFUNCTION("""COMPUTED_VALUE"""),"Williams")</f>
        <v>Williams</v>
      </c>
      <c r="AA105" s="3">
        <v>0.0</v>
      </c>
      <c r="AB105" s="3">
        <f t="shared" si="7"/>
        <v>0</v>
      </c>
      <c r="AC105" s="3">
        <f t="shared" si="8"/>
        <v>1</v>
      </c>
      <c r="AD105" s="3">
        <f t="shared" si="9"/>
        <v>0.9259259259</v>
      </c>
      <c r="AE105" s="3">
        <f t="shared" si="10"/>
        <v>0.9259259259</v>
      </c>
      <c r="AF105" s="3">
        <f t="shared" si="11"/>
        <v>1.851851852</v>
      </c>
      <c r="AG105" s="3">
        <f t="shared" si="12"/>
        <v>1</v>
      </c>
    </row>
    <row r="106">
      <c r="A106" s="1" t="s">
        <v>12</v>
      </c>
      <c r="B106" s="1" t="s">
        <v>293</v>
      </c>
      <c r="C106" s="1" t="s">
        <v>19</v>
      </c>
      <c r="D106" s="1" t="s">
        <v>67</v>
      </c>
      <c r="E106" s="1" t="s">
        <v>77</v>
      </c>
      <c r="F106" s="1" t="s">
        <v>576</v>
      </c>
      <c r="G106" s="1">
        <v>1.5</v>
      </c>
      <c r="H106" s="1" t="s">
        <v>60</v>
      </c>
      <c r="I106" s="1">
        <v>-177.0</v>
      </c>
      <c r="J106" s="1">
        <v>-0.25488834903249</v>
      </c>
      <c r="K106" s="1" t="s">
        <v>61</v>
      </c>
      <c r="L106" s="1" t="s">
        <v>61</v>
      </c>
      <c r="M106" s="1" t="s">
        <v>62</v>
      </c>
      <c r="N106" s="1">
        <v>135.0</v>
      </c>
      <c r="O106" s="1">
        <v>0.190367117795744</v>
      </c>
      <c r="P106" s="1" t="s">
        <v>61</v>
      </c>
      <c r="Q106" s="1" t="s">
        <v>61</v>
      </c>
      <c r="R106" s="1">
        <f t="shared" si="1"/>
        <v>0.1903671178</v>
      </c>
      <c r="S106" s="1">
        <f t="shared" si="2"/>
        <v>135</v>
      </c>
      <c r="T106" s="1">
        <f t="shared" si="3"/>
        <v>2.35</v>
      </c>
      <c r="U106" s="1">
        <f t="shared" si="4"/>
        <v>0</v>
      </c>
      <c r="V106" s="3">
        <f t="shared" si="5"/>
        <v>3</v>
      </c>
      <c r="W106" s="3">
        <f t="shared" si="6"/>
        <v>1</v>
      </c>
      <c r="X106" s="3" t="str">
        <f>IFERROR(__xludf.DUMMYFUNCTION("split(B106,"" "")"),"C.")</f>
        <v>C.</v>
      </c>
      <c r="Y106" s="3" t="str">
        <f>IFERROR(__xludf.DUMMYFUNCTION("""COMPUTED_VALUE"""),"Brown")</f>
        <v>Brown</v>
      </c>
      <c r="AA106" s="3">
        <v>3.0</v>
      </c>
      <c r="AB106" s="3">
        <f t="shared" si="7"/>
        <v>1</v>
      </c>
      <c r="AC106" s="3">
        <f t="shared" si="8"/>
        <v>0</v>
      </c>
      <c r="AD106" s="3">
        <f t="shared" si="9"/>
        <v>4.05</v>
      </c>
      <c r="AE106" s="3">
        <f t="shared" si="10"/>
        <v>-3</v>
      </c>
      <c r="AF106" s="3">
        <f t="shared" si="11"/>
        <v>-1</v>
      </c>
      <c r="AG106" s="3">
        <f t="shared" si="12"/>
        <v>-1</v>
      </c>
    </row>
    <row r="107">
      <c r="A107" s="1" t="s">
        <v>12</v>
      </c>
      <c r="B107" s="1" t="s">
        <v>504</v>
      </c>
      <c r="C107" s="1" t="s">
        <v>20</v>
      </c>
      <c r="D107" s="1" t="s">
        <v>67</v>
      </c>
      <c r="E107" s="1" t="s">
        <v>77</v>
      </c>
      <c r="F107" s="1" t="s">
        <v>576</v>
      </c>
      <c r="G107" s="1">
        <v>2.5</v>
      </c>
      <c r="H107" s="1" t="s">
        <v>60</v>
      </c>
      <c r="I107" s="1">
        <v>-149.0</v>
      </c>
      <c r="J107" s="1">
        <v>-0.264952096224899</v>
      </c>
      <c r="K107" s="1" t="s">
        <v>61</v>
      </c>
      <c r="L107" s="1" t="s">
        <v>61</v>
      </c>
      <c r="M107" s="1" t="s">
        <v>62</v>
      </c>
      <c r="N107" s="1">
        <v>105.0</v>
      </c>
      <c r="O107" s="1">
        <v>0.178744741268292</v>
      </c>
      <c r="P107" s="1" t="s">
        <v>61</v>
      </c>
      <c r="Q107" s="1" t="s">
        <v>61</v>
      </c>
      <c r="R107" s="1">
        <f t="shared" si="1"/>
        <v>0.1787447413</v>
      </c>
      <c r="S107" s="1">
        <f t="shared" si="2"/>
        <v>105</v>
      </c>
      <c r="T107" s="1">
        <f t="shared" si="3"/>
        <v>2.05</v>
      </c>
      <c r="U107" s="1">
        <f t="shared" si="4"/>
        <v>0</v>
      </c>
      <c r="V107" s="3">
        <f t="shared" si="5"/>
        <v>3</v>
      </c>
      <c r="W107" s="3">
        <f t="shared" si="6"/>
        <v>2</v>
      </c>
      <c r="X107" s="3" t="str">
        <f>IFERROR(__xludf.DUMMYFUNCTION("split(B107,"" "")"),"M.")</f>
        <v>M.</v>
      </c>
      <c r="Y107" s="3" t="str">
        <f>IFERROR(__xludf.DUMMYFUNCTION("""COMPUTED_VALUE"""),"Gesicki")</f>
        <v>Gesicki</v>
      </c>
      <c r="AA107" s="3">
        <v>2.0</v>
      </c>
      <c r="AB107" s="3">
        <f t="shared" si="7"/>
        <v>0</v>
      </c>
      <c r="AC107" s="3">
        <f t="shared" si="8"/>
        <v>1</v>
      </c>
      <c r="AD107" s="3">
        <f t="shared" si="9"/>
        <v>3.15</v>
      </c>
      <c r="AE107" s="3">
        <f t="shared" si="10"/>
        <v>3.15</v>
      </c>
      <c r="AF107" s="3">
        <f t="shared" si="11"/>
        <v>2.1</v>
      </c>
      <c r="AG107" s="3">
        <f t="shared" si="12"/>
        <v>0.2</v>
      </c>
    </row>
    <row r="108">
      <c r="A108" s="1" t="s">
        <v>12</v>
      </c>
      <c r="B108" s="1" t="s">
        <v>168</v>
      </c>
      <c r="C108" s="1" t="s">
        <v>19</v>
      </c>
      <c r="D108" s="1" t="s">
        <v>67</v>
      </c>
      <c r="E108" s="1" t="s">
        <v>77</v>
      </c>
      <c r="F108" s="1" t="s">
        <v>576</v>
      </c>
      <c r="G108" s="1">
        <v>2.5</v>
      </c>
      <c r="H108" s="1" t="s">
        <v>60</v>
      </c>
      <c r="I108" s="1">
        <v>-126.0</v>
      </c>
      <c r="J108" s="1">
        <v>-0.239320905132743</v>
      </c>
      <c r="K108" s="1" t="s">
        <v>61</v>
      </c>
      <c r="L108" s="1" t="s">
        <v>61</v>
      </c>
      <c r="M108" s="1" t="s">
        <v>62</v>
      </c>
      <c r="N108" s="1">
        <v>-104.0</v>
      </c>
      <c r="O108" s="1">
        <v>0.171994674227451</v>
      </c>
      <c r="P108" s="1" t="s">
        <v>61</v>
      </c>
      <c r="Q108" s="1" t="s">
        <v>61</v>
      </c>
      <c r="R108" s="1">
        <f t="shared" si="1"/>
        <v>0.1719946742</v>
      </c>
      <c r="S108" s="1">
        <f t="shared" si="2"/>
        <v>-104</v>
      </c>
      <c r="T108" s="1">
        <f t="shared" si="3"/>
        <v>1.961538462</v>
      </c>
      <c r="U108" s="1">
        <f t="shared" si="4"/>
        <v>0</v>
      </c>
      <c r="V108" s="3">
        <f t="shared" si="5"/>
        <v>3</v>
      </c>
      <c r="W108" s="3">
        <f t="shared" si="6"/>
        <v>2</v>
      </c>
      <c r="X108" s="3" t="str">
        <f>IFERROR(__xludf.DUMMYFUNCTION("split(B108,"" "")"),"Z.")</f>
        <v>Z.</v>
      </c>
      <c r="Y108" s="3" t="str">
        <f>IFERROR(__xludf.DUMMYFUNCTION("""COMPUTED_VALUE"""),"Moss")</f>
        <v>Moss</v>
      </c>
      <c r="AA108" s="3">
        <v>3.0</v>
      </c>
      <c r="AB108" s="3">
        <f t="shared" si="7"/>
        <v>1</v>
      </c>
      <c r="AC108" s="3">
        <f t="shared" si="8"/>
        <v>0</v>
      </c>
      <c r="AD108" s="3">
        <f t="shared" si="9"/>
        <v>2.884615385</v>
      </c>
      <c r="AE108" s="3">
        <f t="shared" si="10"/>
        <v>-3</v>
      </c>
      <c r="AF108" s="3">
        <f t="shared" si="11"/>
        <v>-2</v>
      </c>
      <c r="AG108" s="3">
        <f t="shared" si="12"/>
        <v>-0.2</v>
      </c>
    </row>
    <row r="109">
      <c r="A109" s="1" t="s">
        <v>12</v>
      </c>
      <c r="B109" s="1" t="s">
        <v>527</v>
      </c>
      <c r="C109" s="1" t="s">
        <v>18</v>
      </c>
      <c r="D109" s="1" t="s">
        <v>67</v>
      </c>
      <c r="E109" s="1" t="s">
        <v>77</v>
      </c>
      <c r="F109" s="1" t="s">
        <v>576</v>
      </c>
      <c r="G109" s="1">
        <v>2.5</v>
      </c>
      <c r="H109" s="1" t="s">
        <v>60</v>
      </c>
      <c r="I109" s="1">
        <v>-112.0</v>
      </c>
      <c r="J109" s="1">
        <v>-0.216996221556603</v>
      </c>
      <c r="K109" s="1" t="s">
        <v>61</v>
      </c>
      <c r="L109" s="1" t="s">
        <v>61</v>
      </c>
      <c r="M109" s="1" t="s">
        <v>62</v>
      </c>
      <c r="N109" s="1">
        <v>-118.0</v>
      </c>
      <c r="O109" s="1">
        <v>0.147409095342201</v>
      </c>
      <c r="P109" s="1" t="s">
        <v>61</v>
      </c>
      <c r="Q109" s="1" t="s">
        <v>61</v>
      </c>
      <c r="R109" s="1">
        <f t="shared" si="1"/>
        <v>0.1474090953</v>
      </c>
      <c r="S109" s="1">
        <f t="shared" si="2"/>
        <v>-118</v>
      </c>
      <c r="T109" s="1">
        <f t="shared" si="3"/>
        <v>1.847457627</v>
      </c>
      <c r="U109" s="1">
        <f t="shared" si="4"/>
        <v>0</v>
      </c>
      <c r="V109" s="3">
        <f t="shared" si="5"/>
        <v>3</v>
      </c>
      <c r="W109" s="3">
        <f t="shared" si="6"/>
        <v>3</v>
      </c>
      <c r="X109" s="3" t="str">
        <f>IFERROR(__xludf.DUMMYFUNCTION("split(B109,"" "")"),"A.")</f>
        <v>A.</v>
      </c>
      <c r="Y109" s="3" t="str">
        <f>IFERROR(__xludf.DUMMYFUNCTION("""COMPUTED_VALUE"""),"Iosivas")</f>
        <v>Iosivas</v>
      </c>
      <c r="AA109" s="3">
        <v>1.0</v>
      </c>
      <c r="AB109" s="3">
        <f t="shared" si="7"/>
        <v>0</v>
      </c>
      <c r="AC109" s="3">
        <f t="shared" si="8"/>
        <v>1</v>
      </c>
      <c r="AD109" s="3">
        <f t="shared" si="9"/>
        <v>2.542372881</v>
      </c>
      <c r="AE109" s="3">
        <f t="shared" si="10"/>
        <v>2.542372881</v>
      </c>
      <c r="AF109" s="3">
        <f t="shared" si="11"/>
        <v>2.542372881</v>
      </c>
      <c r="AG109" s="3">
        <f t="shared" si="12"/>
        <v>0.6</v>
      </c>
    </row>
    <row r="110">
      <c r="A110" s="1" t="s">
        <v>8</v>
      </c>
      <c r="B110" s="1" t="s">
        <v>168</v>
      </c>
      <c r="C110" s="1" t="s">
        <v>19</v>
      </c>
      <c r="D110" s="1" t="s">
        <v>67</v>
      </c>
      <c r="E110" s="1" t="s">
        <v>77</v>
      </c>
      <c r="F110" s="1" t="s">
        <v>576</v>
      </c>
      <c r="G110" s="1">
        <v>11.0</v>
      </c>
      <c r="H110" s="1" t="s">
        <v>60</v>
      </c>
      <c r="I110" s="1">
        <v>-114.0</v>
      </c>
      <c r="J110" s="1">
        <v>-0.200697149106649</v>
      </c>
      <c r="K110" s="1" t="s">
        <v>61</v>
      </c>
      <c r="L110" s="1" t="s">
        <v>61</v>
      </c>
      <c r="M110" s="1" t="s">
        <v>62</v>
      </c>
      <c r="N110" s="1">
        <v>-123.0</v>
      </c>
      <c r="O110" s="1">
        <v>0.122763621470189</v>
      </c>
      <c r="P110" s="1" t="s">
        <v>61</v>
      </c>
      <c r="Q110" s="1" t="s">
        <v>61</v>
      </c>
      <c r="R110" s="1">
        <f t="shared" si="1"/>
        <v>0.1227636215</v>
      </c>
      <c r="S110" s="1">
        <f t="shared" si="2"/>
        <v>-123</v>
      </c>
      <c r="T110" s="1">
        <f t="shared" si="3"/>
        <v>1.81300813</v>
      </c>
      <c r="U110" s="1">
        <f t="shared" si="4"/>
        <v>0</v>
      </c>
      <c r="V110" s="3">
        <f t="shared" si="5"/>
        <v>3</v>
      </c>
      <c r="W110" s="3">
        <f t="shared" si="6"/>
        <v>3</v>
      </c>
      <c r="X110" s="3" t="str">
        <f>IFERROR(__xludf.DUMMYFUNCTION("split(B110,"" "")"),"Z.")</f>
        <v>Z.</v>
      </c>
      <c r="Y110" s="3" t="str">
        <f>IFERROR(__xludf.DUMMYFUNCTION("""COMPUTED_VALUE"""),"Moss")</f>
        <v>Moss</v>
      </c>
      <c r="AA110" s="3">
        <v>9.0</v>
      </c>
      <c r="AB110" s="3">
        <f t="shared" si="7"/>
        <v>0</v>
      </c>
      <c r="AC110" s="3">
        <f t="shared" si="8"/>
        <v>1</v>
      </c>
      <c r="AD110" s="3">
        <f t="shared" si="9"/>
        <v>2.43902439</v>
      </c>
      <c r="AE110" s="3">
        <f t="shared" si="10"/>
        <v>2.43902439</v>
      </c>
      <c r="AF110" s="3">
        <f t="shared" si="11"/>
        <v>2.43902439</v>
      </c>
      <c r="AG110" s="3">
        <f t="shared" si="12"/>
        <v>0.1818181818</v>
      </c>
    </row>
    <row r="111">
      <c r="A111" s="1" t="s">
        <v>12</v>
      </c>
      <c r="B111" s="1" t="s">
        <v>389</v>
      </c>
      <c r="C111" s="1" t="s">
        <v>18</v>
      </c>
      <c r="D111" s="1" t="s">
        <v>67</v>
      </c>
      <c r="E111" s="1" t="s">
        <v>77</v>
      </c>
      <c r="F111" s="1" t="s">
        <v>576</v>
      </c>
      <c r="G111" s="1">
        <v>5.5</v>
      </c>
      <c r="H111" s="1" t="s">
        <v>60</v>
      </c>
      <c r="I111" s="1">
        <v>-127.0</v>
      </c>
      <c r="J111" s="1">
        <v>0.103684581497797</v>
      </c>
      <c r="K111" s="1" t="s">
        <v>61</v>
      </c>
      <c r="L111" s="1" t="s">
        <v>61</v>
      </c>
      <c r="M111" s="1" t="s">
        <v>62</v>
      </c>
      <c r="N111" s="1">
        <v>-103.0</v>
      </c>
      <c r="O111" s="1">
        <v>-0.17053842364532</v>
      </c>
      <c r="P111" s="1" t="s">
        <v>61</v>
      </c>
      <c r="Q111" s="1" t="s">
        <v>61</v>
      </c>
      <c r="R111" s="1">
        <f t="shared" si="1"/>
        <v>0.1036845815</v>
      </c>
      <c r="S111" s="1">
        <f t="shared" si="2"/>
        <v>-127</v>
      </c>
      <c r="T111" s="1">
        <f t="shared" si="3"/>
        <v>1.787401575</v>
      </c>
      <c r="U111" s="1">
        <f t="shared" si="4"/>
        <v>1</v>
      </c>
      <c r="V111" s="3">
        <f t="shared" si="5"/>
        <v>3</v>
      </c>
      <c r="W111" s="3">
        <f t="shared" si="6"/>
        <v>3</v>
      </c>
      <c r="X111" s="3" t="str">
        <f>IFERROR(__xludf.DUMMYFUNCTION("split(B111,"" "")"),"J.")</f>
        <v>J.</v>
      </c>
      <c r="Y111" s="3" t="str">
        <f>IFERROR(__xludf.DUMMYFUNCTION("""COMPUTED_VALUE"""),"Chase")</f>
        <v>Chase</v>
      </c>
      <c r="AA111" s="3">
        <v>10.0</v>
      </c>
      <c r="AB111" s="3">
        <f t="shared" si="7"/>
        <v>1</v>
      </c>
      <c r="AC111" s="3">
        <f t="shared" si="8"/>
        <v>1</v>
      </c>
      <c r="AD111" s="3">
        <f t="shared" si="9"/>
        <v>2.362204724</v>
      </c>
      <c r="AE111" s="3">
        <f t="shared" si="10"/>
        <v>2.362204724</v>
      </c>
      <c r="AF111" s="3">
        <f t="shared" si="11"/>
        <v>2.362204724</v>
      </c>
      <c r="AG111" s="3">
        <f t="shared" si="12"/>
        <v>0.8181818182</v>
      </c>
    </row>
    <row r="112">
      <c r="A112" s="1" t="s">
        <v>8</v>
      </c>
      <c r="B112" s="1" t="s">
        <v>293</v>
      </c>
      <c r="C112" s="1" t="s">
        <v>19</v>
      </c>
      <c r="D112" s="1" t="s">
        <v>67</v>
      </c>
      <c r="E112" s="1" t="s">
        <v>77</v>
      </c>
      <c r="F112" s="1" t="s">
        <v>576</v>
      </c>
      <c r="G112" s="1">
        <v>8.5</v>
      </c>
      <c r="H112" s="1" t="s">
        <v>60</v>
      </c>
      <c r="I112" s="1">
        <v>111.0</v>
      </c>
      <c r="J112" s="1">
        <v>-0.150238209221129</v>
      </c>
      <c r="K112" s="1" t="s">
        <v>61</v>
      </c>
      <c r="L112" s="1" t="s">
        <v>61</v>
      </c>
      <c r="M112" s="1" t="s">
        <v>62</v>
      </c>
      <c r="N112" s="1">
        <v>-147.0</v>
      </c>
      <c r="O112" s="1">
        <v>0.0811897193497382</v>
      </c>
      <c r="P112" s="1" t="s">
        <v>61</v>
      </c>
      <c r="Q112" s="1" t="s">
        <v>61</v>
      </c>
      <c r="R112" s="1">
        <f t="shared" si="1"/>
        <v>0.08118971935</v>
      </c>
      <c r="S112" s="1">
        <f t="shared" si="2"/>
        <v>-147</v>
      </c>
      <c r="T112" s="1">
        <f t="shared" si="3"/>
        <v>1.680272109</v>
      </c>
      <c r="U112" s="1">
        <f t="shared" si="4"/>
        <v>0</v>
      </c>
      <c r="V112" s="3">
        <f t="shared" si="5"/>
        <v>2</v>
      </c>
      <c r="W112" s="3">
        <f t="shared" si="6"/>
        <v>3</v>
      </c>
      <c r="X112" s="3" t="str">
        <f>IFERROR(__xludf.DUMMYFUNCTION("split(B112,"" "")"),"C.")</f>
        <v>C.</v>
      </c>
      <c r="Y112" s="3" t="str">
        <f>IFERROR(__xludf.DUMMYFUNCTION("""COMPUTED_VALUE"""),"Brown")</f>
        <v>Brown</v>
      </c>
      <c r="AA112" s="3">
        <v>12.0</v>
      </c>
      <c r="AB112" s="3">
        <f t="shared" si="7"/>
        <v>1</v>
      </c>
      <c r="AC112" s="3">
        <f t="shared" si="8"/>
        <v>0</v>
      </c>
      <c r="AD112" s="3">
        <f t="shared" si="9"/>
        <v>1.360544218</v>
      </c>
      <c r="AE112" s="3">
        <f t="shared" si="10"/>
        <v>-2</v>
      </c>
      <c r="AF112" s="3">
        <f t="shared" si="11"/>
        <v>-3</v>
      </c>
      <c r="AG112" s="3">
        <f t="shared" si="12"/>
        <v>-0.4117647059</v>
      </c>
    </row>
    <row r="113">
      <c r="A113" s="1" t="s">
        <v>17</v>
      </c>
      <c r="B113" s="1" t="s">
        <v>318</v>
      </c>
      <c r="C113" s="1" t="s">
        <v>21</v>
      </c>
      <c r="D113" s="1" t="s">
        <v>67</v>
      </c>
      <c r="E113" s="1" t="s">
        <v>77</v>
      </c>
      <c r="F113" s="1" t="s">
        <v>576</v>
      </c>
      <c r="G113" s="1">
        <v>0.5</v>
      </c>
      <c r="H113" s="1" t="s">
        <v>60</v>
      </c>
      <c r="I113" s="1">
        <v>-141.0</v>
      </c>
      <c r="J113" s="1">
        <v>-0.1417622406639</v>
      </c>
      <c r="K113" s="1" t="s">
        <v>61</v>
      </c>
      <c r="L113" s="1" t="s">
        <v>61</v>
      </c>
      <c r="M113" s="1" t="s">
        <v>62</v>
      </c>
      <c r="N113" s="1">
        <v>108.0</v>
      </c>
      <c r="O113" s="1">
        <v>0.0759307692307692</v>
      </c>
      <c r="P113" s="1" t="s">
        <v>61</v>
      </c>
      <c r="Q113" s="1" t="s">
        <v>61</v>
      </c>
      <c r="R113" s="1">
        <f t="shared" si="1"/>
        <v>0.07593076923</v>
      </c>
      <c r="S113" s="1">
        <f t="shared" si="2"/>
        <v>108</v>
      </c>
      <c r="T113" s="1">
        <f t="shared" si="3"/>
        <v>2.08</v>
      </c>
      <c r="U113" s="1">
        <f t="shared" si="4"/>
        <v>0</v>
      </c>
      <c r="V113" s="3">
        <f t="shared" si="5"/>
        <v>2</v>
      </c>
      <c r="W113" s="3">
        <f t="shared" si="6"/>
        <v>2</v>
      </c>
      <c r="X113" s="3" t="str">
        <f>IFERROR(__xludf.DUMMYFUNCTION("split(B113,"" "")"),"J.")</f>
        <v>J.</v>
      </c>
      <c r="Y113" s="3" t="str">
        <f>IFERROR(__xludf.DUMMYFUNCTION("""COMPUTED_VALUE"""),"Burrow")</f>
        <v>Burrow</v>
      </c>
      <c r="AA113" s="3">
        <v>1.0</v>
      </c>
      <c r="AB113" s="3">
        <f t="shared" si="7"/>
        <v>1</v>
      </c>
      <c r="AC113" s="3">
        <f t="shared" si="8"/>
        <v>0</v>
      </c>
      <c r="AD113" s="3">
        <f t="shared" si="9"/>
        <v>2.16</v>
      </c>
      <c r="AE113" s="3">
        <f t="shared" si="10"/>
        <v>-2</v>
      </c>
      <c r="AF113" s="3">
        <f t="shared" si="11"/>
        <v>-2</v>
      </c>
      <c r="AG113" s="3">
        <f t="shared" si="12"/>
        <v>-1</v>
      </c>
    </row>
    <row r="114">
      <c r="A114" s="1" t="s">
        <v>15</v>
      </c>
      <c r="B114" s="1" t="s">
        <v>318</v>
      </c>
      <c r="C114" s="1" t="s">
        <v>21</v>
      </c>
      <c r="D114" s="1" t="s">
        <v>67</v>
      </c>
      <c r="E114" s="1" t="s">
        <v>77</v>
      </c>
      <c r="F114" s="1" t="s">
        <v>576</v>
      </c>
      <c r="G114" s="1">
        <v>24.5</v>
      </c>
      <c r="H114" s="1" t="s">
        <v>60</v>
      </c>
      <c r="I114" s="1">
        <v>104.0</v>
      </c>
      <c r="J114" s="1">
        <v>0.0732039215686274</v>
      </c>
      <c r="K114" s="1" t="s">
        <v>61</v>
      </c>
      <c r="L114" s="1" t="s">
        <v>61</v>
      </c>
      <c r="M114" s="1" t="s">
        <v>62</v>
      </c>
      <c r="N114" s="1">
        <v>-134.0</v>
      </c>
      <c r="O114" s="1">
        <v>-0.136049572649572</v>
      </c>
      <c r="P114" s="1" t="s">
        <v>61</v>
      </c>
      <c r="Q114" s="1" t="s">
        <v>61</v>
      </c>
      <c r="R114" s="1">
        <f t="shared" si="1"/>
        <v>0.07320392157</v>
      </c>
      <c r="S114" s="1">
        <f t="shared" si="2"/>
        <v>104</v>
      </c>
      <c r="T114" s="1">
        <f t="shared" si="3"/>
        <v>2.04</v>
      </c>
      <c r="U114" s="1">
        <f t="shared" si="4"/>
        <v>1</v>
      </c>
      <c r="V114" s="3">
        <f t="shared" si="5"/>
        <v>2</v>
      </c>
      <c r="W114" s="3">
        <f t="shared" si="6"/>
        <v>2</v>
      </c>
      <c r="X114" s="3" t="str">
        <f>IFERROR(__xludf.DUMMYFUNCTION("split(B114,"" "")"),"J.")</f>
        <v>J.</v>
      </c>
      <c r="Y114" s="3" t="str">
        <f>IFERROR(__xludf.DUMMYFUNCTION("""COMPUTED_VALUE"""),"Burrow")</f>
        <v>Burrow</v>
      </c>
      <c r="AA114" s="3">
        <v>30.0</v>
      </c>
      <c r="AB114" s="3">
        <f t="shared" si="7"/>
        <v>1</v>
      </c>
      <c r="AC114" s="3">
        <f t="shared" si="8"/>
        <v>1</v>
      </c>
      <c r="AD114" s="3">
        <f t="shared" si="9"/>
        <v>2.08</v>
      </c>
      <c r="AE114" s="3">
        <f t="shared" si="10"/>
        <v>2.08</v>
      </c>
      <c r="AF114" s="3">
        <f t="shared" si="11"/>
        <v>2.08</v>
      </c>
      <c r="AG114" s="3">
        <f t="shared" si="12"/>
        <v>0.2244897959</v>
      </c>
    </row>
    <row r="115">
      <c r="A115" s="1" t="s">
        <v>12</v>
      </c>
      <c r="B115" s="1" t="s">
        <v>579</v>
      </c>
      <c r="C115" s="1" t="s">
        <v>20</v>
      </c>
      <c r="D115" s="1" t="s">
        <v>67</v>
      </c>
      <c r="E115" s="1" t="s">
        <v>77</v>
      </c>
      <c r="F115" s="1" t="s">
        <v>576</v>
      </c>
      <c r="G115" s="1">
        <v>2.5</v>
      </c>
      <c r="H115" s="1" t="s">
        <v>60</v>
      </c>
      <c r="I115" s="1">
        <v>113.0</v>
      </c>
      <c r="J115" s="1">
        <v>-0.118928411342722</v>
      </c>
      <c r="K115" s="1" t="s">
        <v>61</v>
      </c>
      <c r="L115" s="1" t="s">
        <v>61</v>
      </c>
      <c r="M115" s="1" t="s">
        <v>62</v>
      </c>
      <c r="N115" s="1">
        <v>-148.0</v>
      </c>
      <c r="O115" s="1">
        <v>0.0526637610322581</v>
      </c>
      <c r="P115" s="1" t="s">
        <v>61</v>
      </c>
      <c r="Q115" s="1" t="s">
        <v>61</v>
      </c>
      <c r="R115" s="1">
        <f t="shared" si="1"/>
        <v>0.05266376103</v>
      </c>
      <c r="S115" s="1">
        <f t="shared" si="2"/>
        <v>-148</v>
      </c>
      <c r="T115" s="1">
        <f t="shared" si="3"/>
        <v>1.675675676</v>
      </c>
      <c r="U115" s="1">
        <f t="shared" si="4"/>
        <v>0</v>
      </c>
      <c r="V115" s="3">
        <f t="shared" si="5"/>
        <v>2</v>
      </c>
      <c r="W115" s="3">
        <f t="shared" si="6"/>
        <v>3</v>
      </c>
      <c r="X115" s="3" t="str">
        <f>IFERROR(__xludf.DUMMYFUNCTION("split(B115,"" "")"),"E.")</f>
        <v>E.</v>
      </c>
      <c r="Y115" s="3" t="str">
        <f>IFERROR(__xludf.DUMMYFUNCTION("""COMPUTED_VALUE"""),"All")</f>
        <v>All</v>
      </c>
      <c r="AA115" s="3">
        <v>2.0</v>
      </c>
      <c r="AB115" s="3">
        <f t="shared" si="7"/>
        <v>0</v>
      </c>
      <c r="AC115" s="3">
        <f t="shared" si="8"/>
        <v>1</v>
      </c>
      <c r="AD115" s="3">
        <f t="shared" si="9"/>
        <v>1.351351351</v>
      </c>
      <c r="AE115" s="3">
        <f t="shared" si="10"/>
        <v>1.351351351</v>
      </c>
      <c r="AF115" s="3">
        <f t="shared" si="11"/>
        <v>2.027027027</v>
      </c>
      <c r="AG115" s="3">
        <f t="shared" si="12"/>
        <v>0.2</v>
      </c>
    </row>
    <row r="116">
      <c r="A116" s="1" t="s">
        <v>8</v>
      </c>
      <c r="B116" s="1" t="s">
        <v>318</v>
      </c>
      <c r="C116" s="1" t="s">
        <v>21</v>
      </c>
      <c r="D116" s="1" t="s">
        <v>67</v>
      </c>
      <c r="E116" s="1" t="s">
        <v>77</v>
      </c>
      <c r="F116" s="1" t="s">
        <v>576</v>
      </c>
      <c r="G116" s="1">
        <v>3.5</v>
      </c>
      <c r="H116" s="1" t="s">
        <v>60</v>
      </c>
      <c r="I116" s="1">
        <v>125.0</v>
      </c>
      <c r="J116" s="1">
        <v>-0.123794003239571</v>
      </c>
      <c r="K116" s="1" t="s">
        <v>61</v>
      </c>
      <c r="L116" s="1" t="s">
        <v>61</v>
      </c>
      <c r="M116" s="1" t="s">
        <v>62</v>
      </c>
      <c r="N116" s="1">
        <v>-168.0</v>
      </c>
      <c r="O116" s="1">
        <v>0.0524902484315168</v>
      </c>
      <c r="P116" s="1" t="s">
        <v>61</v>
      </c>
      <c r="Q116" s="1" t="s">
        <v>61</v>
      </c>
      <c r="R116" s="1">
        <f t="shared" si="1"/>
        <v>0.05249024843</v>
      </c>
      <c r="S116" s="1">
        <f t="shared" si="2"/>
        <v>-168</v>
      </c>
      <c r="T116" s="1">
        <f t="shared" si="3"/>
        <v>1.595238095</v>
      </c>
      <c r="U116" s="1">
        <f t="shared" si="4"/>
        <v>0</v>
      </c>
      <c r="V116" s="3">
        <f t="shared" si="5"/>
        <v>2</v>
      </c>
      <c r="W116" s="3">
        <f t="shared" si="6"/>
        <v>3</v>
      </c>
      <c r="X116" s="3" t="str">
        <f>IFERROR(__xludf.DUMMYFUNCTION("split(B116,"" "")"),"J.")</f>
        <v>J.</v>
      </c>
      <c r="Y116" s="3" t="str">
        <f>IFERROR(__xludf.DUMMYFUNCTION("""COMPUTED_VALUE"""),"Burrow")</f>
        <v>Burrow</v>
      </c>
      <c r="AA116" s="3">
        <v>2.0</v>
      </c>
      <c r="AB116" s="3">
        <f t="shared" si="7"/>
        <v>0</v>
      </c>
      <c r="AC116" s="3">
        <f t="shared" si="8"/>
        <v>1</v>
      </c>
      <c r="AD116" s="3">
        <f t="shared" si="9"/>
        <v>1.19047619</v>
      </c>
      <c r="AE116" s="3">
        <f t="shared" si="10"/>
        <v>1.19047619</v>
      </c>
      <c r="AF116" s="3">
        <f t="shared" si="11"/>
        <v>1.785714286</v>
      </c>
      <c r="AG116" s="3">
        <f t="shared" si="12"/>
        <v>0.4285714286</v>
      </c>
    </row>
    <row r="117">
      <c r="A117" s="1" t="s">
        <v>11</v>
      </c>
      <c r="B117" s="1" t="s">
        <v>527</v>
      </c>
      <c r="C117" s="1" t="s">
        <v>18</v>
      </c>
      <c r="D117" s="1" t="s">
        <v>67</v>
      </c>
      <c r="E117" s="1" t="s">
        <v>77</v>
      </c>
      <c r="F117" s="1" t="s">
        <v>576</v>
      </c>
      <c r="G117" s="1">
        <v>25.5</v>
      </c>
      <c r="H117" s="1" t="s">
        <v>60</v>
      </c>
      <c r="I117" s="1">
        <v>-113.0</v>
      </c>
      <c r="J117" s="1">
        <v>-0.103325487784929</v>
      </c>
      <c r="K117" s="1" t="s">
        <v>61</v>
      </c>
      <c r="L117" s="1" t="s">
        <v>61</v>
      </c>
      <c r="M117" s="1" t="s">
        <v>62</v>
      </c>
      <c r="N117" s="1">
        <v>-116.0</v>
      </c>
      <c r="O117" s="1">
        <v>0.0358164885273165</v>
      </c>
      <c r="P117" s="1" t="s">
        <v>61</v>
      </c>
      <c r="Q117" s="1" t="s">
        <v>61</v>
      </c>
      <c r="R117" s="1">
        <f t="shared" si="1"/>
        <v>0.03581648853</v>
      </c>
      <c r="S117" s="1">
        <f t="shared" si="2"/>
        <v>-116</v>
      </c>
      <c r="T117" s="1">
        <f t="shared" si="3"/>
        <v>1.862068966</v>
      </c>
      <c r="U117" s="1">
        <f t="shared" si="4"/>
        <v>0</v>
      </c>
      <c r="V117" s="3">
        <f t="shared" si="5"/>
        <v>1</v>
      </c>
      <c r="W117" s="3">
        <f t="shared" si="6"/>
        <v>2</v>
      </c>
      <c r="X117" s="3" t="str">
        <f>IFERROR(__xludf.DUMMYFUNCTION("split(B117,"" "")"),"A.")</f>
        <v>A.</v>
      </c>
      <c r="Y117" s="3" t="str">
        <f>IFERROR(__xludf.DUMMYFUNCTION("""COMPUTED_VALUE"""),"Iosivas")</f>
        <v>Iosivas</v>
      </c>
      <c r="AA117" s="3">
        <v>39.0</v>
      </c>
      <c r="AB117" s="3">
        <f t="shared" si="7"/>
        <v>1</v>
      </c>
      <c r="AC117" s="3">
        <f t="shared" si="8"/>
        <v>0</v>
      </c>
      <c r="AD117" s="3">
        <f t="shared" si="9"/>
        <v>0.8620689655</v>
      </c>
      <c r="AE117" s="3">
        <f t="shared" si="10"/>
        <v>-1</v>
      </c>
      <c r="AF117" s="3">
        <f t="shared" si="11"/>
        <v>-2</v>
      </c>
      <c r="AG117" s="3">
        <f t="shared" si="12"/>
        <v>-0.5294117647</v>
      </c>
    </row>
    <row r="118">
      <c r="A118" s="1" t="s">
        <v>10</v>
      </c>
      <c r="B118" s="1" t="s">
        <v>168</v>
      </c>
      <c r="C118" s="1" t="s">
        <v>19</v>
      </c>
      <c r="D118" s="1" t="s">
        <v>67</v>
      </c>
      <c r="E118" s="1" t="s">
        <v>77</v>
      </c>
      <c r="F118" s="1" t="s">
        <v>576</v>
      </c>
      <c r="G118" s="1">
        <v>40.5</v>
      </c>
      <c r="H118" s="1" t="s">
        <v>60</v>
      </c>
      <c r="I118" s="1">
        <v>-110.0</v>
      </c>
      <c r="J118" s="1">
        <v>-0.0980470438053048</v>
      </c>
      <c r="K118" s="1" t="s">
        <v>61</v>
      </c>
      <c r="L118" s="1" t="s">
        <v>61</v>
      </c>
      <c r="M118" s="1" t="s">
        <v>62</v>
      </c>
      <c r="N118" s="1">
        <v>-119.0</v>
      </c>
      <c r="O118" s="1">
        <v>0.0308632178763272</v>
      </c>
      <c r="P118" s="1" t="s">
        <v>61</v>
      </c>
      <c r="Q118" s="1" t="s">
        <v>61</v>
      </c>
      <c r="R118" s="1">
        <f t="shared" si="1"/>
        <v>0.03086321788</v>
      </c>
      <c r="S118" s="1">
        <f t="shared" si="2"/>
        <v>-119</v>
      </c>
      <c r="T118" s="1">
        <f t="shared" si="3"/>
        <v>1.840336134</v>
      </c>
      <c r="U118" s="1">
        <f t="shared" si="4"/>
        <v>0</v>
      </c>
      <c r="V118" s="3">
        <f t="shared" si="5"/>
        <v>1</v>
      </c>
      <c r="W118" s="3">
        <f t="shared" si="6"/>
        <v>3</v>
      </c>
      <c r="X118" s="3" t="str">
        <f>IFERROR(__xludf.DUMMYFUNCTION("split(B118,"" "")"),"Z.")</f>
        <v>Z.</v>
      </c>
      <c r="Y118" s="3" t="str">
        <f>IFERROR(__xludf.DUMMYFUNCTION("""COMPUTED_VALUE"""),"Moss")</f>
        <v>Moss</v>
      </c>
      <c r="AA118" s="3">
        <v>24.0</v>
      </c>
      <c r="AB118" s="3">
        <f t="shared" si="7"/>
        <v>0</v>
      </c>
      <c r="AC118" s="3">
        <f t="shared" si="8"/>
        <v>1</v>
      </c>
      <c r="AD118" s="3">
        <f t="shared" si="9"/>
        <v>0.8403361345</v>
      </c>
      <c r="AE118" s="3">
        <f t="shared" si="10"/>
        <v>0.8403361345</v>
      </c>
      <c r="AF118" s="3">
        <f t="shared" si="11"/>
        <v>2.521008403</v>
      </c>
      <c r="AG118" s="3">
        <f t="shared" si="12"/>
        <v>0.4074074074</v>
      </c>
    </row>
    <row r="119">
      <c r="A119" s="1" t="s">
        <v>11</v>
      </c>
      <c r="B119" s="1" t="s">
        <v>504</v>
      </c>
      <c r="C119" s="1" t="s">
        <v>20</v>
      </c>
      <c r="D119" s="1" t="s">
        <v>67</v>
      </c>
      <c r="E119" s="1" t="s">
        <v>77</v>
      </c>
      <c r="F119" s="1" t="s">
        <v>576</v>
      </c>
      <c r="G119" s="1">
        <v>25.5</v>
      </c>
      <c r="H119" s="1" t="s">
        <v>60</v>
      </c>
      <c r="I119" s="1">
        <v>-116.0</v>
      </c>
      <c r="J119" s="1">
        <v>-0.0955780095119723</v>
      </c>
      <c r="K119" s="1" t="s">
        <v>61</v>
      </c>
      <c r="L119" s="1" t="s">
        <v>61</v>
      </c>
      <c r="M119" s="1" t="s">
        <v>62</v>
      </c>
      <c r="N119" s="1">
        <v>-116.0</v>
      </c>
      <c r="O119" s="1">
        <v>0.0215744910338877</v>
      </c>
      <c r="P119" s="1" t="s">
        <v>61</v>
      </c>
      <c r="Q119" s="1" t="s">
        <v>61</v>
      </c>
      <c r="R119" s="1">
        <f t="shared" si="1"/>
        <v>0.02157449103</v>
      </c>
      <c r="S119" s="1">
        <f t="shared" si="2"/>
        <v>-116</v>
      </c>
      <c r="T119" s="1">
        <f t="shared" si="3"/>
        <v>1.862068966</v>
      </c>
      <c r="U119" s="1">
        <f t="shared" si="4"/>
        <v>0</v>
      </c>
      <c r="V119" s="3">
        <f t="shared" si="5"/>
        <v>1</v>
      </c>
      <c r="W119" s="3">
        <f t="shared" si="6"/>
        <v>2</v>
      </c>
      <c r="X119" s="3" t="str">
        <f>IFERROR(__xludf.DUMMYFUNCTION("split(B119,"" "")"),"M.")</f>
        <v>M.</v>
      </c>
      <c r="Y119" s="3" t="str">
        <f>IFERROR(__xludf.DUMMYFUNCTION("""COMPUTED_VALUE"""),"Gesicki")</f>
        <v>Gesicki</v>
      </c>
      <c r="AA119" s="3">
        <v>31.0</v>
      </c>
      <c r="AB119" s="3">
        <f t="shared" si="7"/>
        <v>1</v>
      </c>
      <c r="AC119" s="3">
        <f t="shared" si="8"/>
        <v>0</v>
      </c>
      <c r="AD119" s="3">
        <f t="shared" si="9"/>
        <v>0.8620689655</v>
      </c>
      <c r="AE119" s="3">
        <f t="shared" si="10"/>
        <v>-1</v>
      </c>
      <c r="AF119" s="3">
        <f t="shared" si="11"/>
        <v>-2</v>
      </c>
      <c r="AG119" s="3">
        <f t="shared" si="12"/>
        <v>-0.2156862745</v>
      </c>
    </row>
    <row r="120">
      <c r="A120" s="1" t="s">
        <v>10</v>
      </c>
      <c r="B120" s="1" t="s">
        <v>293</v>
      </c>
      <c r="C120" s="1" t="s">
        <v>19</v>
      </c>
      <c r="D120" s="1" t="s">
        <v>67</v>
      </c>
      <c r="E120" s="1" t="s">
        <v>77</v>
      </c>
      <c r="F120" s="1" t="s">
        <v>576</v>
      </c>
      <c r="G120" s="1">
        <v>32.5</v>
      </c>
      <c r="H120" s="1" t="s">
        <v>60</v>
      </c>
      <c r="I120" s="1">
        <v>-110.0</v>
      </c>
      <c r="J120" s="1">
        <v>-0.0759940525477715</v>
      </c>
      <c r="K120" s="1" t="s">
        <v>61</v>
      </c>
      <c r="L120" s="1" t="s">
        <v>61</v>
      </c>
      <c r="M120" s="1" t="s">
        <v>62</v>
      </c>
      <c r="N120" s="1">
        <v>-118.0</v>
      </c>
      <c r="O120" s="1">
        <v>0.010966358813476</v>
      </c>
      <c r="P120" s="1" t="s">
        <v>61</v>
      </c>
      <c r="Q120" s="1" t="s">
        <v>61</v>
      </c>
      <c r="R120" s="1">
        <f t="shared" si="1"/>
        <v>0.01096635881</v>
      </c>
      <c r="S120" s="1">
        <f t="shared" si="2"/>
        <v>-118</v>
      </c>
      <c r="T120" s="1">
        <f t="shared" si="3"/>
        <v>1.847457627</v>
      </c>
      <c r="U120" s="1">
        <f t="shared" si="4"/>
        <v>0</v>
      </c>
      <c r="V120" s="3">
        <f t="shared" si="5"/>
        <v>1</v>
      </c>
      <c r="W120" s="3">
        <f t="shared" si="6"/>
        <v>3</v>
      </c>
      <c r="X120" s="3" t="str">
        <f>IFERROR(__xludf.DUMMYFUNCTION("split(B120,"" "")"),"C.")</f>
        <v>C.</v>
      </c>
      <c r="Y120" s="3" t="str">
        <f>IFERROR(__xludf.DUMMYFUNCTION("""COMPUTED_VALUE"""),"Brown")</f>
        <v>Brown</v>
      </c>
      <c r="AA120" s="3">
        <v>46.0</v>
      </c>
      <c r="AB120" s="3">
        <f t="shared" si="7"/>
        <v>1</v>
      </c>
      <c r="AC120" s="3">
        <f t="shared" si="8"/>
        <v>0</v>
      </c>
      <c r="AD120" s="3">
        <f t="shared" si="9"/>
        <v>0.8474576271</v>
      </c>
      <c r="AE120" s="3">
        <f t="shared" si="10"/>
        <v>-1</v>
      </c>
      <c r="AF120" s="3">
        <f t="shared" si="11"/>
        <v>-3</v>
      </c>
      <c r="AG120" s="3">
        <f t="shared" si="12"/>
        <v>-0.4153846154</v>
      </c>
    </row>
    <row r="121">
      <c r="A121" s="1" t="s">
        <v>14</v>
      </c>
      <c r="B121" s="1" t="s">
        <v>318</v>
      </c>
      <c r="C121" s="1" t="s">
        <v>21</v>
      </c>
      <c r="D121" s="1" t="s">
        <v>67</v>
      </c>
      <c r="E121" s="1" t="s">
        <v>77</v>
      </c>
      <c r="F121" s="1" t="s">
        <v>576</v>
      </c>
      <c r="G121" s="1">
        <v>1.5</v>
      </c>
      <c r="H121" s="1" t="s">
        <v>60</v>
      </c>
      <c r="I121" s="1">
        <v>-116.0</v>
      </c>
      <c r="J121" s="1">
        <v>-0.075137037037037</v>
      </c>
      <c r="K121" s="1" t="s">
        <v>61</v>
      </c>
      <c r="L121" s="1" t="s">
        <v>61</v>
      </c>
      <c r="M121" s="1" t="s">
        <v>62</v>
      </c>
      <c r="N121" s="1">
        <v>-112.0</v>
      </c>
      <c r="O121" s="1">
        <v>0.00979811320754719</v>
      </c>
      <c r="P121" s="1" t="s">
        <v>61</v>
      </c>
      <c r="Q121" s="1" t="s">
        <v>61</v>
      </c>
      <c r="R121" s="1">
        <f t="shared" si="1"/>
        <v>0.009798113208</v>
      </c>
      <c r="S121" s="1">
        <f t="shared" si="2"/>
        <v>-112</v>
      </c>
      <c r="T121" s="1">
        <f t="shared" si="3"/>
        <v>1.892857143</v>
      </c>
      <c r="U121" s="1">
        <f t="shared" si="4"/>
        <v>0</v>
      </c>
      <c r="V121" s="3">
        <f t="shared" si="5"/>
        <v>1</v>
      </c>
      <c r="W121" s="3">
        <f t="shared" si="6"/>
        <v>2</v>
      </c>
      <c r="X121" s="3" t="str">
        <f>IFERROR(__xludf.DUMMYFUNCTION("split(B121,"" "")"),"J.")</f>
        <v>J.</v>
      </c>
      <c r="Y121" s="3" t="str">
        <f>IFERROR(__xludf.DUMMYFUNCTION("""COMPUTED_VALUE"""),"Burrow")</f>
        <v>Burrow</v>
      </c>
      <c r="AA121" s="3">
        <v>5.0</v>
      </c>
      <c r="AB121" s="3">
        <f t="shared" si="7"/>
        <v>1</v>
      </c>
      <c r="AC121" s="3">
        <f t="shared" si="8"/>
        <v>0</v>
      </c>
      <c r="AD121" s="3">
        <f t="shared" si="9"/>
        <v>0.8928571429</v>
      </c>
      <c r="AE121" s="3">
        <f t="shared" si="10"/>
        <v>-1</v>
      </c>
      <c r="AF121" s="3">
        <f t="shared" si="11"/>
        <v>-2</v>
      </c>
      <c r="AG121" s="3">
        <f t="shared" si="12"/>
        <v>-2.333333333</v>
      </c>
    </row>
    <row r="122">
      <c r="A122" s="1" t="s">
        <v>11</v>
      </c>
      <c r="B122" s="1" t="s">
        <v>529</v>
      </c>
      <c r="C122" s="1" t="s">
        <v>18</v>
      </c>
      <c r="D122" s="1" t="s">
        <v>67</v>
      </c>
      <c r="E122" s="1" t="s">
        <v>77</v>
      </c>
      <c r="F122" s="1" t="s">
        <v>576</v>
      </c>
      <c r="G122" s="1">
        <v>50.5</v>
      </c>
      <c r="H122" s="1" t="s">
        <v>60</v>
      </c>
      <c r="I122" s="1">
        <v>-116.0</v>
      </c>
      <c r="J122" s="1">
        <v>-0.0674981683855741</v>
      </c>
      <c r="K122" s="1" t="s">
        <v>61</v>
      </c>
      <c r="L122" s="1" t="s">
        <v>61</v>
      </c>
      <c r="M122" s="1" t="s">
        <v>62</v>
      </c>
      <c r="N122" s="1">
        <v>-111.0</v>
      </c>
      <c r="O122" s="1">
        <v>0.00437555532042655</v>
      </c>
      <c r="P122" s="1" t="s">
        <v>61</v>
      </c>
      <c r="Q122" s="1" t="s">
        <v>61</v>
      </c>
      <c r="R122" s="1">
        <f t="shared" si="1"/>
        <v>0.00437555532</v>
      </c>
      <c r="S122" s="1">
        <f t="shared" si="2"/>
        <v>-111</v>
      </c>
      <c r="T122" s="1">
        <f t="shared" si="3"/>
        <v>1.900900901</v>
      </c>
      <c r="U122" s="1">
        <f t="shared" si="4"/>
        <v>0</v>
      </c>
      <c r="V122" s="3">
        <f t="shared" si="5"/>
        <v>1</v>
      </c>
      <c r="W122" s="3">
        <f t="shared" si="6"/>
        <v>2</v>
      </c>
      <c r="X122" s="3" t="str">
        <f>IFERROR(__xludf.DUMMYFUNCTION("split(B122,"" "")"),"T.")</f>
        <v>T.</v>
      </c>
      <c r="Y122" s="3" t="str">
        <f>IFERROR(__xludf.DUMMYFUNCTION("""COMPUTED_VALUE"""),"Higgins")</f>
        <v>Higgins</v>
      </c>
      <c r="AA122" s="3">
        <v>83.0</v>
      </c>
      <c r="AB122" s="3">
        <f t="shared" si="7"/>
        <v>1</v>
      </c>
      <c r="AC122" s="3">
        <f t="shared" si="8"/>
        <v>0</v>
      </c>
      <c r="AD122" s="3">
        <f t="shared" si="9"/>
        <v>0.9009009009</v>
      </c>
      <c r="AE122" s="3">
        <f t="shared" si="10"/>
        <v>-1</v>
      </c>
      <c r="AF122" s="3">
        <f t="shared" si="11"/>
        <v>-2</v>
      </c>
      <c r="AG122" s="3">
        <f t="shared" si="12"/>
        <v>-0.6435643564</v>
      </c>
    </row>
    <row r="123">
      <c r="A123" s="1" t="s">
        <v>11</v>
      </c>
      <c r="B123" s="1" t="s">
        <v>389</v>
      </c>
      <c r="C123" s="1" t="s">
        <v>18</v>
      </c>
      <c r="D123" s="1" t="s">
        <v>67</v>
      </c>
      <c r="E123" s="1" t="s">
        <v>77</v>
      </c>
      <c r="F123" s="1" t="s">
        <v>576</v>
      </c>
      <c r="G123" s="1">
        <v>70.5</v>
      </c>
      <c r="H123" s="1" t="s">
        <v>60</v>
      </c>
      <c r="I123" s="1">
        <v>-113.0</v>
      </c>
      <c r="J123" s="1">
        <v>0.00279680334648413</v>
      </c>
      <c r="K123" s="1" t="s">
        <v>61</v>
      </c>
      <c r="L123" s="1" t="s">
        <v>61</v>
      </c>
      <c r="M123" s="1" t="s">
        <v>62</v>
      </c>
      <c r="N123" s="1">
        <v>-114.0</v>
      </c>
      <c r="O123" s="1">
        <v>-0.0659996272868646</v>
      </c>
      <c r="P123" s="1" t="s">
        <v>61</v>
      </c>
      <c r="Q123" s="1" t="s">
        <v>61</v>
      </c>
      <c r="R123" s="1">
        <f t="shared" si="1"/>
        <v>0.002796803346</v>
      </c>
      <c r="S123" s="1">
        <f t="shared" si="2"/>
        <v>-113</v>
      </c>
      <c r="T123" s="1">
        <f t="shared" si="3"/>
        <v>1.884955752</v>
      </c>
      <c r="U123" s="1">
        <f t="shared" si="4"/>
        <v>1</v>
      </c>
      <c r="V123" s="3">
        <f t="shared" si="5"/>
        <v>1</v>
      </c>
      <c r="W123" s="3">
        <f t="shared" si="6"/>
        <v>2</v>
      </c>
      <c r="X123" s="3" t="str">
        <f>IFERROR(__xludf.DUMMYFUNCTION("split(B123,"" "")"),"J.")</f>
        <v>J.</v>
      </c>
      <c r="Y123" s="3" t="str">
        <f>IFERROR(__xludf.DUMMYFUNCTION("""COMPUTED_VALUE"""),"Chase")</f>
        <v>Chase</v>
      </c>
      <c r="AA123" s="3">
        <v>193.0</v>
      </c>
      <c r="AB123" s="3">
        <f t="shared" si="7"/>
        <v>1</v>
      </c>
      <c r="AC123" s="3">
        <f t="shared" si="8"/>
        <v>1</v>
      </c>
      <c r="AD123" s="3">
        <f t="shared" si="9"/>
        <v>0.8849557522</v>
      </c>
      <c r="AE123" s="3">
        <f t="shared" si="10"/>
        <v>0.8849557522</v>
      </c>
      <c r="AF123" s="3">
        <f t="shared" si="11"/>
        <v>1.769911504</v>
      </c>
      <c r="AG123" s="3">
        <f t="shared" si="12"/>
        <v>1.737588652</v>
      </c>
    </row>
    <row r="124">
      <c r="A124" s="1" t="s">
        <v>10</v>
      </c>
      <c r="B124" s="1" t="s">
        <v>414</v>
      </c>
      <c r="C124" s="1" t="s">
        <v>18</v>
      </c>
      <c r="D124" s="1" t="s">
        <v>89</v>
      </c>
      <c r="E124" s="1" t="s">
        <v>114</v>
      </c>
      <c r="F124" s="1" t="s">
        <v>576</v>
      </c>
      <c r="G124" s="1">
        <v>0.5</v>
      </c>
      <c r="H124" s="1" t="s">
        <v>60</v>
      </c>
      <c r="I124" s="1">
        <v>911.0</v>
      </c>
      <c r="J124" s="1">
        <v>0.52188886850166</v>
      </c>
      <c r="K124" s="1" t="s">
        <v>61</v>
      </c>
      <c r="L124" s="1" t="s">
        <v>61</v>
      </c>
      <c r="M124" s="1" t="s">
        <v>62</v>
      </c>
      <c r="N124" s="1">
        <v>-2750.0</v>
      </c>
      <c r="O124" s="1">
        <v>-0.585677761723859</v>
      </c>
      <c r="P124" s="1" t="s">
        <v>61</v>
      </c>
      <c r="Q124" s="1" t="s">
        <v>61</v>
      </c>
      <c r="R124" s="1">
        <f t="shared" si="1"/>
        <v>0.5218888685</v>
      </c>
      <c r="S124" s="1">
        <f t="shared" si="2"/>
        <v>911</v>
      </c>
      <c r="T124" s="1">
        <f t="shared" si="3"/>
        <v>10.11</v>
      </c>
      <c r="U124" s="1">
        <f t="shared" si="4"/>
        <v>1</v>
      </c>
      <c r="V124" s="3">
        <f t="shared" si="5"/>
        <v>3</v>
      </c>
      <c r="W124" s="3">
        <f t="shared" si="6"/>
        <v>1</v>
      </c>
      <c r="X124" s="3" t="str">
        <f>IFERROR(__xludf.DUMMYFUNCTION("split(B124,"" "")"),"E.")</f>
        <v>E.</v>
      </c>
      <c r="Y124" s="3" t="str">
        <f>IFERROR(__xludf.DUMMYFUNCTION("""COMPUTED_VALUE"""),"Moore")</f>
        <v>Moore</v>
      </c>
      <c r="AA124" s="3">
        <v>0.0</v>
      </c>
      <c r="AB124" s="3">
        <f t="shared" si="7"/>
        <v>0</v>
      </c>
      <c r="AC124" s="3">
        <f t="shared" si="8"/>
        <v>0</v>
      </c>
      <c r="AD124" s="3">
        <f t="shared" si="9"/>
        <v>27.33</v>
      </c>
      <c r="AE124" s="3">
        <f t="shared" si="10"/>
        <v>0</v>
      </c>
      <c r="AF124" s="3">
        <f t="shared" si="11"/>
        <v>-1</v>
      </c>
      <c r="AG124" s="3">
        <f t="shared" si="12"/>
        <v>-1</v>
      </c>
    </row>
    <row r="125">
      <c r="A125" s="1" t="s">
        <v>12</v>
      </c>
      <c r="B125" s="1" t="s">
        <v>324</v>
      </c>
      <c r="C125" s="1" t="s">
        <v>19</v>
      </c>
      <c r="D125" s="1" t="s">
        <v>89</v>
      </c>
      <c r="E125" s="1" t="s">
        <v>114</v>
      </c>
      <c r="F125" s="1" t="s">
        <v>576</v>
      </c>
      <c r="G125" s="1">
        <v>2.5</v>
      </c>
      <c r="H125" s="1" t="s">
        <v>60</v>
      </c>
      <c r="I125" s="1">
        <v>-171.0</v>
      </c>
      <c r="J125" s="1">
        <v>-0.27739479608856</v>
      </c>
      <c r="K125" s="1" t="s">
        <v>61</v>
      </c>
      <c r="L125" s="1" t="s">
        <v>61</v>
      </c>
      <c r="M125" s="1" t="s">
        <v>62</v>
      </c>
      <c r="N125" s="1">
        <v>130.0</v>
      </c>
      <c r="O125" s="1">
        <v>0.211615607565217</v>
      </c>
      <c r="P125" s="1" t="s">
        <v>61</v>
      </c>
      <c r="Q125" s="1" t="s">
        <v>61</v>
      </c>
      <c r="R125" s="1">
        <f t="shared" si="1"/>
        <v>0.2116156076</v>
      </c>
      <c r="S125" s="1">
        <f t="shared" si="2"/>
        <v>130</v>
      </c>
      <c r="T125" s="1">
        <f t="shared" si="3"/>
        <v>2.3</v>
      </c>
      <c r="U125" s="1">
        <f t="shared" si="4"/>
        <v>0</v>
      </c>
      <c r="V125" s="3">
        <f t="shared" si="5"/>
        <v>3</v>
      </c>
      <c r="W125" s="3">
        <f t="shared" si="6"/>
        <v>1</v>
      </c>
      <c r="X125" s="3" t="str">
        <f>IFERROR(__xludf.DUMMYFUNCTION("split(B125,"" "")"),"J.")</f>
        <v>J.</v>
      </c>
      <c r="Y125" s="3" t="str">
        <f>IFERROR(__xludf.DUMMYFUNCTION("""COMPUTED_VALUE"""),"Ford")</f>
        <v>Ford</v>
      </c>
      <c r="AA125" s="3">
        <v>3.0</v>
      </c>
      <c r="AB125" s="3">
        <f t="shared" si="7"/>
        <v>1</v>
      </c>
      <c r="AC125" s="3">
        <f t="shared" si="8"/>
        <v>0</v>
      </c>
      <c r="AD125" s="3">
        <f t="shared" si="9"/>
        <v>3.9</v>
      </c>
      <c r="AE125" s="3">
        <f t="shared" si="10"/>
        <v>-3</v>
      </c>
      <c r="AF125" s="3">
        <f t="shared" si="11"/>
        <v>-1</v>
      </c>
      <c r="AG125" s="3">
        <f t="shared" si="12"/>
        <v>-0.2</v>
      </c>
    </row>
    <row r="126">
      <c r="A126" s="1" t="s">
        <v>8</v>
      </c>
      <c r="B126" s="1" t="s">
        <v>462</v>
      </c>
      <c r="C126" s="1" t="s">
        <v>21</v>
      </c>
      <c r="D126" s="1" t="s">
        <v>89</v>
      </c>
      <c r="E126" s="1" t="s">
        <v>114</v>
      </c>
      <c r="F126" s="1" t="s">
        <v>576</v>
      </c>
      <c r="G126" s="1">
        <v>4.5</v>
      </c>
      <c r="H126" s="1" t="s">
        <v>60</v>
      </c>
      <c r="I126" s="1">
        <v>-153.0</v>
      </c>
      <c r="J126" s="1">
        <v>-0.251475426298777</v>
      </c>
      <c r="K126" s="1" t="s">
        <v>61</v>
      </c>
      <c r="L126" s="1" t="s">
        <v>61</v>
      </c>
      <c r="M126" s="1" t="s">
        <v>62</v>
      </c>
      <c r="N126" s="1">
        <v>114.0</v>
      </c>
      <c r="O126" s="1">
        <v>0.179448518007433</v>
      </c>
      <c r="P126" s="1" t="s">
        <v>61</v>
      </c>
      <c r="Q126" s="1" t="s">
        <v>61</v>
      </c>
      <c r="R126" s="1">
        <f t="shared" si="1"/>
        <v>0.179448518</v>
      </c>
      <c r="S126" s="1">
        <f t="shared" si="2"/>
        <v>114</v>
      </c>
      <c r="T126" s="1">
        <f t="shared" si="3"/>
        <v>2.14</v>
      </c>
      <c r="U126" s="1">
        <f t="shared" si="4"/>
        <v>0</v>
      </c>
      <c r="V126" s="3">
        <f t="shared" si="5"/>
        <v>3</v>
      </c>
      <c r="W126" s="3">
        <f t="shared" si="6"/>
        <v>1</v>
      </c>
      <c r="X126" s="3" t="str">
        <f>IFERROR(__xludf.DUMMYFUNCTION("split(B126,"" "")"),"D.")</f>
        <v>D.</v>
      </c>
      <c r="Y126" s="3" t="str">
        <f>IFERROR(__xludf.DUMMYFUNCTION("""COMPUTED_VALUE"""),"Watson")</f>
        <v>Watson</v>
      </c>
      <c r="AA126" s="3">
        <v>3.0</v>
      </c>
      <c r="AB126" s="3">
        <f t="shared" si="7"/>
        <v>0</v>
      </c>
      <c r="AC126" s="3">
        <f t="shared" si="8"/>
        <v>1</v>
      </c>
      <c r="AD126" s="3">
        <f t="shared" si="9"/>
        <v>3.42</v>
      </c>
      <c r="AE126" s="3">
        <f t="shared" si="10"/>
        <v>3.42</v>
      </c>
      <c r="AF126" s="3">
        <f t="shared" si="11"/>
        <v>1.14</v>
      </c>
      <c r="AG126" s="3">
        <f t="shared" si="12"/>
        <v>0.3333333333</v>
      </c>
    </row>
    <row r="127">
      <c r="A127" s="1" t="s">
        <v>12</v>
      </c>
      <c r="B127" s="1" t="s">
        <v>414</v>
      </c>
      <c r="C127" s="1" t="s">
        <v>18</v>
      </c>
      <c r="D127" s="1" t="s">
        <v>89</v>
      </c>
      <c r="E127" s="1" t="s">
        <v>114</v>
      </c>
      <c r="F127" s="1" t="s">
        <v>576</v>
      </c>
      <c r="G127" s="1">
        <v>2.5</v>
      </c>
      <c r="H127" s="1" t="s">
        <v>60</v>
      </c>
      <c r="I127" s="1">
        <v>-118.0</v>
      </c>
      <c r="J127" s="1">
        <v>-0.231879016880733</v>
      </c>
      <c r="K127" s="1" t="s">
        <v>61</v>
      </c>
      <c r="L127" s="1" t="s">
        <v>61</v>
      </c>
      <c r="M127" s="1" t="s">
        <v>62</v>
      </c>
      <c r="N127" s="1">
        <v>-112.0</v>
      </c>
      <c r="O127" s="1">
        <v>0.16229190925283</v>
      </c>
      <c r="P127" s="1" t="s">
        <v>61</v>
      </c>
      <c r="Q127" s="1" t="s">
        <v>61</v>
      </c>
      <c r="R127" s="1">
        <f t="shared" si="1"/>
        <v>0.1622919093</v>
      </c>
      <c r="S127" s="1">
        <f t="shared" si="2"/>
        <v>-112</v>
      </c>
      <c r="T127" s="1">
        <f t="shared" si="3"/>
        <v>1.892857143</v>
      </c>
      <c r="U127" s="1">
        <f t="shared" si="4"/>
        <v>0</v>
      </c>
      <c r="V127" s="3">
        <f t="shared" si="5"/>
        <v>3</v>
      </c>
      <c r="W127" s="3">
        <f t="shared" si="6"/>
        <v>2</v>
      </c>
      <c r="X127" s="3" t="str">
        <f>IFERROR(__xludf.DUMMYFUNCTION("split(B127,"" "")"),"E.")</f>
        <v>E.</v>
      </c>
      <c r="Y127" s="3" t="str">
        <f>IFERROR(__xludf.DUMMYFUNCTION("""COMPUTED_VALUE"""),"Moore")</f>
        <v>Moore</v>
      </c>
      <c r="AA127" s="3">
        <v>3.0</v>
      </c>
      <c r="AB127" s="3">
        <f t="shared" si="7"/>
        <v>1</v>
      </c>
      <c r="AC127" s="3">
        <f t="shared" si="8"/>
        <v>0</v>
      </c>
      <c r="AD127" s="3">
        <f t="shared" si="9"/>
        <v>2.678571429</v>
      </c>
      <c r="AE127" s="3">
        <f t="shared" si="10"/>
        <v>-3</v>
      </c>
      <c r="AF127" s="3">
        <f t="shared" si="11"/>
        <v>-2</v>
      </c>
      <c r="AG127" s="3">
        <f t="shared" si="12"/>
        <v>-0.2</v>
      </c>
    </row>
    <row r="128">
      <c r="A128" s="1" t="s">
        <v>17</v>
      </c>
      <c r="B128" s="1" t="s">
        <v>462</v>
      </c>
      <c r="C128" s="1" t="s">
        <v>21</v>
      </c>
      <c r="D128" s="1" t="s">
        <v>89</v>
      </c>
      <c r="E128" s="1" t="s">
        <v>114</v>
      </c>
      <c r="F128" s="1" t="s">
        <v>576</v>
      </c>
      <c r="G128" s="1">
        <v>0.5</v>
      </c>
      <c r="H128" s="1" t="s">
        <v>60</v>
      </c>
      <c r="I128" s="1">
        <v>-153.0</v>
      </c>
      <c r="J128" s="1">
        <v>-0.162643083003952</v>
      </c>
      <c r="K128" s="1" t="s">
        <v>61</v>
      </c>
      <c r="L128" s="1" t="s">
        <v>61</v>
      </c>
      <c r="M128" s="1" t="s">
        <v>62</v>
      </c>
      <c r="N128" s="1">
        <v>116.0</v>
      </c>
      <c r="O128" s="1">
        <v>0.0949370370370371</v>
      </c>
      <c r="P128" s="1" t="s">
        <v>61</v>
      </c>
      <c r="Q128" s="1" t="s">
        <v>61</v>
      </c>
      <c r="R128" s="1">
        <f t="shared" si="1"/>
        <v>0.09493703704</v>
      </c>
      <c r="S128" s="1">
        <f t="shared" si="2"/>
        <v>116</v>
      </c>
      <c r="T128" s="1">
        <f t="shared" si="3"/>
        <v>2.16</v>
      </c>
      <c r="U128" s="1">
        <f t="shared" si="4"/>
        <v>0</v>
      </c>
      <c r="V128" s="3">
        <f t="shared" si="5"/>
        <v>2</v>
      </c>
      <c r="W128" s="3">
        <f t="shared" si="6"/>
        <v>1</v>
      </c>
      <c r="X128" s="3" t="str">
        <f>IFERROR(__xludf.DUMMYFUNCTION("split(B128,"" "")"),"D.")</f>
        <v>D.</v>
      </c>
      <c r="Y128" s="3" t="str">
        <f>IFERROR(__xludf.DUMMYFUNCTION("""COMPUTED_VALUE"""),"Watson")</f>
        <v>Watson</v>
      </c>
      <c r="AA128" s="3">
        <v>0.0</v>
      </c>
      <c r="AB128" s="3">
        <f t="shared" si="7"/>
        <v>0</v>
      </c>
      <c r="AC128" s="3">
        <f t="shared" si="8"/>
        <v>1</v>
      </c>
      <c r="AD128" s="3">
        <f t="shared" si="9"/>
        <v>2.32</v>
      </c>
      <c r="AE128" s="3">
        <f t="shared" si="10"/>
        <v>2.32</v>
      </c>
      <c r="AF128" s="3">
        <f t="shared" si="11"/>
        <v>1.16</v>
      </c>
      <c r="AG128" s="3">
        <f t="shared" si="12"/>
        <v>1</v>
      </c>
    </row>
    <row r="129">
      <c r="A129" s="1" t="s">
        <v>8</v>
      </c>
      <c r="B129" s="1" t="s">
        <v>324</v>
      </c>
      <c r="C129" s="1" t="s">
        <v>19</v>
      </c>
      <c r="D129" s="1" t="s">
        <v>89</v>
      </c>
      <c r="E129" s="1" t="s">
        <v>114</v>
      </c>
      <c r="F129" s="1" t="s">
        <v>576</v>
      </c>
      <c r="G129" s="1">
        <v>11.5</v>
      </c>
      <c r="H129" s="1" t="s">
        <v>60</v>
      </c>
      <c r="I129" s="1">
        <v>-128.0</v>
      </c>
      <c r="J129" s="1">
        <v>-0.148147112723333</v>
      </c>
      <c r="K129" s="1" t="s">
        <v>61</v>
      </c>
      <c r="L129" s="1" t="s">
        <v>61</v>
      </c>
      <c r="M129" s="1" t="s">
        <v>62</v>
      </c>
      <c r="N129" s="1">
        <v>-104.0</v>
      </c>
      <c r="O129" s="1">
        <v>0.0769467616125333</v>
      </c>
      <c r="P129" s="1" t="s">
        <v>61</v>
      </c>
      <c r="Q129" s="1" t="s">
        <v>61</v>
      </c>
      <c r="R129" s="1">
        <f t="shared" si="1"/>
        <v>0.07694676161</v>
      </c>
      <c r="S129" s="1">
        <f t="shared" si="2"/>
        <v>-104</v>
      </c>
      <c r="T129" s="1">
        <f t="shared" si="3"/>
        <v>1.961538462</v>
      </c>
      <c r="U129" s="1">
        <f t="shared" si="4"/>
        <v>0</v>
      </c>
      <c r="V129" s="3">
        <f t="shared" si="5"/>
        <v>2</v>
      </c>
      <c r="W129" s="3">
        <f t="shared" si="6"/>
        <v>2</v>
      </c>
      <c r="X129" s="3" t="str">
        <f>IFERROR(__xludf.DUMMYFUNCTION("split(B129,"" "")"),"J.")</f>
        <v>J.</v>
      </c>
      <c r="Y129" s="3" t="str">
        <f>IFERROR(__xludf.DUMMYFUNCTION("""COMPUTED_VALUE"""),"Ford")</f>
        <v>Ford</v>
      </c>
      <c r="AA129" s="3">
        <v>9.0</v>
      </c>
      <c r="AB129" s="3">
        <f t="shared" si="7"/>
        <v>0</v>
      </c>
      <c r="AC129" s="3">
        <f t="shared" si="8"/>
        <v>1</v>
      </c>
      <c r="AD129" s="3">
        <f t="shared" si="9"/>
        <v>1.923076923</v>
      </c>
      <c r="AE129" s="3">
        <f t="shared" si="10"/>
        <v>1.923076923</v>
      </c>
      <c r="AF129" s="3">
        <f t="shared" si="11"/>
        <v>1.923076923</v>
      </c>
      <c r="AG129" s="3">
        <f t="shared" si="12"/>
        <v>0.2173913043</v>
      </c>
    </row>
    <row r="130">
      <c r="A130" s="1" t="s">
        <v>14</v>
      </c>
      <c r="B130" s="1" t="s">
        <v>462</v>
      </c>
      <c r="C130" s="1" t="s">
        <v>21</v>
      </c>
      <c r="D130" s="1" t="s">
        <v>89</v>
      </c>
      <c r="E130" s="1" t="s">
        <v>114</v>
      </c>
      <c r="F130" s="1" t="s">
        <v>576</v>
      </c>
      <c r="G130" s="1">
        <v>1.5</v>
      </c>
      <c r="H130" s="1" t="s">
        <v>60</v>
      </c>
      <c r="I130" s="1">
        <v>151.0</v>
      </c>
      <c r="J130" s="1">
        <v>0.0580936254980079</v>
      </c>
      <c r="K130" s="1" t="s">
        <v>61</v>
      </c>
      <c r="L130" s="1" t="s">
        <v>61</v>
      </c>
      <c r="M130" s="1" t="s">
        <v>62</v>
      </c>
      <c r="N130" s="1">
        <v>-196.0</v>
      </c>
      <c r="O130" s="1">
        <v>-0.118662162162162</v>
      </c>
      <c r="P130" s="1" t="s">
        <v>61</v>
      </c>
      <c r="Q130" s="1" t="s">
        <v>61</v>
      </c>
      <c r="R130" s="1">
        <f t="shared" si="1"/>
        <v>0.0580936255</v>
      </c>
      <c r="S130" s="1">
        <f t="shared" si="2"/>
        <v>151</v>
      </c>
      <c r="T130" s="1">
        <f t="shared" si="3"/>
        <v>2.51</v>
      </c>
      <c r="U130" s="1">
        <f t="shared" si="4"/>
        <v>1</v>
      </c>
      <c r="V130" s="3">
        <f t="shared" si="5"/>
        <v>2</v>
      </c>
      <c r="W130" s="3">
        <f t="shared" si="6"/>
        <v>1</v>
      </c>
      <c r="X130" s="3" t="str">
        <f>IFERROR(__xludf.DUMMYFUNCTION("split(B130,"" "")"),"D.")</f>
        <v>D.</v>
      </c>
      <c r="Y130" s="3" t="str">
        <f>IFERROR(__xludf.DUMMYFUNCTION("""COMPUTED_VALUE"""),"Watson")</f>
        <v>Watson</v>
      </c>
      <c r="AA130" s="3">
        <v>1.0</v>
      </c>
      <c r="AB130" s="3">
        <f t="shared" si="7"/>
        <v>0</v>
      </c>
      <c r="AC130" s="3">
        <f t="shared" si="8"/>
        <v>0</v>
      </c>
      <c r="AD130" s="3">
        <f t="shared" si="9"/>
        <v>3.02</v>
      </c>
      <c r="AE130" s="3">
        <f t="shared" si="10"/>
        <v>-2</v>
      </c>
      <c r="AF130" s="3">
        <f t="shared" si="11"/>
        <v>-1</v>
      </c>
      <c r="AG130" s="3">
        <f t="shared" si="12"/>
        <v>-0.3333333333</v>
      </c>
    </row>
    <row r="131">
      <c r="A131" s="1" t="s">
        <v>9</v>
      </c>
      <c r="B131" s="1" t="s">
        <v>414</v>
      </c>
      <c r="C131" s="1" t="s">
        <v>18</v>
      </c>
      <c r="D131" s="1" t="s">
        <v>89</v>
      </c>
      <c r="E131" s="1" t="s">
        <v>114</v>
      </c>
      <c r="F131" s="1" t="s">
        <v>576</v>
      </c>
      <c r="G131" s="1">
        <v>25.5</v>
      </c>
      <c r="H131" s="1" t="s">
        <v>60</v>
      </c>
      <c r="I131" s="1">
        <v>-114.0</v>
      </c>
      <c r="J131" s="1">
        <v>0.0319443005607779</v>
      </c>
      <c r="K131" s="1" t="s">
        <v>61</v>
      </c>
      <c r="L131" s="1" t="s">
        <v>61</v>
      </c>
      <c r="M131" s="1" t="s">
        <v>62</v>
      </c>
      <c r="N131" s="1">
        <v>-119.0</v>
      </c>
      <c r="O131" s="1">
        <v>-0.107993614524235</v>
      </c>
      <c r="P131" s="1" t="s">
        <v>61</v>
      </c>
      <c r="Q131" s="1" t="s">
        <v>61</v>
      </c>
      <c r="R131" s="1">
        <f t="shared" si="1"/>
        <v>0.03194430056</v>
      </c>
      <c r="S131" s="1">
        <f t="shared" si="2"/>
        <v>-114</v>
      </c>
      <c r="T131" s="1">
        <f t="shared" si="3"/>
        <v>1.877192982</v>
      </c>
      <c r="U131" s="1">
        <f t="shared" si="4"/>
        <v>1</v>
      </c>
      <c r="V131" s="3">
        <f t="shared" si="5"/>
        <v>1</v>
      </c>
      <c r="W131" s="3">
        <f t="shared" si="6"/>
        <v>2</v>
      </c>
      <c r="X131" s="3" t="str">
        <f>IFERROR(__xludf.DUMMYFUNCTION("split(B131,"" "")"),"E.")</f>
        <v>E.</v>
      </c>
      <c r="Y131" s="3" t="str">
        <f>IFERROR(__xludf.DUMMYFUNCTION("""COMPUTED_VALUE"""),"Moore")</f>
        <v>Moore</v>
      </c>
      <c r="AA131" s="3">
        <v>11.0</v>
      </c>
      <c r="AB131" s="3">
        <f t="shared" si="7"/>
        <v>0</v>
      </c>
      <c r="AC131" s="3">
        <f t="shared" si="8"/>
        <v>0</v>
      </c>
      <c r="AD131" s="3">
        <f t="shared" si="9"/>
        <v>0.8771929825</v>
      </c>
      <c r="AE131" s="3">
        <f t="shared" si="10"/>
        <v>-1</v>
      </c>
      <c r="AF131" s="3">
        <f t="shared" si="11"/>
        <v>-2</v>
      </c>
      <c r="AG131" s="3">
        <f t="shared" si="12"/>
        <v>-0.568627451</v>
      </c>
    </row>
    <row r="132">
      <c r="A132" s="1" t="s">
        <v>12</v>
      </c>
      <c r="B132" s="1" t="s">
        <v>435</v>
      </c>
      <c r="C132" s="1" t="s">
        <v>20</v>
      </c>
      <c r="D132" s="1" t="s">
        <v>89</v>
      </c>
      <c r="E132" s="1" t="s">
        <v>114</v>
      </c>
      <c r="F132" s="1" t="s">
        <v>576</v>
      </c>
      <c r="G132" s="1">
        <v>4.5</v>
      </c>
      <c r="H132" s="1" t="s">
        <v>60</v>
      </c>
      <c r="I132" s="1">
        <v>139.0</v>
      </c>
      <c r="J132" s="1">
        <v>0.0257062761506276</v>
      </c>
      <c r="K132" s="1" t="s">
        <v>61</v>
      </c>
      <c r="L132" s="1" t="s">
        <v>61</v>
      </c>
      <c r="M132" s="1" t="s">
        <v>62</v>
      </c>
      <c r="N132" s="1">
        <v>-179.0</v>
      </c>
      <c r="O132" s="1">
        <v>-0.0857053763440859</v>
      </c>
      <c r="P132" s="1" t="s">
        <v>61</v>
      </c>
      <c r="Q132" s="1" t="s">
        <v>61</v>
      </c>
      <c r="R132" s="1">
        <f t="shared" si="1"/>
        <v>0.02570627615</v>
      </c>
      <c r="S132" s="1">
        <f t="shared" si="2"/>
        <v>139</v>
      </c>
      <c r="T132" s="1">
        <f t="shared" si="3"/>
        <v>2.39</v>
      </c>
      <c r="U132" s="1">
        <f t="shared" si="4"/>
        <v>1</v>
      </c>
      <c r="V132" s="3">
        <f t="shared" si="5"/>
        <v>1</v>
      </c>
      <c r="W132" s="3">
        <f t="shared" si="6"/>
        <v>1</v>
      </c>
      <c r="X132" s="3" t="str">
        <f>IFERROR(__xludf.DUMMYFUNCTION("split(B132,"" "")"),"D.")</f>
        <v>D.</v>
      </c>
      <c r="Y132" s="3" t="str">
        <f>IFERROR(__xludf.DUMMYFUNCTION("""COMPUTED_VALUE"""),"Njoku")</f>
        <v>Njoku</v>
      </c>
      <c r="AA132" s="3">
        <v>1.0</v>
      </c>
      <c r="AB132" s="3">
        <f t="shared" si="7"/>
        <v>0</v>
      </c>
      <c r="AC132" s="3">
        <f t="shared" si="8"/>
        <v>0</v>
      </c>
      <c r="AD132" s="3">
        <f t="shared" si="9"/>
        <v>1.39</v>
      </c>
      <c r="AE132" s="3">
        <f t="shared" si="10"/>
        <v>-1</v>
      </c>
      <c r="AF132" s="3">
        <f t="shared" si="11"/>
        <v>-1</v>
      </c>
      <c r="AG132" s="3">
        <f t="shared" si="12"/>
        <v>-0.7777777778</v>
      </c>
    </row>
    <row r="133">
      <c r="A133" s="1" t="s">
        <v>11</v>
      </c>
      <c r="B133" s="1" t="s">
        <v>324</v>
      </c>
      <c r="C133" s="1" t="s">
        <v>19</v>
      </c>
      <c r="D133" s="1" t="s">
        <v>89</v>
      </c>
      <c r="E133" s="1" t="s">
        <v>114</v>
      </c>
      <c r="F133" s="1" t="s">
        <v>576</v>
      </c>
      <c r="G133" s="1">
        <v>19.5</v>
      </c>
      <c r="H133" s="1" t="s">
        <v>60</v>
      </c>
      <c r="I133" s="1">
        <v>-116.0</v>
      </c>
      <c r="J133" s="1">
        <v>-0.0807641279049352</v>
      </c>
      <c r="K133" s="1" t="s">
        <v>61</v>
      </c>
      <c r="L133" s="1" t="s">
        <v>61</v>
      </c>
      <c r="M133" s="1" t="s">
        <v>62</v>
      </c>
      <c r="N133" s="1">
        <v>-113.0</v>
      </c>
      <c r="O133" s="1">
        <v>0.0132437950189511</v>
      </c>
      <c r="P133" s="1" t="s">
        <v>61</v>
      </c>
      <c r="Q133" s="1" t="s">
        <v>61</v>
      </c>
      <c r="R133" s="1">
        <f t="shared" si="1"/>
        <v>0.01324379502</v>
      </c>
      <c r="S133" s="1">
        <f t="shared" si="2"/>
        <v>-113</v>
      </c>
      <c r="T133" s="1">
        <f t="shared" si="3"/>
        <v>1.884955752</v>
      </c>
      <c r="U133" s="1">
        <f t="shared" si="4"/>
        <v>0</v>
      </c>
      <c r="V133" s="3">
        <f t="shared" si="5"/>
        <v>1</v>
      </c>
      <c r="W133" s="3">
        <f t="shared" si="6"/>
        <v>2</v>
      </c>
      <c r="X133" s="3" t="str">
        <f>IFERROR(__xludf.DUMMYFUNCTION("split(B133,"" "")"),"J.")</f>
        <v>J.</v>
      </c>
      <c r="Y133" s="3" t="str">
        <f>IFERROR(__xludf.DUMMYFUNCTION("""COMPUTED_VALUE"""),"Ford")</f>
        <v>Ford</v>
      </c>
      <c r="AA133" s="3">
        <v>2.0</v>
      </c>
      <c r="AB133" s="3">
        <f t="shared" si="7"/>
        <v>0</v>
      </c>
      <c r="AC133" s="3">
        <f t="shared" si="8"/>
        <v>1</v>
      </c>
      <c r="AD133" s="3">
        <f t="shared" si="9"/>
        <v>0.8849557522</v>
      </c>
      <c r="AE133" s="3">
        <f t="shared" si="10"/>
        <v>0.8849557522</v>
      </c>
      <c r="AF133" s="3">
        <f t="shared" si="11"/>
        <v>1.769911504</v>
      </c>
      <c r="AG133" s="3">
        <f t="shared" si="12"/>
        <v>0.8974358974</v>
      </c>
    </row>
    <row r="134">
      <c r="A134" s="1" t="s">
        <v>11</v>
      </c>
      <c r="B134" s="1" t="s">
        <v>414</v>
      </c>
      <c r="C134" s="1" t="s">
        <v>18</v>
      </c>
      <c r="D134" s="1" t="s">
        <v>89</v>
      </c>
      <c r="E134" s="1" t="s">
        <v>114</v>
      </c>
      <c r="F134" s="1" t="s">
        <v>576</v>
      </c>
      <c r="G134" s="1">
        <v>24.5</v>
      </c>
      <c r="H134" s="1" t="s">
        <v>60</v>
      </c>
      <c r="I134" s="1">
        <v>-108.0</v>
      </c>
      <c r="J134" s="1">
        <v>-0.0786032317266249</v>
      </c>
      <c r="K134" s="1" t="s">
        <v>61</v>
      </c>
      <c r="L134" s="1" t="s">
        <v>61</v>
      </c>
      <c r="M134" s="1" t="s">
        <v>62</v>
      </c>
      <c r="N134" s="1">
        <v>-122.0</v>
      </c>
      <c r="O134" s="1">
        <v>0.00984758595922696</v>
      </c>
      <c r="P134" s="1" t="s">
        <v>61</v>
      </c>
      <c r="Q134" s="1" t="s">
        <v>61</v>
      </c>
      <c r="R134" s="1">
        <f t="shared" si="1"/>
        <v>0.009847585959</v>
      </c>
      <c r="S134" s="1">
        <f t="shared" si="2"/>
        <v>-122</v>
      </c>
      <c r="T134" s="1">
        <f t="shared" si="3"/>
        <v>1.819672131</v>
      </c>
      <c r="U134" s="1">
        <f t="shared" si="4"/>
        <v>0</v>
      </c>
      <c r="V134" s="3">
        <f t="shared" si="5"/>
        <v>1</v>
      </c>
      <c r="W134" s="3">
        <f t="shared" si="6"/>
        <v>3</v>
      </c>
      <c r="X134" s="3" t="str">
        <f>IFERROR(__xludf.DUMMYFUNCTION("split(B134,"" "")"),"E.")</f>
        <v>E.</v>
      </c>
      <c r="Y134" s="3" t="str">
        <f>IFERROR(__xludf.DUMMYFUNCTION("""COMPUTED_VALUE"""),"Moore")</f>
        <v>Moore</v>
      </c>
      <c r="AA134" s="3">
        <v>11.0</v>
      </c>
      <c r="AB134" s="3">
        <f t="shared" si="7"/>
        <v>0</v>
      </c>
      <c r="AC134" s="3">
        <f t="shared" si="8"/>
        <v>1</v>
      </c>
      <c r="AD134" s="3">
        <f t="shared" si="9"/>
        <v>0.8196721311</v>
      </c>
      <c r="AE134" s="3">
        <f t="shared" si="10"/>
        <v>0.8196721311</v>
      </c>
      <c r="AF134" s="3">
        <f t="shared" si="11"/>
        <v>2.459016393</v>
      </c>
      <c r="AG134" s="3">
        <f t="shared" si="12"/>
        <v>0.5510204082</v>
      </c>
    </row>
    <row r="135">
      <c r="A135" s="1" t="s">
        <v>11</v>
      </c>
      <c r="B135" s="1" t="s">
        <v>299</v>
      </c>
      <c r="C135" s="1" t="s">
        <v>18</v>
      </c>
      <c r="D135" s="1" t="s">
        <v>89</v>
      </c>
      <c r="E135" s="1" t="s">
        <v>114</v>
      </c>
      <c r="F135" s="1" t="s">
        <v>576</v>
      </c>
      <c r="G135" s="1">
        <v>45.5</v>
      </c>
      <c r="H135" s="1" t="s">
        <v>60</v>
      </c>
      <c r="I135" s="1">
        <v>-114.0</v>
      </c>
      <c r="J135" s="1">
        <v>-0.0813401152930841</v>
      </c>
      <c r="K135" s="1" t="s">
        <v>61</v>
      </c>
      <c r="L135" s="1" t="s">
        <v>61</v>
      </c>
      <c r="M135" s="1" t="s">
        <v>62</v>
      </c>
      <c r="N135" s="1">
        <v>-118.0</v>
      </c>
      <c r="O135" s="1">
        <v>0.00739671490406435</v>
      </c>
      <c r="P135" s="1" t="s">
        <v>61</v>
      </c>
      <c r="Q135" s="1" t="s">
        <v>61</v>
      </c>
      <c r="R135" s="1">
        <f t="shared" si="1"/>
        <v>0.007396714904</v>
      </c>
      <c r="S135" s="1">
        <f t="shared" si="2"/>
        <v>-118</v>
      </c>
      <c r="T135" s="1">
        <f t="shared" si="3"/>
        <v>1.847457627</v>
      </c>
      <c r="U135" s="1">
        <f t="shared" si="4"/>
        <v>0</v>
      </c>
      <c r="V135" s="3">
        <f t="shared" si="5"/>
        <v>1</v>
      </c>
      <c r="W135" s="3">
        <f t="shared" si="6"/>
        <v>3</v>
      </c>
      <c r="X135" s="3" t="str">
        <f>IFERROR(__xludf.DUMMYFUNCTION("split(B135,"" "")"),"J.")</f>
        <v>J.</v>
      </c>
      <c r="Y135" s="3" t="str">
        <f>IFERROR(__xludf.DUMMYFUNCTION("""COMPUTED_VALUE"""),"Jeudy")</f>
        <v>Jeudy</v>
      </c>
      <c r="AA135" s="3">
        <v>16.0</v>
      </c>
      <c r="AB135" s="3">
        <f t="shared" si="7"/>
        <v>0</v>
      </c>
      <c r="AC135" s="3">
        <f t="shared" si="8"/>
        <v>1</v>
      </c>
      <c r="AD135" s="3">
        <f t="shared" si="9"/>
        <v>0.8474576271</v>
      </c>
      <c r="AE135" s="3">
        <f t="shared" si="10"/>
        <v>0.8474576271</v>
      </c>
      <c r="AF135" s="3">
        <f t="shared" si="11"/>
        <v>2.542372881</v>
      </c>
      <c r="AG135" s="3">
        <f t="shared" si="12"/>
        <v>0.6483516484</v>
      </c>
    </row>
    <row r="136">
      <c r="A136" s="1" t="s">
        <v>11</v>
      </c>
      <c r="B136" s="1" t="s">
        <v>435</v>
      </c>
      <c r="C136" s="1" t="s">
        <v>20</v>
      </c>
      <c r="D136" s="1" t="s">
        <v>89</v>
      </c>
      <c r="E136" s="1" t="s">
        <v>114</v>
      </c>
      <c r="F136" s="1" t="s">
        <v>576</v>
      </c>
      <c r="G136" s="1">
        <v>37.5</v>
      </c>
      <c r="H136" s="1" t="s">
        <v>60</v>
      </c>
      <c r="I136" s="1">
        <v>-115.0</v>
      </c>
      <c r="J136" s="1">
        <v>-0.068082976117907</v>
      </c>
      <c r="K136" s="1" t="s">
        <v>61</v>
      </c>
      <c r="L136" s="1" t="s">
        <v>61</v>
      </c>
      <c r="M136" s="1" t="s">
        <v>62</v>
      </c>
      <c r="N136" s="1">
        <v>-111.0</v>
      </c>
      <c r="O136" s="1">
        <v>0.00711918548211398</v>
      </c>
      <c r="P136" s="1" t="s">
        <v>61</v>
      </c>
      <c r="Q136" s="1" t="s">
        <v>61</v>
      </c>
      <c r="R136" s="1">
        <f t="shared" si="1"/>
        <v>0.007119185482</v>
      </c>
      <c r="S136" s="1">
        <f t="shared" si="2"/>
        <v>-111</v>
      </c>
      <c r="T136" s="1">
        <f t="shared" si="3"/>
        <v>1.900900901</v>
      </c>
      <c r="U136" s="1">
        <f t="shared" si="4"/>
        <v>0</v>
      </c>
      <c r="V136" s="3">
        <f t="shared" si="5"/>
        <v>1</v>
      </c>
      <c r="W136" s="3">
        <f t="shared" si="6"/>
        <v>2</v>
      </c>
      <c r="X136" s="3" t="str">
        <f>IFERROR(__xludf.DUMMYFUNCTION("split(B136,"" "")"),"D.")</f>
        <v>D.</v>
      </c>
      <c r="Y136" s="3" t="str">
        <f>IFERROR(__xludf.DUMMYFUNCTION("""COMPUTED_VALUE"""),"Njoku")</f>
        <v>Njoku</v>
      </c>
      <c r="AA136" s="3">
        <v>14.0</v>
      </c>
      <c r="AB136" s="3">
        <f t="shared" si="7"/>
        <v>0</v>
      </c>
      <c r="AC136" s="3">
        <f t="shared" si="8"/>
        <v>1</v>
      </c>
      <c r="AD136" s="3">
        <f t="shared" si="9"/>
        <v>0.9009009009</v>
      </c>
      <c r="AE136" s="3">
        <f t="shared" si="10"/>
        <v>0.9009009009</v>
      </c>
      <c r="AF136" s="3">
        <f t="shared" si="11"/>
        <v>1.801801802</v>
      </c>
      <c r="AG136" s="3">
        <f t="shared" si="12"/>
        <v>0.6266666667</v>
      </c>
    </row>
    <row r="137">
      <c r="A137" s="1" t="s">
        <v>11</v>
      </c>
      <c r="B137" s="1" t="s">
        <v>442</v>
      </c>
      <c r="C137" s="1" t="s">
        <v>18</v>
      </c>
      <c r="D137" s="1" t="s">
        <v>89</v>
      </c>
      <c r="E137" s="1" t="s">
        <v>114</v>
      </c>
      <c r="F137" s="1" t="s">
        <v>576</v>
      </c>
      <c r="G137" s="1">
        <v>56.5</v>
      </c>
      <c r="H137" s="1" t="s">
        <v>60</v>
      </c>
      <c r="I137" s="1">
        <v>-127.0</v>
      </c>
      <c r="J137" s="1">
        <v>-0.0809615493902045</v>
      </c>
      <c r="K137" s="1" t="s">
        <v>61</v>
      </c>
      <c r="L137" s="1" t="s">
        <v>61</v>
      </c>
      <c r="M137" s="1" t="s">
        <v>62</v>
      </c>
      <c r="N137" s="1">
        <v>-106.0</v>
      </c>
      <c r="O137" s="1">
        <v>0.00694078947106702</v>
      </c>
      <c r="P137" s="1" t="s">
        <v>61</v>
      </c>
      <c r="Q137" s="1" t="s">
        <v>61</v>
      </c>
      <c r="R137" s="1">
        <f t="shared" si="1"/>
        <v>0.006940789471</v>
      </c>
      <c r="S137" s="1">
        <f t="shared" si="2"/>
        <v>-106</v>
      </c>
      <c r="T137" s="1">
        <f t="shared" si="3"/>
        <v>1.943396226</v>
      </c>
      <c r="U137" s="1">
        <f t="shared" si="4"/>
        <v>0</v>
      </c>
      <c r="V137" s="3">
        <f t="shared" si="5"/>
        <v>1</v>
      </c>
      <c r="W137" s="3">
        <f t="shared" si="6"/>
        <v>2</v>
      </c>
      <c r="X137" s="3" t="str">
        <f>IFERROR(__xludf.DUMMYFUNCTION("split(B137,"" "")"),"A.")</f>
        <v>A.</v>
      </c>
      <c r="Y137" s="3" t="str">
        <f>IFERROR(__xludf.DUMMYFUNCTION("""COMPUTED_VALUE"""),"Cooper")</f>
        <v>Cooper</v>
      </c>
      <c r="AA137" s="3">
        <v>60.0</v>
      </c>
      <c r="AB137" s="3">
        <f t="shared" si="7"/>
        <v>1</v>
      </c>
      <c r="AC137" s="3">
        <f t="shared" si="8"/>
        <v>0</v>
      </c>
      <c r="AD137" s="3">
        <f t="shared" si="9"/>
        <v>0.9433962264</v>
      </c>
      <c r="AE137" s="3">
        <f t="shared" si="10"/>
        <v>-1</v>
      </c>
      <c r="AF137" s="3">
        <f t="shared" si="11"/>
        <v>-2</v>
      </c>
      <c r="AG137" s="3">
        <f t="shared" si="12"/>
        <v>-0.06194690265</v>
      </c>
    </row>
    <row r="138">
      <c r="A138" s="1" t="s">
        <v>10</v>
      </c>
      <c r="B138" s="1" t="s">
        <v>462</v>
      </c>
      <c r="C138" s="1" t="s">
        <v>21</v>
      </c>
      <c r="D138" s="1" t="s">
        <v>89</v>
      </c>
      <c r="E138" s="1" t="s">
        <v>114</v>
      </c>
      <c r="F138" s="1" t="s">
        <v>576</v>
      </c>
      <c r="G138" s="1">
        <v>23.5</v>
      </c>
      <c r="H138" s="1" t="s">
        <v>60</v>
      </c>
      <c r="I138" s="1">
        <v>-109.0</v>
      </c>
      <c r="J138" s="1">
        <v>-0.071703424513993</v>
      </c>
      <c r="K138" s="1" t="s">
        <v>61</v>
      </c>
      <c r="L138" s="1" t="s">
        <v>61</v>
      </c>
      <c r="M138" s="1" t="s">
        <v>62</v>
      </c>
      <c r="N138" s="1">
        <v>-119.0</v>
      </c>
      <c r="O138" s="1">
        <v>0.00684383886244399</v>
      </c>
      <c r="P138" s="1" t="s">
        <v>61</v>
      </c>
      <c r="Q138" s="1" t="s">
        <v>61</v>
      </c>
      <c r="R138" s="1">
        <f t="shared" si="1"/>
        <v>0.006843838862</v>
      </c>
      <c r="S138" s="1">
        <f t="shared" si="2"/>
        <v>-119</v>
      </c>
      <c r="T138" s="1">
        <f t="shared" si="3"/>
        <v>1.840336134</v>
      </c>
      <c r="U138" s="1">
        <f t="shared" si="4"/>
        <v>0</v>
      </c>
      <c r="V138" s="3">
        <f t="shared" si="5"/>
        <v>1</v>
      </c>
      <c r="W138" s="3">
        <f t="shared" si="6"/>
        <v>3</v>
      </c>
      <c r="X138" s="3" t="str">
        <f>IFERROR(__xludf.DUMMYFUNCTION("split(B138,"" "")"),"D.")</f>
        <v>D.</v>
      </c>
      <c r="Y138" s="3" t="str">
        <f>IFERROR(__xludf.DUMMYFUNCTION("""COMPUTED_VALUE"""),"Watson")</f>
        <v>Watson</v>
      </c>
      <c r="AA138" s="3">
        <v>14.0</v>
      </c>
      <c r="AB138" s="3">
        <f t="shared" si="7"/>
        <v>0</v>
      </c>
      <c r="AC138" s="3">
        <f t="shared" si="8"/>
        <v>1</v>
      </c>
      <c r="AD138" s="3">
        <f t="shared" si="9"/>
        <v>0.8403361345</v>
      </c>
      <c r="AE138" s="3">
        <f t="shared" si="10"/>
        <v>0.8403361345</v>
      </c>
      <c r="AF138" s="3">
        <f t="shared" si="11"/>
        <v>2.521008403</v>
      </c>
      <c r="AG138" s="3">
        <f t="shared" si="12"/>
        <v>0.4042553191</v>
      </c>
    </row>
    <row r="139">
      <c r="A139" s="1" t="s">
        <v>12</v>
      </c>
      <c r="B139" s="1" t="s">
        <v>395</v>
      </c>
      <c r="C139" s="1" t="s">
        <v>18</v>
      </c>
      <c r="D139" s="1" t="s">
        <v>88</v>
      </c>
      <c r="E139" s="1" t="s">
        <v>110</v>
      </c>
      <c r="F139" s="1" t="s">
        <v>580</v>
      </c>
      <c r="G139" s="1">
        <v>6.5</v>
      </c>
      <c r="H139" s="1" t="s">
        <v>60</v>
      </c>
      <c r="I139" s="1">
        <v>111.0</v>
      </c>
      <c r="J139" s="1">
        <v>0.209213744075829</v>
      </c>
      <c r="K139" s="1" t="s">
        <v>61</v>
      </c>
      <c r="L139" s="1" t="s">
        <v>61</v>
      </c>
      <c r="M139" s="1" t="s">
        <v>62</v>
      </c>
      <c r="N139" s="1">
        <v>-144.0</v>
      </c>
      <c r="O139" s="1">
        <v>-0.273304918032786</v>
      </c>
      <c r="P139" s="1" t="s">
        <v>61</v>
      </c>
      <c r="Q139" s="1" t="s">
        <v>61</v>
      </c>
      <c r="R139" s="1">
        <f t="shared" si="1"/>
        <v>0.2092137441</v>
      </c>
      <c r="S139" s="1">
        <f t="shared" si="2"/>
        <v>111</v>
      </c>
      <c r="T139" s="1">
        <f t="shared" si="3"/>
        <v>2.11</v>
      </c>
      <c r="U139" s="1">
        <f t="shared" si="4"/>
        <v>1</v>
      </c>
      <c r="V139" s="3">
        <f t="shared" si="5"/>
        <v>3</v>
      </c>
      <c r="W139" s="3">
        <f t="shared" si="6"/>
        <v>1</v>
      </c>
      <c r="X139" s="3" t="str">
        <f>IFERROR(__xludf.DUMMYFUNCTION("split(B139,"" "")"),"C.")</f>
        <v>C.</v>
      </c>
      <c r="Y139" s="3" t="str">
        <f>IFERROR(__xludf.DUMMYFUNCTION("""COMPUTED_VALUE"""),"Lamb")</f>
        <v>Lamb</v>
      </c>
      <c r="AA139" s="3">
        <v>5.0</v>
      </c>
      <c r="AB139" s="3">
        <f t="shared" si="7"/>
        <v>0</v>
      </c>
      <c r="AC139" s="3">
        <f t="shared" si="8"/>
        <v>0</v>
      </c>
      <c r="AD139" s="3">
        <f t="shared" si="9"/>
        <v>3.33</v>
      </c>
      <c r="AE139" s="3">
        <f t="shared" si="10"/>
        <v>-3</v>
      </c>
      <c r="AF139" s="3">
        <f t="shared" si="11"/>
        <v>-1</v>
      </c>
      <c r="AG139" s="3">
        <f t="shared" si="12"/>
        <v>-0.2307692308</v>
      </c>
    </row>
    <row r="140">
      <c r="A140" s="1" t="s">
        <v>9</v>
      </c>
      <c r="B140" s="1" t="s">
        <v>572</v>
      </c>
      <c r="C140" s="1" t="s">
        <v>18</v>
      </c>
      <c r="D140" s="1" t="s">
        <v>88</v>
      </c>
      <c r="E140" s="1" t="s">
        <v>110</v>
      </c>
      <c r="F140" s="1" t="s">
        <v>580</v>
      </c>
      <c r="G140" s="1">
        <v>12.5</v>
      </c>
      <c r="H140" s="1" t="s">
        <v>60</v>
      </c>
      <c r="I140" s="1">
        <v>-115.0</v>
      </c>
      <c r="J140" s="1">
        <v>0.197524467748421</v>
      </c>
      <c r="K140" s="1" t="s">
        <v>61</v>
      </c>
      <c r="L140" s="1" t="s">
        <v>61</v>
      </c>
      <c r="M140" s="1" t="s">
        <v>62</v>
      </c>
      <c r="N140" s="1">
        <v>-118.0</v>
      </c>
      <c r="O140" s="1">
        <v>-0.273661181044837</v>
      </c>
      <c r="P140" s="1" t="s">
        <v>61</v>
      </c>
      <c r="Q140" s="1" t="s">
        <v>61</v>
      </c>
      <c r="R140" s="1">
        <f t="shared" si="1"/>
        <v>0.1975244677</v>
      </c>
      <c r="S140" s="1">
        <f t="shared" si="2"/>
        <v>-115</v>
      </c>
      <c r="T140" s="1">
        <f t="shared" si="3"/>
        <v>1.869565217</v>
      </c>
      <c r="U140" s="1">
        <f t="shared" si="4"/>
        <v>1</v>
      </c>
      <c r="V140" s="3">
        <f t="shared" si="5"/>
        <v>3</v>
      </c>
      <c r="W140" s="3">
        <f t="shared" si="6"/>
        <v>2</v>
      </c>
      <c r="X140" s="3" t="str">
        <f>IFERROR(__xludf.DUMMYFUNCTION("split(B140,"" "")"),"J.")</f>
        <v>J.</v>
      </c>
      <c r="Y140" s="3" t="str">
        <f>IFERROR(__xludf.DUMMYFUNCTION("""COMPUTED_VALUE"""),"Brooks")</f>
        <v>Brooks</v>
      </c>
      <c r="AA140" s="3">
        <v>10.0</v>
      </c>
      <c r="AB140" s="3">
        <f t="shared" si="7"/>
        <v>0</v>
      </c>
      <c r="AC140" s="3">
        <f t="shared" si="8"/>
        <v>0</v>
      </c>
      <c r="AD140" s="3">
        <f t="shared" si="9"/>
        <v>2.608695652</v>
      </c>
      <c r="AE140" s="3">
        <f t="shared" si="10"/>
        <v>-3</v>
      </c>
      <c r="AF140" s="3">
        <f t="shared" si="11"/>
        <v>-2</v>
      </c>
      <c r="AG140" s="3">
        <f t="shared" si="12"/>
        <v>-0.2</v>
      </c>
    </row>
    <row r="141">
      <c r="A141" s="1" t="s">
        <v>12</v>
      </c>
      <c r="B141" s="1" t="s">
        <v>571</v>
      </c>
      <c r="C141" s="1" t="s">
        <v>18</v>
      </c>
      <c r="D141" s="1" t="s">
        <v>88</v>
      </c>
      <c r="E141" s="1" t="s">
        <v>110</v>
      </c>
      <c r="F141" s="1" t="s">
        <v>580</v>
      </c>
      <c r="G141" s="1">
        <v>1.5</v>
      </c>
      <c r="H141" s="1" t="s">
        <v>60</v>
      </c>
      <c r="I141" s="1">
        <v>-149.0</v>
      </c>
      <c r="J141" s="1">
        <v>-0.251187205522088</v>
      </c>
      <c r="K141" s="1" t="s">
        <v>61</v>
      </c>
      <c r="L141" s="1" t="s">
        <v>61</v>
      </c>
      <c r="M141" s="1" t="s">
        <v>62</v>
      </c>
      <c r="N141" s="1">
        <v>114.0</v>
      </c>
      <c r="O141" s="1">
        <v>0.185502869976635</v>
      </c>
      <c r="P141" s="1" t="s">
        <v>61</v>
      </c>
      <c r="Q141" s="1" t="s">
        <v>61</v>
      </c>
      <c r="R141" s="1">
        <f t="shared" si="1"/>
        <v>0.18550287</v>
      </c>
      <c r="S141" s="1">
        <f t="shared" si="2"/>
        <v>114</v>
      </c>
      <c r="T141" s="1">
        <f t="shared" si="3"/>
        <v>2.14</v>
      </c>
      <c r="U141" s="1">
        <f t="shared" si="4"/>
        <v>0</v>
      </c>
      <c r="V141" s="3">
        <f t="shared" si="5"/>
        <v>3</v>
      </c>
      <c r="W141" s="3">
        <f t="shared" si="6"/>
        <v>1</v>
      </c>
      <c r="X141" s="3" t="str">
        <f>IFERROR(__xludf.DUMMYFUNCTION("split(B141,"" "")"),"K.")</f>
        <v>K.</v>
      </c>
      <c r="Y141" s="3" t="str">
        <f>IFERROR(__xludf.DUMMYFUNCTION("""COMPUTED_VALUE"""),"Turpin")</f>
        <v>Turpin</v>
      </c>
      <c r="AA141" s="3">
        <v>4.0</v>
      </c>
      <c r="AB141" s="3">
        <f t="shared" si="7"/>
        <v>1</v>
      </c>
      <c r="AC141" s="3">
        <f t="shared" si="8"/>
        <v>0</v>
      </c>
      <c r="AD141" s="3">
        <f t="shared" si="9"/>
        <v>3.42</v>
      </c>
      <c r="AE141" s="3">
        <f t="shared" si="10"/>
        <v>-3</v>
      </c>
      <c r="AF141" s="3">
        <f t="shared" si="11"/>
        <v>-1</v>
      </c>
      <c r="AG141" s="3">
        <f t="shared" si="12"/>
        <v>-1.666666667</v>
      </c>
    </row>
    <row r="142">
      <c r="A142" s="1" t="s">
        <v>8</v>
      </c>
      <c r="B142" s="1" t="s">
        <v>152</v>
      </c>
      <c r="C142" s="1" t="s">
        <v>19</v>
      </c>
      <c r="D142" s="1" t="s">
        <v>88</v>
      </c>
      <c r="E142" s="1" t="s">
        <v>110</v>
      </c>
      <c r="F142" s="1" t="s">
        <v>580</v>
      </c>
      <c r="G142" s="1">
        <v>10.5</v>
      </c>
      <c r="H142" s="1" t="s">
        <v>60</v>
      </c>
      <c r="I142" s="1">
        <v>-121.0</v>
      </c>
      <c r="J142" s="1">
        <v>-0.21000728189461</v>
      </c>
      <c r="K142" s="1" t="s">
        <v>61</v>
      </c>
      <c r="L142" s="1" t="s">
        <v>61</v>
      </c>
      <c r="M142" s="1" t="s">
        <v>62</v>
      </c>
      <c r="N142" s="1">
        <v>-111.0</v>
      </c>
      <c r="O142" s="1">
        <v>0.136428963609322</v>
      </c>
      <c r="P142" s="1" t="s">
        <v>61</v>
      </c>
      <c r="Q142" s="1" t="s">
        <v>61</v>
      </c>
      <c r="R142" s="1">
        <f t="shared" si="1"/>
        <v>0.1364289636</v>
      </c>
      <c r="S142" s="1">
        <f t="shared" si="2"/>
        <v>-111</v>
      </c>
      <c r="T142" s="1">
        <f t="shared" si="3"/>
        <v>1.900900901</v>
      </c>
      <c r="U142" s="1">
        <f t="shared" si="4"/>
        <v>0</v>
      </c>
      <c r="V142" s="3">
        <f t="shared" si="5"/>
        <v>3</v>
      </c>
      <c r="W142" s="3">
        <f t="shared" si="6"/>
        <v>2</v>
      </c>
      <c r="X142" s="3" t="str">
        <f>IFERROR(__xludf.DUMMYFUNCTION("split(B142,"" "")"),"R.")</f>
        <v>R.</v>
      </c>
      <c r="Y142" s="3" t="str">
        <f>IFERROR(__xludf.DUMMYFUNCTION("""COMPUTED_VALUE"""),"Dowdle")</f>
        <v>Dowdle</v>
      </c>
      <c r="AA142" s="3">
        <v>20.0</v>
      </c>
      <c r="AB142" s="3">
        <f t="shared" si="7"/>
        <v>1</v>
      </c>
      <c r="AC142" s="3">
        <f t="shared" si="8"/>
        <v>0</v>
      </c>
      <c r="AD142" s="3">
        <f t="shared" si="9"/>
        <v>2.702702703</v>
      </c>
      <c r="AE142" s="3">
        <f t="shared" si="10"/>
        <v>-3</v>
      </c>
      <c r="AF142" s="3">
        <f t="shared" si="11"/>
        <v>-2</v>
      </c>
      <c r="AG142" s="3">
        <f t="shared" si="12"/>
        <v>-0.9047619048</v>
      </c>
    </row>
    <row r="143">
      <c r="A143" s="1" t="s">
        <v>11</v>
      </c>
      <c r="B143" s="1" t="s">
        <v>375</v>
      </c>
      <c r="C143" s="1" t="s">
        <v>19</v>
      </c>
      <c r="D143" s="1" t="s">
        <v>88</v>
      </c>
      <c r="E143" s="1" t="s">
        <v>110</v>
      </c>
      <c r="F143" s="1" t="s">
        <v>580</v>
      </c>
      <c r="G143" s="1">
        <v>3.5</v>
      </c>
      <c r="H143" s="1" t="s">
        <v>60</v>
      </c>
      <c r="I143" s="1">
        <v>-111.0</v>
      </c>
      <c r="J143" s="1">
        <v>0.124715520715956</v>
      </c>
      <c r="K143" s="1" t="s">
        <v>61</v>
      </c>
      <c r="L143" s="1" t="s">
        <v>61</v>
      </c>
      <c r="M143" s="1" t="s">
        <v>62</v>
      </c>
      <c r="N143" s="1">
        <v>-116.0</v>
      </c>
      <c r="O143" s="1">
        <v>-0.187816494677951</v>
      </c>
      <c r="P143" s="1" t="s">
        <v>61</v>
      </c>
      <c r="Q143" s="1" t="s">
        <v>61</v>
      </c>
      <c r="R143" s="1">
        <f t="shared" si="1"/>
        <v>0.1247155207</v>
      </c>
      <c r="S143" s="1">
        <f t="shared" si="2"/>
        <v>-111</v>
      </c>
      <c r="T143" s="1">
        <f t="shared" si="3"/>
        <v>1.900900901</v>
      </c>
      <c r="U143" s="1">
        <f t="shared" si="4"/>
        <v>1</v>
      </c>
      <c r="V143" s="3">
        <f t="shared" si="5"/>
        <v>3</v>
      </c>
      <c r="W143" s="3">
        <f t="shared" si="6"/>
        <v>2</v>
      </c>
      <c r="X143" s="3" t="str">
        <f>IFERROR(__xludf.DUMMYFUNCTION("split(B143,"" "")"),"E.")</f>
        <v>E.</v>
      </c>
      <c r="Y143" s="3" t="str">
        <f>IFERROR(__xludf.DUMMYFUNCTION("""COMPUTED_VALUE"""),"Elliott")</f>
        <v>Elliott</v>
      </c>
      <c r="AA143" s="3">
        <v>0.0</v>
      </c>
      <c r="AB143" s="3">
        <f t="shared" si="7"/>
        <v>0</v>
      </c>
      <c r="AC143" s="3">
        <f t="shared" si="8"/>
        <v>0</v>
      </c>
      <c r="AD143" s="3">
        <f t="shared" si="9"/>
        <v>2.702702703</v>
      </c>
      <c r="AE143" s="3">
        <f t="shared" si="10"/>
        <v>-3</v>
      </c>
      <c r="AF143" s="3">
        <f t="shared" si="11"/>
        <v>-2</v>
      </c>
      <c r="AG143" s="3">
        <f t="shared" si="12"/>
        <v>-1</v>
      </c>
    </row>
    <row r="144">
      <c r="A144" s="1" t="s">
        <v>12</v>
      </c>
      <c r="B144" s="1" t="s">
        <v>152</v>
      </c>
      <c r="C144" s="1" t="s">
        <v>19</v>
      </c>
      <c r="D144" s="1" t="s">
        <v>88</v>
      </c>
      <c r="E144" s="1" t="s">
        <v>110</v>
      </c>
      <c r="F144" s="1" t="s">
        <v>580</v>
      </c>
      <c r="G144" s="1">
        <v>2.5</v>
      </c>
      <c r="H144" s="1" t="s">
        <v>60</v>
      </c>
      <c r="I144" s="1">
        <v>117.0</v>
      </c>
      <c r="J144" s="1">
        <v>-0.1882255164894</v>
      </c>
      <c r="K144" s="1" t="s">
        <v>61</v>
      </c>
      <c r="L144" s="1" t="s">
        <v>61</v>
      </c>
      <c r="M144" s="1" t="s">
        <v>62</v>
      </c>
      <c r="N144" s="1">
        <v>-153.0</v>
      </c>
      <c r="O144" s="1">
        <v>0.122652456773913</v>
      </c>
      <c r="P144" s="1" t="s">
        <v>61</v>
      </c>
      <c r="Q144" s="1" t="s">
        <v>61</v>
      </c>
      <c r="R144" s="1">
        <f t="shared" si="1"/>
        <v>0.1226524568</v>
      </c>
      <c r="S144" s="1">
        <f t="shared" si="2"/>
        <v>-153</v>
      </c>
      <c r="T144" s="1">
        <f t="shared" si="3"/>
        <v>1.653594771</v>
      </c>
      <c r="U144" s="1">
        <f t="shared" si="4"/>
        <v>0</v>
      </c>
      <c r="V144" s="3">
        <f t="shared" si="5"/>
        <v>3</v>
      </c>
      <c r="W144" s="3">
        <f t="shared" si="6"/>
        <v>3</v>
      </c>
      <c r="X144" s="3" t="str">
        <f>IFERROR(__xludf.DUMMYFUNCTION("split(B144,"" "")"),"R.")</f>
        <v>R.</v>
      </c>
      <c r="Y144" s="3" t="str">
        <f>IFERROR(__xludf.DUMMYFUNCTION("""COMPUTED_VALUE"""),"Dowdle")</f>
        <v>Dowdle</v>
      </c>
      <c r="AA144" s="3">
        <v>2.0</v>
      </c>
      <c r="AB144" s="3">
        <f t="shared" si="7"/>
        <v>0</v>
      </c>
      <c r="AC144" s="3">
        <f t="shared" si="8"/>
        <v>1</v>
      </c>
      <c r="AD144" s="3">
        <f t="shared" si="9"/>
        <v>1.960784314</v>
      </c>
      <c r="AE144" s="3">
        <f t="shared" si="10"/>
        <v>1.960784314</v>
      </c>
      <c r="AF144" s="3">
        <f t="shared" si="11"/>
        <v>1.960784314</v>
      </c>
      <c r="AG144" s="3">
        <f t="shared" si="12"/>
        <v>0.2</v>
      </c>
    </row>
    <row r="145">
      <c r="A145" s="1" t="s">
        <v>8</v>
      </c>
      <c r="B145" s="1" t="s">
        <v>251</v>
      </c>
      <c r="C145" s="1" t="s">
        <v>21</v>
      </c>
      <c r="D145" s="1" t="s">
        <v>88</v>
      </c>
      <c r="E145" s="1" t="s">
        <v>110</v>
      </c>
      <c r="F145" s="1" t="s">
        <v>580</v>
      </c>
      <c r="G145" s="1">
        <v>2.5</v>
      </c>
      <c r="H145" s="1" t="s">
        <v>60</v>
      </c>
      <c r="I145" s="1">
        <v>-128.0</v>
      </c>
      <c r="J145" s="1">
        <v>-0.17838549526959</v>
      </c>
      <c r="K145" s="1" t="s">
        <v>61</v>
      </c>
      <c r="L145" s="1" t="s">
        <v>61</v>
      </c>
      <c r="M145" s="1" t="s">
        <v>62</v>
      </c>
      <c r="N145" s="1">
        <v>-106.0</v>
      </c>
      <c r="O145" s="1">
        <v>0.102433080081332</v>
      </c>
      <c r="P145" s="1" t="s">
        <v>61</v>
      </c>
      <c r="Q145" s="1" t="s">
        <v>61</v>
      </c>
      <c r="R145" s="1">
        <f t="shared" si="1"/>
        <v>0.1024330801</v>
      </c>
      <c r="S145" s="1">
        <f t="shared" si="2"/>
        <v>-106</v>
      </c>
      <c r="T145" s="1">
        <f t="shared" si="3"/>
        <v>1.943396226</v>
      </c>
      <c r="U145" s="1">
        <f t="shared" si="4"/>
        <v>0</v>
      </c>
      <c r="V145" s="3">
        <f t="shared" si="5"/>
        <v>3</v>
      </c>
      <c r="W145" s="3">
        <f t="shared" si="6"/>
        <v>2</v>
      </c>
      <c r="X145" s="3" t="str">
        <f>IFERROR(__xludf.DUMMYFUNCTION("split(B145,"" "")"),"D.")</f>
        <v>D.</v>
      </c>
      <c r="Y145" s="3" t="str">
        <f>IFERROR(__xludf.DUMMYFUNCTION("""COMPUTED_VALUE"""),"Prescott")</f>
        <v>Prescott</v>
      </c>
      <c r="AA145" s="3">
        <v>1.0</v>
      </c>
      <c r="AB145" s="3">
        <f t="shared" si="7"/>
        <v>0</v>
      </c>
      <c r="AC145" s="3">
        <f t="shared" si="8"/>
        <v>1</v>
      </c>
      <c r="AD145" s="3">
        <f t="shared" si="9"/>
        <v>2.830188679</v>
      </c>
      <c r="AE145" s="3">
        <f t="shared" si="10"/>
        <v>2.830188679</v>
      </c>
      <c r="AF145" s="3">
        <f t="shared" si="11"/>
        <v>1.886792453</v>
      </c>
      <c r="AG145" s="3">
        <f t="shared" si="12"/>
        <v>0.6</v>
      </c>
    </row>
    <row r="146">
      <c r="A146" s="1" t="s">
        <v>9</v>
      </c>
      <c r="B146" s="1" t="s">
        <v>375</v>
      </c>
      <c r="C146" s="1" t="s">
        <v>19</v>
      </c>
      <c r="D146" s="1" t="s">
        <v>88</v>
      </c>
      <c r="E146" s="1" t="s">
        <v>110</v>
      </c>
      <c r="F146" s="1" t="s">
        <v>580</v>
      </c>
      <c r="G146" s="1">
        <v>20.5</v>
      </c>
      <c r="H146" s="1" t="s">
        <v>60</v>
      </c>
      <c r="I146" s="1">
        <v>-115.0</v>
      </c>
      <c r="J146" s="1">
        <v>0.0929260105267347</v>
      </c>
      <c r="K146" s="1" t="s">
        <v>61</v>
      </c>
      <c r="L146" s="1" t="s">
        <v>61</v>
      </c>
      <c r="M146" s="1" t="s">
        <v>62</v>
      </c>
      <c r="N146" s="1">
        <v>-117.0</v>
      </c>
      <c r="O146" s="1">
        <v>-0.16694994446083</v>
      </c>
      <c r="P146" s="1" t="s">
        <v>61</v>
      </c>
      <c r="Q146" s="1" t="s">
        <v>61</v>
      </c>
      <c r="R146" s="1">
        <f t="shared" si="1"/>
        <v>0.09292601053</v>
      </c>
      <c r="S146" s="1">
        <f t="shared" si="2"/>
        <v>-115</v>
      </c>
      <c r="T146" s="1">
        <f t="shared" si="3"/>
        <v>1.869565217</v>
      </c>
      <c r="U146" s="1">
        <f t="shared" si="4"/>
        <v>1</v>
      </c>
      <c r="V146" s="3">
        <f t="shared" si="5"/>
        <v>2</v>
      </c>
      <c r="W146" s="3">
        <f t="shared" si="6"/>
        <v>2</v>
      </c>
      <c r="X146" s="3" t="str">
        <f>IFERROR(__xludf.DUMMYFUNCTION("split(B146,"" "")"),"E.")</f>
        <v>E.</v>
      </c>
      <c r="Y146" s="3" t="str">
        <f>IFERROR(__xludf.DUMMYFUNCTION("""COMPUTED_VALUE"""),"Elliott")</f>
        <v>Elliott</v>
      </c>
      <c r="AA146" s="3">
        <v>17.0</v>
      </c>
      <c r="AB146" s="3">
        <f t="shared" si="7"/>
        <v>0</v>
      </c>
      <c r="AC146" s="3">
        <f t="shared" si="8"/>
        <v>0</v>
      </c>
      <c r="AD146" s="3">
        <f t="shared" si="9"/>
        <v>1.739130435</v>
      </c>
      <c r="AE146" s="3">
        <f t="shared" si="10"/>
        <v>-2</v>
      </c>
      <c r="AF146" s="3">
        <f t="shared" si="11"/>
        <v>-2</v>
      </c>
      <c r="AG146" s="3">
        <f t="shared" si="12"/>
        <v>-0.1707317073</v>
      </c>
    </row>
    <row r="147">
      <c r="A147" s="1" t="s">
        <v>17</v>
      </c>
      <c r="B147" s="1" t="s">
        <v>251</v>
      </c>
      <c r="C147" s="1" t="s">
        <v>21</v>
      </c>
      <c r="D147" s="1" t="s">
        <v>88</v>
      </c>
      <c r="E147" s="1" t="s">
        <v>110</v>
      </c>
      <c r="F147" s="1" t="s">
        <v>580</v>
      </c>
      <c r="G147" s="1">
        <v>0.5</v>
      </c>
      <c r="H147" s="1" t="s">
        <v>60</v>
      </c>
      <c r="I147" s="1">
        <v>-139.0</v>
      </c>
      <c r="J147" s="1">
        <v>-0.13073179916318</v>
      </c>
      <c r="K147" s="1" t="s">
        <v>61</v>
      </c>
      <c r="L147" s="1" t="s">
        <v>61</v>
      </c>
      <c r="M147" s="1" t="s">
        <v>62</v>
      </c>
      <c r="N147" s="1">
        <v>106.0</v>
      </c>
      <c r="O147" s="1">
        <v>0.0637116504854369</v>
      </c>
      <c r="P147" s="1" t="s">
        <v>61</v>
      </c>
      <c r="Q147" s="1" t="s">
        <v>61</v>
      </c>
      <c r="R147" s="1">
        <f t="shared" si="1"/>
        <v>0.06371165049</v>
      </c>
      <c r="S147" s="1">
        <f t="shared" si="2"/>
        <v>106</v>
      </c>
      <c r="T147" s="1">
        <f t="shared" si="3"/>
        <v>2.06</v>
      </c>
      <c r="U147" s="1">
        <f t="shared" si="4"/>
        <v>0</v>
      </c>
      <c r="V147" s="3">
        <f t="shared" si="5"/>
        <v>2</v>
      </c>
      <c r="W147" s="3">
        <f t="shared" si="6"/>
        <v>2</v>
      </c>
      <c r="X147" s="3" t="str">
        <f>IFERROR(__xludf.DUMMYFUNCTION("split(B147,"" "")"),"D.")</f>
        <v>D.</v>
      </c>
      <c r="Y147" s="3" t="str">
        <f>IFERROR(__xludf.DUMMYFUNCTION("""COMPUTED_VALUE"""),"Prescott")</f>
        <v>Prescott</v>
      </c>
      <c r="AA147" s="3">
        <v>2.0</v>
      </c>
      <c r="AB147" s="3">
        <f t="shared" si="7"/>
        <v>1</v>
      </c>
      <c r="AC147" s="3">
        <f t="shared" si="8"/>
        <v>0</v>
      </c>
      <c r="AD147" s="3">
        <f t="shared" si="9"/>
        <v>2.12</v>
      </c>
      <c r="AE147" s="3">
        <f t="shared" si="10"/>
        <v>-2</v>
      </c>
      <c r="AF147" s="3">
        <f t="shared" si="11"/>
        <v>-2</v>
      </c>
      <c r="AG147" s="3">
        <f t="shared" si="12"/>
        <v>-3</v>
      </c>
    </row>
    <row r="148">
      <c r="A148" s="1" t="s">
        <v>15</v>
      </c>
      <c r="B148" s="1" t="s">
        <v>251</v>
      </c>
      <c r="C148" s="1" t="s">
        <v>21</v>
      </c>
      <c r="D148" s="1" t="s">
        <v>88</v>
      </c>
      <c r="E148" s="1" t="s">
        <v>110</v>
      </c>
      <c r="F148" s="1" t="s">
        <v>580</v>
      </c>
      <c r="G148" s="1">
        <v>22.5</v>
      </c>
      <c r="H148" s="1" t="s">
        <v>60</v>
      </c>
      <c r="I148" s="1">
        <v>-117.0</v>
      </c>
      <c r="J148" s="1">
        <v>0.0634216589861751</v>
      </c>
      <c r="K148" s="1" t="s">
        <v>61</v>
      </c>
      <c r="L148" s="1" t="s">
        <v>61</v>
      </c>
      <c r="M148" s="1" t="s">
        <v>62</v>
      </c>
      <c r="N148" s="1">
        <v>-112.0</v>
      </c>
      <c r="O148" s="1">
        <v>-0.130907547169811</v>
      </c>
      <c r="P148" s="1" t="s">
        <v>61</v>
      </c>
      <c r="Q148" s="1" t="s">
        <v>61</v>
      </c>
      <c r="R148" s="1">
        <f t="shared" si="1"/>
        <v>0.06342165899</v>
      </c>
      <c r="S148" s="1">
        <f t="shared" si="2"/>
        <v>-117</v>
      </c>
      <c r="T148" s="1">
        <f t="shared" si="3"/>
        <v>1.854700855</v>
      </c>
      <c r="U148" s="1">
        <f t="shared" si="4"/>
        <v>1</v>
      </c>
      <c r="V148" s="3">
        <f t="shared" si="5"/>
        <v>2</v>
      </c>
      <c r="W148" s="3">
        <f t="shared" si="6"/>
        <v>2</v>
      </c>
      <c r="X148" s="3" t="str">
        <f>IFERROR(__xludf.DUMMYFUNCTION("split(B148,"" "")"),"D.")</f>
        <v>D.</v>
      </c>
      <c r="Y148" s="3" t="str">
        <f>IFERROR(__xludf.DUMMYFUNCTION("""COMPUTED_VALUE"""),"Prescott")</f>
        <v>Prescott</v>
      </c>
      <c r="AA148" s="3">
        <v>29.0</v>
      </c>
      <c r="AB148" s="3">
        <f t="shared" si="7"/>
        <v>1</v>
      </c>
      <c r="AC148" s="3">
        <f t="shared" si="8"/>
        <v>1</v>
      </c>
      <c r="AD148" s="3">
        <f t="shared" si="9"/>
        <v>1.709401709</v>
      </c>
      <c r="AE148" s="3">
        <f t="shared" si="10"/>
        <v>1.709401709</v>
      </c>
      <c r="AF148" s="3">
        <f t="shared" si="11"/>
        <v>1.709401709</v>
      </c>
      <c r="AG148" s="3">
        <f t="shared" si="12"/>
        <v>0.2888888889</v>
      </c>
    </row>
    <row r="149">
      <c r="A149" s="1" t="s">
        <v>11</v>
      </c>
      <c r="B149" s="1" t="s">
        <v>572</v>
      </c>
      <c r="C149" s="1" t="s">
        <v>18</v>
      </c>
      <c r="D149" s="1" t="s">
        <v>88</v>
      </c>
      <c r="E149" s="1" t="s">
        <v>110</v>
      </c>
      <c r="F149" s="1" t="s">
        <v>580</v>
      </c>
      <c r="G149" s="1">
        <v>12.5</v>
      </c>
      <c r="H149" s="1" t="s">
        <v>60</v>
      </c>
      <c r="I149" s="1">
        <v>-110.0</v>
      </c>
      <c r="J149" s="1">
        <v>0.0576629162655952</v>
      </c>
      <c r="K149" s="1" t="s">
        <v>61</v>
      </c>
      <c r="L149" s="1" t="s">
        <v>61</v>
      </c>
      <c r="M149" s="1" t="s">
        <v>62</v>
      </c>
      <c r="N149" s="1">
        <v>-120.0</v>
      </c>
      <c r="O149" s="1">
        <v>-0.126893885904227</v>
      </c>
      <c r="P149" s="1" t="s">
        <v>61</v>
      </c>
      <c r="Q149" s="1" t="s">
        <v>61</v>
      </c>
      <c r="R149" s="1">
        <f t="shared" si="1"/>
        <v>0.05766291627</v>
      </c>
      <c r="S149" s="1">
        <f t="shared" si="2"/>
        <v>-110</v>
      </c>
      <c r="T149" s="1">
        <f t="shared" si="3"/>
        <v>1.909090909</v>
      </c>
      <c r="U149" s="1">
        <f t="shared" si="4"/>
        <v>1</v>
      </c>
      <c r="V149" s="3">
        <f t="shared" si="5"/>
        <v>2</v>
      </c>
      <c r="W149" s="3">
        <f t="shared" si="6"/>
        <v>2</v>
      </c>
      <c r="X149" s="3" t="str">
        <f>IFERROR(__xludf.DUMMYFUNCTION("split(B149,"" "")"),"J.")</f>
        <v>J.</v>
      </c>
      <c r="Y149" s="3" t="str">
        <f>IFERROR(__xludf.DUMMYFUNCTION("""COMPUTED_VALUE"""),"Brooks")</f>
        <v>Brooks</v>
      </c>
      <c r="AA149" s="3">
        <v>10.0</v>
      </c>
      <c r="AB149" s="3">
        <f t="shared" si="7"/>
        <v>0</v>
      </c>
      <c r="AC149" s="3">
        <f t="shared" si="8"/>
        <v>0</v>
      </c>
      <c r="AD149" s="3">
        <f t="shared" si="9"/>
        <v>1.818181818</v>
      </c>
      <c r="AE149" s="3">
        <f t="shared" si="10"/>
        <v>-2</v>
      </c>
      <c r="AF149" s="3">
        <f t="shared" si="11"/>
        <v>-2</v>
      </c>
      <c r="AG149" s="3">
        <f t="shared" si="12"/>
        <v>-0.2</v>
      </c>
    </row>
    <row r="150">
      <c r="A150" s="1" t="s">
        <v>10</v>
      </c>
      <c r="B150" s="1" t="s">
        <v>152</v>
      </c>
      <c r="C150" s="1" t="s">
        <v>19</v>
      </c>
      <c r="D150" s="1" t="s">
        <v>88</v>
      </c>
      <c r="E150" s="1" t="s">
        <v>110</v>
      </c>
      <c r="F150" s="1" t="s">
        <v>580</v>
      </c>
      <c r="G150" s="1">
        <v>42.5</v>
      </c>
      <c r="H150" s="1" t="s">
        <v>60</v>
      </c>
      <c r="I150" s="1">
        <v>-115.0</v>
      </c>
      <c r="J150" s="1">
        <v>-0.116816671782455</v>
      </c>
      <c r="K150" s="1" t="s">
        <v>61</v>
      </c>
      <c r="L150" s="1" t="s">
        <v>61</v>
      </c>
      <c r="M150" s="1" t="s">
        <v>62</v>
      </c>
      <c r="N150" s="1">
        <v>-114.0</v>
      </c>
      <c r="O150" s="1">
        <v>0.0492414940080369</v>
      </c>
      <c r="P150" s="1" t="s">
        <v>61</v>
      </c>
      <c r="Q150" s="1" t="s">
        <v>61</v>
      </c>
      <c r="R150" s="1">
        <f t="shared" si="1"/>
        <v>0.04924149401</v>
      </c>
      <c r="S150" s="1">
        <f t="shared" si="2"/>
        <v>-114</v>
      </c>
      <c r="T150" s="1">
        <f t="shared" si="3"/>
        <v>1.877192982</v>
      </c>
      <c r="U150" s="1">
        <f t="shared" si="4"/>
        <v>0</v>
      </c>
      <c r="V150" s="3">
        <f t="shared" si="5"/>
        <v>1</v>
      </c>
      <c r="W150" s="3">
        <f t="shared" si="6"/>
        <v>2</v>
      </c>
      <c r="X150" s="3" t="str">
        <f>IFERROR(__xludf.DUMMYFUNCTION("split(B150,"" "")"),"R.")</f>
        <v>R.</v>
      </c>
      <c r="Y150" s="3" t="str">
        <f>IFERROR(__xludf.DUMMYFUNCTION("""COMPUTED_VALUE"""),"Dowdle")</f>
        <v>Dowdle</v>
      </c>
      <c r="AA150" s="3">
        <v>87.0</v>
      </c>
      <c r="AB150" s="3">
        <f t="shared" si="7"/>
        <v>1</v>
      </c>
      <c r="AC150" s="3">
        <f t="shared" si="8"/>
        <v>0</v>
      </c>
      <c r="AD150" s="3">
        <f t="shared" si="9"/>
        <v>0.8771929825</v>
      </c>
      <c r="AE150" s="3">
        <f t="shared" si="10"/>
        <v>-1</v>
      </c>
      <c r="AF150" s="3">
        <f t="shared" si="11"/>
        <v>-2</v>
      </c>
      <c r="AG150" s="3">
        <f t="shared" si="12"/>
        <v>-1.047058824</v>
      </c>
    </row>
    <row r="151">
      <c r="A151" s="1" t="s">
        <v>12</v>
      </c>
      <c r="B151" s="1" t="s">
        <v>412</v>
      </c>
      <c r="C151" s="1" t="s">
        <v>20</v>
      </c>
      <c r="D151" s="1" t="s">
        <v>88</v>
      </c>
      <c r="E151" s="1" t="s">
        <v>110</v>
      </c>
      <c r="F151" s="1" t="s">
        <v>580</v>
      </c>
      <c r="G151" s="1">
        <v>4.5</v>
      </c>
      <c r="H151" s="1" t="s">
        <v>60</v>
      </c>
      <c r="I151" s="1">
        <v>-134.0</v>
      </c>
      <c r="J151" s="1">
        <v>-0.102606837606837</v>
      </c>
      <c r="K151" s="1" t="s">
        <v>61</v>
      </c>
      <c r="L151" s="1" t="s">
        <v>61</v>
      </c>
      <c r="M151" s="1" t="s">
        <v>62</v>
      </c>
      <c r="N151" s="1">
        <v>104.0</v>
      </c>
      <c r="O151" s="1">
        <v>0.0397549019607842</v>
      </c>
      <c r="P151" s="1" t="s">
        <v>61</v>
      </c>
      <c r="Q151" s="1" t="s">
        <v>61</v>
      </c>
      <c r="R151" s="1">
        <f t="shared" si="1"/>
        <v>0.03975490196</v>
      </c>
      <c r="S151" s="1">
        <f t="shared" si="2"/>
        <v>104</v>
      </c>
      <c r="T151" s="1">
        <f t="shared" si="3"/>
        <v>2.04</v>
      </c>
      <c r="U151" s="1">
        <f t="shared" si="4"/>
        <v>0</v>
      </c>
      <c r="V151" s="3">
        <f t="shared" si="5"/>
        <v>1</v>
      </c>
      <c r="W151" s="3">
        <f t="shared" si="6"/>
        <v>2</v>
      </c>
      <c r="X151" s="3" t="str">
        <f>IFERROR(__xludf.DUMMYFUNCTION("split(B151,"" "")"),"J.")</f>
        <v>J.</v>
      </c>
      <c r="Y151" s="3" t="str">
        <f>IFERROR(__xludf.DUMMYFUNCTION("""COMPUTED_VALUE"""),"Ferguson")</f>
        <v>Ferguson</v>
      </c>
      <c r="AA151" s="3">
        <v>6.0</v>
      </c>
      <c r="AB151" s="3">
        <f t="shared" si="7"/>
        <v>1</v>
      </c>
      <c r="AC151" s="3">
        <f t="shared" si="8"/>
        <v>0</v>
      </c>
      <c r="AD151" s="3">
        <f t="shared" si="9"/>
        <v>1.04</v>
      </c>
      <c r="AE151" s="3">
        <f t="shared" si="10"/>
        <v>-1</v>
      </c>
      <c r="AF151" s="3">
        <f t="shared" si="11"/>
        <v>-2</v>
      </c>
      <c r="AG151" s="3">
        <f t="shared" si="12"/>
        <v>-0.3333333333</v>
      </c>
    </row>
    <row r="152">
      <c r="A152" s="1" t="s">
        <v>9</v>
      </c>
      <c r="B152" s="1" t="s">
        <v>87</v>
      </c>
      <c r="C152" s="1" t="s">
        <v>18</v>
      </c>
      <c r="D152" s="1" t="s">
        <v>88</v>
      </c>
      <c r="E152" s="1" t="s">
        <v>110</v>
      </c>
      <c r="F152" s="1" t="s">
        <v>580</v>
      </c>
      <c r="G152" s="1">
        <v>34.5</v>
      </c>
      <c r="H152" s="1" t="s">
        <v>60</v>
      </c>
      <c r="I152" s="1">
        <v>-117.0</v>
      </c>
      <c r="J152" s="1">
        <v>0.0368698403639993</v>
      </c>
      <c r="K152" s="1" t="s">
        <v>61</v>
      </c>
      <c r="L152" s="1" t="s">
        <v>61</v>
      </c>
      <c r="M152" s="1" t="s">
        <v>62</v>
      </c>
      <c r="N152" s="1">
        <v>-115.0</v>
      </c>
      <c r="O152" s="1">
        <v>-0.110914482152725</v>
      </c>
      <c r="P152" s="1" t="s">
        <v>61</v>
      </c>
      <c r="Q152" s="1" t="s">
        <v>61</v>
      </c>
      <c r="R152" s="1">
        <f t="shared" si="1"/>
        <v>0.03686984036</v>
      </c>
      <c r="S152" s="1">
        <f t="shared" si="2"/>
        <v>-117</v>
      </c>
      <c r="T152" s="1">
        <f t="shared" si="3"/>
        <v>1.854700855</v>
      </c>
      <c r="U152" s="1">
        <f t="shared" si="4"/>
        <v>1</v>
      </c>
      <c r="V152" s="3">
        <f t="shared" si="5"/>
        <v>1</v>
      </c>
      <c r="W152" s="3">
        <f t="shared" si="6"/>
        <v>2</v>
      </c>
      <c r="X152" s="3" t="str">
        <f>IFERROR(__xludf.DUMMYFUNCTION("split(B152,"" "")"),"J.")</f>
        <v>J.</v>
      </c>
      <c r="Y152" s="3" t="str">
        <f>IFERROR(__xludf.DUMMYFUNCTION("""COMPUTED_VALUE"""),"Tolbert")</f>
        <v>Tolbert</v>
      </c>
      <c r="AA152" s="3">
        <v>87.0</v>
      </c>
      <c r="AB152" s="3">
        <f t="shared" si="7"/>
        <v>1</v>
      </c>
      <c r="AC152" s="3">
        <f t="shared" si="8"/>
        <v>1</v>
      </c>
      <c r="AD152" s="3">
        <f t="shared" si="9"/>
        <v>0.8547008547</v>
      </c>
      <c r="AE152" s="3">
        <f t="shared" si="10"/>
        <v>0.8547008547</v>
      </c>
      <c r="AF152" s="3">
        <f t="shared" si="11"/>
        <v>1.709401709</v>
      </c>
      <c r="AG152" s="3">
        <f t="shared" si="12"/>
        <v>1.52173913</v>
      </c>
    </row>
    <row r="153">
      <c r="A153" s="1" t="s">
        <v>14</v>
      </c>
      <c r="B153" s="1" t="s">
        <v>251</v>
      </c>
      <c r="C153" s="1" t="s">
        <v>21</v>
      </c>
      <c r="D153" s="1" t="s">
        <v>88</v>
      </c>
      <c r="E153" s="1" t="s">
        <v>110</v>
      </c>
      <c r="F153" s="1" t="s">
        <v>580</v>
      </c>
      <c r="G153" s="1">
        <v>1.5</v>
      </c>
      <c r="H153" s="1" t="s">
        <v>60</v>
      </c>
      <c r="I153" s="1">
        <v>115.0</v>
      </c>
      <c r="J153" s="1">
        <v>0.0288837209302325</v>
      </c>
      <c r="K153" s="1" t="s">
        <v>61</v>
      </c>
      <c r="L153" s="1" t="s">
        <v>61</v>
      </c>
      <c r="M153" s="1" t="s">
        <v>62</v>
      </c>
      <c r="N153" s="1">
        <v>-149.0</v>
      </c>
      <c r="O153" s="1">
        <v>-0.0923935742971887</v>
      </c>
      <c r="P153" s="1" t="s">
        <v>61</v>
      </c>
      <c r="Q153" s="1" t="s">
        <v>61</v>
      </c>
      <c r="R153" s="1">
        <f t="shared" si="1"/>
        <v>0.02888372093</v>
      </c>
      <c r="S153" s="1">
        <f t="shared" si="2"/>
        <v>115</v>
      </c>
      <c r="T153" s="1">
        <f t="shared" si="3"/>
        <v>2.15</v>
      </c>
      <c r="U153" s="1">
        <f t="shared" si="4"/>
        <v>1</v>
      </c>
      <c r="V153" s="3">
        <f t="shared" si="5"/>
        <v>1</v>
      </c>
      <c r="W153" s="3">
        <f t="shared" si="6"/>
        <v>1</v>
      </c>
      <c r="X153" s="3" t="str">
        <f>IFERROR(__xludf.DUMMYFUNCTION("split(B153,"" "")"),"D.")</f>
        <v>D.</v>
      </c>
      <c r="Y153" s="3" t="str">
        <f>IFERROR(__xludf.DUMMYFUNCTION("""COMPUTED_VALUE"""),"Prescott")</f>
        <v>Prescott</v>
      </c>
      <c r="AA153" s="3">
        <v>2.0</v>
      </c>
      <c r="AB153" s="3">
        <f t="shared" si="7"/>
        <v>1</v>
      </c>
      <c r="AC153" s="3">
        <f t="shared" si="8"/>
        <v>1</v>
      </c>
      <c r="AD153" s="3">
        <f t="shared" si="9"/>
        <v>1.15</v>
      </c>
      <c r="AE153" s="3">
        <f t="shared" si="10"/>
        <v>1.15</v>
      </c>
      <c r="AF153" s="3">
        <f t="shared" si="11"/>
        <v>1.15</v>
      </c>
      <c r="AG153" s="3">
        <f t="shared" si="12"/>
        <v>0.3333333333</v>
      </c>
    </row>
    <row r="154">
      <c r="A154" s="1" t="s">
        <v>9</v>
      </c>
      <c r="B154" s="1" t="s">
        <v>152</v>
      </c>
      <c r="C154" s="1" t="s">
        <v>19</v>
      </c>
      <c r="D154" s="1" t="s">
        <v>88</v>
      </c>
      <c r="E154" s="1" t="s">
        <v>110</v>
      </c>
      <c r="F154" s="1" t="s">
        <v>580</v>
      </c>
      <c r="G154" s="1">
        <v>62.5</v>
      </c>
      <c r="H154" s="1" t="s">
        <v>60</v>
      </c>
      <c r="I154" s="1">
        <v>-112.0</v>
      </c>
      <c r="J154" s="1">
        <v>-0.100669384929781</v>
      </c>
      <c r="K154" s="1" t="s">
        <v>61</v>
      </c>
      <c r="L154" s="1" t="s">
        <v>61</v>
      </c>
      <c r="M154" s="1" t="s">
        <v>62</v>
      </c>
      <c r="N154" s="1">
        <v>-120.0</v>
      </c>
      <c r="O154" s="1">
        <v>0.0269391433006203</v>
      </c>
      <c r="P154" s="1" t="s">
        <v>61</v>
      </c>
      <c r="Q154" s="1" t="s">
        <v>61</v>
      </c>
      <c r="R154" s="1">
        <f t="shared" si="1"/>
        <v>0.0269391433</v>
      </c>
      <c r="S154" s="1">
        <f t="shared" si="2"/>
        <v>-120</v>
      </c>
      <c r="T154" s="1">
        <f t="shared" si="3"/>
        <v>1.833333333</v>
      </c>
      <c r="U154" s="1">
        <f t="shared" si="4"/>
        <v>0</v>
      </c>
      <c r="V154" s="3">
        <f t="shared" si="5"/>
        <v>1</v>
      </c>
      <c r="W154" s="3">
        <f t="shared" si="6"/>
        <v>3</v>
      </c>
      <c r="X154" s="3" t="str">
        <f>IFERROR(__xludf.DUMMYFUNCTION("split(B154,"" "")"),"R.")</f>
        <v>R.</v>
      </c>
      <c r="Y154" s="3" t="str">
        <f>IFERROR(__xludf.DUMMYFUNCTION("""COMPUTED_VALUE"""),"Dowdle")</f>
        <v>Dowdle</v>
      </c>
      <c r="AA154" s="3">
        <v>114.0</v>
      </c>
      <c r="AB154" s="3">
        <f t="shared" si="7"/>
        <v>1</v>
      </c>
      <c r="AC154" s="3">
        <f t="shared" si="8"/>
        <v>0</v>
      </c>
      <c r="AD154" s="3">
        <f t="shared" si="9"/>
        <v>0.8333333333</v>
      </c>
      <c r="AE154" s="3">
        <f t="shared" si="10"/>
        <v>-1</v>
      </c>
      <c r="AF154" s="3">
        <f t="shared" si="11"/>
        <v>-3</v>
      </c>
      <c r="AG154" s="3">
        <f t="shared" si="12"/>
        <v>-0.824</v>
      </c>
    </row>
    <row r="155">
      <c r="A155" s="1" t="s">
        <v>11</v>
      </c>
      <c r="B155" s="1" t="s">
        <v>412</v>
      </c>
      <c r="C155" s="1" t="s">
        <v>20</v>
      </c>
      <c r="D155" s="1" t="s">
        <v>88</v>
      </c>
      <c r="E155" s="1" t="s">
        <v>110</v>
      </c>
      <c r="F155" s="1" t="s">
        <v>580</v>
      </c>
      <c r="G155" s="1">
        <v>46.5</v>
      </c>
      <c r="H155" s="1" t="s">
        <v>60</v>
      </c>
      <c r="I155" s="1">
        <v>-113.0</v>
      </c>
      <c r="J155" s="1">
        <v>-0.0877719752846479</v>
      </c>
      <c r="K155" s="1" t="s">
        <v>61</v>
      </c>
      <c r="L155" s="1" t="s">
        <v>61</v>
      </c>
      <c r="M155" s="1" t="s">
        <v>62</v>
      </c>
      <c r="N155" s="1">
        <v>-114.0</v>
      </c>
      <c r="O155" s="1">
        <v>0.0245385217926261</v>
      </c>
      <c r="P155" s="1" t="s">
        <v>61</v>
      </c>
      <c r="Q155" s="1" t="s">
        <v>61</v>
      </c>
      <c r="R155" s="1">
        <f t="shared" si="1"/>
        <v>0.02453852179</v>
      </c>
      <c r="S155" s="1">
        <f t="shared" si="2"/>
        <v>-114</v>
      </c>
      <c r="T155" s="1">
        <f t="shared" si="3"/>
        <v>1.877192982</v>
      </c>
      <c r="U155" s="1">
        <f t="shared" si="4"/>
        <v>0</v>
      </c>
      <c r="V155" s="3">
        <f t="shared" si="5"/>
        <v>1</v>
      </c>
      <c r="W155" s="3">
        <f t="shared" si="6"/>
        <v>2</v>
      </c>
      <c r="X155" s="3" t="str">
        <f>IFERROR(__xludf.DUMMYFUNCTION("split(B155,"" "")"),"J.")</f>
        <v>J.</v>
      </c>
      <c r="Y155" s="3" t="str">
        <f>IFERROR(__xludf.DUMMYFUNCTION("""COMPUTED_VALUE"""),"Ferguson")</f>
        <v>Ferguson</v>
      </c>
      <c r="AA155" s="3">
        <v>70.0</v>
      </c>
      <c r="AB155" s="3">
        <f t="shared" si="7"/>
        <v>1</v>
      </c>
      <c r="AC155" s="3">
        <f t="shared" si="8"/>
        <v>0</v>
      </c>
      <c r="AD155" s="3">
        <f t="shared" si="9"/>
        <v>0.8771929825</v>
      </c>
      <c r="AE155" s="3">
        <f t="shared" si="10"/>
        <v>-1</v>
      </c>
      <c r="AF155" s="3">
        <f t="shared" si="11"/>
        <v>-2</v>
      </c>
      <c r="AG155" s="3">
        <f t="shared" si="12"/>
        <v>-0.5053763441</v>
      </c>
    </row>
    <row r="156">
      <c r="A156" s="1" t="s">
        <v>16</v>
      </c>
      <c r="B156" s="1" t="s">
        <v>251</v>
      </c>
      <c r="C156" s="1" t="s">
        <v>21</v>
      </c>
      <c r="D156" s="1" t="s">
        <v>88</v>
      </c>
      <c r="E156" s="1" t="s">
        <v>110</v>
      </c>
      <c r="F156" s="1" t="s">
        <v>580</v>
      </c>
      <c r="G156" s="1">
        <v>34.5</v>
      </c>
      <c r="H156" s="1" t="s">
        <v>60</v>
      </c>
      <c r="I156" s="1">
        <v>-114.0</v>
      </c>
      <c r="J156" s="1">
        <v>0.0211362073336448</v>
      </c>
      <c r="K156" s="1" t="s">
        <v>61</v>
      </c>
      <c r="L156" s="1" t="s">
        <v>61</v>
      </c>
      <c r="M156" s="1" t="s">
        <v>62</v>
      </c>
      <c r="N156" s="1">
        <v>-115.0</v>
      </c>
      <c r="O156" s="1">
        <v>-0.0887369986511628</v>
      </c>
      <c r="P156" s="1" t="s">
        <v>61</v>
      </c>
      <c r="Q156" s="1" t="s">
        <v>61</v>
      </c>
      <c r="R156" s="1">
        <f t="shared" si="1"/>
        <v>0.02113620733</v>
      </c>
      <c r="S156" s="1">
        <f t="shared" si="2"/>
        <v>-114</v>
      </c>
      <c r="T156" s="1">
        <f t="shared" si="3"/>
        <v>1.877192982</v>
      </c>
      <c r="U156" s="1">
        <f t="shared" si="4"/>
        <v>1</v>
      </c>
      <c r="V156" s="3">
        <f t="shared" si="5"/>
        <v>1</v>
      </c>
      <c r="W156" s="3">
        <f t="shared" si="6"/>
        <v>2</v>
      </c>
      <c r="X156" s="3" t="str">
        <f>IFERROR(__xludf.DUMMYFUNCTION("split(B156,"" "")"),"D.")</f>
        <v>D.</v>
      </c>
      <c r="Y156" s="3" t="str">
        <f>IFERROR(__xludf.DUMMYFUNCTION("""COMPUTED_VALUE"""),"Prescott")</f>
        <v>Prescott</v>
      </c>
      <c r="AA156" s="3">
        <v>42.0</v>
      </c>
      <c r="AB156" s="3">
        <f t="shared" si="7"/>
        <v>1</v>
      </c>
      <c r="AC156" s="3">
        <f t="shared" si="8"/>
        <v>1</v>
      </c>
      <c r="AD156" s="3">
        <f t="shared" si="9"/>
        <v>0.8771929825</v>
      </c>
      <c r="AE156" s="3">
        <f t="shared" si="10"/>
        <v>0.8771929825</v>
      </c>
      <c r="AF156" s="3">
        <f t="shared" si="11"/>
        <v>1.754385965</v>
      </c>
      <c r="AG156" s="3">
        <f t="shared" si="12"/>
        <v>0.2173913043</v>
      </c>
    </row>
    <row r="157">
      <c r="A157" s="1" t="s">
        <v>10</v>
      </c>
      <c r="B157" s="1" t="s">
        <v>375</v>
      </c>
      <c r="C157" s="1" t="s">
        <v>19</v>
      </c>
      <c r="D157" s="1" t="s">
        <v>88</v>
      </c>
      <c r="E157" s="1" t="s">
        <v>110</v>
      </c>
      <c r="F157" s="1" t="s">
        <v>580</v>
      </c>
      <c r="G157" s="1">
        <v>14.5</v>
      </c>
      <c r="H157" s="1" t="s">
        <v>60</v>
      </c>
      <c r="I157" s="1">
        <v>-115.0</v>
      </c>
      <c r="J157" s="1">
        <v>-0.0868864841751301</v>
      </c>
      <c r="K157" s="1" t="s">
        <v>61</v>
      </c>
      <c r="L157" s="1" t="s">
        <v>61</v>
      </c>
      <c r="M157" s="1" t="s">
        <v>62</v>
      </c>
      <c r="N157" s="1">
        <v>-114.0</v>
      </c>
      <c r="O157" s="1">
        <v>0.0192783517351607</v>
      </c>
      <c r="P157" s="1" t="s">
        <v>61</v>
      </c>
      <c r="Q157" s="1" t="s">
        <v>61</v>
      </c>
      <c r="R157" s="1">
        <f t="shared" si="1"/>
        <v>0.01927835174</v>
      </c>
      <c r="S157" s="1">
        <f t="shared" si="2"/>
        <v>-114</v>
      </c>
      <c r="T157" s="1">
        <f t="shared" si="3"/>
        <v>1.877192982</v>
      </c>
      <c r="U157" s="1">
        <f t="shared" si="4"/>
        <v>0</v>
      </c>
      <c r="V157" s="3">
        <f t="shared" si="5"/>
        <v>1</v>
      </c>
      <c r="W157" s="3">
        <f t="shared" si="6"/>
        <v>2</v>
      </c>
      <c r="X157" s="3" t="str">
        <f>IFERROR(__xludf.DUMMYFUNCTION("split(B157,"" "")"),"E.")</f>
        <v>E.</v>
      </c>
      <c r="Y157" s="3" t="str">
        <f>IFERROR(__xludf.DUMMYFUNCTION("""COMPUTED_VALUE"""),"Elliott")</f>
        <v>Elliott</v>
      </c>
      <c r="AA157" s="3">
        <v>17.0</v>
      </c>
      <c r="AB157" s="3">
        <f t="shared" si="7"/>
        <v>1</v>
      </c>
      <c r="AC157" s="3">
        <f t="shared" si="8"/>
        <v>0</v>
      </c>
      <c r="AD157" s="3">
        <f t="shared" si="9"/>
        <v>0.8771929825</v>
      </c>
      <c r="AE157" s="3">
        <f t="shared" si="10"/>
        <v>-1</v>
      </c>
      <c r="AF157" s="3">
        <f t="shared" si="11"/>
        <v>-2</v>
      </c>
      <c r="AG157" s="3">
        <f t="shared" si="12"/>
        <v>-0.1724137931</v>
      </c>
    </row>
    <row r="158">
      <c r="A158" s="1" t="s">
        <v>10</v>
      </c>
      <c r="B158" s="1" t="s">
        <v>251</v>
      </c>
      <c r="C158" s="1" t="s">
        <v>21</v>
      </c>
      <c r="D158" s="1" t="s">
        <v>88</v>
      </c>
      <c r="E158" s="1" t="s">
        <v>110</v>
      </c>
      <c r="F158" s="1" t="s">
        <v>580</v>
      </c>
      <c r="G158" s="1">
        <v>8.5</v>
      </c>
      <c r="H158" s="1" t="s">
        <v>60</v>
      </c>
      <c r="I158" s="1">
        <v>-112.0</v>
      </c>
      <c r="J158" s="1">
        <v>0.00727038170134308</v>
      </c>
      <c r="K158" s="1" t="s">
        <v>61</v>
      </c>
      <c r="L158" s="1" t="s">
        <v>61</v>
      </c>
      <c r="M158" s="1" t="s">
        <v>62</v>
      </c>
      <c r="N158" s="1">
        <v>-114.0</v>
      </c>
      <c r="O158" s="1">
        <v>-0.0682660273344887</v>
      </c>
      <c r="P158" s="1" t="s">
        <v>61</v>
      </c>
      <c r="Q158" s="1" t="s">
        <v>61</v>
      </c>
      <c r="R158" s="1">
        <f t="shared" si="1"/>
        <v>0.007270381701</v>
      </c>
      <c r="S158" s="1">
        <f t="shared" si="2"/>
        <v>-112</v>
      </c>
      <c r="T158" s="1">
        <f t="shared" si="3"/>
        <v>1.892857143</v>
      </c>
      <c r="U158" s="1">
        <f t="shared" si="4"/>
        <v>1</v>
      </c>
      <c r="V158" s="3">
        <f t="shared" si="5"/>
        <v>1</v>
      </c>
      <c r="W158" s="3">
        <f t="shared" si="6"/>
        <v>2</v>
      </c>
      <c r="X158" s="3" t="str">
        <f>IFERROR(__xludf.DUMMYFUNCTION("split(B158,"" "")"),"D.")</f>
        <v>D.</v>
      </c>
      <c r="Y158" s="3" t="str">
        <f>IFERROR(__xludf.DUMMYFUNCTION("""COMPUTED_VALUE"""),"Prescott")</f>
        <v>Prescott</v>
      </c>
      <c r="AA158" s="3">
        <v>3.0</v>
      </c>
      <c r="AB158" s="3">
        <f t="shared" si="7"/>
        <v>0</v>
      </c>
      <c r="AC158" s="3">
        <f t="shared" si="8"/>
        <v>0</v>
      </c>
      <c r="AD158" s="3">
        <f t="shared" si="9"/>
        <v>0.8928571429</v>
      </c>
      <c r="AE158" s="3">
        <f t="shared" si="10"/>
        <v>-1</v>
      </c>
      <c r="AF158" s="3">
        <f t="shared" si="11"/>
        <v>-2</v>
      </c>
      <c r="AG158" s="3">
        <f t="shared" si="12"/>
        <v>-0.6470588235</v>
      </c>
    </row>
    <row r="159">
      <c r="A159" s="1" t="s">
        <v>9</v>
      </c>
      <c r="B159" s="1" t="s">
        <v>395</v>
      </c>
      <c r="C159" s="1" t="s">
        <v>18</v>
      </c>
      <c r="D159" s="1" t="s">
        <v>88</v>
      </c>
      <c r="E159" s="1" t="s">
        <v>110</v>
      </c>
      <c r="F159" s="1" t="s">
        <v>580</v>
      </c>
      <c r="G159" s="1">
        <v>84.5</v>
      </c>
      <c r="H159" s="1" t="s">
        <v>60</v>
      </c>
      <c r="I159" s="1">
        <v>-118.0</v>
      </c>
      <c r="J159" s="1">
        <v>-0.0875674192140089</v>
      </c>
      <c r="K159" s="1" t="s">
        <v>61</v>
      </c>
      <c r="L159" s="1" t="s">
        <v>61</v>
      </c>
      <c r="M159" s="1" t="s">
        <v>62</v>
      </c>
      <c r="N159" s="1">
        <v>-117.0</v>
      </c>
      <c r="O159" s="1">
        <v>0.00712554566289913</v>
      </c>
      <c r="P159" s="1" t="s">
        <v>61</v>
      </c>
      <c r="Q159" s="1" t="s">
        <v>61</v>
      </c>
      <c r="R159" s="1">
        <f t="shared" si="1"/>
        <v>0.007125545663</v>
      </c>
      <c r="S159" s="1">
        <f t="shared" si="2"/>
        <v>-117</v>
      </c>
      <c r="T159" s="1">
        <f t="shared" si="3"/>
        <v>1.854700855</v>
      </c>
      <c r="U159" s="1">
        <f t="shared" si="4"/>
        <v>0</v>
      </c>
      <c r="V159" s="3">
        <f t="shared" si="5"/>
        <v>1</v>
      </c>
      <c r="W159" s="3">
        <f t="shared" si="6"/>
        <v>2</v>
      </c>
      <c r="X159" s="3" t="str">
        <f>IFERROR(__xludf.DUMMYFUNCTION("split(B159,"" "")"),"C.")</f>
        <v>C.</v>
      </c>
      <c r="Y159" s="3" t="str">
        <f>IFERROR(__xludf.DUMMYFUNCTION("""COMPUTED_VALUE"""),"Lamb")</f>
        <v>Lamb</v>
      </c>
      <c r="AA159" s="3">
        <v>64.0</v>
      </c>
      <c r="AB159" s="3">
        <f t="shared" si="7"/>
        <v>0</v>
      </c>
      <c r="AC159" s="3">
        <f t="shared" si="8"/>
        <v>1</v>
      </c>
      <c r="AD159" s="3">
        <f t="shared" si="9"/>
        <v>0.8547008547</v>
      </c>
      <c r="AE159" s="3">
        <f t="shared" si="10"/>
        <v>0.8547008547</v>
      </c>
      <c r="AF159" s="3">
        <f t="shared" si="11"/>
        <v>1.709401709</v>
      </c>
      <c r="AG159" s="3">
        <f t="shared" si="12"/>
        <v>0.2426035503</v>
      </c>
    </row>
    <row r="160">
      <c r="A160" s="1" t="s">
        <v>13</v>
      </c>
      <c r="B160" s="1" t="s">
        <v>251</v>
      </c>
      <c r="C160" s="1" t="s">
        <v>21</v>
      </c>
      <c r="D160" s="1" t="s">
        <v>88</v>
      </c>
      <c r="E160" s="1" t="s">
        <v>110</v>
      </c>
      <c r="F160" s="1" t="s">
        <v>580</v>
      </c>
      <c r="G160" s="1">
        <v>241.5</v>
      </c>
      <c r="H160" s="1" t="s">
        <v>60</v>
      </c>
      <c r="I160" s="1">
        <v>-114.0</v>
      </c>
      <c r="J160" s="1">
        <v>0.00181682242990643</v>
      </c>
      <c r="K160" s="1" t="s">
        <v>61</v>
      </c>
      <c r="L160" s="1" t="s">
        <v>61</v>
      </c>
      <c r="M160" s="1" t="s">
        <v>62</v>
      </c>
      <c r="N160" s="1">
        <v>-114.0</v>
      </c>
      <c r="O160" s="1">
        <v>-0.0672831775700933</v>
      </c>
      <c r="P160" s="1" t="s">
        <v>61</v>
      </c>
      <c r="Q160" s="1" t="s">
        <v>61</v>
      </c>
      <c r="R160" s="1">
        <f t="shared" si="1"/>
        <v>0.00181682243</v>
      </c>
      <c r="S160" s="1">
        <f t="shared" si="2"/>
        <v>-114</v>
      </c>
      <c r="T160" s="1">
        <f t="shared" si="3"/>
        <v>1.877192982</v>
      </c>
      <c r="U160" s="1">
        <f t="shared" si="4"/>
        <v>1</v>
      </c>
      <c r="V160" s="3">
        <f t="shared" si="5"/>
        <v>1</v>
      </c>
      <c r="W160" s="3">
        <f t="shared" si="6"/>
        <v>2</v>
      </c>
      <c r="X160" s="3" t="str">
        <f>IFERROR(__xludf.DUMMYFUNCTION("split(B160,"" "")"),"D.")</f>
        <v>D.</v>
      </c>
      <c r="Y160" s="3" t="str">
        <f>IFERROR(__xludf.DUMMYFUNCTION("""COMPUTED_VALUE"""),"Prescott")</f>
        <v>Prescott</v>
      </c>
      <c r="AA160" s="3">
        <v>352.0</v>
      </c>
      <c r="AB160" s="3">
        <f t="shared" si="7"/>
        <v>1</v>
      </c>
      <c r="AC160" s="3">
        <f t="shared" si="8"/>
        <v>1</v>
      </c>
      <c r="AD160" s="3">
        <f t="shared" si="9"/>
        <v>0.8771929825</v>
      </c>
      <c r="AE160" s="3">
        <f t="shared" si="10"/>
        <v>0.8771929825</v>
      </c>
      <c r="AF160" s="3">
        <f t="shared" si="11"/>
        <v>1.754385965</v>
      </c>
      <c r="AG160" s="3">
        <f t="shared" si="12"/>
        <v>0.4575569358</v>
      </c>
    </row>
    <row r="161">
      <c r="A161" s="1" t="s">
        <v>12</v>
      </c>
      <c r="B161" s="1" t="s">
        <v>312</v>
      </c>
      <c r="C161" s="1" t="s">
        <v>20</v>
      </c>
      <c r="D161" s="1" t="s">
        <v>83</v>
      </c>
      <c r="E161" s="1" t="s">
        <v>134</v>
      </c>
      <c r="F161" s="1" t="s">
        <v>574</v>
      </c>
      <c r="G161" s="1">
        <v>1.5</v>
      </c>
      <c r="H161" s="1" t="s">
        <v>60</v>
      </c>
      <c r="I161" s="1">
        <v>-155.0</v>
      </c>
      <c r="J161" s="1">
        <v>-0.231281546474509</v>
      </c>
      <c r="K161" s="1" t="s">
        <v>61</v>
      </c>
      <c r="L161" s="1" t="s">
        <v>61</v>
      </c>
      <c r="M161" s="1" t="s">
        <v>62</v>
      </c>
      <c r="N161" s="1">
        <v>118.0</v>
      </c>
      <c r="O161" s="1">
        <v>0.16472933188532</v>
      </c>
      <c r="P161" s="1" t="s">
        <v>61</v>
      </c>
      <c r="Q161" s="1" t="s">
        <v>61</v>
      </c>
      <c r="R161" s="1">
        <f t="shared" si="1"/>
        <v>0.1647293319</v>
      </c>
      <c r="S161" s="1">
        <f t="shared" si="2"/>
        <v>118</v>
      </c>
      <c r="T161" s="1">
        <f t="shared" si="3"/>
        <v>2.18</v>
      </c>
      <c r="U161" s="1">
        <f t="shared" si="4"/>
        <v>0</v>
      </c>
      <c r="V161" s="3">
        <f t="shared" si="5"/>
        <v>3</v>
      </c>
      <c r="W161" s="3">
        <f t="shared" si="6"/>
        <v>1</v>
      </c>
      <c r="X161" s="3" t="str">
        <f>IFERROR(__xludf.DUMMYFUNCTION("split(B161,"" "")"),"G.")</f>
        <v>G.</v>
      </c>
      <c r="Y161" s="3" t="str">
        <f>IFERROR(__xludf.DUMMYFUNCTION("""COMPUTED_VALUE"""),"Dulcich")</f>
        <v>Dulcich</v>
      </c>
      <c r="AA161" s="3">
        <f> iferror(VLOOKUP(Y161, 'Stat data'!C$2:Z9912,MATCH(A161,'Stat data'!C$1:Z$1,0), False), 0)</f>
        <v>0</v>
      </c>
      <c r="AB161" s="3">
        <f t="shared" si="7"/>
        <v>0</v>
      </c>
      <c r="AC161" s="3">
        <f t="shared" si="8"/>
        <v>1</v>
      </c>
      <c r="AD161" s="3">
        <f t="shared" si="9"/>
        <v>3.54</v>
      </c>
      <c r="AE161" s="3">
        <f t="shared" si="10"/>
        <v>3.54</v>
      </c>
      <c r="AF161" s="3">
        <f t="shared" si="11"/>
        <v>1.18</v>
      </c>
      <c r="AG161" s="3">
        <f t="shared" si="12"/>
        <v>1</v>
      </c>
    </row>
    <row r="162">
      <c r="A162" s="1" t="s">
        <v>14</v>
      </c>
      <c r="B162" s="1" t="s">
        <v>464</v>
      </c>
      <c r="C162" s="1" t="s">
        <v>21</v>
      </c>
      <c r="D162" s="1" t="s">
        <v>83</v>
      </c>
      <c r="E162" s="1" t="s">
        <v>134</v>
      </c>
      <c r="F162" s="1" t="s">
        <v>574</v>
      </c>
      <c r="G162" s="1">
        <v>0.5</v>
      </c>
      <c r="H162" s="1" t="s">
        <v>60</v>
      </c>
      <c r="I162" s="1">
        <v>-211.0</v>
      </c>
      <c r="J162" s="1">
        <v>-0.218787807299035</v>
      </c>
      <c r="K162" s="1" t="s">
        <v>61</v>
      </c>
      <c r="L162" s="1" t="s">
        <v>61</v>
      </c>
      <c r="M162" s="1" t="s">
        <v>62</v>
      </c>
      <c r="N162" s="1">
        <v>161.0</v>
      </c>
      <c r="O162" s="1">
        <v>0.15719543321839</v>
      </c>
      <c r="P162" s="1" t="s">
        <v>61</v>
      </c>
      <c r="Q162" s="1" t="s">
        <v>61</v>
      </c>
      <c r="R162" s="1">
        <f t="shared" si="1"/>
        <v>0.1571954332</v>
      </c>
      <c r="S162" s="1">
        <f t="shared" si="2"/>
        <v>161</v>
      </c>
      <c r="T162" s="1">
        <f t="shared" si="3"/>
        <v>2.61</v>
      </c>
      <c r="U162" s="1">
        <f t="shared" si="4"/>
        <v>0</v>
      </c>
      <c r="V162" s="3">
        <f t="shared" si="5"/>
        <v>3</v>
      </c>
      <c r="W162" s="3">
        <f t="shared" si="6"/>
        <v>1</v>
      </c>
      <c r="X162" s="3" t="str">
        <f>IFERROR(__xludf.DUMMYFUNCTION("split(B162,"" "")"),"B.")</f>
        <v>B.</v>
      </c>
      <c r="Y162" s="3" t="str">
        <f>IFERROR(__xludf.DUMMYFUNCTION("""COMPUTED_VALUE"""),"Nix")</f>
        <v>Nix</v>
      </c>
      <c r="AA162" s="3">
        <v>2.0</v>
      </c>
      <c r="AB162" s="3">
        <f t="shared" si="7"/>
        <v>1</v>
      </c>
      <c r="AC162" s="3">
        <f t="shared" si="8"/>
        <v>0</v>
      </c>
      <c r="AD162" s="3">
        <f t="shared" si="9"/>
        <v>4.83</v>
      </c>
      <c r="AE162" s="3">
        <f t="shared" si="10"/>
        <v>-3</v>
      </c>
      <c r="AF162" s="3">
        <f t="shared" si="11"/>
        <v>-1</v>
      </c>
      <c r="AG162" s="3">
        <f t="shared" si="12"/>
        <v>-3</v>
      </c>
    </row>
    <row r="163">
      <c r="A163" s="1" t="s">
        <v>8</v>
      </c>
      <c r="B163" s="1" t="s">
        <v>464</v>
      </c>
      <c r="C163" s="1" t="s">
        <v>21</v>
      </c>
      <c r="D163" s="1" t="s">
        <v>83</v>
      </c>
      <c r="E163" s="1" t="s">
        <v>134</v>
      </c>
      <c r="F163" s="1" t="s">
        <v>574</v>
      </c>
      <c r="G163" s="1">
        <v>4.5</v>
      </c>
      <c r="H163" s="1" t="s">
        <v>60</v>
      </c>
      <c r="I163" s="1">
        <v>-149.0</v>
      </c>
      <c r="J163" s="1">
        <v>-0.220483567601275</v>
      </c>
      <c r="K163" s="1" t="s">
        <v>61</v>
      </c>
      <c r="L163" s="1" t="s">
        <v>61</v>
      </c>
      <c r="M163" s="1" t="s">
        <v>62</v>
      </c>
      <c r="N163" s="1">
        <v>112.0</v>
      </c>
      <c r="O163" s="1">
        <v>0.150390133644894</v>
      </c>
      <c r="P163" s="1" t="s">
        <v>61</v>
      </c>
      <c r="Q163" s="1" t="s">
        <v>61</v>
      </c>
      <c r="R163" s="1">
        <f t="shared" si="1"/>
        <v>0.1503901336</v>
      </c>
      <c r="S163" s="1">
        <f t="shared" si="2"/>
        <v>112</v>
      </c>
      <c r="T163" s="1">
        <f t="shared" si="3"/>
        <v>2.12</v>
      </c>
      <c r="U163" s="1">
        <f t="shared" si="4"/>
        <v>0</v>
      </c>
      <c r="V163" s="3">
        <f t="shared" si="5"/>
        <v>3</v>
      </c>
      <c r="W163" s="3">
        <f t="shared" si="6"/>
        <v>1</v>
      </c>
      <c r="X163" s="3" t="str">
        <f>IFERROR(__xludf.DUMMYFUNCTION("split(B163,"" "")"),"B.")</f>
        <v>B.</v>
      </c>
      <c r="Y163" s="3" t="str">
        <f>IFERROR(__xludf.DUMMYFUNCTION("""COMPUTED_VALUE"""),"Nix")</f>
        <v>Nix</v>
      </c>
      <c r="AA163" s="3">
        <v>8.0</v>
      </c>
      <c r="AB163" s="3">
        <f t="shared" si="7"/>
        <v>1</v>
      </c>
      <c r="AC163" s="3">
        <f t="shared" si="8"/>
        <v>0</v>
      </c>
      <c r="AD163" s="3">
        <f t="shared" si="9"/>
        <v>3.36</v>
      </c>
      <c r="AE163" s="3">
        <f t="shared" si="10"/>
        <v>-3</v>
      </c>
      <c r="AF163" s="3">
        <f t="shared" si="11"/>
        <v>-1</v>
      </c>
      <c r="AG163" s="3">
        <f t="shared" si="12"/>
        <v>-0.7777777778</v>
      </c>
    </row>
    <row r="164">
      <c r="A164" s="1" t="s">
        <v>8</v>
      </c>
      <c r="B164" s="1" t="s">
        <v>465</v>
      </c>
      <c r="C164" s="1" t="s">
        <v>19</v>
      </c>
      <c r="D164" s="1" t="s">
        <v>83</v>
      </c>
      <c r="E164" s="1" t="s">
        <v>134</v>
      </c>
      <c r="F164" s="1" t="s">
        <v>574</v>
      </c>
      <c r="G164" s="1">
        <v>7.5</v>
      </c>
      <c r="H164" s="1" t="s">
        <v>60</v>
      </c>
      <c r="I164" s="1">
        <v>-125.0</v>
      </c>
      <c r="J164" s="1">
        <v>-0.213549991015517</v>
      </c>
      <c r="K164" s="1" t="s">
        <v>61</v>
      </c>
      <c r="L164" s="1" t="s">
        <v>61</v>
      </c>
      <c r="M164" s="1" t="s">
        <v>62</v>
      </c>
      <c r="N164" s="1">
        <v>-108.0</v>
      </c>
      <c r="O164" s="1">
        <v>0.13876272988832</v>
      </c>
      <c r="P164" s="1" t="s">
        <v>61</v>
      </c>
      <c r="Q164" s="1" t="s">
        <v>61</v>
      </c>
      <c r="R164" s="1">
        <f t="shared" si="1"/>
        <v>0.1387627299</v>
      </c>
      <c r="S164" s="1">
        <f t="shared" si="2"/>
        <v>-108</v>
      </c>
      <c r="T164" s="1">
        <f t="shared" si="3"/>
        <v>1.925925926</v>
      </c>
      <c r="U164" s="1">
        <f t="shared" si="4"/>
        <v>0</v>
      </c>
      <c r="V164" s="3">
        <f t="shared" si="5"/>
        <v>3</v>
      </c>
      <c r="W164" s="3">
        <f t="shared" si="6"/>
        <v>2</v>
      </c>
      <c r="X164" s="3" t="str">
        <f>IFERROR(__xludf.DUMMYFUNCTION("split(B164,"" "")"),"J.")</f>
        <v>J.</v>
      </c>
      <c r="Y164" s="3" t="str">
        <f>IFERROR(__xludf.DUMMYFUNCTION("""COMPUTED_VALUE"""),"McLaughlin")</f>
        <v>McLaughlin</v>
      </c>
      <c r="AA164" s="3">
        <v>6.0</v>
      </c>
      <c r="AB164" s="3">
        <f t="shared" si="7"/>
        <v>0</v>
      </c>
      <c r="AC164" s="3">
        <f t="shared" si="8"/>
        <v>1</v>
      </c>
      <c r="AD164" s="3">
        <f t="shared" si="9"/>
        <v>2.777777778</v>
      </c>
      <c r="AE164" s="3">
        <f t="shared" si="10"/>
        <v>2.777777778</v>
      </c>
      <c r="AF164" s="3">
        <f t="shared" si="11"/>
        <v>1.851851852</v>
      </c>
      <c r="AG164" s="3">
        <f t="shared" si="12"/>
        <v>0.2</v>
      </c>
    </row>
    <row r="165">
      <c r="A165" s="1" t="s">
        <v>12</v>
      </c>
      <c r="B165" s="1" t="s">
        <v>127</v>
      </c>
      <c r="C165" s="1" t="s">
        <v>19</v>
      </c>
      <c r="D165" s="1" t="s">
        <v>83</v>
      </c>
      <c r="E165" s="1" t="s">
        <v>134</v>
      </c>
      <c r="F165" s="1" t="s">
        <v>574</v>
      </c>
      <c r="G165" s="1">
        <v>2.5</v>
      </c>
      <c r="H165" s="1" t="s">
        <v>60</v>
      </c>
      <c r="I165" s="1">
        <v>-126.0</v>
      </c>
      <c r="J165" s="1">
        <v>-0.171163809247787</v>
      </c>
      <c r="K165" s="1" t="s">
        <v>61</v>
      </c>
      <c r="L165" s="1" t="s">
        <v>61</v>
      </c>
      <c r="M165" s="1" t="s">
        <v>62</v>
      </c>
      <c r="N165" s="1">
        <v>-104.0</v>
      </c>
      <c r="O165" s="1">
        <v>0.103844106498039</v>
      </c>
      <c r="P165" s="1" t="s">
        <v>61</v>
      </c>
      <c r="Q165" s="1" t="s">
        <v>61</v>
      </c>
      <c r="R165" s="1">
        <f t="shared" si="1"/>
        <v>0.1038441065</v>
      </c>
      <c r="S165" s="1">
        <f t="shared" si="2"/>
        <v>-104</v>
      </c>
      <c r="T165" s="1">
        <f t="shared" si="3"/>
        <v>1.961538462</v>
      </c>
      <c r="U165" s="1">
        <f t="shared" si="4"/>
        <v>0</v>
      </c>
      <c r="V165" s="3">
        <f t="shared" si="5"/>
        <v>3</v>
      </c>
      <c r="W165" s="3">
        <f t="shared" si="6"/>
        <v>2</v>
      </c>
      <c r="X165" s="3" t="str">
        <f>IFERROR(__xludf.DUMMYFUNCTION("split(B165,"" "")"),"J.")</f>
        <v>J.</v>
      </c>
      <c r="Y165" s="3" t="str">
        <f>IFERROR(__xludf.DUMMYFUNCTION("""COMPUTED_VALUE"""),"Williams")</f>
        <v>Williams</v>
      </c>
      <c r="AA165" s="3">
        <v>5.0</v>
      </c>
      <c r="AB165" s="3">
        <f t="shared" si="7"/>
        <v>1</v>
      </c>
      <c r="AC165" s="3">
        <f t="shared" si="8"/>
        <v>0</v>
      </c>
      <c r="AD165" s="3">
        <f t="shared" si="9"/>
        <v>2.884615385</v>
      </c>
      <c r="AE165" s="3">
        <f t="shared" si="10"/>
        <v>-3</v>
      </c>
      <c r="AF165" s="3">
        <f t="shared" si="11"/>
        <v>-2</v>
      </c>
      <c r="AG165" s="3">
        <f t="shared" si="12"/>
        <v>-1</v>
      </c>
    </row>
    <row r="166">
      <c r="A166" s="1" t="s">
        <v>12</v>
      </c>
      <c r="B166" s="1" t="s">
        <v>422</v>
      </c>
      <c r="C166" s="1" t="s">
        <v>18</v>
      </c>
      <c r="D166" s="1" t="s">
        <v>83</v>
      </c>
      <c r="E166" s="1" t="s">
        <v>134</v>
      </c>
      <c r="F166" s="1" t="s">
        <v>574</v>
      </c>
      <c r="G166" s="1">
        <v>2.5</v>
      </c>
      <c r="H166" s="1" t="s">
        <v>60</v>
      </c>
      <c r="I166" s="1">
        <v>118.0</v>
      </c>
      <c r="J166" s="1">
        <v>-0.153309540440367</v>
      </c>
      <c r="K166" s="1" t="s">
        <v>61</v>
      </c>
      <c r="L166" s="1" t="s">
        <v>61</v>
      </c>
      <c r="M166" s="1" t="s">
        <v>62</v>
      </c>
      <c r="N166" s="1">
        <v>-156.0</v>
      </c>
      <c r="O166" s="1">
        <v>0.0852181823125</v>
      </c>
      <c r="P166" s="1" t="s">
        <v>61</v>
      </c>
      <c r="Q166" s="1" t="s">
        <v>61</v>
      </c>
      <c r="R166" s="1">
        <f t="shared" si="1"/>
        <v>0.08521818231</v>
      </c>
      <c r="S166" s="1">
        <f t="shared" si="2"/>
        <v>-156</v>
      </c>
      <c r="T166" s="1">
        <f t="shared" si="3"/>
        <v>1.641025641</v>
      </c>
      <c r="U166" s="1">
        <f t="shared" si="4"/>
        <v>0</v>
      </c>
      <c r="V166" s="3">
        <f t="shared" si="5"/>
        <v>2</v>
      </c>
      <c r="W166" s="3">
        <f t="shared" si="6"/>
        <v>3</v>
      </c>
      <c r="X166" s="3" t="str">
        <f>IFERROR(__xludf.DUMMYFUNCTION("split(B166,"" "")"),"J.")</f>
        <v>J.</v>
      </c>
      <c r="Y166" s="3" t="str">
        <f>IFERROR(__xludf.DUMMYFUNCTION("""COMPUTED_VALUE"""),"Reynolds")</f>
        <v>Reynolds</v>
      </c>
      <c r="AA166" s="3">
        <v>1.0</v>
      </c>
      <c r="AB166" s="3">
        <f t="shared" si="7"/>
        <v>0</v>
      </c>
      <c r="AC166" s="3">
        <f t="shared" si="8"/>
        <v>1</v>
      </c>
      <c r="AD166" s="3">
        <f t="shared" si="9"/>
        <v>1.282051282</v>
      </c>
      <c r="AE166" s="3">
        <f t="shared" si="10"/>
        <v>1.282051282</v>
      </c>
      <c r="AF166" s="3">
        <f t="shared" si="11"/>
        <v>1.923076923</v>
      </c>
      <c r="AG166" s="3">
        <f t="shared" si="12"/>
        <v>0.6</v>
      </c>
    </row>
    <row r="167">
      <c r="A167" s="1" t="s">
        <v>12</v>
      </c>
      <c r="B167" s="1" t="s">
        <v>465</v>
      </c>
      <c r="C167" s="1" t="s">
        <v>19</v>
      </c>
      <c r="D167" s="1" t="s">
        <v>83</v>
      </c>
      <c r="E167" s="1" t="s">
        <v>134</v>
      </c>
      <c r="F167" s="1" t="s">
        <v>574</v>
      </c>
      <c r="G167" s="1">
        <v>1.5</v>
      </c>
      <c r="H167" s="1" t="s">
        <v>60</v>
      </c>
      <c r="I167" s="1">
        <v>-124.0</v>
      </c>
      <c r="J167" s="1">
        <v>-0.148314736165178</v>
      </c>
      <c r="K167" s="1" t="s">
        <v>61</v>
      </c>
      <c r="L167" s="1" t="s">
        <v>61</v>
      </c>
      <c r="M167" s="1" t="s">
        <v>62</v>
      </c>
      <c r="N167" s="1">
        <v>-106.0</v>
      </c>
      <c r="O167" s="1">
        <v>0.0801868104614562</v>
      </c>
      <c r="P167" s="1" t="s">
        <v>61</v>
      </c>
      <c r="Q167" s="1" t="s">
        <v>61</v>
      </c>
      <c r="R167" s="1">
        <f t="shared" si="1"/>
        <v>0.08018681046</v>
      </c>
      <c r="S167" s="1">
        <f t="shared" si="2"/>
        <v>-106</v>
      </c>
      <c r="T167" s="1">
        <f t="shared" si="3"/>
        <v>1.943396226</v>
      </c>
      <c r="U167" s="1">
        <f t="shared" si="4"/>
        <v>0</v>
      </c>
      <c r="V167" s="3">
        <f t="shared" si="5"/>
        <v>2</v>
      </c>
      <c r="W167" s="3">
        <f t="shared" si="6"/>
        <v>2</v>
      </c>
      <c r="X167" s="3" t="str">
        <f>IFERROR(__xludf.DUMMYFUNCTION("split(B167,"" "")"),"J.")</f>
        <v>J.</v>
      </c>
      <c r="Y167" s="3" t="str">
        <f>IFERROR(__xludf.DUMMYFUNCTION("""COMPUTED_VALUE"""),"McLaughlin")</f>
        <v>McLaughlin</v>
      </c>
      <c r="AA167" s="3">
        <v>3.0</v>
      </c>
      <c r="AB167" s="3">
        <f t="shared" si="7"/>
        <v>1</v>
      </c>
      <c r="AC167" s="3">
        <f t="shared" si="8"/>
        <v>0</v>
      </c>
      <c r="AD167" s="3">
        <f t="shared" si="9"/>
        <v>1.886792453</v>
      </c>
      <c r="AE167" s="3">
        <f t="shared" si="10"/>
        <v>-2</v>
      </c>
      <c r="AF167" s="3">
        <f t="shared" si="11"/>
        <v>-2</v>
      </c>
      <c r="AG167" s="3">
        <f t="shared" si="12"/>
        <v>-1</v>
      </c>
    </row>
    <row r="168">
      <c r="A168" s="1" t="s">
        <v>9</v>
      </c>
      <c r="B168" s="1" t="s">
        <v>532</v>
      </c>
      <c r="C168" s="1" t="s">
        <v>18</v>
      </c>
      <c r="D168" s="1" t="s">
        <v>83</v>
      </c>
      <c r="E168" s="1" t="s">
        <v>134</v>
      </c>
      <c r="F168" s="1" t="s">
        <v>574</v>
      </c>
      <c r="G168" s="1">
        <v>21.5</v>
      </c>
      <c r="H168" s="1" t="s">
        <v>60</v>
      </c>
      <c r="I168" s="1">
        <v>-112.0</v>
      </c>
      <c r="J168" s="1">
        <v>0.0683041105834271</v>
      </c>
      <c r="K168" s="1" t="s">
        <v>61</v>
      </c>
      <c r="L168" s="1" t="s">
        <v>61</v>
      </c>
      <c r="M168" s="1" t="s">
        <v>62</v>
      </c>
      <c r="N168" s="1">
        <v>-121.0</v>
      </c>
      <c r="O168" s="1">
        <v>-0.144086128718826</v>
      </c>
      <c r="P168" s="1" t="s">
        <v>61</v>
      </c>
      <c r="Q168" s="1" t="s">
        <v>61</v>
      </c>
      <c r="R168" s="1">
        <f t="shared" si="1"/>
        <v>0.06830411058</v>
      </c>
      <c r="S168" s="1">
        <f t="shared" si="2"/>
        <v>-112</v>
      </c>
      <c r="T168" s="1">
        <f t="shared" si="3"/>
        <v>1.892857143</v>
      </c>
      <c r="U168" s="1">
        <f t="shared" si="4"/>
        <v>1</v>
      </c>
      <c r="V168" s="3">
        <f t="shared" si="5"/>
        <v>2</v>
      </c>
      <c r="W168" s="3">
        <f t="shared" si="6"/>
        <v>2</v>
      </c>
      <c r="X168" s="3" t="str">
        <f>IFERROR(__xludf.DUMMYFUNCTION("split(B168,"" "")"),"L.")</f>
        <v>L.</v>
      </c>
      <c r="Y168" s="3" t="str">
        <f>IFERROR(__xludf.DUMMYFUNCTION("""COMPUTED_VALUE"""),"Humphrey")</f>
        <v>Humphrey</v>
      </c>
      <c r="AA168" s="3">
        <v>48.0</v>
      </c>
      <c r="AB168" s="3">
        <f t="shared" si="7"/>
        <v>1</v>
      </c>
      <c r="AC168" s="3">
        <f t="shared" si="8"/>
        <v>1</v>
      </c>
      <c r="AD168" s="3">
        <f t="shared" si="9"/>
        <v>1.785714286</v>
      </c>
      <c r="AE168" s="3">
        <f t="shared" si="10"/>
        <v>1.785714286</v>
      </c>
      <c r="AF168" s="3">
        <f t="shared" si="11"/>
        <v>1.785714286</v>
      </c>
      <c r="AG168" s="3">
        <f t="shared" si="12"/>
        <v>1.23255814</v>
      </c>
    </row>
    <row r="169">
      <c r="A169" s="1" t="s">
        <v>8</v>
      </c>
      <c r="B169" s="1" t="s">
        <v>127</v>
      </c>
      <c r="C169" s="1" t="s">
        <v>19</v>
      </c>
      <c r="D169" s="1" t="s">
        <v>83</v>
      </c>
      <c r="E169" s="1" t="s">
        <v>134</v>
      </c>
      <c r="F169" s="1" t="s">
        <v>574</v>
      </c>
      <c r="G169" s="1">
        <v>12.5</v>
      </c>
      <c r="H169" s="1" t="s">
        <v>60</v>
      </c>
      <c r="I169" s="1">
        <v>-123.0</v>
      </c>
      <c r="J169" s="1">
        <v>-0.126223824020627</v>
      </c>
      <c r="K169" s="1" t="s">
        <v>61</v>
      </c>
      <c r="L169" s="1" t="s">
        <v>61</v>
      </c>
      <c r="M169" s="1" t="s">
        <v>62</v>
      </c>
      <c r="N169" s="1">
        <v>-109.0</v>
      </c>
      <c r="O169" s="1">
        <v>0.0531157698789187</v>
      </c>
      <c r="P169" s="1" t="s">
        <v>61</v>
      </c>
      <c r="Q169" s="1" t="s">
        <v>61</v>
      </c>
      <c r="R169" s="1">
        <f t="shared" si="1"/>
        <v>0.05311576988</v>
      </c>
      <c r="S169" s="1">
        <f t="shared" si="2"/>
        <v>-109</v>
      </c>
      <c r="T169" s="1">
        <f t="shared" si="3"/>
        <v>1.917431193</v>
      </c>
      <c r="U169" s="1">
        <f t="shared" si="4"/>
        <v>0</v>
      </c>
      <c r="V169" s="3">
        <f t="shared" si="5"/>
        <v>2</v>
      </c>
      <c r="W169" s="3">
        <f t="shared" si="6"/>
        <v>2</v>
      </c>
      <c r="X169" s="3" t="str">
        <f>IFERROR(__xludf.DUMMYFUNCTION("split(B169,"" "")"),"J.")</f>
        <v>J.</v>
      </c>
      <c r="Y169" s="3" t="str">
        <f>IFERROR(__xludf.DUMMYFUNCTION("""COMPUTED_VALUE"""),"Williams")</f>
        <v>Williams</v>
      </c>
      <c r="AA169" s="3">
        <v>13.0</v>
      </c>
      <c r="AB169" s="3">
        <f t="shared" si="7"/>
        <v>1</v>
      </c>
      <c r="AC169" s="3">
        <f t="shared" si="8"/>
        <v>0</v>
      </c>
      <c r="AD169" s="3">
        <f t="shared" si="9"/>
        <v>1.834862385</v>
      </c>
      <c r="AE169" s="3">
        <f t="shared" si="10"/>
        <v>-2</v>
      </c>
      <c r="AF169" s="3">
        <f t="shared" si="11"/>
        <v>-2</v>
      </c>
      <c r="AG169" s="3">
        <f t="shared" si="12"/>
        <v>-0.04</v>
      </c>
    </row>
    <row r="170">
      <c r="A170" s="1" t="s">
        <v>12</v>
      </c>
      <c r="B170" s="1" t="s">
        <v>532</v>
      </c>
      <c r="C170" s="1" t="s">
        <v>18</v>
      </c>
      <c r="D170" s="1" t="s">
        <v>83</v>
      </c>
      <c r="E170" s="1" t="s">
        <v>134</v>
      </c>
      <c r="F170" s="1" t="s">
        <v>574</v>
      </c>
      <c r="G170" s="1">
        <v>2.5</v>
      </c>
      <c r="H170" s="1" t="s">
        <v>60</v>
      </c>
      <c r="I170" s="1">
        <v>135.0</v>
      </c>
      <c r="J170" s="1">
        <v>-0.110139562514893</v>
      </c>
      <c r="K170" s="1" t="s">
        <v>61</v>
      </c>
      <c r="L170" s="1" t="s">
        <v>61</v>
      </c>
      <c r="M170" s="1" t="s">
        <v>62</v>
      </c>
      <c r="N170" s="1">
        <v>-180.0</v>
      </c>
      <c r="O170" s="1">
        <v>0.041763319957143</v>
      </c>
      <c r="P170" s="1" t="s">
        <v>61</v>
      </c>
      <c r="Q170" s="1" t="s">
        <v>61</v>
      </c>
      <c r="R170" s="1">
        <f t="shared" si="1"/>
        <v>0.04176331996</v>
      </c>
      <c r="S170" s="1">
        <f t="shared" si="2"/>
        <v>-180</v>
      </c>
      <c r="T170" s="1">
        <f t="shared" si="3"/>
        <v>1.555555556</v>
      </c>
      <c r="U170" s="1">
        <f t="shared" si="4"/>
        <v>0</v>
      </c>
      <c r="V170" s="3">
        <f t="shared" si="5"/>
        <v>1</v>
      </c>
      <c r="W170" s="3">
        <f t="shared" si="6"/>
        <v>3</v>
      </c>
      <c r="X170" s="3" t="str">
        <f>IFERROR(__xludf.DUMMYFUNCTION("split(B170,"" "")"),"L.")</f>
        <v>L.</v>
      </c>
      <c r="Y170" s="3" t="str">
        <f>IFERROR(__xludf.DUMMYFUNCTION("""COMPUTED_VALUE"""),"Humphrey")</f>
        <v>Humphrey</v>
      </c>
      <c r="AA170" s="3">
        <v>2.0</v>
      </c>
      <c r="AB170" s="3">
        <f t="shared" si="7"/>
        <v>0</v>
      </c>
      <c r="AC170" s="3">
        <f t="shared" si="8"/>
        <v>1</v>
      </c>
      <c r="AD170" s="3">
        <f t="shared" si="9"/>
        <v>0.5555555556</v>
      </c>
      <c r="AE170" s="3">
        <f t="shared" si="10"/>
        <v>0.5555555556</v>
      </c>
      <c r="AF170" s="3">
        <f t="shared" si="11"/>
        <v>1.666666667</v>
      </c>
      <c r="AG170" s="3">
        <f t="shared" si="12"/>
        <v>0.2</v>
      </c>
    </row>
    <row r="171">
      <c r="A171" s="1" t="s">
        <v>17</v>
      </c>
      <c r="B171" s="1" t="s">
        <v>464</v>
      </c>
      <c r="C171" s="1" t="s">
        <v>21</v>
      </c>
      <c r="D171" s="1" t="s">
        <v>83</v>
      </c>
      <c r="E171" s="1" t="s">
        <v>134</v>
      </c>
      <c r="F171" s="1" t="s">
        <v>574</v>
      </c>
      <c r="G171" s="1">
        <v>0.5</v>
      </c>
      <c r="H171" s="1" t="s">
        <v>60</v>
      </c>
      <c r="I171" s="1">
        <v>-126.0</v>
      </c>
      <c r="J171" s="1">
        <v>-0.103377876106194</v>
      </c>
      <c r="K171" s="1" t="s">
        <v>61</v>
      </c>
      <c r="L171" s="1" t="s">
        <v>61</v>
      </c>
      <c r="M171" s="1" t="s">
        <v>62</v>
      </c>
      <c r="N171" s="1">
        <v>-103.0</v>
      </c>
      <c r="O171" s="1">
        <v>0.0384600985221674</v>
      </c>
      <c r="P171" s="1" t="s">
        <v>61</v>
      </c>
      <c r="Q171" s="1" t="s">
        <v>61</v>
      </c>
      <c r="R171" s="1">
        <f t="shared" si="1"/>
        <v>0.03846009852</v>
      </c>
      <c r="S171" s="1">
        <f t="shared" si="2"/>
        <v>-103</v>
      </c>
      <c r="T171" s="1">
        <f t="shared" si="3"/>
        <v>1.970873786</v>
      </c>
      <c r="U171" s="1">
        <f t="shared" si="4"/>
        <v>0</v>
      </c>
      <c r="V171" s="3">
        <f t="shared" si="5"/>
        <v>1</v>
      </c>
      <c r="W171" s="3">
        <f t="shared" si="6"/>
        <v>2</v>
      </c>
      <c r="X171" s="3" t="str">
        <f>IFERROR(__xludf.DUMMYFUNCTION("split(B171,"" "")"),"B.")</f>
        <v>B.</v>
      </c>
      <c r="Y171" s="3" t="str">
        <f>IFERROR(__xludf.DUMMYFUNCTION("""COMPUTED_VALUE"""),"Nix")</f>
        <v>Nix</v>
      </c>
      <c r="AA171" s="3">
        <v>0.0</v>
      </c>
      <c r="AB171" s="3">
        <f t="shared" si="7"/>
        <v>0</v>
      </c>
      <c r="AC171" s="3">
        <f t="shared" si="8"/>
        <v>1</v>
      </c>
      <c r="AD171" s="3">
        <f t="shared" si="9"/>
        <v>0.9708737864</v>
      </c>
      <c r="AE171" s="3">
        <f t="shared" si="10"/>
        <v>0.9708737864</v>
      </c>
      <c r="AF171" s="3">
        <f t="shared" si="11"/>
        <v>1.941747573</v>
      </c>
      <c r="AG171" s="3">
        <f t="shared" si="12"/>
        <v>1</v>
      </c>
    </row>
    <row r="172">
      <c r="A172" s="1" t="s">
        <v>11</v>
      </c>
      <c r="B172" s="1" t="s">
        <v>465</v>
      </c>
      <c r="C172" s="1" t="s">
        <v>19</v>
      </c>
      <c r="D172" s="1" t="s">
        <v>83</v>
      </c>
      <c r="E172" s="1" t="s">
        <v>134</v>
      </c>
      <c r="F172" s="1" t="s">
        <v>574</v>
      </c>
      <c r="G172" s="1">
        <v>9.5</v>
      </c>
      <c r="H172" s="1" t="s">
        <v>60</v>
      </c>
      <c r="I172" s="1">
        <v>-107.0</v>
      </c>
      <c r="J172" s="1">
        <v>0.0353751555561563</v>
      </c>
      <c r="K172" s="1" t="s">
        <v>61</v>
      </c>
      <c r="L172" s="1" t="s">
        <v>61</v>
      </c>
      <c r="M172" s="1" t="s">
        <v>62</v>
      </c>
      <c r="N172" s="1">
        <v>-119.0</v>
      </c>
      <c r="O172" s="1">
        <v>-0.0956727674344657</v>
      </c>
      <c r="P172" s="1" t="s">
        <v>61</v>
      </c>
      <c r="Q172" s="1" t="s">
        <v>61</v>
      </c>
      <c r="R172" s="1">
        <f t="shared" si="1"/>
        <v>0.03537515556</v>
      </c>
      <c r="S172" s="1">
        <f t="shared" si="2"/>
        <v>-107</v>
      </c>
      <c r="T172" s="1">
        <f t="shared" si="3"/>
        <v>1.934579439</v>
      </c>
      <c r="U172" s="1">
        <f t="shared" si="4"/>
        <v>1</v>
      </c>
      <c r="V172" s="3">
        <f t="shared" si="5"/>
        <v>1</v>
      </c>
      <c r="W172" s="3">
        <f t="shared" si="6"/>
        <v>2</v>
      </c>
      <c r="X172" s="3" t="str">
        <f>IFERROR(__xludf.DUMMYFUNCTION("split(B172,"" "")"),"J.")</f>
        <v>J.</v>
      </c>
      <c r="Y172" s="3" t="str">
        <f>IFERROR(__xludf.DUMMYFUNCTION("""COMPUTED_VALUE"""),"McLaughlin")</f>
        <v>McLaughlin</v>
      </c>
      <c r="AA172" s="3">
        <v>3.0</v>
      </c>
      <c r="AB172" s="3">
        <f t="shared" si="7"/>
        <v>0</v>
      </c>
      <c r="AC172" s="3">
        <f t="shared" si="8"/>
        <v>0</v>
      </c>
      <c r="AD172" s="3">
        <f t="shared" si="9"/>
        <v>0.9345794393</v>
      </c>
      <c r="AE172" s="3">
        <f t="shared" si="10"/>
        <v>-1</v>
      </c>
      <c r="AF172" s="3">
        <f t="shared" si="11"/>
        <v>-2</v>
      </c>
      <c r="AG172" s="3">
        <f t="shared" si="12"/>
        <v>-0.6842105263</v>
      </c>
    </row>
    <row r="173">
      <c r="A173" s="1" t="s">
        <v>11</v>
      </c>
      <c r="B173" s="1" t="s">
        <v>422</v>
      </c>
      <c r="C173" s="1" t="s">
        <v>18</v>
      </c>
      <c r="D173" s="1" t="s">
        <v>83</v>
      </c>
      <c r="E173" s="1" t="s">
        <v>134</v>
      </c>
      <c r="F173" s="1" t="s">
        <v>574</v>
      </c>
      <c r="G173" s="1">
        <v>24.5</v>
      </c>
      <c r="H173" s="1" t="s">
        <v>60</v>
      </c>
      <c r="I173" s="1">
        <v>-115.0</v>
      </c>
      <c r="J173" s="1">
        <v>-0.101305311142018</v>
      </c>
      <c r="K173" s="1" t="s">
        <v>61</v>
      </c>
      <c r="L173" s="1" t="s">
        <v>61</v>
      </c>
      <c r="M173" s="1" t="s">
        <v>62</v>
      </c>
      <c r="N173" s="1">
        <v>-114.0</v>
      </c>
      <c r="O173" s="1">
        <v>0.0337289801911625</v>
      </c>
      <c r="P173" s="1" t="s">
        <v>61</v>
      </c>
      <c r="Q173" s="1" t="s">
        <v>61</v>
      </c>
      <c r="R173" s="1">
        <f t="shared" si="1"/>
        <v>0.03372898019</v>
      </c>
      <c r="S173" s="1">
        <f t="shared" si="2"/>
        <v>-114</v>
      </c>
      <c r="T173" s="1">
        <f t="shared" si="3"/>
        <v>1.877192982</v>
      </c>
      <c r="U173" s="1">
        <f t="shared" si="4"/>
        <v>0</v>
      </c>
      <c r="V173" s="3">
        <f t="shared" si="5"/>
        <v>1</v>
      </c>
      <c r="W173" s="3">
        <f t="shared" si="6"/>
        <v>2</v>
      </c>
      <c r="X173" s="3" t="str">
        <f>IFERROR(__xludf.DUMMYFUNCTION("split(B173,"" "")"),"J.")</f>
        <v>J.</v>
      </c>
      <c r="Y173" s="3" t="str">
        <f>IFERROR(__xludf.DUMMYFUNCTION("""COMPUTED_VALUE"""),"Reynolds")</f>
        <v>Reynolds</v>
      </c>
      <c r="AA173" s="3">
        <v>9.0</v>
      </c>
      <c r="AB173" s="3">
        <f t="shared" si="7"/>
        <v>0</v>
      </c>
      <c r="AC173" s="3">
        <f t="shared" si="8"/>
        <v>1</v>
      </c>
      <c r="AD173" s="3">
        <f t="shared" si="9"/>
        <v>0.8771929825</v>
      </c>
      <c r="AE173" s="3">
        <f t="shared" si="10"/>
        <v>0.8771929825</v>
      </c>
      <c r="AF173" s="3">
        <f t="shared" si="11"/>
        <v>1.754385965</v>
      </c>
      <c r="AG173" s="3">
        <f t="shared" si="12"/>
        <v>0.6326530612</v>
      </c>
    </row>
    <row r="174">
      <c r="A174" s="1" t="s">
        <v>11</v>
      </c>
      <c r="B174" s="1" t="s">
        <v>401</v>
      </c>
      <c r="C174" s="1" t="s">
        <v>18</v>
      </c>
      <c r="D174" s="1" t="s">
        <v>83</v>
      </c>
      <c r="E174" s="1" t="s">
        <v>134</v>
      </c>
      <c r="F174" s="1" t="s">
        <v>574</v>
      </c>
      <c r="G174" s="1">
        <v>48.5</v>
      </c>
      <c r="H174" s="1" t="s">
        <v>60</v>
      </c>
      <c r="I174" s="1">
        <v>-117.0</v>
      </c>
      <c r="J174" s="1">
        <v>-0.09852614206894</v>
      </c>
      <c r="K174" s="1" t="s">
        <v>61</v>
      </c>
      <c r="L174" s="1" t="s">
        <v>61</v>
      </c>
      <c r="M174" s="1" t="s">
        <v>62</v>
      </c>
      <c r="N174" s="1">
        <v>-112.0</v>
      </c>
      <c r="O174" s="1">
        <v>0.0310466218255094</v>
      </c>
      <c r="P174" s="1" t="s">
        <v>61</v>
      </c>
      <c r="Q174" s="1" t="s">
        <v>61</v>
      </c>
      <c r="R174" s="1">
        <f t="shared" si="1"/>
        <v>0.03104662183</v>
      </c>
      <c r="S174" s="1">
        <f t="shared" si="2"/>
        <v>-112</v>
      </c>
      <c r="T174" s="1">
        <f t="shared" si="3"/>
        <v>1.892857143</v>
      </c>
      <c r="U174" s="1">
        <f t="shared" si="4"/>
        <v>0</v>
      </c>
      <c r="V174" s="3">
        <f t="shared" si="5"/>
        <v>1</v>
      </c>
      <c r="W174" s="3">
        <f t="shared" si="6"/>
        <v>2</v>
      </c>
      <c r="X174" s="3" t="str">
        <f>IFERROR(__xludf.DUMMYFUNCTION("split(B174,"" "")"),"C.")</f>
        <v>C.</v>
      </c>
      <c r="Y174" s="3" t="str">
        <f>IFERROR(__xludf.DUMMYFUNCTION("""COMPUTED_VALUE"""),"Sutton")</f>
        <v>Sutton</v>
      </c>
      <c r="AA174" s="3">
        <v>32.0</v>
      </c>
      <c r="AB174" s="3">
        <f t="shared" si="7"/>
        <v>0</v>
      </c>
      <c r="AC174" s="3">
        <f t="shared" si="8"/>
        <v>1</v>
      </c>
      <c r="AD174" s="3">
        <f t="shared" si="9"/>
        <v>0.8928571429</v>
      </c>
      <c r="AE174" s="3">
        <f t="shared" si="10"/>
        <v>0.8928571429</v>
      </c>
      <c r="AF174" s="3">
        <f t="shared" si="11"/>
        <v>1.785714286</v>
      </c>
      <c r="AG174" s="3">
        <f t="shared" si="12"/>
        <v>0.3402061856</v>
      </c>
    </row>
    <row r="175">
      <c r="A175" s="1" t="s">
        <v>11</v>
      </c>
      <c r="B175" s="1" t="s">
        <v>532</v>
      </c>
      <c r="C175" s="1" t="s">
        <v>18</v>
      </c>
      <c r="D175" s="1" t="s">
        <v>83</v>
      </c>
      <c r="E175" s="1" t="s">
        <v>134</v>
      </c>
      <c r="F175" s="1" t="s">
        <v>574</v>
      </c>
      <c r="G175" s="1">
        <v>20.5</v>
      </c>
      <c r="H175" s="1" t="s">
        <v>60</v>
      </c>
      <c r="I175" s="1">
        <v>-119.0</v>
      </c>
      <c r="J175" s="1">
        <v>-0.0948209867672511</v>
      </c>
      <c r="K175" s="1" t="s">
        <v>61</v>
      </c>
      <c r="L175" s="1" t="s">
        <v>61</v>
      </c>
      <c r="M175" s="1" t="s">
        <v>62</v>
      </c>
      <c r="N175" s="1">
        <v>-110.0</v>
      </c>
      <c r="O175" s="1">
        <v>0.0276533605344324</v>
      </c>
      <c r="P175" s="1" t="s">
        <v>61</v>
      </c>
      <c r="Q175" s="1" t="s">
        <v>61</v>
      </c>
      <c r="R175" s="1">
        <f t="shared" si="1"/>
        <v>0.02765336053</v>
      </c>
      <c r="S175" s="1">
        <f t="shared" si="2"/>
        <v>-110</v>
      </c>
      <c r="T175" s="1">
        <f t="shared" si="3"/>
        <v>1.909090909</v>
      </c>
      <c r="U175" s="1">
        <f t="shared" si="4"/>
        <v>0</v>
      </c>
      <c r="V175" s="3">
        <f t="shared" si="5"/>
        <v>1</v>
      </c>
      <c r="W175" s="3">
        <f t="shared" si="6"/>
        <v>2</v>
      </c>
      <c r="X175" s="3" t="str">
        <f>IFERROR(__xludf.DUMMYFUNCTION("split(B175,"" "")"),"L.")</f>
        <v>L.</v>
      </c>
      <c r="Y175" s="3" t="str">
        <f>IFERROR(__xludf.DUMMYFUNCTION("""COMPUTED_VALUE"""),"Humphrey")</f>
        <v>Humphrey</v>
      </c>
      <c r="AA175" s="3">
        <v>48.0</v>
      </c>
      <c r="AB175" s="3">
        <f t="shared" si="7"/>
        <v>1</v>
      </c>
      <c r="AC175" s="3">
        <f t="shared" si="8"/>
        <v>0</v>
      </c>
      <c r="AD175" s="3">
        <f t="shared" si="9"/>
        <v>0.9090909091</v>
      </c>
      <c r="AE175" s="3">
        <f t="shared" si="10"/>
        <v>-1</v>
      </c>
      <c r="AF175" s="3">
        <f t="shared" si="11"/>
        <v>-2</v>
      </c>
      <c r="AG175" s="3">
        <f t="shared" si="12"/>
        <v>-1.341463415</v>
      </c>
    </row>
    <row r="176">
      <c r="A176" s="1" t="s">
        <v>9</v>
      </c>
      <c r="B176" s="1" t="s">
        <v>422</v>
      </c>
      <c r="C176" s="1" t="s">
        <v>18</v>
      </c>
      <c r="D176" s="1" t="s">
        <v>83</v>
      </c>
      <c r="E176" s="1" t="s">
        <v>134</v>
      </c>
      <c r="F176" s="1" t="s">
        <v>574</v>
      </c>
      <c r="G176" s="1">
        <v>24.5</v>
      </c>
      <c r="H176" s="1" t="s">
        <v>60</v>
      </c>
      <c r="I176" s="1">
        <v>-121.0</v>
      </c>
      <c r="J176" s="1">
        <v>0.0236688504275208</v>
      </c>
      <c r="K176" s="1" t="s">
        <v>61</v>
      </c>
      <c r="L176" s="1" t="s">
        <v>61</v>
      </c>
      <c r="M176" s="1" t="s">
        <v>62</v>
      </c>
      <c r="N176" s="1">
        <v>-112.0</v>
      </c>
      <c r="O176" s="1">
        <v>-0.0994117068765093</v>
      </c>
      <c r="P176" s="1" t="s">
        <v>61</v>
      </c>
      <c r="Q176" s="1" t="s">
        <v>61</v>
      </c>
      <c r="R176" s="1">
        <f t="shared" si="1"/>
        <v>0.02366885043</v>
      </c>
      <c r="S176" s="1">
        <f t="shared" si="2"/>
        <v>-121</v>
      </c>
      <c r="T176" s="1">
        <f t="shared" si="3"/>
        <v>1.826446281</v>
      </c>
      <c r="U176" s="1">
        <f t="shared" si="4"/>
        <v>1</v>
      </c>
      <c r="V176" s="3">
        <f t="shared" si="5"/>
        <v>1</v>
      </c>
      <c r="W176" s="3">
        <f t="shared" si="6"/>
        <v>3</v>
      </c>
      <c r="X176" s="3" t="str">
        <f>IFERROR(__xludf.DUMMYFUNCTION("split(B176,"" "")"),"J.")</f>
        <v>J.</v>
      </c>
      <c r="Y176" s="3" t="str">
        <f>IFERROR(__xludf.DUMMYFUNCTION("""COMPUTED_VALUE"""),"Reynolds")</f>
        <v>Reynolds</v>
      </c>
      <c r="AA176" s="3">
        <v>9.0</v>
      </c>
      <c r="AB176" s="3">
        <f t="shared" si="7"/>
        <v>0</v>
      </c>
      <c r="AC176" s="3">
        <f t="shared" si="8"/>
        <v>0</v>
      </c>
      <c r="AD176" s="3">
        <f t="shared" si="9"/>
        <v>0.826446281</v>
      </c>
      <c r="AE176" s="3">
        <f t="shared" si="10"/>
        <v>-1</v>
      </c>
      <c r="AF176" s="3">
        <f t="shared" si="11"/>
        <v>-3</v>
      </c>
      <c r="AG176" s="3">
        <f t="shared" si="12"/>
        <v>-0.6326530612</v>
      </c>
    </row>
    <row r="177">
      <c r="A177" s="1" t="s">
        <v>16</v>
      </c>
      <c r="B177" s="1" t="s">
        <v>464</v>
      </c>
      <c r="C177" s="1" t="s">
        <v>21</v>
      </c>
      <c r="D177" s="1" t="s">
        <v>83</v>
      </c>
      <c r="E177" s="1" t="s">
        <v>134</v>
      </c>
      <c r="F177" s="1" t="s">
        <v>574</v>
      </c>
      <c r="G177" s="1">
        <v>29.5</v>
      </c>
      <c r="H177" s="1" t="s">
        <v>60</v>
      </c>
      <c r="I177" s="1">
        <v>-118.0</v>
      </c>
      <c r="J177" s="1">
        <v>-0.0996449861926604</v>
      </c>
      <c r="K177" s="1" t="s">
        <v>61</v>
      </c>
      <c r="L177" s="1" t="s">
        <v>61</v>
      </c>
      <c r="M177" s="1" t="s">
        <v>62</v>
      </c>
      <c r="N177" s="1">
        <v>-115.0</v>
      </c>
      <c r="O177" s="1">
        <v>0.0234537118069767</v>
      </c>
      <c r="P177" s="1" t="s">
        <v>61</v>
      </c>
      <c r="Q177" s="1" t="s">
        <v>61</v>
      </c>
      <c r="R177" s="1">
        <f t="shared" si="1"/>
        <v>0.02345371181</v>
      </c>
      <c r="S177" s="1">
        <f t="shared" si="2"/>
        <v>-115</v>
      </c>
      <c r="T177" s="1">
        <f t="shared" si="3"/>
        <v>1.869565217</v>
      </c>
      <c r="U177" s="1">
        <f t="shared" si="4"/>
        <v>0</v>
      </c>
      <c r="V177" s="3">
        <f t="shared" si="5"/>
        <v>1</v>
      </c>
      <c r="W177" s="3">
        <f t="shared" si="6"/>
        <v>2</v>
      </c>
      <c r="X177" s="3" t="str">
        <f>IFERROR(__xludf.DUMMYFUNCTION("split(B177,"" "")"),"B.")</f>
        <v>B.</v>
      </c>
      <c r="Y177" s="3" t="str">
        <f>IFERROR(__xludf.DUMMYFUNCTION("""COMPUTED_VALUE"""),"Nix")</f>
        <v>Nix</v>
      </c>
      <c r="AA177" s="3">
        <v>27.0</v>
      </c>
      <c r="AB177" s="3">
        <f t="shared" si="7"/>
        <v>0</v>
      </c>
      <c r="AC177" s="3">
        <f t="shared" si="8"/>
        <v>1</v>
      </c>
      <c r="AD177" s="3">
        <f t="shared" si="9"/>
        <v>0.8695652174</v>
      </c>
      <c r="AE177" s="3">
        <f t="shared" si="10"/>
        <v>0.8695652174</v>
      </c>
      <c r="AF177" s="3">
        <f t="shared" si="11"/>
        <v>1.739130435</v>
      </c>
      <c r="AG177" s="3">
        <f t="shared" si="12"/>
        <v>0.08474576271</v>
      </c>
    </row>
    <row r="178">
      <c r="A178" s="1" t="s">
        <v>10</v>
      </c>
      <c r="B178" s="1" t="s">
        <v>464</v>
      </c>
      <c r="C178" s="1" t="s">
        <v>21</v>
      </c>
      <c r="D178" s="1" t="s">
        <v>83</v>
      </c>
      <c r="E178" s="1" t="s">
        <v>134</v>
      </c>
      <c r="F178" s="1" t="s">
        <v>574</v>
      </c>
      <c r="G178" s="1">
        <v>20.5</v>
      </c>
      <c r="H178" s="1" t="s">
        <v>60</v>
      </c>
      <c r="I178" s="1">
        <v>-117.0</v>
      </c>
      <c r="J178" s="1">
        <v>-0.0926928092268586</v>
      </c>
      <c r="K178" s="1" t="s">
        <v>61</v>
      </c>
      <c r="L178" s="1" t="s">
        <v>61</v>
      </c>
      <c r="M178" s="1" t="s">
        <v>62</v>
      </c>
      <c r="N178" s="1">
        <v>-113.0</v>
      </c>
      <c r="O178" s="1">
        <v>0.0230092429601784</v>
      </c>
      <c r="P178" s="1" t="s">
        <v>61</v>
      </c>
      <c r="Q178" s="1" t="s">
        <v>61</v>
      </c>
      <c r="R178" s="1">
        <f t="shared" si="1"/>
        <v>0.02300924296</v>
      </c>
      <c r="S178" s="1">
        <f t="shared" si="2"/>
        <v>-113</v>
      </c>
      <c r="T178" s="1">
        <f t="shared" si="3"/>
        <v>1.884955752</v>
      </c>
      <c r="U178" s="1">
        <f t="shared" si="4"/>
        <v>0</v>
      </c>
      <c r="V178" s="3">
        <f t="shared" si="5"/>
        <v>1</v>
      </c>
      <c r="W178" s="3">
        <f t="shared" si="6"/>
        <v>2</v>
      </c>
      <c r="X178" s="3" t="str">
        <f>IFERROR(__xludf.DUMMYFUNCTION("split(B178,"" "")"),"B.")</f>
        <v>B.</v>
      </c>
      <c r="Y178" s="3" t="str">
        <f>IFERROR(__xludf.DUMMYFUNCTION("""COMPUTED_VALUE"""),"Nix")</f>
        <v>Nix</v>
      </c>
      <c r="AA178" s="3">
        <v>9.0</v>
      </c>
      <c r="AB178" s="3">
        <f t="shared" si="7"/>
        <v>0</v>
      </c>
      <c r="AC178" s="3">
        <f t="shared" si="8"/>
        <v>1</v>
      </c>
      <c r="AD178" s="3">
        <f t="shared" si="9"/>
        <v>0.8849557522</v>
      </c>
      <c r="AE178" s="3">
        <f t="shared" si="10"/>
        <v>0.8849557522</v>
      </c>
      <c r="AF178" s="3">
        <f t="shared" si="11"/>
        <v>1.769911504</v>
      </c>
      <c r="AG178" s="3">
        <f t="shared" si="12"/>
        <v>0.5609756098</v>
      </c>
    </row>
    <row r="179">
      <c r="A179" s="1" t="s">
        <v>9</v>
      </c>
      <c r="B179" s="1" t="s">
        <v>127</v>
      </c>
      <c r="C179" s="1" t="s">
        <v>19</v>
      </c>
      <c r="D179" s="1" t="s">
        <v>83</v>
      </c>
      <c r="E179" s="1" t="s">
        <v>134</v>
      </c>
      <c r="F179" s="1" t="s">
        <v>574</v>
      </c>
      <c r="G179" s="1">
        <v>73.5</v>
      </c>
      <c r="H179" s="1" t="s">
        <v>60</v>
      </c>
      <c r="I179" s="1">
        <v>-114.0</v>
      </c>
      <c r="J179" s="1">
        <v>-0.0831101554401201</v>
      </c>
      <c r="K179" s="1" t="s">
        <v>61</v>
      </c>
      <c r="L179" s="1" t="s">
        <v>61</v>
      </c>
      <c r="M179" s="1" t="s">
        <v>62</v>
      </c>
      <c r="N179" s="1">
        <v>-118.0</v>
      </c>
      <c r="O179" s="1">
        <v>0.00906794702632651</v>
      </c>
      <c r="P179" s="1" t="s">
        <v>61</v>
      </c>
      <c r="Q179" s="1" t="s">
        <v>61</v>
      </c>
      <c r="R179" s="1">
        <f t="shared" si="1"/>
        <v>0.009067947026</v>
      </c>
      <c r="S179" s="1">
        <f t="shared" si="2"/>
        <v>-118</v>
      </c>
      <c r="T179" s="1">
        <f t="shared" si="3"/>
        <v>1.847457627</v>
      </c>
      <c r="U179" s="1">
        <f t="shared" si="4"/>
        <v>0</v>
      </c>
      <c r="V179" s="3">
        <f t="shared" si="5"/>
        <v>1</v>
      </c>
      <c r="W179" s="3">
        <f t="shared" si="6"/>
        <v>3</v>
      </c>
      <c r="X179" s="3" t="str">
        <f>IFERROR(__xludf.DUMMYFUNCTION("split(B179,"" "")"),"J.")</f>
        <v>J.</v>
      </c>
      <c r="Y179" s="3" t="str">
        <f>IFERROR(__xludf.DUMMYFUNCTION("""COMPUTED_VALUE"""),"Williams")</f>
        <v>Williams</v>
      </c>
      <c r="AA179" s="3">
        <v>111.0</v>
      </c>
      <c r="AB179" s="3">
        <f t="shared" si="7"/>
        <v>1</v>
      </c>
      <c r="AC179" s="3">
        <f t="shared" si="8"/>
        <v>0</v>
      </c>
      <c r="AD179" s="3">
        <f t="shared" si="9"/>
        <v>0.8474576271</v>
      </c>
      <c r="AE179" s="3">
        <f t="shared" si="10"/>
        <v>-1</v>
      </c>
      <c r="AF179" s="3">
        <f t="shared" si="11"/>
        <v>-3</v>
      </c>
      <c r="AG179" s="3">
        <f t="shared" si="12"/>
        <v>-0.5102040816</v>
      </c>
    </row>
    <row r="180">
      <c r="A180" s="1" t="s">
        <v>15</v>
      </c>
      <c r="B180" s="1" t="s">
        <v>464</v>
      </c>
      <c r="C180" s="1" t="s">
        <v>21</v>
      </c>
      <c r="D180" s="1" t="s">
        <v>83</v>
      </c>
      <c r="E180" s="1" t="s">
        <v>134</v>
      </c>
      <c r="F180" s="1" t="s">
        <v>574</v>
      </c>
      <c r="G180" s="1">
        <v>18.5</v>
      </c>
      <c r="H180" s="1" t="s">
        <v>60</v>
      </c>
      <c r="I180" s="1">
        <v>-108.0</v>
      </c>
      <c r="J180" s="1">
        <v>-0.0744741711538459</v>
      </c>
      <c r="K180" s="1" t="s">
        <v>61</v>
      </c>
      <c r="L180" s="1" t="s">
        <v>61</v>
      </c>
      <c r="M180" s="1" t="s">
        <v>62</v>
      </c>
      <c r="N180" s="1">
        <v>-122.0</v>
      </c>
      <c r="O180" s="1">
        <v>0.00571436789189194</v>
      </c>
      <c r="P180" s="1" t="s">
        <v>61</v>
      </c>
      <c r="Q180" s="1" t="s">
        <v>61</v>
      </c>
      <c r="R180" s="1">
        <f t="shared" si="1"/>
        <v>0.005714367892</v>
      </c>
      <c r="S180" s="1">
        <f t="shared" si="2"/>
        <v>-122</v>
      </c>
      <c r="T180" s="1">
        <f t="shared" si="3"/>
        <v>1.819672131</v>
      </c>
      <c r="U180" s="1">
        <f t="shared" si="4"/>
        <v>0</v>
      </c>
      <c r="V180" s="3">
        <f t="shared" si="5"/>
        <v>1</v>
      </c>
      <c r="W180" s="3">
        <f t="shared" si="6"/>
        <v>3</v>
      </c>
      <c r="X180" s="3" t="str">
        <f>IFERROR(__xludf.DUMMYFUNCTION("split(B180,"" "")"),"B.")</f>
        <v>B.</v>
      </c>
      <c r="Y180" s="3" t="str">
        <f>IFERROR(__xludf.DUMMYFUNCTION("""COMPUTED_VALUE"""),"Nix")</f>
        <v>Nix</v>
      </c>
      <c r="AA180" s="3">
        <v>19.0</v>
      </c>
      <c r="AB180" s="3">
        <f t="shared" si="7"/>
        <v>1</v>
      </c>
      <c r="AC180" s="3">
        <f t="shared" si="8"/>
        <v>0</v>
      </c>
      <c r="AD180" s="3">
        <f t="shared" si="9"/>
        <v>0.8196721311</v>
      </c>
      <c r="AE180" s="3">
        <f t="shared" si="10"/>
        <v>-1</v>
      </c>
      <c r="AF180" s="3">
        <f t="shared" si="11"/>
        <v>-3</v>
      </c>
      <c r="AG180" s="3">
        <f t="shared" si="12"/>
        <v>-0.02702702703</v>
      </c>
    </row>
    <row r="181">
      <c r="A181" s="1" t="s">
        <v>10</v>
      </c>
      <c r="B181" s="1" t="s">
        <v>581</v>
      </c>
      <c r="C181" s="1" t="s">
        <v>18</v>
      </c>
      <c r="D181" s="1" t="s">
        <v>157</v>
      </c>
      <c r="E181" s="1" t="s">
        <v>196</v>
      </c>
      <c r="F181" s="1" t="s">
        <v>582</v>
      </c>
      <c r="G181" s="1">
        <v>0.5</v>
      </c>
      <c r="H181" s="1" t="s">
        <v>60</v>
      </c>
      <c r="I181" s="1">
        <v>149.0</v>
      </c>
      <c r="J181" s="1">
        <v>0.211257185363858</v>
      </c>
      <c r="K181" s="1" t="s">
        <v>61</v>
      </c>
      <c r="L181" s="1" t="s">
        <v>61</v>
      </c>
      <c r="M181" s="1" t="s">
        <v>62</v>
      </c>
      <c r="N181" s="1">
        <v>-197.0</v>
      </c>
      <c r="O181" s="1">
        <v>-0.276126787193034</v>
      </c>
      <c r="P181" s="1" t="s">
        <v>61</v>
      </c>
      <c r="Q181" s="1" t="s">
        <v>61</v>
      </c>
      <c r="R181" s="1">
        <f t="shared" si="1"/>
        <v>0.2112571854</v>
      </c>
      <c r="S181" s="1">
        <f t="shared" si="2"/>
        <v>149</v>
      </c>
      <c r="T181" s="1">
        <f t="shared" si="3"/>
        <v>2.49</v>
      </c>
      <c r="U181" s="1">
        <f t="shared" si="4"/>
        <v>1</v>
      </c>
      <c r="V181" s="3">
        <f t="shared" si="5"/>
        <v>3</v>
      </c>
      <c r="W181" s="3">
        <f t="shared" si="6"/>
        <v>1</v>
      </c>
      <c r="X181" s="3" t="str">
        <f>IFERROR(__xludf.DUMMYFUNCTION("split(B181,"" "")"),"B.")</f>
        <v>B.</v>
      </c>
      <c r="Y181" s="3" t="str">
        <f>IFERROR(__xludf.DUMMYFUNCTION("""COMPUTED_VALUE"""),"Melton")</f>
        <v>Melton</v>
      </c>
      <c r="AA181" s="3">
        <v>0.0</v>
      </c>
      <c r="AB181" s="3">
        <f t="shared" si="7"/>
        <v>0</v>
      </c>
      <c r="AC181" s="3">
        <f t="shared" si="8"/>
        <v>0</v>
      </c>
      <c r="AD181" s="3">
        <f t="shared" si="9"/>
        <v>4.47</v>
      </c>
      <c r="AE181" s="3">
        <f t="shared" si="10"/>
        <v>-3</v>
      </c>
      <c r="AF181" s="3">
        <f t="shared" si="11"/>
        <v>-1</v>
      </c>
      <c r="AG181" s="3">
        <f t="shared" si="12"/>
        <v>-1</v>
      </c>
    </row>
    <row r="182">
      <c r="A182" s="1" t="s">
        <v>12</v>
      </c>
      <c r="B182" s="1" t="s">
        <v>482</v>
      </c>
      <c r="C182" s="1" t="s">
        <v>18</v>
      </c>
      <c r="D182" s="1" t="s">
        <v>157</v>
      </c>
      <c r="E182" s="1" t="s">
        <v>196</v>
      </c>
      <c r="F182" s="1" t="s">
        <v>582</v>
      </c>
      <c r="G182" s="1">
        <v>3.5</v>
      </c>
      <c r="H182" s="1" t="s">
        <v>60</v>
      </c>
      <c r="I182" s="1">
        <v>-155.0</v>
      </c>
      <c r="J182" s="1">
        <v>-0.245243137254902</v>
      </c>
      <c r="K182" s="1" t="s">
        <v>61</v>
      </c>
      <c r="L182" s="1" t="s">
        <v>61</v>
      </c>
      <c r="M182" s="1" t="s">
        <v>62</v>
      </c>
      <c r="N182" s="1">
        <v>118.0</v>
      </c>
      <c r="O182" s="1">
        <v>0.178684403669724</v>
      </c>
      <c r="P182" s="1" t="s">
        <v>61</v>
      </c>
      <c r="Q182" s="1" t="s">
        <v>61</v>
      </c>
      <c r="R182" s="1">
        <f t="shared" si="1"/>
        <v>0.1786844037</v>
      </c>
      <c r="S182" s="1">
        <f t="shared" si="2"/>
        <v>118</v>
      </c>
      <c r="T182" s="1">
        <f t="shared" si="3"/>
        <v>2.18</v>
      </c>
      <c r="U182" s="1">
        <f t="shared" si="4"/>
        <v>0</v>
      </c>
      <c r="V182" s="3">
        <f t="shared" si="5"/>
        <v>3</v>
      </c>
      <c r="W182" s="3">
        <f t="shared" si="6"/>
        <v>1</v>
      </c>
      <c r="X182" s="3" t="str">
        <f>IFERROR(__xludf.DUMMYFUNCTION("split(B182,"" "")"),"R.")</f>
        <v>R.</v>
      </c>
      <c r="Y182" s="3" t="str">
        <f>IFERROR(__xludf.DUMMYFUNCTION("""COMPUTED_VALUE"""),"Doubs")</f>
        <v>Doubs</v>
      </c>
      <c r="AA182" s="3">
        <v>0.0</v>
      </c>
      <c r="AB182" s="3">
        <f t="shared" si="7"/>
        <v>0</v>
      </c>
      <c r="AC182" s="3">
        <f t="shared" si="8"/>
        <v>1</v>
      </c>
      <c r="AD182" s="3">
        <f t="shared" si="9"/>
        <v>3.54</v>
      </c>
      <c r="AE182" s="3">
        <f t="shared" si="10"/>
        <v>3.54</v>
      </c>
      <c r="AF182" s="3">
        <f t="shared" si="11"/>
        <v>1.18</v>
      </c>
      <c r="AG182" s="3">
        <f t="shared" si="12"/>
        <v>1</v>
      </c>
    </row>
    <row r="183">
      <c r="A183" s="1" t="s">
        <v>8</v>
      </c>
      <c r="B183" s="1" t="s">
        <v>536</v>
      </c>
      <c r="C183" s="1" t="s">
        <v>19</v>
      </c>
      <c r="D183" s="1" t="s">
        <v>157</v>
      </c>
      <c r="E183" s="1" t="s">
        <v>196</v>
      </c>
      <c r="F183" s="1" t="s">
        <v>582</v>
      </c>
      <c r="G183" s="1">
        <v>7.5</v>
      </c>
      <c r="H183" s="1" t="s">
        <v>60</v>
      </c>
      <c r="I183" s="1">
        <v>-110.0</v>
      </c>
      <c r="J183" s="1">
        <v>-0.210897199464707</v>
      </c>
      <c r="K183" s="1" t="s">
        <v>61</v>
      </c>
      <c r="L183" s="1" t="s">
        <v>61</v>
      </c>
      <c r="M183" s="1" t="s">
        <v>62</v>
      </c>
      <c r="N183" s="1">
        <v>-120.0</v>
      </c>
      <c r="O183" s="1">
        <v>0.141631337568665</v>
      </c>
      <c r="P183" s="1" t="s">
        <v>61</v>
      </c>
      <c r="Q183" s="1" t="s">
        <v>61</v>
      </c>
      <c r="R183" s="1">
        <f t="shared" si="1"/>
        <v>0.1416313376</v>
      </c>
      <c r="S183" s="1">
        <f t="shared" si="2"/>
        <v>-120</v>
      </c>
      <c r="T183" s="1">
        <f t="shared" si="3"/>
        <v>1.833333333</v>
      </c>
      <c r="U183" s="1">
        <f t="shared" si="4"/>
        <v>0</v>
      </c>
      <c r="V183" s="3">
        <f t="shared" si="5"/>
        <v>3</v>
      </c>
      <c r="W183" s="3">
        <f t="shared" si="6"/>
        <v>3</v>
      </c>
      <c r="X183" s="3" t="str">
        <f>IFERROR(__xludf.DUMMYFUNCTION("split(B183,"" "")"),"E.")</f>
        <v>E.</v>
      </c>
      <c r="Y183" s="3" t="str">
        <f>IFERROR(__xludf.DUMMYFUNCTION("""COMPUTED_VALUE"""),"Wilson")</f>
        <v>Wilson</v>
      </c>
      <c r="AA183" s="3">
        <v>6.0</v>
      </c>
      <c r="AB183" s="3">
        <f t="shared" si="7"/>
        <v>0</v>
      </c>
      <c r="AC183" s="3">
        <f t="shared" si="8"/>
        <v>1</v>
      </c>
      <c r="AD183" s="3">
        <f t="shared" si="9"/>
        <v>2.5</v>
      </c>
      <c r="AE183" s="3">
        <f t="shared" si="10"/>
        <v>2.5</v>
      </c>
      <c r="AF183" s="3">
        <f t="shared" si="11"/>
        <v>2.5</v>
      </c>
      <c r="AG183" s="3">
        <f t="shared" si="12"/>
        <v>0.2</v>
      </c>
    </row>
    <row r="184">
      <c r="A184" s="1" t="s">
        <v>12</v>
      </c>
      <c r="B184" s="1" t="s">
        <v>535</v>
      </c>
      <c r="C184" s="1" t="s">
        <v>20</v>
      </c>
      <c r="D184" s="1" t="s">
        <v>157</v>
      </c>
      <c r="E184" s="1" t="s">
        <v>196</v>
      </c>
      <c r="F184" s="1" t="s">
        <v>582</v>
      </c>
      <c r="G184" s="1">
        <v>3.5</v>
      </c>
      <c r="H184" s="1" t="s">
        <v>60</v>
      </c>
      <c r="I184" s="1">
        <v>-136.0</v>
      </c>
      <c r="J184" s="1">
        <v>-0.197071186440677</v>
      </c>
      <c r="K184" s="1" t="s">
        <v>61</v>
      </c>
      <c r="L184" s="1" t="s">
        <v>61</v>
      </c>
      <c r="M184" s="1" t="s">
        <v>62</v>
      </c>
      <c r="N184" s="1">
        <v>104.0</v>
      </c>
      <c r="O184" s="1">
        <v>0.130603921568627</v>
      </c>
      <c r="P184" s="1" t="s">
        <v>61</v>
      </c>
      <c r="Q184" s="1" t="s">
        <v>61</v>
      </c>
      <c r="R184" s="1">
        <f t="shared" si="1"/>
        <v>0.1306039216</v>
      </c>
      <c r="S184" s="1">
        <f t="shared" si="2"/>
        <v>104</v>
      </c>
      <c r="T184" s="1">
        <f t="shared" si="3"/>
        <v>2.04</v>
      </c>
      <c r="U184" s="1">
        <f t="shared" si="4"/>
        <v>0</v>
      </c>
      <c r="V184" s="3">
        <f t="shared" si="5"/>
        <v>3</v>
      </c>
      <c r="W184" s="3">
        <f t="shared" si="6"/>
        <v>2</v>
      </c>
      <c r="X184" s="3" t="str">
        <f>IFERROR(__xludf.DUMMYFUNCTION("split(B184,"" "")"),"T.")</f>
        <v>T.</v>
      </c>
      <c r="Y184" s="3" t="str">
        <f>IFERROR(__xludf.DUMMYFUNCTION("""COMPUTED_VALUE"""),"Kraft")</f>
        <v>Kraft</v>
      </c>
      <c r="AA184" s="3">
        <v>4.0</v>
      </c>
      <c r="AB184" s="3">
        <f t="shared" si="7"/>
        <v>1</v>
      </c>
      <c r="AC184" s="3">
        <f t="shared" si="8"/>
        <v>0</v>
      </c>
      <c r="AD184" s="3">
        <f t="shared" si="9"/>
        <v>3.12</v>
      </c>
      <c r="AE184" s="3">
        <f t="shared" si="10"/>
        <v>-3</v>
      </c>
      <c r="AF184" s="3">
        <f t="shared" si="11"/>
        <v>-2</v>
      </c>
      <c r="AG184" s="3">
        <f t="shared" si="12"/>
        <v>-0.1428571429</v>
      </c>
    </row>
    <row r="185">
      <c r="A185" s="1" t="s">
        <v>12</v>
      </c>
      <c r="B185" s="1" t="s">
        <v>581</v>
      </c>
      <c r="C185" s="1" t="s">
        <v>18</v>
      </c>
      <c r="D185" s="1" t="s">
        <v>157</v>
      </c>
      <c r="E185" s="1" t="s">
        <v>196</v>
      </c>
      <c r="F185" s="1" t="s">
        <v>582</v>
      </c>
      <c r="G185" s="1">
        <v>2.5</v>
      </c>
      <c r="H185" s="1" t="s">
        <v>60</v>
      </c>
      <c r="I185" s="1">
        <v>-103.0</v>
      </c>
      <c r="J185" s="1">
        <v>-0.191633663399014</v>
      </c>
      <c r="K185" s="1" t="s">
        <v>61</v>
      </c>
      <c r="L185" s="1" t="s">
        <v>61</v>
      </c>
      <c r="M185" s="1" t="s">
        <v>62</v>
      </c>
      <c r="N185" s="1">
        <v>-128.0</v>
      </c>
      <c r="O185" s="1">
        <v>0.12283324165614</v>
      </c>
      <c r="P185" s="1" t="s">
        <v>61</v>
      </c>
      <c r="Q185" s="1" t="s">
        <v>61</v>
      </c>
      <c r="R185" s="1">
        <f t="shared" si="1"/>
        <v>0.1228332417</v>
      </c>
      <c r="S185" s="1">
        <f t="shared" si="2"/>
        <v>-128</v>
      </c>
      <c r="T185" s="1">
        <f t="shared" si="3"/>
        <v>1.78125</v>
      </c>
      <c r="U185" s="1">
        <f t="shared" si="4"/>
        <v>0</v>
      </c>
      <c r="V185" s="3">
        <f t="shared" si="5"/>
        <v>3</v>
      </c>
      <c r="W185" s="3">
        <f t="shared" si="6"/>
        <v>3</v>
      </c>
      <c r="X185" s="3" t="str">
        <f>IFERROR(__xludf.DUMMYFUNCTION("split(B185,"" "")"),"B.")</f>
        <v>B.</v>
      </c>
      <c r="Y185" s="3" t="str">
        <f>IFERROR(__xludf.DUMMYFUNCTION("""COMPUTED_VALUE"""),"Melton")</f>
        <v>Melton</v>
      </c>
      <c r="AA185" s="3">
        <v>1.0</v>
      </c>
      <c r="AB185" s="3">
        <f t="shared" si="7"/>
        <v>0</v>
      </c>
      <c r="AC185" s="3">
        <f t="shared" si="8"/>
        <v>1</v>
      </c>
      <c r="AD185" s="3">
        <f t="shared" si="9"/>
        <v>2.34375</v>
      </c>
      <c r="AE185" s="3">
        <f t="shared" si="10"/>
        <v>2.34375</v>
      </c>
      <c r="AF185" s="3">
        <f t="shared" si="11"/>
        <v>2.34375</v>
      </c>
      <c r="AG185" s="3">
        <f t="shared" si="12"/>
        <v>0.6</v>
      </c>
    </row>
    <row r="186">
      <c r="A186" s="1" t="s">
        <v>12</v>
      </c>
      <c r="B186" s="1" t="s">
        <v>487</v>
      </c>
      <c r="C186" s="1" t="s">
        <v>18</v>
      </c>
      <c r="D186" s="1" t="s">
        <v>157</v>
      </c>
      <c r="E186" s="1" t="s">
        <v>196</v>
      </c>
      <c r="F186" s="1" t="s">
        <v>582</v>
      </c>
      <c r="G186" s="1">
        <v>5.5</v>
      </c>
      <c r="H186" s="1" t="s">
        <v>60</v>
      </c>
      <c r="I186" s="1">
        <v>113.0</v>
      </c>
      <c r="J186" s="1">
        <v>0.0939225352112675</v>
      </c>
      <c r="K186" s="1" t="s">
        <v>61</v>
      </c>
      <c r="L186" s="1" t="s">
        <v>61</v>
      </c>
      <c r="M186" s="1" t="s">
        <v>62</v>
      </c>
      <c r="N186" s="1">
        <v>-149.0</v>
      </c>
      <c r="O186" s="1">
        <v>-0.161813253012048</v>
      </c>
      <c r="P186" s="1" t="s">
        <v>61</v>
      </c>
      <c r="Q186" s="1" t="s">
        <v>61</v>
      </c>
      <c r="R186" s="1">
        <f t="shared" si="1"/>
        <v>0.09392253521</v>
      </c>
      <c r="S186" s="1">
        <f t="shared" si="2"/>
        <v>113</v>
      </c>
      <c r="T186" s="1">
        <f t="shared" si="3"/>
        <v>2.13</v>
      </c>
      <c r="U186" s="1">
        <f t="shared" si="4"/>
        <v>1</v>
      </c>
      <c r="V186" s="3">
        <f t="shared" si="5"/>
        <v>2</v>
      </c>
      <c r="W186" s="3">
        <f t="shared" si="6"/>
        <v>1</v>
      </c>
      <c r="X186" s="3" t="str">
        <f>IFERROR(__xludf.DUMMYFUNCTION("split(B186,"" "")"),"J.")</f>
        <v>J.</v>
      </c>
      <c r="Y186" s="3" t="str">
        <f>IFERROR(__xludf.DUMMYFUNCTION("""COMPUTED_VALUE"""),"Reed")</f>
        <v>Reed</v>
      </c>
      <c r="AA186" s="3">
        <v>4.0</v>
      </c>
      <c r="AB186" s="3">
        <f t="shared" si="7"/>
        <v>0</v>
      </c>
      <c r="AC186" s="3">
        <f t="shared" si="8"/>
        <v>0</v>
      </c>
      <c r="AD186" s="3">
        <f t="shared" si="9"/>
        <v>2.26</v>
      </c>
      <c r="AE186" s="3">
        <f t="shared" si="10"/>
        <v>-2</v>
      </c>
      <c r="AF186" s="3">
        <f t="shared" si="11"/>
        <v>-1</v>
      </c>
      <c r="AG186" s="3">
        <f t="shared" si="12"/>
        <v>-0.2727272727</v>
      </c>
    </row>
    <row r="187">
      <c r="A187" s="1" t="s">
        <v>11</v>
      </c>
      <c r="B187" s="1" t="s">
        <v>536</v>
      </c>
      <c r="C187" s="1" t="s">
        <v>19</v>
      </c>
      <c r="D187" s="1" t="s">
        <v>157</v>
      </c>
      <c r="E187" s="1" t="s">
        <v>196</v>
      </c>
      <c r="F187" s="1" t="s">
        <v>582</v>
      </c>
      <c r="G187" s="1">
        <v>5.5</v>
      </c>
      <c r="H187" s="1" t="s">
        <v>60</v>
      </c>
      <c r="I187" s="1">
        <v>-118.0</v>
      </c>
      <c r="J187" s="1">
        <v>0.0893441115843883</v>
      </c>
      <c r="K187" s="1" t="s">
        <v>61</v>
      </c>
      <c r="L187" s="1" t="s">
        <v>61</v>
      </c>
      <c r="M187" s="1" t="s">
        <v>62</v>
      </c>
      <c r="N187" s="1">
        <v>-108.0</v>
      </c>
      <c r="O187" s="1">
        <v>-0.149863046304944</v>
      </c>
      <c r="P187" s="1" t="s">
        <v>61</v>
      </c>
      <c r="Q187" s="1" t="s">
        <v>61</v>
      </c>
      <c r="R187" s="1">
        <f t="shared" si="1"/>
        <v>0.08934411158</v>
      </c>
      <c r="S187" s="1">
        <f t="shared" si="2"/>
        <v>-118</v>
      </c>
      <c r="T187" s="1">
        <f t="shared" si="3"/>
        <v>1.847457627</v>
      </c>
      <c r="U187" s="1">
        <f t="shared" si="4"/>
        <v>1</v>
      </c>
      <c r="V187" s="3">
        <f t="shared" si="5"/>
        <v>2</v>
      </c>
      <c r="W187" s="3">
        <f t="shared" si="6"/>
        <v>3</v>
      </c>
      <c r="X187" s="3" t="str">
        <f>IFERROR(__xludf.DUMMYFUNCTION("split(B187,"" "")"),"E.")</f>
        <v>E.</v>
      </c>
      <c r="Y187" s="3" t="str">
        <f>IFERROR(__xludf.DUMMYFUNCTION("""COMPUTED_VALUE"""),"Wilson")</f>
        <v>Wilson</v>
      </c>
      <c r="AA187" s="3">
        <v>-9.0</v>
      </c>
      <c r="AB187" s="3">
        <f t="shared" si="7"/>
        <v>0</v>
      </c>
      <c r="AC187" s="3">
        <f t="shared" si="8"/>
        <v>0</v>
      </c>
      <c r="AD187" s="3">
        <f t="shared" si="9"/>
        <v>1.694915254</v>
      </c>
      <c r="AE187" s="3">
        <f t="shared" si="10"/>
        <v>-2</v>
      </c>
      <c r="AF187" s="3">
        <f t="shared" si="11"/>
        <v>-3</v>
      </c>
      <c r="AG187" s="3">
        <f t="shared" si="12"/>
        <v>-2.636363636</v>
      </c>
    </row>
    <row r="188">
      <c r="A188" s="1" t="s">
        <v>14</v>
      </c>
      <c r="B188" s="1" t="s">
        <v>297</v>
      </c>
      <c r="C188" s="1" t="s">
        <v>21</v>
      </c>
      <c r="D188" s="1" t="s">
        <v>157</v>
      </c>
      <c r="E188" s="1" t="s">
        <v>196</v>
      </c>
      <c r="F188" s="1" t="s">
        <v>582</v>
      </c>
      <c r="G188" s="1">
        <v>1.5</v>
      </c>
      <c r="H188" s="1" t="s">
        <v>60</v>
      </c>
      <c r="I188" s="1">
        <v>-182.0</v>
      </c>
      <c r="J188" s="1">
        <v>-0.145290070921985</v>
      </c>
      <c r="K188" s="1" t="s">
        <v>61</v>
      </c>
      <c r="L188" s="1" t="s">
        <v>61</v>
      </c>
      <c r="M188" s="1" t="s">
        <v>62</v>
      </c>
      <c r="N188" s="1">
        <v>140.0</v>
      </c>
      <c r="O188" s="1">
        <v>0.0832333333333333</v>
      </c>
      <c r="P188" s="1" t="s">
        <v>61</v>
      </c>
      <c r="Q188" s="1" t="s">
        <v>61</v>
      </c>
      <c r="R188" s="1">
        <f t="shared" si="1"/>
        <v>0.08323333333</v>
      </c>
      <c r="S188" s="1">
        <f t="shared" si="2"/>
        <v>140</v>
      </c>
      <c r="T188" s="1">
        <f t="shared" si="3"/>
        <v>2.4</v>
      </c>
      <c r="U188" s="1">
        <f t="shared" si="4"/>
        <v>0</v>
      </c>
      <c r="V188" s="3">
        <f t="shared" si="5"/>
        <v>2</v>
      </c>
      <c r="W188" s="3">
        <f t="shared" si="6"/>
        <v>1</v>
      </c>
      <c r="X188" s="3" t="str">
        <f>IFERROR(__xludf.DUMMYFUNCTION("split(B188,"" "")"),"J.")</f>
        <v>J.</v>
      </c>
      <c r="Y188" s="3" t="str">
        <f>IFERROR(__xludf.DUMMYFUNCTION("""COMPUTED_VALUE"""),"Love")</f>
        <v>Love</v>
      </c>
      <c r="AA188" s="3">
        <v>2.0</v>
      </c>
      <c r="AB188" s="3">
        <f t="shared" si="7"/>
        <v>1</v>
      </c>
      <c r="AC188" s="3">
        <f t="shared" si="8"/>
        <v>0</v>
      </c>
      <c r="AD188" s="3">
        <f t="shared" si="9"/>
        <v>2.8</v>
      </c>
      <c r="AE188" s="3">
        <f t="shared" si="10"/>
        <v>-2</v>
      </c>
      <c r="AF188" s="3">
        <f t="shared" si="11"/>
        <v>-1</v>
      </c>
      <c r="AG188" s="3">
        <f t="shared" si="12"/>
        <v>-0.3333333333</v>
      </c>
    </row>
    <row r="189">
      <c r="A189" s="1" t="s">
        <v>12</v>
      </c>
      <c r="B189" s="1" t="s">
        <v>187</v>
      </c>
      <c r="C189" s="1" t="s">
        <v>19</v>
      </c>
      <c r="D189" s="1" t="s">
        <v>157</v>
      </c>
      <c r="E189" s="1" t="s">
        <v>196</v>
      </c>
      <c r="F189" s="1" t="s">
        <v>582</v>
      </c>
      <c r="G189" s="1">
        <v>2.5</v>
      </c>
      <c r="H189" s="1" t="s">
        <v>60</v>
      </c>
      <c r="I189" s="1">
        <v>104.0</v>
      </c>
      <c r="J189" s="1">
        <v>-0.148394241047058</v>
      </c>
      <c r="K189" s="1" t="s">
        <v>61</v>
      </c>
      <c r="L189" s="1" t="s">
        <v>61</v>
      </c>
      <c r="M189" s="1" t="s">
        <v>62</v>
      </c>
      <c r="N189" s="1">
        <v>-139.0</v>
      </c>
      <c r="O189" s="1">
        <v>0.0766079457326359</v>
      </c>
      <c r="P189" s="1" t="s">
        <v>61</v>
      </c>
      <c r="Q189" s="1" t="s">
        <v>61</v>
      </c>
      <c r="R189" s="1">
        <f t="shared" si="1"/>
        <v>0.07660794573</v>
      </c>
      <c r="S189" s="1">
        <f t="shared" si="2"/>
        <v>-139</v>
      </c>
      <c r="T189" s="1">
        <f t="shared" si="3"/>
        <v>1.71942446</v>
      </c>
      <c r="U189" s="1">
        <f t="shared" si="4"/>
        <v>0</v>
      </c>
      <c r="V189" s="3">
        <f t="shared" si="5"/>
        <v>2</v>
      </c>
      <c r="W189" s="3">
        <f t="shared" si="6"/>
        <v>3</v>
      </c>
      <c r="X189" s="3" t="str">
        <f>IFERROR(__xludf.DUMMYFUNCTION("split(B189,"" "")"),"J.")</f>
        <v>J.</v>
      </c>
      <c r="Y189" s="3" t="str">
        <f>IFERROR(__xludf.DUMMYFUNCTION("""COMPUTED_VALUE"""),"Jacobs")</f>
        <v>Jacobs</v>
      </c>
      <c r="AA189" s="3">
        <v>1.0</v>
      </c>
      <c r="AB189" s="3">
        <f t="shared" si="7"/>
        <v>0</v>
      </c>
      <c r="AC189" s="3">
        <f t="shared" si="8"/>
        <v>1</v>
      </c>
      <c r="AD189" s="3">
        <f t="shared" si="9"/>
        <v>1.438848921</v>
      </c>
      <c r="AE189" s="3">
        <f t="shared" si="10"/>
        <v>1.438848921</v>
      </c>
      <c r="AF189" s="3">
        <f t="shared" si="11"/>
        <v>2.158273381</v>
      </c>
      <c r="AG189" s="3">
        <f t="shared" si="12"/>
        <v>0.6</v>
      </c>
    </row>
    <row r="190">
      <c r="A190" s="1" t="s">
        <v>11</v>
      </c>
      <c r="B190" s="1" t="s">
        <v>535</v>
      </c>
      <c r="C190" s="1" t="s">
        <v>20</v>
      </c>
      <c r="D190" s="1" t="s">
        <v>157</v>
      </c>
      <c r="E190" s="1" t="s">
        <v>196</v>
      </c>
      <c r="F190" s="1" t="s">
        <v>582</v>
      </c>
      <c r="G190" s="1">
        <v>38.5</v>
      </c>
      <c r="H190" s="1" t="s">
        <v>60</v>
      </c>
      <c r="I190" s="1">
        <v>-119.0</v>
      </c>
      <c r="J190" s="1">
        <v>-0.129263857252055</v>
      </c>
      <c r="K190" s="1" t="s">
        <v>61</v>
      </c>
      <c r="L190" s="1" t="s">
        <v>61</v>
      </c>
      <c r="M190" s="1" t="s">
        <v>62</v>
      </c>
      <c r="N190" s="1">
        <v>-110.0</v>
      </c>
      <c r="O190" s="1">
        <v>0.0620720201165715</v>
      </c>
      <c r="P190" s="1" t="s">
        <v>61</v>
      </c>
      <c r="Q190" s="1" t="s">
        <v>61</v>
      </c>
      <c r="R190" s="1">
        <f t="shared" si="1"/>
        <v>0.06207202012</v>
      </c>
      <c r="S190" s="1">
        <f t="shared" si="2"/>
        <v>-110</v>
      </c>
      <c r="T190" s="1">
        <f t="shared" si="3"/>
        <v>1.909090909</v>
      </c>
      <c r="U190" s="1">
        <f t="shared" si="4"/>
        <v>0</v>
      </c>
      <c r="V190" s="3">
        <f t="shared" si="5"/>
        <v>2</v>
      </c>
      <c r="W190" s="3">
        <f t="shared" si="6"/>
        <v>2</v>
      </c>
      <c r="X190" s="3" t="str">
        <f>IFERROR(__xludf.DUMMYFUNCTION("split(B190,"" "")"),"T.")</f>
        <v>T.</v>
      </c>
      <c r="Y190" s="3" t="str">
        <f>IFERROR(__xludf.DUMMYFUNCTION("""COMPUTED_VALUE"""),"Kraft")</f>
        <v>Kraft</v>
      </c>
      <c r="AA190" s="3">
        <v>88.0</v>
      </c>
      <c r="AB190" s="3">
        <f t="shared" si="7"/>
        <v>1</v>
      </c>
      <c r="AC190" s="3">
        <f t="shared" si="8"/>
        <v>0</v>
      </c>
      <c r="AD190" s="3">
        <f t="shared" si="9"/>
        <v>1.818181818</v>
      </c>
      <c r="AE190" s="3">
        <f t="shared" si="10"/>
        <v>-2</v>
      </c>
      <c r="AF190" s="3">
        <f t="shared" si="11"/>
        <v>-2</v>
      </c>
      <c r="AG190" s="3">
        <f t="shared" si="12"/>
        <v>-1.285714286</v>
      </c>
    </row>
    <row r="191">
      <c r="A191" s="1" t="s">
        <v>15</v>
      </c>
      <c r="B191" s="1" t="s">
        <v>297</v>
      </c>
      <c r="C191" s="1" t="s">
        <v>21</v>
      </c>
      <c r="D191" s="1" t="s">
        <v>157</v>
      </c>
      <c r="E191" s="1" t="s">
        <v>196</v>
      </c>
      <c r="F191" s="1" t="s">
        <v>582</v>
      </c>
      <c r="G191" s="1">
        <v>22.5</v>
      </c>
      <c r="H191" s="1" t="s">
        <v>60</v>
      </c>
      <c r="I191" s="1">
        <v>-111.0</v>
      </c>
      <c r="J191" s="1">
        <v>0.0468862559241707</v>
      </c>
      <c r="K191" s="1" t="s">
        <v>61</v>
      </c>
      <c r="L191" s="1" t="s">
        <v>61</v>
      </c>
      <c r="M191" s="1" t="s">
        <v>62</v>
      </c>
      <c r="N191" s="1">
        <v>-120.0</v>
      </c>
      <c r="O191" s="1">
        <v>-0.1184</v>
      </c>
      <c r="P191" s="1" t="s">
        <v>61</v>
      </c>
      <c r="Q191" s="1" t="s">
        <v>61</v>
      </c>
      <c r="R191" s="1">
        <f t="shared" si="1"/>
        <v>0.04688625592</v>
      </c>
      <c r="S191" s="1">
        <f t="shared" si="2"/>
        <v>-111</v>
      </c>
      <c r="T191" s="1">
        <f t="shared" si="3"/>
        <v>1.900900901</v>
      </c>
      <c r="U191" s="1">
        <f t="shared" si="4"/>
        <v>1</v>
      </c>
      <c r="V191" s="3">
        <f t="shared" si="5"/>
        <v>1</v>
      </c>
      <c r="W191" s="3">
        <f t="shared" si="6"/>
        <v>2</v>
      </c>
      <c r="X191" s="3" t="str">
        <f>IFERROR(__xludf.DUMMYFUNCTION("split(B191,"" "")"),"J.")</f>
        <v>J.</v>
      </c>
      <c r="Y191" s="3" t="str">
        <f>IFERROR(__xludf.DUMMYFUNCTION("""COMPUTED_VALUE"""),"Love")</f>
        <v>Love</v>
      </c>
      <c r="AA191" s="3">
        <v>15.0</v>
      </c>
      <c r="AB191" s="3">
        <f t="shared" si="7"/>
        <v>0</v>
      </c>
      <c r="AC191" s="3">
        <f t="shared" si="8"/>
        <v>0</v>
      </c>
      <c r="AD191" s="3">
        <f t="shared" si="9"/>
        <v>0.9009009009</v>
      </c>
      <c r="AE191" s="3">
        <f t="shared" si="10"/>
        <v>-1</v>
      </c>
      <c r="AF191" s="3">
        <f t="shared" si="11"/>
        <v>-2</v>
      </c>
      <c r="AG191" s="3">
        <f t="shared" si="12"/>
        <v>-0.3333333333</v>
      </c>
    </row>
    <row r="192">
      <c r="A192" s="1" t="s">
        <v>8</v>
      </c>
      <c r="B192" s="1" t="s">
        <v>297</v>
      </c>
      <c r="C192" s="1" t="s">
        <v>21</v>
      </c>
      <c r="D192" s="1" t="s">
        <v>157</v>
      </c>
      <c r="E192" s="1" t="s">
        <v>196</v>
      </c>
      <c r="F192" s="1" t="s">
        <v>582</v>
      </c>
      <c r="G192" s="1">
        <v>2.5</v>
      </c>
      <c r="H192" s="1" t="s">
        <v>60</v>
      </c>
      <c r="I192" s="1">
        <v>105.0</v>
      </c>
      <c r="J192" s="1">
        <v>-0.112745334443361</v>
      </c>
      <c r="K192" s="1" t="s">
        <v>61</v>
      </c>
      <c r="L192" s="1" t="s">
        <v>61</v>
      </c>
      <c r="M192" s="1" t="s">
        <v>62</v>
      </c>
      <c r="N192" s="1">
        <v>-140.0</v>
      </c>
      <c r="O192" s="1">
        <v>0.041612742004939</v>
      </c>
      <c r="P192" s="1" t="s">
        <v>61</v>
      </c>
      <c r="Q192" s="1" t="s">
        <v>61</v>
      </c>
      <c r="R192" s="1">
        <f t="shared" si="1"/>
        <v>0.041612742</v>
      </c>
      <c r="S192" s="1">
        <f t="shared" si="2"/>
        <v>-140</v>
      </c>
      <c r="T192" s="1">
        <f t="shared" si="3"/>
        <v>1.714285714</v>
      </c>
      <c r="U192" s="1">
        <f t="shared" si="4"/>
        <v>0</v>
      </c>
      <c r="V192" s="3">
        <f t="shared" si="5"/>
        <v>1</v>
      </c>
      <c r="W192" s="3">
        <f t="shared" si="6"/>
        <v>3</v>
      </c>
      <c r="X192" s="3" t="str">
        <f>IFERROR(__xludf.DUMMYFUNCTION("split(B192,"" "")"),"J.")</f>
        <v>J.</v>
      </c>
      <c r="Y192" s="3" t="str">
        <f>IFERROR(__xludf.DUMMYFUNCTION("""COMPUTED_VALUE"""),"Love")</f>
        <v>Love</v>
      </c>
      <c r="AA192" s="3">
        <v>3.0</v>
      </c>
      <c r="AB192" s="3">
        <f t="shared" si="7"/>
        <v>1</v>
      </c>
      <c r="AC192" s="3">
        <f t="shared" si="8"/>
        <v>0</v>
      </c>
      <c r="AD192" s="3">
        <f t="shared" si="9"/>
        <v>0.7142857143</v>
      </c>
      <c r="AE192" s="3">
        <f t="shared" si="10"/>
        <v>-1</v>
      </c>
      <c r="AF192" s="3">
        <f t="shared" si="11"/>
        <v>-3</v>
      </c>
      <c r="AG192" s="3">
        <f t="shared" si="12"/>
        <v>-0.2</v>
      </c>
    </row>
    <row r="193">
      <c r="A193" s="1" t="s">
        <v>10</v>
      </c>
      <c r="B193" s="1" t="s">
        <v>297</v>
      </c>
      <c r="C193" s="1" t="s">
        <v>21</v>
      </c>
      <c r="D193" s="1" t="s">
        <v>157</v>
      </c>
      <c r="E193" s="1" t="s">
        <v>196</v>
      </c>
      <c r="F193" s="1" t="s">
        <v>582</v>
      </c>
      <c r="G193" s="1">
        <v>4.5</v>
      </c>
      <c r="H193" s="1" t="s">
        <v>60</v>
      </c>
      <c r="I193" s="1">
        <v>-117.0</v>
      </c>
      <c r="J193" s="1">
        <v>0.0410793035323006</v>
      </c>
      <c r="K193" s="1" t="s">
        <v>61</v>
      </c>
      <c r="L193" s="1" t="s">
        <v>61</v>
      </c>
      <c r="M193" s="1" t="s">
        <v>62</v>
      </c>
      <c r="N193" s="1">
        <v>-112.0</v>
      </c>
      <c r="O193" s="1">
        <v>-0.108558990238161</v>
      </c>
      <c r="P193" s="1" t="s">
        <v>61</v>
      </c>
      <c r="Q193" s="1" t="s">
        <v>61</v>
      </c>
      <c r="R193" s="1">
        <f t="shared" si="1"/>
        <v>0.04107930353</v>
      </c>
      <c r="S193" s="1">
        <f t="shared" si="2"/>
        <v>-117</v>
      </c>
      <c r="T193" s="1">
        <f t="shared" si="3"/>
        <v>1.854700855</v>
      </c>
      <c r="U193" s="1">
        <f t="shared" si="4"/>
        <v>1</v>
      </c>
      <c r="V193" s="3">
        <f t="shared" si="5"/>
        <v>1</v>
      </c>
      <c r="W193" s="3">
        <f t="shared" si="6"/>
        <v>2</v>
      </c>
      <c r="X193" s="3" t="str">
        <f>IFERROR(__xludf.DUMMYFUNCTION("split(B193,"" "")"),"J.")</f>
        <v>J.</v>
      </c>
      <c r="Y193" s="3" t="str">
        <f>IFERROR(__xludf.DUMMYFUNCTION("""COMPUTED_VALUE"""),"Love")</f>
        <v>Love</v>
      </c>
      <c r="AA193" s="3">
        <v>10.0</v>
      </c>
      <c r="AB193" s="3">
        <f t="shared" si="7"/>
        <v>1</v>
      </c>
      <c r="AC193" s="3">
        <f t="shared" si="8"/>
        <v>1</v>
      </c>
      <c r="AD193" s="3">
        <f t="shared" si="9"/>
        <v>0.8547008547</v>
      </c>
      <c r="AE193" s="3">
        <f t="shared" si="10"/>
        <v>0.8547008547</v>
      </c>
      <c r="AF193" s="3">
        <f t="shared" si="11"/>
        <v>1.709401709</v>
      </c>
      <c r="AG193" s="3">
        <f t="shared" si="12"/>
        <v>1.222222222</v>
      </c>
    </row>
    <row r="194">
      <c r="A194" s="1" t="s">
        <v>10</v>
      </c>
      <c r="B194" s="1" t="s">
        <v>536</v>
      </c>
      <c r="C194" s="1" t="s">
        <v>19</v>
      </c>
      <c r="D194" s="1" t="s">
        <v>157</v>
      </c>
      <c r="E194" s="1" t="s">
        <v>196</v>
      </c>
      <c r="F194" s="1" t="s">
        <v>582</v>
      </c>
      <c r="G194" s="1">
        <v>29.5</v>
      </c>
      <c r="H194" s="1" t="s">
        <v>60</v>
      </c>
      <c r="I194" s="1">
        <v>-124.0</v>
      </c>
      <c r="J194" s="1">
        <v>-0.105644813680924</v>
      </c>
      <c r="K194" s="1" t="s">
        <v>61</v>
      </c>
      <c r="L194" s="1" t="s">
        <v>61</v>
      </c>
      <c r="M194" s="1" t="s">
        <v>62</v>
      </c>
      <c r="N194" s="1">
        <v>-105.0</v>
      </c>
      <c r="O194" s="1">
        <v>0.0399038057451393</v>
      </c>
      <c r="P194" s="1" t="s">
        <v>61</v>
      </c>
      <c r="Q194" s="1" t="s">
        <v>61</v>
      </c>
      <c r="R194" s="1">
        <f t="shared" si="1"/>
        <v>0.03990380575</v>
      </c>
      <c r="S194" s="1">
        <f t="shared" si="2"/>
        <v>-105</v>
      </c>
      <c r="T194" s="1">
        <f t="shared" si="3"/>
        <v>1.952380952</v>
      </c>
      <c r="U194" s="1">
        <f t="shared" si="4"/>
        <v>0</v>
      </c>
      <c r="V194" s="3">
        <f t="shared" si="5"/>
        <v>1</v>
      </c>
      <c r="W194" s="3">
        <f t="shared" si="6"/>
        <v>2</v>
      </c>
      <c r="X194" s="3" t="str">
        <f>IFERROR(__xludf.DUMMYFUNCTION("split(B194,"" "")"),"E.")</f>
        <v>E.</v>
      </c>
      <c r="Y194" s="3" t="str">
        <f>IFERROR(__xludf.DUMMYFUNCTION("""COMPUTED_VALUE"""),"Wilson")</f>
        <v>Wilson</v>
      </c>
      <c r="AA194" s="3">
        <v>24.0</v>
      </c>
      <c r="AB194" s="3">
        <f t="shared" si="7"/>
        <v>0</v>
      </c>
      <c r="AC194" s="3">
        <f t="shared" si="8"/>
        <v>1</v>
      </c>
      <c r="AD194" s="3">
        <f t="shared" si="9"/>
        <v>0.9523809524</v>
      </c>
      <c r="AE194" s="3">
        <f t="shared" si="10"/>
        <v>0.9523809524</v>
      </c>
      <c r="AF194" s="3">
        <f t="shared" si="11"/>
        <v>1.904761905</v>
      </c>
      <c r="AG194" s="3">
        <f t="shared" si="12"/>
        <v>0.186440678</v>
      </c>
    </row>
    <row r="195">
      <c r="A195" s="1" t="s">
        <v>17</v>
      </c>
      <c r="B195" s="1" t="s">
        <v>297</v>
      </c>
      <c r="C195" s="1" t="s">
        <v>21</v>
      </c>
      <c r="D195" s="1" t="s">
        <v>157</v>
      </c>
      <c r="E195" s="1" t="s">
        <v>196</v>
      </c>
      <c r="F195" s="1" t="s">
        <v>582</v>
      </c>
      <c r="G195" s="1">
        <v>0.5</v>
      </c>
      <c r="H195" s="1" t="s">
        <v>60</v>
      </c>
      <c r="I195" s="1">
        <v>-128.0</v>
      </c>
      <c r="J195" s="1">
        <v>-0.103447368421052</v>
      </c>
      <c r="K195" s="1" t="s">
        <v>61</v>
      </c>
      <c r="L195" s="1" t="s">
        <v>61</v>
      </c>
      <c r="M195" s="1" t="s">
        <v>62</v>
      </c>
      <c r="N195" s="1">
        <v>-103.0</v>
      </c>
      <c r="O195" s="1">
        <v>0.0346615763546798</v>
      </c>
      <c r="P195" s="1" t="s">
        <v>61</v>
      </c>
      <c r="Q195" s="1" t="s">
        <v>61</v>
      </c>
      <c r="R195" s="1">
        <f t="shared" si="1"/>
        <v>0.03466157635</v>
      </c>
      <c r="S195" s="1">
        <f t="shared" si="2"/>
        <v>-103</v>
      </c>
      <c r="T195" s="1">
        <f t="shared" si="3"/>
        <v>1.970873786</v>
      </c>
      <c r="U195" s="1">
        <f t="shared" si="4"/>
        <v>0</v>
      </c>
      <c r="V195" s="3">
        <f t="shared" si="5"/>
        <v>1</v>
      </c>
      <c r="W195" s="3">
        <f t="shared" si="6"/>
        <v>2</v>
      </c>
      <c r="X195" s="3" t="str">
        <f>IFERROR(__xludf.DUMMYFUNCTION("split(B195,"" "")"),"J.")</f>
        <v>J.</v>
      </c>
      <c r="Y195" s="3" t="str">
        <f>IFERROR(__xludf.DUMMYFUNCTION("""COMPUTED_VALUE"""),"Love")</f>
        <v>Love</v>
      </c>
      <c r="AA195" s="3">
        <v>1.0</v>
      </c>
      <c r="AB195" s="3">
        <f t="shared" si="7"/>
        <v>1</v>
      </c>
      <c r="AC195" s="3">
        <f t="shared" si="8"/>
        <v>0</v>
      </c>
      <c r="AD195" s="3">
        <f t="shared" si="9"/>
        <v>0.9708737864</v>
      </c>
      <c r="AE195" s="3">
        <f t="shared" si="10"/>
        <v>-1</v>
      </c>
      <c r="AF195" s="3">
        <f t="shared" si="11"/>
        <v>-2</v>
      </c>
      <c r="AG195" s="3">
        <f t="shared" si="12"/>
        <v>-1</v>
      </c>
    </row>
    <row r="196">
      <c r="A196" s="1" t="s">
        <v>11</v>
      </c>
      <c r="B196" s="1" t="s">
        <v>581</v>
      </c>
      <c r="C196" s="1" t="s">
        <v>18</v>
      </c>
      <c r="D196" s="1" t="s">
        <v>157</v>
      </c>
      <c r="E196" s="1" t="s">
        <v>196</v>
      </c>
      <c r="F196" s="1" t="s">
        <v>582</v>
      </c>
      <c r="G196" s="1">
        <v>30.5</v>
      </c>
      <c r="H196" s="1" t="s">
        <v>60</v>
      </c>
      <c r="I196" s="1">
        <v>-114.0</v>
      </c>
      <c r="J196" s="1">
        <v>-0.0986527111045327</v>
      </c>
      <c r="K196" s="1" t="s">
        <v>61</v>
      </c>
      <c r="L196" s="1" t="s">
        <v>61</v>
      </c>
      <c r="M196" s="1" t="s">
        <v>62</v>
      </c>
      <c r="N196" s="1">
        <v>-114.0</v>
      </c>
      <c r="O196" s="1">
        <v>0.0332789746911674</v>
      </c>
      <c r="P196" s="1" t="s">
        <v>61</v>
      </c>
      <c r="Q196" s="1" t="s">
        <v>61</v>
      </c>
      <c r="R196" s="1">
        <f t="shared" si="1"/>
        <v>0.03327897469</v>
      </c>
      <c r="S196" s="1">
        <f t="shared" si="2"/>
        <v>-114</v>
      </c>
      <c r="T196" s="1">
        <f t="shared" si="3"/>
        <v>1.877192982</v>
      </c>
      <c r="U196" s="1">
        <f t="shared" si="4"/>
        <v>0</v>
      </c>
      <c r="V196" s="3">
        <f t="shared" si="5"/>
        <v>1</v>
      </c>
      <c r="W196" s="3">
        <f t="shared" si="6"/>
        <v>2</v>
      </c>
      <c r="X196" s="3" t="str">
        <f>IFERROR(__xludf.DUMMYFUNCTION("split(B196,"" "")"),"B.")</f>
        <v>B.</v>
      </c>
      <c r="Y196" s="3" t="str">
        <f>IFERROR(__xludf.DUMMYFUNCTION("""COMPUTED_VALUE"""),"Melton")</f>
        <v>Melton</v>
      </c>
      <c r="AA196" s="3">
        <v>12.0</v>
      </c>
      <c r="AB196" s="3">
        <f t="shared" si="7"/>
        <v>0</v>
      </c>
      <c r="AC196" s="3">
        <f t="shared" si="8"/>
        <v>1</v>
      </c>
      <c r="AD196" s="3">
        <f t="shared" si="9"/>
        <v>0.8771929825</v>
      </c>
      <c r="AE196" s="3">
        <f t="shared" si="10"/>
        <v>0.8771929825</v>
      </c>
      <c r="AF196" s="3">
        <f t="shared" si="11"/>
        <v>1.754385965</v>
      </c>
      <c r="AG196" s="3">
        <f t="shared" si="12"/>
        <v>0.606557377</v>
      </c>
    </row>
    <row r="197">
      <c r="A197" s="1" t="s">
        <v>11</v>
      </c>
      <c r="B197" s="1" t="s">
        <v>482</v>
      </c>
      <c r="C197" s="1" t="s">
        <v>18</v>
      </c>
      <c r="D197" s="1" t="s">
        <v>157</v>
      </c>
      <c r="E197" s="1" t="s">
        <v>196</v>
      </c>
      <c r="F197" s="1" t="s">
        <v>582</v>
      </c>
      <c r="G197" s="1">
        <v>45.5</v>
      </c>
      <c r="H197" s="1" t="s">
        <v>60</v>
      </c>
      <c r="I197" s="1">
        <v>-115.0</v>
      </c>
      <c r="J197" s="1">
        <v>-0.101336481342325</v>
      </c>
      <c r="K197" s="1" t="s">
        <v>61</v>
      </c>
      <c r="L197" s="1" t="s">
        <v>61</v>
      </c>
      <c r="M197" s="1" t="s">
        <v>62</v>
      </c>
      <c r="N197" s="1">
        <v>-115.0</v>
      </c>
      <c r="O197" s="1">
        <v>0.0315608403846744</v>
      </c>
      <c r="P197" s="1" t="s">
        <v>61</v>
      </c>
      <c r="Q197" s="1" t="s">
        <v>61</v>
      </c>
      <c r="R197" s="1">
        <f t="shared" si="1"/>
        <v>0.03156084038</v>
      </c>
      <c r="S197" s="1">
        <f t="shared" si="2"/>
        <v>-115</v>
      </c>
      <c r="T197" s="1">
        <f t="shared" si="3"/>
        <v>1.869565217</v>
      </c>
      <c r="U197" s="1">
        <f t="shared" si="4"/>
        <v>0</v>
      </c>
      <c r="V197" s="3">
        <f t="shared" si="5"/>
        <v>1</v>
      </c>
      <c r="W197" s="3">
        <f t="shared" si="6"/>
        <v>2</v>
      </c>
      <c r="X197" s="3" t="str">
        <f>IFERROR(__xludf.DUMMYFUNCTION("split(B197,"" "")"),"R.")</f>
        <v>R.</v>
      </c>
      <c r="Y197" s="3" t="str">
        <f>IFERROR(__xludf.DUMMYFUNCTION("""COMPUTED_VALUE"""),"Doubs")</f>
        <v>Doubs</v>
      </c>
      <c r="AA197" s="3">
        <v>0.0</v>
      </c>
      <c r="AB197" s="3">
        <f t="shared" si="7"/>
        <v>0</v>
      </c>
      <c r="AC197" s="3">
        <f t="shared" si="8"/>
        <v>1</v>
      </c>
      <c r="AD197" s="3">
        <f t="shared" si="9"/>
        <v>0.8695652174</v>
      </c>
      <c r="AE197" s="3">
        <f t="shared" si="10"/>
        <v>0.8695652174</v>
      </c>
      <c r="AF197" s="3">
        <f t="shared" si="11"/>
        <v>1.739130435</v>
      </c>
      <c r="AG197" s="3">
        <f t="shared" si="12"/>
        <v>1</v>
      </c>
    </row>
    <row r="198">
      <c r="A198" s="1" t="s">
        <v>8</v>
      </c>
      <c r="B198" s="1" t="s">
        <v>187</v>
      </c>
      <c r="C198" s="1" t="s">
        <v>19</v>
      </c>
      <c r="D198" s="1" t="s">
        <v>157</v>
      </c>
      <c r="E198" s="1" t="s">
        <v>196</v>
      </c>
      <c r="F198" s="1" t="s">
        <v>582</v>
      </c>
      <c r="G198" s="1">
        <v>14.5</v>
      </c>
      <c r="H198" s="1" t="s">
        <v>60</v>
      </c>
      <c r="I198" s="1">
        <v>-126.0</v>
      </c>
      <c r="J198" s="1">
        <v>-0.0952104764734514</v>
      </c>
      <c r="K198" s="1" t="s">
        <v>61</v>
      </c>
      <c r="L198" s="1" t="s">
        <v>61</v>
      </c>
      <c r="M198" s="1" t="s">
        <v>62</v>
      </c>
      <c r="N198" s="1">
        <v>-106.0</v>
      </c>
      <c r="O198" s="1">
        <v>0.0231396395338834</v>
      </c>
      <c r="P198" s="1" t="s">
        <v>61</v>
      </c>
      <c r="Q198" s="1" t="s">
        <v>61</v>
      </c>
      <c r="R198" s="1">
        <f t="shared" si="1"/>
        <v>0.02313963953</v>
      </c>
      <c r="S198" s="1">
        <f t="shared" si="2"/>
        <v>-106</v>
      </c>
      <c r="T198" s="1">
        <f t="shared" si="3"/>
        <v>1.943396226</v>
      </c>
      <c r="U198" s="1">
        <f t="shared" si="4"/>
        <v>0</v>
      </c>
      <c r="V198" s="3">
        <f t="shared" si="5"/>
        <v>1</v>
      </c>
      <c r="W198" s="3">
        <f t="shared" si="6"/>
        <v>2</v>
      </c>
      <c r="X198" s="3" t="str">
        <f>IFERROR(__xludf.DUMMYFUNCTION("split(B198,"" "")"),"J.")</f>
        <v>J.</v>
      </c>
      <c r="Y198" s="3" t="str">
        <f>IFERROR(__xludf.DUMMYFUNCTION("""COMPUTED_VALUE"""),"Jacobs")</f>
        <v>Jacobs</v>
      </c>
      <c r="AA198" s="3">
        <v>19.0</v>
      </c>
      <c r="AB198" s="3">
        <f t="shared" si="7"/>
        <v>1</v>
      </c>
      <c r="AC198" s="3">
        <f t="shared" si="8"/>
        <v>0</v>
      </c>
      <c r="AD198" s="3">
        <f t="shared" si="9"/>
        <v>0.9433962264</v>
      </c>
      <c r="AE198" s="3">
        <f t="shared" si="10"/>
        <v>-1</v>
      </c>
      <c r="AF198" s="3">
        <f t="shared" si="11"/>
        <v>-2</v>
      </c>
      <c r="AG198" s="3">
        <f t="shared" si="12"/>
        <v>-0.3103448276</v>
      </c>
    </row>
    <row r="199">
      <c r="A199" s="1" t="s">
        <v>11</v>
      </c>
      <c r="B199" s="1" t="s">
        <v>245</v>
      </c>
      <c r="C199" s="1" t="s">
        <v>18</v>
      </c>
      <c r="D199" s="1" t="s">
        <v>157</v>
      </c>
      <c r="E199" s="1" t="s">
        <v>196</v>
      </c>
      <c r="F199" s="1" t="s">
        <v>582</v>
      </c>
      <c r="G199" s="1">
        <v>56.5</v>
      </c>
      <c r="H199" s="1" t="s">
        <v>60</v>
      </c>
      <c r="I199" s="1">
        <v>-122.0</v>
      </c>
      <c r="J199" s="1">
        <v>-0.0823623340640352</v>
      </c>
      <c r="K199" s="1" t="s">
        <v>61</v>
      </c>
      <c r="L199" s="1" t="s">
        <v>61</v>
      </c>
      <c r="M199" s="1" t="s">
        <v>62</v>
      </c>
      <c r="N199" s="1">
        <v>-105.0</v>
      </c>
      <c r="O199" s="1">
        <v>0.0206043827207309</v>
      </c>
      <c r="P199" s="1" t="s">
        <v>61</v>
      </c>
      <c r="Q199" s="1" t="s">
        <v>61</v>
      </c>
      <c r="R199" s="1">
        <f t="shared" si="1"/>
        <v>0.02060438272</v>
      </c>
      <c r="S199" s="1">
        <f t="shared" si="2"/>
        <v>-105</v>
      </c>
      <c r="T199" s="1">
        <f t="shared" si="3"/>
        <v>1.952380952</v>
      </c>
      <c r="U199" s="1">
        <f t="shared" si="4"/>
        <v>0</v>
      </c>
      <c r="V199" s="3">
        <f t="shared" si="5"/>
        <v>1</v>
      </c>
      <c r="W199" s="3">
        <f t="shared" si="6"/>
        <v>2</v>
      </c>
      <c r="X199" s="3" t="str">
        <f>IFERROR(__xludf.DUMMYFUNCTION("split(B199,"" "")"),"D.")</f>
        <v>D.</v>
      </c>
      <c r="Y199" s="3" t="str">
        <f>IFERROR(__xludf.DUMMYFUNCTION("""COMPUTED_VALUE"""),"Wicks")</f>
        <v>Wicks</v>
      </c>
      <c r="AA199" s="3">
        <v>20.0</v>
      </c>
      <c r="AB199" s="3">
        <f t="shared" si="7"/>
        <v>0</v>
      </c>
      <c r="AC199" s="3">
        <f t="shared" si="8"/>
        <v>1</v>
      </c>
      <c r="AD199" s="3">
        <f t="shared" si="9"/>
        <v>0.9523809524</v>
      </c>
      <c r="AE199" s="3">
        <f t="shared" si="10"/>
        <v>0.9523809524</v>
      </c>
      <c r="AF199" s="3">
        <f t="shared" si="11"/>
        <v>1.904761905</v>
      </c>
      <c r="AG199" s="3">
        <f t="shared" si="12"/>
        <v>0.6460176991</v>
      </c>
    </row>
    <row r="200">
      <c r="A200" s="1" t="s">
        <v>9</v>
      </c>
      <c r="B200" s="1" t="s">
        <v>187</v>
      </c>
      <c r="C200" s="1" t="s">
        <v>19</v>
      </c>
      <c r="D200" s="1" t="s">
        <v>157</v>
      </c>
      <c r="E200" s="1" t="s">
        <v>196</v>
      </c>
      <c r="F200" s="1" t="s">
        <v>582</v>
      </c>
      <c r="G200" s="1">
        <v>83.5</v>
      </c>
      <c r="H200" s="1" t="s">
        <v>60</v>
      </c>
      <c r="I200" s="1">
        <v>-117.0</v>
      </c>
      <c r="J200" s="1">
        <v>-0.087597108507281</v>
      </c>
      <c r="K200" s="1" t="s">
        <v>61</v>
      </c>
      <c r="L200" s="1" t="s">
        <v>61</v>
      </c>
      <c r="M200" s="1" t="s">
        <v>62</v>
      </c>
      <c r="N200" s="1">
        <v>-114.0</v>
      </c>
      <c r="O200" s="1">
        <v>0.0157360687034168</v>
      </c>
      <c r="P200" s="1" t="s">
        <v>61</v>
      </c>
      <c r="Q200" s="1" t="s">
        <v>61</v>
      </c>
      <c r="R200" s="1">
        <f t="shared" si="1"/>
        <v>0.0157360687</v>
      </c>
      <c r="S200" s="1">
        <f t="shared" si="2"/>
        <v>-114</v>
      </c>
      <c r="T200" s="1">
        <f t="shared" si="3"/>
        <v>1.877192982</v>
      </c>
      <c r="U200" s="1">
        <f t="shared" si="4"/>
        <v>0</v>
      </c>
      <c r="V200" s="3">
        <f t="shared" si="5"/>
        <v>1</v>
      </c>
      <c r="W200" s="3">
        <f t="shared" si="6"/>
        <v>2</v>
      </c>
      <c r="X200" s="3" t="str">
        <f>IFERROR(__xludf.DUMMYFUNCTION("split(B200,"" "")"),"J.")</f>
        <v>J.</v>
      </c>
      <c r="Y200" s="3" t="str">
        <f>IFERROR(__xludf.DUMMYFUNCTION("""COMPUTED_VALUE"""),"Jacobs")</f>
        <v>Jacobs</v>
      </c>
      <c r="AA200" s="3">
        <v>94.0</v>
      </c>
      <c r="AB200" s="3">
        <f t="shared" si="7"/>
        <v>1</v>
      </c>
      <c r="AC200" s="3">
        <f t="shared" si="8"/>
        <v>0</v>
      </c>
      <c r="AD200" s="3">
        <f t="shared" si="9"/>
        <v>0.8771929825</v>
      </c>
      <c r="AE200" s="3">
        <f t="shared" si="10"/>
        <v>-1</v>
      </c>
      <c r="AF200" s="3">
        <f t="shared" si="11"/>
        <v>-2</v>
      </c>
      <c r="AG200" s="3">
        <f t="shared" si="12"/>
        <v>-0.125748503</v>
      </c>
    </row>
    <row r="201">
      <c r="A201" s="1" t="s">
        <v>10</v>
      </c>
      <c r="B201" s="1" t="s">
        <v>187</v>
      </c>
      <c r="C201" s="1" t="s">
        <v>19</v>
      </c>
      <c r="D201" s="1" t="s">
        <v>157</v>
      </c>
      <c r="E201" s="1" t="s">
        <v>196</v>
      </c>
      <c r="F201" s="1" t="s">
        <v>582</v>
      </c>
      <c r="G201" s="1">
        <v>65.5</v>
      </c>
      <c r="H201" s="1" t="s">
        <v>60</v>
      </c>
      <c r="I201" s="1">
        <v>-115.0</v>
      </c>
      <c r="J201" s="1">
        <v>-0.0738448627041306</v>
      </c>
      <c r="K201" s="1" t="s">
        <v>61</v>
      </c>
      <c r="L201" s="1" t="s">
        <v>61</v>
      </c>
      <c r="M201" s="1" t="s">
        <v>62</v>
      </c>
      <c r="N201" s="1">
        <v>-110.0</v>
      </c>
      <c r="O201" s="1">
        <v>0.0151326624021148</v>
      </c>
      <c r="P201" s="1" t="s">
        <v>61</v>
      </c>
      <c r="Q201" s="1" t="s">
        <v>61</v>
      </c>
      <c r="R201" s="1">
        <f t="shared" si="1"/>
        <v>0.0151326624</v>
      </c>
      <c r="S201" s="1">
        <f t="shared" si="2"/>
        <v>-110</v>
      </c>
      <c r="T201" s="1">
        <f t="shared" si="3"/>
        <v>1.909090909</v>
      </c>
      <c r="U201" s="1">
        <f t="shared" si="4"/>
        <v>0</v>
      </c>
      <c r="V201" s="3">
        <f t="shared" si="5"/>
        <v>1</v>
      </c>
      <c r="W201" s="3">
        <f t="shared" si="6"/>
        <v>2</v>
      </c>
      <c r="X201" s="3" t="str">
        <f>IFERROR(__xludf.DUMMYFUNCTION("split(B201,"" "")"),"J.")</f>
        <v>J.</v>
      </c>
      <c r="Y201" s="3" t="str">
        <f>IFERROR(__xludf.DUMMYFUNCTION("""COMPUTED_VALUE"""),"Jacobs")</f>
        <v>Jacobs</v>
      </c>
      <c r="AA201" s="3">
        <v>73.0</v>
      </c>
      <c r="AB201" s="3">
        <f t="shared" si="7"/>
        <v>1</v>
      </c>
      <c r="AC201" s="3">
        <f t="shared" si="8"/>
        <v>0</v>
      </c>
      <c r="AD201" s="3">
        <f t="shared" si="9"/>
        <v>0.9090909091</v>
      </c>
      <c r="AE201" s="3">
        <f t="shared" si="10"/>
        <v>-1</v>
      </c>
      <c r="AF201" s="3">
        <f t="shared" si="11"/>
        <v>-2</v>
      </c>
      <c r="AG201" s="3">
        <f t="shared" si="12"/>
        <v>-0.1145038168</v>
      </c>
    </row>
    <row r="202">
      <c r="A202" s="1" t="s">
        <v>11</v>
      </c>
      <c r="B202" s="1" t="s">
        <v>583</v>
      </c>
      <c r="C202" s="1" t="s">
        <v>18</v>
      </c>
      <c r="D202" s="1" t="s">
        <v>157</v>
      </c>
      <c r="E202" s="1" t="s">
        <v>196</v>
      </c>
      <c r="F202" s="1" t="s">
        <v>582</v>
      </c>
      <c r="G202" s="1">
        <v>10.5</v>
      </c>
      <c r="H202" s="1" t="s">
        <v>60</v>
      </c>
      <c r="I202" s="1">
        <v>-117.0</v>
      </c>
      <c r="J202" s="1">
        <v>0.0117793418638189</v>
      </c>
      <c r="K202" s="1" t="s">
        <v>61</v>
      </c>
      <c r="L202" s="1" t="s">
        <v>61</v>
      </c>
      <c r="M202" s="1" t="s">
        <v>62</v>
      </c>
      <c r="N202" s="1">
        <v>-112.0</v>
      </c>
      <c r="O202" s="1">
        <v>-0.0792297511631252</v>
      </c>
      <c r="P202" s="1" t="s">
        <v>61</v>
      </c>
      <c r="Q202" s="1" t="s">
        <v>61</v>
      </c>
      <c r="R202" s="1">
        <f t="shared" si="1"/>
        <v>0.01177934186</v>
      </c>
      <c r="S202" s="1">
        <f t="shared" si="2"/>
        <v>-117</v>
      </c>
      <c r="T202" s="1">
        <f t="shared" si="3"/>
        <v>1.854700855</v>
      </c>
      <c r="U202" s="1">
        <f t="shared" si="4"/>
        <v>1</v>
      </c>
      <c r="V202" s="3">
        <f t="shared" si="5"/>
        <v>1</v>
      </c>
      <c r="W202" s="3">
        <f t="shared" si="6"/>
        <v>2</v>
      </c>
      <c r="X202" s="3" t="str">
        <f>IFERROR(__xludf.DUMMYFUNCTION("split(B202,"" "")"),"M.")</f>
        <v>M.</v>
      </c>
      <c r="Y202" s="3" t="str">
        <f>IFERROR(__xludf.DUMMYFUNCTION("""COMPUTED_VALUE"""),"Heath")</f>
        <v>Heath</v>
      </c>
      <c r="AA202" s="3">
        <v>14.0</v>
      </c>
      <c r="AB202" s="3">
        <f t="shared" si="7"/>
        <v>1</v>
      </c>
      <c r="AC202" s="3">
        <f t="shared" si="8"/>
        <v>1</v>
      </c>
      <c r="AD202" s="3">
        <f t="shared" si="9"/>
        <v>0.8547008547</v>
      </c>
      <c r="AE202" s="3">
        <f t="shared" si="10"/>
        <v>0.8547008547</v>
      </c>
      <c r="AF202" s="3">
        <f t="shared" si="11"/>
        <v>1.709401709</v>
      </c>
      <c r="AG202" s="3">
        <f t="shared" si="12"/>
        <v>0.3333333333</v>
      </c>
    </row>
    <row r="203">
      <c r="A203" s="1" t="s">
        <v>9</v>
      </c>
      <c r="B203" s="1" t="s">
        <v>487</v>
      </c>
      <c r="C203" s="1" t="s">
        <v>18</v>
      </c>
      <c r="D203" s="1" t="s">
        <v>157</v>
      </c>
      <c r="E203" s="1" t="s">
        <v>196</v>
      </c>
      <c r="F203" s="1" t="s">
        <v>582</v>
      </c>
      <c r="G203" s="1">
        <v>76.5</v>
      </c>
      <c r="H203" s="1" t="s">
        <v>60</v>
      </c>
      <c r="I203" s="1">
        <v>-115.0</v>
      </c>
      <c r="J203" s="1">
        <v>-0.084561530610641</v>
      </c>
      <c r="K203" s="1" t="s">
        <v>61</v>
      </c>
      <c r="L203" s="1" t="s">
        <v>61</v>
      </c>
      <c r="M203" s="1" t="s">
        <v>62</v>
      </c>
      <c r="N203" s="1">
        <v>-118.0</v>
      </c>
      <c r="O203" s="1">
        <v>0.00838977209137448</v>
      </c>
      <c r="P203" s="1" t="s">
        <v>61</v>
      </c>
      <c r="Q203" s="1" t="s">
        <v>61</v>
      </c>
      <c r="R203" s="1">
        <f t="shared" si="1"/>
        <v>0.008389772091</v>
      </c>
      <c r="S203" s="1">
        <f t="shared" si="2"/>
        <v>-118</v>
      </c>
      <c r="T203" s="1">
        <f t="shared" si="3"/>
        <v>1.847457627</v>
      </c>
      <c r="U203" s="1">
        <f t="shared" si="4"/>
        <v>0</v>
      </c>
      <c r="V203" s="3">
        <f t="shared" si="5"/>
        <v>1</v>
      </c>
      <c r="W203" s="3">
        <f t="shared" si="6"/>
        <v>3</v>
      </c>
      <c r="X203" s="3" t="str">
        <f>IFERROR(__xludf.DUMMYFUNCTION("split(B203,"" "")"),"J.")</f>
        <v>J.</v>
      </c>
      <c r="Y203" s="3" t="str">
        <f>IFERROR(__xludf.DUMMYFUNCTION("""COMPUTED_VALUE"""),"Reed")</f>
        <v>Reed</v>
      </c>
      <c r="AA203" s="3">
        <v>97.0</v>
      </c>
      <c r="AB203" s="3">
        <f t="shared" si="7"/>
        <v>1</v>
      </c>
      <c r="AC203" s="3">
        <f t="shared" si="8"/>
        <v>0</v>
      </c>
      <c r="AD203" s="3">
        <f t="shared" si="9"/>
        <v>0.8474576271</v>
      </c>
      <c r="AE203" s="3">
        <f t="shared" si="10"/>
        <v>-1</v>
      </c>
      <c r="AF203" s="3">
        <f t="shared" si="11"/>
        <v>-3</v>
      </c>
      <c r="AG203" s="3">
        <f t="shared" si="12"/>
        <v>-0.2679738562</v>
      </c>
    </row>
    <row r="204">
      <c r="A204" s="1" t="s">
        <v>10</v>
      </c>
      <c r="B204" s="1" t="s">
        <v>495</v>
      </c>
      <c r="C204" s="1" t="s">
        <v>18</v>
      </c>
      <c r="D204" s="1" t="s">
        <v>72</v>
      </c>
      <c r="E204" s="1" t="s">
        <v>104</v>
      </c>
      <c r="F204" s="1" t="s">
        <v>576</v>
      </c>
      <c r="G204" s="1">
        <v>0.5</v>
      </c>
      <c r="H204" s="1" t="s">
        <v>60</v>
      </c>
      <c r="I204" s="1">
        <v>669.0</v>
      </c>
      <c r="J204" s="1">
        <v>0.482671936840286</v>
      </c>
      <c r="K204" s="1" t="s">
        <v>61</v>
      </c>
      <c r="L204" s="1" t="s">
        <v>61</v>
      </c>
      <c r="M204" s="1" t="s">
        <v>62</v>
      </c>
      <c r="N204" s="1">
        <v>-1392.0</v>
      </c>
      <c r="O204" s="1">
        <v>-0.545651395831891</v>
      </c>
      <c r="P204" s="1" t="s">
        <v>61</v>
      </c>
      <c r="Q204" s="1" t="s">
        <v>61</v>
      </c>
      <c r="R204" s="1">
        <f t="shared" si="1"/>
        <v>0.4826719368</v>
      </c>
      <c r="S204" s="1">
        <f t="shared" si="2"/>
        <v>669</v>
      </c>
      <c r="T204" s="1">
        <f t="shared" si="3"/>
        <v>7.69</v>
      </c>
      <c r="U204" s="1">
        <f t="shared" si="4"/>
        <v>1</v>
      </c>
      <c r="V204" s="3">
        <f t="shared" si="5"/>
        <v>3</v>
      </c>
      <c r="W204" s="3">
        <f t="shared" si="6"/>
        <v>1</v>
      </c>
      <c r="X204" s="3" t="str">
        <f>IFERROR(__xludf.DUMMYFUNCTION("split(B204,"" "")"),"N.")</f>
        <v>N.</v>
      </c>
      <c r="Y204" s="3" t="str">
        <f>IFERROR(__xludf.DUMMYFUNCTION("""COMPUTED_VALUE"""),"Collins")</f>
        <v>Collins</v>
      </c>
      <c r="AA204" s="3">
        <v>0.0</v>
      </c>
      <c r="AB204" s="3">
        <f t="shared" si="7"/>
        <v>0</v>
      </c>
      <c r="AC204" s="3">
        <f t="shared" si="8"/>
        <v>0</v>
      </c>
      <c r="AD204" s="3">
        <f t="shared" si="9"/>
        <v>20.07</v>
      </c>
      <c r="AE204" s="3">
        <f t="shared" si="10"/>
        <v>0</v>
      </c>
      <c r="AF204" s="3">
        <f t="shared" si="11"/>
        <v>-1</v>
      </c>
      <c r="AG204" s="3">
        <f t="shared" si="12"/>
        <v>-1</v>
      </c>
    </row>
    <row r="205">
      <c r="A205" s="1" t="s">
        <v>12</v>
      </c>
      <c r="B205" s="1" t="s">
        <v>537</v>
      </c>
      <c r="C205" s="1" t="s">
        <v>19</v>
      </c>
      <c r="D205" s="1" t="s">
        <v>72</v>
      </c>
      <c r="E205" s="1" t="s">
        <v>104</v>
      </c>
      <c r="F205" s="1" t="s">
        <v>576</v>
      </c>
      <c r="G205" s="1">
        <v>1.5</v>
      </c>
      <c r="H205" s="1" t="s">
        <v>60</v>
      </c>
      <c r="I205" s="1">
        <v>-154.0</v>
      </c>
      <c r="J205" s="1">
        <v>-0.284287917877952</v>
      </c>
      <c r="K205" s="1" t="s">
        <v>61</v>
      </c>
      <c r="L205" s="1" t="s">
        <v>61</v>
      </c>
      <c r="M205" s="1" t="s">
        <v>62</v>
      </c>
      <c r="N205" s="1">
        <v>117.0</v>
      </c>
      <c r="O205" s="1">
        <v>0.217157286364055</v>
      </c>
      <c r="P205" s="1" t="s">
        <v>61</v>
      </c>
      <c r="Q205" s="1" t="s">
        <v>61</v>
      </c>
      <c r="R205" s="1">
        <f t="shared" si="1"/>
        <v>0.2171572864</v>
      </c>
      <c r="S205" s="1">
        <f t="shared" si="2"/>
        <v>117</v>
      </c>
      <c r="T205" s="1">
        <f t="shared" si="3"/>
        <v>2.17</v>
      </c>
      <c r="U205" s="1">
        <f t="shared" si="4"/>
        <v>0</v>
      </c>
      <c r="V205" s="3">
        <f t="shared" si="5"/>
        <v>3</v>
      </c>
      <c r="W205" s="3">
        <f t="shared" si="6"/>
        <v>1</v>
      </c>
      <c r="X205" s="3" t="str">
        <f>IFERROR(__xludf.DUMMYFUNCTION("split(B205,"" "")"),"D.")</f>
        <v>D.</v>
      </c>
      <c r="Y205" s="3" t="str">
        <f>IFERROR(__xludf.DUMMYFUNCTION("""COMPUTED_VALUE"""),"Ogunbowale")</f>
        <v>Ogunbowale</v>
      </c>
      <c r="AA205" s="3">
        <v>6.0</v>
      </c>
      <c r="AB205" s="3">
        <f t="shared" si="7"/>
        <v>1</v>
      </c>
      <c r="AC205" s="3">
        <f t="shared" si="8"/>
        <v>0</v>
      </c>
      <c r="AD205" s="3">
        <f t="shared" si="9"/>
        <v>3.51</v>
      </c>
      <c r="AE205" s="3">
        <f t="shared" si="10"/>
        <v>-3</v>
      </c>
      <c r="AF205" s="3">
        <f t="shared" si="11"/>
        <v>-1</v>
      </c>
      <c r="AG205" s="3">
        <f t="shared" si="12"/>
        <v>-3</v>
      </c>
    </row>
    <row r="206">
      <c r="A206" s="1" t="s">
        <v>12</v>
      </c>
      <c r="B206" s="1" t="s">
        <v>495</v>
      </c>
      <c r="C206" s="1" t="s">
        <v>18</v>
      </c>
      <c r="D206" s="1" t="s">
        <v>72</v>
      </c>
      <c r="E206" s="1" t="s">
        <v>104</v>
      </c>
      <c r="F206" s="1" t="s">
        <v>576</v>
      </c>
      <c r="G206" s="1">
        <v>6.5</v>
      </c>
      <c r="H206" s="1" t="s">
        <v>60</v>
      </c>
      <c r="I206" s="1">
        <v>121.0</v>
      </c>
      <c r="J206" s="1">
        <v>0.210911312217194</v>
      </c>
      <c r="K206" s="1" t="s">
        <v>61</v>
      </c>
      <c r="L206" s="1" t="s">
        <v>61</v>
      </c>
      <c r="M206" s="1" t="s">
        <v>62</v>
      </c>
      <c r="N206" s="1">
        <v>-159.0</v>
      </c>
      <c r="O206" s="1">
        <v>-0.277299613899614</v>
      </c>
      <c r="P206" s="1" t="s">
        <v>61</v>
      </c>
      <c r="Q206" s="1" t="s">
        <v>61</v>
      </c>
      <c r="R206" s="1">
        <f t="shared" si="1"/>
        <v>0.2109113122</v>
      </c>
      <c r="S206" s="1">
        <f t="shared" si="2"/>
        <v>121</v>
      </c>
      <c r="T206" s="1">
        <f t="shared" si="3"/>
        <v>2.21</v>
      </c>
      <c r="U206" s="1">
        <f t="shared" si="4"/>
        <v>1</v>
      </c>
      <c r="V206" s="3">
        <f t="shared" si="5"/>
        <v>3</v>
      </c>
      <c r="W206" s="3">
        <f t="shared" si="6"/>
        <v>1</v>
      </c>
      <c r="X206" s="3" t="str">
        <f>IFERROR(__xludf.DUMMYFUNCTION("split(B206,"" "")"),"N.")</f>
        <v>N.</v>
      </c>
      <c r="Y206" s="3" t="str">
        <f>IFERROR(__xludf.DUMMYFUNCTION("""COMPUTED_VALUE"""),"Collins")</f>
        <v>Collins</v>
      </c>
      <c r="AA206" s="3">
        <v>2.0</v>
      </c>
      <c r="AB206" s="3">
        <f t="shared" si="7"/>
        <v>0</v>
      </c>
      <c r="AC206" s="3">
        <f t="shared" si="8"/>
        <v>0</v>
      </c>
      <c r="AD206" s="3">
        <f t="shared" si="9"/>
        <v>3.63</v>
      </c>
      <c r="AE206" s="3">
        <f t="shared" si="10"/>
        <v>-3</v>
      </c>
      <c r="AF206" s="3">
        <f t="shared" si="11"/>
        <v>-1</v>
      </c>
      <c r="AG206" s="3">
        <f t="shared" si="12"/>
        <v>-0.6923076923</v>
      </c>
    </row>
    <row r="207">
      <c r="A207" s="1" t="s">
        <v>12</v>
      </c>
      <c r="B207" s="1" t="s">
        <v>410</v>
      </c>
      <c r="C207" s="1" t="s">
        <v>20</v>
      </c>
      <c r="D207" s="1" t="s">
        <v>72</v>
      </c>
      <c r="E207" s="1" t="s">
        <v>104</v>
      </c>
      <c r="F207" s="1" t="s">
        <v>576</v>
      </c>
      <c r="G207" s="1">
        <v>2.5</v>
      </c>
      <c r="H207" s="1" t="s">
        <v>60</v>
      </c>
      <c r="I207" s="1">
        <v>-138.0</v>
      </c>
      <c r="J207" s="1">
        <v>-0.214929988067226</v>
      </c>
      <c r="K207" s="1" t="s">
        <v>61</v>
      </c>
      <c r="L207" s="1" t="s">
        <v>61</v>
      </c>
      <c r="M207" s="1" t="s">
        <v>62</v>
      </c>
      <c r="N207" s="1">
        <v>106.0</v>
      </c>
      <c r="O207" s="1">
        <v>0.14966086</v>
      </c>
      <c r="P207" s="1" t="s">
        <v>61</v>
      </c>
      <c r="Q207" s="1" t="s">
        <v>61</v>
      </c>
      <c r="R207" s="1">
        <f t="shared" si="1"/>
        <v>0.14966086</v>
      </c>
      <c r="S207" s="1">
        <f t="shared" si="2"/>
        <v>106</v>
      </c>
      <c r="T207" s="1">
        <f t="shared" si="3"/>
        <v>2.06</v>
      </c>
      <c r="U207" s="1">
        <f t="shared" si="4"/>
        <v>0</v>
      </c>
      <c r="V207" s="3">
        <f t="shared" si="5"/>
        <v>3</v>
      </c>
      <c r="W207" s="3">
        <f t="shared" si="6"/>
        <v>2</v>
      </c>
      <c r="X207" s="3" t="str">
        <f>IFERROR(__xludf.DUMMYFUNCTION("split(B207,"" "")"),"D.")</f>
        <v>D.</v>
      </c>
      <c r="Y207" s="3" t="str">
        <f>IFERROR(__xludf.DUMMYFUNCTION("""COMPUTED_VALUE"""),"Schultz")</f>
        <v>Schultz</v>
      </c>
      <c r="AA207" s="3">
        <v>4.0</v>
      </c>
      <c r="AB207" s="3">
        <f t="shared" si="7"/>
        <v>1</v>
      </c>
      <c r="AC207" s="3">
        <f t="shared" si="8"/>
        <v>0</v>
      </c>
      <c r="AD207" s="3">
        <f t="shared" si="9"/>
        <v>3.18</v>
      </c>
      <c r="AE207" s="3">
        <f t="shared" si="10"/>
        <v>-3</v>
      </c>
      <c r="AF207" s="3">
        <f t="shared" si="11"/>
        <v>-2</v>
      </c>
      <c r="AG207" s="3">
        <f t="shared" si="12"/>
        <v>-0.6</v>
      </c>
    </row>
    <row r="208">
      <c r="A208" s="1" t="s">
        <v>8</v>
      </c>
      <c r="B208" s="1" t="s">
        <v>369</v>
      </c>
      <c r="C208" s="1" t="s">
        <v>21</v>
      </c>
      <c r="D208" s="1" t="s">
        <v>72</v>
      </c>
      <c r="E208" s="1" t="s">
        <v>104</v>
      </c>
      <c r="F208" s="1" t="s">
        <v>576</v>
      </c>
      <c r="G208" s="1">
        <v>2.5</v>
      </c>
      <c r="H208" s="1" t="s">
        <v>60</v>
      </c>
      <c r="I208" s="1">
        <v>-141.0</v>
      </c>
      <c r="J208" s="1">
        <v>-0.205853076612438</v>
      </c>
      <c r="K208" s="1" t="s">
        <v>61</v>
      </c>
      <c r="L208" s="1" t="s">
        <v>61</v>
      </c>
      <c r="M208" s="1" t="s">
        <v>62</v>
      </c>
      <c r="N208" s="1">
        <v>106.0</v>
      </c>
      <c r="O208" s="1">
        <v>0.135352385745619</v>
      </c>
      <c r="P208" s="1" t="s">
        <v>61</v>
      </c>
      <c r="Q208" s="1" t="s">
        <v>61</v>
      </c>
      <c r="R208" s="1">
        <f t="shared" si="1"/>
        <v>0.1353523857</v>
      </c>
      <c r="S208" s="1">
        <f t="shared" si="2"/>
        <v>106</v>
      </c>
      <c r="T208" s="1">
        <f t="shared" si="3"/>
        <v>2.06</v>
      </c>
      <c r="U208" s="1">
        <f t="shared" si="4"/>
        <v>0</v>
      </c>
      <c r="V208" s="3">
        <f t="shared" si="5"/>
        <v>3</v>
      </c>
      <c r="W208" s="3">
        <f t="shared" si="6"/>
        <v>2</v>
      </c>
      <c r="X208" s="3" t="str">
        <f>IFERROR(__xludf.DUMMYFUNCTION("split(B208,"" "")"),"C.")</f>
        <v>C.</v>
      </c>
      <c r="Y208" s="3" t="str">
        <f>IFERROR(__xludf.DUMMYFUNCTION("""COMPUTED_VALUE"""),"Stroud")</f>
        <v>Stroud</v>
      </c>
      <c r="AA208" s="3">
        <v>3.0</v>
      </c>
      <c r="AB208" s="3">
        <f t="shared" si="7"/>
        <v>1</v>
      </c>
      <c r="AC208" s="3">
        <f t="shared" si="8"/>
        <v>0</v>
      </c>
      <c r="AD208" s="3">
        <f t="shared" si="9"/>
        <v>3.18</v>
      </c>
      <c r="AE208" s="3">
        <f t="shared" si="10"/>
        <v>-3</v>
      </c>
      <c r="AF208" s="3">
        <f t="shared" si="11"/>
        <v>-2</v>
      </c>
      <c r="AG208" s="3">
        <f t="shared" si="12"/>
        <v>-0.2</v>
      </c>
    </row>
    <row r="209">
      <c r="A209" s="1" t="s">
        <v>12</v>
      </c>
      <c r="B209" s="1" t="s">
        <v>538</v>
      </c>
      <c r="C209" s="1" t="s">
        <v>19</v>
      </c>
      <c r="D209" s="1" t="s">
        <v>72</v>
      </c>
      <c r="E209" s="1" t="s">
        <v>104</v>
      </c>
      <c r="F209" s="1" t="s">
        <v>576</v>
      </c>
      <c r="G209" s="1">
        <v>1.5</v>
      </c>
      <c r="H209" s="1" t="s">
        <v>60</v>
      </c>
      <c r="I209" s="1">
        <v>111.0</v>
      </c>
      <c r="J209" s="1">
        <v>-0.13737378303308</v>
      </c>
      <c r="K209" s="1" t="s">
        <v>61</v>
      </c>
      <c r="L209" s="1" t="s">
        <v>61</v>
      </c>
      <c r="M209" s="1" t="s">
        <v>62</v>
      </c>
      <c r="N209" s="1">
        <v>-147.0</v>
      </c>
      <c r="O209" s="1">
        <v>0.0682905725767611</v>
      </c>
      <c r="P209" s="1" t="s">
        <v>61</v>
      </c>
      <c r="Q209" s="1" t="s">
        <v>61</v>
      </c>
      <c r="R209" s="1">
        <f t="shared" si="1"/>
        <v>0.06829057258</v>
      </c>
      <c r="S209" s="1">
        <f t="shared" si="2"/>
        <v>-147</v>
      </c>
      <c r="T209" s="1">
        <f t="shared" si="3"/>
        <v>1.680272109</v>
      </c>
      <c r="U209" s="1">
        <f t="shared" si="4"/>
        <v>0</v>
      </c>
      <c r="V209" s="3">
        <f t="shared" si="5"/>
        <v>2</v>
      </c>
      <c r="W209" s="3">
        <f t="shared" si="6"/>
        <v>3</v>
      </c>
      <c r="X209" s="3" t="str">
        <f>IFERROR(__xludf.DUMMYFUNCTION("split(B209,"" "")"),"C.")</f>
        <v>C.</v>
      </c>
      <c r="Y209" s="3" t="str">
        <f>IFERROR(__xludf.DUMMYFUNCTION("""COMPUTED_VALUE"""),"Akers")</f>
        <v>Akers</v>
      </c>
      <c r="AA209" s="3">
        <v>2.0</v>
      </c>
      <c r="AB209" s="3">
        <f t="shared" si="7"/>
        <v>1</v>
      </c>
      <c r="AC209" s="3">
        <f t="shared" si="8"/>
        <v>0</v>
      </c>
      <c r="AD209" s="3">
        <f t="shared" si="9"/>
        <v>1.360544218</v>
      </c>
      <c r="AE209" s="3">
        <f t="shared" si="10"/>
        <v>-2</v>
      </c>
      <c r="AF209" s="3">
        <f t="shared" si="11"/>
        <v>-3</v>
      </c>
      <c r="AG209" s="3">
        <f t="shared" si="12"/>
        <v>-0.3333333333</v>
      </c>
    </row>
    <row r="210">
      <c r="A210" s="1" t="s">
        <v>14</v>
      </c>
      <c r="B210" s="1" t="s">
        <v>369</v>
      </c>
      <c r="C210" s="1" t="s">
        <v>21</v>
      </c>
      <c r="D210" s="1" t="s">
        <v>72</v>
      </c>
      <c r="E210" s="1" t="s">
        <v>104</v>
      </c>
      <c r="F210" s="1" t="s">
        <v>576</v>
      </c>
      <c r="G210" s="1">
        <v>1.5</v>
      </c>
      <c r="H210" s="1" t="s">
        <v>60</v>
      </c>
      <c r="I210" s="1">
        <v>-126.0</v>
      </c>
      <c r="J210" s="1">
        <v>-0.113277876106194</v>
      </c>
      <c r="K210" s="1" t="s">
        <v>61</v>
      </c>
      <c r="L210" s="1" t="s">
        <v>61</v>
      </c>
      <c r="M210" s="1" t="s">
        <v>62</v>
      </c>
      <c r="N210" s="1">
        <v>-102.0</v>
      </c>
      <c r="O210" s="1">
        <v>0.05079900990099</v>
      </c>
      <c r="P210" s="1" t="s">
        <v>61</v>
      </c>
      <c r="Q210" s="1" t="s">
        <v>61</v>
      </c>
      <c r="R210" s="1">
        <f t="shared" si="1"/>
        <v>0.0507990099</v>
      </c>
      <c r="S210" s="1">
        <f t="shared" si="2"/>
        <v>-102</v>
      </c>
      <c r="T210" s="1">
        <f t="shared" si="3"/>
        <v>1.980392157</v>
      </c>
      <c r="U210" s="1">
        <f t="shared" si="4"/>
        <v>0</v>
      </c>
      <c r="V210" s="3">
        <f t="shared" si="5"/>
        <v>2</v>
      </c>
      <c r="W210" s="3">
        <f t="shared" si="6"/>
        <v>2</v>
      </c>
      <c r="X210" s="3" t="str">
        <f>IFERROR(__xludf.DUMMYFUNCTION("split(B210,"" "")"),"C.")</f>
        <v>C.</v>
      </c>
      <c r="Y210" s="3" t="str">
        <f>IFERROR(__xludf.DUMMYFUNCTION("""COMPUTED_VALUE"""),"Stroud")</f>
        <v>Stroud</v>
      </c>
      <c r="AA210" s="3">
        <v>1.0</v>
      </c>
      <c r="AB210" s="3">
        <f t="shared" si="7"/>
        <v>0</v>
      </c>
      <c r="AC210" s="3">
        <f t="shared" si="8"/>
        <v>1</v>
      </c>
      <c r="AD210" s="3">
        <f t="shared" si="9"/>
        <v>1.960784314</v>
      </c>
      <c r="AE210" s="3">
        <f t="shared" si="10"/>
        <v>1.960784314</v>
      </c>
      <c r="AF210" s="3">
        <f t="shared" si="11"/>
        <v>1.960784314</v>
      </c>
      <c r="AG210" s="3">
        <f t="shared" si="12"/>
        <v>0.3333333333</v>
      </c>
    </row>
    <row r="211">
      <c r="A211" s="1" t="s">
        <v>12</v>
      </c>
      <c r="B211" s="1" t="s">
        <v>129</v>
      </c>
      <c r="C211" s="1" t="s">
        <v>18</v>
      </c>
      <c r="D211" s="1" t="s">
        <v>72</v>
      </c>
      <c r="E211" s="1" t="s">
        <v>104</v>
      </c>
      <c r="F211" s="1" t="s">
        <v>576</v>
      </c>
      <c r="G211" s="1">
        <v>3.5</v>
      </c>
      <c r="H211" s="1" t="s">
        <v>60</v>
      </c>
      <c r="I211" s="1">
        <v>-125.0</v>
      </c>
      <c r="J211" s="1">
        <v>-0.116655555555555</v>
      </c>
      <c r="K211" s="1" t="s">
        <v>61</v>
      </c>
      <c r="L211" s="1" t="s">
        <v>61</v>
      </c>
      <c r="M211" s="1" t="s">
        <v>62</v>
      </c>
      <c r="N211" s="1">
        <v>-106.0</v>
      </c>
      <c r="O211" s="1">
        <v>0.0465368932038835</v>
      </c>
      <c r="P211" s="1" t="s">
        <v>61</v>
      </c>
      <c r="Q211" s="1" t="s">
        <v>61</v>
      </c>
      <c r="R211" s="1">
        <f t="shared" si="1"/>
        <v>0.0465368932</v>
      </c>
      <c r="S211" s="1">
        <f t="shared" si="2"/>
        <v>-106</v>
      </c>
      <c r="T211" s="1">
        <f t="shared" si="3"/>
        <v>1.943396226</v>
      </c>
      <c r="U211" s="1">
        <f t="shared" si="4"/>
        <v>0</v>
      </c>
      <c r="V211" s="3">
        <f t="shared" si="5"/>
        <v>1</v>
      </c>
      <c r="W211" s="3">
        <f t="shared" si="6"/>
        <v>2</v>
      </c>
      <c r="X211" s="3" t="str">
        <f>IFERROR(__xludf.DUMMYFUNCTION("split(B211,"" "")"),"T.")</f>
        <v>T.</v>
      </c>
      <c r="Y211" s="3" t="str">
        <f>IFERROR(__xludf.DUMMYFUNCTION("""COMPUTED_VALUE"""),"Dell")</f>
        <v>Dell</v>
      </c>
      <c r="AA211" s="3">
        <v>4.0</v>
      </c>
      <c r="AB211" s="3">
        <f t="shared" si="7"/>
        <v>1</v>
      </c>
      <c r="AC211" s="3">
        <f t="shared" si="8"/>
        <v>0</v>
      </c>
      <c r="AD211" s="3">
        <f t="shared" si="9"/>
        <v>0.9433962264</v>
      </c>
      <c r="AE211" s="3">
        <f t="shared" si="10"/>
        <v>-1</v>
      </c>
      <c r="AF211" s="3">
        <f t="shared" si="11"/>
        <v>-2</v>
      </c>
      <c r="AG211" s="3">
        <f t="shared" si="12"/>
        <v>-0.1428571429</v>
      </c>
    </row>
    <row r="212">
      <c r="A212" s="1" t="s">
        <v>12</v>
      </c>
      <c r="B212" s="1" t="s">
        <v>310</v>
      </c>
      <c r="C212" s="1" t="s">
        <v>18</v>
      </c>
      <c r="D212" s="1" t="s">
        <v>72</v>
      </c>
      <c r="E212" s="1" t="s">
        <v>104</v>
      </c>
      <c r="F212" s="1" t="s">
        <v>576</v>
      </c>
      <c r="G212" s="1">
        <v>5.5</v>
      </c>
      <c r="H212" s="1" t="s">
        <v>60</v>
      </c>
      <c r="I212" s="1">
        <v>112.0</v>
      </c>
      <c r="J212" s="1">
        <v>0.0381018867924529</v>
      </c>
      <c r="K212" s="1" t="s">
        <v>61</v>
      </c>
      <c r="L212" s="1" t="s">
        <v>61</v>
      </c>
      <c r="M212" s="1" t="s">
        <v>62</v>
      </c>
      <c r="N212" s="1">
        <v>-148.0</v>
      </c>
      <c r="O212" s="1">
        <v>-0.106574193548387</v>
      </c>
      <c r="P212" s="1" t="s">
        <v>61</v>
      </c>
      <c r="Q212" s="1" t="s">
        <v>61</v>
      </c>
      <c r="R212" s="1">
        <f t="shared" si="1"/>
        <v>0.03810188679</v>
      </c>
      <c r="S212" s="1">
        <f t="shared" si="2"/>
        <v>112</v>
      </c>
      <c r="T212" s="1">
        <f t="shared" si="3"/>
        <v>2.12</v>
      </c>
      <c r="U212" s="1">
        <f t="shared" si="4"/>
        <v>1</v>
      </c>
      <c r="V212" s="3">
        <f t="shared" si="5"/>
        <v>1</v>
      </c>
      <c r="W212" s="3">
        <f t="shared" si="6"/>
        <v>1</v>
      </c>
      <c r="X212" s="3" t="str">
        <f>IFERROR(__xludf.DUMMYFUNCTION("split(B212,"" "")"),"S.")</f>
        <v>S.</v>
      </c>
      <c r="Y212" s="3" t="str">
        <f>IFERROR(__xludf.DUMMYFUNCTION("""COMPUTED_VALUE"""),"Diggs")</f>
        <v>Diggs</v>
      </c>
      <c r="AA212" s="3">
        <v>6.0</v>
      </c>
      <c r="AB212" s="3">
        <f t="shared" si="7"/>
        <v>1</v>
      </c>
      <c r="AC212" s="3">
        <f t="shared" si="8"/>
        <v>1</v>
      </c>
      <c r="AD212" s="3">
        <f t="shared" si="9"/>
        <v>1.12</v>
      </c>
      <c r="AE212" s="3">
        <f t="shared" si="10"/>
        <v>1.12</v>
      </c>
      <c r="AF212" s="3">
        <f t="shared" si="11"/>
        <v>1.12</v>
      </c>
      <c r="AG212" s="3">
        <f t="shared" si="12"/>
        <v>0.09090909091</v>
      </c>
    </row>
    <row r="213">
      <c r="A213" s="1" t="s">
        <v>17</v>
      </c>
      <c r="B213" s="1" t="s">
        <v>369</v>
      </c>
      <c r="C213" s="1" t="s">
        <v>21</v>
      </c>
      <c r="D213" s="1" t="s">
        <v>72</v>
      </c>
      <c r="E213" s="1" t="s">
        <v>104</v>
      </c>
      <c r="F213" s="1" t="s">
        <v>576</v>
      </c>
      <c r="G213" s="1">
        <v>0.5</v>
      </c>
      <c r="H213" s="1" t="s">
        <v>60</v>
      </c>
      <c r="I213" s="1">
        <v>-117.0</v>
      </c>
      <c r="J213" s="1">
        <v>-0.0906244239631335</v>
      </c>
      <c r="K213" s="1" t="s">
        <v>61</v>
      </c>
      <c r="L213" s="1" t="s">
        <v>61</v>
      </c>
      <c r="M213" s="1" t="s">
        <v>62</v>
      </c>
      <c r="N213" s="1">
        <v>-111.0</v>
      </c>
      <c r="O213" s="1">
        <v>0.0253810426540285</v>
      </c>
      <c r="P213" s="1" t="s">
        <v>61</v>
      </c>
      <c r="Q213" s="1" t="s">
        <v>61</v>
      </c>
      <c r="R213" s="1">
        <f t="shared" si="1"/>
        <v>0.02538104265</v>
      </c>
      <c r="S213" s="1">
        <f t="shared" si="2"/>
        <v>-111</v>
      </c>
      <c r="T213" s="1">
        <f t="shared" si="3"/>
        <v>1.900900901</v>
      </c>
      <c r="U213" s="1">
        <f t="shared" si="4"/>
        <v>0</v>
      </c>
      <c r="V213" s="3">
        <f t="shared" si="5"/>
        <v>1</v>
      </c>
      <c r="W213" s="3">
        <f t="shared" si="6"/>
        <v>2</v>
      </c>
      <c r="X213" s="3" t="str">
        <f>IFERROR(__xludf.DUMMYFUNCTION("split(B213,"" "")"),"C.")</f>
        <v>C.</v>
      </c>
      <c r="Y213" s="3" t="str">
        <f>IFERROR(__xludf.DUMMYFUNCTION("""COMPUTED_VALUE"""),"Stroud")</f>
        <v>Stroud</v>
      </c>
      <c r="AA213" s="3">
        <v>1.0</v>
      </c>
      <c r="AB213" s="3">
        <f t="shared" si="7"/>
        <v>1</v>
      </c>
      <c r="AC213" s="3">
        <f t="shared" si="8"/>
        <v>0</v>
      </c>
      <c r="AD213" s="3">
        <f t="shared" si="9"/>
        <v>0.9009009009</v>
      </c>
      <c r="AE213" s="3">
        <f t="shared" si="10"/>
        <v>-1</v>
      </c>
      <c r="AF213" s="3">
        <f t="shared" si="11"/>
        <v>-2</v>
      </c>
      <c r="AG213" s="3">
        <f t="shared" si="12"/>
        <v>-1</v>
      </c>
    </row>
    <row r="214">
      <c r="A214" s="1" t="s">
        <v>11</v>
      </c>
      <c r="B214" s="1" t="s">
        <v>538</v>
      </c>
      <c r="C214" s="1" t="s">
        <v>19</v>
      </c>
      <c r="D214" s="1" t="s">
        <v>72</v>
      </c>
      <c r="E214" s="1" t="s">
        <v>104</v>
      </c>
      <c r="F214" s="1" t="s">
        <v>576</v>
      </c>
      <c r="G214" s="1">
        <v>9.5</v>
      </c>
      <c r="H214" s="1" t="s">
        <v>60</v>
      </c>
      <c r="I214" s="1">
        <v>-108.0</v>
      </c>
      <c r="J214" s="1">
        <v>0.0180001664473946</v>
      </c>
      <c r="K214" s="1" t="s">
        <v>61</v>
      </c>
      <c r="L214" s="1" t="s">
        <v>61</v>
      </c>
      <c r="M214" s="1" t="s">
        <v>62</v>
      </c>
      <c r="N214" s="1">
        <v>-118.0</v>
      </c>
      <c r="O214" s="1">
        <v>-0.0784940589580207</v>
      </c>
      <c r="P214" s="1" t="s">
        <v>61</v>
      </c>
      <c r="Q214" s="1" t="s">
        <v>61</v>
      </c>
      <c r="R214" s="1">
        <f t="shared" si="1"/>
        <v>0.01800016645</v>
      </c>
      <c r="S214" s="1">
        <f t="shared" si="2"/>
        <v>-108</v>
      </c>
      <c r="T214" s="1">
        <f t="shared" si="3"/>
        <v>1.925925926</v>
      </c>
      <c r="U214" s="1">
        <f t="shared" si="4"/>
        <v>1</v>
      </c>
      <c r="V214" s="3">
        <f t="shared" si="5"/>
        <v>1</v>
      </c>
      <c r="W214" s="3">
        <f t="shared" si="6"/>
        <v>2</v>
      </c>
      <c r="X214" s="3" t="str">
        <f>IFERROR(__xludf.DUMMYFUNCTION("split(B214,"" "")"),"C.")</f>
        <v>C.</v>
      </c>
      <c r="Y214" s="3" t="str">
        <f>IFERROR(__xludf.DUMMYFUNCTION("""COMPUTED_VALUE"""),"Akers")</f>
        <v>Akers</v>
      </c>
      <c r="AA214" s="3">
        <v>5.0</v>
      </c>
      <c r="AB214" s="3">
        <f t="shared" si="7"/>
        <v>0</v>
      </c>
      <c r="AC214" s="3">
        <f t="shared" si="8"/>
        <v>0</v>
      </c>
      <c r="AD214" s="3">
        <f t="shared" si="9"/>
        <v>0.9259259259</v>
      </c>
      <c r="AE214" s="3">
        <f t="shared" si="10"/>
        <v>-1</v>
      </c>
      <c r="AF214" s="3">
        <f t="shared" si="11"/>
        <v>-2</v>
      </c>
      <c r="AG214" s="3">
        <f t="shared" si="12"/>
        <v>-0.4736842105</v>
      </c>
    </row>
    <row r="215">
      <c r="A215" s="1" t="s">
        <v>11</v>
      </c>
      <c r="B215" s="1" t="s">
        <v>410</v>
      </c>
      <c r="C215" s="1" t="s">
        <v>20</v>
      </c>
      <c r="D215" s="1" t="s">
        <v>72</v>
      </c>
      <c r="E215" s="1" t="s">
        <v>104</v>
      </c>
      <c r="F215" s="1" t="s">
        <v>576</v>
      </c>
      <c r="G215" s="1">
        <v>25.5</v>
      </c>
      <c r="H215" s="1" t="s">
        <v>60</v>
      </c>
      <c r="I215" s="1">
        <v>-113.0</v>
      </c>
      <c r="J215" s="1">
        <v>-0.0776080936705258</v>
      </c>
      <c r="K215" s="1" t="s">
        <v>61</v>
      </c>
      <c r="L215" s="1" t="s">
        <v>61</v>
      </c>
      <c r="M215" s="1" t="s">
        <v>62</v>
      </c>
      <c r="N215" s="1">
        <v>-115.0</v>
      </c>
      <c r="O215" s="1">
        <v>0.0122764304399781</v>
      </c>
      <c r="P215" s="1" t="s">
        <v>61</v>
      </c>
      <c r="Q215" s="1" t="s">
        <v>61</v>
      </c>
      <c r="R215" s="1">
        <f t="shared" si="1"/>
        <v>0.01227643044</v>
      </c>
      <c r="S215" s="1">
        <f t="shared" si="2"/>
        <v>-115</v>
      </c>
      <c r="T215" s="1">
        <f t="shared" si="3"/>
        <v>1.869565217</v>
      </c>
      <c r="U215" s="1">
        <f t="shared" si="4"/>
        <v>0</v>
      </c>
      <c r="V215" s="3">
        <f t="shared" si="5"/>
        <v>1</v>
      </c>
      <c r="W215" s="3">
        <f t="shared" si="6"/>
        <v>2</v>
      </c>
      <c r="X215" s="3" t="str">
        <f>IFERROR(__xludf.DUMMYFUNCTION("split(B215,"" "")"),"D.")</f>
        <v>D.</v>
      </c>
      <c r="Y215" s="3" t="str">
        <f>IFERROR(__xludf.DUMMYFUNCTION("""COMPUTED_VALUE"""),"Schultz")</f>
        <v>Schultz</v>
      </c>
      <c r="AA215" s="3">
        <v>34.0</v>
      </c>
      <c r="AB215" s="3">
        <f t="shared" si="7"/>
        <v>1</v>
      </c>
      <c r="AC215" s="3">
        <f t="shared" si="8"/>
        <v>0</v>
      </c>
      <c r="AD215" s="3">
        <f t="shared" si="9"/>
        <v>0.8695652174</v>
      </c>
      <c r="AE215" s="3">
        <f t="shared" si="10"/>
        <v>-1</v>
      </c>
      <c r="AF215" s="3">
        <f t="shared" si="11"/>
        <v>-2</v>
      </c>
      <c r="AG215" s="3">
        <f t="shared" si="12"/>
        <v>-0.3333333333</v>
      </c>
    </row>
    <row r="216">
      <c r="A216" s="1" t="s">
        <v>11</v>
      </c>
      <c r="B216" s="1" t="s">
        <v>495</v>
      </c>
      <c r="C216" s="1" t="s">
        <v>18</v>
      </c>
      <c r="D216" s="1" t="s">
        <v>72</v>
      </c>
      <c r="E216" s="1" t="s">
        <v>104</v>
      </c>
      <c r="F216" s="1" t="s">
        <v>576</v>
      </c>
      <c r="G216" s="1">
        <v>78.5</v>
      </c>
      <c r="H216" s="1" t="s">
        <v>60</v>
      </c>
      <c r="I216" s="1">
        <v>-105.0</v>
      </c>
      <c r="J216" s="1">
        <v>0.00779353142644223</v>
      </c>
      <c r="K216" s="1" t="s">
        <v>61</v>
      </c>
      <c r="L216" s="1" t="s">
        <v>61</v>
      </c>
      <c r="M216" s="1" t="s">
        <v>62</v>
      </c>
      <c r="N216" s="1">
        <v>-124.0</v>
      </c>
      <c r="O216" s="1">
        <v>-0.0735743790090971</v>
      </c>
      <c r="P216" s="1" t="s">
        <v>61</v>
      </c>
      <c r="Q216" s="1" t="s">
        <v>61</v>
      </c>
      <c r="R216" s="1">
        <f t="shared" si="1"/>
        <v>0.007793531426</v>
      </c>
      <c r="S216" s="1">
        <f t="shared" si="2"/>
        <v>-105</v>
      </c>
      <c r="T216" s="1">
        <f t="shared" si="3"/>
        <v>1.952380952</v>
      </c>
      <c r="U216" s="1">
        <f t="shared" si="4"/>
        <v>1</v>
      </c>
      <c r="V216" s="3">
        <f t="shared" si="5"/>
        <v>1</v>
      </c>
      <c r="W216" s="3">
        <f t="shared" si="6"/>
        <v>2</v>
      </c>
      <c r="X216" s="3" t="str">
        <f>IFERROR(__xludf.DUMMYFUNCTION("split(B216,"" "")"),"N.")</f>
        <v>N.</v>
      </c>
      <c r="Y216" s="3" t="str">
        <f>IFERROR(__xludf.DUMMYFUNCTION("""COMPUTED_VALUE"""),"Collins")</f>
        <v>Collins</v>
      </c>
      <c r="AA216" s="3">
        <v>78.0</v>
      </c>
      <c r="AB216" s="3">
        <f t="shared" si="7"/>
        <v>0</v>
      </c>
      <c r="AC216" s="3">
        <f t="shared" si="8"/>
        <v>0</v>
      </c>
      <c r="AD216" s="3">
        <f t="shared" si="9"/>
        <v>0.9523809524</v>
      </c>
      <c r="AE216" s="3">
        <f t="shared" si="10"/>
        <v>-1</v>
      </c>
      <c r="AF216" s="3">
        <f t="shared" si="11"/>
        <v>-2</v>
      </c>
      <c r="AG216" s="3">
        <f t="shared" si="12"/>
        <v>-0.006369426752</v>
      </c>
    </row>
    <row r="217">
      <c r="A217" s="1" t="s">
        <v>11</v>
      </c>
      <c r="B217" s="1" t="s">
        <v>310</v>
      </c>
      <c r="C217" s="1" t="s">
        <v>18</v>
      </c>
      <c r="D217" s="1" t="s">
        <v>72</v>
      </c>
      <c r="E217" s="1" t="s">
        <v>104</v>
      </c>
      <c r="F217" s="1" t="s">
        <v>576</v>
      </c>
      <c r="G217" s="1">
        <v>56.5</v>
      </c>
      <c r="H217" s="1" t="s">
        <v>60</v>
      </c>
      <c r="I217" s="1">
        <v>-113.0</v>
      </c>
      <c r="J217" s="1">
        <v>-0.0761731668660747</v>
      </c>
      <c r="K217" s="1" t="s">
        <v>61</v>
      </c>
      <c r="L217" s="1" t="s">
        <v>61</v>
      </c>
      <c r="M217" s="1" t="s">
        <v>62</v>
      </c>
      <c r="N217" s="1">
        <v>-117.0</v>
      </c>
      <c r="O217" s="1">
        <v>0.00647816648073684</v>
      </c>
      <c r="P217" s="1" t="s">
        <v>61</v>
      </c>
      <c r="Q217" s="1" t="s">
        <v>61</v>
      </c>
      <c r="R217" s="1">
        <f t="shared" si="1"/>
        <v>0.006478166481</v>
      </c>
      <c r="S217" s="1">
        <f t="shared" si="2"/>
        <v>-117</v>
      </c>
      <c r="T217" s="1">
        <f t="shared" si="3"/>
        <v>1.854700855</v>
      </c>
      <c r="U217" s="1">
        <f t="shared" si="4"/>
        <v>0</v>
      </c>
      <c r="V217" s="3">
        <f t="shared" si="5"/>
        <v>1</v>
      </c>
      <c r="W217" s="3">
        <f t="shared" si="6"/>
        <v>2</v>
      </c>
      <c r="X217" s="3" t="str">
        <f>IFERROR(__xludf.DUMMYFUNCTION("split(B217,"" "")"),"S.")</f>
        <v>S.</v>
      </c>
      <c r="Y217" s="3" t="str">
        <f>IFERROR(__xludf.DUMMYFUNCTION("""COMPUTED_VALUE"""),"Diggs")</f>
        <v>Diggs</v>
      </c>
      <c r="AA217" s="3">
        <v>82.0</v>
      </c>
      <c r="AB217" s="3">
        <f t="shared" si="7"/>
        <v>1</v>
      </c>
      <c r="AC217" s="3">
        <f t="shared" si="8"/>
        <v>0</v>
      </c>
      <c r="AD217" s="3">
        <f t="shared" si="9"/>
        <v>0.8547008547</v>
      </c>
      <c r="AE217" s="3">
        <f t="shared" si="10"/>
        <v>-1</v>
      </c>
      <c r="AF217" s="3">
        <f t="shared" si="11"/>
        <v>-2</v>
      </c>
      <c r="AG217" s="3">
        <f t="shared" si="12"/>
        <v>-0.4513274336</v>
      </c>
    </row>
    <row r="218">
      <c r="A218" s="1" t="s">
        <v>16</v>
      </c>
      <c r="B218" s="1" t="s">
        <v>369</v>
      </c>
      <c r="C218" s="1" t="s">
        <v>21</v>
      </c>
      <c r="D218" s="1" t="s">
        <v>72</v>
      </c>
      <c r="E218" s="1" t="s">
        <v>104</v>
      </c>
      <c r="F218" s="1" t="s">
        <v>576</v>
      </c>
      <c r="G218" s="1">
        <v>35.5</v>
      </c>
      <c r="H218" s="1" t="s">
        <v>60</v>
      </c>
      <c r="I218" s="1">
        <v>-105.0</v>
      </c>
      <c r="J218" s="1">
        <v>0.00335835130902451</v>
      </c>
      <c r="K218" s="1" t="s">
        <v>61</v>
      </c>
      <c r="L218" s="1" t="s">
        <v>61</v>
      </c>
      <c r="M218" s="1" t="s">
        <v>62</v>
      </c>
      <c r="N218" s="1">
        <v>-126.0</v>
      </c>
      <c r="O218" s="1">
        <v>-0.0730547071991152</v>
      </c>
      <c r="P218" s="1" t="s">
        <v>61</v>
      </c>
      <c r="Q218" s="1" t="s">
        <v>61</v>
      </c>
      <c r="R218" s="1">
        <f t="shared" si="1"/>
        <v>0.003358351309</v>
      </c>
      <c r="S218" s="1">
        <f t="shared" si="2"/>
        <v>-105</v>
      </c>
      <c r="T218" s="1">
        <f t="shared" si="3"/>
        <v>1.952380952</v>
      </c>
      <c r="U218" s="1">
        <f t="shared" si="4"/>
        <v>1</v>
      </c>
      <c r="V218" s="3">
        <f t="shared" si="5"/>
        <v>1</v>
      </c>
      <c r="W218" s="3">
        <f t="shared" si="6"/>
        <v>2</v>
      </c>
      <c r="X218" s="3" t="str">
        <f>IFERROR(__xludf.DUMMYFUNCTION("split(B218,"" "")"),"C.")</f>
        <v>C.</v>
      </c>
      <c r="Y218" s="3" t="str">
        <f>IFERROR(__xludf.DUMMYFUNCTION("""COMPUTED_VALUE"""),"Stroud")</f>
        <v>Stroud</v>
      </c>
      <c r="AA218" s="3">
        <v>38.0</v>
      </c>
      <c r="AB218" s="3">
        <f t="shared" si="7"/>
        <v>1</v>
      </c>
      <c r="AC218" s="3">
        <f t="shared" si="8"/>
        <v>1</v>
      </c>
      <c r="AD218" s="3">
        <f t="shared" si="9"/>
        <v>0.9523809524</v>
      </c>
      <c r="AE218" s="3">
        <f t="shared" si="10"/>
        <v>0.9523809524</v>
      </c>
      <c r="AF218" s="3">
        <f t="shared" si="11"/>
        <v>1.904761905</v>
      </c>
      <c r="AG218" s="3">
        <f t="shared" si="12"/>
        <v>0.07042253521</v>
      </c>
    </row>
    <row r="219">
      <c r="A219" s="1" t="s">
        <v>9</v>
      </c>
      <c r="B219" s="1" t="s">
        <v>495</v>
      </c>
      <c r="C219" s="1" t="s">
        <v>18</v>
      </c>
      <c r="D219" s="1" t="s">
        <v>72</v>
      </c>
      <c r="E219" s="1" t="s">
        <v>104</v>
      </c>
      <c r="F219" s="1" t="s">
        <v>576</v>
      </c>
      <c r="G219" s="1">
        <v>79.5</v>
      </c>
      <c r="H219" s="1" t="s">
        <v>60</v>
      </c>
      <c r="I219" s="1">
        <v>-120.0</v>
      </c>
      <c r="J219" s="1">
        <v>-0.0707635721762156</v>
      </c>
      <c r="K219" s="1" t="s">
        <v>61</v>
      </c>
      <c r="L219" s="1" t="s">
        <v>61</v>
      </c>
      <c r="M219" s="1" t="s">
        <v>62</v>
      </c>
      <c r="N219" s="1">
        <v>-110.0</v>
      </c>
      <c r="O219" s="1">
        <v>0.00147040222211514</v>
      </c>
      <c r="P219" s="1" t="s">
        <v>61</v>
      </c>
      <c r="Q219" s="1" t="s">
        <v>61</v>
      </c>
      <c r="R219" s="1">
        <f t="shared" si="1"/>
        <v>0.001470402222</v>
      </c>
      <c r="S219" s="1">
        <f t="shared" si="2"/>
        <v>-110</v>
      </c>
      <c r="T219" s="1">
        <f t="shared" si="3"/>
        <v>1.909090909</v>
      </c>
      <c r="U219" s="1">
        <f t="shared" si="4"/>
        <v>0</v>
      </c>
      <c r="V219" s="3">
        <f t="shared" si="5"/>
        <v>1</v>
      </c>
      <c r="W219" s="3">
        <f t="shared" si="6"/>
        <v>2</v>
      </c>
      <c r="X219" s="3" t="str">
        <f>IFERROR(__xludf.DUMMYFUNCTION("split(B219,"" "")"),"N.")</f>
        <v>N.</v>
      </c>
      <c r="Y219" s="3" t="str">
        <f>IFERROR(__xludf.DUMMYFUNCTION("""COMPUTED_VALUE"""),"Collins")</f>
        <v>Collins</v>
      </c>
      <c r="AA219" s="3">
        <v>78.0</v>
      </c>
      <c r="AB219" s="3">
        <f t="shared" si="7"/>
        <v>0</v>
      </c>
      <c r="AC219" s="3">
        <f t="shared" si="8"/>
        <v>1</v>
      </c>
      <c r="AD219" s="3">
        <f t="shared" si="9"/>
        <v>0.9090909091</v>
      </c>
      <c r="AE219" s="3">
        <f t="shared" si="10"/>
        <v>0.9090909091</v>
      </c>
      <c r="AF219" s="3">
        <f t="shared" si="11"/>
        <v>1.818181818</v>
      </c>
      <c r="AG219" s="3">
        <f t="shared" si="12"/>
        <v>0.01886792453</v>
      </c>
    </row>
    <row r="220">
      <c r="A220" s="1" t="s">
        <v>9</v>
      </c>
      <c r="B220" s="1" t="s">
        <v>129</v>
      </c>
      <c r="C220" s="1" t="s">
        <v>18</v>
      </c>
      <c r="D220" s="1" t="s">
        <v>72</v>
      </c>
      <c r="E220" s="1" t="s">
        <v>104</v>
      </c>
      <c r="F220" s="1" t="s">
        <v>576</v>
      </c>
      <c r="G220" s="1">
        <v>45.5</v>
      </c>
      <c r="H220" s="1" t="s">
        <v>60</v>
      </c>
      <c r="I220" s="1">
        <v>-120.0</v>
      </c>
      <c r="J220" s="1">
        <v>0.00142698306514366</v>
      </c>
      <c r="K220" s="1" t="s">
        <v>61</v>
      </c>
      <c r="L220" s="1" t="s">
        <v>61</v>
      </c>
      <c r="M220" s="1" t="s">
        <v>62</v>
      </c>
      <c r="N220" s="1">
        <v>-110.0</v>
      </c>
      <c r="O220" s="1">
        <v>-0.070672999532213</v>
      </c>
      <c r="P220" s="1" t="s">
        <v>61</v>
      </c>
      <c r="Q220" s="1" t="s">
        <v>61</v>
      </c>
      <c r="R220" s="1">
        <f t="shared" si="1"/>
        <v>0.001426983065</v>
      </c>
      <c r="S220" s="1">
        <f t="shared" si="2"/>
        <v>-120</v>
      </c>
      <c r="T220" s="1">
        <f t="shared" si="3"/>
        <v>1.833333333</v>
      </c>
      <c r="U220" s="1">
        <f t="shared" si="4"/>
        <v>1</v>
      </c>
      <c r="V220" s="3">
        <f t="shared" si="5"/>
        <v>1</v>
      </c>
      <c r="W220" s="3">
        <f t="shared" si="6"/>
        <v>3</v>
      </c>
      <c r="X220" s="3" t="str">
        <f>IFERROR(__xludf.DUMMYFUNCTION("split(B220,"" "")"),"T.")</f>
        <v>T.</v>
      </c>
      <c r="Y220" s="3" t="str">
        <f>IFERROR(__xludf.DUMMYFUNCTION("""COMPUTED_VALUE"""),"Dell")</f>
        <v>Dell</v>
      </c>
      <c r="AA220" s="3">
        <v>33.0</v>
      </c>
      <c r="AB220" s="3">
        <f t="shared" si="7"/>
        <v>0</v>
      </c>
      <c r="AC220" s="3">
        <f t="shared" si="8"/>
        <v>0</v>
      </c>
      <c r="AD220" s="3">
        <f t="shared" si="9"/>
        <v>0.8333333333</v>
      </c>
      <c r="AE220" s="3">
        <f t="shared" si="10"/>
        <v>-1</v>
      </c>
      <c r="AF220" s="3">
        <f t="shared" si="11"/>
        <v>-3</v>
      </c>
      <c r="AG220" s="3">
        <f t="shared" si="12"/>
        <v>-0.2747252747</v>
      </c>
    </row>
    <row r="221">
      <c r="A221" s="1" t="s">
        <v>12</v>
      </c>
      <c r="B221" s="1" t="s">
        <v>584</v>
      </c>
      <c r="C221" s="1" t="s">
        <v>19</v>
      </c>
      <c r="D221" s="1" t="s">
        <v>71</v>
      </c>
      <c r="E221" s="1" t="s">
        <v>93</v>
      </c>
      <c r="F221" s="1" t="s">
        <v>576</v>
      </c>
      <c r="G221" s="1">
        <v>1.5</v>
      </c>
      <c r="H221" s="1" t="s">
        <v>60</v>
      </c>
      <c r="I221" s="1">
        <v>-154.0</v>
      </c>
      <c r="J221" s="1">
        <v>-0.241230753023622</v>
      </c>
      <c r="K221" s="1" t="s">
        <v>61</v>
      </c>
      <c r="L221" s="1" t="s">
        <v>61</v>
      </c>
      <c r="M221" s="1" t="s">
        <v>62</v>
      </c>
      <c r="N221" s="1">
        <v>118.0</v>
      </c>
      <c r="O221" s="1">
        <v>0.176221152605504</v>
      </c>
      <c r="P221" s="1" t="s">
        <v>61</v>
      </c>
      <c r="Q221" s="1" t="s">
        <v>61</v>
      </c>
      <c r="R221" s="1">
        <f t="shared" si="1"/>
        <v>0.1762211526</v>
      </c>
      <c r="S221" s="1">
        <f t="shared" si="2"/>
        <v>118</v>
      </c>
      <c r="T221" s="1">
        <f t="shared" si="3"/>
        <v>2.18</v>
      </c>
      <c r="U221" s="1">
        <f t="shared" si="4"/>
        <v>0</v>
      </c>
      <c r="V221" s="3">
        <f t="shared" si="5"/>
        <v>3</v>
      </c>
      <c r="W221" s="3">
        <f t="shared" si="6"/>
        <v>1</v>
      </c>
      <c r="X221" s="3" t="str">
        <f>IFERROR(__xludf.DUMMYFUNCTION("split(B221,"" "")"),"T.")</f>
        <v>T.</v>
      </c>
      <c r="Y221" s="3" t="str">
        <f>IFERROR(__xludf.DUMMYFUNCTION("""COMPUTED_VALUE"""),"Goodson")</f>
        <v>Goodson</v>
      </c>
      <c r="AA221" s="3">
        <v>3.0</v>
      </c>
      <c r="AB221" s="3">
        <f t="shared" si="7"/>
        <v>1</v>
      </c>
      <c r="AC221" s="3">
        <f t="shared" si="8"/>
        <v>0</v>
      </c>
      <c r="AD221" s="3">
        <f t="shared" si="9"/>
        <v>3.54</v>
      </c>
      <c r="AE221" s="3">
        <f t="shared" si="10"/>
        <v>-3</v>
      </c>
      <c r="AF221" s="3">
        <f t="shared" si="11"/>
        <v>-1</v>
      </c>
      <c r="AG221" s="3">
        <f t="shared" si="12"/>
        <v>-1</v>
      </c>
    </row>
    <row r="222">
      <c r="A222" s="1" t="s">
        <v>12</v>
      </c>
      <c r="B222" s="1" t="s">
        <v>540</v>
      </c>
      <c r="C222" s="1" t="s">
        <v>19</v>
      </c>
      <c r="D222" s="1" t="s">
        <v>71</v>
      </c>
      <c r="E222" s="1" t="s">
        <v>93</v>
      </c>
      <c r="F222" s="1" t="s">
        <v>576</v>
      </c>
      <c r="G222" s="1">
        <v>1.5</v>
      </c>
      <c r="H222" s="1" t="s">
        <v>60</v>
      </c>
      <c r="I222" s="1">
        <v>-124.0</v>
      </c>
      <c r="J222" s="1">
        <v>-0.202208588723214</v>
      </c>
      <c r="K222" s="1" t="s">
        <v>61</v>
      </c>
      <c r="L222" s="1" t="s">
        <v>61</v>
      </c>
      <c r="M222" s="1" t="s">
        <v>62</v>
      </c>
      <c r="N222" s="1">
        <v>-107.0</v>
      </c>
      <c r="O222" s="1">
        <v>0.131734814227922</v>
      </c>
      <c r="P222" s="1" t="s">
        <v>61</v>
      </c>
      <c r="Q222" s="1" t="s">
        <v>61</v>
      </c>
      <c r="R222" s="1">
        <f t="shared" si="1"/>
        <v>0.1317348142</v>
      </c>
      <c r="S222" s="1">
        <f t="shared" si="2"/>
        <v>-107</v>
      </c>
      <c r="T222" s="1">
        <f t="shared" si="3"/>
        <v>1.934579439</v>
      </c>
      <c r="U222" s="1">
        <f t="shared" si="4"/>
        <v>0</v>
      </c>
      <c r="V222" s="3">
        <f t="shared" si="5"/>
        <v>3</v>
      </c>
      <c r="W222" s="3">
        <f t="shared" si="6"/>
        <v>2</v>
      </c>
      <c r="X222" s="3" t="str">
        <f>IFERROR(__xludf.DUMMYFUNCTION("split(B222,"" "")"),"T.")</f>
        <v>T.</v>
      </c>
      <c r="Y222" s="3" t="str">
        <f>IFERROR(__xludf.DUMMYFUNCTION("""COMPUTED_VALUE"""),"Sermon")</f>
        <v>Sermon</v>
      </c>
      <c r="AA222" s="3">
        <v>6.0</v>
      </c>
      <c r="AB222" s="3">
        <f t="shared" si="7"/>
        <v>1</v>
      </c>
      <c r="AC222" s="3">
        <f t="shared" si="8"/>
        <v>0</v>
      </c>
      <c r="AD222" s="3">
        <f t="shared" si="9"/>
        <v>2.803738318</v>
      </c>
      <c r="AE222" s="3">
        <f t="shared" si="10"/>
        <v>-3</v>
      </c>
      <c r="AF222" s="3">
        <f t="shared" si="11"/>
        <v>-2</v>
      </c>
      <c r="AG222" s="3">
        <f t="shared" si="12"/>
        <v>-3</v>
      </c>
    </row>
    <row r="223">
      <c r="A223" s="1" t="s">
        <v>8</v>
      </c>
      <c r="B223" s="1" t="s">
        <v>540</v>
      </c>
      <c r="C223" s="1" t="s">
        <v>19</v>
      </c>
      <c r="D223" s="1" t="s">
        <v>71</v>
      </c>
      <c r="E223" s="1" t="s">
        <v>93</v>
      </c>
      <c r="F223" s="1" t="s">
        <v>576</v>
      </c>
      <c r="G223" s="1">
        <v>12.5</v>
      </c>
      <c r="H223" s="1" t="s">
        <v>60</v>
      </c>
      <c r="I223" s="1">
        <v>-135.0</v>
      </c>
      <c r="J223" s="1">
        <v>-0.148882179703404</v>
      </c>
      <c r="K223" s="1" t="s">
        <v>61</v>
      </c>
      <c r="L223" s="1" t="s">
        <v>61</v>
      </c>
      <c r="M223" s="1" t="s">
        <v>62</v>
      </c>
      <c r="N223" s="1">
        <v>101.0</v>
      </c>
      <c r="O223" s="1">
        <v>0.0768871255238805</v>
      </c>
      <c r="P223" s="1" t="s">
        <v>61</v>
      </c>
      <c r="Q223" s="1" t="s">
        <v>61</v>
      </c>
      <c r="R223" s="1">
        <f t="shared" si="1"/>
        <v>0.07688712552</v>
      </c>
      <c r="S223" s="1">
        <f t="shared" si="2"/>
        <v>101</v>
      </c>
      <c r="T223" s="1">
        <f t="shared" si="3"/>
        <v>2.01</v>
      </c>
      <c r="U223" s="1">
        <f t="shared" si="4"/>
        <v>0</v>
      </c>
      <c r="V223" s="3">
        <f t="shared" si="5"/>
        <v>2</v>
      </c>
      <c r="W223" s="3">
        <f t="shared" si="6"/>
        <v>2</v>
      </c>
      <c r="X223" s="3" t="str">
        <f>IFERROR(__xludf.DUMMYFUNCTION("split(B223,"" "")"),"T.")</f>
        <v>T.</v>
      </c>
      <c r="Y223" s="3" t="str">
        <f>IFERROR(__xludf.DUMMYFUNCTION("""COMPUTED_VALUE"""),"Sermon")</f>
        <v>Sermon</v>
      </c>
      <c r="AA223" s="3">
        <v>10.0</v>
      </c>
      <c r="AB223" s="3">
        <f t="shared" si="7"/>
        <v>0</v>
      </c>
      <c r="AC223" s="3">
        <f t="shared" si="8"/>
        <v>1</v>
      </c>
      <c r="AD223" s="3">
        <f t="shared" si="9"/>
        <v>2.02</v>
      </c>
      <c r="AE223" s="3">
        <f t="shared" si="10"/>
        <v>2.02</v>
      </c>
      <c r="AF223" s="3">
        <f t="shared" si="11"/>
        <v>2.02</v>
      </c>
      <c r="AG223" s="3">
        <f t="shared" si="12"/>
        <v>0.2</v>
      </c>
    </row>
    <row r="224">
      <c r="A224" s="1" t="s">
        <v>11</v>
      </c>
      <c r="B224" s="1" t="s">
        <v>585</v>
      </c>
      <c r="C224" s="1" t="s">
        <v>20</v>
      </c>
      <c r="D224" s="1" t="s">
        <v>71</v>
      </c>
      <c r="E224" s="1" t="s">
        <v>93</v>
      </c>
      <c r="F224" s="1" t="s">
        <v>576</v>
      </c>
      <c r="G224" s="1">
        <v>5.5</v>
      </c>
      <c r="H224" s="1" t="s">
        <v>60</v>
      </c>
      <c r="I224" s="1">
        <v>-117.0</v>
      </c>
      <c r="J224" s="1">
        <v>0.0766888088828786</v>
      </c>
      <c r="K224" s="1" t="s">
        <v>61</v>
      </c>
      <c r="L224" s="1" t="s">
        <v>61</v>
      </c>
      <c r="M224" s="1" t="s">
        <v>62</v>
      </c>
      <c r="N224" s="1">
        <v>-109.0</v>
      </c>
      <c r="O224" s="1">
        <v>-0.137411401746733</v>
      </c>
      <c r="P224" s="1" t="s">
        <v>61</v>
      </c>
      <c r="Q224" s="1" t="s">
        <v>61</v>
      </c>
      <c r="R224" s="1">
        <f t="shared" si="1"/>
        <v>0.07668880888</v>
      </c>
      <c r="S224" s="1">
        <f t="shared" si="2"/>
        <v>-117</v>
      </c>
      <c r="T224" s="1">
        <f t="shared" si="3"/>
        <v>1.854700855</v>
      </c>
      <c r="U224" s="1">
        <f t="shared" si="4"/>
        <v>1</v>
      </c>
      <c r="V224" s="3">
        <f t="shared" si="5"/>
        <v>2</v>
      </c>
      <c r="W224" s="3">
        <f t="shared" si="6"/>
        <v>2</v>
      </c>
      <c r="X224" s="3" t="str">
        <f>IFERROR(__xludf.DUMMYFUNCTION("split(B224,"" "")"),"M.")</f>
        <v>M.</v>
      </c>
      <c r="Y224" s="3" t="str">
        <f>IFERROR(__xludf.DUMMYFUNCTION("""COMPUTED_VALUE"""),"Alie-Cox")</f>
        <v>Alie-Cox</v>
      </c>
      <c r="AA224" s="3">
        <v>37.0</v>
      </c>
      <c r="AB224" s="3">
        <f t="shared" si="7"/>
        <v>1</v>
      </c>
      <c r="AC224" s="3">
        <f t="shared" si="8"/>
        <v>1</v>
      </c>
      <c r="AD224" s="3">
        <f t="shared" si="9"/>
        <v>1.709401709</v>
      </c>
      <c r="AE224" s="3">
        <f t="shared" si="10"/>
        <v>1.709401709</v>
      </c>
      <c r="AF224" s="3">
        <f t="shared" si="11"/>
        <v>1.709401709</v>
      </c>
      <c r="AG224" s="3">
        <f t="shared" si="12"/>
        <v>5.727272727</v>
      </c>
    </row>
    <row r="225">
      <c r="A225" s="1" t="s">
        <v>10</v>
      </c>
      <c r="B225" s="1" t="s">
        <v>584</v>
      </c>
      <c r="C225" s="1" t="s">
        <v>19</v>
      </c>
      <c r="D225" s="1" t="s">
        <v>71</v>
      </c>
      <c r="E225" s="1" t="s">
        <v>93</v>
      </c>
      <c r="F225" s="1" t="s">
        <v>576</v>
      </c>
      <c r="G225" s="1">
        <v>25.5</v>
      </c>
      <c r="H225" s="1" t="s">
        <v>60</v>
      </c>
      <c r="I225" s="1">
        <v>-114.0</v>
      </c>
      <c r="J225" s="1">
        <v>-0.13433303890248</v>
      </c>
      <c r="K225" s="1" t="s">
        <v>61</v>
      </c>
      <c r="L225" s="1" t="s">
        <v>61</v>
      </c>
      <c r="M225" s="1" t="s">
        <v>62</v>
      </c>
      <c r="N225" s="1">
        <v>-115.0</v>
      </c>
      <c r="O225" s="1">
        <v>0.0667712598786072</v>
      </c>
      <c r="P225" s="1" t="s">
        <v>61</v>
      </c>
      <c r="Q225" s="1" t="s">
        <v>61</v>
      </c>
      <c r="R225" s="1">
        <f t="shared" si="1"/>
        <v>0.06677125988</v>
      </c>
      <c r="S225" s="1">
        <f t="shared" si="2"/>
        <v>-115</v>
      </c>
      <c r="T225" s="1">
        <f t="shared" si="3"/>
        <v>1.869565217</v>
      </c>
      <c r="U225" s="1">
        <f t="shared" si="4"/>
        <v>0</v>
      </c>
      <c r="V225" s="3">
        <f t="shared" si="5"/>
        <v>2</v>
      </c>
      <c r="W225" s="3">
        <f t="shared" si="6"/>
        <v>2</v>
      </c>
      <c r="X225" s="3" t="str">
        <f>IFERROR(__xludf.DUMMYFUNCTION("split(B225,"" "")"),"T.")</f>
        <v>T.</v>
      </c>
      <c r="Y225" s="3" t="str">
        <f>IFERROR(__xludf.DUMMYFUNCTION("""COMPUTED_VALUE"""),"Goodson")</f>
        <v>Goodson</v>
      </c>
      <c r="AA225" s="3">
        <v>26.0</v>
      </c>
      <c r="AB225" s="3">
        <f t="shared" si="7"/>
        <v>1</v>
      </c>
      <c r="AC225" s="3">
        <f t="shared" si="8"/>
        <v>0</v>
      </c>
      <c r="AD225" s="3">
        <f t="shared" si="9"/>
        <v>1.739130435</v>
      </c>
      <c r="AE225" s="3">
        <f t="shared" si="10"/>
        <v>-2</v>
      </c>
      <c r="AF225" s="3">
        <f t="shared" si="11"/>
        <v>-2</v>
      </c>
      <c r="AG225" s="3">
        <f t="shared" si="12"/>
        <v>-0.01960784314</v>
      </c>
    </row>
    <row r="226">
      <c r="A226" s="1" t="s">
        <v>12</v>
      </c>
      <c r="B226" s="1" t="s">
        <v>217</v>
      </c>
      <c r="C226" s="1" t="s">
        <v>18</v>
      </c>
      <c r="D226" s="1" t="s">
        <v>71</v>
      </c>
      <c r="E226" s="1" t="s">
        <v>93</v>
      </c>
      <c r="F226" s="1" t="s">
        <v>576</v>
      </c>
      <c r="G226" s="1">
        <v>2.5</v>
      </c>
      <c r="H226" s="1" t="s">
        <v>60</v>
      </c>
      <c r="I226" s="1">
        <v>132.0</v>
      </c>
      <c r="J226" s="1">
        <v>-0.132528628615517</v>
      </c>
      <c r="K226" s="1" t="s">
        <v>61</v>
      </c>
      <c r="L226" s="1" t="s">
        <v>61</v>
      </c>
      <c r="M226" s="1" t="s">
        <v>62</v>
      </c>
      <c r="N226" s="1">
        <v>-174.0</v>
      </c>
      <c r="O226" s="1">
        <v>0.0664569696956204</v>
      </c>
      <c r="P226" s="1" t="s">
        <v>61</v>
      </c>
      <c r="Q226" s="1" t="s">
        <v>61</v>
      </c>
      <c r="R226" s="1">
        <f t="shared" si="1"/>
        <v>0.0664569697</v>
      </c>
      <c r="S226" s="1">
        <f t="shared" si="2"/>
        <v>-174</v>
      </c>
      <c r="T226" s="1">
        <f t="shared" si="3"/>
        <v>1.574712644</v>
      </c>
      <c r="U226" s="1">
        <f t="shared" si="4"/>
        <v>0</v>
      </c>
      <c r="V226" s="3">
        <f t="shared" si="5"/>
        <v>2</v>
      </c>
      <c r="W226" s="3">
        <f t="shared" si="6"/>
        <v>3</v>
      </c>
      <c r="X226" s="3" t="str">
        <f>IFERROR(__xludf.DUMMYFUNCTION("split(B226,"" "")"),"A.")</f>
        <v>A.</v>
      </c>
      <c r="Y226" s="3" t="str">
        <f>IFERROR(__xludf.DUMMYFUNCTION("""COMPUTED_VALUE"""),"Pierce")</f>
        <v>Pierce</v>
      </c>
      <c r="AA226" s="3">
        <v>3.0</v>
      </c>
      <c r="AB226" s="3">
        <f t="shared" si="7"/>
        <v>1</v>
      </c>
      <c r="AC226" s="3">
        <f t="shared" si="8"/>
        <v>0</v>
      </c>
      <c r="AD226" s="3">
        <f t="shared" si="9"/>
        <v>1.149425287</v>
      </c>
      <c r="AE226" s="3">
        <f t="shared" si="10"/>
        <v>-2</v>
      </c>
      <c r="AF226" s="3">
        <f t="shared" si="11"/>
        <v>-3</v>
      </c>
      <c r="AG226" s="3">
        <f t="shared" si="12"/>
        <v>-0.2</v>
      </c>
    </row>
    <row r="227">
      <c r="A227" s="1" t="s">
        <v>12</v>
      </c>
      <c r="B227" s="1" t="s">
        <v>539</v>
      </c>
      <c r="C227" s="1" t="s">
        <v>18</v>
      </c>
      <c r="D227" s="1" t="s">
        <v>71</v>
      </c>
      <c r="E227" s="1" t="s">
        <v>93</v>
      </c>
      <c r="F227" s="1" t="s">
        <v>576</v>
      </c>
      <c r="G227" s="1">
        <v>4.5</v>
      </c>
      <c r="H227" s="1" t="s">
        <v>60</v>
      </c>
      <c r="I227" s="1">
        <v>-159.0</v>
      </c>
      <c r="J227" s="1">
        <v>-0.116922393822393</v>
      </c>
      <c r="K227" s="1" t="s">
        <v>61</v>
      </c>
      <c r="L227" s="1" t="s">
        <v>61</v>
      </c>
      <c r="M227" s="1" t="s">
        <v>62</v>
      </c>
      <c r="N227" s="1">
        <v>117.0</v>
      </c>
      <c r="O227" s="1">
        <v>0.0421783410138248</v>
      </c>
      <c r="P227" s="1" t="s">
        <v>61</v>
      </c>
      <c r="Q227" s="1" t="s">
        <v>61</v>
      </c>
      <c r="R227" s="1">
        <f t="shared" si="1"/>
        <v>0.04217834101</v>
      </c>
      <c r="S227" s="1">
        <f t="shared" si="2"/>
        <v>117</v>
      </c>
      <c r="T227" s="1">
        <f t="shared" si="3"/>
        <v>2.17</v>
      </c>
      <c r="U227" s="1">
        <f t="shared" si="4"/>
        <v>0</v>
      </c>
      <c r="V227" s="3">
        <f t="shared" si="5"/>
        <v>1</v>
      </c>
      <c r="W227" s="3">
        <f t="shared" si="6"/>
        <v>1</v>
      </c>
      <c r="X227" s="3" t="str">
        <f>IFERROR(__xludf.DUMMYFUNCTION("split(B227,"" "")"),"J.")</f>
        <v>J.</v>
      </c>
      <c r="Y227" s="3" t="str">
        <f>IFERROR(__xludf.DUMMYFUNCTION("""COMPUTED_VALUE"""),"Downs")</f>
        <v>Downs</v>
      </c>
      <c r="AA227" s="3">
        <v>9.0</v>
      </c>
      <c r="AB227" s="3">
        <f t="shared" si="7"/>
        <v>1</v>
      </c>
      <c r="AC227" s="3">
        <f t="shared" si="8"/>
        <v>0</v>
      </c>
      <c r="AD227" s="3">
        <f t="shared" si="9"/>
        <v>1.17</v>
      </c>
      <c r="AE227" s="3">
        <f t="shared" si="10"/>
        <v>-1</v>
      </c>
      <c r="AF227" s="3">
        <f t="shared" si="11"/>
        <v>-1</v>
      </c>
      <c r="AG227" s="3">
        <f t="shared" si="12"/>
        <v>-1</v>
      </c>
    </row>
    <row r="228">
      <c r="A228" s="1" t="s">
        <v>17</v>
      </c>
      <c r="B228" s="1" t="s">
        <v>586</v>
      </c>
      <c r="C228" s="1" t="s">
        <v>21</v>
      </c>
      <c r="D228" s="1" t="s">
        <v>71</v>
      </c>
      <c r="E228" s="1" t="s">
        <v>93</v>
      </c>
      <c r="F228" s="1" t="s">
        <v>576</v>
      </c>
      <c r="G228" s="1">
        <v>0.5</v>
      </c>
      <c r="H228" s="1" t="s">
        <v>60</v>
      </c>
      <c r="I228" s="1">
        <v>-128.0</v>
      </c>
      <c r="J228" s="1">
        <v>-0.105103508771929</v>
      </c>
      <c r="K228" s="1" t="s">
        <v>61</v>
      </c>
      <c r="L228" s="1" t="s">
        <v>61</v>
      </c>
      <c r="M228" s="1" t="s">
        <v>62</v>
      </c>
      <c r="N228" s="1">
        <v>-101.0</v>
      </c>
      <c r="O228" s="1">
        <v>0.0412124378109453</v>
      </c>
      <c r="P228" s="1" t="s">
        <v>61</v>
      </c>
      <c r="Q228" s="1" t="s">
        <v>61</v>
      </c>
      <c r="R228" s="1">
        <f t="shared" si="1"/>
        <v>0.04121243781</v>
      </c>
      <c r="S228" s="1">
        <f t="shared" si="2"/>
        <v>-101</v>
      </c>
      <c r="T228" s="1">
        <f t="shared" si="3"/>
        <v>1.99009901</v>
      </c>
      <c r="U228" s="1">
        <f t="shared" si="4"/>
        <v>0</v>
      </c>
      <c r="V228" s="3">
        <f t="shared" si="5"/>
        <v>1</v>
      </c>
      <c r="W228" s="3">
        <f t="shared" si="6"/>
        <v>2</v>
      </c>
      <c r="X228" s="3" t="str">
        <f>IFERROR(__xludf.DUMMYFUNCTION("split(B228,"" "")"),"J.")</f>
        <v>J.</v>
      </c>
      <c r="Y228" s="3" t="str">
        <f>IFERROR(__xludf.DUMMYFUNCTION("""COMPUTED_VALUE"""),"Flacco")</f>
        <v>Flacco</v>
      </c>
      <c r="AA228" s="3">
        <v>0.0</v>
      </c>
      <c r="AB228" s="3">
        <f t="shared" si="7"/>
        <v>0</v>
      </c>
      <c r="AC228" s="3">
        <f t="shared" si="8"/>
        <v>1</v>
      </c>
      <c r="AD228" s="3">
        <f t="shared" si="9"/>
        <v>0.9900990099</v>
      </c>
      <c r="AE228" s="3">
        <f t="shared" si="10"/>
        <v>0.9900990099</v>
      </c>
      <c r="AF228" s="3">
        <f t="shared" si="11"/>
        <v>1.98019802</v>
      </c>
      <c r="AG228" s="3">
        <f t="shared" si="12"/>
        <v>1</v>
      </c>
    </row>
    <row r="229">
      <c r="A229" s="1" t="s">
        <v>9</v>
      </c>
      <c r="B229" s="1" t="s">
        <v>217</v>
      </c>
      <c r="C229" s="1" t="s">
        <v>18</v>
      </c>
      <c r="D229" s="1" t="s">
        <v>71</v>
      </c>
      <c r="E229" s="1" t="s">
        <v>93</v>
      </c>
      <c r="F229" s="1" t="s">
        <v>576</v>
      </c>
      <c r="G229" s="1">
        <v>25.5</v>
      </c>
      <c r="H229" s="1" t="s">
        <v>60</v>
      </c>
      <c r="I229" s="1">
        <v>-114.0</v>
      </c>
      <c r="J229" s="1">
        <v>0.0387870085236691</v>
      </c>
      <c r="K229" s="1" t="s">
        <v>61</v>
      </c>
      <c r="L229" s="1" t="s">
        <v>61</v>
      </c>
      <c r="M229" s="1" t="s">
        <v>62</v>
      </c>
      <c r="N229" s="1">
        <v>-119.0</v>
      </c>
      <c r="O229" s="1">
        <v>-0.1148595597746</v>
      </c>
      <c r="P229" s="1" t="s">
        <v>61</v>
      </c>
      <c r="Q229" s="1" t="s">
        <v>61</v>
      </c>
      <c r="R229" s="1">
        <f t="shared" si="1"/>
        <v>0.03878700852</v>
      </c>
      <c r="S229" s="1">
        <f t="shared" si="2"/>
        <v>-114</v>
      </c>
      <c r="T229" s="1">
        <f t="shared" si="3"/>
        <v>1.877192982</v>
      </c>
      <c r="U229" s="1">
        <f t="shared" si="4"/>
        <v>1</v>
      </c>
      <c r="V229" s="3">
        <f t="shared" si="5"/>
        <v>1</v>
      </c>
      <c r="W229" s="3">
        <f t="shared" si="6"/>
        <v>2</v>
      </c>
      <c r="X229" s="3" t="str">
        <f>IFERROR(__xludf.DUMMYFUNCTION("split(B229,"" "")"),"A.")</f>
        <v>A.</v>
      </c>
      <c r="Y229" s="3" t="str">
        <f>IFERROR(__xludf.DUMMYFUNCTION("""COMPUTED_VALUE"""),"Pierce")</f>
        <v>Pierce</v>
      </c>
      <c r="AA229" s="3">
        <v>134.0</v>
      </c>
      <c r="AB229" s="3">
        <f t="shared" si="7"/>
        <v>1</v>
      </c>
      <c r="AC229" s="3">
        <f t="shared" si="8"/>
        <v>1</v>
      </c>
      <c r="AD229" s="3">
        <f t="shared" si="9"/>
        <v>0.8771929825</v>
      </c>
      <c r="AE229" s="3">
        <f t="shared" si="10"/>
        <v>0.8771929825</v>
      </c>
      <c r="AF229" s="3">
        <f t="shared" si="11"/>
        <v>1.754385965</v>
      </c>
      <c r="AG229" s="3">
        <f t="shared" si="12"/>
        <v>4.254901961</v>
      </c>
    </row>
    <row r="230">
      <c r="A230" s="1" t="s">
        <v>11</v>
      </c>
      <c r="B230" s="1" t="s">
        <v>125</v>
      </c>
      <c r="C230" s="1" t="s">
        <v>18</v>
      </c>
      <c r="D230" s="1" t="s">
        <v>71</v>
      </c>
      <c r="E230" s="1" t="s">
        <v>93</v>
      </c>
      <c r="F230" s="1" t="s">
        <v>576</v>
      </c>
      <c r="G230" s="1">
        <v>9.5</v>
      </c>
      <c r="H230" s="1" t="s">
        <v>60</v>
      </c>
      <c r="I230" s="1">
        <v>-109.0</v>
      </c>
      <c r="J230" s="1">
        <v>0.0338187503277364</v>
      </c>
      <c r="K230" s="1" t="s">
        <v>61</v>
      </c>
      <c r="L230" s="1" t="s">
        <v>61</v>
      </c>
      <c r="M230" s="1" t="s">
        <v>62</v>
      </c>
      <c r="N230" s="1">
        <v>-117.0</v>
      </c>
      <c r="O230" s="1">
        <v>-0.0944759355651674</v>
      </c>
      <c r="P230" s="1" t="s">
        <v>61</v>
      </c>
      <c r="Q230" s="1" t="s">
        <v>61</v>
      </c>
      <c r="R230" s="1">
        <f t="shared" si="1"/>
        <v>0.03381875033</v>
      </c>
      <c r="S230" s="1">
        <f t="shared" si="2"/>
        <v>-109</v>
      </c>
      <c r="T230" s="1">
        <f t="shared" si="3"/>
        <v>1.917431193</v>
      </c>
      <c r="U230" s="1">
        <f t="shared" si="4"/>
        <v>1</v>
      </c>
      <c r="V230" s="3">
        <f t="shared" si="5"/>
        <v>1</v>
      </c>
      <c r="W230" s="3">
        <f t="shared" si="6"/>
        <v>2</v>
      </c>
      <c r="X230" s="3" t="str">
        <f>IFERROR(__xludf.DUMMYFUNCTION("split(B230,"" "")"),"A.")</f>
        <v>A.</v>
      </c>
      <c r="Y230" s="3" t="str">
        <f>IFERROR(__xludf.DUMMYFUNCTION("""COMPUTED_VALUE"""),"Mitchell")</f>
        <v>Mitchell</v>
      </c>
      <c r="AA230" s="3">
        <v>38.0</v>
      </c>
      <c r="AB230" s="3">
        <f t="shared" si="7"/>
        <v>1</v>
      </c>
      <c r="AC230" s="3">
        <f t="shared" si="8"/>
        <v>1</v>
      </c>
      <c r="AD230" s="3">
        <f t="shared" si="9"/>
        <v>0.9174311927</v>
      </c>
      <c r="AE230" s="3">
        <f t="shared" si="10"/>
        <v>0.9174311927</v>
      </c>
      <c r="AF230" s="3">
        <f t="shared" si="11"/>
        <v>1.834862385</v>
      </c>
      <c r="AG230" s="3">
        <f t="shared" si="12"/>
        <v>3</v>
      </c>
    </row>
    <row r="231">
      <c r="A231" s="1" t="s">
        <v>16</v>
      </c>
      <c r="B231" s="1" t="s">
        <v>586</v>
      </c>
      <c r="C231" s="1" t="s">
        <v>21</v>
      </c>
      <c r="D231" s="1" t="s">
        <v>71</v>
      </c>
      <c r="E231" s="1" t="s">
        <v>93</v>
      </c>
      <c r="F231" s="1" t="s">
        <v>576</v>
      </c>
      <c r="G231" s="1">
        <v>34.5</v>
      </c>
      <c r="H231" s="1" t="s">
        <v>60</v>
      </c>
      <c r="I231" s="1">
        <v>-123.0</v>
      </c>
      <c r="J231" s="1">
        <v>-0.0954155973156951</v>
      </c>
      <c r="K231" s="1" t="s">
        <v>61</v>
      </c>
      <c r="L231" s="1" t="s">
        <v>61</v>
      </c>
      <c r="M231" s="1" t="s">
        <v>62</v>
      </c>
      <c r="N231" s="1">
        <v>-108.0</v>
      </c>
      <c r="O231" s="1">
        <v>0.0246222412500001</v>
      </c>
      <c r="P231" s="1" t="s">
        <v>61</v>
      </c>
      <c r="Q231" s="1" t="s">
        <v>61</v>
      </c>
      <c r="R231" s="1">
        <f t="shared" si="1"/>
        <v>0.02462224125</v>
      </c>
      <c r="S231" s="1">
        <f t="shared" si="2"/>
        <v>-108</v>
      </c>
      <c r="T231" s="1">
        <f t="shared" si="3"/>
        <v>1.925925926</v>
      </c>
      <c r="U231" s="1">
        <f t="shared" si="4"/>
        <v>0</v>
      </c>
      <c r="V231" s="3">
        <f t="shared" si="5"/>
        <v>1</v>
      </c>
      <c r="W231" s="3">
        <f t="shared" si="6"/>
        <v>2</v>
      </c>
      <c r="X231" s="3" t="str">
        <f>IFERROR(__xludf.DUMMYFUNCTION("split(B231,"" "")"),"J.")</f>
        <v>J.</v>
      </c>
      <c r="Y231" s="3" t="str">
        <f>IFERROR(__xludf.DUMMYFUNCTION("""COMPUTED_VALUE"""),"Flacco")</f>
        <v>Flacco</v>
      </c>
      <c r="AA231" s="3">
        <v>44.0</v>
      </c>
      <c r="AB231" s="3">
        <f t="shared" si="7"/>
        <v>1</v>
      </c>
      <c r="AC231" s="3">
        <f t="shared" si="8"/>
        <v>0</v>
      </c>
      <c r="AD231" s="3">
        <f t="shared" si="9"/>
        <v>0.9259259259</v>
      </c>
      <c r="AE231" s="3">
        <f t="shared" si="10"/>
        <v>-1</v>
      </c>
      <c r="AF231" s="3">
        <f t="shared" si="11"/>
        <v>-2</v>
      </c>
      <c r="AG231" s="3">
        <f t="shared" si="12"/>
        <v>-0.2753623188</v>
      </c>
    </row>
    <row r="232">
      <c r="A232" s="1" t="s">
        <v>12</v>
      </c>
      <c r="B232" s="1" t="s">
        <v>391</v>
      </c>
      <c r="C232" s="1" t="s">
        <v>18</v>
      </c>
      <c r="D232" s="1" t="s">
        <v>71</v>
      </c>
      <c r="E232" s="1" t="s">
        <v>93</v>
      </c>
      <c r="F232" s="1" t="s">
        <v>576</v>
      </c>
      <c r="G232" s="1">
        <v>5.5</v>
      </c>
      <c r="H232" s="1" t="s">
        <v>60</v>
      </c>
      <c r="I232" s="1">
        <v>-134.0</v>
      </c>
      <c r="J232" s="1">
        <v>0.0204504273504272</v>
      </c>
      <c r="K232" s="1" t="s">
        <v>61</v>
      </c>
      <c r="L232" s="1" t="s">
        <v>61</v>
      </c>
      <c r="M232" s="1" t="s">
        <v>62</v>
      </c>
      <c r="N232" s="1">
        <v>101.0</v>
      </c>
      <c r="O232" s="1">
        <v>-0.0906124378109453</v>
      </c>
      <c r="P232" s="1" t="s">
        <v>61</v>
      </c>
      <c r="Q232" s="1" t="s">
        <v>61</v>
      </c>
      <c r="R232" s="1">
        <f t="shared" si="1"/>
        <v>0.02045042735</v>
      </c>
      <c r="S232" s="1">
        <f t="shared" si="2"/>
        <v>-134</v>
      </c>
      <c r="T232" s="1">
        <f t="shared" si="3"/>
        <v>1.746268657</v>
      </c>
      <c r="U232" s="1">
        <f t="shared" si="4"/>
        <v>1</v>
      </c>
      <c r="V232" s="3">
        <f t="shared" si="5"/>
        <v>1</v>
      </c>
      <c r="W232" s="3">
        <f t="shared" si="6"/>
        <v>3</v>
      </c>
      <c r="X232" s="3" t="str">
        <f>IFERROR(__xludf.DUMMYFUNCTION("split(B232,"" "")"),"M.")</f>
        <v>M.</v>
      </c>
      <c r="Y232" s="3" t="str">
        <f>IFERROR(__xludf.DUMMYFUNCTION("""COMPUTED_VALUE"""),"Pittman")</f>
        <v>Pittman</v>
      </c>
      <c r="Z232" s="3" t="str">
        <f>IFERROR(__xludf.DUMMYFUNCTION("""COMPUTED_VALUE"""),"Jr.")</f>
        <v>Jr.</v>
      </c>
      <c r="AA232" s="3">
        <v>5.0</v>
      </c>
      <c r="AB232" s="3">
        <f t="shared" si="7"/>
        <v>0</v>
      </c>
      <c r="AC232" s="3">
        <f t="shared" si="8"/>
        <v>0</v>
      </c>
      <c r="AD232" s="3">
        <f t="shared" si="9"/>
        <v>0.7462686567</v>
      </c>
      <c r="AE232" s="3">
        <f t="shared" si="10"/>
        <v>-1</v>
      </c>
      <c r="AF232" s="3">
        <f t="shared" si="11"/>
        <v>-3</v>
      </c>
      <c r="AG232" s="3">
        <f t="shared" si="12"/>
        <v>-0.09090909091</v>
      </c>
    </row>
    <row r="233">
      <c r="A233" s="1" t="s">
        <v>11</v>
      </c>
      <c r="B233" s="1" t="s">
        <v>539</v>
      </c>
      <c r="C233" s="1" t="s">
        <v>18</v>
      </c>
      <c r="D233" s="1" t="s">
        <v>71</v>
      </c>
      <c r="E233" s="1" t="s">
        <v>93</v>
      </c>
      <c r="F233" s="1" t="s">
        <v>576</v>
      </c>
      <c r="G233" s="1">
        <v>50.5</v>
      </c>
      <c r="H233" s="1" t="s">
        <v>60</v>
      </c>
      <c r="I233" s="1">
        <v>-118.0</v>
      </c>
      <c r="J233" s="1">
        <v>-0.0861931174670182</v>
      </c>
      <c r="K233" s="1" t="s">
        <v>61</v>
      </c>
      <c r="L233" s="1" t="s">
        <v>61</v>
      </c>
      <c r="M233" s="1" t="s">
        <v>62</v>
      </c>
      <c r="N233" s="1">
        <v>-111.0</v>
      </c>
      <c r="O233" s="1">
        <v>0.0188285752541991</v>
      </c>
      <c r="P233" s="1" t="s">
        <v>61</v>
      </c>
      <c r="Q233" s="1" t="s">
        <v>61</v>
      </c>
      <c r="R233" s="1">
        <f t="shared" si="1"/>
        <v>0.01882857525</v>
      </c>
      <c r="S233" s="1">
        <f t="shared" si="2"/>
        <v>-111</v>
      </c>
      <c r="T233" s="1">
        <f t="shared" si="3"/>
        <v>1.900900901</v>
      </c>
      <c r="U233" s="1">
        <f t="shared" si="4"/>
        <v>0</v>
      </c>
      <c r="V233" s="3">
        <f t="shared" si="5"/>
        <v>1</v>
      </c>
      <c r="W233" s="3">
        <f t="shared" si="6"/>
        <v>2</v>
      </c>
      <c r="X233" s="3" t="str">
        <f>IFERROR(__xludf.DUMMYFUNCTION("split(B233,"" "")"),"J.")</f>
        <v>J.</v>
      </c>
      <c r="Y233" s="3" t="str">
        <f>IFERROR(__xludf.DUMMYFUNCTION("""COMPUTED_VALUE"""),"Downs")</f>
        <v>Downs</v>
      </c>
      <c r="AA233" s="3">
        <v>69.0</v>
      </c>
      <c r="AB233" s="3">
        <f t="shared" si="7"/>
        <v>1</v>
      </c>
      <c r="AC233" s="3">
        <f t="shared" si="8"/>
        <v>0</v>
      </c>
      <c r="AD233" s="3">
        <f t="shared" si="9"/>
        <v>0.9009009009</v>
      </c>
      <c r="AE233" s="3">
        <f t="shared" si="10"/>
        <v>-1</v>
      </c>
      <c r="AF233" s="3">
        <f t="shared" si="11"/>
        <v>-2</v>
      </c>
      <c r="AG233" s="3">
        <f t="shared" si="12"/>
        <v>-0.3663366337</v>
      </c>
    </row>
    <row r="234">
      <c r="A234" s="1" t="s">
        <v>14</v>
      </c>
      <c r="B234" s="1" t="s">
        <v>200</v>
      </c>
      <c r="C234" s="1" t="s">
        <v>21</v>
      </c>
      <c r="D234" s="1" t="s">
        <v>71</v>
      </c>
      <c r="E234" s="1" t="s">
        <v>93</v>
      </c>
      <c r="F234" s="1" t="s">
        <v>576</v>
      </c>
      <c r="G234" s="1">
        <v>1.5</v>
      </c>
      <c r="H234" s="1" t="s">
        <v>60</v>
      </c>
      <c r="I234" s="1">
        <v>114.0</v>
      </c>
      <c r="J234" s="1">
        <v>-0.095796261682243</v>
      </c>
      <c r="K234" s="1" t="s">
        <v>61</v>
      </c>
      <c r="L234" s="1" t="s">
        <v>61</v>
      </c>
      <c r="M234" s="1" t="s">
        <v>62</v>
      </c>
      <c r="N234" s="1">
        <v>-157.0</v>
      </c>
      <c r="O234" s="1">
        <v>0.0176272373540855</v>
      </c>
      <c r="P234" s="1" t="s">
        <v>61</v>
      </c>
      <c r="Q234" s="1" t="s">
        <v>61</v>
      </c>
      <c r="R234" s="1">
        <f t="shared" si="1"/>
        <v>0.01762723735</v>
      </c>
      <c r="S234" s="1">
        <f t="shared" si="2"/>
        <v>-157</v>
      </c>
      <c r="T234" s="1">
        <f t="shared" si="3"/>
        <v>1.636942675</v>
      </c>
      <c r="U234" s="1">
        <f t="shared" si="4"/>
        <v>0</v>
      </c>
      <c r="V234" s="3">
        <f t="shared" si="5"/>
        <v>1</v>
      </c>
      <c r="W234" s="3">
        <f t="shared" si="6"/>
        <v>3</v>
      </c>
      <c r="X234" s="3" t="str">
        <f>IFERROR(__xludf.DUMMYFUNCTION("split(B234,"" "")"),"A.")</f>
        <v>A.</v>
      </c>
      <c r="Y234" s="3" t="str">
        <f>IFERROR(__xludf.DUMMYFUNCTION("""COMPUTED_VALUE"""),"Richardson")</f>
        <v>Richardson</v>
      </c>
      <c r="AA234" s="3">
        <v>0.0</v>
      </c>
      <c r="AB234" s="3">
        <f t="shared" si="7"/>
        <v>0</v>
      </c>
      <c r="AC234" s="3">
        <f t="shared" si="8"/>
        <v>1</v>
      </c>
      <c r="AD234" s="3">
        <f t="shared" si="9"/>
        <v>0.6369426752</v>
      </c>
      <c r="AE234" s="3">
        <f t="shared" si="10"/>
        <v>0.6369426752</v>
      </c>
      <c r="AF234" s="3">
        <f t="shared" si="11"/>
        <v>1.910828025</v>
      </c>
      <c r="AG234" s="3">
        <f t="shared" si="12"/>
        <v>1</v>
      </c>
    </row>
    <row r="235">
      <c r="A235" s="1" t="s">
        <v>11</v>
      </c>
      <c r="B235" s="1" t="s">
        <v>217</v>
      </c>
      <c r="C235" s="1" t="s">
        <v>18</v>
      </c>
      <c r="D235" s="1" t="s">
        <v>71</v>
      </c>
      <c r="E235" s="1" t="s">
        <v>93</v>
      </c>
      <c r="F235" s="1" t="s">
        <v>576</v>
      </c>
      <c r="G235" s="1">
        <v>25.5</v>
      </c>
      <c r="H235" s="1" t="s">
        <v>60</v>
      </c>
      <c r="I235" s="1">
        <v>-113.0</v>
      </c>
      <c r="J235" s="1">
        <v>-0.082927550516108</v>
      </c>
      <c r="K235" s="1" t="s">
        <v>61</v>
      </c>
      <c r="L235" s="1" t="s">
        <v>61</v>
      </c>
      <c r="M235" s="1" t="s">
        <v>62</v>
      </c>
      <c r="N235" s="1">
        <v>-115.0</v>
      </c>
      <c r="O235" s="1">
        <v>0.0175568069717239</v>
      </c>
      <c r="P235" s="1" t="s">
        <v>61</v>
      </c>
      <c r="Q235" s="1" t="s">
        <v>61</v>
      </c>
      <c r="R235" s="1">
        <f t="shared" si="1"/>
        <v>0.01755680697</v>
      </c>
      <c r="S235" s="1">
        <f t="shared" si="2"/>
        <v>-115</v>
      </c>
      <c r="T235" s="1">
        <f t="shared" si="3"/>
        <v>1.869565217</v>
      </c>
      <c r="U235" s="1">
        <f t="shared" si="4"/>
        <v>0</v>
      </c>
      <c r="V235" s="3">
        <f t="shared" si="5"/>
        <v>1</v>
      </c>
      <c r="W235" s="3">
        <f t="shared" si="6"/>
        <v>2</v>
      </c>
      <c r="X235" s="3" t="str">
        <f>IFERROR(__xludf.DUMMYFUNCTION("split(B235,"" "")"),"A.")</f>
        <v>A.</v>
      </c>
      <c r="Y235" s="3" t="str">
        <f>IFERROR(__xludf.DUMMYFUNCTION("""COMPUTED_VALUE"""),"Pierce")</f>
        <v>Pierce</v>
      </c>
      <c r="AA235" s="3">
        <v>134.0</v>
      </c>
      <c r="AB235" s="3">
        <f t="shared" si="7"/>
        <v>1</v>
      </c>
      <c r="AC235" s="3">
        <f t="shared" si="8"/>
        <v>0</v>
      </c>
      <c r="AD235" s="3">
        <f t="shared" si="9"/>
        <v>0.8695652174</v>
      </c>
      <c r="AE235" s="3">
        <f t="shared" si="10"/>
        <v>-1</v>
      </c>
      <c r="AF235" s="3">
        <f t="shared" si="11"/>
        <v>-2</v>
      </c>
      <c r="AG235" s="3">
        <f t="shared" si="12"/>
        <v>-4.254901961</v>
      </c>
    </row>
    <row r="236">
      <c r="A236" s="1" t="s">
        <v>11</v>
      </c>
      <c r="B236" s="1" t="s">
        <v>70</v>
      </c>
      <c r="C236" s="1" t="s">
        <v>20</v>
      </c>
      <c r="D236" s="1" t="s">
        <v>71</v>
      </c>
      <c r="E236" s="1" t="s">
        <v>93</v>
      </c>
      <c r="F236" s="1" t="s">
        <v>576</v>
      </c>
      <c r="G236" s="1">
        <v>9.5</v>
      </c>
      <c r="H236" s="1" t="s">
        <v>60</v>
      </c>
      <c r="I236" s="1">
        <v>-112.0</v>
      </c>
      <c r="J236" s="1">
        <v>0.0173855788391191</v>
      </c>
      <c r="K236" s="1" t="s">
        <v>61</v>
      </c>
      <c r="L236" s="1" t="s">
        <v>61</v>
      </c>
      <c r="M236" s="1" t="s">
        <v>62</v>
      </c>
      <c r="N236" s="1">
        <v>-113.0</v>
      </c>
      <c r="O236" s="1">
        <v>-0.076189865101875</v>
      </c>
      <c r="P236" s="1" t="s">
        <v>61</v>
      </c>
      <c r="Q236" s="1" t="s">
        <v>61</v>
      </c>
      <c r="R236" s="1">
        <f t="shared" si="1"/>
        <v>0.01738557884</v>
      </c>
      <c r="S236" s="1">
        <f t="shared" si="2"/>
        <v>-112</v>
      </c>
      <c r="T236" s="1">
        <f t="shared" si="3"/>
        <v>1.892857143</v>
      </c>
      <c r="U236" s="1">
        <f t="shared" si="4"/>
        <v>1</v>
      </c>
      <c r="V236" s="3">
        <f t="shared" si="5"/>
        <v>1</v>
      </c>
      <c r="W236" s="3">
        <f t="shared" si="6"/>
        <v>2</v>
      </c>
      <c r="X236" s="3" t="str">
        <f>IFERROR(__xludf.DUMMYFUNCTION("split(B236,"" "")"),"K.")</f>
        <v>K.</v>
      </c>
      <c r="Y236" s="3" t="str">
        <f>IFERROR(__xludf.DUMMYFUNCTION("""COMPUTED_VALUE"""),"Granson")</f>
        <v>Granson</v>
      </c>
      <c r="AA236" s="3">
        <v>0.0</v>
      </c>
      <c r="AB236" s="3">
        <f t="shared" si="7"/>
        <v>0</v>
      </c>
      <c r="AC236" s="3">
        <f t="shared" si="8"/>
        <v>0</v>
      </c>
      <c r="AD236" s="3">
        <f t="shared" si="9"/>
        <v>0.8928571429</v>
      </c>
      <c r="AE236" s="3">
        <f t="shared" si="10"/>
        <v>-1</v>
      </c>
      <c r="AF236" s="3">
        <f t="shared" si="11"/>
        <v>-2</v>
      </c>
      <c r="AG236" s="3">
        <f t="shared" si="12"/>
        <v>-1</v>
      </c>
    </row>
    <row r="237">
      <c r="A237" s="1" t="s">
        <v>12</v>
      </c>
      <c r="B237" s="1" t="s">
        <v>70</v>
      </c>
      <c r="C237" s="1" t="s">
        <v>20</v>
      </c>
      <c r="D237" s="1" t="s">
        <v>71</v>
      </c>
      <c r="E237" s="1" t="s">
        <v>93</v>
      </c>
      <c r="F237" s="1" t="s">
        <v>576</v>
      </c>
      <c r="G237" s="1">
        <v>1.5</v>
      </c>
      <c r="H237" s="1" t="s">
        <v>60</v>
      </c>
      <c r="I237" s="1">
        <v>146.0</v>
      </c>
      <c r="J237" s="1">
        <v>-0.0781854947843089</v>
      </c>
      <c r="K237" s="1" t="s">
        <v>61</v>
      </c>
      <c r="L237" s="1" t="s">
        <v>61</v>
      </c>
      <c r="M237" s="1" t="s">
        <v>62</v>
      </c>
      <c r="N237" s="1">
        <v>-193.0</v>
      </c>
      <c r="O237" s="1">
        <v>0.0129763177654267</v>
      </c>
      <c r="P237" s="1" t="s">
        <v>61</v>
      </c>
      <c r="Q237" s="1" t="s">
        <v>61</v>
      </c>
      <c r="R237" s="1">
        <f t="shared" si="1"/>
        <v>0.01297631777</v>
      </c>
      <c r="S237" s="1">
        <f t="shared" si="2"/>
        <v>-193</v>
      </c>
      <c r="T237" s="1">
        <f t="shared" si="3"/>
        <v>1.518134715</v>
      </c>
      <c r="U237" s="1">
        <f t="shared" si="4"/>
        <v>0</v>
      </c>
      <c r="V237" s="3">
        <f t="shared" si="5"/>
        <v>1</v>
      </c>
      <c r="W237" s="3">
        <f t="shared" si="6"/>
        <v>3</v>
      </c>
      <c r="X237" s="3" t="str">
        <f>IFERROR(__xludf.DUMMYFUNCTION("split(B237,"" "")"),"K.")</f>
        <v>K.</v>
      </c>
      <c r="Y237" s="3" t="str">
        <f>IFERROR(__xludf.DUMMYFUNCTION("""COMPUTED_VALUE"""),"Granson")</f>
        <v>Granson</v>
      </c>
      <c r="AA237" s="3">
        <v>0.0</v>
      </c>
      <c r="AB237" s="3">
        <f t="shared" si="7"/>
        <v>0</v>
      </c>
      <c r="AC237" s="3">
        <f t="shared" si="8"/>
        <v>1</v>
      </c>
      <c r="AD237" s="3">
        <f t="shared" si="9"/>
        <v>0.518134715</v>
      </c>
      <c r="AE237" s="3">
        <f t="shared" si="10"/>
        <v>0.518134715</v>
      </c>
      <c r="AF237" s="3">
        <f t="shared" si="11"/>
        <v>1.554404145</v>
      </c>
      <c r="AG237" s="3">
        <f t="shared" si="12"/>
        <v>1</v>
      </c>
    </row>
    <row r="238">
      <c r="A238" s="1" t="s">
        <v>11</v>
      </c>
      <c r="B238" s="1" t="s">
        <v>540</v>
      </c>
      <c r="C238" s="1" t="s">
        <v>19</v>
      </c>
      <c r="D238" s="1" t="s">
        <v>71</v>
      </c>
      <c r="E238" s="1" t="s">
        <v>93</v>
      </c>
      <c r="F238" s="1" t="s">
        <v>576</v>
      </c>
      <c r="G238" s="1">
        <v>10.5</v>
      </c>
      <c r="H238" s="1" t="s">
        <v>60</v>
      </c>
      <c r="I238" s="1">
        <v>-108.0</v>
      </c>
      <c r="J238" s="1">
        <v>0.0128112262094354</v>
      </c>
      <c r="K238" s="1" t="s">
        <v>61</v>
      </c>
      <c r="L238" s="1" t="s">
        <v>61</v>
      </c>
      <c r="M238" s="1" t="s">
        <v>62</v>
      </c>
      <c r="N238" s="1">
        <v>-118.0</v>
      </c>
      <c r="O238" s="1">
        <v>-0.0733065108295587</v>
      </c>
      <c r="P238" s="1" t="s">
        <v>61</v>
      </c>
      <c r="Q238" s="1" t="s">
        <v>61</v>
      </c>
      <c r="R238" s="1">
        <f t="shared" si="1"/>
        <v>0.01281122621</v>
      </c>
      <c r="S238" s="1">
        <f t="shared" si="2"/>
        <v>-108</v>
      </c>
      <c r="T238" s="1">
        <f t="shared" si="3"/>
        <v>1.925925926</v>
      </c>
      <c r="U238" s="1">
        <f t="shared" si="4"/>
        <v>1</v>
      </c>
      <c r="V238" s="3">
        <f t="shared" si="5"/>
        <v>1</v>
      </c>
      <c r="W238" s="3">
        <f t="shared" si="6"/>
        <v>2</v>
      </c>
      <c r="X238" s="3" t="str">
        <f>IFERROR(__xludf.DUMMYFUNCTION("split(B238,"" "")"),"T.")</f>
        <v>T.</v>
      </c>
      <c r="Y238" s="3" t="str">
        <f>IFERROR(__xludf.DUMMYFUNCTION("""COMPUTED_VALUE"""),"Sermon")</f>
        <v>Sermon</v>
      </c>
      <c r="AA238" s="3">
        <v>25.0</v>
      </c>
      <c r="AB238" s="3">
        <f t="shared" si="7"/>
        <v>1</v>
      </c>
      <c r="AC238" s="3">
        <f t="shared" si="8"/>
        <v>1</v>
      </c>
      <c r="AD238" s="3">
        <f t="shared" si="9"/>
        <v>0.9259259259</v>
      </c>
      <c r="AE238" s="3">
        <f t="shared" si="10"/>
        <v>0.9259259259</v>
      </c>
      <c r="AF238" s="3">
        <f t="shared" si="11"/>
        <v>1.851851852</v>
      </c>
      <c r="AG238" s="3">
        <f t="shared" si="12"/>
        <v>1.380952381</v>
      </c>
    </row>
    <row r="239">
      <c r="A239" s="1" t="s">
        <v>13</v>
      </c>
      <c r="B239" s="1" t="s">
        <v>586</v>
      </c>
      <c r="C239" s="1" t="s">
        <v>21</v>
      </c>
      <c r="D239" s="1" t="s">
        <v>71</v>
      </c>
      <c r="E239" s="1" t="s">
        <v>93</v>
      </c>
      <c r="F239" s="1" t="s">
        <v>576</v>
      </c>
      <c r="G239" s="1">
        <v>236.5</v>
      </c>
      <c r="H239" s="1" t="s">
        <v>60</v>
      </c>
      <c r="I239" s="1">
        <v>-112.0</v>
      </c>
      <c r="J239" s="1">
        <v>-0.0672716981132076</v>
      </c>
      <c r="K239" s="1" t="s">
        <v>61</v>
      </c>
      <c r="L239" s="1" t="s">
        <v>61</v>
      </c>
      <c r="M239" s="1" t="s">
        <v>62</v>
      </c>
      <c r="N239" s="1">
        <v>-112.0</v>
      </c>
      <c r="O239" s="1">
        <v>0.0106283018867925</v>
      </c>
      <c r="P239" s="1" t="s">
        <v>61</v>
      </c>
      <c r="Q239" s="1" t="s">
        <v>61</v>
      </c>
      <c r="R239" s="1">
        <f t="shared" si="1"/>
        <v>0.01062830189</v>
      </c>
      <c r="S239" s="1">
        <f t="shared" si="2"/>
        <v>-112</v>
      </c>
      <c r="T239" s="1">
        <f t="shared" si="3"/>
        <v>1.892857143</v>
      </c>
      <c r="U239" s="1">
        <f t="shared" si="4"/>
        <v>0</v>
      </c>
      <c r="V239" s="3">
        <f t="shared" si="5"/>
        <v>1</v>
      </c>
      <c r="W239" s="3">
        <f t="shared" si="6"/>
        <v>2</v>
      </c>
      <c r="X239" s="3" t="str">
        <f>IFERROR(__xludf.DUMMYFUNCTION("split(B239,"" "")"),"J.")</f>
        <v>J.</v>
      </c>
      <c r="Y239" s="3" t="str">
        <f>IFERROR(__xludf.DUMMYFUNCTION("""COMPUTED_VALUE"""),"Flacco")</f>
        <v>Flacco</v>
      </c>
      <c r="AA239" s="3">
        <v>359.0</v>
      </c>
      <c r="AB239" s="3">
        <f t="shared" si="7"/>
        <v>1</v>
      </c>
      <c r="AC239" s="3">
        <f t="shared" si="8"/>
        <v>0</v>
      </c>
      <c r="AD239" s="3">
        <f t="shared" si="9"/>
        <v>0.8928571429</v>
      </c>
      <c r="AE239" s="3">
        <f t="shared" si="10"/>
        <v>-1</v>
      </c>
      <c r="AF239" s="3">
        <f t="shared" si="11"/>
        <v>-2</v>
      </c>
      <c r="AG239" s="3">
        <f t="shared" si="12"/>
        <v>-0.5179704017</v>
      </c>
    </row>
    <row r="240">
      <c r="A240" s="1" t="s">
        <v>12</v>
      </c>
      <c r="B240" s="1" t="s">
        <v>92</v>
      </c>
      <c r="C240" s="1" t="s">
        <v>19</v>
      </c>
      <c r="D240" s="1" t="s">
        <v>93</v>
      </c>
      <c r="E240" s="1" t="s">
        <v>71</v>
      </c>
      <c r="F240" s="1" t="s">
        <v>576</v>
      </c>
      <c r="G240" s="1">
        <v>2.5</v>
      </c>
      <c r="H240" s="1" t="s">
        <v>60</v>
      </c>
      <c r="I240" s="1">
        <v>-150.0</v>
      </c>
      <c r="J240" s="1">
        <v>-0.26539867148</v>
      </c>
      <c r="K240" s="1" t="s">
        <v>61</v>
      </c>
      <c r="L240" s="1" t="s">
        <v>61</v>
      </c>
      <c r="M240" s="1" t="s">
        <v>62</v>
      </c>
      <c r="N240" s="1">
        <v>113.0</v>
      </c>
      <c r="O240" s="1">
        <v>0.195914872629108</v>
      </c>
      <c r="P240" s="1" t="s">
        <v>61</v>
      </c>
      <c r="Q240" s="1" t="s">
        <v>61</v>
      </c>
      <c r="R240" s="1">
        <f t="shared" si="1"/>
        <v>0.1959148726</v>
      </c>
      <c r="S240" s="1">
        <f t="shared" si="2"/>
        <v>113</v>
      </c>
      <c r="T240" s="1">
        <f t="shared" si="3"/>
        <v>2.13</v>
      </c>
      <c r="U240" s="1">
        <f t="shared" si="4"/>
        <v>0</v>
      </c>
      <c r="V240" s="3">
        <f t="shared" si="5"/>
        <v>3</v>
      </c>
      <c r="W240" s="3">
        <f t="shared" si="6"/>
        <v>1</v>
      </c>
      <c r="X240" s="3" t="str">
        <f>IFERROR(__xludf.DUMMYFUNCTION("split(B240,"" "")"),"T.")</f>
        <v>T.</v>
      </c>
      <c r="Y240" s="3" t="str">
        <f>IFERROR(__xludf.DUMMYFUNCTION("""COMPUTED_VALUE"""),"Etienne")</f>
        <v>Etienne</v>
      </c>
      <c r="Z240" s="3" t="str">
        <f>IFERROR(__xludf.DUMMYFUNCTION("""COMPUTED_VALUE"""),"Jr.")</f>
        <v>Jr.</v>
      </c>
      <c r="AA240" s="3">
        <v>6.0</v>
      </c>
      <c r="AB240" s="3">
        <f t="shared" si="7"/>
        <v>1</v>
      </c>
      <c r="AC240" s="3">
        <f t="shared" si="8"/>
        <v>0</v>
      </c>
      <c r="AD240" s="3">
        <f t="shared" si="9"/>
        <v>3.39</v>
      </c>
      <c r="AE240" s="3">
        <f t="shared" si="10"/>
        <v>-3</v>
      </c>
      <c r="AF240" s="3">
        <f t="shared" si="11"/>
        <v>-1</v>
      </c>
      <c r="AG240" s="3">
        <f t="shared" si="12"/>
        <v>-1.4</v>
      </c>
    </row>
    <row r="241">
      <c r="A241" s="1" t="s">
        <v>12</v>
      </c>
      <c r="B241" s="1" t="s">
        <v>467</v>
      </c>
      <c r="C241" s="1" t="s">
        <v>18</v>
      </c>
      <c r="D241" s="1" t="s">
        <v>93</v>
      </c>
      <c r="E241" s="1" t="s">
        <v>71</v>
      </c>
      <c r="F241" s="1" t="s">
        <v>576</v>
      </c>
      <c r="G241" s="1">
        <v>2.5</v>
      </c>
      <c r="H241" s="1" t="s">
        <v>60</v>
      </c>
      <c r="I241" s="1">
        <v>-151.0</v>
      </c>
      <c r="J241" s="1">
        <v>-0.241131706055776</v>
      </c>
      <c r="K241" s="1" t="s">
        <v>61</v>
      </c>
      <c r="L241" s="1" t="s">
        <v>61</v>
      </c>
      <c r="M241" s="1" t="s">
        <v>62</v>
      </c>
      <c r="N241" s="1">
        <v>115.0</v>
      </c>
      <c r="O241" s="1">
        <v>0.174428177767441</v>
      </c>
      <c r="P241" s="1" t="s">
        <v>61</v>
      </c>
      <c r="Q241" s="1" t="s">
        <v>61</v>
      </c>
      <c r="R241" s="1">
        <f t="shared" si="1"/>
        <v>0.1744281778</v>
      </c>
      <c r="S241" s="1">
        <f t="shared" si="2"/>
        <v>115</v>
      </c>
      <c r="T241" s="1">
        <f t="shared" si="3"/>
        <v>2.15</v>
      </c>
      <c r="U241" s="1">
        <f t="shared" si="4"/>
        <v>0</v>
      </c>
      <c r="V241" s="3">
        <f t="shared" si="5"/>
        <v>3</v>
      </c>
      <c r="W241" s="3">
        <f t="shared" si="6"/>
        <v>1</v>
      </c>
      <c r="X241" s="3" t="str">
        <f>IFERROR(__xludf.DUMMYFUNCTION("split(B241,"" "")"),"G.")</f>
        <v>G.</v>
      </c>
      <c r="Y241" s="3" t="str">
        <f>IFERROR(__xludf.DUMMYFUNCTION("""COMPUTED_VALUE"""),"Davis")</f>
        <v>Davis</v>
      </c>
      <c r="AA241" s="3">
        <v>3.0</v>
      </c>
      <c r="AB241" s="3">
        <f t="shared" si="7"/>
        <v>1</v>
      </c>
      <c r="AC241" s="3">
        <f t="shared" si="8"/>
        <v>0</v>
      </c>
      <c r="AD241" s="3">
        <f t="shared" si="9"/>
        <v>3.45</v>
      </c>
      <c r="AE241" s="3">
        <f t="shared" si="10"/>
        <v>-3</v>
      </c>
      <c r="AF241" s="3">
        <f t="shared" si="11"/>
        <v>-1</v>
      </c>
      <c r="AG241" s="3">
        <f t="shared" si="12"/>
        <v>-0.2</v>
      </c>
    </row>
    <row r="242">
      <c r="A242" s="1" t="s">
        <v>8</v>
      </c>
      <c r="B242" s="1" t="s">
        <v>119</v>
      </c>
      <c r="C242" s="1" t="s">
        <v>21</v>
      </c>
      <c r="D242" s="1" t="s">
        <v>93</v>
      </c>
      <c r="E242" s="1" t="s">
        <v>71</v>
      </c>
      <c r="F242" s="1" t="s">
        <v>576</v>
      </c>
      <c r="G242" s="1">
        <v>3.5</v>
      </c>
      <c r="H242" s="1" t="s">
        <v>60</v>
      </c>
      <c r="I242" s="1">
        <v>-106.0</v>
      </c>
      <c r="J242" s="1">
        <v>-0.201306907092085</v>
      </c>
      <c r="K242" s="1" t="s">
        <v>61</v>
      </c>
      <c r="L242" s="1" t="s">
        <v>61</v>
      </c>
      <c r="M242" s="1" t="s">
        <v>62</v>
      </c>
      <c r="N242" s="1">
        <v>-128.0</v>
      </c>
      <c r="O242" s="1">
        <v>0.125347145886144</v>
      </c>
      <c r="P242" s="1" t="s">
        <v>61</v>
      </c>
      <c r="Q242" s="1" t="s">
        <v>61</v>
      </c>
      <c r="R242" s="1">
        <f t="shared" si="1"/>
        <v>0.1253471459</v>
      </c>
      <c r="S242" s="1">
        <f t="shared" si="2"/>
        <v>-128</v>
      </c>
      <c r="T242" s="1">
        <f t="shared" si="3"/>
        <v>1.78125</v>
      </c>
      <c r="U242" s="1">
        <f t="shared" si="4"/>
        <v>0</v>
      </c>
      <c r="V242" s="3">
        <f t="shared" si="5"/>
        <v>3</v>
      </c>
      <c r="W242" s="3">
        <f t="shared" si="6"/>
        <v>3</v>
      </c>
      <c r="X242" s="3" t="str">
        <f>IFERROR(__xludf.DUMMYFUNCTION("split(B242,"" "")"),"T.")</f>
        <v>T.</v>
      </c>
      <c r="Y242" s="3" t="str">
        <f>IFERROR(__xludf.DUMMYFUNCTION("""COMPUTED_VALUE"""),"Lawrence")</f>
        <v>Lawrence</v>
      </c>
      <c r="AA242" s="3">
        <v>2.0</v>
      </c>
      <c r="AB242" s="3">
        <f t="shared" si="7"/>
        <v>0</v>
      </c>
      <c r="AC242" s="3">
        <f t="shared" si="8"/>
        <v>1</v>
      </c>
      <c r="AD242" s="3">
        <f t="shared" si="9"/>
        <v>2.34375</v>
      </c>
      <c r="AE242" s="3">
        <f t="shared" si="10"/>
        <v>2.34375</v>
      </c>
      <c r="AF242" s="3">
        <f t="shared" si="11"/>
        <v>2.34375</v>
      </c>
      <c r="AG242" s="3">
        <f t="shared" si="12"/>
        <v>0.4285714286</v>
      </c>
    </row>
    <row r="243">
      <c r="A243" s="1" t="s">
        <v>11</v>
      </c>
      <c r="B243" s="1" t="s">
        <v>587</v>
      </c>
      <c r="C243" s="1" t="s">
        <v>20</v>
      </c>
      <c r="D243" s="1" t="s">
        <v>93</v>
      </c>
      <c r="E243" s="1" t="s">
        <v>71</v>
      </c>
      <c r="F243" s="1" t="s">
        <v>576</v>
      </c>
      <c r="G243" s="1">
        <v>5.5</v>
      </c>
      <c r="H243" s="1" t="s">
        <v>60</v>
      </c>
      <c r="I243" s="1">
        <v>-108.0</v>
      </c>
      <c r="J243" s="1">
        <v>0.112904129470328</v>
      </c>
      <c r="K243" s="1" t="s">
        <v>61</v>
      </c>
      <c r="L243" s="1" t="s">
        <v>61</v>
      </c>
      <c r="M243" s="1" t="s">
        <v>62</v>
      </c>
      <c r="N243" s="1">
        <v>-118.0</v>
      </c>
      <c r="O243" s="1">
        <v>-0.173411107968795</v>
      </c>
      <c r="P243" s="1" t="s">
        <v>61</v>
      </c>
      <c r="Q243" s="1" t="s">
        <v>61</v>
      </c>
      <c r="R243" s="1">
        <f t="shared" si="1"/>
        <v>0.1129041295</v>
      </c>
      <c r="S243" s="1">
        <f t="shared" si="2"/>
        <v>-108</v>
      </c>
      <c r="T243" s="1">
        <f t="shared" si="3"/>
        <v>1.925925926</v>
      </c>
      <c r="U243" s="1">
        <f t="shared" si="4"/>
        <v>1</v>
      </c>
      <c r="V243" s="3">
        <f t="shared" si="5"/>
        <v>3</v>
      </c>
      <c r="W243" s="3">
        <f t="shared" si="6"/>
        <v>2</v>
      </c>
      <c r="X243" s="3" t="str">
        <f>IFERROR(__xludf.DUMMYFUNCTION("split(B243,"" "")"),"L.")</f>
        <v>L.</v>
      </c>
      <c r="Y243" s="3" t="str">
        <f>IFERROR(__xludf.DUMMYFUNCTION("""COMPUTED_VALUE"""),"Farrell")</f>
        <v>Farrell</v>
      </c>
      <c r="AA243" s="3">
        <v>17.0</v>
      </c>
      <c r="AB243" s="3">
        <f t="shared" si="7"/>
        <v>1</v>
      </c>
      <c r="AC243" s="3">
        <f t="shared" si="8"/>
        <v>1</v>
      </c>
      <c r="AD243" s="3">
        <f t="shared" si="9"/>
        <v>2.777777778</v>
      </c>
      <c r="AE243" s="3">
        <f t="shared" si="10"/>
        <v>2.777777778</v>
      </c>
      <c r="AF243" s="3">
        <f t="shared" si="11"/>
        <v>1.851851852</v>
      </c>
      <c r="AG243" s="3">
        <f t="shared" si="12"/>
        <v>2.090909091</v>
      </c>
    </row>
    <row r="244">
      <c r="A244" s="1" t="s">
        <v>12</v>
      </c>
      <c r="B244" s="1" t="s">
        <v>541</v>
      </c>
      <c r="C244" s="1" t="s">
        <v>20</v>
      </c>
      <c r="D244" s="1" t="s">
        <v>93</v>
      </c>
      <c r="E244" s="1" t="s">
        <v>71</v>
      </c>
      <c r="F244" s="1" t="s">
        <v>576</v>
      </c>
      <c r="G244" s="1">
        <v>2.5</v>
      </c>
      <c r="H244" s="1" t="s">
        <v>60</v>
      </c>
      <c r="I244" s="1">
        <v>-149.0</v>
      </c>
      <c r="J244" s="1">
        <v>-0.176830438674698</v>
      </c>
      <c r="K244" s="1" t="s">
        <v>61</v>
      </c>
      <c r="L244" s="1" t="s">
        <v>61</v>
      </c>
      <c r="M244" s="1" t="s">
        <v>62</v>
      </c>
      <c r="N244" s="1">
        <v>113.0</v>
      </c>
      <c r="O244" s="1">
        <v>0.108959526901408</v>
      </c>
      <c r="P244" s="1" t="s">
        <v>61</v>
      </c>
      <c r="Q244" s="1" t="s">
        <v>61</v>
      </c>
      <c r="R244" s="1">
        <f t="shared" si="1"/>
        <v>0.1089595269</v>
      </c>
      <c r="S244" s="1">
        <f t="shared" si="2"/>
        <v>113</v>
      </c>
      <c r="T244" s="1">
        <f t="shared" si="3"/>
        <v>2.13</v>
      </c>
      <c r="U244" s="1">
        <f t="shared" si="4"/>
        <v>0</v>
      </c>
      <c r="V244" s="3">
        <f t="shared" si="5"/>
        <v>3</v>
      </c>
      <c r="W244" s="3">
        <f t="shared" si="6"/>
        <v>1</v>
      </c>
      <c r="X244" s="3" t="str">
        <f>IFERROR(__xludf.DUMMYFUNCTION("split(B244,"" "")"),"B.")</f>
        <v>B.</v>
      </c>
      <c r="Y244" s="3" t="str">
        <f>IFERROR(__xludf.DUMMYFUNCTION("""COMPUTED_VALUE"""),"Strange")</f>
        <v>Strange</v>
      </c>
      <c r="AA244" s="3">
        <v>4.0</v>
      </c>
      <c r="AB244" s="3">
        <f t="shared" si="7"/>
        <v>1</v>
      </c>
      <c r="AC244" s="3">
        <f t="shared" si="8"/>
        <v>0</v>
      </c>
      <c r="AD244" s="3">
        <f t="shared" si="9"/>
        <v>3.39</v>
      </c>
      <c r="AE244" s="3">
        <f t="shared" si="10"/>
        <v>-3</v>
      </c>
      <c r="AF244" s="3">
        <f t="shared" si="11"/>
        <v>-1</v>
      </c>
      <c r="AG244" s="3">
        <f t="shared" si="12"/>
        <v>-0.6</v>
      </c>
    </row>
    <row r="245">
      <c r="A245" s="1" t="s">
        <v>8</v>
      </c>
      <c r="B245" s="1" t="s">
        <v>92</v>
      </c>
      <c r="C245" s="1" t="s">
        <v>19</v>
      </c>
      <c r="D245" s="1" t="s">
        <v>93</v>
      </c>
      <c r="E245" s="1" t="s">
        <v>71</v>
      </c>
      <c r="F245" s="1" t="s">
        <v>576</v>
      </c>
      <c r="G245" s="1">
        <v>12.5</v>
      </c>
      <c r="H245" s="1" t="s">
        <v>60</v>
      </c>
      <c r="I245" s="1">
        <v>-151.0</v>
      </c>
      <c r="J245" s="1">
        <v>-0.176113197427091</v>
      </c>
      <c r="K245" s="1" t="s">
        <v>61</v>
      </c>
      <c r="L245" s="1" t="s">
        <v>61</v>
      </c>
      <c r="M245" s="1" t="s">
        <v>62</v>
      </c>
      <c r="N245" s="1">
        <v>113.0</v>
      </c>
      <c r="O245" s="1">
        <v>0.105021655184037</v>
      </c>
      <c r="P245" s="1" t="s">
        <v>61</v>
      </c>
      <c r="Q245" s="1" t="s">
        <v>61</v>
      </c>
      <c r="R245" s="1">
        <f t="shared" si="1"/>
        <v>0.1050216552</v>
      </c>
      <c r="S245" s="1">
        <f t="shared" si="2"/>
        <v>113</v>
      </c>
      <c r="T245" s="1">
        <f t="shared" si="3"/>
        <v>2.13</v>
      </c>
      <c r="U245" s="1">
        <f t="shared" si="4"/>
        <v>0</v>
      </c>
      <c r="V245" s="3">
        <f t="shared" si="5"/>
        <v>3</v>
      </c>
      <c r="W245" s="3">
        <f t="shared" si="6"/>
        <v>1</v>
      </c>
      <c r="X245" s="3" t="str">
        <f>IFERROR(__xludf.DUMMYFUNCTION("split(B245,"" "")"),"T.")</f>
        <v>T.</v>
      </c>
      <c r="Y245" s="3" t="str">
        <f>IFERROR(__xludf.DUMMYFUNCTION("""COMPUTED_VALUE"""),"Etienne")</f>
        <v>Etienne</v>
      </c>
      <c r="Z245" s="3" t="str">
        <f>IFERROR(__xludf.DUMMYFUNCTION("""COMPUTED_VALUE"""),"Jr.")</f>
        <v>Jr.</v>
      </c>
      <c r="AA245" s="3">
        <v>6.0</v>
      </c>
      <c r="AB245" s="3">
        <f t="shared" si="7"/>
        <v>0</v>
      </c>
      <c r="AC245" s="3">
        <f t="shared" si="8"/>
        <v>1</v>
      </c>
      <c r="AD245" s="3">
        <f t="shared" si="9"/>
        <v>3.39</v>
      </c>
      <c r="AE245" s="3">
        <f t="shared" si="10"/>
        <v>3.39</v>
      </c>
      <c r="AF245" s="3">
        <f t="shared" si="11"/>
        <v>1.13</v>
      </c>
      <c r="AG245" s="3">
        <f t="shared" si="12"/>
        <v>0.52</v>
      </c>
    </row>
    <row r="246">
      <c r="A246" s="1" t="s">
        <v>12</v>
      </c>
      <c r="B246" s="1" t="s">
        <v>121</v>
      </c>
      <c r="C246" s="1" t="s">
        <v>18</v>
      </c>
      <c r="D246" s="1" t="s">
        <v>93</v>
      </c>
      <c r="E246" s="1" t="s">
        <v>71</v>
      </c>
      <c r="F246" s="1" t="s">
        <v>576</v>
      </c>
      <c r="G246" s="1">
        <v>4.5</v>
      </c>
      <c r="H246" s="1" t="s">
        <v>60</v>
      </c>
      <c r="I246" s="1">
        <v>-120.0</v>
      </c>
      <c r="J246" s="1">
        <v>-0.1482</v>
      </c>
      <c r="K246" s="1" t="s">
        <v>61</v>
      </c>
      <c r="L246" s="1" t="s">
        <v>61</v>
      </c>
      <c r="M246" s="1" t="s">
        <v>62</v>
      </c>
      <c r="N246" s="1">
        <v>-111.0</v>
      </c>
      <c r="O246" s="1">
        <v>0.0766862559241706</v>
      </c>
      <c r="P246" s="1" t="s">
        <v>61</v>
      </c>
      <c r="Q246" s="1" t="s">
        <v>61</v>
      </c>
      <c r="R246" s="1">
        <f t="shared" si="1"/>
        <v>0.07668625592</v>
      </c>
      <c r="S246" s="1">
        <f t="shared" si="2"/>
        <v>-111</v>
      </c>
      <c r="T246" s="1">
        <f t="shared" si="3"/>
        <v>1.900900901</v>
      </c>
      <c r="U246" s="1">
        <f t="shared" si="4"/>
        <v>0</v>
      </c>
      <c r="V246" s="3">
        <f t="shared" si="5"/>
        <v>2</v>
      </c>
      <c r="W246" s="3">
        <f t="shared" si="6"/>
        <v>2</v>
      </c>
      <c r="X246" s="3" t="str">
        <f>IFERROR(__xludf.DUMMYFUNCTION("split(B246,"" "")"),"C.")</f>
        <v>C.</v>
      </c>
      <c r="Y246" s="3" t="str">
        <f>IFERROR(__xludf.DUMMYFUNCTION("""COMPUTED_VALUE"""),"Kirk")</f>
        <v>Kirk</v>
      </c>
      <c r="AA246" s="3">
        <v>4.0</v>
      </c>
      <c r="AB246" s="3">
        <f t="shared" si="7"/>
        <v>0</v>
      </c>
      <c r="AC246" s="3">
        <f t="shared" si="8"/>
        <v>1</v>
      </c>
      <c r="AD246" s="3">
        <f t="shared" si="9"/>
        <v>1.801801802</v>
      </c>
      <c r="AE246" s="3">
        <f t="shared" si="10"/>
        <v>1.801801802</v>
      </c>
      <c r="AF246" s="3">
        <f t="shared" si="11"/>
        <v>1.801801802</v>
      </c>
      <c r="AG246" s="3">
        <f t="shared" si="12"/>
        <v>0.1111111111</v>
      </c>
    </row>
    <row r="247">
      <c r="A247" s="1" t="s">
        <v>17</v>
      </c>
      <c r="B247" s="1" t="s">
        <v>119</v>
      </c>
      <c r="C247" s="1" t="s">
        <v>21</v>
      </c>
      <c r="D247" s="1" t="s">
        <v>93</v>
      </c>
      <c r="E247" s="1" t="s">
        <v>71</v>
      </c>
      <c r="F247" s="1" t="s">
        <v>576</v>
      </c>
      <c r="G247" s="1">
        <v>0.5</v>
      </c>
      <c r="H247" s="1" t="s">
        <v>60</v>
      </c>
      <c r="I247" s="1">
        <v>-133.0</v>
      </c>
      <c r="J247" s="1">
        <v>-0.119758369098712</v>
      </c>
      <c r="K247" s="1" t="s">
        <v>61</v>
      </c>
      <c r="L247" s="1" t="s">
        <v>61</v>
      </c>
      <c r="M247" s="1" t="s">
        <v>62</v>
      </c>
      <c r="N247" s="1">
        <v>101.0</v>
      </c>
      <c r="O247" s="1">
        <v>0.0514373134328357</v>
      </c>
      <c r="P247" s="1" t="s">
        <v>61</v>
      </c>
      <c r="Q247" s="1" t="s">
        <v>61</v>
      </c>
      <c r="R247" s="1">
        <f t="shared" si="1"/>
        <v>0.05143731343</v>
      </c>
      <c r="S247" s="1">
        <f t="shared" si="2"/>
        <v>101</v>
      </c>
      <c r="T247" s="1">
        <f t="shared" si="3"/>
        <v>2.01</v>
      </c>
      <c r="U247" s="1">
        <f t="shared" si="4"/>
        <v>0</v>
      </c>
      <c r="V247" s="3">
        <f t="shared" si="5"/>
        <v>2</v>
      </c>
      <c r="W247" s="3">
        <f t="shared" si="6"/>
        <v>2</v>
      </c>
      <c r="X247" s="3" t="str">
        <f>IFERROR(__xludf.DUMMYFUNCTION("split(B247,"" "")"),"T.")</f>
        <v>T.</v>
      </c>
      <c r="Y247" s="3" t="str">
        <f>IFERROR(__xludf.DUMMYFUNCTION("""COMPUTED_VALUE"""),"Lawrence")</f>
        <v>Lawrence</v>
      </c>
      <c r="AA247" s="3">
        <v>1.0</v>
      </c>
      <c r="AB247" s="3">
        <f t="shared" si="7"/>
        <v>1</v>
      </c>
      <c r="AC247" s="3">
        <f t="shared" si="8"/>
        <v>0</v>
      </c>
      <c r="AD247" s="3">
        <f t="shared" si="9"/>
        <v>2.02</v>
      </c>
      <c r="AE247" s="3">
        <f t="shared" si="10"/>
        <v>-2</v>
      </c>
      <c r="AF247" s="3">
        <f t="shared" si="11"/>
        <v>-2</v>
      </c>
      <c r="AG247" s="3">
        <f t="shared" si="12"/>
        <v>-1</v>
      </c>
    </row>
    <row r="248">
      <c r="A248" s="1" t="s">
        <v>11</v>
      </c>
      <c r="B248" s="1" t="s">
        <v>121</v>
      </c>
      <c r="C248" s="1" t="s">
        <v>18</v>
      </c>
      <c r="D248" s="1" t="s">
        <v>93</v>
      </c>
      <c r="E248" s="1" t="s">
        <v>71</v>
      </c>
      <c r="F248" s="1" t="s">
        <v>576</v>
      </c>
      <c r="G248" s="1">
        <v>53.5</v>
      </c>
      <c r="H248" s="1" t="s">
        <v>60</v>
      </c>
      <c r="I248" s="1">
        <v>-109.0</v>
      </c>
      <c r="J248" s="1">
        <v>-0.107140335837095</v>
      </c>
      <c r="K248" s="1" t="s">
        <v>61</v>
      </c>
      <c r="L248" s="1" t="s">
        <v>61</v>
      </c>
      <c r="M248" s="1" t="s">
        <v>62</v>
      </c>
      <c r="N248" s="1">
        <v>-116.0</v>
      </c>
      <c r="O248" s="1">
        <v>0.0485484888197591</v>
      </c>
      <c r="P248" s="1" t="s">
        <v>61</v>
      </c>
      <c r="Q248" s="1" t="s">
        <v>61</v>
      </c>
      <c r="R248" s="1">
        <f t="shared" si="1"/>
        <v>0.04854848882</v>
      </c>
      <c r="S248" s="1">
        <f t="shared" si="2"/>
        <v>-116</v>
      </c>
      <c r="T248" s="1">
        <f t="shared" si="3"/>
        <v>1.862068966</v>
      </c>
      <c r="U248" s="1">
        <f t="shared" si="4"/>
        <v>0</v>
      </c>
      <c r="V248" s="3">
        <f t="shared" si="5"/>
        <v>1</v>
      </c>
      <c r="W248" s="3">
        <f t="shared" si="6"/>
        <v>2</v>
      </c>
      <c r="X248" s="3" t="str">
        <f>IFERROR(__xludf.DUMMYFUNCTION("split(B248,"" "")"),"C.")</f>
        <v>C.</v>
      </c>
      <c r="Y248" s="3" t="str">
        <f>IFERROR(__xludf.DUMMYFUNCTION("""COMPUTED_VALUE"""),"Kirk")</f>
        <v>Kirk</v>
      </c>
      <c r="AA248" s="3">
        <v>88.0</v>
      </c>
      <c r="AB248" s="3">
        <f t="shared" si="7"/>
        <v>1</v>
      </c>
      <c r="AC248" s="3">
        <f t="shared" si="8"/>
        <v>0</v>
      </c>
      <c r="AD248" s="3">
        <f t="shared" si="9"/>
        <v>0.8620689655</v>
      </c>
      <c r="AE248" s="3">
        <f t="shared" si="10"/>
        <v>-1</v>
      </c>
      <c r="AF248" s="3">
        <f t="shared" si="11"/>
        <v>-2</v>
      </c>
      <c r="AG248" s="3">
        <f t="shared" si="12"/>
        <v>-0.6448598131</v>
      </c>
    </row>
    <row r="249">
      <c r="A249" s="1" t="s">
        <v>10</v>
      </c>
      <c r="B249" s="1" t="s">
        <v>588</v>
      </c>
      <c r="C249" s="1" t="s">
        <v>19</v>
      </c>
      <c r="D249" s="1" t="s">
        <v>93</v>
      </c>
      <c r="E249" s="1" t="s">
        <v>71</v>
      </c>
      <c r="F249" s="1" t="s">
        <v>576</v>
      </c>
      <c r="G249" s="1">
        <v>24.5</v>
      </c>
      <c r="H249" s="1" t="s">
        <v>60</v>
      </c>
      <c r="I249" s="1">
        <v>-124.0</v>
      </c>
      <c r="J249" s="1">
        <v>-0.108974420158488</v>
      </c>
      <c r="K249" s="1" t="s">
        <v>61</v>
      </c>
      <c r="L249" s="1" t="s">
        <v>61</v>
      </c>
      <c r="M249" s="1" t="s">
        <v>62</v>
      </c>
      <c r="N249" s="1">
        <v>-106.0</v>
      </c>
      <c r="O249" s="1">
        <v>0.0408861277787941</v>
      </c>
      <c r="P249" s="1" t="s">
        <v>61</v>
      </c>
      <c r="Q249" s="1" t="s">
        <v>61</v>
      </c>
      <c r="R249" s="1">
        <f t="shared" si="1"/>
        <v>0.04088612778</v>
      </c>
      <c r="S249" s="1">
        <f t="shared" si="2"/>
        <v>-106</v>
      </c>
      <c r="T249" s="1">
        <f t="shared" si="3"/>
        <v>1.943396226</v>
      </c>
      <c r="U249" s="1">
        <f t="shared" si="4"/>
        <v>0</v>
      </c>
      <c r="V249" s="3">
        <f t="shared" si="5"/>
        <v>1</v>
      </c>
      <c r="W249" s="3">
        <f t="shared" si="6"/>
        <v>2</v>
      </c>
      <c r="X249" s="3" t="str">
        <f>IFERROR(__xludf.DUMMYFUNCTION("split(B249,"" "")"),"T.")</f>
        <v>T.</v>
      </c>
      <c r="Y249" s="3" t="str">
        <f>IFERROR(__xludf.DUMMYFUNCTION("""COMPUTED_VALUE"""),"Bigsby")</f>
        <v>Bigsby</v>
      </c>
      <c r="AA249" s="3">
        <v>101.0</v>
      </c>
      <c r="AB249" s="3">
        <f t="shared" si="7"/>
        <v>1</v>
      </c>
      <c r="AC249" s="3">
        <f t="shared" si="8"/>
        <v>0</v>
      </c>
      <c r="AD249" s="3">
        <f t="shared" si="9"/>
        <v>0.9433962264</v>
      </c>
      <c r="AE249" s="3">
        <f t="shared" si="10"/>
        <v>-1</v>
      </c>
      <c r="AF249" s="3">
        <f t="shared" si="11"/>
        <v>-2</v>
      </c>
      <c r="AG249" s="3">
        <f t="shared" si="12"/>
        <v>-3.12244898</v>
      </c>
    </row>
    <row r="250">
      <c r="A250" s="1" t="s">
        <v>10</v>
      </c>
      <c r="B250" s="1" t="s">
        <v>119</v>
      </c>
      <c r="C250" s="1" t="s">
        <v>21</v>
      </c>
      <c r="D250" s="1" t="s">
        <v>93</v>
      </c>
      <c r="E250" s="1" t="s">
        <v>71</v>
      </c>
      <c r="F250" s="1" t="s">
        <v>576</v>
      </c>
      <c r="G250" s="1">
        <v>14.5</v>
      </c>
      <c r="H250" s="1" t="s">
        <v>60</v>
      </c>
      <c r="I250" s="1">
        <v>-113.0</v>
      </c>
      <c r="J250" s="1">
        <v>-0.105477409306604</v>
      </c>
      <c r="K250" s="1" t="s">
        <v>61</v>
      </c>
      <c r="L250" s="1" t="s">
        <v>61</v>
      </c>
      <c r="M250" s="1" t="s">
        <v>62</v>
      </c>
      <c r="N250" s="1">
        <v>-117.0</v>
      </c>
      <c r="O250" s="1">
        <v>0.0357549915820226</v>
      </c>
      <c r="P250" s="1" t="s">
        <v>61</v>
      </c>
      <c r="Q250" s="1" t="s">
        <v>61</v>
      </c>
      <c r="R250" s="1">
        <f t="shared" si="1"/>
        <v>0.03575499158</v>
      </c>
      <c r="S250" s="1">
        <f t="shared" si="2"/>
        <v>-117</v>
      </c>
      <c r="T250" s="1">
        <f t="shared" si="3"/>
        <v>1.854700855</v>
      </c>
      <c r="U250" s="1">
        <f t="shared" si="4"/>
        <v>0</v>
      </c>
      <c r="V250" s="3">
        <f t="shared" si="5"/>
        <v>1</v>
      </c>
      <c r="W250" s="3">
        <f t="shared" si="6"/>
        <v>2</v>
      </c>
      <c r="X250" s="3" t="str">
        <f>IFERROR(__xludf.DUMMYFUNCTION("split(B250,"" "")"),"T.")</f>
        <v>T.</v>
      </c>
      <c r="Y250" s="3" t="str">
        <f>IFERROR(__xludf.DUMMYFUNCTION("""COMPUTED_VALUE"""),"Lawrence")</f>
        <v>Lawrence</v>
      </c>
      <c r="AA250" s="3">
        <v>4.0</v>
      </c>
      <c r="AB250" s="3">
        <f t="shared" si="7"/>
        <v>0</v>
      </c>
      <c r="AC250" s="3">
        <f t="shared" si="8"/>
        <v>1</v>
      </c>
      <c r="AD250" s="3">
        <f t="shared" si="9"/>
        <v>0.8547008547</v>
      </c>
      <c r="AE250" s="3">
        <f t="shared" si="10"/>
        <v>0.8547008547</v>
      </c>
      <c r="AF250" s="3">
        <f t="shared" si="11"/>
        <v>1.709401709</v>
      </c>
      <c r="AG250" s="3">
        <f t="shared" si="12"/>
        <v>0.724137931</v>
      </c>
    </row>
    <row r="251">
      <c r="A251" s="1" t="s">
        <v>9</v>
      </c>
      <c r="B251" s="1" t="s">
        <v>92</v>
      </c>
      <c r="C251" s="1" t="s">
        <v>19</v>
      </c>
      <c r="D251" s="1" t="s">
        <v>93</v>
      </c>
      <c r="E251" s="1" t="s">
        <v>71</v>
      </c>
      <c r="F251" s="1" t="s">
        <v>576</v>
      </c>
      <c r="G251" s="1">
        <v>75.5</v>
      </c>
      <c r="H251" s="1" t="s">
        <v>60</v>
      </c>
      <c r="I251" s="1">
        <v>-117.0</v>
      </c>
      <c r="J251" s="1">
        <v>-0.098257066734808</v>
      </c>
      <c r="K251" s="1" t="s">
        <v>61</v>
      </c>
      <c r="L251" s="1" t="s">
        <v>61</v>
      </c>
      <c r="M251" s="1" t="s">
        <v>62</v>
      </c>
      <c r="N251" s="1">
        <v>-114.0</v>
      </c>
      <c r="O251" s="1">
        <v>0.0263585849012001</v>
      </c>
      <c r="P251" s="1" t="s">
        <v>61</v>
      </c>
      <c r="Q251" s="1" t="s">
        <v>61</v>
      </c>
      <c r="R251" s="1">
        <f t="shared" si="1"/>
        <v>0.0263585849</v>
      </c>
      <c r="S251" s="1">
        <f t="shared" si="2"/>
        <v>-114</v>
      </c>
      <c r="T251" s="1">
        <f t="shared" si="3"/>
        <v>1.877192982</v>
      </c>
      <c r="U251" s="1">
        <f t="shared" si="4"/>
        <v>0</v>
      </c>
      <c r="V251" s="3">
        <f t="shared" si="5"/>
        <v>1</v>
      </c>
      <c r="W251" s="3">
        <f t="shared" si="6"/>
        <v>2</v>
      </c>
      <c r="X251" s="3" t="str">
        <f>IFERROR(__xludf.DUMMYFUNCTION("split(B251,"" "")"),"T.")</f>
        <v>T.</v>
      </c>
      <c r="Y251" s="3" t="str">
        <f>IFERROR(__xludf.DUMMYFUNCTION("""COMPUTED_VALUE"""),"Etienne")</f>
        <v>Etienne</v>
      </c>
      <c r="Z251" s="3" t="str">
        <f>IFERROR(__xludf.DUMMYFUNCTION("""COMPUTED_VALUE"""),"Jr.")</f>
        <v>Jr.</v>
      </c>
      <c r="AA251" s="3">
        <v>60.0</v>
      </c>
      <c r="AB251" s="3">
        <f t="shared" si="7"/>
        <v>0</v>
      </c>
      <c r="AC251" s="3">
        <f t="shared" si="8"/>
        <v>1</v>
      </c>
      <c r="AD251" s="3">
        <f t="shared" si="9"/>
        <v>0.8771929825</v>
      </c>
      <c r="AE251" s="3">
        <f t="shared" si="10"/>
        <v>0.8771929825</v>
      </c>
      <c r="AF251" s="3">
        <f t="shared" si="11"/>
        <v>1.754385965</v>
      </c>
      <c r="AG251" s="3">
        <f t="shared" si="12"/>
        <v>0.2052980132</v>
      </c>
    </row>
    <row r="252">
      <c r="A252" s="1" t="s">
        <v>9</v>
      </c>
      <c r="B252" s="1" t="s">
        <v>588</v>
      </c>
      <c r="C252" s="1" t="s">
        <v>19</v>
      </c>
      <c r="D252" s="1" t="s">
        <v>93</v>
      </c>
      <c r="E252" s="1" t="s">
        <v>71</v>
      </c>
      <c r="F252" s="1" t="s">
        <v>576</v>
      </c>
      <c r="G252" s="1">
        <v>30.5</v>
      </c>
      <c r="H252" s="1" t="s">
        <v>60</v>
      </c>
      <c r="I252" s="1">
        <v>-117.0</v>
      </c>
      <c r="J252" s="1">
        <v>0.0234005682028211</v>
      </c>
      <c r="K252" s="1" t="s">
        <v>61</v>
      </c>
      <c r="L252" s="1" t="s">
        <v>61</v>
      </c>
      <c r="M252" s="1" t="s">
        <v>62</v>
      </c>
      <c r="N252" s="1">
        <v>-116.0</v>
      </c>
      <c r="O252" s="1">
        <v>-0.0995867917963617</v>
      </c>
      <c r="P252" s="1" t="s">
        <v>61</v>
      </c>
      <c r="Q252" s="1" t="s">
        <v>61</v>
      </c>
      <c r="R252" s="1">
        <f t="shared" si="1"/>
        <v>0.0234005682</v>
      </c>
      <c r="S252" s="1">
        <f t="shared" si="2"/>
        <v>-117</v>
      </c>
      <c r="T252" s="1">
        <f t="shared" si="3"/>
        <v>1.854700855</v>
      </c>
      <c r="U252" s="1">
        <f t="shared" si="4"/>
        <v>1</v>
      </c>
      <c r="V252" s="3">
        <f t="shared" si="5"/>
        <v>1</v>
      </c>
      <c r="W252" s="3">
        <f t="shared" si="6"/>
        <v>2</v>
      </c>
      <c r="X252" s="3" t="str">
        <f>IFERROR(__xludf.DUMMYFUNCTION("split(B252,"" "")"),"T.")</f>
        <v>T.</v>
      </c>
      <c r="Y252" s="3" t="str">
        <f>IFERROR(__xludf.DUMMYFUNCTION("""COMPUTED_VALUE"""),"Bigsby")</f>
        <v>Bigsby</v>
      </c>
      <c r="AA252" s="3">
        <v>129.0</v>
      </c>
      <c r="AB252" s="3">
        <f t="shared" si="7"/>
        <v>1</v>
      </c>
      <c r="AC252" s="3">
        <f t="shared" si="8"/>
        <v>1</v>
      </c>
      <c r="AD252" s="3">
        <f t="shared" si="9"/>
        <v>0.8547008547</v>
      </c>
      <c r="AE252" s="3">
        <f t="shared" si="10"/>
        <v>0.8547008547</v>
      </c>
      <c r="AF252" s="3">
        <f t="shared" si="11"/>
        <v>1.709401709</v>
      </c>
      <c r="AG252" s="3">
        <f t="shared" si="12"/>
        <v>3.229508197</v>
      </c>
    </row>
    <row r="253">
      <c r="A253" s="1" t="s">
        <v>11</v>
      </c>
      <c r="B253" s="1" t="s">
        <v>467</v>
      </c>
      <c r="C253" s="1" t="s">
        <v>18</v>
      </c>
      <c r="D253" s="1" t="s">
        <v>93</v>
      </c>
      <c r="E253" s="1" t="s">
        <v>71</v>
      </c>
      <c r="F253" s="1" t="s">
        <v>576</v>
      </c>
      <c r="G253" s="1">
        <v>34.5</v>
      </c>
      <c r="H253" s="1" t="s">
        <v>60</v>
      </c>
      <c r="I253" s="1">
        <v>-115.0</v>
      </c>
      <c r="J253" s="1">
        <v>-0.078202676921907</v>
      </c>
      <c r="K253" s="1" t="s">
        <v>61</v>
      </c>
      <c r="L253" s="1" t="s">
        <v>61</v>
      </c>
      <c r="M253" s="1" t="s">
        <v>62</v>
      </c>
      <c r="N253" s="1">
        <v>-113.0</v>
      </c>
      <c r="O253" s="1">
        <v>0.012832128304823</v>
      </c>
      <c r="P253" s="1" t="s">
        <v>61</v>
      </c>
      <c r="Q253" s="1" t="s">
        <v>61</v>
      </c>
      <c r="R253" s="1">
        <f t="shared" si="1"/>
        <v>0.0128321283</v>
      </c>
      <c r="S253" s="1">
        <f t="shared" si="2"/>
        <v>-113</v>
      </c>
      <c r="T253" s="1">
        <f t="shared" si="3"/>
        <v>1.884955752</v>
      </c>
      <c r="U253" s="1">
        <f t="shared" si="4"/>
        <v>0</v>
      </c>
      <c r="V253" s="3">
        <f t="shared" si="5"/>
        <v>1</v>
      </c>
      <c r="W253" s="3">
        <f t="shared" si="6"/>
        <v>2</v>
      </c>
      <c r="X253" s="3" t="str">
        <f>IFERROR(__xludf.DUMMYFUNCTION("split(B253,"" "")"),"G.")</f>
        <v>G.</v>
      </c>
      <c r="Y253" s="3" t="str">
        <f>IFERROR(__xludf.DUMMYFUNCTION("""COMPUTED_VALUE"""),"Davis")</f>
        <v>Davis</v>
      </c>
      <c r="AA253" s="3">
        <v>38.0</v>
      </c>
      <c r="AB253" s="3">
        <f t="shared" si="7"/>
        <v>1</v>
      </c>
      <c r="AC253" s="3">
        <f t="shared" si="8"/>
        <v>0</v>
      </c>
      <c r="AD253" s="3">
        <f t="shared" si="9"/>
        <v>0.8849557522</v>
      </c>
      <c r="AE253" s="3">
        <f t="shared" si="10"/>
        <v>-1</v>
      </c>
      <c r="AF253" s="3">
        <f t="shared" si="11"/>
        <v>-2</v>
      </c>
      <c r="AG253" s="3">
        <f t="shared" si="12"/>
        <v>-0.1014492754</v>
      </c>
    </row>
    <row r="254">
      <c r="A254" s="1" t="s">
        <v>9</v>
      </c>
      <c r="B254" s="1" t="s">
        <v>467</v>
      </c>
      <c r="C254" s="1" t="s">
        <v>18</v>
      </c>
      <c r="D254" s="1" t="s">
        <v>93</v>
      </c>
      <c r="E254" s="1" t="s">
        <v>71</v>
      </c>
      <c r="F254" s="1" t="s">
        <v>576</v>
      </c>
      <c r="G254" s="1">
        <v>34.5</v>
      </c>
      <c r="H254" s="1" t="s">
        <v>60</v>
      </c>
      <c r="I254" s="1">
        <v>-120.0</v>
      </c>
      <c r="J254" s="1">
        <v>0.0128066040176743</v>
      </c>
      <c r="K254" s="1" t="s">
        <v>61</v>
      </c>
      <c r="L254" s="1" t="s">
        <v>61</v>
      </c>
      <c r="M254" s="1" t="s">
        <v>62</v>
      </c>
      <c r="N254" s="1">
        <v>-113.0</v>
      </c>
      <c r="O254" s="1">
        <v>-0.088754374454431</v>
      </c>
      <c r="P254" s="1" t="s">
        <v>61</v>
      </c>
      <c r="Q254" s="1" t="s">
        <v>61</v>
      </c>
      <c r="R254" s="1">
        <f t="shared" si="1"/>
        <v>0.01280660402</v>
      </c>
      <c r="S254" s="1">
        <f t="shared" si="2"/>
        <v>-120</v>
      </c>
      <c r="T254" s="1">
        <f t="shared" si="3"/>
        <v>1.833333333</v>
      </c>
      <c r="U254" s="1">
        <f t="shared" si="4"/>
        <v>1</v>
      </c>
      <c r="V254" s="3">
        <f t="shared" si="5"/>
        <v>1</v>
      </c>
      <c r="W254" s="3">
        <f t="shared" si="6"/>
        <v>3</v>
      </c>
      <c r="X254" s="3" t="str">
        <f>IFERROR(__xludf.DUMMYFUNCTION("split(B254,"" "")"),"G.")</f>
        <v>G.</v>
      </c>
      <c r="Y254" s="3" t="str">
        <f>IFERROR(__xludf.DUMMYFUNCTION("""COMPUTED_VALUE"""),"Davis")</f>
        <v>Davis</v>
      </c>
      <c r="AA254" s="3">
        <v>38.0</v>
      </c>
      <c r="AB254" s="3">
        <f t="shared" si="7"/>
        <v>1</v>
      </c>
      <c r="AC254" s="3">
        <f t="shared" si="8"/>
        <v>1</v>
      </c>
      <c r="AD254" s="3">
        <f t="shared" si="9"/>
        <v>0.8333333333</v>
      </c>
      <c r="AE254" s="3">
        <f t="shared" si="10"/>
        <v>0.8333333333</v>
      </c>
      <c r="AF254" s="3">
        <f t="shared" si="11"/>
        <v>2.5</v>
      </c>
      <c r="AG254" s="3">
        <f t="shared" si="12"/>
        <v>0.1014492754</v>
      </c>
    </row>
    <row r="255">
      <c r="A255" s="1" t="s">
        <v>15</v>
      </c>
      <c r="B255" s="1" t="s">
        <v>119</v>
      </c>
      <c r="C255" s="1" t="s">
        <v>21</v>
      </c>
      <c r="D255" s="1" t="s">
        <v>93</v>
      </c>
      <c r="E255" s="1" t="s">
        <v>71</v>
      </c>
      <c r="F255" s="1" t="s">
        <v>576</v>
      </c>
      <c r="G255" s="1">
        <v>21.5</v>
      </c>
      <c r="H255" s="1" t="s">
        <v>60</v>
      </c>
      <c r="I255" s="1">
        <v>-109.0</v>
      </c>
      <c r="J255" s="1">
        <v>0.0108732057416269</v>
      </c>
      <c r="K255" s="1" t="s">
        <v>61</v>
      </c>
      <c r="L255" s="1" t="s">
        <v>61</v>
      </c>
      <c r="M255" s="1" t="s">
        <v>62</v>
      </c>
      <c r="N255" s="1">
        <v>-121.0</v>
      </c>
      <c r="O255" s="1">
        <v>-0.0799018099547512</v>
      </c>
      <c r="P255" s="1" t="s">
        <v>61</v>
      </c>
      <c r="Q255" s="1" t="s">
        <v>61</v>
      </c>
      <c r="R255" s="1">
        <f t="shared" si="1"/>
        <v>0.01087320574</v>
      </c>
      <c r="S255" s="1">
        <f t="shared" si="2"/>
        <v>-109</v>
      </c>
      <c r="T255" s="1">
        <f t="shared" si="3"/>
        <v>1.917431193</v>
      </c>
      <c r="U255" s="1">
        <f t="shared" si="4"/>
        <v>1</v>
      </c>
      <c r="V255" s="3">
        <f t="shared" si="5"/>
        <v>1</v>
      </c>
      <c r="W255" s="3">
        <f t="shared" si="6"/>
        <v>2</v>
      </c>
      <c r="X255" s="3" t="str">
        <f>IFERROR(__xludf.DUMMYFUNCTION("split(B255,"" "")"),"T.")</f>
        <v>T.</v>
      </c>
      <c r="Y255" s="3" t="str">
        <f>IFERROR(__xludf.DUMMYFUNCTION("""COMPUTED_VALUE"""),"Lawrence")</f>
        <v>Lawrence</v>
      </c>
      <c r="AA255" s="3">
        <v>28.0</v>
      </c>
      <c r="AB255" s="3">
        <f t="shared" si="7"/>
        <v>1</v>
      </c>
      <c r="AC255" s="3">
        <f t="shared" si="8"/>
        <v>1</v>
      </c>
      <c r="AD255" s="3">
        <f t="shared" si="9"/>
        <v>0.9174311927</v>
      </c>
      <c r="AE255" s="3">
        <f t="shared" si="10"/>
        <v>0.9174311927</v>
      </c>
      <c r="AF255" s="3">
        <f t="shared" si="11"/>
        <v>1.834862385</v>
      </c>
      <c r="AG255" s="3">
        <f t="shared" si="12"/>
        <v>0.3023255814</v>
      </c>
    </row>
    <row r="256">
      <c r="A256" s="1" t="s">
        <v>11</v>
      </c>
      <c r="B256" s="1" t="s">
        <v>466</v>
      </c>
      <c r="C256" s="1" t="s">
        <v>18</v>
      </c>
      <c r="D256" s="1" t="s">
        <v>93</v>
      </c>
      <c r="E256" s="1" t="s">
        <v>71</v>
      </c>
      <c r="F256" s="1" t="s">
        <v>576</v>
      </c>
      <c r="G256" s="1">
        <v>55.5</v>
      </c>
      <c r="H256" s="1" t="s">
        <v>60</v>
      </c>
      <c r="I256" s="1">
        <v>-120.0</v>
      </c>
      <c r="J256" s="1">
        <v>-0.0837621485439994</v>
      </c>
      <c r="K256" s="1" t="s">
        <v>61</v>
      </c>
      <c r="L256" s="1" t="s">
        <v>61</v>
      </c>
      <c r="M256" s="1" t="s">
        <v>62</v>
      </c>
      <c r="N256" s="1">
        <v>-112.0</v>
      </c>
      <c r="O256" s="1">
        <v>0.00999054532509391</v>
      </c>
      <c r="P256" s="1" t="s">
        <v>61</v>
      </c>
      <c r="Q256" s="1" t="s">
        <v>61</v>
      </c>
      <c r="R256" s="1">
        <f t="shared" si="1"/>
        <v>0.009990545325</v>
      </c>
      <c r="S256" s="1">
        <f t="shared" si="2"/>
        <v>-112</v>
      </c>
      <c r="T256" s="1">
        <f t="shared" si="3"/>
        <v>1.892857143</v>
      </c>
      <c r="U256" s="1">
        <f t="shared" si="4"/>
        <v>0</v>
      </c>
      <c r="V256" s="3">
        <f t="shared" si="5"/>
        <v>1</v>
      </c>
      <c r="W256" s="3">
        <f t="shared" si="6"/>
        <v>2</v>
      </c>
      <c r="X256" s="3" t="str">
        <f>IFERROR(__xludf.DUMMYFUNCTION("split(B256,"" "")"),"B.")</f>
        <v>B.</v>
      </c>
      <c r="Y256" s="3" t="str">
        <f>IFERROR(__xludf.DUMMYFUNCTION("""COMPUTED_VALUE"""),"Thomas")</f>
        <v>Thomas</v>
      </c>
      <c r="Z256" s="3" t="str">
        <f>IFERROR(__xludf.DUMMYFUNCTION("""COMPUTED_VALUE"""),"Jr.")</f>
        <v>Jr.</v>
      </c>
      <c r="AA256" s="3">
        <v>122.0</v>
      </c>
      <c r="AB256" s="3">
        <f t="shared" si="7"/>
        <v>1</v>
      </c>
      <c r="AC256" s="3">
        <f t="shared" si="8"/>
        <v>0</v>
      </c>
      <c r="AD256" s="3">
        <f t="shared" si="9"/>
        <v>0.8928571429</v>
      </c>
      <c r="AE256" s="3">
        <f t="shared" si="10"/>
        <v>-1</v>
      </c>
      <c r="AF256" s="3">
        <f t="shared" si="11"/>
        <v>-2</v>
      </c>
      <c r="AG256" s="3">
        <f t="shared" si="12"/>
        <v>-1.198198198</v>
      </c>
    </row>
    <row r="257">
      <c r="A257" s="1" t="s">
        <v>10</v>
      </c>
      <c r="B257" s="1" t="s">
        <v>92</v>
      </c>
      <c r="C257" s="1" t="s">
        <v>19</v>
      </c>
      <c r="D257" s="1" t="s">
        <v>93</v>
      </c>
      <c r="E257" s="1" t="s">
        <v>71</v>
      </c>
      <c r="F257" s="1" t="s">
        <v>576</v>
      </c>
      <c r="G257" s="1">
        <v>54.5</v>
      </c>
      <c r="H257" s="1" t="s">
        <v>60</v>
      </c>
      <c r="I257" s="1">
        <v>-114.0</v>
      </c>
      <c r="J257" s="1">
        <v>-0.0691244257264492</v>
      </c>
      <c r="K257" s="1" t="s">
        <v>61</v>
      </c>
      <c r="L257" s="1" t="s">
        <v>61</v>
      </c>
      <c r="M257" s="1" t="s">
        <v>62</v>
      </c>
      <c r="N257" s="1">
        <v>-113.0</v>
      </c>
      <c r="O257" s="1">
        <v>0.005871105248621</v>
      </c>
      <c r="P257" s="1" t="s">
        <v>61</v>
      </c>
      <c r="Q257" s="1" t="s">
        <v>61</v>
      </c>
      <c r="R257" s="1">
        <f t="shared" si="1"/>
        <v>0.005871105249</v>
      </c>
      <c r="S257" s="1">
        <f t="shared" si="2"/>
        <v>-113</v>
      </c>
      <c r="T257" s="1">
        <f t="shared" si="3"/>
        <v>1.884955752</v>
      </c>
      <c r="U257" s="1">
        <f t="shared" si="4"/>
        <v>0</v>
      </c>
      <c r="V257" s="3">
        <f t="shared" si="5"/>
        <v>1</v>
      </c>
      <c r="W257" s="3">
        <f t="shared" si="6"/>
        <v>2</v>
      </c>
      <c r="X257" s="3" t="str">
        <f>IFERROR(__xludf.DUMMYFUNCTION("split(B257,"" "")"),"T.")</f>
        <v>T.</v>
      </c>
      <c r="Y257" s="3" t="str">
        <f>IFERROR(__xludf.DUMMYFUNCTION("""COMPUTED_VALUE"""),"Etienne")</f>
        <v>Etienne</v>
      </c>
      <c r="Z257" s="3" t="str">
        <f>IFERROR(__xludf.DUMMYFUNCTION("""COMPUTED_VALUE"""),"Jr.")</f>
        <v>Jr.</v>
      </c>
      <c r="AA257" s="3">
        <v>17.0</v>
      </c>
      <c r="AB257" s="3">
        <f t="shared" si="7"/>
        <v>0</v>
      </c>
      <c r="AC257" s="3">
        <f t="shared" si="8"/>
        <v>1</v>
      </c>
      <c r="AD257" s="3">
        <f t="shared" si="9"/>
        <v>0.8849557522</v>
      </c>
      <c r="AE257" s="3">
        <f t="shared" si="10"/>
        <v>0.8849557522</v>
      </c>
      <c r="AF257" s="3">
        <f t="shared" si="11"/>
        <v>1.769911504</v>
      </c>
      <c r="AG257" s="3">
        <f t="shared" si="12"/>
        <v>0.6880733945</v>
      </c>
    </row>
    <row r="258">
      <c r="A258" s="1" t="s">
        <v>11</v>
      </c>
      <c r="B258" s="1" t="s">
        <v>92</v>
      </c>
      <c r="C258" s="1" t="s">
        <v>19</v>
      </c>
      <c r="D258" s="1" t="s">
        <v>93</v>
      </c>
      <c r="E258" s="1" t="s">
        <v>71</v>
      </c>
      <c r="F258" s="1" t="s">
        <v>576</v>
      </c>
      <c r="G258" s="1">
        <v>16.5</v>
      </c>
      <c r="H258" s="1" t="s">
        <v>60</v>
      </c>
      <c r="I258" s="1">
        <v>-116.0</v>
      </c>
      <c r="J258" s="1">
        <v>-0.0651096499082732</v>
      </c>
      <c r="K258" s="1" t="s">
        <v>61</v>
      </c>
      <c r="L258" s="1" t="s">
        <v>61</v>
      </c>
      <c r="M258" s="1" t="s">
        <v>62</v>
      </c>
      <c r="N258" s="1">
        <v>-111.0</v>
      </c>
      <c r="O258" s="1">
        <v>0.00209794152610232</v>
      </c>
      <c r="P258" s="1" t="s">
        <v>61</v>
      </c>
      <c r="Q258" s="1" t="s">
        <v>61</v>
      </c>
      <c r="R258" s="1">
        <f t="shared" si="1"/>
        <v>0.002097941526</v>
      </c>
      <c r="S258" s="1">
        <f t="shared" si="2"/>
        <v>-111</v>
      </c>
      <c r="T258" s="1">
        <f t="shared" si="3"/>
        <v>1.900900901</v>
      </c>
      <c r="U258" s="1">
        <f t="shared" si="4"/>
        <v>0</v>
      </c>
      <c r="V258" s="3">
        <f t="shared" si="5"/>
        <v>1</v>
      </c>
      <c r="W258" s="3">
        <f t="shared" si="6"/>
        <v>2</v>
      </c>
      <c r="X258" s="3" t="str">
        <f>IFERROR(__xludf.DUMMYFUNCTION("split(B258,"" "")"),"T.")</f>
        <v>T.</v>
      </c>
      <c r="Y258" s="3" t="str">
        <f>IFERROR(__xludf.DUMMYFUNCTION("""COMPUTED_VALUE"""),"Etienne")</f>
        <v>Etienne</v>
      </c>
      <c r="Z258" s="3" t="str">
        <f>IFERROR(__xludf.DUMMYFUNCTION("""COMPUTED_VALUE"""),"Jr.")</f>
        <v>Jr.</v>
      </c>
      <c r="AA258" s="3">
        <v>43.0</v>
      </c>
      <c r="AB258" s="3">
        <f t="shared" si="7"/>
        <v>1</v>
      </c>
      <c r="AC258" s="3">
        <f t="shared" si="8"/>
        <v>0</v>
      </c>
      <c r="AD258" s="3">
        <f t="shared" si="9"/>
        <v>0.9009009009</v>
      </c>
      <c r="AE258" s="3">
        <f t="shared" si="10"/>
        <v>-1</v>
      </c>
      <c r="AF258" s="3">
        <f t="shared" si="11"/>
        <v>-2</v>
      </c>
      <c r="AG258" s="3">
        <f t="shared" si="12"/>
        <v>-1.606060606</v>
      </c>
    </row>
    <row r="259">
      <c r="A259" s="1" t="s">
        <v>10</v>
      </c>
      <c r="B259" s="1" t="s">
        <v>326</v>
      </c>
      <c r="C259" s="1" t="s">
        <v>20</v>
      </c>
      <c r="D259" s="1" t="s">
        <v>76</v>
      </c>
      <c r="E259" s="1" t="s">
        <v>58</v>
      </c>
      <c r="F259" s="1" t="s">
        <v>589</v>
      </c>
      <c r="G259" s="1">
        <v>0.5</v>
      </c>
      <c r="H259" s="1" t="s">
        <v>60</v>
      </c>
      <c r="I259" s="1">
        <v>549.0</v>
      </c>
      <c r="J259" s="1">
        <v>0.458641260136139</v>
      </c>
      <c r="K259" s="1" t="s">
        <v>61</v>
      </c>
      <c r="L259" s="1" t="s">
        <v>61</v>
      </c>
      <c r="M259" s="1" t="s">
        <v>62</v>
      </c>
      <c r="N259" s="1">
        <v>-1032.0</v>
      </c>
      <c r="O259" s="1">
        <v>-0.524348284254155</v>
      </c>
      <c r="P259" s="1" t="s">
        <v>61</v>
      </c>
      <c r="Q259" s="1" t="s">
        <v>61</v>
      </c>
      <c r="R259" s="1">
        <f t="shared" si="1"/>
        <v>0.4586412601</v>
      </c>
      <c r="S259" s="1">
        <f t="shared" si="2"/>
        <v>549</v>
      </c>
      <c r="T259" s="1">
        <f t="shared" si="3"/>
        <v>6.49</v>
      </c>
      <c r="U259" s="1">
        <f t="shared" si="4"/>
        <v>1</v>
      </c>
      <c r="V259" s="3">
        <f t="shared" si="5"/>
        <v>3</v>
      </c>
      <c r="W259" s="3">
        <f t="shared" si="6"/>
        <v>1</v>
      </c>
      <c r="X259" s="3" t="str">
        <f>IFERROR(__xludf.DUMMYFUNCTION("split(B259,"" "")"),"T.")</f>
        <v>T.</v>
      </c>
      <c r="Y259" s="3" t="str">
        <f>IFERROR(__xludf.DUMMYFUNCTION("""COMPUTED_VALUE"""),"Kelce")</f>
        <v>Kelce</v>
      </c>
      <c r="AA259" s="3">
        <v>0.0</v>
      </c>
      <c r="AB259" s="3">
        <f t="shared" si="7"/>
        <v>0</v>
      </c>
      <c r="AC259" s="3">
        <f t="shared" si="8"/>
        <v>0</v>
      </c>
      <c r="AD259" s="3">
        <f t="shared" si="9"/>
        <v>16.47</v>
      </c>
      <c r="AE259" s="3">
        <f t="shared" si="10"/>
        <v>0</v>
      </c>
      <c r="AF259" s="3">
        <f t="shared" si="11"/>
        <v>-1</v>
      </c>
      <c r="AG259" s="3">
        <f t="shared" si="12"/>
        <v>-1</v>
      </c>
    </row>
    <row r="260">
      <c r="A260" s="1" t="s">
        <v>12</v>
      </c>
      <c r="B260" s="1" t="s">
        <v>237</v>
      </c>
      <c r="C260" s="1" t="s">
        <v>18</v>
      </c>
      <c r="D260" s="1" t="s">
        <v>76</v>
      </c>
      <c r="E260" s="1" t="s">
        <v>58</v>
      </c>
      <c r="F260" s="1" t="s">
        <v>589</v>
      </c>
      <c r="G260" s="1">
        <v>1.5</v>
      </c>
      <c r="H260" s="1" t="s">
        <v>60</v>
      </c>
      <c r="I260" s="1">
        <v>-189.0</v>
      </c>
      <c r="J260" s="1">
        <v>-0.305073627882353</v>
      </c>
      <c r="K260" s="1" t="s">
        <v>61</v>
      </c>
      <c r="L260" s="1" t="s">
        <v>61</v>
      </c>
      <c r="M260" s="1" t="s">
        <v>62</v>
      </c>
      <c r="N260" s="1">
        <v>143.0</v>
      </c>
      <c r="O260" s="1">
        <v>0.239570693242798</v>
      </c>
      <c r="P260" s="1" t="s">
        <v>61</v>
      </c>
      <c r="Q260" s="1" t="s">
        <v>61</v>
      </c>
      <c r="R260" s="1">
        <f t="shared" si="1"/>
        <v>0.2395706932</v>
      </c>
      <c r="S260" s="1">
        <f t="shared" si="2"/>
        <v>143</v>
      </c>
      <c r="T260" s="1">
        <f t="shared" si="3"/>
        <v>2.43</v>
      </c>
      <c r="U260" s="1">
        <f t="shared" si="4"/>
        <v>0</v>
      </c>
      <c r="V260" s="3">
        <f t="shared" si="5"/>
        <v>3</v>
      </c>
      <c r="W260" s="3">
        <f t="shared" si="6"/>
        <v>1</v>
      </c>
      <c r="X260" s="3" t="str">
        <f>IFERROR(__xludf.DUMMYFUNCTION("split(B260,"" "")"),"J.")</f>
        <v>J.</v>
      </c>
      <c r="Y260" s="3" t="str">
        <f>IFERROR(__xludf.DUMMYFUNCTION("""COMPUTED_VALUE"""),"Watson")</f>
        <v>Watson</v>
      </c>
      <c r="AA260" s="3">
        <v>0.0</v>
      </c>
      <c r="AB260" s="3">
        <f t="shared" si="7"/>
        <v>0</v>
      </c>
      <c r="AC260" s="3">
        <f t="shared" si="8"/>
        <v>1</v>
      </c>
      <c r="AD260" s="3">
        <f t="shared" si="9"/>
        <v>4.29</v>
      </c>
      <c r="AE260" s="3">
        <f t="shared" si="10"/>
        <v>4.29</v>
      </c>
      <c r="AF260" s="3">
        <f t="shared" si="11"/>
        <v>1.43</v>
      </c>
      <c r="AG260" s="3">
        <f t="shared" si="12"/>
        <v>1</v>
      </c>
    </row>
    <row r="261">
      <c r="A261" s="1" t="s">
        <v>12</v>
      </c>
      <c r="B261" s="1" t="s">
        <v>590</v>
      </c>
      <c r="C261" s="1" t="s">
        <v>18</v>
      </c>
      <c r="D261" s="1" t="s">
        <v>76</v>
      </c>
      <c r="E261" s="1" t="s">
        <v>58</v>
      </c>
      <c r="F261" s="1" t="s">
        <v>589</v>
      </c>
      <c r="G261" s="1">
        <v>1.5</v>
      </c>
      <c r="H261" s="1" t="s">
        <v>60</v>
      </c>
      <c r="I261" s="1">
        <v>-194.0</v>
      </c>
      <c r="J261" s="1">
        <v>-0.201164033231292</v>
      </c>
      <c r="K261" s="1" t="s">
        <v>61</v>
      </c>
      <c r="L261" s="1" t="s">
        <v>61</v>
      </c>
      <c r="M261" s="1" t="s">
        <v>62</v>
      </c>
      <c r="N261" s="1">
        <v>146.0</v>
      </c>
      <c r="O261" s="1">
        <v>0.134815551910569</v>
      </c>
      <c r="P261" s="1" t="s">
        <v>61</v>
      </c>
      <c r="Q261" s="1" t="s">
        <v>61</v>
      </c>
      <c r="R261" s="1">
        <f t="shared" si="1"/>
        <v>0.1348155519</v>
      </c>
      <c r="S261" s="1">
        <f t="shared" si="2"/>
        <v>146</v>
      </c>
      <c r="T261" s="1">
        <f t="shared" si="3"/>
        <v>2.46</v>
      </c>
      <c r="U261" s="1">
        <f t="shared" si="4"/>
        <v>0</v>
      </c>
      <c r="V261" s="3">
        <f t="shared" si="5"/>
        <v>3</v>
      </c>
      <c r="W261" s="3">
        <f t="shared" si="6"/>
        <v>1</v>
      </c>
      <c r="X261" s="3" t="str">
        <f>IFERROR(__xludf.DUMMYFUNCTION("split(B261,"" "")"),"J.")</f>
        <v>J.</v>
      </c>
      <c r="Y261" s="3" t="str">
        <f>IFERROR(__xludf.DUMMYFUNCTION("""COMPUTED_VALUE"""),"Smith-Schuster")</f>
        <v>Smith-Schuster</v>
      </c>
      <c r="AA261" s="3">
        <v>7.0</v>
      </c>
      <c r="AB261" s="3">
        <f t="shared" si="7"/>
        <v>1</v>
      </c>
      <c r="AC261" s="3">
        <f t="shared" si="8"/>
        <v>0</v>
      </c>
      <c r="AD261" s="3">
        <f t="shared" si="9"/>
        <v>4.38</v>
      </c>
      <c r="AE261" s="3">
        <f t="shared" si="10"/>
        <v>-3</v>
      </c>
      <c r="AF261" s="3">
        <f t="shared" si="11"/>
        <v>-1</v>
      </c>
      <c r="AG261" s="3">
        <f t="shared" si="12"/>
        <v>-3.666666667</v>
      </c>
    </row>
    <row r="262">
      <c r="A262" s="1" t="s">
        <v>12</v>
      </c>
      <c r="B262" s="1" t="s">
        <v>591</v>
      </c>
      <c r="C262" s="1" t="s">
        <v>19</v>
      </c>
      <c r="D262" s="1" t="s">
        <v>76</v>
      </c>
      <c r="E262" s="1" t="s">
        <v>58</v>
      </c>
      <c r="F262" s="1" t="s">
        <v>589</v>
      </c>
      <c r="G262" s="1">
        <v>2.5</v>
      </c>
      <c r="H262" s="1" t="s">
        <v>60</v>
      </c>
      <c r="I262" s="1">
        <v>121.0</v>
      </c>
      <c r="J262" s="1">
        <v>-0.178229809182805</v>
      </c>
      <c r="K262" s="1" t="s">
        <v>61</v>
      </c>
      <c r="L262" s="1" t="s">
        <v>61</v>
      </c>
      <c r="M262" s="1" t="s">
        <v>62</v>
      </c>
      <c r="N262" s="1">
        <v>-158.0</v>
      </c>
      <c r="O262" s="1">
        <v>0.113331042252713</v>
      </c>
      <c r="P262" s="1" t="s">
        <v>61</v>
      </c>
      <c r="Q262" s="1" t="s">
        <v>61</v>
      </c>
      <c r="R262" s="1">
        <f t="shared" si="1"/>
        <v>0.1133310423</v>
      </c>
      <c r="S262" s="1">
        <f t="shared" si="2"/>
        <v>-158</v>
      </c>
      <c r="T262" s="1">
        <f t="shared" si="3"/>
        <v>1.632911392</v>
      </c>
      <c r="U262" s="1">
        <f t="shared" si="4"/>
        <v>0</v>
      </c>
      <c r="V262" s="3">
        <f t="shared" si="5"/>
        <v>3</v>
      </c>
      <c r="W262" s="3">
        <f t="shared" si="6"/>
        <v>3</v>
      </c>
      <c r="X262" s="3" t="str">
        <f>IFERROR(__xludf.DUMMYFUNCTION("split(B262,"" "")"),"K.")</f>
        <v>K.</v>
      </c>
      <c r="Y262" s="3" t="str">
        <f>IFERROR(__xludf.DUMMYFUNCTION("""COMPUTED_VALUE"""),"Hunt")</f>
        <v>Hunt</v>
      </c>
      <c r="AA262" s="3">
        <v>1.0</v>
      </c>
      <c r="AB262" s="3">
        <f t="shared" si="7"/>
        <v>0</v>
      </c>
      <c r="AC262" s="3">
        <f t="shared" si="8"/>
        <v>1</v>
      </c>
      <c r="AD262" s="3">
        <f t="shared" si="9"/>
        <v>1.898734177</v>
      </c>
      <c r="AE262" s="3">
        <f t="shared" si="10"/>
        <v>1.898734177</v>
      </c>
      <c r="AF262" s="3">
        <f t="shared" si="11"/>
        <v>1.898734177</v>
      </c>
      <c r="AG262" s="3">
        <f t="shared" si="12"/>
        <v>0.6</v>
      </c>
    </row>
    <row r="263">
      <c r="A263" s="1" t="s">
        <v>8</v>
      </c>
      <c r="B263" s="1" t="s">
        <v>591</v>
      </c>
      <c r="C263" s="1" t="s">
        <v>19</v>
      </c>
      <c r="D263" s="1" t="s">
        <v>76</v>
      </c>
      <c r="E263" s="1" t="s">
        <v>58</v>
      </c>
      <c r="F263" s="1" t="s">
        <v>589</v>
      </c>
      <c r="G263" s="1">
        <v>11.5</v>
      </c>
      <c r="H263" s="1" t="s">
        <v>60</v>
      </c>
      <c r="I263" s="1">
        <v>-128.0</v>
      </c>
      <c r="J263" s="1">
        <v>-0.180247202938903</v>
      </c>
      <c r="K263" s="1" t="s">
        <v>61</v>
      </c>
      <c r="L263" s="1" t="s">
        <v>61</v>
      </c>
      <c r="M263" s="1" t="s">
        <v>62</v>
      </c>
      <c r="N263" s="1">
        <v>-103.0</v>
      </c>
      <c r="O263" s="1">
        <v>0.111461384917103</v>
      </c>
      <c r="P263" s="1" t="s">
        <v>61</v>
      </c>
      <c r="Q263" s="1" t="s">
        <v>61</v>
      </c>
      <c r="R263" s="1">
        <f t="shared" si="1"/>
        <v>0.1114613849</v>
      </c>
      <c r="S263" s="1">
        <f t="shared" si="2"/>
        <v>-103</v>
      </c>
      <c r="T263" s="1">
        <f t="shared" si="3"/>
        <v>1.970873786</v>
      </c>
      <c r="U263" s="1">
        <f t="shared" si="4"/>
        <v>0</v>
      </c>
      <c r="V263" s="3">
        <f t="shared" si="5"/>
        <v>3</v>
      </c>
      <c r="W263" s="3">
        <f t="shared" si="6"/>
        <v>2</v>
      </c>
      <c r="X263" s="3" t="str">
        <f>IFERROR(__xludf.DUMMYFUNCTION("split(B263,"" "")"),"K.")</f>
        <v>K.</v>
      </c>
      <c r="Y263" s="3" t="str">
        <f>IFERROR(__xludf.DUMMYFUNCTION("""COMPUTED_VALUE"""),"Hunt")</f>
        <v>Hunt</v>
      </c>
      <c r="AA263" s="3">
        <v>27.0</v>
      </c>
      <c r="AB263" s="3">
        <f t="shared" si="7"/>
        <v>1</v>
      </c>
      <c r="AC263" s="3">
        <f t="shared" si="8"/>
        <v>0</v>
      </c>
      <c r="AD263" s="3">
        <f t="shared" si="9"/>
        <v>2.912621359</v>
      </c>
      <c r="AE263" s="3">
        <f t="shared" si="10"/>
        <v>-3</v>
      </c>
      <c r="AF263" s="3">
        <f t="shared" si="11"/>
        <v>-2</v>
      </c>
      <c r="AG263" s="3">
        <f t="shared" si="12"/>
        <v>-1.347826087</v>
      </c>
    </row>
    <row r="264">
      <c r="A264" s="1" t="s">
        <v>8</v>
      </c>
      <c r="B264" s="1" t="s">
        <v>75</v>
      </c>
      <c r="C264" s="1" t="s">
        <v>21</v>
      </c>
      <c r="D264" s="1" t="s">
        <v>76</v>
      </c>
      <c r="E264" s="1" t="s">
        <v>58</v>
      </c>
      <c r="F264" s="1" t="s">
        <v>589</v>
      </c>
      <c r="G264" s="1">
        <v>4.5</v>
      </c>
      <c r="H264" s="1" t="s">
        <v>60</v>
      </c>
      <c r="I264" s="1">
        <v>-110.0</v>
      </c>
      <c r="J264" s="1">
        <v>-0.170948552420123</v>
      </c>
      <c r="K264" s="1" t="s">
        <v>61</v>
      </c>
      <c r="L264" s="1" t="s">
        <v>61</v>
      </c>
      <c r="M264" s="1" t="s">
        <v>62</v>
      </c>
      <c r="N264" s="1">
        <v>-120.0</v>
      </c>
      <c r="O264" s="1">
        <v>0.101690160044868</v>
      </c>
      <c r="P264" s="1" t="s">
        <v>61</v>
      </c>
      <c r="Q264" s="1" t="s">
        <v>61</v>
      </c>
      <c r="R264" s="1">
        <f t="shared" si="1"/>
        <v>0.10169016</v>
      </c>
      <c r="S264" s="1">
        <f t="shared" si="2"/>
        <v>-120</v>
      </c>
      <c r="T264" s="1">
        <f t="shared" si="3"/>
        <v>1.833333333</v>
      </c>
      <c r="U264" s="1">
        <f t="shared" si="4"/>
        <v>0</v>
      </c>
      <c r="V264" s="3">
        <f t="shared" si="5"/>
        <v>3</v>
      </c>
      <c r="W264" s="3">
        <f t="shared" si="6"/>
        <v>3</v>
      </c>
      <c r="X264" s="3" t="str">
        <f>IFERROR(__xludf.DUMMYFUNCTION("split(B264,"" "")"),"P.")</f>
        <v>P.</v>
      </c>
      <c r="Y264" s="3" t="str">
        <f>IFERROR(__xludf.DUMMYFUNCTION("""COMPUTED_VALUE"""),"Mahomes")</f>
        <v>Mahomes</v>
      </c>
      <c r="AA264" s="3">
        <v>6.0</v>
      </c>
      <c r="AB264" s="3">
        <f t="shared" si="7"/>
        <v>1</v>
      </c>
      <c r="AC264" s="3">
        <f t="shared" si="8"/>
        <v>0</v>
      </c>
      <c r="AD264" s="3">
        <f t="shared" si="9"/>
        <v>2.5</v>
      </c>
      <c r="AE264" s="3">
        <f t="shared" si="10"/>
        <v>-3</v>
      </c>
      <c r="AF264" s="3">
        <f t="shared" si="11"/>
        <v>-3</v>
      </c>
      <c r="AG264" s="3">
        <f t="shared" si="12"/>
        <v>-0.3333333333</v>
      </c>
    </row>
    <row r="265">
      <c r="A265" s="1" t="s">
        <v>10</v>
      </c>
      <c r="B265" s="1" t="s">
        <v>424</v>
      </c>
      <c r="C265" s="1" t="s">
        <v>19</v>
      </c>
      <c r="D265" s="1" t="s">
        <v>76</v>
      </c>
      <c r="E265" s="1" t="s">
        <v>58</v>
      </c>
      <c r="F265" s="1" t="s">
        <v>589</v>
      </c>
      <c r="G265" s="1">
        <v>15.5</v>
      </c>
      <c r="H265" s="1" t="s">
        <v>60</v>
      </c>
      <c r="I265" s="1">
        <v>-120.0</v>
      </c>
      <c r="J265" s="1">
        <v>-0.136895183494849</v>
      </c>
      <c r="K265" s="1" t="s">
        <v>61</v>
      </c>
      <c r="L265" s="1" t="s">
        <v>61</v>
      </c>
      <c r="M265" s="1" t="s">
        <v>62</v>
      </c>
      <c r="N265" s="1">
        <v>-110.0</v>
      </c>
      <c r="O265" s="1">
        <v>0.0676373066940642</v>
      </c>
      <c r="P265" s="1" t="s">
        <v>61</v>
      </c>
      <c r="Q265" s="1" t="s">
        <v>61</v>
      </c>
      <c r="R265" s="1">
        <f t="shared" si="1"/>
        <v>0.06763730669</v>
      </c>
      <c r="S265" s="1">
        <f t="shared" si="2"/>
        <v>-110</v>
      </c>
      <c r="T265" s="1">
        <f t="shared" si="3"/>
        <v>1.909090909</v>
      </c>
      <c r="U265" s="1">
        <f t="shared" si="4"/>
        <v>0</v>
      </c>
      <c r="V265" s="3">
        <f t="shared" si="5"/>
        <v>2</v>
      </c>
      <c r="W265" s="3">
        <f t="shared" si="6"/>
        <v>2</v>
      </c>
      <c r="X265" s="3" t="str">
        <f>IFERROR(__xludf.DUMMYFUNCTION("split(B265,"" "")"),"S.")</f>
        <v>S.</v>
      </c>
      <c r="Y265" s="3" t="str">
        <f>IFERROR(__xludf.DUMMYFUNCTION("""COMPUTED_VALUE"""),"Perine")</f>
        <v>Perine</v>
      </c>
      <c r="AA265" s="3">
        <v>0.0</v>
      </c>
      <c r="AB265" s="3">
        <f t="shared" si="7"/>
        <v>0</v>
      </c>
      <c r="AC265" s="3">
        <f t="shared" si="8"/>
        <v>1</v>
      </c>
      <c r="AD265" s="3">
        <f t="shared" si="9"/>
        <v>1.818181818</v>
      </c>
      <c r="AE265" s="3">
        <f t="shared" si="10"/>
        <v>1.818181818</v>
      </c>
      <c r="AF265" s="3">
        <f t="shared" si="11"/>
        <v>1.818181818</v>
      </c>
      <c r="AG265" s="3">
        <f t="shared" si="12"/>
        <v>1</v>
      </c>
    </row>
    <row r="266">
      <c r="A266" s="1" t="s">
        <v>12</v>
      </c>
      <c r="B266" s="1" t="s">
        <v>424</v>
      </c>
      <c r="C266" s="1" t="s">
        <v>19</v>
      </c>
      <c r="D266" s="1" t="s">
        <v>76</v>
      </c>
      <c r="E266" s="1" t="s">
        <v>58</v>
      </c>
      <c r="F266" s="1" t="s">
        <v>589</v>
      </c>
      <c r="G266" s="1">
        <v>2.5</v>
      </c>
      <c r="H266" s="1" t="s">
        <v>60</v>
      </c>
      <c r="I266" s="1">
        <v>139.0</v>
      </c>
      <c r="J266" s="1">
        <v>-0.127704616537238</v>
      </c>
      <c r="K266" s="1" t="s">
        <v>61</v>
      </c>
      <c r="L266" s="1" t="s">
        <v>61</v>
      </c>
      <c r="M266" s="1" t="s">
        <v>62</v>
      </c>
      <c r="N266" s="1">
        <v>-185.0</v>
      </c>
      <c r="O266" s="1">
        <v>0.0601711377052631</v>
      </c>
      <c r="P266" s="1" t="s">
        <v>61</v>
      </c>
      <c r="Q266" s="1" t="s">
        <v>61</v>
      </c>
      <c r="R266" s="1">
        <f t="shared" si="1"/>
        <v>0.06017113771</v>
      </c>
      <c r="S266" s="1">
        <f t="shared" si="2"/>
        <v>-185</v>
      </c>
      <c r="T266" s="1">
        <f t="shared" si="3"/>
        <v>1.540540541</v>
      </c>
      <c r="U266" s="1">
        <f t="shared" si="4"/>
        <v>0</v>
      </c>
      <c r="V266" s="3">
        <f t="shared" si="5"/>
        <v>2</v>
      </c>
      <c r="W266" s="3">
        <f t="shared" si="6"/>
        <v>3</v>
      </c>
      <c r="X266" s="3" t="str">
        <f>IFERROR(__xludf.DUMMYFUNCTION("split(B266,"" "")"),"S.")</f>
        <v>S.</v>
      </c>
      <c r="Y266" s="3" t="str">
        <f>IFERROR(__xludf.DUMMYFUNCTION("""COMPUTED_VALUE"""),"Perine")</f>
        <v>Perine</v>
      </c>
      <c r="AA266" s="3">
        <v>1.0</v>
      </c>
      <c r="AB266" s="3">
        <f t="shared" si="7"/>
        <v>0</v>
      </c>
      <c r="AC266" s="3">
        <f t="shared" si="8"/>
        <v>1</v>
      </c>
      <c r="AD266" s="3">
        <f t="shared" si="9"/>
        <v>1.081081081</v>
      </c>
      <c r="AE266" s="3">
        <f t="shared" si="10"/>
        <v>1.081081081</v>
      </c>
      <c r="AF266" s="3">
        <f t="shared" si="11"/>
        <v>1.621621622</v>
      </c>
      <c r="AG266" s="3">
        <f t="shared" si="12"/>
        <v>0.6</v>
      </c>
    </row>
    <row r="267">
      <c r="A267" s="1" t="s">
        <v>12</v>
      </c>
      <c r="B267" s="1" t="s">
        <v>468</v>
      </c>
      <c r="C267" s="1" t="s">
        <v>20</v>
      </c>
      <c r="D267" s="1" t="s">
        <v>76</v>
      </c>
      <c r="E267" s="1" t="s">
        <v>58</v>
      </c>
      <c r="F267" s="1" t="s">
        <v>589</v>
      </c>
      <c r="G267" s="1">
        <v>2.5</v>
      </c>
      <c r="H267" s="1" t="s">
        <v>60</v>
      </c>
      <c r="I267" s="1">
        <v>124.0</v>
      </c>
      <c r="J267" s="1">
        <v>-0.121771570566071</v>
      </c>
      <c r="K267" s="1" t="s">
        <v>61</v>
      </c>
      <c r="L267" s="1" t="s">
        <v>61</v>
      </c>
      <c r="M267" s="1" t="s">
        <v>62</v>
      </c>
      <c r="N267" s="1">
        <v>-164.0</v>
      </c>
      <c r="O267" s="1">
        <v>0.054123913010606</v>
      </c>
      <c r="P267" s="1" t="s">
        <v>61</v>
      </c>
      <c r="Q267" s="1" t="s">
        <v>61</v>
      </c>
      <c r="R267" s="1">
        <f t="shared" si="1"/>
        <v>0.05412391301</v>
      </c>
      <c r="S267" s="1">
        <f t="shared" si="2"/>
        <v>-164</v>
      </c>
      <c r="T267" s="1">
        <f t="shared" si="3"/>
        <v>1.609756098</v>
      </c>
      <c r="U267" s="1">
        <f t="shared" si="4"/>
        <v>0</v>
      </c>
      <c r="V267" s="3">
        <f t="shared" si="5"/>
        <v>2</v>
      </c>
      <c r="W267" s="3">
        <f t="shared" si="6"/>
        <v>3</v>
      </c>
      <c r="X267" s="3" t="str">
        <f>IFERROR(__xludf.DUMMYFUNCTION("split(B267,"" "")"),"N.")</f>
        <v>N.</v>
      </c>
      <c r="Y267" s="3" t="str">
        <f>IFERROR(__xludf.DUMMYFUNCTION("""COMPUTED_VALUE"""),"Gray")</f>
        <v>Gray</v>
      </c>
      <c r="AA267" s="3">
        <v>2.0</v>
      </c>
      <c r="AB267" s="3">
        <f t="shared" si="7"/>
        <v>0</v>
      </c>
      <c r="AC267" s="3">
        <f t="shared" si="8"/>
        <v>1</v>
      </c>
      <c r="AD267" s="3">
        <f t="shared" si="9"/>
        <v>1.219512195</v>
      </c>
      <c r="AE267" s="3">
        <f t="shared" si="10"/>
        <v>1.219512195</v>
      </c>
      <c r="AF267" s="3">
        <f t="shared" si="11"/>
        <v>1.829268293</v>
      </c>
      <c r="AG267" s="3">
        <f t="shared" si="12"/>
        <v>0.2</v>
      </c>
    </row>
    <row r="268">
      <c r="A268" s="1" t="s">
        <v>12</v>
      </c>
      <c r="B268" s="1" t="s">
        <v>326</v>
      </c>
      <c r="C268" s="1" t="s">
        <v>20</v>
      </c>
      <c r="D268" s="1" t="s">
        <v>76</v>
      </c>
      <c r="E268" s="1" t="s">
        <v>58</v>
      </c>
      <c r="F268" s="1" t="s">
        <v>589</v>
      </c>
      <c r="G268" s="1">
        <v>5.5</v>
      </c>
      <c r="H268" s="1" t="s">
        <v>60</v>
      </c>
      <c r="I268" s="1">
        <v>-127.0</v>
      </c>
      <c r="J268" s="1">
        <v>0.0535286343612334</v>
      </c>
      <c r="K268" s="1" t="s">
        <v>61</v>
      </c>
      <c r="L268" s="1" t="s">
        <v>61</v>
      </c>
      <c r="M268" s="1" t="s">
        <v>62</v>
      </c>
      <c r="N268" s="1">
        <v>-103.0</v>
      </c>
      <c r="O268" s="1">
        <v>-0.120389162561576</v>
      </c>
      <c r="P268" s="1" t="s">
        <v>61</v>
      </c>
      <c r="Q268" s="1" t="s">
        <v>61</v>
      </c>
      <c r="R268" s="1">
        <f t="shared" si="1"/>
        <v>0.05352863436</v>
      </c>
      <c r="S268" s="1">
        <f t="shared" si="2"/>
        <v>-127</v>
      </c>
      <c r="T268" s="1">
        <f t="shared" si="3"/>
        <v>1.787401575</v>
      </c>
      <c r="U268" s="1">
        <f t="shared" si="4"/>
        <v>1</v>
      </c>
      <c r="V268" s="3">
        <f t="shared" si="5"/>
        <v>2</v>
      </c>
      <c r="W268" s="3">
        <f t="shared" si="6"/>
        <v>3</v>
      </c>
      <c r="X268" s="3" t="str">
        <f>IFERROR(__xludf.DUMMYFUNCTION("split(B268,"" "")"),"T.")</f>
        <v>T.</v>
      </c>
      <c r="Y268" s="3" t="str">
        <f>IFERROR(__xludf.DUMMYFUNCTION("""COMPUTED_VALUE"""),"Kelce")</f>
        <v>Kelce</v>
      </c>
      <c r="AA268" s="3">
        <v>9.0</v>
      </c>
      <c r="AB268" s="3">
        <f t="shared" si="7"/>
        <v>1</v>
      </c>
      <c r="AC268" s="3">
        <f t="shared" si="8"/>
        <v>1</v>
      </c>
      <c r="AD268" s="3">
        <f t="shared" si="9"/>
        <v>1.57480315</v>
      </c>
      <c r="AE268" s="3">
        <f t="shared" si="10"/>
        <v>1.57480315</v>
      </c>
      <c r="AF268" s="3">
        <f t="shared" si="11"/>
        <v>2.362204724</v>
      </c>
      <c r="AG268" s="3">
        <f t="shared" si="12"/>
        <v>0.6363636364</v>
      </c>
    </row>
    <row r="269">
      <c r="A269" s="1" t="s">
        <v>17</v>
      </c>
      <c r="B269" s="1" t="s">
        <v>75</v>
      </c>
      <c r="C269" s="1" t="s">
        <v>21</v>
      </c>
      <c r="D269" s="1" t="s">
        <v>76</v>
      </c>
      <c r="E269" s="1" t="s">
        <v>58</v>
      </c>
      <c r="F269" s="1" t="s">
        <v>589</v>
      </c>
      <c r="G269" s="1">
        <v>0.5</v>
      </c>
      <c r="H269" s="1" t="s">
        <v>60</v>
      </c>
      <c r="I269" s="1">
        <v>-128.0</v>
      </c>
      <c r="J269" s="1">
        <v>-0.115903508771929</v>
      </c>
      <c r="K269" s="1" t="s">
        <v>61</v>
      </c>
      <c r="L269" s="1" t="s">
        <v>61</v>
      </c>
      <c r="M269" s="1" t="s">
        <v>62</v>
      </c>
      <c r="N269" s="1">
        <v>-102.0</v>
      </c>
      <c r="O269" s="1">
        <v>0.049549504950495</v>
      </c>
      <c r="P269" s="1" t="s">
        <v>61</v>
      </c>
      <c r="Q269" s="1" t="s">
        <v>61</v>
      </c>
      <c r="R269" s="1">
        <f t="shared" si="1"/>
        <v>0.04954950495</v>
      </c>
      <c r="S269" s="1">
        <f t="shared" si="2"/>
        <v>-102</v>
      </c>
      <c r="T269" s="1">
        <f t="shared" si="3"/>
        <v>1.980392157</v>
      </c>
      <c r="U269" s="1">
        <f t="shared" si="4"/>
        <v>0</v>
      </c>
      <c r="V269" s="3">
        <f t="shared" si="5"/>
        <v>1</v>
      </c>
      <c r="W269" s="3">
        <f t="shared" si="6"/>
        <v>2</v>
      </c>
      <c r="X269" s="3" t="str">
        <f>IFERROR(__xludf.DUMMYFUNCTION("split(B269,"" "")"),"P.")</f>
        <v>P.</v>
      </c>
      <c r="Y269" s="3" t="str">
        <f>IFERROR(__xludf.DUMMYFUNCTION("""COMPUTED_VALUE"""),"Mahomes")</f>
        <v>Mahomes</v>
      </c>
      <c r="AA269" s="3">
        <v>1.0</v>
      </c>
      <c r="AB269" s="3">
        <f t="shared" si="7"/>
        <v>1</v>
      </c>
      <c r="AC269" s="3">
        <f t="shared" si="8"/>
        <v>0</v>
      </c>
      <c r="AD269" s="3">
        <f t="shared" si="9"/>
        <v>0.9803921569</v>
      </c>
      <c r="AE269" s="3">
        <f t="shared" si="10"/>
        <v>-1</v>
      </c>
      <c r="AF269" s="3">
        <f t="shared" si="11"/>
        <v>-2</v>
      </c>
      <c r="AG269" s="3">
        <f t="shared" si="12"/>
        <v>-1</v>
      </c>
    </row>
    <row r="270">
      <c r="A270" s="1" t="s">
        <v>10</v>
      </c>
      <c r="B270" s="1" t="s">
        <v>591</v>
      </c>
      <c r="C270" s="1" t="s">
        <v>19</v>
      </c>
      <c r="D270" s="1" t="s">
        <v>76</v>
      </c>
      <c r="E270" s="1" t="s">
        <v>58</v>
      </c>
      <c r="F270" s="1" t="s">
        <v>589</v>
      </c>
      <c r="G270" s="1">
        <v>48.5</v>
      </c>
      <c r="H270" s="1" t="s">
        <v>60</v>
      </c>
      <c r="I270" s="1">
        <v>-115.0</v>
      </c>
      <c r="J270" s="1">
        <v>-0.104064508004821</v>
      </c>
      <c r="K270" s="1" t="s">
        <v>61</v>
      </c>
      <c r="L270" s="1" t="s">
        <v>61</v>
      </c>
      <c r="M270" s="1" t="s">
        <v>62</v>
      </c>
      <c r="N270" s="1">
        <v>-109.0</v>
      </c>
      <c r="O270" s="1">
        <v>0.0476594059407178</v>
      </c>
      <c r="P270" s="1" t="s">
        <v>61</v>
      </c>
      <c r="Q270" s="1" t="s">
        <v>61</v>
      </c>
      <c r="R270" s="1">
        <f t="shared" si="1"/>
        <v>0.04765940594</v>
      </c>
      <c r="S270" s="1">
        <f t="shared" si="2"/>
        <v>-109</v>
      </c>
      <c r="T270" s="1">
        <f t="shared" si="3"/>
        <v>1.917431193</v>
      </c>
      <c r="U270" s="1">
        <f t="shared" si="4"/>
        <v>0</v>
      </c>
      <c r="V270" s="3">
        <f t="shared" si="5"/>
        <v>1</v>
      </c>
      <c r="W270" s="3">
        <f t="shared" si="6"/>
        <v>2</v>
      </c>
      <c r="X270" s="3" t="str">
        <f>IFERROR(__xludf.DUMMYFUNCTION("split(B270,"" "")"),"K.")</f>
        <v>K.</v>
      </c>
      <c r="Y270" s="3" t="str">
        <f>IFERROR(__xludf.DUMMYFUNCTION("""COMPUTED_VALUE"""),"Hunt")</f>
        <v>Hunt</v>
      </c>
      <c r="AA270" s="3">
        <v>102.0</v>
      </c>
      <c r="AB270" s="3">
        <f t="shared" si="7"/>
        <v>1</v>
      </c>
      <c r="AC270" s="3">
        <f t="shared" si="8"/>
        <v>0</v>
      </c>
      <c r="AD270" s="3">
        <f t="shared" si="9"/>
        <v>0.9174311927</v>
      </c>
      <c r="AE270" s="3">
        <f t="shared" si="10"/>
        <v>-1</v>
      </c>
      <c r="AF270" s="3">
        <f t="shared" si="11"/>
        <v>-2</v>
      </c>
      <c r="AG270" s="3">
        <f t="shared" si="12"/>
        <v>-1.103092784</v>
      </c>
    </row>
    <row r="271">
      <c r="A271" s="1" t="s">
        <v>10</v>
      </c>
      <c r="B271" s="1" t="s">
        <v>75</v>
      </c>
      <c r="C271" s="1" t="s">
        <v>21</v>
      </c>
      <c r="D271" s="1" t="s">
        <v>76</v>
      </c>
      <c r="E271" s="1" t="s">
        <v>58</v>
      </c>
      <c r="F271" s="1" t="s">
        <v>589</v>
      </c>
      <c r="G271" s="1">
        <v>18.5</v>
      </c>
      <c r="H271" s="1" t="s">
        <v>60</v>
      </c>
      <c r="I271" s="1">
        <v>-116.0</v>
      </c>
      <c r="J271" s="1">
        <v>-0.103916975395241</v>
      </c>
      <c r="K271" s="1" t="s">
        <v>61</v>
      </c>
      <c r="L271" s="1" t="s">
        <v>61</v>
      </c>
      <c r="M271" s="1" t="s">
        <v>62</v>
      </c>
      <c r="N271" s="1">
        <v>-110.0</v>
      </c>
      <c r="O271" s="1">
        <v>0.0430940635900445</v>
      </c>
      <c r="P271" s="1" t="s">
        <v>61</v>
      </c>
      <c r="Q271" s="1" t="s">
        <v>61</v>
      </c>
      <c r="R271" s="1">
        <f t="shared" si="1"/>
        <v>0.04309406359</v>
      </c>
      <c r="S271" s="1">
        <f t="shared" si="2"/>
        <v>-110</v>
      </c>
      <c r="T271" s="1">
        <f t="shared" si="3"/>
        <v>1.909090909</v>
      </c>
      <c r="U271" s="1">
        <f t="shared" si="4"/>
        <v>0</v>
      </c>
      <c r="V271" s="3">
        <f t="shared" si="5"/>
        <v>1</v>
      </c>
      <c r="W271" s="3">
        <f t="shared" si="6"/>
        <v>2</v>
      </c>
      <c r="X271" s="3" t="str">
        <f>IFERROR(__xludf.DUMMYFUNCTION("split(B271,"" "")"),"P.")</f>
        <v>P.</v>
      </c>
      <c r="Y271" s="3" t="str">
        <f>IFERROR(__xludf.DUMMYFUNCTION("""COMPUTED_VALUE"""),"Mahomes")</f>
        <v>Mahomes</v>
      </c>
      <c r="AA271" s="3">
        <v>22.0</v>
      </c>
      <c r="AB271" s="3">
        <f t="shared" si="7"/>
        <v>1</v>
      </c>
      <c r="AC271" s="3">
        <f t="shared" si="8"/>
        <v>0</v>
      </c>
      <c r="AD271" s="3">
        <f t="shared" si="9"/>
        <v>0.9090909091</v>
      </c>
      <c r="AE271" s="3">
        <f t="shared" si="10"/>
        <v>-1</v>
      </c>
      <c r="AF271" s="3">
        <f t="shared" si="11"/>
        <v>-2</v>
      </c>
      <c r="AG271" s="3">
        <f t="shared" si="12"/>
        <v>-0.1891891892</v>
      </c>
    </row>
    <row r="272">
      <c r="A272" s="1" t="s">
        <v>15</v>
      </c>
      <c r="B272" s="1" t="s">
        <v>75</v>
      </c>
      <c r="C272" s="1" t="s">
        <v>21</v>
      </c>
      <c r="D272" s="1" t="s">
        <v>76</v>
      </c>
      <c r="E272" s="1" t="s">
        <v>58</v>
      </c>
      <c r="F272" s="1" t="s">
        <v>589</v>
      </c>
      <c r="G272" s="1">
        <v>22.5</v>
      </c>
      <c r="H272" s="1" t="s">
        <v>60</v>
      </c>
      <c r="I272" s="1">
        <v>-121.0</v>
      </c>
      <c r="J272" s="1">
        <v>0.0424981900452489</v>
      </c>
      <c r="K272" s="1" t="s">
        <v>61</v>
      </c>
      <c r="L272" s="1" t="s">
        <v>61</v>
      </c>
      <c r="M272" s="1" t="s">
        <v>62</v>
      </c>
      <c r="N272" s="1">
        <v>-110.0</v>
      </c>
      <c r="O272" s="1">
        <v>-0.113804761904761</v>
      </c>
      <c r="P272" s="1" t="s">
        <v>61</v>
      </c>
      <c r="Q272" s="1" t="s">
        <v>61</v>
      </c>
      <c r="R272" s="1">
        <f t="shared" si="1"/>
        <v>0.04249819005</v>
      </c>
      <c r="S272" s="1">
        <f t="shared" si="2"/>
        <v>-121</v>
      </c>
      <c r="T272" s="1">
        <f t="shared" si="3"/>
        <v>1.826446281</v>
      </c>
      <c r="U272" s="1">
        <f t="shared" si="4"/>
        <v>1</v>
      </c>
      <c r="V272" s="3">
        <f t="shared" si="5"/>
        <v>1</v>
      </c>
      <c r="W272" s="3">
        <f t="shared" si="6"/>
        <v>3</v>
      </c>
      <c r="X272" s="3" t="str">
        <f>IFERROR(__xludf.DUMMYFUNCTION("split(B272,"" "")"),"P.")</f>
        <v>P.</v>
      </c>
      <c r="Y272" s="3" t="str">
        <f>IFERROR(__xludf.DUMMYFUNCTION("""COMPUTED_VALUE"""),"Mahomes")</f>
        <v>Mahomes</v>
      </c>
      <c r="AA272" s="3">
        <v>28.0</v>
      </c>
      <c r="AB272" s="3">
        <f t="shared" si="7"/>
        <v>1</v>
      </c>
      <c r="AC272" s="3">
        <f t="shared" si="8"/>
        <v>1</v>
      </c>
      <c r="AD272" s="3">
        <f t="shared" si="9"/>
        <v>0.826446281</v>
      </c>
      <c r="AE272" s="3">
        <f t="shared" si="10"/>
        <v>0.826446281</v>
      </c>
      <c r="AF272" s="3">
        <f t="shared" si="11"/>
        <v>2.479338843</v>
      </c>
      <c r="AG272" s="3">
        <f t="shared" si="12"/>
        <v>0.2444444444</v>
      </c>
    </row>
    <row r="273">
      <c r="A273" s="1" t="s">
        <v>11</v>
      </c>
      <c r="B273" s="1" t="s">
        <v>237</v>
      </c>
      <c r="C273" s="1" t="s">
        <v>18</v>
      </c>
      <c r="D273" s="1" t="s">
        <v>76</v>
      </c>
      <c r="E273" s="1" t="s">
        <v>58</v>
      </c>
      <c r="F273" s="1" t="s">
        <v>589</v>
      </c>
      <c r="G273" s="1">
        <v>25.5</v>
      </c>
      <c r="H273" s="1" t="s">
        <v>60</v>
      </c>
      <c r="I273" s="1">
        <v>-115.0</v>
      </c>
      <c r="J273" s="1">
        <v>-0.104203250576683</v>
      </c>
      <c r="K273" s="1" t="s">
        <v>61</v>
      </c>
      <c r="L273" s="1" t="s">
        <v>61</v>
      </c>
      <c r="M273" s="1" t="s">
        <v>62</v>
      </c>
      <c r="N273" s="1">
        <v>-112.0</v>
      </c>
      <c r="O273" s="1">
        <v>0.041033880843705</v>
      </c>
      <c r="P273" s="1" t="s">
        <v>61</v>
      </c>
      <c r="Q273" s="1" t="s">
        <v>61</v>
      </c>
      <c r="R273" s="1">
        <f t="shared" si="1"/>
        <v>0.04103388084</v>
      </c>
      <c r="S273" s="1">
        <f t="shared" si="2"/>
        <v>-112</v>
      </c>
      <c r="T273" s="1">
        <f t="shared" si="3"/>
        <v>1.892857143</v>
      </c>
      <c r="U273" s="1">
        <f t="shared" si="4"/>
        <v>0</v>
      </c>
      <c r="V273" s="3">
        <f t="shared" si="5"/>
        <v>1</v>
      </c>
      <c r="W273" s="3">
        <f t="shared" si="6"/>
        <v>2</v>
      </c>
      <c r="X273" s="3" t="str">
        <f>IFERROR(__xludf.DUMMYFUNCTION("split(B273,"" "")"),"J.")</f>
        <v>J.</v>
      </c>
      <c r="Y273" s="3" t="str">
        <f>IFERROR(__xludf.DUMMYFUNCTION("""COMPUTED_VALUE"""),"Watson")</f>
        <v>Watson</v>
      </c>
      <c r="AA273" s="3">
        <v>0.0</v>
      </c>
      <c r="AB273" s="3">
        <f t="shared" si="7"/>
        <v>0</v>
      </c>
      <c r="AC273" s="3">
        <f t="shared" si="8"/>
        <v>1</v>
      </c>
      <c r="AD273" s="3">
        <f t="shared" si="9"/>
        <v>0.8928571429</v>
      </c>
      <c r="AE273" s="3">
        <f t="shared" si="10"/>
        <v>0.8928571429</v>
      </c>
      <c r="AF273" s="3">
        <f t="shared" si="11"/>
        <v>1.785714286</v>
      </c>
      <c r="AG273" s="3">
        <f t="shared" si="12"/>
        <v>1</v>
      </c>
    </row>
    <row r="274">
      <c r="A274" s="1" t="s">
        <v>9</v>
      </c>
      <c r="B274" s="1" t="s">
        <v>591</v>
      </c>
      <c r="C274" s="1" t="s">
        <v>19</v>
      </c>
      <c r="D274" s="1" t="s">
        <v>76</v>
      </c>
      <c r="E274" s="1" t="s">
        <v>58</v>
      </c>
      <c r="F274" s="1" t="s">
        <v>589</v>
      </c>
      <c r="G274" s="1">
        <v>65.5</v>
      </c>
      <c r="H274" s="1" t="s">
        <v>60</v>
      </c>
      <c r="I274" s="1">
        <v>-118.0</v>
      </c>
      <c r="J274" s="1">
        <v>-0.106717763897825</v>
      </c>
      <c r="K274" s="1" t="s">
        <v>61</v>
      </c>
      <c r="L274" s="1" t="s">
        <v>61</v>
      </c>
      <c r="M274" s="1" t="s">
        <v>62</v>
      </c>
      <c r="N274" s="1">
        <v>-112.0</v>
      </c>
      <c r="O274" s="1">
        <v>0.0371213643079857</v>
      </c>
      <c r="P274" s="1" t="s">
        <v>61</v>
      </c>
      <c r="Q274" s="1" t="s">
        <v>61</v>
      </c>
      <c r="R274" s="1">
        <f t="shared" si="1"/>
        <v>0.03712136431</v>
      </c>
      <c r="S274" s="1">
        <f t="shared" si="2"/>
        <v>-112</v>
      </c>
      <c r="T274" s="1">
        <f t="shared" si="3"/>
        <v>1.892857143</v>
      </c>
      <c r="U274" s="1">
        <f t="shared" si="4"/>
        <v>0</v>
      </c>
      <c r="V274" s="3">
        <f t="shared" si="5"/>
        <v>1</v>
      </c>
      <c r="W274" s="3">
        <f t="shared" si="6"/>
        <v>2</v>
      </c>
      <c r="X274" s="3" t="str">
        <f>IFERROR(__xludf.DUMMYFUNCTION("split(B274,"" "")"),"K.")</f>
        <v>K.</v>
      </c>
      <c r="Y274" s="3" t="str">
        <f>IFERROR(__xludf.DUMMYFUNCTION("""COMPUTED_VALUE"""),"Hunt")</f>
        <v>Hunt</v>
      </c>
      <c r="AA274" s="3">
        <v>117.0</v>
      </c>
      <c r="AB274" s="3">
        <f t="shared" si="7"/>
        <v>1</v>
      </c>
      <c r="AC274" s="3">
        <f t="shared" si="8"/>
        <v>0</v>
      </c>
      <c r="AD274" s="3">
        <f t="shared" si="9"/>
        <v>0.8928571429</v>
      </c>
      <c r="AE274" s="3">
        <f t="shared" si="10"/>
        <v>-1</v>
      </c>
      <c r="AF274" s="3">
        <f t="shared" si="11"/>
        <v>-2</v>
      </c>
      <c r="AG274" s="3">
        <f t="shared" si="12"/>
        <v>-0.786259542</v>
      </c>
    </row>
    <row r="275">
      <c r="A275" s="1" t="s">
        <v>10</v>
      </c>
      <c r="B275" s="1" t="s">
        <v>542</v>
      </c>
      <c r="C275" s="1" t="s">
        <v>19</v>
      </c>
      <c r="D275" s="1" t="s">
        <v>76</v>
      </c>
      <c r="E275" s="1" t="s">
        <v>58</v>
      </c>
      <c r="F275" s="1" t="s">
        <v>589</v>
      </c>
      <c r="G275" s="1">
        <v>17.5</v>
      </c>
      <c r="H275" s="1" t="s">
        <v>60</v>
      </c>
      <c r="I275" s="1">
        <v>-115.0</v>
      </c>
      <c r="J275" s="1">
        <v>-0.098719332215956</v>
      </c>
      <c r="K275" s="1" t="s">
        <v>61</v>
      </c>
      <c r="L275" s="1" t="s">
        <v>61</v>
      </c>
      <c r="M275" s="1" t="s">
        <v>62</v>
      </c>
      <c r="N275" s="1">
        <v>-115.0</v>
      </c>
      <c r="O275" s="1">
        <v>0.0289722320483492</v>
      </c>
      <c r="P275" s="1" t="s">
        <v>61</v>
      </c>
      <c r="Q275" s="1" t="s">
        <v>61</v>
      </c>
      <c r="R275" s="1">
        <f t="shared" si="1"/>
        <v>0.02897223205</v>
      </c>
      <c r="S275" s="1">
        <f t="shared" si="2"/>
        <v>-115</v>
      </c>
      <c r="T275" s="1">
        <f t="shared" si="3"/>
        <v>1.869565217</v>
      </c>
      <c r="U275" s="1">
        <f t="shared" si="4"/>
        <v>0</v>
      </c>
      <c r="V275" s="3">
        <f t="shared" si="5"/>
        <v>1</v>
      </c>
      <c r="W275" s="3">
        <f t="shared" si="6"/>
        <v>2</v>
      </c>
      <c r="X275" s="3" t="str">
        <f>IFERROR(__xludf.DUMMYFUNCTION("split(B275,"" "")"),"C.")</f>
        <v>C.</v>
      </c>
      <c r="Y275" s="3" t="str">
        <f>IFERROR(__xludf.DUMMYFUNCTION("""COMPUTED_VALUE"""),"Steele")</f>
        <v>Steele</v>
      </c>
      <c r="AA275" s="3">
        <v>12.0</v>
      </c>
      <c r="AB275" s="3">
        <f t="shared" si="7"/>
        <v>0</v>
      </c>
      <c r="AC275" s="3">
        <f t="shared" si="8"/>
        <v>1</v>
      </c>
      <c r="AD275" s="3">
        <f t="shared" si="9"/>
        <v>0.8695652174</v>
      </c>
      <c r="AE275" s="3">
        <f t="shared" si="10"/>
        <v>0.8695652174</v>
      </c>
      <c r="AF275" s="3">
        <f t="shared" si="11"/>
        <v>1.739130435</v>
      </c>
      <c r="AG275" s="3">
        <f t="shared" si="12"/>
        <v>0.3142857143</v>
      </c>
    </row>
    <row r="276">
      <c r="A276" s="1" t="s">
        <v>9</v>
      </c>
      <c r="B276" s="1" t="s">
        <v>295</v>
      </c>
      <c r="C276" s="1" t="s">
        <v>18</v>
      </c>
      <c r="D276" s="1" t="s">
        <v>76</v>
      </c>
      <c r="E276" s="1" t="s">
        <v>58</v>
      </c>
      <c r="F276" s="1" t="s">
        <v>589</v>
      </c>
      <c r="G276" s="1">
        <v>49.0</v>
      </c>
      <c r="H276" s="1" t="s">
        <v>60</v>
      </c>
      <c r="I276" s="1">
        <v>-120.0</v>
      </c>
      <c r="J276" s="1">
        <v>0.0279578852795665</v>
      </c>
      <c r="K276" s="1" t="s">
        <v>61</v>
      </c>
      <c r="L276" s="1" t="s">
        <v>61</v>
      </c>
      <c r="M276" s="1" t="s">
        <v>62</v>
      </c>
      <c r="N276" s="1">
        <v>-113.0</v>
      </c>
      <c r="O276" s="1">
        <v>-0.102944836997653</v>
      </c>
      <c r="P276" s="1" t="s">
        <v>61</v>
      </c>
      <c r="Q276" s="1" t="s">
        <v>61</v>
      </c>
      <c r="R276" s="1">
        <f t="shared" si="1"/>
        <v>0.02795788528</v>
      </c>
      <c r="S276" s="1">
        <f t="shared" si="2"/>
        <v>-120</v>
      </c>
      <c r="T276" s="1">
        <f t="shared" si="3"/>
        <v>1.833333333</v>
      </c>
      <c r="U276" s="1">
        <f t="shared" si="4"/>
        <v>1</v>
      </c>
      <c r="V276" s="3">
        <f t="shared" si="5"/>
        <v>1</v>
      </c>
      <c r="W276" s="3">
        <f t="shared" si="6"/>
        <v>3</v>
      </c>
      <c r="X276" s="3" t="str">
        <f>IFERROR(__xludf.DUMMYFUNCTION("split(B276,"" "")"),"X.")</f>
        <v>X.</v>
      </c>
      <c r="Y276" s="3" t="str">
        <f>IFERROR(__xludf.DUMMYFUNCTION("""COMPUTED_VALUE"""),"Worthy")</f>
        <v>Worthy</v>
      </c>
      <c r="AA276" s="3">
        <v>28.0</v>
      </c>
      <c r="AB276" s="3">
        <f t="shared" si="7"/>
        <v>0</v>
      </c>
      <c r="AC276" s="3">
        <f t="shared" si="8"/>
        <v>0</v>
      </c>
      <c r="AD276" s="3">
        <f t="shared" si="9"/>
        <v>0.8333333333</v>
      </c>
      <c r="AE276" s="3">
        <f t="shared" si="10"/>
        <v>-1</v>
      </c>
      <c r="AF276" s="3">
        <f t="shared" si="11"/>
        <v>-3</v>
      </c>
      <c r="AG276" s="3">
        <f t="shared" si="12"/>
        <v>-0.4285714286</v>
      </c>
    </row>
    <row r="277">
      <c r="A277" s="1" t="s">
        <v>11</v>
      </c>
      <c r="B277" s="1" t="s">
        <v>468</v>
      </c>
      <c r="C277" s="1" t="s">
        <v>20</v>
      </c>
      <c r="D277" s="1" t="s">
        <v>76</v>
      </c>
      <c r="E277" s="1" t="s">
        <v>58</v>
      </c>
      <c r="F277" s="1" t="s">
        <v>589</v>
      </c>
      <c r="G277" s="1">
        <v>19.5</v>
      </c>
      <c r="H277" s="1" t="s">
        <v>60</v>
      </c>
      <c r="I277" s="1">
        <v>-121.0</v>
      </c>
      <c r="J277" s="1">
        <v>-0.0805167486308598</v>
      </c>
      <c r="K277" s="1" t="s">
        <v>61</v>
      </c>
      <c r="L277" s="1" t="s">
        <v>61</v>
      </c>
      <c r="M277" s="1" t="s">
        <v>62</v>
      </c>
      <c r="N277" s="1">
        <v>-109.0</v>
      </c>
      <c r="O277" s="1">
        <v>0.0114751654434823</v>
      </c>
      <c r="P277" s="1" t="s">
        <v>61</v>
      </c>
      <c r="Q277" s="1" t="s">
        <v>61</v>
      </c>
      <c r="R277" s="1">
        <f t="shared" si="1"/>
        <v>0.01147516544</v>
      </c>
      <c r="S277" s="1">
        <f t="shared" si="2"/>
        <v>-109</v>
      </c>
      <c r="T277" s="1">
        <f t="shared" si="3"/>
        <v>1.917431193</v>
      </c>
      <c r="U277" s="1">
        <f t="shared" si="4"/>
        <v>0</v>
      </c>
      <c r="V277" s="3">
        <f t="shared" si="5"/>
        <v>1</v>
      </c>
      <c r="W277" s="3">
        <f t="shared" si="6"/>
        <v>2</v>
      </c>
      <c r="X277" s="3" t="str">
        <f>IFERROR(__xludf.DUMMYFUNCTION("split(B277,"" "")"),"N.")</f>
        <v>N.</v>
      </c>
      <c r="Y277" s="3" t="str">
        <f>IFERROR(__xludf.DUMMYFUNCTION("""COMPUTED_VALUE"""),"Gray")</f>
        <v>Gray</v>
      </c>
      <c r="AA277" s="3">
        <v>29.0</v>
      </c>
      <c r="AB277" s="3">
        <f t="shared" si="7"/>
        <v>1</v>
      </c>
      <c r="AC277" s="3">
        <f t="shared" si="8"/>
        <v>0</v>
      </c>
      <c r="AD277" s="3">
        <f t="shared" si="9"/>
        <v>0.9174311927</v>
      </c>
      <c r="AE277" s="3">
        <f t="shared" si="10"/>
        <v>-1</v>
      </c>
      <c r="AF277" s="3">
        <f t="shared" si="11"/>
        <v>-2</v>
      </c>
      <c r="AG277" s="3">
        <f t="shared" si="12"/>
        <v>-0.4871794872</v>
      </c>
    </row>
    <row r="278">
      <c r="A278" s="1" t="s">
        <v>10</v>
      </c>
      <c r="B278" s="1" t="s">
        <v>295</v>
      </c>
      <c r="C278" s="1" t="s">
        <v>18</v>
      </c>
      <c r="D278" s="1" t="s">
        <v>76</v>
      </c>
      <c r="E278" s="1" t="s">
        <v>58</v>
      </c>
      <c r="F278" s="1" t="s">
        <v>589</v>
      </c>
      <c r="G278" s="1">
        <v>3.5</v>
      </c>
      <c r="H278" s="1" t="s">
        <v>60</v>
      </c>
      <c r="I278" s="1">
        <v>-130.0</v>
      </c>
      <c r="J278" s="1">
        <v>0.00628539067933953</v>
      </c>
      <c r="K278" s="1" t="s">
        <v>61</v>
      </c>
      <c r="L278" s="1" t="s">
        <v>61</v>
      </c>
      <c r="M278" s="1" t="s">
        <v>62</v>
      </c>
      <c r="N278" s="1">
        <v>100.0</v>
      </c>
      <c r="O278" s="1">
        <v>-0.0715031992812406</v>
      </c>
      <c r="P278" s="1" t="s">
        <v>61</v>
      </c>
      <c r="Q278" s="1" t="s">
        <v>61</v>
      </c>
      <c r="R278" s="1">
        <f t="shared" si="1"/>
        <v>0.006285390679</v>
      </c>
      <c r="S278" s="1">
        <f t="shared" si="2"/>
        <v>-130</v>
      </c>
      <c r="T278" s="1">
        <f t="shared" si="3"/>
        <v>1.769230769</v>
      </c>
      <c r="U278" s="1">
        <f t="shared" si="4"/>
        <v>1</v>
      </c>
      <c r="V278" s="3">
        <f t="shared" si="5"/>
        <v>1</v>
      </c>
      <c r="W278" s="3">
        <f t="shared" si="6"/>
        <v>3</v>
      </c>
      <c r="X278" s="3" t="str">
        <f>IFERROR(__xludf.DUMMYFUNCTION("split(B278,"" "")"),"X.")</f>
        <v>X.</v>
      </c>
      <c r="Y278" s="3" t="str">
        <f>IFERROR(__xludf.DUMMYFUNCTION("""COMPUTED_VALUE"""),"Worthy")</f>
        <v>Worthy</v>
      </c>
      <c r="AA278" s="3">
        <v>3.0</v>
      </c>
      <c r="AB278" s="3">
        <f t="shared" si="7"/>
        <v>0</v>
      </c>
      <c r="AC278" s="3">
        <f t="shared" si="8"/>
        <v>0</v>
      </c>
      <c r="AD278" s="3">
        <f t="shared" si="9"/>
        <v>0.7692307692</v>
      </c>
      <c r="AE278" s="3">
        <f t="shared" si="10"/>
        <v>-1</v>
      </c>
      <c r="AF278" s="3">
        <f t="shared" si="11"/>
        <v>-3</v>
      </c>
      <c r="AG278" s="3">
        <f t="shared" si="12"/>
        <v>-0.1428571429</v>
      </c>
    </row>
    <row r="279">
      <c r="A279" s="1" t="s">
        <v>13</v>
      </c>
      <c r="B279" s="1" t="s">
        <v>75</v>
      </c>
      <c r="C279" s="1" t="s">
        <v>21</v>
      </c>
      <c r="D279" s="1" t="s">
        <v>76</v>
      </c>
      <c r="E279" s="1" t="s">
        <v>58</v>
      </c>
      <c r="F279" s="1" t="s">
        <v>589</v>
      </c>
      <c r="G279" s="1">
        <v>234.5</v>
      </c>
      <c r="H279" s="1" t="s">
        <v>60</v>
      </c>
      <c r="I279" s="1">
        <v>-115.0</v>
      </c>
      <c r="J279" s="1">
        <v>0.00535581395348794</v>
      </c>
      <c r="K279" s="1" t="s">
        <v>61</v>
      </c>
      <c r="L279" s="1" t="s">
        <v>61</v>
      </c>
      <c r="M279" s="1" t="s">
        <v>62</v>
      </c>
      <c r="N279" s="1">
        <v>-112.0</v>
      </c>
      <c r="O279" s="1">
        <v>-0.0685603773584903</v>
      </c>
      <c r="P279" s="1" t="s">
        <v>61</v>
      </c>
      <c r="Q279" s="1" t="s">
        <v>61</v>
      </c>
      <c r="R279" s="1">
        <f t="shared" si="1"/>
        <v>0.005355813953</v>
      </c>
      <c r="S279" s="1">
        <f t="shared" si="2"/>
        <v>-115</v>
      </c>
      <c r="T279" s="1">
        <f t="shared" si="3"/>
        <v>1.869565217</v>
      </c>
      <c r="U279" s="1">
        <f t="shared" si="4"/>
        <v>1</v>
      </c>
      <c r="V279" s="3">
        <f t="shared" si="5"/>
        <v>1</v>
      </c>
      <c r="W279" s="3">
        <f t="shared" si="6"/>
        <v>2</v>
      </c>
      <c r="X279" s="3" t="str">
        <f>IFERROR(__xludf.DUMMYFUNCTION("split(B279,"" "")"),"P.")</f>
        <v>P.</v>
      </c>
      <c r="Y279" s="3" t="str">
        <f>IFERROR(__xludf.DUMMYFUNCTION("""COMPUTED_VALUE"""),"Mahomes")</f>
        <v>Mahomes</v>
      </c>
      <c r="AA279" s="3">
        <v>331.0</v>
      </c>
      <c r="AB279" s="3">
        <f t="shared" si="7"/>
        <v>1</v>
      </c>
      <c r="AC279" s="3">
        <f t="shared" si="8"/>
        <v>1</v>
      </c>
      <c r="AD279" s="3">
        <f t="shared" si="9"/>
        <v>0.8695652174</v>
      </c>
      <c r="AE279" s="3">
        <f t="shared" si="10"/>
        <v>0.8695652174</v>
      </c>
      <c r="AF279" s="3">
        <f t="shared" si="11"/>
        <v>1.739130435</v>
      </c>
      <c r="AG279" s="3">
        <f t="shared" si="12"/>
        <v>0.4115138593</v>
      </c>
    </row>
    <row r="280">
      <c r="A280" s="1" t="s">
        <v>10</v>
      </c>
      <c r="B280" s="1" t="s">
        <v>247</v>
      </c>
      <c r="C280" s="1" t="s">
        <v>21</v>
      </c>
      <c r="D280" s="1" t="s">
        <v>196</v>
      </c>
      <c r="E280" s="1" t="s">
        <v>157</v>
      </c>
      <c r="F280" s="1" t="s">
        <v>582</v>
      </c>
      <c r="G280" s="1">
        <v>0.5</v>
      </c>
      <c r="H280" s="1" t="s">
        <v>60</v>
      </c>
      <c r="I280" s="1">
        <v>126.0</v>
      </c>
      <c r="J280" s="1">
        <v>0.20847514507074</v>
      </c>
      <c r="K280" s="1" t="s">
        <v>61</v>
      </c>
      <c r="L280" s="1" t="s">
        <v>61</v>
      </c>
      <c r="M280" s="1" t="s">
        <v>62</v>
      </c>
      <c r="N280" s="1">
        <v>-167.0</v>
      </c>
      <c r="O280" s="1">
        <v>-0.27642764774069</v>
      </c>
      <c r="P280" s="1" t="s">
        <v>61</v>
      </c>
      <c r="Q280" s="1" t="s">
        <v>61</v>
      </c>
      <c r="R280" s="1">
        <f t="shared" si="1"/>
        <v>0.2084751451</v>
      </c>
      <c r="S280" s="1">
        <f t="shared" si="2"/>
        <v>126</v>
      </c>
      <c r="T280" s="1">
        <f t="shared" si="3"/>
        <v>2.26</v>
      </c>
      <c r="U280" s="1">
        <f t="shared" si="4"/>
        <v>1</v>
      </c>
      <c r="V280" s="3">
        <f t="shared" si="5"/>
        <v>3</v>
      </c>
      <c r="W280" s="3">
        <f t="shared" si="6"/>
        <v>1</v>
      </c>
      <c r="X280" s="3" t="str">
        <f>IFERROR(__xludf.DUMMYFUNCTION("split(B280,"" "")"),"M.")</f>
        <v>M.</v>
      </c>
      <c r="Y280" s="3" t="str">
        <f>IFERROR(__xludf.DUMMYFUNCTION("""COMPUTED_VALUE"""),"Stafford")</f>
        <v>Stafford</v>
      </c>
      <c r="AA280" s="3">
        <v>0.0</v>
      </c>
      <c r="AB280" s="3">
        <f t="shared" si="7"/>
        <v>0</v>
      </c>
      <c r="AC280" s="3">
        <f t="shared" si="8"/>
        <v>0</v>
      </c>
      <c r="AD280" s="3">
        <f t="shared" si="9"/>
        <v>3.78</v>
      </c>
      <c r="AE280" s="3">
        <f t="shared" si="10"/>
        <v>-3</v>
      </c>
      <c r="AF280" s="3">
        <f t="shared" si="11"/>
        <v>-1</v>
      </c>
      <c r="AG280" s="3">
        <f t="shared" si="12"/>
        <v>-1</v>
      </c>
    </row>
    <row r="281">
      <c r="A281" s="1" t="s">
        <v>12</v>
      </c>
      <c r="B281" s="1" t="s">
        <v>470</v>
      </c>
      <c r="C281" s="1" t="s">
        <v>20</v>
      </c>
      <c r="D281" s="1" t="s">
        <v>196</v>
      </c>
      <c r="E281" s="1" t="s">
        <v>157</v>
      </c>
      <c r="F281" s="1" t="s">
        <v>582</v>
      </c>
      <c r="G281" s="1">
        <v>3.5</v>
      </c>
      <c r="H281" s="1" t="s">
        <v>60</v>
      </c>
      <c r="I281" s="1">
        <v>-137.0</v>
      </c>
      <c r="J281" s="1">
        <v>-0.237001265822784</v>
      </c>
      <c r="K281" s="1" t="s">
        <v>61</v>
      </c>
      <c r="L281" s="1" t="s">
        <v>61</v>
      </c>
      <c r="M281" s="1" t="s">
        <v>62</v>
      </c>
      <c r="N281" s="1">
        <v>105.0</v>
      </c>
      <c r="O281" s="1">
        <v>0.171143902439024</v>
      </c>
      <c r="P281" s="1" t="s">
        <v>61</v>
      </c>
      <c r="Q281" s="1" t="s">
        <v>61</v>
      </c>
      <c r="R281" s="1">
        <f t="shared" si="1"/>
        <v>0.1711439024</v>
      </c>
      <c r="S281" s="1">
        <f t="shared" si="2"/>
        <v>105</v>
      </c>
      <c r="T281" s="1">
        <f t="shared" si="3"/>
        <v>2.05</v>
      </c>
      <c r="U281" s="1">
        <f t="shared" si="4"/>
        <v>0</v>
      </c>
      <c r="V281" s="3">
        <f t="shared" si="5"/>
        <v>3</v>
      </c>
      <c r="W281" s="3">
        <f t="shared" si="6"/>
        <v>2</v>
      </c>
      <c r="X281" s="3" t="str">
        <f>IFERROR(__xludf.DUMMYFUNCTION("split(B281,"" "")"),"C.")</f>
        <v>C.</v>
      </c>
      <c r="Y281" s="3" t="str">
        <f>IFERROR(__xludf.DUMMYFUNCTION("""COMPUTED_VALUE"""),"Parkinson")</f>
        <v>Parkinson</v>
      </c>
      <c r="AA281" s="3">
        <v>7.0</v>
      </c>
      <c r="AB281" s="3">
        <f t="shared" si="7"/>
        <v>1</v>
      </c>
      <c r="AC281" s="3">
        <f t="shared" si="8"/>
        <v>0</v>
      </c>
      <c r="AD281" s="3">
        <f t="shared" si="9"/>
        <v>3.15</v>
      </c>
      <c r="AE281" s="3">
        <f t="shared" si="10"/>
        <v>-3</v>
      </c>
      <c r="AF281" s="3">
        <f t="shared" si="11"/>
        <v>-2</v>
      </c>
      <c r="AG281" s="3">
        <f t="shared" si="12"/>
        <v>-1</v>
      </c>
    </row>
    <row r="282">
      <c r="A282" s="1" t="s">
        <v>8</v>
      </c>
      <c r="B282" s="1" t="s">
        <v>592</v>
      </c>
      <c r="C282" s="1" t="s">
        <v>19</v>
      </c>
      <c r="D282" s="1" t="s">
        <v>196</v>
      </c>
      <c r="E282" s="1" t="s">
        <v>157</v>
      </c>
      <c r="F282" s="1" t="s">
        <v>582</v>
      </c>
      <c r="G282" s="1">
        <v>3.5</v>
      </c>
      <c r="H282" s="1" t="s">
        <v>60</v>
      </c>
      <c r="I282" s="1">
        <v>-126.0</v>
      </c>
      <c r="J282" s="1">
        <v>-0.243161979339998</v>
      </c>
      <c r="K282" s="1" t="s">
        <v>61</v>
      </c>
      <c r="L282" s="1" t="s">
        <v>61</v>
      </c>
      <c r="M282" s="1" t="s">
        <v>62</v>
      </c>
      <c r="N282" s="1">
        <v>-106.0</v>
      </c>
      <c r="O282" s="1">
        <v>0.171083241605291</v>
      </c>
      <c r="P282" s="1" t="s">
        <v>61</v>
      </c>
      <c r="Q282" s="1" t="s">
        <v>61</v>
      </c>
      <c r="R282" s="1">
        <f t="shared" si="1"/>
        <v>0.1710832416</v>
      </c>
      <c r="S282" s="1">
        <f t="shared" si="2"/>
        <v>-106</v>
      </c>
      <c r="T282" s="1">
        <f t="shared" si="3"/>
        <v>1.943396226</v>
      </c>
      <c r="U282" s="1">
        <f t="shared" si="4"/>
        <v>0</v>
      </c>
      <c r="V282" s="3">
        <f t="shared" si="5"/>
        <v>3</v>
      </c>
      <c r="W282" s="3">
        <f t="shared" si="6"/>
        <v>2</v>
      </c>
      <c r="X282" s="3" t="str">
        <f>IFERROR(__xludf.DUMMYFUNCTION("split(B282,"" "")"),"R.")</f>
        <v>R.</v>
      </c>
      <c r="Y282" s="3" t="str">
        <f>IFERROR(__xludf.DUMMYFUNCTION("""COMPUTED_VALUE"""),"Rivers")</f>
        <v>Rivers</v>
      </c>
      <c r="AA282" s="3">
        <v>0.0</v>
      </c>
      <c r="AB282" s="3">
        <f t="shared" si="7"/>
        <v>0</v>
      </c>
      <c r="AC282" s="3">
        <f t="shared" si="8"/>
        <v>1</v>
      </c>
      <c r="AD282" s="3">
        <f t="shared" si="9"/>
        <v>2.830188679</v>
      </c>
      <c r="AE282" s="3">
        <f t="shared" si="10"/>
        <v>2.830188679</v>
      </c>
      <c r="AF282" s="3">
        <f t="shared" si="11"/>
        <v>1.886792453</v>
      </c>
      <c r="AG282" s="3">
        <f t="shared" si="12"/>
        <v>1</v>
      </c>
    </row>
    <row r="283">
      <c r="A283" s="1" t="s">
        <v>8</v>
      </c>
      <c r="B283" s="1" t="s">
        <v>247</v>
      </c>
      <c r="C283" s="1" t="s">
        <v>21</v>
      </c>
      <c r="D283" s="1" t="s">
        <v>196</v>
      </c>
      <c r="E283" s="1" t="s">
        <v>157</v>
      </c>
      <c r="F283" s="1" t="s">
        <v>582</v>
      </c>
      <c r="G283" s="1">
        <v>0.5</v>
      </c>
      <c r="H283" s="1" t="s">
        <v>60</v>
      </c>
      <c r="I283" s="1">
        <v>-214.0</v>
      </c>
      <c r="J283" s="1">
        <v>-0.201586824066779</v>
      </c>
      <c r="K283" s="1" t="s">
        <v>61</v>
      </c>
      <c r="L283" s="1" t="s">
        <v>61</v>
      </c>
      <c r="M283" s="1" t="s">
        <v>62</v>
      </c>
      <c r="N283" s="1">
        <v>157.0</v>
      </c>
      <c r="O283" s="1">
        <v>0.130966002945403</v>
      </c>
      <c r="P283" s="1" t="s">
        <v>61</v>
      </c>
      <c r="Q283" s="1" t="s">
        <v>61</v>
      </c>
      <c r="R283" s="1">
        <f t="shared" si="1"/>
        <v>0.1309660029</v>
      </c>
      <c r="S283" s="1">
        <f t="shared" si="2"/>
        <v>157</v>
      </c>
      <c r="T283" s="1">
        <f t="shared" si="3"/>
        <v>2.57</v>
      </c>
      <c r="U283" s="1">
        <f t="shared" si="4"/>
        <v>0</v>
      </c>
      <c r="V283" s="3">
        <f t="shared" si="5"/>
        <v>3</v>
      </c>
      <c r="W283" s="3">
        <f t="shared" si="6"/>
        <v>1</v>
      </c>
      <c r="X283" s="3" t="str">
        <f>IFERROR(__xludf.DUMMYFUNCTION("split(B283,"" "")"),"M.")</f>
        <v>M.</v>
      </c>
      <c r="Y283" s="3" t="str">
        <f>IFERROR(__xludf.DUMMYFUNCTION("""COMPUTED_VALUE"""),"Stafford")</f>
        <v>Stafford</v>
      </c>
      <c r="AA283" s="3">
        <v>0.0</v>
      </c>
      <c r="AB283" s="3">
        <f t="shared" si="7"/>
        <v>0</v>
      </c>
      <c r="AC283" s="3">
        <f t="shared" si="8"/>
        <v>1</v>
      </c>
      <c r="AD283" s="3">
        <f t="shared" si="9"/>
        <v>4.71</v>
      </c>
      <c r="AE283" s="3">
        <f t="shared" si="10"/>
        <v>4.71</v>
      </c>
      <c r="AF283" s="3">
        <f t="shared" si="11"/>
        <v>1.57</v>
      </c>
      <c r="AG283" s="3">
        <f t="shared" si="12"/>
        <v>1</v>
      </c>
    </row>
    <row r="284">
      <c r="A284" s="1" t="s">
        <v>17</v>
      </c>
      <c r="B284" s="1" t="s">
        <v>247</v>
      </c>
      <c r="C284" s="1" t="s">
        <v>21</v>
      </c>
      <c r="D284" s="1" t="s">
        <v>196</v>
      </c>
      <c r="E284" s="1" t="s">
        <v>157</v>
      </c>
      <c r="F284" s="1" t="s">
        <v>582</v>
      </c>
      <c r="G284" s="1">
        <v>0.5</v>
      </c>
      <c r="H284" s="1" t="s">
        <v>60</v>
      </c>
      <c r="I284" s="1">
        <v>-136.0</v>
      </c>
      <c r="J284" s="1">
        <v>-0.131071186440677</v>
      </c>
      <c r="K284" s="1" t="s">
        <v>61</v>
      </c>
      <c r="L284" s="1" t="s">
        <v>61</v>
      </c>
      <c r="M284" s="1" t="s">
        <v>62</v>
      </c>
      <c r="N284" s="1">
        <v>104.0</v>
      </c>
      <c r="O284" s="1">
        <v>0.0646039215686274</v>
      </c>
      <c r="P284" s="1" t="s">
        <v>61</v>
      </c>
      <c r="Q284" s="1" t="s">
        <v>61</v>
      </c>
      <c r="R284" s="1">
        <f t="shared" si="1"/>
        <v>0.06460392157</v>
      </c>
      <c r="S284" s="1">
        <f t="shared" si="2"/>
        <v>104</v>
      </c>
      <c r="T284" s="1">
        <f t="shared" si="3"/>
        <v>2.04</v>
      </c>
      <c r="U284" s="1">
        <f t="shared" si="4"/>
        <v>0</v>
      </c>
      <c r="V284" s="3">
        <f t="shared" si="5"/>
        <v>2</v>
      </c>
      <c r="W284" s="3">
        <f t="shared" si="6"/>
        <v>2</v>
      </c>
      <c r="X284" s="3" t="str">
        <f>IFERROR(__xludf.DUMMYFUNCTION("split(B284,"" "")"),"M.")</f>
        <v>M.</v>
      </c>
      <c r="Y284" s="3" t="str">
        <f>IFERROR(__xludf.DUMMYFUNCTION("""COMPUTED_VALUE"""),"Stafford")</f>
        <v>Stafford</v>
      </c>
      <c r="AA284" s="3">
        <v>1.0</v>
      </c>
      <c r="AB284" s="3">
        <f t="shared" si="7"/>
        <v>1</v>
      </c>
      <c r="AC284" s="3">
        <f t="shared" si="8"/>
        <v>0</v>
      </c>
      <c r="AD284" s="3">
        <f t="shared" si="9"/>
        <v>2.08</v>
      </c>
      <c r="AE284" s="3">
        <f t="shared" si="10"/>
        <v>-2</v>
      </c>
      <c r="AF284" s="3">
        <f t="shared" si="11"/>
        <v>-2</v>
      </c>
      <c r="AG284" s="3">
        <f t="shared" si="12"/>
        <v>-1</v>
      </c>
    </row>
    <row r="285">
      <c r="A285" s="1" t="s">
        <v>12</v>
      </c>
      <c r="B285" s="1" t="s">
        <v>368</v>
      </c>
      <c r="C285" s="1" t="s">
        <v>19</v>
      </c>
      <c r="D285" s="1" t="s">
        <v>196</v>
      </c>
      <c r="E285" s="1" t="s">
        <v>157</v>
      </c>
      <c r="F285" s="1" t="s">
        <v>582</v>
      </c>
      <c r="G285" s="1">
        <v>3.5</v>
      </c>
      <c r="H285" s="1" t="s">
        <v>60</v>
      </c>
      <c r="I285" s="1">
        <v>127.0</v>
      </c>
      <c r="J285" s="1">
        <v>-0.126884581497797</v>
      </c>
      <c r="K285" s="1" t="s">
        <v>61</v>
      </c>
      <c r="L285" s="1" t="s">
        <v>61</v>
      </c>
      <c r="M285" s="1" t="s">
        <v>62</v>
      </c>
      <c r="N285" s="1">
        <v>-167.0</v>
      </c>
      <c r="O285" s="1">
        <v>0.0608943820224718</v>
      </c>
      <c r="P285" s="1" t="s">
        <v>61</v>
      </c>
      <c r="Q285" s="1" t="s">
        <v>61</v>
      </c>
      <c r="R285" s="1">
        <f t="shared" si="1"/>
        <v>0.06089438202</v>
      </c>
      <c r="S285" s="1">
        <f t="shared" si="2"/>
        <v>-167</v>
      </c>
      <c r="T285" s="1">
        <f t="shared" si="3"/>
        <v>1.598802395</v>
      </c>
      <c r="U285" s="1">
        <f t="shared" si="4"/>
        <v>0</v>
      </c>
      <c r="V285" s="3">
        <f t="shared" si="5"/>
        <v>2</v>
      </c>
      <c r="W285" s="3">
        <f t="shared" si="6"/>
        <v>3</v>
      </c>
      <c r="X285" s="3" t="str">
        <f>IFERROR(__xludf.DUMMYFUNCTION("split(B285,"" "")"),"K.")</f>
        <v>K.</v>
      </c>
      <c r="Y285" s="3" t="str">
        <f>IFERROR(__xludf.DUMMYFUNCTION("""COMPUTED_VALUE"""),"Williams")</f>
        <v>Williams</v>
      </c>
      <c r="AA285" s="3">
        <v>1.0</v>
      </c>
      <c r="AB285" s="3">
        <f t="shared" si="7"/>
        <v>0</v>
      </c>
      <c r="AC285" s="3">
        <f t="shared" si="8"/>
        <v>1</v>
      </c>
      <c r="AD285" s="3">
        <f t="shared" si="9"/>
        <v>1.19760479</v>
      </c>
      <c r="AE285" s="3">
        <f t="shared" si="10"/>
        <v>1.19760479</v>
      </c>
      <c r="AF285" s="3">
        <f t="shared" si="11"/>
        <v>1.796407186</v>
      </c>
      <c r="AG285" s="3">
        <f t="shared" si="12"/>
        <v>0.7142857143</v>
      </c>
    </row>
    <row r="286">
      <c r="A286" s="1" t="s">
        <v>11</v>
      </c>
      <c r="B286" s="1" t="s">
        <v>477</v>
      </c>
      <c r="C286" s="1" t="s">
        <v>18</v>
      </c>
      <c r="D286" s="1" t="s">
        <v>196</v>
      </c>
      <c r="E286" s="1" t="s">
        <v>157</v>
      </c>
      <c r="F286" s="1" t="s">
        <v>582</v>
      </c>
      <c r="G286" s="1">
        <v>11.5</v>
      </c>
      <c r="H286" s="1" t="s">
        <v>60</v>
      </c>
      <c r="I286" s="1">
        <v>-114.0</v>
      </c>
      <c r="J286" s="1">
        <v>0.0524786428123552</v>
      </c>
      <c r="K286" s="1" t="s">
        <v>61</v>
      </c>
      <c r="L286" s="1" t="s">
        <v>61</v>
      </c>
      <c r="M286" s="1" t="s">
        <v>62</v>
      </c>
      <c r="N286" s="1">
        <v>-114.0</v>
      </c>
      <c r="O286" s="1">
        <v>-0.117869652806084</v>
      </c>
      <c r="P286" s="1" t="s">
        <v>61</v>
      </c>
      <c r="Q286" s="1" t="s">
        <v>61</v>
      </c>
      <c r="R286" s="1">
        <f t="shared" si="1"/>
        <v>0.05247864281</v>
      </c>
      <c r="S286" s="1">
        <f t="shared" si="2"/>
        <v>-114</v>
      </c>
      <c r="T286" s="1">
        <f t="shared" si="3"/>
        <v>1.877192982</v>
      </c>
      <c r="U286" s="1">
        <f t="shared" si="4"/>
        <v>1</v>
      </c>
      <c r="V286" s="3">
        <f t="shared" si="5"/>
        <v>2</v>
      </c>
      <c r="W286" s="3">
        <f t="shared" si="6"/>
        <v>2</v>
      </c>
      <c r="X286" s="3" t="str">
        <f>IFERROR(__xludf.DUMMYFUNCTION("split(B286,"" "")"),"T.")</f>
        <v>T.</v>
      </c>
      <c r="Y286" s="3" t="str">
        <f>IFERROR(__xludf.DUMMYFUNCTION("""COMPUTED_VALUE"""),"Johnson")</f>
        <v>Johnson</v>
      </c>
      <c r="AA286" s="3">
        <v>0.0</v>
      </c>
      <c r="AB286" s="3">
        <f t="shared" si="7"/>
        <v>0</v>
      </c>
      <c r="AC286" s="3">
        <f t="shared" si="8"/>
        <v>0</v>
      </c>
      <c r="AD286" s="3">
        <f t="shared" si="9"/>
        <v>1.754385965</v>
      </c>
      <c r="AE286" s="3">
        <f t="shared" si="10"/>
        <v>-2</v>
      </c>
      <c r="AF286" s="3">
        <f t="shared" si="11"/>
        <v>-2</v>
      </c>
      <c r="AG286" s="3">
        <f t="shared" si="12"/>
        <v>-1</v>
      </c>
    </row>
    <row r="287">
      <c r="A287" s="1" t="s">
        <v>11</v>
      </c>
      <c r="B287" s="1" t="s">
        <v>470</v>
      </c>
      <c r="C287" s="1" t="s">
        <v>20</v>
      </c>
      <c r="D287" s="1" t="s">
        <v>196</v>
      </c>
      <c r="E287" s="1" t="s">
        <v>157</v>
      </c>
      <c r="F287" s="1" t="s">
        <v>582</v>
      </c>
      <c r="G287" s="1">
        <v>36.5</v>
      </c>
      <c r="H287" s="1" t="s">
        <v>60</v>
      </c>
      <c r="I287" s="1">
        <v>-112.0</v>
      </c>
      <c r="J287" s="1">
        <v>-0.115363684233302</v>
      </c>
      <c r="K287" s="1" t="s">
        <v>61</v>
      </c>
      <c r="L287" s="1" t="s">
        <v>61</v>
      </c>
      <c r="M287" s="1" t="s">
        <v>62</v>
      </c>
      <c r="N287" s="1">
        <v>-115.0</v>
      </c>
      <c r="O287" s="1">
        <v>0.0522384702232512</v>
      </c>
      <c r="P287" s="1" t="s">
        <v>61</v>
      </c>
      <c r="Q287" s="1" t="s">
        <v>61</v>
      </c>
      <c r="R287" s="1">
        <f t="shared" si="1"/>
        <v>0.05223847022</v>
      </c>
      <c r="S287" s="1">
        <f t="shared" si="2"/>
        <v>-115</v>
      </c>
      <c r="T287" s="1">
        <f t="shared" si="3"/>
        <v>1.869565217</v>
      </c>
      <c r="U287" s="1">
        <f t="shared" si="4"/>
        <v>0</v>
      </c>
      <c r="V287" s="3">
        <f t="shared" si="5"/>
        <v>2</v>
      </c>
      <c r="W287" s="3">
        <f t="shared" si="6"/>
        <v>2</v>
      </c>
      <c r="X287" s="3" t="str">
        <f>IFERROR(__xludf.DUMMYFUNCTION("split(B287,"" "")"),"C.")</f>
        <v>C.</v>
      </c>
      <c r="Y287" s="3" t="str">
        <f>IFERROR(__xludf.DUMMYFUNCTION("""COMPUTED_VALUE"""),"Parkinson")</f>
        <v>Parkinson</v>
      </c>
      <c r="AA287" s="3">
        <v>52.0</v>
      </c>
      <c r="AB287" s="3">
        <f t="shared" si="7"/>
        <v>1</v>
      </c>
      <c r="AC287" s="3">
        <f t="shared" si="8"/>
        <v>0</v>
      </c>
      <c r="AD287" s="3">
        <f t="shared" si="9"/>
        <v>1.739130435</v>
      </c>
      <c r="AE287" s="3">
        <f t="shared" si="10"/>
        <v>-2</v>
      </c>
      <c r="AF287" s="3">
        <f t="shared" si="11"/>
        <v>-2</v>
      </c>
      <c r="AG287" s="3">
        <f t="shared" si="12"/>
        <v>-0.4246575342</v>
      </c>
    </row>
    <row r="288">
      <c r="A288" s="1" t="s">
        <v>12</v>
      </c>
      <c r="B288" s="1" t="s">
        <v>544</v>
      </c>
      <c r="C288" s="1" t="s">
        <v>18</v>
      </c>
      <c r="D288" s="1" t="s">
        <v>196</v>
      </c>
      <c r="E288" s="1" t="s">
        <v>157</v>
      </c>
      <c r="F288" s="1" t="s">
        <v>582</v>
      </c>
      <c r="G288" s="1">
        <v>4.5</v>
      </c>
      <c r="H288" s="1" t="s">
        <v>60</v>
      </c>
      <c r="I288" s="1">
        <v>-126.0</v>
      </c>
      <c r="J288" s="1">
        <v>-0.116622123893805</v>
      </c>
      <c r="K288" s="1" t="s">
        <v>61</v>
      </c>
      <c r="L288" s="1" t="s">
        <v>61</v>
      </c>
      <c r="M288" s="1" t="s">
        <v>62</v>
      </c>
      <c r="N288" s="1">
        <v>-104.0</v>
      </c>
      <c r="O288" s="1">
        <v>0.0492960784313726</v>
      </c>
      <c r="P288" s="1" t="s">
        <v>61</v>
      </c>
      <c r="Q288" s="1" t="s">
        <v>61</v>
      </c>
      <c r="R288" s="1">
        <f t="shared" si="1"/>
        <v>0.04929607843</v>
      </c>
      <c r="S288" s="1">
        <f t="shared" si="2"/>
        <v>-104</v>
      </c>
      <c r="T288" s="1">
        <f t="shared" si="3"/>
        <v>1.961538462</v>
      </c>
      <c r="U288" s="1">
        <f t="shared" si="4"/>
        <v>0</v>
      </c>
      <c r="V288" s="3">
        <f t="shared" si="5"/>
        <v>1</v>
      </c>
      <c r="W288" s="3">
        <f t="shared" si="6"/>
        <v>2</v>
      </c>
      <c r="X288" s="3" t="str">
        <f>IFERROR(__xludf.DUMMYFUNCTION("split(B288,"" "")"),"J.")</f>
        <v>J.</v>
      </c>
      <c r="Y288" s="3" t="str">
        <f>IFERROR(__xludf.DUMMYFUNCTION("""COMPUTED_VALUE"""),"Whittington")</f>
        <v>Whittington</v>
      </c>
      <c r="AA288" s="3">
        <v>7.0</v>
      </c>
      <c r="AB288" s="3">
        <f t="shared" si="7"/>
        <v>1</v>
      </c>
      <c r="AC288" s="3">
        <f t="shared" si="8"/>
        <v>0</v>
      </c>
      <c r="AD288" s="3">
        <f t="shared" si="9"/>
        <v>0.9615384615</v>
      </c>
      <c r="AE288" s="3">
        <f t="shared" si="10"/>
        <v>-1</v>
      </c>
      <c r="AF288" s="3">
        <f t="shared" si="11"/>
        <v>-2</v>
      </c>
      <c r="AG288" s="3">
        <f t="shared" si="12"/>
        <v>-0.5555555556</v>
      </c>
    </row>
    <row r="289">
      <c r="A289" s="1" t="s">
        <v>9</v>
      </c>
      <c r="B289" s="1" t="s">
        <v>368</v>
      </c>
      <c r="C289" s="1" t="s">
        <v>19</v>
      </c>
      <c r="D289" s="1" t="s">
        <v>196</v>
      </c>
      <c r="E289" s="1" t="s">
        <v>157</v>
      </c>
      <c r="F289" s="1" t="s">
        <v>582</v>
      </c>
      <c r="G289" s="1">
        <v>106.5</v>
      </c>
      <c r="H289" s="1" t="s">
        <v>60</v>
      </c>
      <c r="I289" s="1">
        <v>-116.0</v>
      </c>
      <c r="J289" s="1">
        <v>-0.116050221125937</v>
      </c>
      <c r="K289" s="1" t="s">
        <v>61</v>
      </c>
      <c r="L289" s="1" t="s">
        <v>61</v>
      </c>
      <c r="M289" s="1" t="s">
        <v>62</v>
      </c>
      <c r="N289" s="1">
        <v>-116.0</v>
      </c>
      <c r="O289" s="1">
        <v>0.0419460352420869</v>
      </c>
      <c r="P289" s="1" t="s">
        <v>61</v>
      </c>
      <c r="Q289" s="1" t="s">
        <v>61</v>
      </c>
      <c r="R289" s="1">
        <f t="shared" si="1"/>
        <v>0.04194603524</v>
      </c>
      <c r="S289" s="1">
        <f t="shared" si="2"/>
        <v>-116</v>
      </c>
      <c r="T289" s="1">
        <f t="shared" si="3"/>
        <v>1.862068966</v>
      </c>
      <c r="U289" s="1">
        <f t="shared" si="4"/>
        <v>0</v>
      </c>
      <c r="V289" s="3">
        <f t="shared" si="5"/>
        <v>1</v>
      </c>
      <c r="W289" s="3">
        <f t="shared" si="6"/>
        <v>2</v>
      </c>
      <c r="X289" s="3" t="str">
        <f>IFERROR(__xludf.DUMMYFUNCTION("split(B289,"" "")"),"K.")</f>
        <v>K.</v>
      </c>
      <c r="Y289" s="3" t="str">
        <f>IFERROR(__xludf.DUMMYFUNCTION("""COMPUTED_VALUE"""),"Williams")</f>
        <v>Williams</v>
      </c>
      <c r="AA289" s="3">
        <v>105.0</v>
      </c>
      <c r="AB289" s="3">
        <f t="shared" si="7"/>
        <v>0</v>
      </c>
      <c r="AC289" s="3">
        <f t="shared" si="8"/>
        <v>1</v>
      </c>
      <c r="AD289" s="3">
        <f t="shared" si="9"/>
        <v>0.8620689655</v>
      </c>
      <c r="AE289" s="3">
        <f t="shared" si="10"/>
        <v>0.8620689655</v>
      </c>
      <c r="AF289" s="3">
        <f t="shared" si="11"/>
        <v>1.724137931</v>
      </c>
      <c r="AG289" s="3">
        <f t="shared" si="12"/>
        <v>0.01408450704</v>
      </c>
    </row>
    <row r="290">
      <c r="A290" s="1" t="s">
        <v>10</v>
      </c>
      <c r="B290" s="1" t="s">
        <v>592</v>
      </c>
      <c r="C290" s="1" t="s">
        <v>19</v>
      </c>
      <c r="D290" s="1" t="s">
        <v>196</v>
      </c>
      <c r="E290" s="1" t="s">
        <v>157</v>
      </c>
      <c r="F290" s="1" t="s">
        <v>582</v>
      </c>
      <c r="G290" s="1">
        <v>14.5</v>
      </c>
      <c r="H290" s="1" t="s">
        <v>60</v>
      </c>
      <c r="I290" s="1">
        <v>-114.0</v>
      </c>
      <c r="J290" s="1">
        <v>-0.107012195889683</v>
      </c>
      <c r="K290" s="1" t="s">
        <v>61</v>
      </c>
      <c r="L290" s="1" t="s">
        <v>61</v>
      </c>
      <c r="M290" s="1" t="s">
        <v>62</v>
      </c>
      <c r="N290" s="1">
        <v>-114.0</v>
      </c>
      <c r="O290" s="1">
        <v>0.0415779033142391</v>
      </c>
      <c r="P290" s="1" t="s">
        <v>61</v>
      </c>
      <c r="Q290" s="1" t="s">
        <v>61</v>
      </c>
      <c r="R290" s="1">
        <f t="shared" si="1"/>
        <v>0.04157790331</v>
      </c>
      <c r="S290" s="1">
        <f t="shared" si="2"/>
        <v>-114</v>
      </c>
      <c r="T290" s="1">
        <f t="shared" si="3"/>
        <v>1.877192982</v>
      </c>
      <c r="U290" s="1">
        <f t="shared" si="4"/>
        <v>0</v>
      </c>
      <c r="V290" s="3">
        <f t="shared" si="5"/>
        <v>1</v>
      </c>
      <c r="W290" s="3">
        <f t="shared" si="6"/>
        <v>2</v>
      </c>
      <c r="X290" s="3" t="str">
        <f>IFERROR(__xludf.DUMMYFUNCTION("split(B290,"" "")"),"R.")</f>
        <v>R.</v>
      </c>
      <c r="Y290" s="3" t="str">
        <f>IFERROR(__xludf.DUMMYFUNCTION("""COMPUTED_VALUE"""),"Rivers")</f>
        <v>Rivers</v>
      </c>
      <c r="AA290" s="3">
        <v>0.0</v>
      </c>
      <c r="AB290" s="3">
        <f t="shared" si="7"/>
        <v>0</v>
      </c>
      <c r="AC290" s="3">
        <f t="shared" si="8"/>
        <v>1</v>
      </c>
      <c r="AD290" s="3">
        <f t="shared" si="9"/>
        <v>0.8771929825</v>
      </c>
      <c r="AE290" s="3">
        <f t="shared" si="10"/>
        <v>0.8771929825</v>
      </c>
      <c r="AF290" s="3">
        <f t="shared" si="11"/>
        <v>1.754385965</v>
      </c>
      <c r="AG290" s="3">
        <f t="shared" si="12"/>
        <v>1</v>
      </c>
    </row>
    <row r="291">
      <c r="A291" s="1" t="s">
        <v>15</v>
      </c>
      <c r="B291" s="1" t="s">
        <v>247</v>
      </c>
      <c r="C291" s="1" t="s">
        <v>21</v>
      </c>
      <c r="D291" s="1" t="s">
        <v>196</v>
      </c>
      <c r="E291" s="1" t="s">
        <v>157</v>
      </c>
      <c r="F291" s="1" t="s">
        <v>582</v>
      </c>
      <c r="G291" s="1">
        <v>22.5</v>
      </c>
      <c r="H291" s="1" t="s">
        <v>60</v>
      </c>
      <c r="I291" s="1">
        <v>-104.0</v>
      </c>
      <c r="J291" s="1">
        <v>0.0397960784313724</v>
      </c>
      <c r="K291" s="1" t="s">
        <v>61</v>
      </c>
      <c r="L291" s="1" t="s">
        <v>61</v>
      </c>
      <c r="M291" s="1" t="s">
        <v>62</v>
      </c>
      <c r="N291" s="1">
        <v>-126.0</v>
      </c>
      <c r="O291" s="1">
        <v>-0.107122123893805</v>
      </c>
      <c r="P291" s="1" t="s">
        <v>61</v>
      </c>
      <c r="Q291" s="1" t="s">
        <v>61</v>
      </c>
      <c r="R291" s="1">
        <f t="shared" si="1"/>
        <v>0.03979607843</v>
      </c>
      <c r="S291" s="1">
        <f t="shared" si="2"/>
        <v>-104</v>
      </c>
      <c r="T291" s="1">
        <f t="shared" si="3"/>
        <v>1.961538462</v>
      </c>
      <c r="U291" s="1">
        <f t="shared" si="4"/>
        <v>1</v>
      </c>
      <c r="V291" s="3">
        <f t="shared" si="5"/>
        <v>1</v>
      </c>
      <c r="W291" s="3">
        <f t="shared" si="6"/>
        <v>2</v>
      </c>
      <c r="X291" s="3" t="str">
        <f>IFERROR(__xludf.DUMMYFUNCTION("split(B291,"" "")"),"M.")</f>
        <v>M.</v>
      </c>
      <c r="Y291" s="3" t="str">
        <f>IFERROR(__xludf.DUMMYFUNCTION("""COMPUTED_VALUE"""),"Stafford")</f>
        <v>Stafford</v>
      </c>
      <c r="AA291" s="3">
        <v>29.0</v>
      </c>
      <c r="AB291" s="3">
        <f t="shared" si="7"/>
        <v>1</v>
      </c>
      <c r="AC291" s="3">
        <f t="shared" si="8"/>
        <v>1</v>
      </c>
      <c r="AD291" s="3">
        <f t="shared" si="9"/>
        <v>0.9615384615</v>
      </c>
      <c r="AE291" s="3">
        <f t="shared" si="10"/>
        <v>0.9615384615</v>
      </c>
      <c r="AF291" s="3">
        <f t="shared" si="11"/>
        <v>1.923076923</v>
      </c>
      <c r="AG291" s="3">
        <f t="shared" si="12"/>
        <v>0.2888888889</v>
      </c>
    </row>
    <row r="292">
      <c r="A292" s="1" t="s">
        <v>10</v>
      </c>
      <c r="B292" s="1" t="s">
        <v>368</v>
      </c>
      <c r="C292" s="1" t="s">
        <v>19</v>
      </c>
      <c r="D292" s="1" t="s">
        <v>196</v>
      </c>
      <c r="E292" s="1" t="s">
        <v>157</v>
      </c>
      <c r="F292" s="1" t="s">
        <v>582</v>
      </c>
      <c r="G292" s="1">
        <v>80.5</v>
      </c>
      <c r="H292" s="1" t="s">
        <v>60</v>
      </c>
      <c r="I292" s="1">
        <v>-115.0</v>
      </c>
      <c r="J292" s="1">
        <v>-0.104984455376579</v>
      </c>
      <c r="K292" s="1" t="s">
        <v>61</v>
      </c>
      <c r="L292" s="1" t="s">
        <v>61</v>
      </c>
      <c r="M292" s="1" t="s">
        <v>62</v>
      </c>
      <c r="N292" s="1">
        <v>-114.0</v>
      </c>
      <c r="O292" s="1">
        <v>0.0373897330795119</v>
      </c>
      <c r="P292" s="1" t="s">
        <v>61</v>
      </c>
      <c r="Q292" s="1" t="s">
        <v>61</v>
      </c>
      <c r="R292" s="1">
        <f t="shared" si="1"/>
        <v>0.03738973308</v>
      </c>
      <c r="S292" s="1">
        <f t="shared" si="2"/>
        <v>-114</v>
      </c>
      <c r="T292" s="1">
        <f t="shared" si="3"/>
        <v>1.877192982</v>
      </c>
      <c r="U292" s="1">
        <f t="shared" si="4"/>
        <v>0</v>
      </c>
      <c r="V292" s="3">
        <f t="shared" si="5"/>
        <v>1</v>
      </c>
      <c r="W292" s="3">
        <f t="shared" si="6"/>
        <v>2</v>
      </c>
      <c r="X292" s="3" t="str">
        <f>IFERROR(__xludf.DUMMYFUNCTION("split(B292,"" "")"),"K.")</f>
        <v>K.</v>
      </c>
      <c r="Y292" s="3" t="str">
        <f>IFERROR(__xludf.DUMMYFUNCTION("""COMPUTED_VALUE"""),"Williams")</f>
        <v>Williams</v>
      </c>
      <c r="AA292" s="3">
        <v>102.0</v>
      </c>
      <c r="AB292" s="3">
        <f t="shared" si="7"/>
        <v>1</v>
      </c>
      <c r="AC292" s="3">
        <f t="shared" si="8"/>
        <v>0</v>
      </c>
      <c r="AD292" s="3">
        <f t="shared" si="9"/>
        <v>0.8771929825</v>
      </c>
      <c r="AE292" s="3">
        <f t="shared" si="10"/>
        <v>-1</v>
      </c>
      <c r="AF292" s="3">
        <f t="shared" si="11"/>
        <v>-2</v>
      </c>
      <c r="AG292" s="3">
        <f t="shared" si="12"/>
        <v>-0.2670807453</v>
      </c>
    </row>
    <row r="293">
      <c r="A293" s="1" t="s">
        <v>12</v>
      </c>
      <c r="B293" s="1" t="s">
        <v>284</v>
      </c>
      <c r="C293" s="1" t="s">
        <v>18</v>
      </c>
      <c r="D293" s="1" t="s">
        <v>196</v>
      </c>
      <c r="E293" s="1" t="s">
        <v>157</v>
      </c>
      <c r="F293" s="1" t="s">
        <v>582</v>
      </c>
      <c r="G293" s="1">
        <v>3.5</v>
      </c>
      <c r="H293" s="1" t="s">
        <v>60</v>
      </c>
      <c r="I293" s="1">
        <v>114.0</v>
      </c>
      <c r="J293" s="1">
        <v>-0.10064953271028</v>
      </c>
      <c r="K293" s="1" t="s">
        <v>61</v>
      </c>
      <c r="L293" s="1" t="s">
        <v>61</v>
      </c>
      <c r="M293" s="1" t="s">
        <v>62</v>
      </c>
      <c r="N293" s="1">
        <v>-151.0</v>
      </c>
      <c r="O293" s="1">
        <v>0.0317868525896414</v>
      </c>
      <c r="P293" s="1" t="s">
        <v>61</v>
      </c>
      <c r="Q293" s="1" t="s">
        <v>61</v>
      </c>
      <c r="R293" s="1">
        <f t="shared" si="1"/>
        <v>0.03178685259</v>
      </c>
      <c r="S293" s="1">
        <f t="shared" si="2"/>
        <v>-151</v>
      </c>
      <c r="T293" s="1">
        <f t="shared" si="3"/>
        <v>1.662251656</v>
      </c>
      <c r="U293" s="1">
        <f t="shared" si="4"/>
        <v>0</v>
      </c>
      <c r="V293" s="3">
        <f t="shared" si="5"/>
        <v>1</v>
      </c>
      <c r="W293" s="3">
        <f t="shared" si="6"/>
        <v>3</v>
      </c>
      <c r="X293" s="3" t="str">
        <f>IFERROR(__xludf.DUMMYFUNCTION("split(B293,"" "")"),"D.")</f>
        <v>D.</v>
      </c>
      <c r="Y293" s="3" t="str">
        <f>IFERROR(__xludf.DUMMYFUNCTION("""COMPUTED_VALUE"""),"Robinson")</f>
        <v>Robinson</v>
      </c>
      <c r="AA293" s="3">
        <v>3.0</v>
      </c>
      <c r="AB293" s="3">
        <f t="shared" si="7"/>
        <v>0</v>
      </c>
      <c r="AC293" s="3">
        <f t="shared" si="8"/>
        <v>1</v>
      </c>
      <c r="AD293" s="3">
        <f t="shared" si="9"/>
        <v>0.6622516556</v>
      </c>
      <c r="AE293" s="3">
        <f t="shared" si="10"/>
        <v>0.6622516556</v>
      </c>
      <c r="AF293" s="3">
        <f t="shared" si="11"/>
        <v>1.986754967</v>
      </c>
      <c r="AG293" s="3">
        <f t="shared" si="12"/>
        <v>0.1428571429</v>
      </c>
    </row>
    <row r="294">
      <c r="A294" s="1" t="s">
        <v>8</v>
      </c>
      <c r="B294" s="1" t="s">
        <v>368</v>
      </c>
      <c r="C294" s="1" t="s">
        <v>19</v>
      </c>
      <c r="D294" s="1" t="s">
        <v>196</v>
      </c>
      <c r="E294" s="1" t="s">
        <v>157</v>
      </c>
      <c r="F294" s="1" t="s">
        <v>582</v>
      </c>
      <c r="G294" s="1">
        <v>19.5</v>
      </c>
      <c r="H294" s="1" t="s">
        <v>60</v>
      </c>
      <c r="I294" s="1">
        <v>101.0</v>
      </c>
      <c r="J294" s="1">
        <v>0.028234188606965</v>
      </c>
      <c r="K294" s="1" t="s">
        <v>61</v>
      </c>
      <c r="L294" s="1" t="s">
        <v>61</v>
      </c>
      <c r="M294" s="1" t="s">
        <v>62</v>
      </c>
      <c r="N294" s="1">
        <v>-137.0</v>
      </c>
      <c r="O294" s="1">
        <v>-0.103798615654008</v>
      </c>
      <c r="P294" s="1" t="s">
        <v>61</v>
      </c>
      <c r="Q294" s="1" t="s">
        <v>61</v>
      </c>
      <c r="R294" s="1">
        <f t="shared" si="1"/>
        <v>0.02823418861</v>
      </c>
      <c r="S294" s="1">
        <f t="shared" si="2"/>
        <v>101</v>
      </c>
      <c r="T294" s="1">
        <f t="shared" si="3"/>
        <v>2.01</v>
      </c>
      <c r="U294" s="1">
        <f t="shared" si="4"/>
        <v>1</v>
      </c>
      <c r="V294" s="3">
        <f t="shared" si="5"/>
        <v>1</v>
      </c>
      <c r="W294" s="3">
        <f t="shared" si="6"/>
        <v>2</v>
      </c>
      <c r="X294" s="3" t="str">
        <f>IFERROR(__xludf.DUMMYFUNCTION("split(B294,"" "")"),"K.")</f>
        <v>K.</v>
      </c>
      <c r="Y294" s="3" t="str">
        <f>IFERROR(__xludf.DUMMYFUNCTION("""COMPUTED_VALUE"""),"Williams")</f>
        <v>Williams</v>
      </c>
      <c r="AA294" s="3">
        <v>22.0</v>
      </c>
      <c r="AB294" s="3">
        <f t="shared" si="7"/>
        <v>1</v>
      </c>
      <c r="AC294" s="3">
        <f t="shared" si="8"/>
        <v>1</v>
      </c>
      <c r="AD294" s="3">
        <f t="shared" si="9"/>
        <v>1.01</v>
      </c>
      <c r="AE294" s="3">
        <f t="shared" si="10"/>
        <v>1.01</v>
      </c>
      <c r="AF294" s="3">
        <f t="shared" si="11"/>
        <v>2.02</v>
      </c>
      <c r="AG294" s="3">
        <f t="shared" si="12"/>
        <v>0.1282051282</v>
      </c>
    </row>
    <row r="295">
      <c r="A295" s="1" t="s">
        <v>12</v>
      </c>
      <c r="B295" s="1" t="s">
        <v>543</v>
      </c>
      <c r="C295" s="1" t="s">
        <v>18</v>
      </c>
      <c r="D295" s="1" t="s">
        <v>196</v>
      </c>
      <c r="E295" s="1" t="s">
        <v>157</v>
      </c>
      <c r="F295" s="1" t="s">
        <v>582</v>
      </c>
      <c r="G295" s="1">
        <v>4.5</v>
      </c>
      <c r="H295" s="1" t="s">
        <v>60</v>
      </c>
      <c r="I295" s="1">
        <v>129.0</v>
      </c>
      <c r="J295" s="1">
        <v>0.0196624454148471</v>
      </c>
      <c r="K295" s="1" t="s">
        <v>61</v>
      </c>
      <c r="L295" s="1" t="s">
        <v>61</v>
      </c>
      <c r="M295" s="1" t="s">
        <v>62</v>
      </c>
      <c r="N295" s="1">
        <v>-170.0</v>
      </c>
      <c r="O295" s="1">
        <v>-0.0859666666666666</v>
      </c>
      <c r="P295" s="1" t="s">
        <v>61</v>
      </c>
      <c r="Q295" s="1" t="s">
        <v>61</v>
      </c>
      <c r="R295" s="1">
        <f t="shared" si="1"/>
        <v>0.01966244541</v>
      </c>
      <c r="S295" s="1">
        <f t="shared" si="2"/>
        <v>129</v>
      </c>
      <c r="T295" s="1">
        <f t="shared" si="3"/>
        <v>2.29</v>
      </c>
      <c r="U295" s="1">
        <f t="shared" si="4"/>
        <v>1</v>
      </c>
      <c r="V295" s="3">
        <f t="shared" si="5"/>
        <v>1</v>
      </c>
      <c r="W295" s="3">
        <f t="shared" si="6"/>
        <v>1</v>
      </c>
      <c r="X295" s="3" t="str">
        <f>IFERROR(__xludf.DUMMYFUNCTION("split(B295,"" "")"),"T.")</f>
        <v>T.</v>
      </c>
      <c r="Y295" s="3" t="str">
        <f>IFERROR(__xludf.DUMMYFUNCTION("""COMPUTED_VALUE"""),"Atwell")</f>
        <v>Atwell</v>
      </c>
      <c r="AA295" s="3">
        <v>6.0</v>
      </c>
      <c r="AB295" s="3">
        <f t="shared" si="7"/>
        <v>1</v>
      </c>
      <c r="AC295" s="3">
        <f t="shared" si="8"/>
        <v>1</v>
      </c>
      <c r="AD295" s="3">
        <f t="shared" si="9"/>
        <v>1.29</v>
      </c>
      <c r="AE295" s="3">
        <f t="shared" si="10"/>
        <v>1.29</v>
      </c>
      <c r="AF295" s="3">
        <f t="shared" si="11"/>
        <v>1.29</v>
      </c>
      <c r="AG295" s="3">
        <f t="shared" si="12"/>
        <v>0.3333333333</v>
      </c>
    </row>
    <row r="296">
      <c r="A296" s="1" t="s">
        <v>11</v>
      </c>
      <c r="B296" s="1" t="s">
        <v>544</v>
      </c>
      <c r="C296" s="1" t="s">
        <v>18</v>
      </c>
      <c r="D296" s="1" t="s">
        <v>196</v>
      </c>
      <c r="E296" s="1" t="s">
        <v>157</v>
      </c>
      <c r="F296" s="1" t="s">
        <v>582</v>
      </c>
      <c r="G296" s="1">
        <v>47.5</v>
      </c>
      <c r="H296" s="1" t="s">
        <v>60</v>
      </c>
      <c r="I296" s="1">
        <v>-112.0</v>
      </c>
      <c r="J296" s="1">
        <v>-0.0847341563122641</v>
      </c>
      <c r="K296" s="1" t="s">
        <v>61</v>
      </c>
      <c r="L296" s="1" t="s">
        <v>61</v>
      </c>
      <c r="M296" s="1" t="s">
        <v>62</v>
      </c>
      <c r="N296" s="1">
        <v>-117.0</v>
      </c>
      <c r="O296" s="1">
        <v>0.0173085811147557</v>
      </c>
      <c r="P296" s="1" t="s">
        <v>61</v>
      </c>
      <c r="Q296" s="1" t="s">
        <v>61</v>
      </c>
      <c r="R296" s="1">
        <f t="shared" si="1"/>
        <v>0.01730858111</v>
      </c>
      <c r="S296" s="1">
        <f t="shared" si="2"/>
        <v>-117</v>
      </c>
      <c r="T296" s="1">
        <f t="shared" si="3"/>
        <v>1.854700855</v>
      </c>
      <c r="U296" s="1">
        <f t="shared" si="4"/>
        <v>0</v>
      </c>
      <c r="V296" s="3">
        <f t="shared" si="5"/>
        <v>1</v>
      </c>
      <c r="W296" s="3">
        <f t="shared" si="6"/>
        <v>2</v>
      </c>
      <c r="X296" s="3" t="str">
        <f>IFERROR(__xludf.DUMMYFUNCTION("split(B296,"" "")"),"J.")</f>
        <v>J.</v>
      </c>
      <c r="Y296" s="3" t="str">
        <f>IFERROR(__xludf.DUMMYFUNCTION("""COMPUTED_VALUE"""),"Whittington")</f>
        <v>Whittington</v>
      </c>
      <c r="AA296" s="3">
        <v>89.0</v>
      </c>
      <c r="AB296" s="3">
        <f t="shared" si="7"/>
        <v>1</v>
      </c>
      <c r="AC296" s="3">
        <f t="shared" si="8"/>
        <v>0</v>
      </c>
      <c r="AD296" s="3">
        <f t="shared" si="9"/>
        <v>0.8547008547</v>
      </c>
      <c r="AE296" s="3">
        <f t="shared" si="10"/>
        <v>-1</v>
      </c>
      <c r="AF296" s="3">
        <f t="shared" si="11"/>
        <v>-2</v>
      </c>
      <c r="AG296" s="3">
        <f t="shared" si="12"/>
        <v>-0.8736842105</v>
      </c>
    </row>
    <row r="297">
      <c r="A297" s="1" t="s">
        <v>11</v>
      </c>
      <c r="B297" s="1" t="s">
        <v>284</v>
      </c>
      <c r="C297" s="1" t="s">
        <v>18</v>
      </c>
      <c r="D297" s="1" t="s">
        <v>196</v>
      </c>
      <c r="E297" s="1" t="s">
        <v>157</v>
      </c>
      <c r="F297" s="1" t="s">
        <v>582</v>
      </c>
      <c r="G297" s="1">
        <v>37.5</v>
      </c>
      <c r="H297" s="1" t="s">
        <v>60</v>
      </c>
      <c r="I297" s="1">
        <v>-118.0</v>
      </c>
      <c r="J297" s="1">
        <v>-0.0783148727827522</v>
      </c>
      <c r="K297" s="1" t="s">
        <v>61</v>
      </c>
      <c r="L297" s="1" t="s">
        <v>61</v>
      </c>
      <c r="M297" s="1" t="s">
        <v>62</v>
      </c>
      <c r="N297" s="1">
        <v>-112.0</v>
      </c>
      <c r="O297" s="1">
        <v>0.00874774232064146</v>
      </c>
      <c r="P297" s="1" t="s">
        <v>61</v>
      </c>
      <c r="Q297" s="1" t="s">
        <v>61</v>
      </c>
      <c r="R297" s="1">
        <f t="shared" si="1"/>
        <v>0.008747742321</v>
      </c>
      <c r="S297" s="1">
        <f t="shared" si="2"/>
        <v>-112</v>
      </c>
      <c r="T297" s="1">
        <f t="shared" si="3"/>
        <v>1.892857143</v>
      </c>
      <c r="U297" s="1">
        <f t="shared" si="4"/>
        <v>0</v>
      </c>
      <c r="V297" s="3">
        <f t="shared" si="5"/>
        <v>1</v>
      </c>
      <c r="W297" s="3">
        <f t="shared" si="6"/>
        <v>2</v>
      </c>
      <c r="X297" s="3" t="str">
        <f>IFERROR(__xludf.DUMMYFUNCTION("split(B297,"" "")"),"D.")</f>
        <v>D.</v>
      </c>
      <c r="Y297" s="3" t="str">
        <f>IFERROR(__xludf.DUMMYFUNCTION("""COMPUTED_VALUE"""),"Robinson")</f>
        <v>Robinson</v>
      </c>
      <c r="AA297" s="3">
        <v>28.0</v>
      </c>
      <c r="AB297" s="3">
        <f t="shared" si="7"/>
        <v>0</v>
      </c>
      <c r="AC297" s="3">
        <f t="shared" si="8"/>
        <v>1</v>
      </c>
      <c r="AD297" s="3">
        <f t="shared" si="9"/>
        <v>0.8928571429</v>
      </c>
      <c r="AE297" s="3">
        <f t="shared" si="10"/>
        <v>0.8928571429</v>
      </c>
      <c r="AF297" s="3">
        <f t="shared" si="11"/>
        <v>1.785714286</v>
      </c>
      <c r="AG297" s="3">
        <f t="shared" si="12"/>
        <v>0.2533333333</v>
      </c>
    </row>
    <row r="298">
      <c r="A298" s="1" t="s">
        <v>14</v>
      </c>
      <c r="B298" s="1" t="s">
        <v>247</v>
      </c>
      <c r="C298" s="1" t="s">
        <v>21</v>
      </c>
      <c r="D298" s="1" t="s">
        <v>196</v>
      </c>
      <c r="E298" s="1" t="s">
        <v>157</v>
      </c>
      <c r="F298" s="1" t="s">
        <v>582</v>
      </c>
      <c r="G298" s="1">
        <v>1.5</v>
      </c>
      <c r="H298" s="1" t="s">
        <v>60</v>
      </c>
      <c r="I298" s="1">
        <v>127.0</v>
      </c>
      <c r="J298" s="1">
        <v>0.00857136563876653</v>
      </c>
      <c r="K298" s="1" t="s">
        <v>61</v>
      </c>
      <c r="L298" s="1" t="s">
        <v>61</v>
      </c>
      <c r="M298" s="1" t="s">
        <v>62</v>
      </c>
      <c r="N298" s="1">
        <v>-164.0</v>
      </c>
      <c r="O298" s="1">
        <v>-0.0703121212121211</v>
      </c>
      <c r="P298" s="1" t="s">
        <v>61</v>
      </c>
      <c r="Q298" s="1" t="s">
        <v>61</v>
      </c>
      <c r="R298" s="1">
        <f t="shared" si="1"/>
        <v>0.008571365639</v>
      </c>
      <c r="S298" s="1">
        <f t="shared" si="2"/>
        <v>127</v>
      </c>
      <c r="T298" s="1">
        <f t="shared" si="3"/>
        <v>2.27</v>
      </c>
      <c r="U298" s="1">
        <f t="shared" si="4"/>
        <v>1</v>
      </c>
      <c r="V298" s="3">
        <f t="shared" si="5"/>
        <v>1</v>
      </c>
      <c r="W298" s="3">
        <f t="shared" si="6"/>
        <v>1</v>
      </c>
      <c r="X298" s="3" t="str">
        <f>IFERROR(__xludf.DUMMYFUNCTION("split(B298,"" "")"),"M.")</f>
        <v>M.</v>
      </c>
      <c r="Y298" s="3" t="str">
        <f>IFERROR(__xludf.DUMMYFUNCTION("""COMPUTED_VALUE"""),"Stafford")</f>
        <v>Stafford</v>
      </c>
      <c r="AA298" s="3">
        <v>1.0</v>
      </c>
      <c r="AB298" s="3">
        <f t="shared" si="7"/>
        <v>0</v>
      </c>
      <c r="AC298" s="3">
        <f t="shared" si="8"/>
        <v>0</v>
      </c>
      <c r="AD298" s="3">
        <f t="shared" si="9"/>
        <v>1.27</v>
      </c>
      <c r="AE298" s="3">
        <f t="shared" si="10"/>
        <v>-1</v>
      </c>
      <c r="AF298" s="3">
        <f t="shared" si="11"/>
        <v>-1</v>
      </c>
      <c r="AG298" s="3">
        <f t="shared" si="12"/>
        <v>-0.3333333333</v>
      </c>
    </row>
    <row r="299">
      <c r="A299" s="1" t="s">
        <v>11</v>
      </c>
      <c r="B299" s="1" t="s">
        <v>368</v>
      </c>
      <c r="C299" s="1" t="s">
        <v>19</v>
      </c>
      <c r="D299" s="1" t="s">
        <v>196</v>
      </c>
      <c r="E299" s="1" t="s">
        <v>157</v>
      </c>
      <c r="F299" s="1" t="s">
        <v>582</v>
      </c>
      <c r="G299" s="1">
        <v>19.5</v>
      </c>
      <c r="H299" s="1" t="s">
        <v>60</v>
      </c>
      <c r="I299" s="1">
        <v>-108.0</v>
      </c>
      <c r="J299" s="1">
        <v>-0.066610716102048</v>
      </c>
      <c r="K299" s="1" t="s">
        <v>61</v>
      </c>
      <c r="L299" s="1" t="s">
        <v>61</v>
      </c>
      <c r="M299" s="1" t="s">
        <v>62</v>
      </c>
      <c r="N299" s="1">
        <v>-117.0</v>
      </c>
      <c r="O299" s="1">
        <v>0.00823129894283147</v>
      </c>
      <c r="P299" s="1" t="s">
        <v>61</v>
      </c>
      <c r="Q299" s="1" t="s">
        <v>61</v>
      </c>
      <c r="R299" s="1">
        <f t="shared" si="1"/>
        <v>0.008231298943</v>
      </c>
      <c r="S299" s="1">
        <f t="shared" si="2"/>
        <v>-117</v>
      </c>
      <c r="T299" s="1">
        <f t="shared" si="3"/>
        <v>1.854700855</v>
      </c>
      <c r="U299" s="1">
        <f t="shared" si="4"/>
        <v>0</v>
      </c>
      <c r="V299" s="3">
        <f t="shared" si="5"/>
        <v>1</v>
      </c>
      <c r="W299" s="3">
        <f t="shared" si="6"/>
        <v>2</v>
      </c>
      <c r="X299" s="3" t="str">
        <f>IFERROR(__xludf.DUMMYFUNCTION("split(B299,"" "")"),"K.")</f>
        <v>K.</v>
      </c>
      <c r="Y299" s="3" t="str">
        <f>IFERROR(__xludf.DUMMYFUNCTION("""COMPUTED_VALUE"""),"Williams")</f>
        <v>Williams</v>
      </c>
      <c r="AA299" s="3">
        <v>3.0</v>
      </c>
      <c r="AB299" s="3">
        <f t="shared" si="7"/>
        <v>0</v>
      </c>
      <c r="AC299" s="3">
        <f t="shared" si="8"/>
        <v>1</v>
      </c>
      <c r="AD299" s="3">
        <f t="shared" si="9"/>
        <v>0.8547008547</v>
      </c>
      <c r="AE299" s="3">
        <f t="shared" si="10"/>
        <v>0.8547008547</v>
      </c>
      <c r="AF299" s="3">
        <f t="shared" si="11"/>
        <v>1.709401709</v>
      </c>
      <c r="AG299" s="3">
        <f t="shared" si="12"/>
        <v>0.8461538462</v>
      </c>
    </row>
    <row r="300">
      <c r="A300" s="1" t="s">
        <v>10</v>
      </c>
      <c r="B300" s="1" t="s">
        <v>494</v>
      </c>
      <c r="C300" s="1" t="s">
        <v>20</v>
      </c>
      <c r="D300" s="1" t="s">
        <v>134</v>
      </c>
      <c r="E300" s="1" t="s">
        <v>83</v>
      </c>
      <c r="F300" s="1" t="s">
        <v>574</v>
      </c>
      <c r="G300" s="1">
        <v>0.5</v>
      </c>
      <c r="H300" s="1" t="s">
        <v>60</v>
      </c>
      <c r="I300" s="1">
        <v>411.0</v>
      </c>
      <c r="J300" s="1">
        <v>0.417053140873296</v>
      </c>
      <c r="K300" s="1" t="s">
        <v>61</v>
      </c>
      <c r="L300" s="1" t="s">
        <v>61</v>
      </c>
      <c r="M300" s="1" t="s">
        <v>62</v>
      </c>
      <c r="N300" s="1">
        <v>-688.0</v>
      </c>
      <c r="O300" s="1">
        <v>-0.485805632635959</v>
      </c>
      <c r="P300" s="1" t="s">
        <v>61</v>
      </c>
      <c r="Q300" s="1" t="s">
        <v>61</v>
      </c>
      <c r="R300" s="1">
        <f t="shared" si="1"/>
        <v>0.4170531409</v>
      </c>
      <c r="S300" s="1">
        <f t="shared" si="2"/>
        <v>411</v>
      </c>
      <c r="T300" s="1">
        <f t="shared" si="3"/>
        <v>5.11</v>
      </c>
      <c r="U300" s="1">
        <f t="shared" si="4"/>
        <v>1</v>
      </c>
      <c r="V300" s="3">
        <f t="shared" si="5"/>
        <v>3</v>
      </c>
      <c r="W300" s="3">
        <f t="shared" si="6"/>
        <v>1</v>
      </c>
      <c r="X300" s="3" t="str">
        <f>IFERROR(__xludf.DUMMYFUNCTION("split(B300,"" "")"),"B.")</f>
        <v>B.</v>
      </c>
      <c r="Y300" s="3" t="str">
        <f>IFERROR(__xludf.DUMMYFUNCTION("""COMPUTED_VALUE"""),"Bowers")</f>
        <v>Bowers</v>
      </c>
      <c r="AA300" s="3">
        <v>0.0</v>
      </c>
      <c r="AB300" s="3">
        <f t="shared" si="7"/>
        <v>0</v>
      </c>
      <c r="AC300" s="3">
        <f t="shared" si="8"/>
        <v>0</v>
      </c>
      <c r="AD300" s="3">
        <f t="shared" si="9"/>
        <v>12.33</v>
      </c>
      <c r="AE300" s="3">
        <f t="shared" si="10"/>
        <v>0</v>
      </c>
      <c r="AF300" s="3">
        <f t="shared" si="11"/>
        <v>-1</v>
      </c>
      <c r="AG300" s="3">
        <f t="shared" si="12"/>
        <v>-1</v>
      </c>
    </row>
    <row r="301">
      <c r="A301" s="1" t="s">
        <v>10</v>
      </c>
      <c r="B301" s="1" t="s">
        <v>486</v>
      </c>
      <c r="C301" s="1" t="s">
        <v>18</v>
      </c>
      <c r="D301" s="1" t="s">
        <v>134</v>
      </c>
      <c r="E301" s="1" t="s">
        <v>83</v>
      </c>
      <c r="F301" s="1" t="s">
        <v>574</v>
      </c>
      <c r="G301" s="1">
        <v>0.5</v>
      </c>
      <c r="H301" s="1" t="s">
        <v>60</v>
      </c>
      <c r="I301" s="1">
        <v>103.0</v>
      </c>
      <c r="J301" s="1">
        <v>0.158681681272382</v>
      </c>
      <c r="K301" s="1" t="s">
        <v>61</v>
      </c>
      <c r="L301" s="1" t="s">
        <v>61</v>
      </c>
      <c r="M301" s="1" t="s">
        <v>62</v>
      </c>
      <c r="N301" s="1">
        <v>-137.0</v>
      </c>
      <c r="O301" s="1">
        <v>-0.229350548436785</v>
      </c>
      <c r="P301" s="1" t="s">
        <v>61</v>
      </c>
      <c r="Q301" s="1" t="s">
        <v>61</v>
      </c>
      <c r="R301" s="1">
        <f t="shared" si="1"/>
        <v>0.1586816813</v>
      </c>
      <c r="S301" s="1">
        <f t="shared" si="2"/>
        <v>103</v>
      </c>
      <c r="T301" s="1">
        <f t="shared" si="3"/>
        <v>2.03</v>
      </c>
      <c r="U301" s="1">
        <f t="shared" si="4"/>
        <v>1</v>
      </c>
      <c r="V301" s="3">
        <f t="shared" si="5"/>
        <v>3</v>
      </c>
      <c r="W301" s="3">
        <f t="shared" si="6"/>
        <v>2</v>
      </c>
      <c r="X301" s="3" t="str">
        <f>IFERROR(__xludf.DUMMYFUNCTION("split(B301,"" "")"),"T.")</f>
        <v>T.</v>
      </c>
      <c r="Y301" s="3" t="str">
        <f>IFERROR(__xludf.DUMMYFUNCTION("""COMPUTED_VALUE"""),"Tucker")</f>
        <v>Tucker</v>
      </c>
      <c r="AA301" s="3">
        <v>8.0</v>
      </c>
      <c r="AB301" s="3">
        <f t="shared" si="7"/>
        <v>1</v>
      </c>
      <c r="AC301" s="3">
        <f t="shared" si="8"/>
        <v>1</v>
      </c>
      <c r="AD301" s="3">
        <f t="shared" si="9"/>
        <v>3.09</v>
      </c>
      <c r="AE301" s="3">
        <f t="shared" si="10"/>
        <v>3.09</v>
      </c>
      <c r="AF301" s="3">
        <f t="shared" si="11"/>
        <v>2.06</v>
      </c>
      <c r="AG301" s="3">
        <f t="shared" si="12"/>
        <v>15</v>
      </c>
    </row>
    <row r="302">
      <c r="A302" s="1" t="s">
        <v>12</v>
      </c>
      <c r="B302" s="1" t="s">
        <v>473</v>
      </c>
      <c r="C302" s="1" t="s">
        <v>19</v>
      </c>
      <c r="D302" s="1" t="s">
        <v>134</v>
      </c>
      <c r="E302" s="1" t="s">
        <v>83</v>
      </c>
      <c r="F302" s="1" t="s">
        <v>574</v>
      </c>
      <c r="G302" s="1">
        <v>2.5</v>
      </c>
      <c r="H302" s="1" t="s">
        <v>60</v>
      </c>
      <c r="I302" s="1">
        <v>-103.0</v>
      </c>
      <c r="J302" s="1">
        <v>-0.209784156502463</v>
      </c>
      <c r="K302" s="1" t="s">
        <v>61</v>
      </c>
      <c r="L302" s="1" t="s">
        <v>61</v>
      </c>
      <c r="M302" s="1" t="s">
        <v>62</v>
      </c>
      <c r="N302" s="1">
        <v>-127.0</v>
      </c>
      <c r="O302" s="1">
        <v>0.142922948845374</v>
      </c>
      <c r="P302" s="1" t="s">
        <v>61</v>
      </c>
      <c r="Q302" s="1" t="s">
        <v>61</v>
      </c>
      <c r="R302" s="1">
        <f t="shared" si="1"/>
        <v>0.1429229488</v>
      </c>
      <c r="S302" s="1">
        <f t="shared" si="2"/>
        <v>-127</v>
      </c>
      <c r="T302" s="1">
        <f t="shared" si="3"/>
        <v>1.787401575</v>
      </c>
      <c r="U302" s="1">
        <f t="shared" si="4"/>
        <v>0</v>
      </c>
      <c r="V302" s="3">
        <f t="shared" si="5"/>
        <v>3</v>
      </c>
      <c r="W302" s="3">
        <f t="shared" si="6"/>
        <v>3</v>
      </c>
      <c r="X302" s="3" t="str">
        <f>IFERROR(__xludf.DUMMYFUNCTION("split(B302,"" "")"),"A.")</f>
        <v>A.</v>
      </c>
      <c r="Y302" s="3" t="str">
        <f>IFERROR(__xludf.DUMMYFUNCTION("""COMPUTED_VALUE"""),"Mattison")</f>
        <v>Mattison</v>
      </c>
      <c r="AA302" s="3">
        <v>2.0</v>
      </c>
      <c r="AB302" s="3">
        <f t="shared" si="7"/>
        <v>0</v>
      </c>
      <c r="AC302" s="3">
        <f t="shared" si="8"/>
        <v>1</v>
      </c>
      <c r="AD302" s="3">
        <f t="shared" si="9"/>
        <v>2.362204724</v>
      </c>
      <c r="AE302" s="3">
        <f t="shared" si="10"/>
        <v>2.362204724</v>
      </c>
      <c r="AF302" s="3">
        <f t="shared" si="11"/>
        <v>2.362204724</v>
      </c>
      <c r="AG302" s="3">
        <f t="shared" si="12"/>
        <v>0.2</v>
      </c>
    </row>
    <row r="303">
      <c r="A303" s="1" t="s">
        <v>12</v>
      </c>
      <c r="B303" s="1" t="s">
        <v>486</v>
      </c>
      <c r="C303" s="1" t="s">
        <v>18</v>
      </c>
      <c r="D303" s="1" t="s">
        <v>134</v>
      </c>
      <c r="E303" s="1" t="s">
        <v>83</v>
      </c>
      <c r="F303" s="1" t="s">
        <v>574</v>
      </c>
      <c r="G303" s="1">
        <v>3.5</v>
      </c>
      <c r="H303" s="1" t="s">
        <v>60</v>
      </c>
      <c r="I303" s="1">
        <v>-135.0</v>
      </c>
      <c r="J303" s="1">
        <v>-0.198525531914893</v>
      </c>
      <c r="K303" s="1" t="s">
        <v>61</v>
      </c>
      <c r="L303" s="1" t="s">
        <v>61</v>
      </c>
      <c r="M303" s="1" t="s">
        <v>62</v>
      </c>
      <c r="N303" s="1">
        <v>104.0</v>
      </c>
      <c r="O303" s="1">
        <v>0.133854901960784</v>
      </c>
      <c r="P303" s="1" t="s">
        <v>61</v>
      </c>
      <c r="Q303" s="1" t="s">
        <v>61</v>
      </c>
      <c r="R303" s="1">
        <f t="shared" si="1"/>
        <v>0.133854902</v>
      </c>
      <c r="S303" s="1">
        <f t="shared" si="2"/>
        <v>104</v>
      </c>
      <c r="T303" s="1">
        <f t="shared" si="3"/>
        <v>2.04</v>
      </c>
      <c r="U303" s="1">
        <f t="shared" si="4"/>
        <v>0</v>
      </c>
      <c r="V303" s="3">
        <f t="shared" si="5"/>
        <v>3</v>
      </c>
      <c r="W303" s="3">
        <f t="shared" si="6"/>
        <v>2</v>
      </c>
      <c r="X303" s="3" t="str">
        <f>IFERROR(__xludf.DUMMYFUNCTION("split(B303,"" "")"),"T.")</f>
        <v>T.</v>
      </c>
      <c r="Y303" s="3" t="str">
        <f>IFERROR(__xludf.DUMMYFUNCTION("""COMPUTED_VALUE"""),"Tucker")</f>
        <v>Tucker</v>
      </c>
      <c r="AA303" s="3">
        <v>2.0</v>
      </c>
      <c r="AB303" s="3">
        <f t="shared" si="7"/>
        <v>0</v>
      </c>
      <c r="AC303" s="3">
        <f t="shared" si="8"/>
        <v>1</v>
      </c>
      <c r="AD303" s="3">
        <f t="shared" si="9"/>
        <v>3.12</v>
      </c>
      <c r="AE303" s="3">
        <f t="shared" si="10"/>
        <v>3.12</v>
      </c>
      <c r="AF303" s="3">
        <f t="shared" si="11"/>
        <v>2.08</v>
      </c>
      <c r="AG303" s="3">
        <f t="shared" si="12"/>
        <v>0.4285714286</v>
      </c>
    </row>
    <row r="304">
      <c r="A304" s="1" t="s">
        <v>11</v>
      </c>
      <c r="B304" s="1" t="s">
        <v>593</v>
      </c>
      <c r="C304" s="1" t="s">
        <v>18</v>
      </c>
      <c r="D304" s="1" t="s">
        <v>134</v>
      </c>
      <c r="E304" s="1" t="s">
        <v>83</v>
      </c>
      <c r="F304" s="1" t="s">
        <v>574</v>
      </c>
      <c r="G304" s="1">
        <v>7.5</v>
      </c>
      <c r="H304" s="1" t="s">
        <v>60</v>
      </c>
      <c r="I304" s="1">
        <v>-109.0</v>
      </c>
      <c r="J304" s="1">
        <v>0.118276320331987</v>
      </c>
      <c r="K304" s="1" t="s">
        <v>61</v>
      </c>
      <c r="L304" s="1" t="s">
        <v>61</v>
      </c>
      <c r="M304" s="1" t="s">
        <v>62</v>
      </c>
      <c r="N304" s="1">
        <v>-117.0</v>
      </c>
      <c r="O304" s="1">
        <v>-0.178928122630326</v>
      </c>
      <c r="P304" s="1" t="s">
        <v>61</v>
      </c>
      <c r="Q304" s="1" t="s">
        <v>61</v>
      </c>
      <c r="R304" s="1">
        <f t="shared" si="1"/>
        <v>0.1182763203</v>
      </c>
      <c r="S304" s="1">
        <f t="shared" si="2"/>
        <v>-109</v>
      </c>
      <c r="T304" s="1">
        <f t="shared" si="3"/>
        <v>1.917431193</v>
      </c>
      <c r="U304" s="1">
        <f t="shared" si="4"/>
        <v>1</v>
      </c>
      <c r="V304" s="3">
        <f t="shared" si="5"/>
        <v>3</v>
      </c>
      <c r="W304" s="3">
        <f t="shared" si="6"/>
        <v>2</v>
      </c>
      <c r="X304" s="3" t="str">
        <f>IFERROR(__xludf.DUMMYFUNCTION("split(B304,"" "")"),"D.")</f>
        <v>D.</v>
      </c>
      <c r="Y304" s="3" t="str">
        <f>IFERROR(__xludf.DUMMYFUNCTION("""COMPUTED_VALUE"""),"Turner")</f>
        <v>Turner</v>
      </c>
      <c r="AA304" s="3">
        <v>12.0</v>
      </c>
      <c r="AB304" s="3">
        <f t="shared" si="7"/>
        <v>1</v>
      </c>
      <c r="AC304" s="3">
        <f t="shared" si="8"/>
        <v>1</v>
      </c>
      <c r="AD304" s="3">
        <f t="shared" si="9"/>
        <v>2.752293578</v>
      </c>
      <c r="AE304" s="3">
        <f t="shared" si="10"/>
        <v>2.752293578</v>
      </c>
      <c r="AF304" s="3">
        <f t="shared" si="11"/>
        <v>1.834862385</v>
      </c>
      <c r="AG304" s="3">
        <f t="shared" si="12"/>
        <v>0.6</v>
      </c>
    </row>
    <row r="305">
      <c r="A305" s="1" t="s">
        <v>14</v>
      </c>
      <c r="B305" s="1" t="s">
        <v>474</v>
      </c>
      <c r="C305" s="1" t="s">
        <v>21</v>
      </c>
      <c r="D305" s="1" t="s">
        <v>134</v>
      </c>
      <c r="E305" s="1" t="s">
        <v>83</v>
      </c>
      <c r="F305" s="1" t="s">
        <v>574</v>
      </c>
      <c r="G305" s="1">
        <v>0.5</v>
      </c>
      <c r="H305" s="1" t="s">
        <v>60</v>
      </c>
      <c r="I305" s="1">
        <v>-203.0</v>
      </c>
      <c r="J305" s="1">
        <v>-0.173432149570957</v>
      </c>
      <c r="K305" s="1" t="s">
        <v>61</v>
      </c>
      <c r="L305" s="1" t="s">
        <v>61</v>
      </c>
      <c r="M305" s="1" t="s">
        <v>62</v>
      </c>
      <c r="N305" s="1">
        <v>157.0</v>
      </c>
      <c r="O305" s="1">
        <v>0.114353857276264</v>
      </c>
      <c r="P305" s="1" t="s">
        <v>61</v>
      </c>
      <c r="Q305" s="1" t="s">
        <v>61</v>
      </c>
      <c r="R305" s="1">
        <f t="shared" si="1"/>
        <v>0.1143538573</v>
      </c>
      <c r="S305" s="1">
        <f t="shared" si="2"/>
        <v>157</v>
      </c>
      <c r="T305" s="1">
        <f t="shared" si="3"/>
        <v>2.57</v>
      </c>
      <c r="U305" s="1">
        <f t="shared" si="4"/>
        <v>0</v>
      </c>
      <c r="V305" s="3">
        <f t="shared" si="5"/>
        <v>3</v>
      </c>
      <c r="W305" s="3">
        <f t="shared" si="6"/>
        <v>1</v>
      </c>
      <c r="X305" s="3" t="str">
        <f>IFERROR(__xludf.DUMMYFUNCTION("split(B305,"" "")"),"G.")</f>
        <v>G.</v>
      </c>
      <c r="Y305" s="3" t="str">
        <f>IFERROR(__xludf.DUMMYFUNCTION("""COMPUTED_VALUE"""),"Minshew")</f>
        <v>Minshew</v>
      </c>
      <c r="AA305" s="3">
        <v>1.0</v>
      </c>
      <c r="AB305" s="3">
        <f t="shared" si="7"/>
        <v>1</v>
      </c>
      <c r="AC305" s="3">
        <f t="shared" si="8"/>
        <v>0</v>
      </c>
      <c r="AD305" s="3">
        <f t="shared" si="9"/>
        <v>4.71</v>
      </c>
      <c r="AE305" s="3">
        <f t="shared" si="10"/>
        <v>-3</v>
      </c>
      <c r="AF305" s="3">
        <f t="shared" si="11"/>
        <v>-1</v>
      </c>
      <c r="AG305" s="3">
        <f t="shared" si="12"/>
        <v>-1</v>
      </c>
    </row>
    <row r="306">
      <c r="A306" s="1" t="s">
        <v>8</v>
      </c>
      <c r="B306" s="1" t="s">
        <v>474</v>
      </c>
      <c r="C306" s="1" t="s">
        <v>21</v>
      </c>
      <c r="D306" s="1" t="s">
        <v>134</v>
      </c>
      <c r="E306" s="1" t="s">
        <v>83</v>
      </c>
      <c r="F306" s="1" t="s">
        <v>574</v>
      </c>
      <c r="G306" s="1">
        <v>2.5</v>
      </c>
      <c r="H306" s="1" t="s">
        <v>60</v>
      </c>
      <c r="I306" s="1">
        <v>-120.0</v>
      </c>
      <c r="J306" s="1">
        <v>-0.180682474042413</v>
      </c>
      <c r="K306" s="1" t="s">
        <v>61</v>
      </c>
      <c r="L306" s="1" t="s">
        <v>61</v>
      </c>
      <c r="M306" s="1" t="s">
        <v>62</v>
      </c>
      <c r="N306" s="1">
        <v>-112.0</v>
      </c>
      <c r="O306" s="1">
        <v>0.106946800019106</v>
      </c>
      <c r="P306" s="1" t="s">
        <v>61</v>
      </c>
      <c r="Q306" s="1" t="s">
        <v>61</v>
      </c>
      <c r="R306" s="1">
        <f t="shared" si="1"/>
        <v>0.1069468</v>
      </c>
      <c r="S306" s="1">
        <f t="shared" si="2"/>
        <v>-112</v>
      </c>
      <c r="T306" s="1">
        <f t="shared" si="3"/>
        <v>1.892857143</v>
      </c>
      <c r="U306" s="1">
        <f t="shared" si="4"/>
        <v>0</v>
      </c>
      <c r="V306" s="3">
        <f t="shared" si="5"/>
        <v>3</v>
      </c>
      <c r="W306" s="3">
        <f t="shared" si="6"/>
        <v>2</v>
      </c>
      <c r="X306" s="3" t="str">
        <f>IFERROR(__xludf.DUMMYFUNCTION("split(B306,"" "")"),"G.")</f>
        <v>G.</v>
      </c>
      <c r="Y306" s="3" t="str">
        <f>IFERROR(__xludf.DUMMYFUNCTION("""COMPUTED_VALUE"""),"Minshew")</f>
        <v>Minshew</v>
      </c>
      <c r="AA306" s="3">
        <v>2.0</v>
      </c>
      <c r="AB306" s="3">
        <f t="shared" si="7"/>
        <v>0</v>
      </c>
      <c r="AC306" s="3">
        <f t="shared" si="8"/>
        <v>1</v>
      </c>
      <c r="AD306" s="3">
        <f t="shared" si="9"/>
        <v>2.678571429</v>
      </c>
      <c r="AE306" s="3">
        <f t="shared" si="10"/>
        <v>2.678571429</v>
      </c>
      <c r="AF306" s="3">
        <f t="shared" si="11"/>
        <v>1.785714286</v>
      </c>
      <c r="AG306" s="3">
        <f t="shared" si="12"/>
        <v>0.2</v>
      </c>
    </row>
    <row r="307">
      <c r="A307" s="1" t="s">
        <v>12</v>
      </c>
      <c r="B307" s="1" t="s">
        <v>278</v>
      </c>
      <c r="C307" s="1" t="s">
        <v>18</v>
      </c>
      <c r="D307" s="1" t="s">
        <v>134</v>
      </c>
      <c r="E307" s="1" t="s">
        <v>83</v>
      </c>
      <c r="F307" s="1" t="s">
        <v>574</v>
      </c>
      <c r="G307" s="1">
        <v>3.5</v>
      </c>
      <c r="H307" s="1" t="s">
        <v>60</v>
      </c>
      <c r="I307" s="1">
        <v>-181.0</v>
      </c>
      <c r="J307" s="1">
        <v>-0.136956939501779</v>
      </c>
      <c r="K307" s="1" t="s">
        <v>61</v>
      </c>
      <c r="L307" s="1" t="s">
        <v>61</v>
      </c>
      <c r="M307" s="1" t="s">
        <v>62</v>
      </c>
      <c r="N307" s="1">
        <v>138.0</v>
      </c>
      <c r="O307" s="1">
        <v>0.0726478991596638</v>
      </c>
      <c r="P307" s="1" t="s">
        <v>61</v>
      </c>
      <c r="Q307" s="1" t="s">
        <v>61</v>
      </c>
      <c r="R307" s="1">
        <f t="shared" si="1"/>
        <v>0.07264789916</v>
      </c>
      <c r="S307" s="1">
        <f t="shared" si="2"/>
        <v>138</v>
      </c>
      <c r="T307" s="1">
        <f t="shared" si="3"/>
        <v>2.38</v>
      </c>
      <c r="U307" s="1">
        <f t="shared" si="4"/>
        <v>0</v>
      </c>
      <c r="V307" s="3">
        <f t="shared" si="5"/>
        <v>2</v>
      </c>
      <c r="W307" s="3">
        <f t="shared" si="6"/>
        <v>1</v>
      </c>
      <c r="X307" s="3" t="str">
        <f>IFERROR(__xludf.DUMMYFUNCTION("split(B307,"" "")"),"J.")</f>
        <v>J.</v>
      </c>
      <c r="Y307" s="3" t="str">
        <f>IFERROR(__xludf.DUMMYFUNCTION("""COMPUTED_VALUE"""),"Meyers")</f>
        <v>Meyers</v>
      </c>
      <c r="AA307" s="3">
        <v>6.0</v>
      </c>
      <c r="AB307" s="3">
        <f t="shared" si="7"/>
        <v>1</v>
      </c>
      <c r="AC307" s="3">
        <f t="shared" si="8"/>
        <v>0</v>
      </c>
      <c r="AD307" s="3">
        <f t="shared" si="9"/>
        <v>2.76</v>
      </c>
      <c r="AE307" s="3">
        <f t="shared" si="10"/>
        <v>-2</v>
      </c>
      <c r="AF307" s="3">
        <f t="shared" si="11"/>
        <v>-1</v>
      </c>
      <c r="AG307" s="3">
        <f t="shared" si="12"/>
        <v>-0.7142857143</v>
      </c>
    </row>
    <row r="308">
      <c r="A308" s="1" t="s">
        <v>11</v>
      </c>
      <c r="B308" s="1" t="s">
        <v>494</v>
      </c>
      <c r="C308" s="1" t="s">
        <v>20</v>
      </c>
      <c r="D308" s="1" t="s">
        <v>134</v>
      </c>
      <c r="E308" s="1" t="s">
        <v>83</v>
      </c>
      <c r="F308" s="1" t="s">
        <v>574</v>
      </c>
      <c r="G308" s="1">
        <v>45.5</v>
      </c>
      <c r="H308" s="1" t="s">
        <v>60</v>
      </c>
      <c r="I308" s="1">
        <v>-117.0</v>
      </c>
      <c r="J308" s="1">
        <v>-0.126217977445622</v>
      </c>
      <c r="K308" s="1" t="s">
        <v>61</v>
      </c>
      <c r="L308" s="1" t="s">
        <v>61</v>
      </c>
      <c r="M308" s="1" t="s">
        <v>62</v>
      </c>
      <c r="N308" s="1">
        <v>-113.0</v>
      </c>
      <c r="O308" s="1">
        <v>0.0565367629503194</v>
      </c>
      <c r="P308" s="1" t="s">
        <v>61</v>
      </c>
      <c r="Q308" s="1" t="s">
        <v>61</v>
      </c>
      <c r="R308" s="1">
        <f t="shared" si="1"/>
        <v>0.05653676295</v>
      </c>
      <c r="S308" s="1">
        <f t="shared" si="2"/>
        <v>-113</v>
      </c>
      <c r="T308" s="1">
        <f t="shared" si="3"/>
        <v>1.884955752</v>
      </c>
      <c r="U308" s="1">
        <f t="shared" si="4"/>
        <v>0</v>
      </c>
      <c r="V308" s="3">
        <f t="shared" si="5"/>
        <v>2</v>
      </c>
      <c r="W308" s="3">
        <f t="shared" si="6"/>
        <v>2</v>
      </c>
      <c r="X308" s="3" t="str">
        <f>IFERROR(__xludf.DUMMYFUNCTION("split(B308,"" "")"),"B.")</f>
        <v>B.</v>
      </c>
      <c r="Y308" s="3" t="str">
        <f>IFERROR(__xludf.DUMMYFUNCTION("""COMPUTED_VALUE"""),"Bowers")</f>
        <v>Bowers</v>
      </c>
      <c r="AA308" s="3">
        <v>97.0</v>
      </c>
      <c r="AB308" s="3">
        <f t="shared" si="7"/>
        <v>1</v>
      </c>
      <c r="AC308" s="3">
        <f t="shared" si="8"/>
        <v>0</v>
      </c>
      <c r="AD308" s="3">
        <f t="shared" si="9"/>
        <v>1.769911504</v>
      </c>
      <c r="AE308" s="3">
        <f t="shared" si="10"/>
        <v>-2</v>
      </c>
      <c r="AF308" s="3">
        <f t="shared" si="11"/>
        <v>-2</v>
      </c>
      <c r="AG308" s="3">
        <f t="shared" si="12"/>
        <v>-1.131868132</v>
      </c>
    </row>
    <row r="309">
      <c r="A309" s="1" t="s">
        <v>17</v>
      </c>
      <c r="B309" s="1" t="s">
        <v>474</v>
      </c>
      <c r="C309" s="1" t="s">
        <v>21</v>
      </c>
      <c r="D309" s="1" t="s">
        <v>134</v>
      </c>
      <c r="E309" s="1" t="s">
        <v>83</v>
      </c>
      <c r="F309" s="1" t="s">
        <v>574</v>
      </c>
      <c r="G309" s="1">
        <v>0.5</v>
      </c>
      <c r="H309" s="1" t="s">
        <v>60</v>
      </c>
      <c r="I309" s="1">
        <v>-125.0</v>
      </c>
      <c r="J309" s="1">
        <v>-0.114111111111111</v>
      </c>
      <c r="K309" s="1" t="s">
        <v>61</v>
      </c>
      <c r="L309" s="1" t="s">
        <v>61</v>
      </c>
      <c r="M309" s="1" t="s">
        <v>62</v>
      </c>
      <c r="N309" s="1">
        <v>-103.0</v>
      </c>
      <c r="O309" s="1">
        <v>0.0511600985221674</v>
      </c>
      <c r="P309" s="1" t="s">
        <v>61</v>
      </c>
      <c r="Q309" s="1" t="s">
        <v>61</v>
      </c>
      <c r="R309" s="1">
        <f t="shared" si="1"/>
        <v>0.05116009852</v>
      </c>
      <c r="S309" s="1">
        <f t="shared" si="2"/>
        <v>-103</v>
      </c>
      <c r="T309" s="1">
        <f t="shared" si="3"/>
        <v>1.970873786</v>
      </c>
      <c r="U309" s="1">
        <f t="shared" si="4"/>
        <v>0</v>
      </c>
      <c r="V309" s="3">
        <f t="shared" si="5"/>
        <v>2</v>
      </c>
      <c r="W309" s="3">
        <f t="shared" si="6"/>
        <v>2</v>
      </c>
      <c r="X309" s="3" t="str">
        <f>IFERROR(__xludf.DUMMYFUNCTION("split(B309,"" "")"),"G.")</f>
        <v>G.</v>
      </c>
      <c r="Y309" s="3" t="str">
        <f>IFERROR(__xludf.DUMMYFUNCTION("""COMPUTED_VALUE"""),"Minshew")</f>
        <v>Minshew</v>
      </c>
      <c r="AA309" s="3">
        <v>2.0</v>
      </c>
      <c r="AB309" s="3">
        <f t="shared" si="7"/>
        <v>1</v>
      </c>
      <c r="AC309" s="3">
        <f t="shared" si="8"/>
        <v>0</v>
      </c>
      <c r="AD309" s="3">
        <f t="shared" si="9"/>
        <v>1.941747573</v>
      </c>
      <c r="AE309" s="3">
        <f t="shared" si="10"/>
        <v>-2</v>
      </c>
      <c r="AF309" s="3">
        <f t="shared" si="11"/>
        <v>-2</v>
      </c>
      <c r="AG309" s="3">
        <f t="shared" si="12"/>
        <v>-3</v>
      </c>
    </row>
    <row r="310">
      <c r="A310" s="1" t="s">
        <v>12</v>
      </c>
      <c r="B310" s="1" t="s">
        <v>494</v>
      </c>
      <c r="C310" s="1" t="s">
        <v>20</v>
      </c>
      <c r="D310" s="1" t="s">
        <v>134</v>
      </c>
      <c r="E310" s="1" t="s">
        <v>83</v>
      </c>
      <c r="F310" s="1" t="s">
        <v>574</v>
      </c>
      <c r="G310" s="1">
        <v>4.5</v>
      </c>
      <c r="H310" s="1" t="s">
        <v>60</v>
      </c>
      <c r="I310" s="1">
        <v>-114.0</v>
      </c>
      <c r="J310" s="1">
        <v>-0.116310280373831</v>
      </c>
      <c r="K310" s="1" t="s">
        <v>61</v>
      </c>
      <c r="L310" s="1" t="s">
        <v>61</v>
      </c>
      <c r="M310" s="1" t="s">
        <v>62</v>
      </c>
      <c r="N310" s="1">
        <v>-116.0</v>
      </c>
      <c r="O310" s="1">
        <v>0.0465629629629628</v>
      </c>
      <c r="P310" s="1" t="s">
        <v>61</v>
      </c>
      <c r="Q310" s="1" t="s">
        <v>61</v>
      </c>
      <c r="R310" s="1">
        <f t="shared" si="1"/>
        <v>0.04656296296</v>
      </c>
      <c r="S310" s="1">
        <f t="shared" si="2"/>
        <v>-116</v>
      </c>
      <c r="T310" s="1">
        <f t="shared" si="3"/>
        <v>1.862068966</v>
      </c>
      <c r="U310" s="1">
        <f t="shared" si="4"/>
        <v>0</v>
      </c>
      <c r="V310" s="3">
        <f t="shared" si="5"/>
        <v>1</v>
      </c>
      <c r="W310" s="3">
        <f t="shared" si="6"/>
        <v>2</v>
      </c>
      <c r="X310" s="3" t="str">
        <f>IFERROR(__xludf.DUMMYFUNCTION("split(B310,"" "")"),"B.")</f>
        <v>B.</v>
      </c>
      <c r="Y310" s="3" t="str">
        <f>IFERROR(__xludf.DUMMYFUNCTION("""COMPUTED_VALUE"""),"Bowers")</f>
        <v>Bowers</v>
      </c>
      <c r="AA310" s="3">
        <v>8.0</v>
      </c>
      <c r="AB310" s="3">
        <f t="shared" si="7"/>
        <v>1</v>
      </c>
      <c r="AC310" s="3">
        <f t="shared" si="8"/>
        <v>0</v>
      </c>
      <c r="AD310" s="3">
        <f t="shared" si="9"/>
        <v>0.8620689655</v>
      </c>
      <c r="AE310" s="3">
        <f t="shared" si="10"/>
        <v>-1</v>
      </c>
      <c r="AF310" s="3">
        <f t="shared" si="11"/>
        <v>-2</v>
      </c>
      <c r="AG310" s="3">
        <f t="shared" si="12"/>
        <v>-0.7777777778</v>
      </c>
    </row>
    <row r="311">
      <c r="A311" s="1" t="s">
        <v>15</v>
      </c>
      <c r="B311" s="1" t="s">
        <v>474</v>
      </c>
      <c r="C311" s="1" t="s">
        <v>21</v>
      </c>
      <c r="D311" s="1" t="s">
        <v>134</v>
      </c>
      <c r="E311" s="1" t="s">
        <v>83</v>
      </c>
      <c r="F311" s="1" t="s">
        <v>574</v>
      </c>
      <c r="G311" s="1">
        <v>18.5</v>
      </c>
      <c r="H311" s="1" t="s">
        <v>60</v>
      </c>
      <c r="I311" s="1">
        <v>-119.0</v>
      </c>
      <c r="J311" s="1">
        <v>-0.110086964931506</v>
      </c>
      <c r="K311" s="1" t="s">
        <v>61</v>
      </c>
      <c r="L311" s="1" t="s">
        <v>61</v>
      </c>
      <c r="M311" s="1" t="s">
        <v>62</v>
      </c>
      <c r="N311" s="1">
        <v>-111.0</v>
      </c>
      <c r="O311" s="1">
        <v>0.0406276222995261</v>
      </c>
      <c r="P311" s="1" t="s">
        <v>61</v>
      </c>
      <c r="Q311" s="1" t="s">
        <v>61</v>
      </c>
      <c r="R311" s="1">
        <f t="shared" si="1"/>
        <v>0.0406276223</v>
      </c>
      <c r="S311" s="1">
        <f t="shared" si="2"/>
        <v>-111</v>
      </c>
      <c r="T311" s="1">
        <f t="shared" si="3"/>
        <v>1.900900901</v>
      </c>
      <c r="U311" s="1">
        <f t="shared" si="4"/>
        <v>0</v>
      </c>
      <c r="V311" s="3">
        <f t="shared" si="5"/>
        <v>1</v>
      </c>
      <c r="W311" s="3">
        <f t="shared" si="6"/>
        <v>2</v>
      </c>
      <c r="X311" s="3" t="str">
        <f>IFERROR(__xludf.DUMMYFUNCTION("split(B311,"" "")"),"G.")</f>
        <v>G.</v>
      </c>
      <c r="Y311" s="3" t="str">
        <f>IFERROR(__xludf.DUMMYFUNCTION("""COMPUTED_VALUE"""),"Minshew")</f>
        <v>Minshew</v>
      </c>
      <c r="AA311" s="3">
        <v>12.0</v>
      </c>
      <c r="AB311" s="3">
        <f t="shared" si="7"/>
        <v>0</v>
      </c>
      <c r="AC311" s="3">
        <f t="shared" si="8"/>
        <v>1</v>
      </c>
      <c r="AD311" s="3">
        <f t="shared" si="9"/>
        <v>0.9009009009</v>
      </c>
      <c r="AE311" s="3">
        <f t="shared" si="10"/>
        <v>0.9009009009</v>
      </c>
      <c r="AF311" s="3">
        <f t="shared" si="11"/>
        <v>1.801801802</v>
      </c>
      <c r="AG311" s="3">
        <f t="shared" si="12"/>
        <v>0.3513513514</v>
      </c>
    </row>
    <row r="312">
      <c r="A312" s="1" t="s">
        <v>16</v>
      </c>
      <c r="B312" s="1" t="s">
        <v>474</v>
      </c>
      <c r="C312" s="1" t="s">
        <v>21</v>
      </c>
      <c r="D312" s="1" t="s">
        <v>134</v>
      </c>
      <c r="E312" s="1" t="s">
        <v>83</v>
      </c>
      <c r="F312" s="1" t="s">
        <v>574</v>
      </c>
      <c r="G312" s="1">
        <v>29.5</v>
      </c>
      <c r="H312" s="1" t="s">
        <v>60</v>
      </c>
      <c r="I312" s="1">
        <v>-111.0</v>
      </c>
      <c r="J312" s="1">
        <v>-0.104117439099526</v>
      </c>
      <c r="K312" s="1" t="s">
        <v>61</v>
      </c>
      <c r="L312" s="1" t="s">
        <v>61</v>
      </c>
      <c r="M312" s="1" t="s">
        <v>62</v>
      </c>
      <c r="N312" s="1">
        <v>-119.0</v>
      </c>
      <c r="O312" s="1">
        <v>0.0346649259520549</v>
      </c>
      <c r="P312" s="1" t="s">
        <v>61</v>
      </c>
      <c r="Q312" s="1" t="s">
        <v>61</v>
      </c>
      <c r="R312" s="1">
        <f t="shared" si="1"/>
        <v>0.03466492595</v>
      </c>
      <c r="S312" s="1">
        <f t="shared" si="2"/>
        <v>-119</v>
      </c>
      <c r="T312" s="1">
        <f t="shared" si="3"/>
        <v>1.840336134</v>
      </c>
      <c r="U312" s="1">
        <f t="shared" si="4"/>
        <v>0</v>
      </c>
      <c r="V312" s="3">
        <f t="shared" si="5"/>
        <v>1</v>
      </c>
      <c r="W312" s="3">
        <f t="shared" si="6"/>
        <v>3</v>
      </c>
      <c r="X312" s="3" t="str">
        <f>IFERROR(__xludf.DUMMYFUNCTION("split(B312,"" "")"),"G.")</f>
        <v>G.</v>
      </c>
      <c r="Y312" s="3" t="str">
        <f>IFERROR(__xludf.DUMMYFUNCTION("""COMPUTED_VALUE"""),"Minshew")</f>
        <v>Minshew</v>
      </c>
      <c r="AA312" s="3">
        <v>17.0</v>
      </c>
      <c r="AB312" s="3">
        <f t="shared" si="7"/>
        <v>0</v>
      </c>
      <c r="AC312" s="3">
        <f t="shared" si="8"/>
        <v>1</v>
      </c>
      <c r="AD312" s="3">
        <f t="shared" si="9"/>
        <v>0.8403361345</v>
      </c>
      <c r="AE312" s="3">
        <f t="shared" si="10"/>
        <v>0.8403361345</v>
      </c>
      <c r="AF312" s="3">
        <f t="shared" si="11"/>
        <v>2.521008403</v>
      </c>
      <c r="AG312" s="3">
        <f t="shared" si="12"/>
        <v>0.4237288136</v>
      </c>
    </row>
    <row r="313">
      <c r="A313" s="1" t="s">
        <v>9</v>
      </c>
      <c r="B313" s="1" t="s">
        <v>473</v>
      </c>
      <c r="C313" s="1" t="s">
        <v>19</v>
      </c>
      <c r="D313" s="1" t="s">
        <v>134</v>
      </c>
      <c r="E313" s="1" t="s">
        <v>83</v>
      </c>
      <c r="F313" s="1" t="s">
        <v>574</v>
      </c>
      <c r="G313" s="1">
        <v>74.5</v>
      </c>
      <c r="H313" s="1" t="s">
        <v>60</v>
      </c>
      <c r="I313" s="1">
        <v>-117.0</v>
      </c>
      <c r="J313" s="1">
        <v>-0.0958421736126302</v>
      </c>
      <c r="K313" s="1" t="s">
        <v>61</v>
      </c>
      <c r="L313" s="1" t="s">
        <v>61</v>
      </c>
      <c r="M313" s="1" t="s">
        <v>62</v>
      </c>
      <c r="N313" s="1">
        <v>-116.0</v>
      </c>
      <c r="O313" s="1">
        <v>0.019646481211904</v>
      </c>
      <c r="P313" s="1" t="s">
        <v>61</v>
      </c>
      <c r="Q313" s="1" t="s">
        <v>61</v>
      </c>
      <c r="R313" s="1">
        <f t="shared" si="1"/>
        <v>0.01964648121</v>
      </c>
      <c r="S313" s="1">
        <f t="shared" si="2"/>
        <v>-116</v>
      </c>
      <c r="T313" s="1">
        <f t="shared" si="3"/>
        <v>1.862068966</v>
      </c>
      <c r="U313" s="1">
        <f t="shared" si="4"/>
        <v>0</v>
      </c>
      <c r="V313" s="3">
        <f t="shared" si="5"/>
        <v>1</v>
      </c>
      <c r="W313" s="3">
        <f t="shared" si="6"/>
        <v>2</v>
      </c>
      <c r="X313" s="3" t="str">
        <f>IFERROR(__xludf.DUMMYFUNCTION("split(B313,"" "")"),"A.")</f>
        <v>A.</v>
      </c>
      <c r="Y313" s="3" t="str">
        <f>IFERROR(__xludf.DUMMYFUNCTION("""COMPUTED_VALUE"""),"Mattison")</f>
        <v>Mattison</v>
      </c>
      <c r="AA313" s="3">
        <v>61.0</v>
      </c>
      <c r="AB313" s="3">
        <f t="shared" si="7"/>
        <v>0</v>
      </c>
      <c r="AC313" s="3">
        <f t="shared" si="8"/>
        <v>1</v>
      </c>
      <c r="AD313" s="3">
        <f t="shared" si="9"/>
        <v>0.8620689655</v>
      </c>
      <c r="AE313" s="3">
        <f t="shared" si="10"/>
        <v>0.8620689655</v>
      </c>
      <c r="AF313" s="3">
        <f t="shared" si="11"/>
        <v>1.724137931</v>
      </c>
      <c r="AG313" s="3">
        <f t="shared" si="12"/>
        <v>0.1812080537</v>
      </c>
    </row>
    <row r="314">
      <c r="A314" s="1" t="s">
        <v>10</v>
      </c>
      <c r="B314" s="1" t="s">
        <v>474</v>
      </c>
      <c r="C314" s="1" t="s">
        <v>21</v>
      </c>
      <c r="D314" s="1" t="s">
        <v>134</v>
      </c>
      <c r="E314" s="1" t="s">
        <v>83</v>
      </c>
      <c r="F314" s="1" t="s">
        <v>574</v>
      </c>
      <c r="G314" s="1">
        <v>6.5</v>
      </c>
      <c r="H314" s="1" t="s">
        <v>60</v>
      </c>
      <c r="I314" s="1">
        <v>-112.0</v>
      </c>
      <c r="J314" s="1">
        <v>0.0192725251373901</v>
      </c>
      <c r="K314" s="1" t="s">
        <v>61</v>
      </c>
      <c r="L314" s="1" t="s">
        <v>61</v>
      </c>
      <c r="M314" s="1" t="s">
        <v>62</v>
      </c>
      <c r="N314" s="1">
        <v>-117.0</v>
      </c>
      <c r="O314" s="1">
        <v>-0.0867126503920657</v>
      </c>
      <c r="P314" s="1" t="s">
        <v>61</v>
      </c>
      <c r="Q314" s="1" t="s">
        <v>61</v>
      </c>
      <c r="R314" s="1">
        <f t="shared" si="1"/>
        <v>0.01927252514</v>
      </c>
      <c r="S314" s="1">
        <f t="shared" si="2"/>
        <v>-112</v>
      </c>
      <c r="T314" s="1">
        <f t="shared" si="3"/>
        <v>1.892857143</v>
      </c>
      <c r="U314" s="1">
        <f t="shared" si="4"/>
        <v>1</v>
      </c>
      <c r="V314" s="3">
        <f t="shared" si="5"/>
        <v>1</v>
      </c>
      <c r="W314" s="3">
        <f t="shared" si="6"/>
        <v>2</v>
      </c>
      <c r="X314" s="3" t="str">
        <f>IFERROR(__xludf.DUMMYFUNCTION("split(B314,"" "")"),"G.")</f>
        <v>G.</v>
      </c>
      <c r="Y314" s="3" t="str">
        <f>IFERROR(__xludf.DUMMYFUNCTION("""COMPUTED_VALUE"""),"Minshew")</f>
        <v>Minshew</v>
      </c>
      <c r="AA314" s="3">
        <v>22.0</v>
      </c>
      <c r="AB314" s="3">
        <f t="shared" si="7"/>
        <v>1</v>
      </c>
      <c r="AC314" s="3">
        <f t="shared" si="8"/>
        <v>1</v>
      </c>
      <c r="AD314" s="3">
        <f t="shared" si="9"/>
        <v>0.8928571429</v>
      </c>
      <c r="AE314" s="3">
        <f t="shared" si="10"/>
        <v>0.8928571429</v>
      </c>
      <c r="AF314" s="3">
        <f t="shared" si="11"/>
        <v>1.785714286</v>
      </c>
      <c r="AG314" s="3">
        <f t="shared" si="12"/>
        <v>2.384615385</v>
      </c>
    </row>
    <row r="315">
      <c r="A315" s="1" t="s">
        <v>8</v>
      </c>
      <c r="B315" s="1" t="s">
        <v>473</v>
      </c>
      <c r="C315" s="1" t="s">
        <v>19</v>
      </c>
      <c r="D315" s="1" t="s">
        <v>134</v>
      </c>
      <c r="E315" s="1" t="s">
        <v>83</v>
      </c>
      <c r="F315" s="1" t="s">
        <v>574</v>
      </c>
      <c r="G315" s="1">
        <v>14.5</v>
      </c>
      <c r="H315" s="1" t="s">
        <v>60</v>
      </c>
      <c r="I315" s="1">
        <v>-123.0</v>
      </c>
      <c r="J315" s="1">
        <v>-0.0922142115067264</v>
      </c>
      <c r="K315" s="1" t="s">
        <v>61</v>
      </c>
      <c r="L315" s="1" t="s">
        <v>61</v>
      </c>
      <c r="M315" s="1" t="s">
        <v>62</v>
      </c>
      <c r="N315" s="1">
        <v>-109.0</v>
      </c>
      <c r="O315" s="1">
        <v>0.0191208918226795</v>
      </c>
      <c r="P315" s="1" t="s">
        <v>61</v>
      </c>
      <c r="Q315" s="1" t="s">
        <v>61</v>
      </c>
      <c r="R315" s="1">
        <f t="shared" si="1"/>
        <v>0.01912089182</v>
      </c>
      <c r="S315" s="1">
        <f t="shared" si="2"/>
        <v>-109</v>
      </c>
      <c r="T315" s="1">
        <f t="shared" si="3"/>
        <v>1.917431193</v>
      </c>
      <c r="U315" s="1">
        <f t="shared" si="4"/>
        <v>0</v>
      </c>
      <c r="V315" s="3">
        <f t="shared" si="5"/>
        <v>1</v>
      </c>
      <c r="W315" s="3">
        <f t="shared" si="6"/>
        <v>2</v>
      </c>
      <c r="X315" s="3" t="str">
        <f>IFERROR(__xludf.DUMMYFUNCTION("split(B315,"" "")"),"A.")</f>
        <v>A.</v>
      </c>
      <c r="Y315" s="3" t="str">
        <f>IFERROR(__xludf.DUMMYFUNCTION("""COMPUTED_VALUE"""),"Mattison")</f>
        <v>Mattison</v>
      </c>
      <c r="AA315" s="3">
        <v>15.0</v>
      </c>
      <c r="AB315" s="3">
        <f t="shared" si="7"/>
        <v>1</v>
      </c>
      <c r="AC315" s="3">
        <f t="shared" si="8"/>
        <v>0</v>
      </c>
      <c r="AD315" s="3">
        <f t="shared" si="9"/>
        <v>0.9174311927</v>
      </c>
      <c r="AE315" s="3">
        <f t="shared" si="10"/>
        <v>-1</v>
      </c>
      <c r="AF315" s="3">
        <f t="shared" si="11"/>
        <v>-2</v>
      </c>
      <c r="AG315" s="3">
        <f t="shared" si="12"/>
        <v>-0.03448275862</v>
      </c>
    </row>
    <row r="316">
      <c r="A316" s="1" t="s">
        <v>11</v>
      </c>
      <c r="B316" s="1" t="s">
        <v>486</v>
      </c>
      <c r="C316" s="1" t="s">
        <v>18</v>
      </c>
      <c r="D316" s="1" t="s">
        <v>134</v>
      </c>
      <c r="E316" s="1" t="s">
        <v>83</v>
      </c>
      <c r="F316" s="1" t="s">
        <v>574</v>
      </c>
      <c r="G316" s="1">
        <v>40.5</v>
      </c>
      <c r="H316" s="1" t="s">
        <v>60</v>
      </c>
      <c r="I316" s="1">
        <v>-114.0</v>
      </c>
      <c r="J316" s="1">
        <v>-0.086072893310841</v>
      </c>
      <c r="K316" s="1" t="s">
        <v>61</v>
      </c>
      <c r="L316" s="1" t="s">
        <v>61</v>
      </c>
      <c r="M316" s="1" t="s">
        <v>62</v>
      </c>
      <c r="N316" s="1">
        <v>-115.0</v>
      </c>
      <c r="O316" s="1">
        <v>0.018429672272651</v>
      </c>
      <c r="P316" s="1" t="s">
        <v>61</v>
      </c>
      <c r="Q316" s="1" t="s">
        <v>61</v>
      </c>
      <c r="R316" s="1">
        <f t="shared" si="1"/>
        <v>0.01842967227</v>
      </c>
      <c r="S316" s="1">
        <f t="shared" si="2"/>
        <v>-115</v>
      </c>
      <c r="T316" s="1">
        <f t="shared" si="3"/>
        <v>1.869565217</v>
      </c>
      <c r="U316" s="1">
        <f t="shared" si="4"/>
        <v>0</v>
      </c>
      <c r="V316" s="3">
        <f t="shared" si="5"/>
        <v>1</v>
      </c>
      <c r="W316" s="3">
        <f t="shared" si="6"/>
        <v>2</v>
      </c>
      <c r="X316" s="3" t="str">
        <f>IFERROR(__xludf.DUMMYFUNCTION("split(B316,"" "")"),"T.")</f>
        <v>T.</v>
      </c>
      <c r="Y316" s="3" t="str">
        <f>IFERROR(__xludf.DUMMYFUNCTION("""COMPUTED_VALUE"""),"Tucker")</f>
        <v>Tucker</v>
      </c>
      <c r="AA316" s="3">
        <v>18.0</v>
      </c>
      <c r="AB316" s="3">
        <f t="shared" si="7"/>
        <v>0</v>
      </c>
      <c r="AC316" s="3">
        <f t="shared" si="8"/>
        <v>1</v>
      </c>
      <c r="AD316" s="3">
        <f t="shared" si="9"/>
        <v>0.8695652174</v>
      </c>
      <c r="AE316" s="3">
        <f t="shared" si="10"/>
        <v>0.8695652174</v>
      </c>
      <c r="AF316" s="3">
        <f t="shared" si="11"/>
        <v>1.739130435</v>
      </c>
      <c r="AG316" s="3">
        <f t="shared" si="12"/>
        <v>0.5555555556</v>
      </c>
    </row>
    <row r="317">
      <c r="A317" s="1" t="s">
        <v>11</v>
      </c>
      <c r="B317" s="1" t="s">
        <v>594</v>
      </c>
      <c r="C317" s="1" t="s">
        <v>20</v>
      </c>
      <c r="D317" s="1" t="s">
        <v>134</v>
      </c>
      <c r="E317" s="1" t="s">
        <v>83</v>
      </c>
      <c r="F317" s="1" t="s">
        <v>574</v>
      </c>
      <c r="G317" s="1">
        <v>9.5</v>
      </c>
      <c r="H317" s="1" t="s">
        <v>60</v>
      </c>
      <c r="I317" s="1">
        <v>-113.0</v>
      </c>
      <c r="J317" s="1">
        <v>0.0177267551450425</v>
      </c>
      <c r="K317" s="1" t="s">
        <v>61</v>
      </c>
      <c r="L317" s="1" t="s">
        <v>61</v>
      </c>
      <c r="M317" s="1" t="s">
        <v>62</v>
      </c>
      <c r="N317" s="1">
        <v>-114.0</v>
      </c>
      <c r="O317" s="1">
        <v>-0.0809323489921458</v>
      </c>
      <c r="P317" s="1" t="s">
        <v>61</v>
      </c>
      <c r="Q317" s="1" t="s">
        <v>61</v>
      </c>
      <c r="R317" s="1">
        <f t="shared" si="1"/>
        <v>0.01772675515</v>
      </c>
      <c r="S317" s="1">
        <f t="shared" si="2"/>
        <v>-113</v>
      </c>
      <c r="T317" s="1">
        <f t="shared" si="3"/>
        <v>1.884955752</v>
      </c>
      <c r="U317" s="1">
        <f t="shared" si="4"/>
        <v>1</v>
      </c>
      <c r="V317" s="3">
        <f t="shared" si="5"/>
        <v>1</v>
      </c>
      <c r="W317" s="3">
        <f t="shared" si="6"/>
        <v>2</v>
      </c>
      <c r="X317" s="3" t="str">
        <f>IFERROR(__xludf.DUMMYFUNCTION("split(B317,"" "")"),"H.")</f>
        <v>H.</v>
      </c>
      <c r="Y317" s="3" t="str">
        <f>IFERROR(__xludf.DUMMYFUNCTION("""COMPUTED_VALUE"""),"Bryant")</f>
        <v>Bryant</v>
      </c>
      <c r="AA317" s="3">
        <v>0.0</v>
      </c>
      <c r="AB317" s="3">
        <f t="shared" si="7"/>
        <v>0</v>
      </c>
      <c r="AC317" s="3">
        <f t="shared" si="8"/>
        <v>0</v>
      </c>
      <c r="AD317" s="3">
        <f t="shared" si="9"/>
        <v>0.8849557522</v>
      </c>
      <c r="AE317" s="3">
        <f t="shared" si="10"/>
        <v>-1</v>
      </c>
      <c r="AF317" s="3">
        <f t="shared" si="11"/>
        <v>-2</v>
      </c>
      <c r="AG317" s="3">
        <f t="shared" si="12"/>
        <v>-1</v>
      </c>
    </row>
    <row r="318">
      <c r="A318" s="1" t="s">
        <v>9</v>
      </c>
      <c r="B318" s="1" t="s">
        <v>278</v>
      </c>
      <c r="C318" s="1" t="s">
        <v>18</v>
      </c>
      <c r="D318" s="1" t="s">
        <v>134</v>
      </c>
      <c r="E318" s="1" t="s">
        <v>83</v>
      </c>
      <c r="F318" s="1" t="s">
        <v>574</v>
      </c>
      <c r="G318" s="1">
        <v>42.5</v>
      </c>
      <c r="H318" s="1" t="s">
        <v>60</v>
      </c>
      <c r="I318" s="1">
        <v>-115.0</v>
      </c>
      <c r="J318" s="1">
        <v>0.0171150519522949</v>
      </c>
      <c r="K318" s="1" t="s">
        <v>61</v>
      </c>
      <c r="L318" s="1" t="s">
        <v>61</v>
      </c>
      <c r="M318" s="1" t="s">
        <v>62</v>
      </c>
      <c r="N318" s="1">
        <v>-115.0</v>
      </c>
      <c r="O318" s="1">
        <v>-0.0868223097451392</v>
      </c>
      <c r="P318" s="1" t="s">
        <v>61</v>
      </c>
      <c r="Q318" s="1" t="s">
        <v>61</v>
      </c>
      <c r="R318" s="1">
        <f t="shared" si="1"/>
        <v>0.01711505195</v>
      </c>
      <c r="S318" s="1">
        <f t="shared" si="2"/>
        <v>-115</v>
      </c>
      <c r="T318" s="1">
        <f t="shared" si="3"/>
        <v>1.869565217</v>
      </c>
      <c r="U318" s="1">
        <f t="shared" si="4"/>
        <v>1</v>
      </c>
      <c r="V318" s="3">
        <f t="shared" si="5"/>
        <v>1</v>
      </c>
      <c r="W318" s="3">
        <f t="shared" si="6"/>
        <v>2</v>
      </c>
      <c r="X318" s="3" t="str">
        <f>IFERROR(__xludf.DUMMYFUNCTION("split(B318,"" "")"),"J.")</f>
        <v>J.</v>
      </c>
      <c r="Y318" s="3" t="str">
        <f>IFERROR(__xludf.DUMMYFUNCTION("""COMPUTED_VALUE"""),"Meyers")</f>
        <v>Meyers</v>
      </c>
      <c r="AA318" s="3">
        <v>72.0</v>
      </c>
      <c r="AB318" s="3">
        <f t="shared" si="7"/>
        <v>1</v>
      </c>
      <c r="AC318" s="3">
        <f t="shared" si="8"/>
        <v>1</v>
      </c>
      <c r="AD318" s="3">
        <f t="shared" si="9"/>
        <v>0.8695652174</v>
      </c>
      <c r="AE318" s="3">
        <f t="shared" si="10"/>
        <v>0.8695652174</v>
      </c>
      <c r="AF318" s="3">
        <f t="shared" si="11"/>
        <v>1.739130435</v>
      </c>
      <c r="AG318" s="3">
        <f t="shared" si="12"/>
        <v>0.6941176471</v>
      </c>
    </row>
    <row r="319">
      <c r="A319" s="1" t="s">
        <v>13</v>
      </c>
      <c r="B319" s="1" t="s">
        <v>474</v>
      </c>
      <c r="C319" s="1" t="s">
        <v>21</v>
      </c>
      <c r="D319" s="1" t="s">
        <v>134</v>
      </c>
      <c r="E319" s="1" t="s">
        <v>83</v>
      </c>
      <c r="F319" s="1" t="s">
        <v>574</v>
      </c>
      <c r="G319" s="1">
        <v>185.5</v>
      </c>
      <c r="H319" s="1" t="s">
        <v>60</v>
      </c>
      <c r="I319" s="1">
        <v>-113.0</v>
      </c>
      <c r="J319" s="1">
        <v>0.0080445100938965</v>
      </c>
      <c r="K319" s="1" t="s">
        <v>61</v>
      </c>
      <c r="L319" s="1" t="s">
        <v>61</v>
      </c>
      <c r="M319" s="1" t="s">
        <v>62</v>
      </c>
      <c r="N319" s="1">
        <v>-113.0</v>
      </c>
      <c r="O319" s="1">
        <v>-0.068942296406103</v>
      </c>
      <c r="P319" s="1" t="s">
        <v>61</v>
      </c>
      <c r="Q319" s="1" t="s">
        <v>61</v>
      </c>
      <c r="R319" s="1">
        <f t="shared" si="1"/>
        <v>0.008044510094</v>
      </c>
      <c r="S319" s="1">
        <f t="shared" si="2"/>
        <v>-113</v>
      </c>
      <c r="T319" s="1">
        <f t="shared" si="3"/>
        <v>1.884955752</v>
      </c>
      <c r="U319" s="1">
        <f t="shared" si="4"/>
        <v>1</v>
      </c>
      <c r="V319" s="3">
        <f t="shared" si="5"/>
        <v>1</v>
      </c>
      <c r="W319" s="3">
        <f t="shared" si="6"/>
        <v>2</v>
      </c>
      <c r="X319" s="3" t="str">
        <f>IFERROR(__xludf.DUMMYFUNCTION("split(B319,"" "")"),"G.")</f>
        <v>G.</v>
      </c>
      <c r="Y319" s="3" t="str">
        <f>IFERROR(__xludf.DUMMYFUNCTION("""COMPUTED_VALUE"""),"Minshew")</f>
        <v>Minshew</v>
      </c>
      <c r="AA319" s="3">
        <v>137.0</v>
      </c>
      <c r="AB319" s="3">
        <f t="shared" si="7"/>
        <v>0</v>
      </c>
      <c r="AC319" s="3">
        <f t="shared" si="8"/>
        <v>0</v>
      </c>
      <c r="AD319" s="3">
        <f t="shared" si="9"/>
        <v>0.8849557522</v>
      </c>
      <c r="AE319" s="3">
        <f t="shared" si="10"/>
        <v>-1</v>
      </c>
      <c r="AF319" s="3">
        <f t="shared" si="11"/>
        <v>-2</v>
      </c>
      <c r="AG319" s="3">
        <f t="shared" si="12"/>
        <v>-0.2614555256</v>
      </c>
    </row>
    <row r="320">
      <c r="A320" s="1" t="s">
        <v>8</v>
      </c>
      <c r="B320" s="1" t="s">
        <v>569</v>
      </c>
      <c r="C320" s="1" t="s">
        <v>21</v>
      </c>
      <c r="D320" s="1" t="s">
        <v>94</v>
      </c>
      <c r="E320" s="1" t="s">
        <v>66</v>
      </c>
      <c r="F320" s="1" t="s">
        <v>576</v>
      </c>
      <c r="G320" s="1">
        <v>7.5</v>
      </c>
      <c r="H320" s="1" t="s">
        <v>60</v>
      </c>
      <c r="I320" s="1">
        <v>-107.0</v>
      </c>
      <c r="J320" s="1">
        <v>-0.251439422145111</v>
      </c>
      <c r="K320" s="1" t="s">
        <v>61</v>
      </c>
      <c r="L320" s="1" t="s">
        <v>61</v>
      </c>
      <c r="M320" s="1" t="s">
        <v>62</v>
      </c>
      <c r="N320" s="1">
        <v>-125.0</v>
      </c>
      <c r="O320" s="1">
        <v>0.178995335466878</v>
      </c>
      <c r="P320" s="1" t="s">
        <v>61</v>
      </c>
      <c r="Q320" s="1" t="s">
        <v>61</v>
      </c>
      <c r="R320" s="1">
        <f t="shared" si="1"/>
        <v>0.1789953355</v>
      </c>
      <c r="S320" s="1">
        <f t="shared" si="2"/>
        <v>-125</v>
      </c>
      <c r="T320" s="1">
        <f t="shared" si="3"/>
        <v>1.8</v>
      </c>
      <c r="U320" s="1">
        <f t="shared" si="4"/>
        <v>0</v>
      </c>
      <c r="V320" s="3">
        <f t="shared" si="5"/>
        <v>3</v>
      </c>
      <c r="W320" s="3">
        <f t="shared" si="6"/>
        <v>3</v>
      </c>
      <c r="X320" s="3" t="str">
        <f>IFERROR(__xludf.DUMMYFUNCTION("split(B320,"" "")"),"T.")</f>
        <v>T.</v>
      </c>
      <c r="Y320" s="3" t="str">
        <f>IFERROR(__xludf.DUMMYFUNCTION("""COMPUTED_VALUE"""),"Huntley")</f>
        <v>Huntley</v>
      </c>
      <c r="AA320" s="3">
        <v>3.0</v>
      </c>
      <c r="AB320" s="3">
        <f t="shared" si="7"/>
        <v>0</v>
      </c>
      <c r="AC320" s="3">
        <f t="shared" si="8"/>
        <v>1</v>
      </c>
      <c r="AD320" s="3">
        <f t="shared" si="9"/>
        <v>2.4</v>
      </c>
      <c r="AE320" s="3">
        <f t="shared" si="10"/>
        <v>2.4</v>
      </c>
      <c r="AF320" s="3">
        <f t="shared" si="11"/>
        <v>2.4</v>
      </c>
      <c r="AG320" s="3">
        <f t="shared" si="12"/>
        <v>0.6</v>
      </c>
    </row>
    <row r="321">
      <c r="A321" s="1" t="s">
        <v>14</v>
      </c>
      <c r="B321" s="1" t="s">
        <v>569</v>
      </c>
      <c r="C321" s="1" t="s">
        <v>21</v>
      </c>
      <c r="D321" s="1" t="s">
        <v>94</v>
      </c>
      <c r="E321" s="1" t="s">
        <v>66</v>
      </c>
      <c r="F321" s="1" t="s">
        <v>576</v>
      </c>
      <c r="G321" s="1">
        <v>0.5</v>
      </c>
      <c r="H321" s="1" t="s">
        <v>60</v>
      </c>
      <c r="I321" s="1">
        <v>-172.0</v>
      </c>
      <c r="J321" s="1">
        <v>-0.155951494154411</v>
      </c>
      <c r="K321" s="1" t="s">
        <v>61</v>
      </c>
      <c r="L321" s="1" t="s">
        <v>61</v>
      </c>
      <c r="M321" s="1" t="s">
        <v>62</v>
      </c>
      <c r="N321" s="1">
        <v>134.0</v>
      </c>
      <c r="O321" s="1">
        <v>0.0962478906410255</v>
      </c>
      <c r="P321" s="1" t="s">
        <v>61</v>
      </c>
      <c r="Q321" s="1" t="s">
        <v>61</v>
      </c>
      <c r="R321" s="1">
        <f t="shared" si="1"/>
        <v>0.09624789064</v>
      </c>
      <c r="S321" s="1">
        <f t="shared" si="2"/>
        <v>134</v>
      </c>
      <c r="T321" s="1">
        <f t="shared" si="3"/>
        <v>2.34</v>
      </c>
      <c r="U321" s="1">
        <f t="shared" si="4"/>
        <v>0</v>
      </c>
      <c r="V321" s="3">
        <f t="shared" si="5"/>
        <v>2</v>
      </c>
      <c r="W321" s="3">
        <f t="shared" si="6"/>
        <v>1</v>
      </c>
      <c r="X321" s="3" t="str">
        <f>IFERROR(__xludf.DUMMYFUNCTION("split(B321,"" "")"),"T.")</f>
        <v>T.</v>
      </c>
      <c r="Y321" s="3" t="str">
        <f>IFERROR(__xludf.DUMMYFUNCTION("""COMPUTED_VALUE"""),"Huntley")</f>
        <v>Huntley</v>
      </c>
      <c r="AA321" s="3">
        <v>0.0</v>
      </c>
      <c r="AB321" s="3">
        <f t="shared" si="7"/>
        <v>0</v>
      </c>
      <c r="AC321" s="3">
        <f t="shared" si="8"/>
        <v>1</v>
      </c>
      <c r="AD321" s="3">
        <f t="shared" si="9"/>
        <v>2.68</v>
      </c>
      <c r="AE321" s="3">
        <f t="shared" si="10"/>
        <v>2.68</v>
      </c>
      <c r="AF321" s="3">
        <f t="shared" si="11"/>
        <v>1.34</v>
      </c>
      <c r="AG321" s="3">
        <f t="shared" si="12"/>
        <v>1</v>
      </c>
    </row>
    <row r="322">
      <c r="A322" s="1" t="s">
        <v>10</v>
      </c>
      <c r="B322" s="1" t="s">
        <v>441</v>
      </c>
      <c r="C322" s="1" t="s">
        <v>18</v>
      </c>
      <c r="D322" s="1" t="s">
        <v>94</v>
      </c>
      <c r="E322" s="1" t="s">
        <v>66</v>
      </c>
      <c r="F322" s="1" t="s">
        <v>576</v>
      </c>
      <c r="G322" s="1">
        <v>0.5</v>
      </c>
      <c r="H322" s="1" t="s">
        <v>60</v>
      </c>
      <c r="I322" s="1">
        <v>-121.0</v>
      </c>
      <c r="J322" s="1">
        <v>0.0805771619065456</v>
      </c>
      <c r="K322" s="1" t="s">
        <v>61</v>
      </c>
      <c r="L322" s="1" t="s">
        <v>61</v>
      </c>
      <c r="M322" s="1" t="s">
        <v>62</v>
      </c>
      <c r="N322" s="1">
        <v>-107.0</v>
      </c>
      <c r="O322" s="1">
        <v>-0.144966738917588</v>
      </c>
      <c r="P322" s="1" t="s">
        <v>61</v>
      </c>
      <c r="Q322" s="1" t="s">
        <v>61</v>
      </c>
      <c r="R322" s="1">
        <f t="shared" si="1"/>
        <v>0.08057716191</v>
      </c>
      <c r="S322" s="1">
        <f t="shared" si="2"/>
        <v>-121</v>
      </c>
      <c r="T322" s="1">
        <f t="shared" si="3"/>
        <v>1.826446281</v>
      </c>
      <c r="U322" s="1">
        <f t="shared" si="4"/>
        <v>1</v>
      </c>
      <c r="V322" s="3">
        <f t="shared" si="5"/>
        <v>2</v>
      </c>
      <c r="W322" s="3">
        <f t="shared" si="6"/>
        <v>3</v>
      </c>
      <c r="X322" s="3" t="str">
        <f>IFERROR(__xludf.DUMMYFUNCTION("split(B322,"" "")"),"T.")</f>
        <v>T.</v>
      </c>
      <c r="Y322" s="3" t="str">
        <f>IFERROR(__xludf.DUMMYFUNCTION("""COMPUTED_VALUE"""),"Hill")</f>
        <v>Hill</v>
      </c>
      <c r="AA322" s="3">
        <v>0.0</v>
      </c>
      <c r="AB322" s="3">
        <f t="shared" si="7"/>
        <v>0</v>
      </c>
      <c r="AC322" s="3">
        <f t="shared" si="8"/>
        <v>0</v>
      </c>
      <c r="AD322" s="3">
        <f t="shared" si="9"/>
        <v>1.652892562</v>
      </c>
      <c r="AE322" s="3">
        <f t="shared" si="10"/>
        <v>-2</v>
      </c>
      <c r="AF322" s="3">
        <f t="shared" si="11"/>
        <v>-3</v>
      </c>
      <c r="AG322" s="3">
        <f t="shared" si="12"/>
        <v>-1</v>
      </c>
    </row>
    <row r="323">
      <c r="A323" s="1" t="s">
        <v>11</v>
      </c>
      <c r="B323" s="1" t="s">
        <v>595</v>
      </c>
      <c r="C323" s="1" t="s">
        <v>18</v>
      </c>
      <c r="D323" s="1" t="s">
        <v>94</v>
      </c>
      <c r="E323" s="1" t="s">
        <v>66</v>
      </c>
      <c r="F323" s="1" t="s">
        <v>576</v>
      </c>
      <c r="G323" s="1">
        <v>8.5</v>
      </c>
      <c r="H323" s="1" t="s">
        <v>60</v>
      </c>
      <c r="I323" s="1">
        <v>-105.0</v>
      </c>
      <c r="J323" s="1">
        <v>0.0727014618337763</v>
      </c>
      <c r="K323" s="1" t="s">
        <v>61</v>
      </c>
      <c r="L323" s="1" t="s">
        <v>61</v>
      </c>
      <c r="M323" s="1" t="s">
        <v>62</v>
      </c>
      <c r="N323" s="1">
        <v>-120.0</v>
      </c>
      <c r="O323" s="1">
        <v>-0.130291634595949</v>
      </c>
      <c r="P323" s="1" t="s">
        <v>61</v>
      </c>
      <c r="Q323" s="1" t="s">
        <v>61</v>
      </c>
      <c r="R323" s="1">
        <f t="shared" si="1"/>
        <v>0.07270146183</v>
      </c>
      <c r="S323" s="1">
        <f t="shared" si="2"/>
        <v>-105</v>
      </c>
      <c r="T323" s="1">
        <f t="shared" si="3"/>
        <v>1.952380952</v>
      </c>
      <c r="U323" s="1">
        <f t="shared" si="4"/>
        <v>1</v>
      </c>
      <c r="V323" s="3">
        <f t="shared" si="5"/>
        <v>2</v>
      </c>
      <c r="W323" s="3">
        <f t="shared" si="6"/>
        <v>2</v>
      </c>
      <c r="X323" s="3" t="str">
        <f>IFERROR(__xludf.DUMMYFUNCTION("split(B323,"" "")"),"O.")</f>
        <v>O.</v>
      </c>
      <c r="Y323" s="3" t="str">
        <f>IFERROR(__xludf.DUMMYFUNCTION("""COMPUTED_VALUE"""),"Beckham")</f>
        <v>Beckham</v>
      </c>
      <c r="Z323" s="3" t="str">
        <f>IFERROR(__xludf.DUMMYFUNCTION("""COMPUTED_VALUE"""),"Jr.")</f>
        <v>Jr.</v>
      </c>
      <c r="AA323" s="3">
        <v>0.0</v>
      </c>
      <c r="AB323" s="3">
        <f t="shared" si="7"/>
        <v>0</v>
      </c>
      <c r="AC323" s="3">
        <f t="shared" si="8"/>
        <v>0</v>
      </c>
      <c r="AD323" s="3">
        <f t="shared" si="9"/>
        <v>1.904761905</v>
      </c>
      <c r="AE323" s="3">
        <f t="shared" si="10"/>
        <v>-2</v>
      </c>
      <c r="AF323" s="3">
        <f t="shared" si="11"/>
        <v>-2</v>
      </c>
      <c r="AG323" s="3">
        <f t="shared" si="12"/>
        <v>-1</v>
      </c>
    </row>
    <row r="324">
      <c r="A324" s="1" t="s">
        <v>12</v>
      </c>
      <c r="B324" s="1" t="s">
        <v>220</v>
      </c>
      <c r="C324" s="1" t="s">
        <v>20</v>
      </c>
      <c r="D324" s="1" t="s">
        <v>94</v>
      </c>
      <c r="E324" s="1" t="s">
        <v>66</v>
      </c>
      <c r="F324" s="1" t="s">
        <v>576</v>
      </c>
      <c r="G324" s="1">
        <v>1.5</v>
      </c>
      <c r="H324" s="1" t="s">
        <v>60</v>
      </c>
      <c r="I324" s="1">
        <v>-101.0</v>
      </c>
      <c r="J324" s="1">
        <v>-0.117485919656716</v>
      </c>
      <c r="K324" s="1" t="s">
        <v>61</v>
      </c>
      <c r="L324" s="1" t="s">
        <v>61</v>
      </c>
      <c r="M324" s="1" t="s">
        <v>62</v>
      </c>
      <c r="N324" s="1">
        <v>-130.0</v>
      </c>
      <c r="O324" s="1">
        <v>0.0497943513317391</v>
      </c>
      <c r="P324" s="1" t="s">
        <v>61</v>
      </c>
      <c r="Q324" s="1" t="s">
        <v>61</v>
      </c>
      <c r="R324" s="1">
        <f t="shared" si="1"/>
        <v>0.04979435133</v>
      </c>
      <c r="S324" s="1">
        <f t="shared" si="2"/>
        <v>-130</v>
      </c>
      <c r="T324" s="1">
        <f t="shared" si="3"/>
        <v>1.769230769</v>
      </c>
      <c r="U324" s="1">
        <f t="shared" si="4"/>
        <v>0</v>
      </c>
      <c r="V324" s="3">
        <f t="shared" si="5"/>
        <v>1</v>
      </c>
      <c r="W324" s="3">
        <f t="shared" si="6"/>
        <v>3</v>
      </c>
      <c r="X324" s="3" t="str">
        <f>IFERROR(__xludf.DUMMYFUNCTION("split(B324,"" "")"),"J.")</f>
        <v>J.</v>
      </c>
      <c r="Y324" s="3" t="str">
        <f>IFERROR(__xludf.DUMMYFUNCTION("""COMPUTED_VALUE"""),"Smith")</f>
        <v>Smith</v>
      </c>
      <c r="AA324" s="3">
        <v>5.0</v>
      </c>
      <c r="AB324" s="3">
        <f t="shared" si="7"/>
        <v>1</v>
      </c>
      <c r="AC324" s="3">
        <f t="shared" si="8"/>
        <v>0</v>
      </c>
      <c r="AD324" s="3">
        <f t="shared" si="9"/>
        <v>0.7692307692</v>
      </c>
      <c r="AE324" s="3">
        <f t="shared" si="10"/>
        <v>-1</v>
      </c>
      <c r="AF324" s="3">
        <f t="shared" si="11"/>
        <v>-3</v>
      </c>
      <c r="AG324" s="3">
        <f t="shared" si="12"/>
        <v>-2.333333333</v>
      </c>
    </row>
    <row r="325">
      <c r="A325" s="1" t="s">
        <v>12</v>
      </c>
      <c r="B325" s="1" t="s">
        <v>289</v>
      </c>
      <c r="C325" s="1" t="s">
        <v>19</v>
      </c>
      <c r="D325" s="1" t="s">
        <v>94</v>
      </c>
      <c r="E325" s="1" t="s">
        <v>66</v>
      </c>
      <c r="F325" s="1" t="s">
        <v>576</v>
      </c>
      <c r="G325" s="1">
        <v>3.5</v>
      </c>
      <c r="H325" s="1" t="s">
        <v>60</v>
      </c>
      <c r="I325" s="1">
        <v>129.0</v>
      </c>
      <c r="J325" s="1">
        <v>-0.112081222707423</v>
      </c>
      <c r="K325" s="1" t="s">
        <v>61</v>
      </c>
      <c r="L325" s="1" t="s">
        <v>61</v>
      </c>
      <c r="M325" s="1" t="s">
        <v>62</v>
      </c>
      <c r="N325" s="1">
        <v>-170.0</v>
      </c>
      <c r="O325" s="1">
        <v>0.0457703703703704</v>
      </c>
      <c r="P325" s="1" t="s">
        <v>61</v>
      </c>
      <c r="Q325" s="1" t="s">
        <v>61</v>
      </c>
      <c r="R325" s="1">
        <f t="shared" si="1"/>
        <v>0.04577037037</v>
      </c>
      <c r="S325" s="1">
        <f t="shared" si="2"/>
        <v>-170</v>
      </c>
      <c r="T325" s="1">
        <f t="shared" si="3"/>
        <v>1.588235294</v>
      </c>
      <c r="U325" s="1">
        <f t="shared" si="4"/>
        <v>0</v>
      </c>
      <c r="V325" s="3">
        <f t="shared" si="5"/>
        <v>1</v>
      </c>
      <c r="W325" s="3">
        <f t="shared" si="6"/>
        <v>3</v>
      </c>
      <c r="X325" s="3" t="str">
        <f>IFERROR(__xludf.DUMMYFUNCTION("split(B325,"" "")"),"D.")</f>
        <v>D.</v>
      </c>
      <c r="Y325" s="3" t="str">
        <f>IFERROR(__xludf.DUMMYFUNCTION("""COMPUTED_VALUE"""),"Achane")</f>
        <v>Achane</v>
      </c>
      <c r="AA325" s="3">
        <v>1.0</v>
      </c>
      <c r="AB325" s="3">
        <f t="shared" si="7"/>
        <v>0</v>
      </c>
      <c r="AC325" s="3">
        <f t="shared" si="8"/>
        <v>1</v>
      </c>
      <c r="AD325" s="3">
        <f t="shared" si="9"/>
        <v>0.5882352941</v>
      </c>
      <c r="AE325" s="3">
        <f t="shared" si="10"/>
        <v>0.5882352941</v>
      </c>
      <c r="AF325" s="3">
        <f t="shared" si="11"/>
        <v>1.764705882</v>
      </c>
      <c r="AG325" s="3">
        <f t="shared" si="12"/>
        <v>0.7142857143</v>
      </c>
    </row>
    <row r="326">
      <c r="A326" s="1" t="s">
        <v>15</v>
      </c>
      <c r="B326" s="1" t="s">
        <v>569</v>
      </c>
      <c r="C326" s="1" t="s">
        <v>21</v>
      </c>
      <c r="D326" s="1" t="s">
        <v>94</v>
      </c>
      <c r="E326" s="1" t="s">
        <v>66</v>
      </c>
      <c r="F326" s="1" t="s">
        <v>576</v>
      </c>
      <c r="G326" s="1">
        <v>16.5</v>
      </c>
      <c r="H326" s="1" t="s">
        <v>60</v>
      </c>
      <c r="I326" s="1">
        <v>-111.0</v>
      </c>
      <c r="J326" s="1">
        <v>-0.106115824009478</v>
      </c>
      <c r="K326" s="1" t="s">
        <v>61</v>
      </c>
      <c r="L326" s="1" t="s">
        <v>61</v>
      </c>
      <c r="M326" s="1" t="s">
        <v>62</v>
      </c>
      <c r="N326" s="1">
        <v>-118.0</v>
      </c>
      <c r="O326" s="1">
        <v>0.0387578892746788</v>
      </c>
      <c r="P326" s="1" t="s">
        <v>61</v>
      </c>
      <c r="Q326" s="1" t="s">
        <v>61</v>
      </c>
      <c r="R326" s="1">
        <f t="shared" si="1"/>
        <v>0.03875788927</v>
      </c>
      <c r="S326" s="1">
        <f t="shared" si="2"/>
        <v>-118</v>
      </c>
      <c r="T326" s="1">
        <f t="shared" si="3"/>
        <v>1.847457627</v>
      </c>
      <c r="U326" s="1">
        <f t="shared" si="4"/>
        <v>0</v>
      </c>
      <c r="V326" s="3">
        <f t="shared" si="5"/>
        <v>1</v>
      </c>
      <c r="W326" s="3">
        <f t="shared" si="6"/>
        <v>3</v>
      </c>
      <c r="X326" s="3" t="str">
        <f>IFERROR(__xludf.DUMMYFUNCTION("split(B326,"" "")"),"T.")</f>
        <v>T.</v>
      </c>
      <c r="Y326" s="3" t="str">
        <f>IFERROR(__xludf.DUMMYFUNCTION("""COMPUTED_VALUE"""),"Huntley")</f>
        <v>Huntley</v>
      </c>
      <c r="AA326" s="3">
        <v>18.0</v>
      </c>
      <c r="AB326" s="3">
        <f t="shared" si="7"/>
        <v>1</v>
      </c>
      <c r="AC326" s="3">
        <f t="shared" si="8"/>
        <v>0</v>
      </c>
      <c r="AD326" s="3">
        <f t="shared" si="9"/>
        <v>0.8474576271</v>
      </c>
      <c r="AE326" s="3">
        <f t="shared" si="10"/>
        <v>-1</v>
      </c>
      <c r="AF326" s="3">
        <f t="shared" si="11"/>
        <v>-3</v>
      </c>
      <c r="AG326" s="3">
        <f t="shared" si="12"/>
        <v>-0.09090909091</v>
      </c>
    </row>
    <row r="327">
      <c r="A327" s="1" t="s">
        <v>11</v>
      </c>
      <c r="B327" s="1" t="s">
        <v>289</v>
      </c>
      <c r="C327" s="1" t="s">
        <v>19</v>
      </c>
      <c r="D327" s="1" t="s">
        <v>94</v>
      </c>
      <c r="E327" s="1" t="s">
        <v>66</v>
      </c>
      <c r="F327" s="1" t="s">
        <v>576</v>
      </c>
      <c r="G327" s="1">
        <v>20.5</v>
      </c>
      <c r="H327" s="1" t="s">
        <v>60</v>
      </c>
      <c r="I327" s="1">
        <v>-114.0</v>
      </c>
      <c r="J327" s="1">
        <v>-0.0982309326856776</v>
      </c>
      <c r="K327" s="1" t="s">
        <v>61</v>
      </c>
      <c r="L327" s="1" t="s">
        <v>61</v>
      </c>
      <c r="M327" s="1" t="s">
        <v>62</v>
      </c>
      <c r="N327" s="1">
        <v>-114.0</v>
      </c>
      <c r="O327" s="1">
        <v>0.0328412632616726</v>
      </c>
      <c r="P327" s="1" t="s">
        <v>61</v>
      </c>
      <c r="Q327" s="1" t="s">
        <v>61</v>
      </c>
      <c r="R327" s="1">
        <f t="shared" si="1"/>
        <v>0.03284126326</v>
      </c>
      <c r="S327" s="1">
        <f t="shared" si="2"/>
        <v>-114</v>
      </c>
      <c r="T327" s="1">
        <f t="shared" si="3"/>
        <v>1.877192982</v>
      </c>
      <c r="U327" s="1">
        <f t="shared" si="4"/>
        <v>0</v>
      </c>
      <c r="V327" s="3">
        <f t="shared" si="5"/>
        <v>1</v>
      </c>
      <c r="W327" s="3">
        <f t="shared" si="6"/>
        <v>2</v>
      </c>
      <c r="X327" s="3" t="str">
        <f>IFERROR(__xludf.DUMMYFUNCTION("split(B327,"" "")"),"D.")</f>
        <v>D.</v>
      </c>
      <c r="Y327" s="3" t="str">
        <f>IFERROR(__xludf.DUMMYFUNCTION("""COMPUTED_VALUE"""),"Achane")</f>
        <v>Achane</v>
      </c>
      <c r="AA327" s="3">
        <v>-1.0</v>
      </c>
      <c r="AB327" s="3">
        <f t="shared" si="7"/>
        <v>0</v>
      </c>
      <c r="AC327" s="3">
        <f t="shared" si="8"/>
        <v>1</v>
      </c>
      <c r="AD327" s="3">
        <f t="shared" si="9"/>
        <v>0.8771929825</v>
      </c>
      <c r="AE327" s="3">
        <f t="shared" si="10"/>
        <v>0.8771929825</v>
      </c>
      <c r="AF327" s="3">
        <f t="shared" si="11"/>
        <v>1.754385965</v>
      </c>
      <c r="AG327" s="3">
        <f t="shared" si="12"/>
        <v>1.048780488</v>
      </c>
    </row>
    <row r="328">
      <c r="A328" s="1" t="s">
        <v>17</v>
      </c>
      <c r="B328" s="1" t="s">
        <v>569</v>
      </c>
      <c r="C328" s="1" t="s">
        <v>21</v>
      </c>
      <c r="D328" s="1" t="s">
        <v>94</v>
      </c>
      <c r="E328" s="1" t="s">
        <v>66</v>
      </c>
      <c r="F328" s="1" t="s">
        <v>576</v>
      </c>
      <c r="G328" s="1">
        <v>0.5</v>
      </c>
      <c r="H328" s="1" t="s">
        <v>60</v>
      </c>
      <c r="I328" s="1">
        <v>-117.0</v>
      </c>
      <c r="J328" s="1">
        <v>-0.0932705069124423</v>
      </c>
      <c r="K328" s="1" t="s">
        <v>61</v>
      </c>
      <c r="L328" s="1" t="s">
        <v>61</v>
      </c>
      <c r="M328" s="1" t="s">
        <v>62</v>
      </c>
      <c r="N328" s="1">
        <v>-110.0</v>
      </c>
      <c r="O328" s="1">
        <v>0.0302904761904762</v>
      </c>
      <c r="P328" s="1" t="s">
        <v>61</v>
      </c>
      <c r="Q328" s="1" t="s">
        <v>61</v>
      </c>
      <c r="R328" s="1">
        <f t="shared" si="1"/>
        <v>0.03029047619</v>
      </c>
      <c r="S328" s="1">
        <f t="shared" si="2"/>
        <v>-110</v>
      </c>
      <c r="T328" s="1">
        <f t="shared" si="3"/>
        <v>1.909090909</v>
      </c>
      <c r="U328" s="1">
        <f t="shared" si="4"/>
        <v>0</v>
      </c>
      <c r="V328" s="3">
        <f t="shared" si="5"/>
        <v>1</v>
      </c>
      <c r="W328" s="3">
        <f t="shared" si="6"/>
        <v>2</v>
      </c>
      <c r="X328" s="3" t="str">
        <f>IFERROR(__xludf.DUMMYFUNCTION("split(B328,"" "")"),"T.")</f>
        <v>T.</v>
      </c>
      <c r="Y328" s="3" t="str">
        <f>IFERROR(__xludf.DUMMYFUNCTION("""COMPUTED_VALUE"""),"Huntley")</f>
        <v>Huntley</v>
      </c>
      <c r="AA328" s="3">
        <v>1.0</v>
      </c>
      <c r="AB328" s="3">
        <f t="shared" si="7"/>
        <v>1</v>
      </c>
      <c r="AC328" s="3">
        <f t="shared" si="8"/>
        <v>0</v>
      </c>
      <c r="AD328" s="3">
        <f t="shared" si="9"/>
        <v>0.9090909091</v>
      </c>
      <c r="AE328" s="3">
        <f t="shared" si="10"/>
        <v>-1</v>
      </c>
      <c r="AF328" s="3">
        <f t="shared" si="11"/>
        <v>-2</v>
      </c>
      <c r="AG328" s="3">
        <f t="shared" si="12"/>
        <v>-1</v>
      </c>
    </row>
    <row r="329">
      <c r="A329" s="1" t="s">
        <v>10</v>
      </c>
      <c r="B329" s="1" t="s">
        <v>569</v>
      </c>
      <c r="C329" s="1" t="s">
        <v>21</v>
      </c>
      <c r="D329" s="1" t="s">
        <v>94</v>
      </c>
      <c r="E329" s="1" t="s">
        <v>66</v>
      </c>
      <c r="F329" s="1" t="s">
        <v>576</v>
      </c>
      <c r="G329" s="1">
        <v>34.5</v>
      </c>
      <c r="H329" s="1" t="s">
        <v>60</v>
      </c>
      <c r="I329" s="1">
        <v>-106.0</v>
      </c>
      <c r="J329" s="1">
        <v>-0.0912166853988753</v>
      </c>
      <c r="K329" s="1" t="s">
        <v>61</v>
      </c>
      <c r="L329" s="1" t="s">
        <v>61</v>
      </c>
      <c r="M329" s="1" t="s">
        <v>62</v>
      </c>
      <c r="N329" s="1">
        <v>-122.0</v>
      </c>
      <c r="O329" s="1">
        <v>0.0271243124975016</v>
      </c>
      <c r="P329" s="1" t="s">
        <v>61</v>
      </c>
      <c r="Q329" s="1" t="s">
        <v>61</v>
      </c>
      <c r="R329" s="1">
        <f t="shared" si="1"/>
        <v>0.0271243125</v>
      </c>
      <c r="S329" s="1">
        <f t="shared" si="2"/>
        <v>-122</v>
      </c>
      <c r="T329" s="1">
        <f t="shared" si="3"/>
        <v>1.819672131</v>
      </c>
      <c r="U329" s="1">
        <f t="shared" si="4"/>
        <v>0</v>
      </c>
      <c r="V329" s="3">
        <f t="shared" si="5"/>
        <v>1</v>
      </c>
      <c r="W329" s="3">
        <f t="shared" si="6"/>
        <v>3</v>
      </c>
      <c r="X329" s="3" t="str">
        <f>IFERROR(__xludf.DUMMYFUNCTION("split(B329,"" "")"),"T.")</f>
        <v>T.</v>
      </c>
      <c r="Y329" s="3" t="str">
        <f>IFERROR(__xludf.DUMMYFUNCTION("""COMPUTED_VALUE"""),"Huntley")</f>
        <v>Huntley</v>
      </c>
      <c r="AA329" s="3">
        <v>7.0</v>
      </c>
      <c r="AB329" s="3">
        <f t="shared" si="7"/>
        <v>0</v>
      </c>
      <c r="AC329" s="3">
        <f t="shared" si="8"/>
        <v>1</v>
      </c>
      <c r="AD329" s="3">
        <f t="shared" si="9"/>
        <v>0.8196721311</v>
      </c>
      <c r="AE329" s="3">
        <f t="shared" si="10"/>
        <v>0.8196721311</v>
      </c>
      <c r="AF329" s="3">
        <f t="shared" si="11"/>
        <v>2.459016393</v>
      </c>
      <c r="AG329" s="3">
        <f t="shared" si="12"/>
        <v>0.7971014493</v>
      </c>
    </row>
    <row r="330">
      <c r="A330" s="1" t="s">
        <v>11</v>
      </c>
      <c r="B330" s="1" t="s">
        <v>220</v>
      </c>
      <c r="C330" s="1" t="s">
        <v>20</v>
      </c>
      <c r="D330" s="1" t="s">
        <v>94</v>
      </c>
      <c r="E330" s="1" t="s">
        <v>66</v>
      </c>
      <c r="F330" s="1" t="s">
        <v>576</v>
      </c>
      <c r="G330" s="1">
        <v>10.5</v>
      </c>
      <c r="H330" s="1" t="s">
        <v>60</v>
      </c>
      <c r="I330" s="1">
        <v>-113.0</v>
      </c>
      <c r="J330" s="1">
        <v>0.0262428410477676</v>
      </c>
      <c r="K330" s="1" t="s">
        <v>61</v>
      </c>
      <c r="L330" s="1" t="s">
        <v>61</v>
      </c>
      <c r="M330" s="1" t="s">
        <v>62</v>
      </c>
      <c r="N330" s="1">
        <v>-115.0</v>
      </c>
      <c r="O330" s="1">
        <v>-0.0915955298355846</v>
      </c>
      <c r="P330" s="1" t="s">
        <v>61</v>
      </c>
      <c r="Q330" s="1" t="s">
        <v>61</v>
      </c>
      <c r="R330" s="1">
        <f t="shared" si="1"/>
        <v>0.02624284105</v>
      </c>
      <c r="S330" s="1">
        <f t="shared" si="2"/>
        <v>-113</v>
      </c>
      <c r="T330" s="1">
        <f t="shared" si="3"/>
        <v>1.884955752</v>
      </c>
      <c r="U330" s="1">
        <f t="shared" si="4"/>
        <v>1</v>
      </c>
      <c r="V330" s="3">
        <f t="shared" si="5"/>
        <v>1</v>
      </c>
      <c r="W330" s="3">
        <f t="shared" si="6"/>
        <v>2</v>
      </c>
      <c r="X330" s="3" t="str">
        <f>IFERROR(__xludf.DUMMYFUNCTION("split(B330,"" "")"),"J.")</f>
        <v>J.</v>
      </c>
      <c r="Y330" s="3" t="str">
        <f>IFERROR(__xludf.DUMMYFUNCTION("""COMPUTED_VALUE"""),"Smith")</f>
        <v>Smith</v>
      </c>
      <c r="AA330" s="3">
        <v>62.0</v>
      </c>
      <c r="AB330" s="3">
        <f t="shared" si="7"/>
        <v>1</v>
      </c>
      <c r="AC330" s="3">
        <f t="shared" si="8"/>
        <v>1</v>
      </c>
      <c r="AD330" s="3">
        <f t="shared" si="9"/>
        <v>0.8849557522</v>
      </c>
      <c r="AE330" s="3">
        <f t="shared" si="10"/>
        <v>0.8849557522</v>
      </c>
      <c r="AF330" s="3">
        <f t="shared" si="11"/>
        <v>1.769911504</v>
      </c>
      <c r="AG330" s="3">
        <f t="shared" si="12"/>
        <v>4.904761905</v>
      </c>
    </row>
    <row r="331">
      <c r="A331" s="1" t="s">
        <v>16</v>
      </c>
      <c r="B331" s="1" t="s">
        <v>569</v>
      </c>
      <c r="C331" s="1" t="s">
        <v>21</v>
      </c>
      <c r="D331" s="1" t="s">
        <v>94</v>
      </c>
      <c r="E331" s="1" t="s">
        <v>66</v>
      </c>
      <c r="F331" s="1" t="s">
        <v>576</v>
      </c>
      <c r="G331" s="1">
        <v>26.5</v>
      </c>
      <c r="H331" s="1" t="s">
        <v>60</v>
      </c>
      <c r="I331" s="1">
        <v>-103.0</v>
      </c>
      <c r="J331" s="1">
        <v>-0.0852889494975369</v>
      </c>
      <c r="K331" s="1" t="s">
        <v>61</v>
      </c>
      <c r="L331" s="1" t="s">
        <v>61</v>
      </c>
      <c r="M331" s="1" t="s">
        <v>62</v>
      </c>
      <c r="N331" s="1">
        <v>-126.0</v>
      </c>
      <c r="O331" s="1">
        <v>0.0203776349667256</v>
      </c>
      <c r="P331" s="1" t="s">
        <v>61</v>
      </c>
      <c r="Q331" s="1" t="s">
        <v>61</v>
      </c>
      <c r="R331" s="1">
        <f t="shared" si="1"/>
        <v>0.02037763497</v>
      </c>
      <c r="S331" s="1">
        <f t="shared" si="2"/>
        <v>-126</v>
      </c>
      <c r="T331" s="1">
        <f t="shared" si="3"/>
        <v>1.793650794</v>
      </c>
      <c r="U331" s="1">
        <f t="shared" si="4"/>
        <v>0</v>
      </c>
      <c r="V331" s="3">
        <f t="shared" si="5"/>
        <v>1</v>
      </c>
      <c r="W331" s="3">
        <f t="shared" si="6"/>
        <v>3</v>
      </c>
      <c r="X331" s="3" t="str">
        <f>IFERROR(__xludf.DUMMYFUNCTION("split(B331,"" "")"),"T.")</f>
        <v>T.</v>
      </c>
      <c r="Y331" s="3" t="str">
        <f>IFERROR(__xludf.DUMMYFUNCTION("""COMPUTED_VALUE"""),"Huntley")</f>
        <v>Huntley</v>
      </c>
      <c r="AA331" s="3">
        <v>31.0</v>
      </c>
      <c r="AB331" s="3">
        <f t="shared" si="7"/>
        <v>1</v>
      </c>
      <c r="AC331" s="3">
        <f t="shared" si="8"/>
        <v>0</v>
      </c>
      <c r="AD331" s="3">
        <f t="shared" si="9"/>
        <v>0.7936507937</v>
      </c>
      <c r="AE331" s="3">
        <f t="shared" si="10"/>
        <v>-1</v>
      </c>
      <c r="AF331" s="3">
        <f t="shared" si="11"/>
        <v>-3</v>
      </c>
      <c r="AG331" s="3">
        <f t="shared" si="12"/>
        <v>-0.1698113208</v>
      </c>
    </row>
    <row r="332">
      <c r="A332" s="1" t="s">
        <v>13</v>
      </c>
      <c r="B332" s="1" t="s">
        <v>569</v>
      </c>
      <c r="C332" s="1" t="s">
        <v>21</v>
      </c>
      <c r="D332" s="1" t="s">
        <v>94</v>
      </c>
      <c r="E332" s="1" t="s">
        <v>66</v>
      </c>
      <c r="F332" s="1" t="s">
        <v>576</v>
      </c>
      <c r="G332" s="1">
        <v>162.5</v>
      </c>
      <c r="H332" s="1" t="s">
        <v>60</v>
      </c>
      <c r="I332" s="1">
        <v>-113.0</v>
      </c>
      <c r="J332" s="1">
        <v>0.0198358720985913</v>
      </c>
      <c r="K332" s="1" t="s">
        <v>61</v>
      </c>
      <c r="L332" s="1" t="s">
        <v>61</v>
      </c>
      <c r="M332" s="1" t="s">
        <v>62</v>
      </c>
      <c r="N332" s="1">
        <v>-113.0</v>
      </c>
      <c r="O332" s="1">
        <v>-0.0808755354714082</v>
      </c>
      <c r="P332" s="1" t="s">
        <v>61</v>
      </c>
      <c r="Q332" s="1" t="s">
        <v>61</v>
      </c>
      <c r="R332" s="1">
        <f t="shared" si="1"/>
        <v>0.0198358721</v>
      </c>
      <c r="S332" s="1">
        <f t="shared" si="2"/>
        <v>-113</v>
      </c>
      <c r="T332" s="1">
        <f t="shared" si="3"/>
        <v>1.884955752</v>
      </c>
      <c r="U332" s="1">
        <f t="shared" si="4"/>
        <v>1</v>
      </c>
      <c r="V332" s="3">
        <f t="shared" si="5"/>
        <v>1</v>
      </c>
      <c r="W332" s="3">
        <f t="shared" si="6"/>
        <v>2</v>
      </c>
      <c r="X332" s="3" t="str">
        <f>IFERROR(__xludf.DUMMYFUNCTION("split(B332,"" "")"),"T.")</f>
        <v>T.</v>
      </c>
      <c r="Y332" s="3" t="str">
        <f>IFERROR(__xludf.DUMMYFUNCTION("""COMPUTED_VALUE"""),"Huntley")</f>
        <v>Huntley</v>
      </c>
      <c r="AA332" s="3">
        <v>194.0</v>
      </c>
      <c r="AB332" s="3">
        <f t="shared" si="7"/>
        <v>1</v>
      </c>
      <c r="AC332" s="3">
        <f t="shared" si="8"/>
        <v>1</v>
      </c>
      <c r="AD332" s="3">
        <f t="shared" si="9"/>
        <v>0.8849557522</v>
      </c>
      <c r="AE332" s="3">
        <f t="shared" si="10"/>
        <v>0.8849557522</v>
      </c>
      <c r="AF332" s="3">
        <f t="shared" si="11"/>
        <v>1.769911504</v>
      </c>
      <c r="AG332" s="3">
        <f t="shared" si="12"/>
        <v>0.1938461538</v>
      </c>
    </row>
    <row r="333">
      <c r="A333" s="1" t="s">
        <v>12</v>
      </c>
      <c r="B333" s="1" t="s">
        <v>475</v>
      </c>
      <c r="C333" s="1" t="s">
        <v>18</v>
      </c>
      <c r="D333" s="1" t="s">
        <v>94</v>
      </c>
      <c r="E333" s="1" t="s">
        <v>66</v>
      </c>
      <c r="F333" s="1" t="s">
        <v>576</v>
      </c>
      <c r="G333" s="1">
        <v>3.5</v>
      </c>
      <c r="H333" s="1" t="s">
        <v>60</v>
      </c>
      <c r="I333" s="1">
        <v>-102.0</v>
      </c>
      <c r="J333" s="1">
        <v>-0.085150495049505</v>
      </c>
      <c r="K333" s="1" t="s">
        <v>61</v>
      </c>
      <c r="L333" s="1" t="s">
        <v>61</v>
      </c>
      <c r="M333" s="1" t="s">
        <v>62</v>
      </c>
      <c r="N333" s="1">
        <v>-128.0</v>
      </c>
      <c r="O333" s="1">
        <v>0.0187964912280702</v>
      </c>
      <c r="P333" s="1" t="s">
        <v>61</v>
      </c>
      <c r="Q333" s="1" t="s">
        <v>61</v>
      </c>
      <c r="R333" s="1">
        <f t="shared" si="1"/>
        <v>0.01879649123</v>
      </c>
      <c r="S333" s="1">
        <f t="shared" si="2"/>
        <v>-128</v>
      </c>
      <c r="T333" s="1">
        <f t="shared" si="3"/>
        <v>1.78125</v>
      </c>
      <c r="U333" s="1">
        <f t="shared" si="4"/>
        <v>0</v>
      </c>
      <c r="V333" s="3">
        <f t="shared" si="5"/>
        <v>1</v>
      </c>
      <c r="W333" s="3">
        <f t="shared" si="6"/>
        <v>3</v>
      </c>
      <c r="X333" s="3" t="str">
        <f>IFERROR(__xludf.DUMMYFUNCTION("split(B333,"" "")"),"J.")</f>
        <v>J.</v>
      </c>
      <c r="Y333" s="3" t="str">
        <f>IFERROR(__xludf.DUMMYFUNCTION("""COMPUTED_VALUE"""),"Waddle")</f>
        <v>Waddle</v>
      </c>
      <c r="AA333" s="3">
        <v>4.0</v>
      </c>
      <c r="AB333" s="3">
        <f t="shared" si="7"/>
        <v>1</v>
      </c>
      <c r="AC333" s="3">
        <f t="shared" si="8"/>
        <v>0</v>
      </c>
      <c r="AD333" s="3">
        <f t="shared" si="9"/>
        <v>0.78125</v>
      </c>
      <c r="AE333" s="3">
        <f t="shared" si="10"/>
        <v>-1</v>
      </c>
      <c r="AF333" s="3">
        <f t="shared" si="11"/>
        <v>-3</v>
      </c>
      <c r="AG333" s="3">
        <f t="shared" si="12"/>
        <v>-0.1428571429</v>
      </c>
    </row>
    <row r="334">
      <c r="A334" s="1" t="s">
        <v>11</v>
      </c>
      <c r="B334" s="1" t="s">
        <v>441</v>
      </c>
      <c r="C334" s="1" t="s">
        <v>18</v>
      </c>
      <c r="D334" s="1" t="s">
        <v>94</v>
      </c>
      <c r="E334" s="1" t="s">
        <v>66</v>
      </c>
      <c r="F334" s="1" t="s">
        <v>576</v>
      </c>
      <c r="G334" s="1">
        <v>48.5</v>
      </c>
      <c r="H334" s="1" t="s">
        <v>60</v>
      </c>
      <c r="I334" s="1">
        <v>-118.0</v>
      </c>
      <c r="J334" s="1">
        <v>-0.0734439219746145</v>
      </c>
      <c r="K334" s="1" t="s">
        <v>61</v>
      </c>
      <c r="L334" s="1" t="s">
        <v>61</v>
      </c>
      <c r="M334" s="1" t="s">
        <v>62</v>
      </c>
      <c r="N334" s="1">
        <v>-110.0</v>
      </c>
      <c r="O334" s="1">
        <v>0.00841477188604755</v>
      </c>
      <c r="P334" s="1" t="s">
        <v>61</v>
      </c>
      <c r="Q334" s="1" t="s">
        <v>61</v>
      </c>
      <c r="R334" s="1">
        <f t="shared" si="1"/>
        <v>0.008414771886</v>
      </c>
      <c r="S334" s="1">
        <f t="shared" si="2"/>
        <v>-110</v>
      </c>
      <c r="T334" s="1">
        <f t="shared" si="3"/>
        <v>1.909090909</v>
      </c>
      <c r="U334" s="1">
        <f t="shared" si="4"/>
        <v>0</v>
      </c>
      <c r="V334" s="3">
        <f t="shared" si="5"/>
        <v>1</v>
      </c>
      <c r="W334" s="3">
        <f t="shared" si="6"/>
        <v>2</v>
      </c>
      <c r="X334" s="3" t="str">
        <f>IFERROR(__xludf.DUMMYFUNCTION("split(B334,"" "")"),"T.")</f>
        <v>T.</v>
      </c>
      <c r="Y334" s="3" t="str">
        <f>IFERROR(__xludf.DUMMYFUNCTION("""COMPUTED_VALUE"""),"Hill")</f>
        <v>Hill</v>
      </c>
      <c r="AA334" s="3">
        <v>69.0</v>
      </c>
      <c r="AB334" s="3">
        <f t="shared" si="7"/>
        <v>1</v>
      </c>
      <c r="AC334" s="3">
        <f t="shared" si="8"/>
        <v>0</v>
      </c>
      <c r="AD334" s="3">
        <f t="shared" si="9"/>
        <v>0.9090909091</v>
      </c>
      <c r="AE334" s="3">
        <f t="shared" si="10"/>
        <v>-1</v>
      </c>
      <c r="AF334" s="3">
        <f t="shared" si="11"/>
        <v>-2</v>
      </c>
      <c r="AG334" s="3">
        <f t="shared" si="12"/>
        <v>-0.4226804124</v>
      </c>
    </row>
    <row r="335">
      <c r="A335" s="1" t="s">
        <v>10</v>
      </c>
      <c r="B335" s="1" t="s">
        <v>289</v>
      </c>
      <c r="C335" s="1" t="s">
        <v>19</v>
      </c>
      <c r="D335" s="1" t="s">
        <v>94</v>
      </c>
      <c r="E335" s="1" t="s">
        <v>66</v>
      </c>
      <c r="F335" s="1" t="s">
        <v>576</v>
      </c>
      <c r="G335" s="1">
        <v>48.5</v>
      </c>
      <c r="H335" s="1" t="s">
        <v>60</v>
      </c>
      <c r="I335" s="1">
        <v>-107.0</v>
      </c>
      <c r="J335" s="1">
        <v>0.0025403930208816</v>
      </c>
      <c r="K335" s="1" t="s">
        <v>61</v>
      </c>
      <c r="L335" s="1" t="s">
        <v>61</v>
      </c>
      <c r="M335" s="1" t="s">
        <v>62</v>
      </c>
      <c r="N335" s="1">
        <v>-118.0</v>
      </c>
      <c r="O335" s="1">
        <v>-0.060728470908806</v>
      </c>
      <c r="P335" s="1" t="s">
        <v>61</v>
      </c>
      <c r="Q335" s="1" t="s">
        <v>61</v>
      </c>
      <c r="R335" s="1">
        <f t="shared" si="1"/>
        <v>0.002540393021</v>
      </c>
      <c r="S335" s="1">
        <f t="shared" si="2"/>
        <v>-107</v>
      </c>
      <c r="T335" s="1">
        <f t="shared" si="3"/>
        <v>1.934579439</v>
      </c>
      <c r="U335" s="1">
        <f t="shared" si="4"/>
        <v>1</v>
      </c>
      <c r="V335" s="3">
        <f t="shared" si="5"/>
        <v>1</v>
      </c>
      <c r="W335" s="3">
        <f t="shared" si="6"/>
        <v>2</v>
      </c>
      <c r="X335" s="3" t="str">
        <f>IFERROR(__xludf.DUMMYFUNCTION("split(B335,"" "")"),"D.")</f>
        <v>D.</v>
      </c>
      <c r="Y335" s="3" t="str">
        <f>IFERROR(__xludf.DUMMYFUNCTION("""COMPUTED_VALUE"""),"Achane")</f>
        <v>Achane</v>
      </c>
      <c r="AA335" s="3">
        <v>18.0</v>
      </c>
      <c r="AB335" s="3">
        <f t="shared" si="7"/>
        <v>0</v>
      </c>
      <c r="AC335" s="3">
        <f t="shared" si="8"/>
        <v>0</v>
      </c>
      <c r="AD335" s="3">
        <f t="shared" si="9"/>
        <v>0.9345794393</v>
      </c>
      <c r="AE335" s="3">
        <f t="shared" si="10"/>
        <v>-1</v>
      </c>
      <c r="AF335" s="3">
        <f t="shared" si="11"/>
        <v>-2</v>
      </c>
      <c r="AG335" s="3">
        <f t="shared" si="12"/>
        <v>-0.6288659794</v>
      </c>
    </row>
    <row r="336">
      <c r="A336" s="1" t="s">
        <v>11</v>
      </c>
      <c r="B336" s="1" t="s">
        <v>475</v>
      </c>
      <c r="C336" s="1" t="s">
        <v>18</v>
      </c>
      <c r="D336" s="1" t="s">
        <v>94</v>
      </c>
      <c r="E336" s="1" t="s">
        <v>66</v>
      </c>
      <c r="F336" s="1" t="s">
        <v>576</v>
      </c>
      <c r="G336" s="1">
        <v>36.5</v>
      </c>
      <c r="H336" s="1" t="s">
        <v>60</v>
      </c>
      <c r="I336" s="1">
        <v>-113.0</v>
      </c>
      <c r="J336" s="1">
        <v>-0.062610016936526</v>
      </c>
      <c r="K336" s="1" t="s">
        <v>61</v>
      </c>
      <c r="L336" s="1" t="s">
        <v>61</v>
      </c>
      <c r="M336" s="1" t="s">
        <v>62</v>
      </c>
      <c r="N336" s="1">
        <v>-113.0</v>
      </c>
      <c r="O336" s="1">
        <v>0.00157570293827435</v>
      </c>
      <c r="P336" s="1" t="s">
        <v>61</v>
      </c>
      <c r="Q336" s="1" t="s">
        <v>61</v>
      </c>
      <c r="R336" s="1">
        <f t="shared" si="1"/>
        <v>0.001575702938</v>
      </c>
      <c r="S336" s="1">
        <f t="shared" si="2"/>
        <v>-113</v>
      </c>
      <c r="T336" s="1">
        <f t="shared" si="3"/>
        <v>1.884955752</v>
      </c>
      <c r="U336" s="1">
        <f t="shared" si="4"/>
        <v>0</v>
      </c>
      <c r="V336" s="3">
        <f t="shared" si="5"/>
        <v>1</v>
      </c>
      <c r="W336" s="3">
        <f t="shared" si="6"/>
        <v>2</v>
      </c>
      <c r="X336" s="3" t="str">
        <f>IFERROR(__xludf.DUMMYFUNCTION("split(B336,"" "")"),"J.")</f>
        <v>J.</v>
      </c>
      <c r="Y336" s="3" t="str">
        <f>IFERROR(__xludf.DUMMYFUNCTION("""COMPUTED_VALUE"""),"Waddle")</f>
        <v>Waddle</v>
      </c>
      <c r="AA336" s="3">
        <v>46.0</v>
      </c>
      <c r="AB336" s="3">
        <f t="shared" si="7"/>
        <v>1</v>
      </c>
      <c r="AC336" s="3">
        <f t="shared" si="8"/>
        <v>0</v>
      </c>
      <c r="AD336" s="3">
        <f t="shared" si="9"/>
        <v>0.8849557522</v>
      </c>
      <c r="AE336" s="3">
        <f t="shared" si="10"/>
        <v>-1</v>
      </c>
      <c r="AF336" s="3">
        <f t="shared" si="11"/>
        <v>-2</v>
      </c>
      <c r="AG336" s="3">
        <f t="shared" si="12"/>
        <v>-0.2602739726</v>
      </c>
    </row>
    <row r="337">
      <c r="A337" s="1" t="s">
        <v>12</v>
      </c>
      <c r="B337" s="1" t="s">
        <v>304</v>
      </c>
      <c r="C337" s="1" t="s">
        <v>19</v>
      </c>
      <c r="D337" s="1" t="s">
        <v>146</v>
      </c>
      <c r="E337" s="1" t="s">
        <v>165</v>
      </c>
      <c r="F337" s="1" t="s">
        <v>596</v>
      </c>
      <c r="G337" s="1">
        <v>3.5</v>
      </c>
      <c r="H337" s="1" t="s">
        <v>60</v>
      </c>
      <c r="I337" s="1">
        <v>-147.0</v>
      </c>
      <c r="J337" s="1">
        <v>-0.269001214574898</v>
      </c>
      <c r="K337" s="1" t="s">
        <v>61</v>
      </c>
      <c r="L337" s="1" t="s">
        <v>61</v>
      </c>
      <c r="M337" s="1" t="s">
        <v>62</v>
      </c>
      <c r="N337" s="1">
        <v>111.0</v>
      </c>
      <c r="O337" s="1">
        <v>0.199918957345971</v>
      </c>
      <c r="P337" s="1" t="s">
        <v>61</v>
      </c>
      <c r="Q337" s="1" t="s">
        <v>61</v>
      </c>
      <c r="R337" s="1">
        <f t="shared" si="1"/>
        <v>0.1999189573</v>
      </c>
      <c r="S337" s="1">
        <f t="shared" si="2"/>
        <v>111</v>
      </c>
      <c r="T337" s="1">
        <f t="shared" si="3"/>
        <v>2.11</v>
      </c>
      <c r="U337" s="1">
        <f t="shared" si="4"/>
        <v>0</v>
      </c>
      <c r="V337" s="3">
        <f t="shared" si="5"/>
        <v>3</v>
      </c>
      <c r="W337" s="3">
        <f t="shared" si="6"/>
        <v>1</v>
      </c>
      <c r="X337" s="3" t="str">
        <f>IFERROR(__xludf.DUMMYFUNCTION("split(B337,"" "")"),"A.")</f>
        <v>A.</v>
      </c>
      <c r="Y337" s="3" t="str">
        <f>IFERROR(__xludf.DUMMYFUNCTION("""COMPUTED_VALUE"""),"Jones")</f>
        <v>Jones</v>
      </c>
      <c r="AA337" s="3">
        <v>1.0</v>
      </c>
      <c r="AB337" s="3">
        <f t="shared" si="7"/>
        <v>0</v>
      </c>
      <c r="AC337" s="3">
        <f t="shared" si="8"/>
        <v>1</v>
      </c>
      <c r="AD337" s="3">
        <f t="shared" si="9"/>
        <v>3.33</v>
      </c>
      <c r="AE337" s="3">
        <f t="shared" si="10"/>
        <v>3.33</v>
      </c>
      <c r="AF337" s="3">
        <f t="shared" si="11"/>
        <v>1.11</v>
      </c>
      <c r="AG337" s="3">
        <f t="shared" si="12"/>
        <v>0.7142857143</v>
      </c>
    </row>
    <row r="338">
      <c r="A338" s="1" t="s">
        <v>12</v>
      </c>
      <c r="B338" s="1" t="s">
        <v>185</v>
      </c>
      <c r="C338" s="1" t="s">
        <v>20</v>
      </c>
      <c r="D338" s="1" t="s">
        <v>146</v>
      </c>
      <c r="E338" s="1" t="s">
        <v>165</v>
      </c>
      <c r="F338" s="1" t="s">
        <v>596</v>
      </c>
      <c r="G338" s="1">
        <v>1.5</v>
      </c>
      <c r="H338" s="1" t="s">
        <v>60</v>
      </c>
      <c r="I338" s="1">
        <v>-162.0</v>
      </c>
      <c r="J338" s="1">
        <v>-0.166194918740457</v>
      </c>
      <c r="K338" s="1" t="s">
        <v>61</v>
      </c>
      <c r="L338" s="1" t="s">
        <v>61</v>
      </c>
      <c r="M338" s="1" t="s">
        <v>62</v>
      </c>
      <c r="N338" s="1">
        <v>123.0</v>
      </c>
      <c r="O338" s="1">
        <v>0.0994568103587444</v>
      </c>
      <c r="P338" s="1" t="s">
        <v>61</v>
      </c>
      <c r="Q338" s="1" t="s">
        <v>61</v>
      </c>
      <c r="R338" s="1">
        <f t="shared" si="1"/>
        <v>0.09945681036</v>
      </c>
      <c r="S338" s="1">
        <f t="shared" si="2"/>
        <v>123</v>
      </c>
      <c r="T338" s="1">
        <f t="shared" si="3"/>
        <v>2.23</v>
      </c>
      <c r="U338" s="1">
        <f t="shared" si="4"/>
        <v>0</v>
      </c>
      <c r="V338" s="3">
        <f t="shared" si="5"/>
        <v>2</v>
      </c>
      <c r="W338" s="3">
        <f t="shared" si="6"/>
        <v>1</v>
      </c>
      <c r="X338" s="3" t="str">
        <f>IFERROR(__xludf.DUMMYFUNCTION("split(B338,"" "")"),"J.")</f>
        <v>J.</v>
      </c>
      <c r="Y338" s="3" t="str">
        <f>IFERROR(__xludf.DUMMYFUNCTION("""COMPUTED_VALUE"""),"Mundt")</f>
        <v>Mundt</v>
      </c>
      <c r="AA338" s="3">
        <v>2.0</v>
      </c>
      <c r="AB338" s="3">
        <f t="shared" si="7"/>
        <v>1</v>
      </c>
      <c r="AC338" s="3">
        <f t="shared" si="8"/>
        <v>0</v>
      </c>
      <c r="AD338" s="3">
        <f t="shared" si="9"/>
        <v>2.46</v>
      </c>
      <c r="AE338" s="3">
        <f t="shared" si="10"/>
        <v>-2</v>
      </c>
      <c r="AF338" s="3">
        <f t="shared" si="11"/>
        <v>-1</v>
      </c>
      <c r="AG338" s="3">
        <f t="shared" si="12"/>
        <v>-0.3333333333</v>
      </c>
    </row>
    <row r="339">
      <c r="A339" s="1" t="s">
        <v>8</v>
      </c>
      <c r="B339" s="1" t="s">
        <v>145</v>
      </c>
      <c r="C339" s="1" t="s">
        <v>21</v>
      </c>
      <c r="D339" s="1" t="s">
        <v>146</v>
      </c>
      <c r="E339" s="1" t="s">
        <v>165</v>
      </c>
      <c r="F339" s="1" t="s">
        <v>596</v>
      </c>
      <c r="G339" s="1">
        <v>3.5</v>
      </c>
      <c r="H339" s="1" t="s">
        <v>60</v>
      </c>
      <c r="I339" s="1">
        <v>114.0</v>
      </c>
      <c r="J339" s="1">
        <v>-0.141136807537747</v>
      </c>
      <c r="K339" s="1" t="s">
        <v>61</v>
      </c>
      <c r="L339" s="1" t="s">
        <v>61</v>
      </c>
      <c r="M339" s="1" t="s">
        <v>62</v>
      </c>
      <c r="N339" s="1">
        <v>-153.0</v>
      </c>
      <c r="O339" s="1">
        <v>0.0691103721101487</v>
      </c>
      <c r="P339" s="1" t="s">
        <v>61</v>
      </c>
      <c r="Q339" s="1" t="s">
        <v>61</v>
      </c>
      <c r="R339" s="1">
        <f t="shared" si="1"/>
        <v>0.06911037211</v>
      </c>
      <c r="S339" s="1">
        <f t="shared" si="2"/>
        <v>-153</v>
      </c>
      <c r="T339" s="1">
        <f t="shared" si="3"/>
        <v>1.653594771</v>
      </c>
      <c r="U339" s="1">
        <f t="shared" si="4"/>
        <v>0</v>
      </c>
      <c r="V339" s="3">
        <f t="shared" si="5"/>
        <v>2</v>
      </c>
      <c r="W339" s="3">
        <f t="shared" si="6"/>
        <v>3</v>
      </c>
      <c r="X339" s="3" t="str">
        <f>IFERROR(__xludf.DUMMYFUNCTION("split(B339,"" "")"),"S.")</f>
        <v>S.</v>
      </c>
      <c r="Y339" s="3" t="str">
        <f>IFERROR(__xludf.DUMMYFUNCTION("""COMPUTED_VALUE"""),"Darnold")</f>
        <v>Darnold</v>
      </c>
      <c r="AA339" s="3">
        <v>5.0</v>
      </c>
      <c r="AB339" s="3">
        <f t="shared" si="7"/>
        <v>1</v>
      </c>
      <c r="AC339" s="3">
        <f t="shared" si="8"/>
        <v>0</v>
      </c>
      <c r="AD339" s="3">
        <f t="shared" si="9"/>
        <v>1.307189542</v>
      </c>
      <c r="AE339" s="3">
        <f t="shared" si="10"/>
        <v>-2</v>
      </c>
      <c r="AF339" s="3">
        <f t="shared" si="11"/>
        <v>-3</v>
      </c>
      <c r="AG339" s="3">
        <f t="shared" si="12"/>
        <v>-0.4285714286</v>
      </c>
    </row>
    <row r="340">
      <c r="A340" s="1" t="s">
        <v>11</v>
      </c>
      <c r="B340" s="1" t="s">
        <v>548</v>
      </c>
      <c r="C340" s="1" t="s">
        <v>18</v>
      </c>
      <c r="D340" s="1" t="s">
        <v>146</v>
      </c>
      <c r="E340" s="1" t="s">
        <v>165</v>
      </c>
      <c r="F340" s="1" t="s">
        <v>596</v>
      </c>
      <c r="G340" s="1">
        <v>7.5</v>
      </c>
      <c r="H340" s="1" t="s">
        <v>60</v>
      </c>
      <c r="I340" s="1">
        <v>-115.0</v>
      </c>
      <c r="J340" s="1">
        <v>0.0685551173529911</v>
      </c>
      <c r="K340" s="1" t="s">
        <v>61</v>
      </c>
      <c r="L340" s="1" t="s">
        <v>61</v>
      </c>
      <c r="M340" s="1" t="s">
        <v>62</v>
      </c>
      <c r="N340" s="1">
        <v>-112.0</v>
      </c>
      <c r="O340" s="1">
        <v>-0.131718831408491</v>
      </c>
      <c r="P340" s="1" t="s">
        <v>61</v>
      </c>
      <c r="Q340" s="1" t="s">
        <v>61</v>
      </c>
      <c r="R340" s="1">
        <f t="shared" si="1"/>
        <v>0.06855511735</v>
      </c>
      <c r="S340" s="1">
        <f t="shared" si="2"/>
        <v>-115</v>
      </c>
      <c r="T340" s="1">
        <f t="shared" si="3"/>
        <v>1.869565217</v>
      </c>
      <c r="U340" s="1">
        <f t="shared" si="4"/>
        <v>1</v>
      </c>
      <c r="V340" s="3">
        <f t="shared" si="5"/>
        <v>2</v>
      </c>
      <c r="W340" s="3">
        <f t="shared" si="6"/>
        <v>2</v>
      </c>
      <c r="X340" s="3" t="str">
        <f>IFERROR(__xludf.DUMMYFUNCTION("split(B340,"" "")"),"B.")</f>
        <v>B.</v>
      </c>
      <c r="Y340" s="3" t="str">
        <f>IFERROR(__xludf.DUMMYFUNCTION("""COMPUTED_VALUE"""),"Powell")</f>
        <v>Powell</v>
      </c>
      <c r="AA340" s="3">
        <v>0.0</v>
      </c>
      <c r="AB340" s="3">
        <f t="shared" si="7"/>
        <v>0</v>
      </c>
      <c r="AC340" s="3">
        <f t="shared" si="8"/>
        <v>0</v>
      </c>
      <c r="AD340" s="3">
        <f t="shared" si="9"/>
        <v>1.739130435</v>
      </c>
      <c r="AE340" s="3">
        <f t="shared" si="10"/>
        <v>-2</v>
      </c>
      <c r="AF340" s="3">
        <f t="shared" si="11"/>
        <v>-2</v>
      </c>
      <c r="AG340" s="3">
        <f t="shared" si="12"/>
        <v>-1</v>
      </c>
    </row>
    <row r="341">
      <c r="A341" s="1" t="s">
        <v>9</v>
      </c>
      <c r="B341" s="1" t="s">
        <v>304</v>
      </c>
      <c r="C341" s="1" t="s">
        <v>19</v>
      </c>
      <c r="D341" s="1" t="s">
        <v>146</v>
      </c>
      <c r="E341" s="1" t="s">
        <v>165</v>
      </c>
      <c r="F341" s="1" t="s">
        <v>596</v>
      </c>
      <c r="G341" s="1">
        <v>93.5</v>
      </c>
      <c r="H341" s="1" t="s">
        <v>60</v>
      </c>
      <c r="I341" s="1">
        <v>-113.0</v>
      </c>
      <c r="J341" s="1">
        <v>-0.131366883730271</v>
      </c>
      <c r="K341" s="1" t="s">
        <v>61</v>
      </c>
      <c r="L341" s="1" t="s">
        <v>61</v>
      </c>
      <c r="M341" s="1" t="s">
        <v>62</v>
      </c>
      <c r="N341" s="1">
        <v>-119.0</v>
      </c>
      <c r="O341" s="1">
        <v>0.0574468615395155</v>
      </c>
      <c r="P341" s="1" t="s">
        <v>61</v>
      </c>
      <c r="Q341" s="1" t="s">
        <v>61</v>
      </c>
      <c r="R341" s="1">
        <f t="shared" si="1"/>
        <v>0.05744686154</v>
      </c>
      <c r="S341" s="1">
        <f t="shared" si="2"/>
        <v>-119</v>
      </c>
      <c r="T341" s="1">
        <f t="shared" si="3"/>
        <v>1.840336134</v>
      </c>
      <c r="U341" s="1">
        <f t="shared" si="4"/>
        <v>0</v>
      </c>
      <c r="V341" s="3">
        <f t="shared" si="5"/>
        <v>2</v>
      </c>
      <c r="W341" s="3">
        <f t="shared" si="6"/>
        <v>3</v>
      </c>
      <c r="X341" s="3" t="str">
        <f>IFERROR(__xludf.DUMMYFUNCTION("split(B341,"" "")"),"A.")</f>
        <v>A.</v>
      </c>
      <c r="Y341" s="3" t="str">
        <f>IFERROR(__xludf.DUMMYFUNCTION("""COMPUTED_VALUE"""),"Jones")</f>
        <v>Jones</v>
      </c>
      <c r="AA341" s="3">
        <v>53.0</v>
      </c>
      <c r="AB341" s="3">
        <f t="shared" si="7"/>
        <v>0</v>
      </c>
      <c r="AC341" s="3">
        <f t="shared" si="8"/>
        <v>1</v>
      </c>
      <c r="AD341" s="3">
        <f t="shared" si="9"/>
        <v>1.680672269</v>
      </c>
      <c r="AE341" s="3">
        <f t="shared" si="10"/>
        <v>1.680672269</v>
      </c>
      <c r="AF341" s="3">
        <f t="shared" si="11"/>
        <v>2.521008403</v>
      </c>
      <c r="AG341" s="3">
        <f t="shared" si="12"/>
        <v>0.4331550802</v>
      </c>
    </row>
    <row r="342">
      <c r="A342" s="1" t="s">
        <v>11</v>
      </c>
      <c r="B342" s="1" t="s">
        <v>304</v>
      </c>
      <c r="C342" s="1" t="s">
        <v>19</v>
      </c>
      <c r="D342" s="1" t="s">
        <v>146</v>
      </c>
      <c r="E342" s="1" t="s">
        <v>165</v>
      </c>
      <c r="F342" s="1" t="s">
        <v>596</v>
      </c>
      <c r="G342" s="1">
        <v>25.5</v>
      </c>
      <c r="H342" s="1" t="s">
        <v>60</v>
      </c>
      <c r="I342" s="1">
        <v>-110.0</v>
      </c>
      <c r="J342" s="1">
        <v>-0.108072644239995</v>
      </c>
      <c r="K342" s="1" t="s">
        <v>61</v>
      </c>
      <c r="L342" s="1" t="s">
        <v>61</v>
      </c>
      <c r="M342" s="1" t="s">
        <v>62</v>
      </c>
      <c r="N342" s="1">
        <v>-120.0</v>
      </c>
      <c r="O342" s="1">
        <v>0.0388613924930854</v>
      </c>
      <c r="P342" s="1" t="s">
        <v>61</v>
      </c>
      <c r="Q342" s="1" t="s">
        <v>61</v>
      </c>
      <c r="R342" s="1">
        <f t="shared" si="1"/>
        <v>0.03886139249</v>
      </c>
      <c r="S342" s="1">
        <f t="shared" si="2"/>
        <v>-120</v>
      </c>
      <c r="T342" s="1">
        <f t="shared" si="3"/>
        <v>1.833333333</v>
      </c>
      <c r="U342" s="1">
        <f t="shared" si="4"/>
        <v>0</v>
      </c>
      <c r="V342" s="3">
        <f t="shared" si="5"/>
        <v>1</v>
      </c>
      <c r="W342" s="3">
        <f t="shared" si="6"/>
        <v>3</v>
      </c>
      <c r="X342" s="3" t="str">
        <f>IFERROR(__xludf.DUMMYFUNCTION("split(B342,"" "")"),"A.")</f>
        <v>A.</v>
      </c>
      <c r="Y342" s="3" t="str">
        <f>IFERROR(__xludf.DUMMYFUNCTION("""COMPUTED_VALUE"""),"Jones")</f>
        <v>Jones</v>
      </c>
      <c r="AA342" s="3">
        <v>24.0</v>
      </c>
      <c r="AB342" s="3">
        <f t="shared" si="7"/>
        <v>0</v>
      </c>
      <c r="AC342" s="3">
        <f t="shared" si="8"/>
        <v>1</v>
      </c>
      <c r="AD342" s="3">
        <f t="shared" si="9"/>
        <v>0.8333333333</v>
      </c>
      <c r="AE342" s="3">
        <f t="shared" si="10"/>
        <v>0.8333333333</v>
      </c>
      <c r="AF342" s="3">
        <f t="shared" si="11"/>
        <v>2.5</v>
      </c>
      <c r="AG342" s="3">
        <f t="shared" si="12"/>
        <v>0.05882352941</v>
      </c>
    </row>
    <row r="343">
      <c r="A343" s="1" t="s">
        <v>8</v>
      </c>
      <c r="B343" s="1" t="s">
        <v>304</v>
      </c>
      <c r="C343" s="1" t="s">
        <v>19</v>
      </c>
      <c r="D343" s="1" t="s">
        <v>146</v>
      </c>
      <c r="E343" s="1" t="s">
        <v>165</v>
      </c>
      <c r="F343" s="1" t="s">
        <v>596</v>
      </c>
      <c r="G343" s="1">
        <v>15.5</v>
      </c>
      <c r="H343" s="1" t="s">
        <v>60</v>
      </c>
      <c r="I343" s="1">
        <v>-107.0</v>
      </c>
      <c r="J343" s="1">
        <v>-0.11140805942512</v>
      </c>
      <c r="K343" s="1" t="s">
        <v>61</v>
      </c>
      <c r="L343" s="1" t="s">
        <v>61</v>
      </c>
      <c r="M343" s="1" t="s">
        <v>62</v>
      </c>
      <c r="N343" s="1">
        <v>-126.0</v>
      </c>
      <c r="O343" s="1">
        <v>0.0369776993772565</v>
      </c>
      <c r="P343" s="1" t="s">
        <v>61</v>
      </c>
      <c r="Q343" s="1" t="s">
        <v>61</v>
      </c>
      <c r="R343" s="1">
        <f t="shared" si="1"/>
        <v>0.03697769938</v>
      </c>
      <c r="S343" s="1">
        <f t="shared" si="2"/>
        <v>-126</v>
      </c>
      <c r="T343" s="1">
        <f t="shared" si="3"/>
        <v>1.793650794</v>
      </c>
      <c r="U343" s="1">
        <f t="shared" si="4"/>
        <v>0</v>
      </c>
      <c r="V343" s="3">
        <f t="shared" si="5"/>
        <v>1</v>
      </c>
      <c r="W343" s="3">
        <f t="shared" si="6"/>
        <v>3</v>
      </c>
      <c r="X343" s="3" t="str">
        <f>IFERROR(__xludf.DUMMYFUNCTION("split(B343,"" "")"),"A.")</f>
        <v>A.</v>
      </c>
      <c r="Y343" s="3" t="str">
        <f>IFERROR(__xludf.DUMMYFUNCTION("""COMPUTED_VALUE"""),"Jones")</f>
        <v>Jones</v>
      </c>
      <c r="AA343" s="3">
        <v>7.0</v>
      </c>
      <c r="AB343" s="3">
        <f t="shared" si="7"/>
        <v>0</v>
      </c>
      <c r="AC343" s="3">
        <f t="shared" si="8"/>
        <v>1</v>
      </c>
      <c r="AD343" s="3">
        <f t="shared" si="9"/>
        <v>0.7936507937</v>
      </c>
      <c r="AE343" s="3">
        <f t="shared" si="10"/>
        <v>0.7936507937</v>
      </c>
      <c r="AF343" s="3">
        <f t="shared" si="11"/>
        <v>2.380952381</v>
      </c>
      <c r="AG343" s="3">
        <f t="shared" si="12"/>
        <v>0.5483870968</v>
      </c>
    </row>
    <row r="344">
      <c r="A344" s="1" t="s">
        <v>10</v>
      </c>
      <c r="B344" s="1" t="s">
        <v>304</v>
      </c>
      <c r="C344" s="1" t="s">
        <v>19</v>
      </c>
      <c r="D344" s="1" t="s">
        <v>146</v>
      </c>
      <c r="E344" s="1" t="s">
        <v>165</v>
      </c>
      <c r="F344" s="1" t="s">
        <v>596</v>
      </c>
      <c r="G344" s="1">
        <v>62.5</v>
      </c>
      <c r="H344" s="1" t="s">
        <v>60</v>
      </c>
      <c r="I344" s="1">
        <v>-115.0</v>
      </c>
      <c r="J344" s="1">
        <v>-0.0964294898251984</v>
      </c>
      <c r="K344" s="1" t="s">
        <v>61</v>
      </c>
      <c r="L344" s="1" t="s">
        <v>61</v>
      </c>
      <c r="M344" s="1" t="s">
        <v>62</v>
      </c>
      <c r="N344" s="1">
        <v>-114.0</v>
      </c>
      <c r="O344" s="1">
        <v>0.0288270183078053</v>
      </c>
      <c r="P344" s="1" t="s">
        <v>61</v>
      </c>
      <c r="Q344" s="1" t="s">
        <v>61</v>
      </c>
      <c r="R344" s="1">
        <f t="shared" si="1"/>
        <v>0.02882701831</v>
      </c>
      <c r="S344" s="1">
        <f t="shared" si="2"/>
        <v>-114</v>
      </c>
      <c r="T344" s="1">
        <f t="shared" si="3"/>
        <v>1.877192982</v>
      </c>
      <c r="U344" s="1">
        <f t="shared" si="4"/>
        <v>0</v>
      </c>
      <c r="V344" s="3">
        <f t="shared" si="5"/>
        <v>1</v>
      </c>
      <c r="W344" s="3">
        <f t="shared" si="6"/>
        <v>2</v>
      </c>
      <c r="X344" s="3" t="str">
        <f>IFERROR(__xludf.DUMMYFUNCTION("split(B344,"" "")"),"A.")</f>
        <v>A.</v>
      </c>
      <c r="Y344" s="3" t="str">
        <f>IFERROR(__xludf.DUMMYFUNCTION("""COMPUTED_VALUE"""),"Jones")</f>
        <v>Jones</v>
      </c>
      <c r="AA344" s="3">
        <v>29.0</v>
      </c>
      <c r="AB344" s="3">
        <f t="shared" si="7"/>
        <v>0</v>
      </c>
      <c r="AC344" s="3">
        <f t="shared" si="8"/>
        <v>1</v>
      </c>
      <c r="AD344" s="3">
        <f t="shared" si="9"/>
        <v>0.8771929825</v>
      </c>
      <c r="AE344" s="3">
        <f t="shared" si="10"/>
        <v>0.8771929825</v>
      </c>
      <c r="AF344" s="3">
        <f t="shared" si="11"/>
        <v>1.754385965</v>
      </c>
      <c r="AG344" s="3">
        <f t="shared" si="12"/>
        <v>0.536</v>
      </c>
    </row>
    <row r="345">
      <c r="A345" s="1" t="s">
        <v>17</v>
      </c>
      <c r="B345" s="1" t="s">
        <v>145</v>
      </c>
      <c r="C345" s="1" t="s">
        <v>21</v>
      </c>
      <c r="D345" s="1" t="s">
        <v>146</v>
      </c>
      <c r="E345" s="1" t="s">
        <v>165</v>
      </c>
      <c r="F345" s="1" t="s">
        <v>596</v>
      </c>
      <c r="G345" s="1">
        <v>0.5</v>
      </c>
      <c r="H345" s="1" t="s">
        <v>60</v>
      </c>
      <c r="I345" s="1">
        <v>-121.0</v>
      </c>
      <c r="J345" s="1">
        <v>-0.0868113122171946</v>
      </c>
      <c r="K345" s="1" t="s">
        <v>61</v>
      </c>
      <c r="L345" s="1" t="s">
        <v>61</v>
      </c>
      <c r="M345" s="1" t="s">
        <v>62</v>
      </c>
      <c r="N345" s="1">
        <v>-108.0</v>
      </c>
      <c r="O345" s="1">
        <v>0.0200692307692308</v>
      </c>
      <c r="P345" s="1" t="s">
        <v>61</v>
      </c>
      <c r="Q345" s="1" t="s">
        <v>61</v>
      </c>
      <c r="R345" s="1">
        <f t="shared" si="1"/>
        <v>0.02006923077</v>
      </c>
      <c r="S345" s="1">
        <f t="shared" si="2"/>
        <v>-108</v>
      </c>
      <c r="T345" s="1">
        <f t="shared" si="3"/>
        <v>1.925925926</v>
      </c>
      <c r="U345" s="1">
        <f t="shared" si="4"/>
        <v>0</v>
      </c>
      <c r="V345" s="3">
        <f t="shared" si="5"/>
        <v>1</v>
      </c>
      <c r="W345" s="3">
        <f t="shared" si="6"/>
        <v>2</v>
      </c>
      <c r="X345" s="3" t="str">
        <f>IFERROR(__xludf.DUMMYFUNCTION("split(B345,"" "")"),"S.")</f>
        <v>S.</v>
      </c>
      <c r="Y345" s="3" t="str">
        <f>IFERROR(__xludf.DUMMYFUNCTION("""COMPUTED_VALUE"""),"Darnold")</f>
        <v>Darnold</v>
      </c>
      <c r="AA345" s="3">
        <v>1.0</v>
      </c>
      <c r="AB345" s="3">
        <f t="shared" si="7"/>
        <v>1</v>
      </c>
      <c r="AC345" s="3">
        <f t="shared" si="8"/>
        <v>0</v>
      </c>
      <c r="AD345" s="3">
        <f t="shared" si="9"/>
        <v>0.9259259259</v>
      </c>
      <c r="AE345" s="3">
        <f t="shared" si="10"/>
        <v>-1</v>
      </c>
      <c r="AF345" s="3">
        <f t="shared" si="11"/>
        <v>-2</v>
      </c>
      <c r="AG345" s="3">
        <f t="shared" si="12"/>
        <v>-1</v>
      </c>
    </row>
    <row r="346">
      <c r="A346" s="1" t="s">
        <v>12</v>
      </c>
      <c r="B346" s="1" t="s">
        <v>549</v>
      </c>
      <c r="C346" s="1" t="s">
        <v>18</v>
      </c>
      <c r="D346" s="1" t="s">
        <v>146</v>
      </c>
      <c r="E346" s="1" t="s">
        <v>165</v>
      </c>
      <c r="F346" s="1" t="s">
        <v>596</v>
      </c>
      <c r="G346" s="1">
        <v>1.5</v>
      </c>
      <c r="H346" s="1" t="s">
        <v>60</v>
      </c>
      <c r="I346" s="1">
        <v>149.0</v>
      </c>
      <c r="J346" s="1">
        <v>-0.0833499740524899</v>
      </c>
      <c r="K346" s="1" t="s">
        <v>61</v>
      </c>
      <c r="L346" s="1" t="s">
        <v>61</v>
      </c>
      <c r="M346" s="1" t="s">
        <v>62</v>
      </c>
      <c r="N346" s="1">
        <v>-198.0</v>
      </c>
      <c r="O346" s="1">
        <v>0.0173188239434228</v>
      </c>
      <c r="P346" s="1" t="s">
        <v>61</v>
      </c>
      <c r="Q346" s="1" t="s">
        <v>61</v>
      </c>
      <c r="R346" s="1">
        <f t="shared" si="1"/>
        <v>0.01731882394</v>
      </c>
      <c r="S346" s="1">
        <f t="shared" si="2"/>
        <v>-198</v>
      </c>
      <c r="T346" s="1">
        <f t="shared" si="3"/>
        <v>1.505050505</v>
      </c>
      <c r="U346" s="1">
        <f t="shared" si="4"/>
        <v>0</v>
      </c>
      <c r="V346" s="3">
        <f t="shared" si="5"/>
        <v>1</v>
      </c>
      <c r="W346" s="3">
        <f t="shared" si="6"/>
        <v>3</v>
      </c>
      <c r="X346" s="3" t="str">
        <f>IFERROR(__xludf.DUMMYFUNCTION("split(B346,"" "")"),"J.")</f>
        <v>J.</v>
      </c>
      <c r="Y346" s="3" t="str">
        <f>IFERROR(__xludf.DUMMYFUNCTION("""COMPUTED_VALUE"""),"Nailor")</f>
        <v>Nailor</v>
      </c>
      <c r="AA346" s="3">
        <v>0.0</v>
      </c>
      <c r="AB346" s="3">
        <f t="shared" si="7"/>
        <v>0</v>
      </c>
      <c r="AC346" s="3">
        <f t="shared" si="8"/>
        <v>1</v>
      </c>
      <c r="AD346" s="3">
        <f t="shared" si="9"/>
        <v>0.5050505051</v>
      </c>
      <c r="AE346" s="3">
        <f t="shared" si="10"/>
        <v>0.5050505051</v>
      </c>
      <c r="AF346" s="3">
        <f t="shared" si="11"/>
        <v>1.515151515</v>
      </c>
      <c r="AG346" s="3">
        <f t="shared" si="12"/>
        <v>1</v>
      </c>
    </row>
    <row r="347">
      <c r="A347" s="1" t="s">
        <v>12</v>
      </c>
      <c r="B347" s="1" t="s">
        <v>379</v>
      </c>
      <c r="C347" s="1" t="s">
        <v>18</v>
      </c>
      <c r="D347" s="1" t="s">
        <v>146</v>
      </c>
      <c r="E347" s="1" t="s">
        <v>165</v>
      </c>
      <c r="F347" s="1" t="s">
        <v>596</v>
      </c>
      <c r="G347" s="1">
        <v>5.5</v>
      </c>
      <c r="H347" s="1" t="s">
        <v>60</v>
      </c>
      <c r="I347" s="1">
        <v>-138.0</v>
      </c>
      <c r="J347" s="1">
        <v>0.0154680672268908</v>
      </c>
      <c r="K347" s="1" t="s">
        <v>61</v>
      </c>
      <c r="L347" s="1" t="s">
        <v>61</v>
      </c>
      <c r="M347" s="1" t="s">
        <v>62</v>
      </c>
      <c r="N347" s="1">
        <v>105.0</v>
      </c>
      <c r="O347" s="1">
        <v>-0.0831048780487805</v>
      </c>
      <c r="P347" s="1" t="s">
        <v>61</v>
      </c>
      <c r="Q347" s="1" t="s">
        <v>61</v>
      </c>
      <c r="R347" s="1">
        <f t="shared" si="1"/>
        <v>0.01546806723</v>
      </c>
      <c r="S347" s="1">
        <f t="shared" si="2"/>
        <v>-138</v>
      </c>
      <c r="T347" s="1">
        <f t="shared" si="3"/>
        <v>1.724637681</v>
      </c>
      <c r="U347" s="1">
        <f t="shared" si="4"/>
        <v>1</v>
      </c>
      <c r="V347" s="3">
        <f t="shared" si="5"/>
        <v>1</v>
      </c>
      <c r="W347" s="3">
        <f t="shared" si="6"/>
        <v>3</v>
      </c>
      <c r="X347" s="3" t="str">
        <f>IFERROR(__xludf.DUMMYFUNCTION("split(B347,"" "")"),"J.")</f>
        <v>J.</v>
      </c>
      <c r="Y347" s="3" t="str">
        <f>IFERROR(__xludf.DUMMYFUNCTION("""COMPUTED_VALUE"""),"Jefferson")</f>
        <v>Jefferson</v>
      </c>
      <c r="AA347" s="3">
        <v>6.0</v>
      </c>
      <c r="AB347" s="3">
        <f t="shared" si="7"/>
        <v>1</v>
      </c>
      <c r="AC347" s="3">
        <f t="shared" si="8"/>
        <v>1</v>
      </c>
      <c r="AD347" s="3">
        <f t="shared" si="9"/>
        <v>0.7246376812</v>
      </c>
      <c r="AE347" s="3">
        <f t="shared" si="10"/>
        <v>0.7246376812</v>
      </c>
      <c r="AF347" s="3">
        <f t="shared" si="11"/>
        <v>2.173913043</v>
      </c>
      <c r="AG347" s="3">
        <f t="shared" si="12"/>
        <v>0.09090909091</v>
      </c>
    </row>
    <row r="348">
      <c r="A348" s="1" t="s">
        <v>9</v>
      </c>
      <c r="B348" s="1" t="s">
        <v>379</v>
      </c>
      <c r="C348" s="1" t="s">
        <v>18</v>
      </c>
      <c r="D348" s="1" t="s">
        <v>146</v>
      </c>
      <c r="E348" s="1" t="s">
        <v>165</v>
      </c>
      <c r="F348" s="1" t="s">
        <v>596</v>
      </c>
      <c r="G348" s="1">
        <v>79.5</v>
      </c>
      <c r="H348" s="1" t="s">
        <v>60</v>
      </c>
      <c r="I348" s="1">
        <v>-114.0</v>
      </c>
      <c r="J348" s="1">
        <v>-0.090681851395157</v>
      </c>
      <c r="K348" s="1" t="s">
        <v>61</v>
      </c>
      <c r="L348" s="1" t="s">
        <v>61</v>
      </c>
      <c r="M348" s="1" t="s">
        <v>62</v>
      </c>
      <c r="N348" s="1">
        <v>-119.0</v>
      </c>
      <c r="O348" s="1">
        <v>0.0146042295721037</v>
      </c>
      <c r="P348" s="1" t="s">
        <v>61</v>
      </c>
      <c r="Q348" s="1" t="s">
        <v>61</v>
      </c>
      <c r="R348" s="1">
        <f t="shared" si="1"/>
        <v>0.01460422957</v>
      </c>
      <c r="S348" s="1">
        <f t="shared" si="2"/>
        <v>-119</v>
      </c>
      <c r="T348" s="1">
        <f t="shared" si="3"/>
        <v>1.840336134</v>
      </c>
      <c r="U348" s="1">
        <f t="shared" si="4"/>
        <v>0</v>
      </c>
      <c r="V348" s="3">
        <f t="shared" si="5"/>
        <v>1</v>
      </c>
      <c r="W348" s="3">
        <f t="shared" si="6"/>
        <v>3</v>
      </c>
      <c r="X348" s="3" t="str">
        <f>IFERROR(__xludf.DUMMYFUNCTION("split(B348,"" "")"),"J.")</f>
        <v>J.</v>
      </c>
      <c r="Y348" s="3" t="str">
        <f>IFERROR(__xludf.DUMMYFUNCTION("""COMPUTED_VALUE"""),"Jefferson")</f>
        <v>Jefferson</v>
      </c>
      <c r="AA348" s="3">
        <v>92.0</v>
      </c>
      <c r="AB348" s="3">
        <f t="shared" si="7"/>
        <v>1</v>
      </c>
      <c r="AC348" s="3">
        <f t="shared" si="8"/>
        <v>0</v>
      </c>
      <c r="AD348" s="3">
        <f t="shared" si="9"/>
        <v>0.8403361345</v>
      </c>
      <c r="AE348" s="3">
        <f t="shared" si="10"/>
        <v>-1</v>
      </c>
      <c r="AF348" s="3">
        <f t="shared" si="11"/>
        <v>-3</v>
      </c>
      <c r="AG348" s="3">
        <f t="shared" si="12"/>
        <v>-0.1572327044</v>
      </c>
    </row>
    <row r="349">
      <c r="A349" s="1" t="s">
        <v>10</v>
      </c>
      <c r="B349" s="1" t="s">
        <v>377</v>
      </c>
      <c r="C349" s="1" t="s">
        <v>19</v>
      </c>
      <c r="D349" s="1" t="s">
        <v>146</v>
      </c>
      <c r="E349" s="1" t="s">
        <v>165</v>
      </c>
      <c r="F349" s="1" t="s">
        <v>596</v>
      </c>
      <c r="G349" s="1">
        <v>22.5</v>
      </c>
      <c r="H349" s="1" t="s">
        <v>60</v>
      </c>
      <c r="I349" s="1">
        <v>-117.0</v>
      </c>
      <c r="J349" s="1">
        <v>-0.0818442019622961</v>
      </c>
      <c r="K349" s="1" t="s">
        <v>61</v>
      </c>
      <c r="L349" s="1" t="s">
        <v>61</v>
      </c>
      <c r="M349" s="1" t="s">
        <v>62</v>
      </c>
      <c r="N349" s="1">
        <v>-112.0</v>
      </c>
      <c r="O349" s="1">
        <v>0.0143972398345115</v>
      </c>
      <c r="P349" s="1" t="s">
        <v>61</v>
      </c>
      <c r="Q349" s="1" t="s">
        <v>61</v>
      </c>
      <c r="R349" s="1">
        <f t="shared" si="1"/>
        <v>0.01439723983</v>
      </c>
      <c r="S349" s="1">
        <f t="shared" si="2"/>
        <v>-112</v>
      </c>
      <c r="T349" s="1">
        <f t="shared" si="3"/>
        <v>1.892857143</v>
      </c>
      <c r="U349" s="1">
        <f t="shared" si="4"/>
        <v>0</v>
      </c>
      <c r="V349" s="3">
        <f t="shared" si="5"/>
        <v>1</v>
      </c>
      <c r="W349" s="3">
        <f t="shared" si="6"/>
        <v>2</v>
      </c>
      <c r="X349" s="3" t="str">
        <f>IFERROR(__xludf.DUMMYFUNCTION("split(B349,"" "")"),"T.")</f>
        <v>T.</v>
      </c>
      <c r="Y349" s="3" t="str">
        <f>IFERROR(__xludf.DUMMYFUNCTION("""COMPUTED_VALUE"""),"Chandler")</f>
        <v>Chandler</v>
      </c>
      <c r="AA349" s="3">
        <v>30.0</v>
      </c>
      <c r="AB349" s="3">
        <f t="shared" si="7"/>
        <v>1</v>
      </c>
      <c r="AC349" s="3">
        <f t="shared" si="8"/>
        <v>0</v>
      </c>
      <c r="AD349" s="3">
        <f t="shared" si="9"/>
        <v>0.8928571429</v>
      </c>
      <c r="AE349" s="3">
        <f t="shared" si="10"/>
        <v>-1</v>
      </c>
      <c r="AF349" s="3">
        <f t="shared" si="11"/>
        <v>-2</v>
      </c>
      <c r="AG349" s="3">
        <f t="shared" si="12"/>
        <v>-0.3333333333</v>
      </c>
    </row>
    <row r="350">
      <c r="A350" s="1" t="s">
        <v>16</v>
      </c>
      <c r="B350" s="1" t="s">
        <v>145</v>
      </c>
      <c r="C350" s="1" t="s">
        <v>21</v>
      </c>
      <c r="D350" s="1" t="s">
        <v>146</v>
      </c>
      <c r="E350" s="1" t="s">
        <v>165</v>
      </c>
      <c r="F350" s="1" t="s">
        <v>596</v>
      </c>
      <c r="G350" s="1">
        <v>29.5</v>
      </c>
      <c r="H350" s="1" t="s">
        <v>60</v>
      </c>
      <c r="I350" s="1">
        <v>-126.0</v>
      </c>
      <c r="J350" s="1">
        <v>-0.0793966021681417</v>
      </c>
      <c r="K350" s="1" t="s">
        <v>61</v>
      </c>
      <c r="L350" s="1" t="s">
        <v>61</v>
      </c>
      <c r="M350" s="1" t="s">
        <v>62</v>
      </c>
      <c r="N350" s="1">
        <v>-104.0</v>
      </c>
      <c r="O350" s="1">
        <v>0.0120971047725491</v>
      </c>
      <c r="P350" s="1" t="s">
        <v>61</v>
      </c>
      <c r="Q350" s="1" t="s">
        <v>61</v>
      </c>
      <c r="R350" s="1">
        <f t="shared" si="1"/>
        <v>0.01209710477</v>
      </c>
      <c r="S350" s="1">
        <f t="shared" si="2"/>
        <v>-104</v>
      </c>
      <c r="T350" s="1">
        <f t="shared" si="3"/>
        <v>1.961538462</v>
      </c>
      <c r="U350" s="1">
        <f t="shared" si="4"/>
        <v>0</v>
      </c>
      <c r="V350" s="3">
        <f t="shared" si="5"/>
        <v>1</v>
      </c>
      <c r="W350" s="3">
        <f t="shared" si="6"/>
        <v>2</v>
      </c>
      <c r="X350" s="3" t="str">
        <f>IFERROR(__xludf.DUMMYFUNCTION("split(B350,"" "")"),"S.")</f>
        <v>S.</v>
      </c>
      <c r="Y350" s="3" t="str">
        <f>IFERROR(__xludf.DUMMYFUNCTION("""COMPUTED_VALUE"""),"Darnold")</f>
        <v>Darnold</v>
      </c>
      <c r="AA350" s="3">
        <v>31.0</v>
      </c>
      <c r="AB350" s="3">
        <f t="shared" si="7"/>
        <v>1</v>
      </c>
      <c r="AC350" s="3">
        <f t="shared" si="8"/>
        <v>0</v>
      </c>
      <c r="AD350" s="3">
        <f t="shared" si="9"/>
        <v>0.9615384615</v>
      </c>
      <c r="AE350" s="3">
        <f t="shared" si="10"/>
        <v>-1</v>
      </c>
      <c r="AF350" s="3">
        <f t="shared" si="11"/>
        <v>-2</v>
      </c>
      <c r="AG350" s="3">
        <f t="shared" si="12"/>
        <v>-0.05084745763</v>
      </c>
    </row>
    <row r="351">
      <c r="A351" s="1" t="s">
        <v>10</v>
      </c>
      <c r="B351" s="1" t="s">
        <v>145</v>
      </c>
      <c r="C351" s="1" t="s">
        <v>21</v>
      </c>
      <c r="D351" s="1" t="s">
        <v>146</v>
      </c>
      <c r="E351" s="1" t="s">
        <v>165</v>
      </c>
      <c r="F351" s="1" t="s">
        <v>596</v>
      </c>
      <c r="G351" s="1">
        <v>11.5</v>
      </c>
      <c r="H351" s="1" t="s">
        <v>60</v>
      </c>
      <c r="I351" s="1">
        <v>-111.0</v>
      </c>
      <c r="J351" s="1">
        <v>-0.071000512325743</v>
      </c>
      <c r="K351" s="1" t="s">
        <v>61</v>
      </c>
      <c r="L351" s="1" t="s">
        <v>61</v>
      </c>
      <c r="M351" s="1" t="s">
        <v>62</v>
      </c>
      <c r="N351" s="1">
        <v>-118.0</v>
      </c>
      <c r="O351" s="1">
        <v>0.00366882366451148</v>
      </c>
      <c r="P351" s="1" t="s">
        <v>61</v>
      </c>
      <c r="Q351" s="1" t="s">
        <v>61</v>
      </c>
      <c r="R351" s="1">
        <f t="shared" si="1"/>
        <v>0.003668823665</v>
      </c>
      <c r="S351" s="1">
        <f t="shared" si="2"/>
        <v>-118</v>
      </c>
      <c r="T351" s="1">
        <f t="shared" si="3"/>
        <v>1.847457627</v>
      </c>
      <c r="U351" s="1">
        <f t="shared" si="4"/>
        <v>0</v>
      </c>
      <c r="V351" s="3">
        <f t="shared" si="5"/>
        <v>1</v>
      </c>
      <c r="W351" s="3">
        <f t="shared" si="6"/>
        <v>3</v>
      </c>
      <c r="X351" s="3" t="str">
        <f>IFERROR(__xludf.DUMMYFUNCTION("split(B351,"" "")"),"S.")</f>
        <v>S.</v>
      </c>
      <c r="Y351" s="3" t="str">
        <f>IFERROR(__xludf.DUMMYFUNCTION("""COMPUTED_VALUE"""),"Darnold")</f>
        <v>Darnold</v>
      </c>
      <c r="AA351" s="3">
        <v>11.0</v>
      </c>
      <c r="AB351" s="3">
        <f t="shared" si="7"/>
        <v>0</v>
      </c>
      <c r="AC351" s="3">
        <f t="shared" si="8"/>
        <v>1</v>
      </c>
      <c r="AD351" s="3">
        <f t="shared" si="9"/>
        <v>0.8474576271</v>
      </c>
      <c r="AE351" s="3">
        <f t="shared" si="10"/>
        <v>0.8474576271</v>
      </c>
      <c r="AF351" s="3">
        <f t="shared" si="11"/>
        <v>2.542372881</v>
      </c>
      <c r="AG351" s="3">
        <f t="shared" si="12"/>
        <v>0.04347826087</v>
      </c>
    </row>
    <row r="352">
      <c r="A352" s="1" t="s">
        <v>11</v>
      </c>
      <c r="B352" s="1" t="s">
        <v>175</v>
      </c>
      <c r="C352" s="1" t="s">
        <v>18</v>
      </c>
      <c r="D352" s="1" t="s">
        <v>146</v>
      </c>
      <c r="E352" s="1" t="s">
        <v>165</v>
      </c>
      <c r="F352" s="1" t="s">
        <v>596</v>
      </c>
      <c r="G352" s="1">
        <v>36.5</v>
      </c>
      <c r="H352" s="1" t="s">
        <v>60</v>
      </c>
      <c r="I352" s="1">
        <v>-118.0</v>
      </c>
      <c r="J352" s="1">
        <v>-0.0690566517018348</v>
      </c>
      <c r="K352" s="1" t="s">
        <v>61</v>
      </c>
      <c r="L352" s="1" t="s">
        <v>61</v>
      </c>
      <c r="M352" s="1" t="s">
        <v>62</v>
      </c>
      <c r="N352" s="1">
        <v>-111.0</v>
      </c>
      <c r="O352" s="1">
        <v>0.00165712276630347</v>
      </c>
      <c r="P352" s="1" t="s">
        <v>61</v>
      </c>
      <c r="Q352" s="1" t="s">
        <v>61</v>
      </c>
      <c r="R352" s="1">
        <f t="shared" si="1"/>
        <v>0.001657122766</v>
      </c>
      <c r="S352" s="1">
        <f t="shared" si="2"/>
        <v>-111</v>
      </c>
      <c r="T352" s="1">
        <f t="shared" si="3"/>
        <v>1.900900901</v>
      </c>
      <c r="U352" s="1">
        <f t="shared" si="4"/>
        <v>0</v>
      </c>
      <c r="V352" s="3">
        <f t="shared" si="5"/>
        <v>1</v>
      </c>
      <c r="W352" s="3">
        <f t="shared" si="6"/>
        <v>2</v>
      </c>
      <c r="X352" s="3" t="str">
        <f>IFERROR(__xludf.DUMMYFUNCTION("split(B352,"" "")"),"J.")</f>
        <v>J.</v>
      </c>
      <c r="Y352" s="3" t="str">
        <f>IFERROR(__xludf.DUMMYFUNCTION("""COMPUTED_VALUE"""),"Addison")</f>
        <v>Addison</v>
      </c>
      <c r="AA352" s="3">
        <v>36.0</v>
      </c>
      <c r="AB352" s="3">
        <f t="shared" si="7"/>
        <v>0</v>
      </c>
      <c r="AC352" s="3">
        <f t="shared" si="8"/>
        <v>1</v>
      </c>
      <c r="AD352" s="3">
        <f t="shared" si="9"/>
        <v>0.9009009009</v>
      </c>
      <c r="AE352" s="3">
        <f t="shared" si="10"/>
        <v>0.9009009009</v>
      </c>
      <c r="AF352" s="3">
        <f t="shared" si="11"/>
        <v>1.801801802</v>
      </c>
      <c r="AG352" s="3">
        <f t="shared" si="12"/>
        <v>0.01369863014</v>
      </c>
    </row>
    <row r="353">
      <c r="A353" s="1" t="s">
        <v>14</v>
      </c>
      <c r="B353" s="1" t="s">
        <v>145</v>
      </c>
      <c r="C353" s="1" t="s">
        <v>21</v>
      </c>
      <c r="D353" s="1" t="s">
        <v>146</v>
      </c>
      <c r="E353" s="1" t="s">
        <v>165</v>
      </c>
      <c r="F353" s="1" t="s">
        <v>596</v>
      </c>
      <c r="G353" s="1">
        <v>1.5</v>
      </c>
      <c r="H353" s="1" t="s">
        <v>60</v>
      </c>
      <c r="I353" s="1">
        <v>109.0</v>
      </c>
      <c r="J353" s="1">
        <v>-0.0625210526315789</v>
      </c>
      <c r="K353" s="1" t="s">
        <v>61</v>
      </c>
      <c r="L353" s="1" t="s">
        <v>61</v>
      </c>
      <c r="M353" s="1" t="s">
        <v>62</v>
      </c>
      <c r="N353" s="1">
        <v>-140.0</v>
      </c>
      <c r="O353" s="1">
        <v>7.25000000000086E-4</v>
      </c>
      <c r="P353" s="1" t="s">
        <v>61</v>
      </c>
      <c r="Q353" s="1" t="s">
        <v>61</v>
      </c>
      <c r="R353" s="1">
        <f t="shared" si="1"/>
        <v>0.000725</v>
      </c>
      <c r="S353" s="1">
        <f t="shared" si="2"/>
        <v>-140</v>
      </c>
      <c r="T353" s="1">
        <f t="shared" si="3"/>
        <v>1.714285714</v>
      </c>
      <c r="U353" s="1">
        <f t="shared" si="4"/>
        <v>0</v>
      </c>
      <c r="V353" s="3">
        <f t="shared" si="5"/>
        <v>1</v>
      </c>
      <c r="W353" s="3">
        <f t="shared" si="6"/>
        <v>3</v>
      </c>
      <c r="X353" s="3" t="str">
        <f>IFERROR(__xludf.DUMMYFUNCTION("split(B353,"" "")"),"S.")</f>
        <v>S.</v>
      </c>
      <c r="Y353" s="3" t="str">
        <f>IFERROR(__xludf.DUMMYFUNCTION("""COMPUTED_VALUE"""),"Darnold")</f>
        <v>Darnold</v>
      </c>
      <c r="AA353" s="3">
        <v>0.0</v>
      </c>
      <c r="AB353" s="3">
        <f t="shared" si="7"/>
        <v>0</v>
      </c>
      <c r="AC353" s="3">
        <f t="shared" si="8"/>
        <v>1</v>
      </c>
      <c r="AD353" s="3">
        <f t="shared" si="9"/>
        <v>0.7142857143</v>
      </c>
      <c r="AE353" s="3">
        <f t="shared" si="10"/>
        <v>0.7142857143</v>
      </c>
      <c r="AF353" s="3">
        <f t="shared" si="11"/>
        <v>2.142857143</v>
      </c>
      <c r="AG353" s="3">
        <f t="shared" si="12"/>
        <v>1</v>
      </c>
    </row>
    <row r="354">
      <c r="A354" s="1" t="s">
        <v>15</v>
      </c>
      <c r="B354" s="1" t="s">
        <v>145</v>
      </c>
      <c r="C354" s="1" t="s">
        <v>21</v>
      </c>
      <c r="D354" s="1" t="s">
        <v>146</v>
      </c>
      <c r="E354" s="1" t="s">
        <v>165</v>
      </c>
      <c r="F354" s="1" t="s">
        <v>596</v>
      </c>
      <c r="G354" s="1">
        <v>19.5</v>
      </c>
      <c r="H354" s="1" t="s">
        <v>60</v>
      </c>
      <c r="I354" s="1">
        <v>-113.0</v>
      </c>
      <c r="J354" s="1">
        <v>3.45876901408526E-4</v>
      </c>
      <c r="K354" s="1" t="s">
        <v>61</v>
      </c>
      <c r="L354" s="1" t="s">
        <v>61</v>
      </c>
      <c r="M354" s="1" t="s">
        <v>62</v>
      </c>
      <c r="N354" s="1">
        <v>-117.0</v>
      </c>
      <c r="O354" s="1">
        <v>-0.0700123778</v>
      </c>
      <c r="P354" s="1" t="s">
        <v>61</v>
      </c>
      <c r="Q354" s="1" t="s">
        <v>61</v>
      </c>
      <c r="R354" s="1">
        <f t="shared" si="1"/>
        <v>0.0003458769014</v>
      </c>
      <c r="S354" s="1">
        <f t="shared" si="2"/>
        <v>-113</v>
      </c>
      <c r="T354" s="1">
        <f t="shared" si="3"/>
        <v>1.884955752</v>
      </c>
      <c r="U354" s="1">
        <f t="shared" si="4"/>
        <v>1</v>
      </c>
      <c r="V354" s="3">
        <f t="shared" si="5"/>
        <v>1</v>
      </c>
      <c r="W354" s="3">
        <f t="shared" si="6"/>
        <v>2</v>
      </c>
      <c r="X354" s="3" t="str">
        <f>IFERROR(__xludf.DUMMYFUNCTION("split(B354,"" "")"),"S.")</f>
        <v>S.</v>
      </c>
      <c r="Y354" s="3" t="str">
        <f>IFERROR(__xludf.DUMMYFUNCTION("""COMPUTED_VALUE"""),"Darnold")</f>
        <v>Darnold</v>
      </c>
      <c r="AA354" s="3">
        <v>14.0</v>
      </c>
      <c r="AB354" s="3">
        <f t="shared" si="7"/>
        <v>0</v>
      </c>
      <c r="AC354" s="3">
        <f t="shared" si="8"/>
        <v>0</v>
      </c>
      <c r="AD354" s="3">
        <f t="shared" si="9"/>
        <v>0.8849557522</v>
      </c>
      <c r="AE354" s="3">
        <f t="shared" si="10"/>
        <v>-1</v>
      </c>
      <c r="AF354" s="3">
        <f t="shared" si="11"/>
        <v>-2</v>
      </c>
      <c r="AG354" s="3">
        <f t="shared" si="12"/>
        <v>-0.2820512821</v>
      </c>
    </row>
    <row r="355">
      <c r="A355" s="1" t="s">
        <v>10</v>
      </c>
      <c r="B355" s="1" t="s">
        <v>170</v>
      </c>
      <c r="C355" s="1" t="s">
        <v>18</v>
      </c>
      <c r="D355" s="1" t="s">
        <v>66</v>
      </c>
      <c r="E355" s="1" t="s">
        <v>94</v>
      </c>
      <c r="F355" s="1" t="s">
        <v>576</v>
      </c>
      <c r="G355" s="1">
        <v>0.5</v>
      </c>
      <c r="H355" s="1" t="s">
        <v>60</v>
      </c>
      <c r="I355" s="1">
        <v>641.0</v>
      </c>
      <c r="J355" s="1">
        <v>0.477760944295664</v>
      </c>
      <c r="K355" s="1" t="s">
        <v>61</v>
      </c>
      <c r="L355" s="1" t="s">
        <v>61</v>
      </c>
      <c r="M355" s="1" t="s">
        <v>62</v>
      </c>
      <c r="N355" s="1">
        <v>-1299.0</v>
      </c>
      <c r="O355" s="1">
        <v>-0.54119840088618</v>
      </c>
      <c r="P355" s="1" t="s">
        <v>61</v>
      </c>
      <c r="Q355" s="1" t="s">
        <v>61</v>
      </c>
      <c r="R355" s="1">
        <f t="shared" si="1"/>
        <v>0.4777609443</v>
      </c>
      <c r="S355" s="1">
        <f t="shared" si="2"/>
        <v>641</v>
      </c>
      <c r="T355" s="1">
        <f t="shared" si="3"/>
        <v>7.41</v>
      </c>
      <c r="U355" s="1">
        <f t="shared" si="4"/>
        <v>1</v>
      </c>
      <c r="V355" s="3">
        <f t="shared" si="5"/>
        <v>3</v>
      </c>
      <c r="W355" s="3">
        <f t="shared" si="6"/>
        <v>1</v>
      </c>
      <c r="X355" s="3" t="str">
        <f>IFERROR(__xludf.DUMMYFUNCTION("split(B355,"" "")"),"J.")</f>
        <v>J.</v>
      </c>
      <c r="Y355" s="3" t="str">
        <f>IFERROR(__xludf.DUMMYFUNCTION("""COMPUTED_VALUE"""),"Polk")</f>
        <v>Polk</v>
      </c>
      <c r="AA355" s="3">
        <v>0.0</v>
      </c>
      <c r="AB355" s="3">
        <f t="shared" si="7"/>
        <v>0</v>
      </c>
      <c r="AC355" s="3">
        <f t="shared" si="8"/>
        <v>0</v>
      </c>
      <c r="AD355" s="3">
        <f t="shared" si="9"/>
        <v>19.23</v>
      </c>
      <c r="AE355" s="3">
        <f t="shared" si="10"/>
        <v>0</v>
      </c>
      <c r="AF355" s="3">
        <f t="shared" si="11"/>
        <v>-1</v>
      </c>
      <c r="AG355" s="3">
        <f t="shared" si="12"/>
        <v>-1</v>
      </c>
    </row>
    <row r="356">
      <c r="A356" s="1" t="s">
        <v>12</v>
      </c>
      <c r="B356" s="1" t="s">
        <v>383</v>
      </c>
      <c r="C356" s="1" t="s">
        <v>19</v>
      </c>
      <c r="D356" s="1" t="s">
        <v>66</v>
      </c>
      <c r="E356" s="1" t="s">
        <v>94</v>
      </c>
      <c r="F356" s="1" t="s">
        <v>576</v>
      </c>
      <c r="G356" s="1">
        <v>1.5</v>
      </c>
      <c r="H356" s="1" t="s">
        <v>60</v>
      </c>
      <c r="I356" s="1">
        <v>-182.0</v>
      </c>
      <c r="J356" s="1">
        <v>-0.285518928007092</v>
      </c>
      <c r="K356" s="1" t="s">
        <v>61</v>
      </c>
      <c r="L356" s="1" t="s">
        <v>61</v>
      </c>
      <c r="M356" s="1" t="s">
        <v>62</v>
      </c>
      <c r="N356" s="1">
        <v>139.0</v>
      </c>
      <c r="O356" s="1">
        <v>0.221724007104602</v>
      </c>
      <c r="P356" s="1" t="s">
        <v>61</v>
      </c>
      <c r="Q356" s="1" t="s">
        <v>61</v>
      </c>
      <c r="R356" s="1">
        <f t="shared" si="1"/>
        <v>0.2217240071</v>
      </c>
      <c r="S356" s="1">
        <f t="shared" si="2"/>
        <v>139</v>
      </c>
      <c r="T356" s="1">
        <f t="shared" si="3"/>
        <v>2.39</v>
      </c>
      <c r="U356" s="1">
        <f t="shared" si="4"/>
        <v>0</v>
      </c>
      <c r="V356" s="3">
        <f t="shared" si="5"/>
        <v>3</v>
      </c>
      <c r="W356" s="3">
        <f t="shared" si="6"/>
        <v>1</v>
      </c>
      <c r="X356" s="3" t="str">
        <f>IFERROR(__xludf.DUMMYFUNCTION("split(B356,"" "")"),"A.")</f>
        <v>A.</v>
      </c>
      <c r="Y356" s="3" t="str">
        <f>IFERROR(__xludf.DUMMYFUNCTION("""COMPUTED_VALUE"""),"Gibson")</f>
        <v>Gibson</v>
      </c>
      <c r="AA356" s="3">
        <v>1.0</v>
      </c>
      <c r="AB356" s="3">
        <f t="shared" si="7"/>
        <v>0</v>
      </c>
      <c r="AC356" s="3">
        <f t="shared" si="8"/>
        <v>1</v>
      </c>
      <c r="AD356" s="3">
        <f t="shared" si="9"/>
        <v>4.17</v>
      </c>
      <c r="AE356" s="3">
        <f t="shared" si="10"/>
        <v>4.17</v>
      </c>
      <c r="AF356" s="3">
        <f t="shared" si="11"/>
        <v>1.39</v>
      </c>
      <c r="AG356" s="3">
        <f t="shared" si="12"/>
        <v>0.3333333333</v>
      </c>
    </row>
    <row r="357">
      <c r="A357" s="1" t="s">
        <v>12</v>
      </c>
      <c r="B357" s="1" t="s">
        <v>140</v>
      </c>
      <c r="C357" s="1" t="s">
        <v>20</v>
      </c>
      <c r="D357" s="1" t="s">
        <v>66</v>
      </c>
      <c r="E357" s="1" t="s">
        <v>94</v>
      </c>
      <c r="F357" s="1" t="s">
        <v>576</v>
      </c>
      <c r="G357" s="1">
        <v>2.5</v>
      </c>
      <c r="H357" s="1" t="s">
        <v>60</v>
      </c>
      <c r="I357" s="1">
        <v>-162.0</v>
      </c>
      <c r="J357" s="1">
        <v>-0.270242802404579</v>
      </c>
      <c r="K357" s="1" t="s">
        <v>61</v>
      </c>
      <c r="L357" s="1" t="s">
        <v>61</v>
      </c>
      <c r="M357" s="1" t="s">
        <v>62</v>
      </c>
      <c r="N357" s="1">
        <v>124.0</v>
      </c>
      <c r="O357" s="1">
        <v>0.205480420669642</v>
      </c>
      <c r="P357" s="1" t="s">
        <v>61</v>
      </c>
      <c r="Q357" s="1" t="s">
        <v>61</v>
      </c>
      <c r="R357" s="1">
        <f t="shared" si="1"/>
        <v>0.2054804207</v>
      </c>
      <c r="S357" s="1">
        <f t="shared" si="2"/>
        <v>124</v>
      </c>
      <c r="T357" s="1">
        <f t="shared" si="3"/>
        <v>2.24</v>
      </c>
      <c r="U357" s="1">
        <f t="shared" si="4"/>
        <v>0</v>
      </c>
      <c r="V357" s="3">
        <f t="shared" si="5"/>
        <v>3</v>
      </c>
      <c r="W357" s="3">
        <f t="shared" si="6"/>
        <v>1</v>
      </c>
      <c r="X357" s="3" t="str">
        <f>IFERROR(__xludf.DUMMYFUNCTION("split(B357,"" "")"),"H.")</f>
        <v>H.</v>
      </c>
      <c r="Y357" s="3" t="str">
        <f>IFERROR(__xludf.DUMMYFUNCTION("""COMPUTED_VALUE"""),"Henry")</f>
        <v>Henry</v>
      </c>
      <c r="AA357" s="3">
        <v>2.0</v>
      </c>
      <c r="AB357" s="3">
        <f t="shared" si="7"/>
        <v>0</v>
      </c>
      <c r="AC357" s="3">
        <f t="shared" si="8"/>
        <v>1</v>
      </c>
      <c r="AD357" s="3">
        <f t="shared" si="9"/>
        <v>3.72</v>
      </c>
      <c r="AE357" s="3">
        <f t="shared" si="10"/>
        <v>3.72</v>
      </c>
      <c r="AF357" s="3">
        <f t="shared" si="11"/>
        <v>1.24</v>
      </c>
      <c r="AG357" s="3">
        <f t="shared" si="12"/>
        <v>0.2</v>
      </c>
    </row>
    <row r="358">
      <c r="A358" s="1" t="s">
        <v>12</v>
      </c>
      <c r="B358" s="1" t="s">
        <v>476</v>
      </c>
      <c r="C358" s="1" t="s">
        <v>19</v>
      </c>
      <c r="D358" s="1" t="s">
        <v>66</v>
      </c>
      <c r="E358" s="1" t="s">
        <v>94</v>
      </c>
      <c r="F358" s="1" t="s">
        <v>576</v>
      </c>
      <c r="G358" s="1">
        <v>1.5</v>
      </c>
      <c r="H358" s="1" t="s">
        <v>60</v>
      </c>
      <c r="I358" s="1">
        <v>-143.0</v>
      </c>
      <c r="J358" s="1">
        <v>-0.240270751337448</v>
      </c>
      <c r="K358" s="1" t="s">
        <v>61</v>
      </c>
      <c r="L358" s="1" t="s">
        <v>61</v>
      </c>
      <c r="M358" s="1" t="s">
        <v>62</v>
      </c>
      <c r="N358" s="1">
        <v>110.0</v>
      </c>
      <c r="O358" s="1">
        <v>0.175601869404761</v>
      </c>
      <c r="P358" s="1" t="s">
        <v>61</v>
      </c>
      <c r="Q358" s="1" t="s">
        <v>61</v>
      </c>
      <c r="R358" s="1">
        <f t="shared" si="1"/>
        <v>0.1756018694</v>
      </c>
      <c r="S358" s="1">
        <f t="shared" si="2"/>
        <v>110</v>
      </c>
      <c r="T358" s="1">
        <f t="shared" si="3"/>
        <v>2.1</v>
      </c>
      <c r="U358" s="1">
        <f t="shared" si="4"/>
        <v>0</v>
      </c>
      <c r="V358" s="3">
        <f t="shared" si="5"/>
        <v>3</v>
      </c>
      <c r="W358" s="3">
        <f t="shared" si="6"/>
        <v>2</v>
      </c>
      <c r="X358" s="3" t="str">
        <f>IFERROR(__xludf.DUMMYFUNCTION("split(B358,"" "")"),"R.")</f>
        <v>R.</v>
      </c>
      <c r="Y358" s="3" t="str">
        <f>IFERROR(__xludf.DUMMYFUNCTION("""COMPUTED_VALUE"""),"Stevenson")</f>
        <v>Stevenson</v>
      </c>
      <c r="AA358" s="3">
        <v>4.0</v>
      </c>
      <c r="AB358" s="3">
        <f t="shared" si="7"/>
        <v>1</v>
      </c>
      <c r="AC358" s="3">
        <f t="shared" si="8"/>
        <v>0</v>
      </c>
      <c r="AD358" s="3">
        <f t="shared" si="9"/>
        <v>3.3</v>
      </c>
      <c r="AE358" s="3">
        <f t="shared" si="10"/>
        <v>-3</v>
      </c>
      <c r="AF358" s="3">
        <f t="shared" si="11"/>
        <v>-2</v>
      </c>
      <c r="AG358" s="3">
        <f t="shared" si="12"/>
        <v>-1.666666667</v>
      </c>
    </row>
    <row r="359">
      <c r="A359" s="1" t="s">
        <v>12</v>
      </c>
      <c r="B359" s="1" t="s">
        <v>131</v>
      </c>
      <c r="C359" s="1" t="s">
        <v>18</v>
      </c>
      <c r="D359" s="1" t="s">
        <v>66</v>
      </c>
      <c r="E359" s="1" t="s">
        <v>94</v>
      </c>
      <c r="F359" s="1" t="s">
        <v>576</v>
      </c>
      <c r="G359" s="1">
        <v>2.5</v>
      </c>
      <c r="H359" s="1" t="s">
        <v>60</v>
      </c>
      <c r="I359" s="1">
        <v>-154.0</v>
      </c>
      <c r="J359" s="1">
        <v>-0.217596879724409</v>
      </c>
      <c r="K359" s="1" t="s">
        <v>61</v>
      </c>
      <c r="L359" s="1" t="s">
        <v>61</v>
      </c>
      <c r="M359" s="1" t="s">
        <v>62</v>
      </c>
      <c r="N359" s="1">
        <v>117.0</v>
      </c>
      <c r="O359" s="1">
        <v>0.150467776267281</v>
      </c>
      <c r="P359" s="1" t="s">
        <v>61</v>
      </c>
      <c r="Q359" s="1" t="s">
        <v>61</v>
      </c>
      <c r="R359" s="1">
        <f t="shared" si="1"/>
        <v>0.1504677763</v>
      </c>
      <c r="S359" s="1">
        <f t="shared" si="2"/>
        <v>117</v>
      </c>
      <c r="T359" s="1">
        <f t="shared" si="3"/>
        <v>2.17</v>
      </c>
      <c r="U359" s="1">
        <f t="shared" si="4"/>
        <v>0</v>
      </c>
      <c r="V359" s="3">
        <f t="shared" si="5"/>
        <v>3</v>
      </c>
      <c r="W359" s="3">
        <f t="shared" si="6"/>
        <v>1</v>
      </c>
      <c r="X359" s="3" t="str">
        <f>IFERROR(__xludf.DUMMYFUNCTION("split(B359,"" "")"),"D.")</f>
        <v>D.</v>
      </c>
      <c r="Y359" s="3" t="str">
        <f>IFERROR(__xludf.DUMMYFUNCTION("""COMPUTED_VALUE"""),"Douglas")</f>
        <v>Douglas</v>
      </c>
      <c r="AA359" s="3">
        <v>6.0</v>
      </c>
      <c r="AB359" s="3">
        <f t="shared" si="7"/>
        <v>1</v>
      </c>
      <c r="AC359" s="3">
        <f t="shared" si="8"/>
        <v>0</v>
      </c>
      <c r="AD359" s="3">
        <f t="shared" si="9"/>
        <v>3.51</v>
      </c>
      <c r="AE359" s="3">
        <f t="shared" si="10"/>
        <v>-3</v>
      </c>
      <c r="AF359" s="3">
        <f t="shared" si="11"/>
        <v>-1</v>
      </c>
      <c r="AG359" s="3">
        <f t="shared" si="12"/>
        <v>-1.4</v>
      </c>
    </row>
    <row r="360">
      <c r="A360" s="1" t="s">
        <v>12</v>
      </c>
      <c r="B360" s="1" t="s">
        <v>170</v>
      </c>
      <c r="C360" s="1" t="s">
        <v>18</v>
      </c>
      <c r="D360" s="1" t="s">
        <v>66</v>
      </c>
      <c r="E360" s="1" t="s">
        <v>94</v>
      </c>
      <c r="F360" s="1" t="s">
        <v>576</v>
      </c>
      <c r="G360" s="1">
        <v>2.5</v>
      </c>
      <c r="H360" s="1" t="s">
        <v>60</v>
      </c>
      <c r="I360" s="1">
        <v>-118.0</v>
      </c>
      <c r="J360" s="1">
        <v>-0.199828627752293</v>
      </c>
      <c r="K360" s="1" t="s">
        <v>61</v>
      </c>
      <c r="L360" s="1" t="s">
        <v>61</v>
      </c>
      <c r="M360" s="1" t="s">
        <v>62</v>
      </c>
      <c r="N360" s="1">
        <v>-111.0</v>
      </c>
      <c r="O360" s="1">
        <v>0.132484366556872</v>
      </c>
      <c r="P360" s="1" t="s">
        <v>61</v>
      </c>
      <c r="Q360" s="1" t="s">
        <v>61</v>
      </c>
      <c r="R360" s="1">
        <f t="shared" si="1"/>
        <v>0.1324843666</v>
      </c>
      <c r="S360" s="1">
        <f t="shared" si="2"/>
        <v>-111</v>
      </c>
      <c r="T360" s="1">
        <f t="shared" si="3"/>
        <v>1.900900901</v>
      </c>
      <c r="U360" s="1">
        <f t="shared" si="4"/>
        <v>0</v>
      </c>
      <c r="V360" s="3">
        <f t="shared" si="5"/>
        <v>3</v>
      </c>
      <c r="W360" s="3">
        <f t="shared" si="6"/>
        <v>2</v>
      </c>
      <c r="X360" s="3" t="str">
        <f>IFERROR(__xludf.DUMMYFUNCTION("split(B360,"" "")"),"J.")</f>
        <v>J.</v>
      </c>
      <c r="Y360" s="3" t="str">
        <f>IFERROR(__xludf.DUMMYFUNCTION("""COMPUTED_VALUE"""),"Polk")</f>
        <v>Polk</v>
      </c>
      <c r="AA360" s="3">
        <v>1.0</v>
      </c>
      <c r="AB360" s="3">
        <f t="shared" si="7"/>
        <v>0</v>
      </c>
      <c r="AC360" s="3">
        <f t="shared" si="8"/>
        <v>1</v>
      </c>
      <c r="AD360" s="3">
        <f t="shared" si="9"/>
        <v>2.702702703</v>
      </c>
      <c r="AE360" s="3">
        <f t="shared" si="10"/>
        <v>2.702702703</v>
      </c>
      <c r="AF360" s="3">
        <f t="shared" si="11"/>
        <v>1.801801802</v>
      </c>
      <c r="AG360" s="3">
        <f t="shared" si="12"/>
        <v>0.6</v>
      </c>
    </row>
    <row r="361">
      <c r="A361" s="1" t="s">
        <v>8</v>
      </c>
      <c r="B361" s="1" t="s">
        <v>65</v>
      </c>
      <c r="C361" s="1" t="s">
        <v>21</v>
      </c>
      <c r="D361" s="1" t="s">
        <v>66</v>
      </c>
      <c r="E361" s="1" t="s">
        <v>94</v>
      </c>
      <c r="F361" s="1" t="s">
        <v>576</v>
      </c>
      <c r="G361" s="1">
        <v>2.5</v>
      </c>
      <c r="H361" s="1" t="s">
        <v>60</v>
      </c>
      <c r="I361" s="1">
        <v>-166.0</v>
      </c>
      <c r="J361" s="1">
        <v>-0.203794715328393</v>
      </c>
      <c r="K361" s="1" t="s">
        <v>61</v>
      </c>
      <c r="L361" s="1" t="s">
        <v>61</v>
      </c>
      <c r="M361" s="1" t="s">
        <v>62</v>
      </c>
      <c r="N361" s="1">
        <v>122.0</v>
      </c>
      <c r="O361" s="1">
        <v>0.129290965213299</v>
      </c>
      <c r="P361" s="1" t="s">
        <v>61</v>
      </c>
      <c r="Q361" s="1" t="s">
        <v>61</v>
      </c>
      <c r="R361" s="1">
        <f t="shared" si="1"/>
        <v>0.1292909652</v>
      </c>
      <c r="S361" s="1">
        <f t="shared" si="2"/>
        <v>122</v>
      </c>
      <c r="T361" s="1">
        <f t="shared" si="3"/>
        <v>2.22</v>
      </c>
      <c r="U361" s="1">
        <f t="shared" si="4"/>
        <v>0</v>
      </c>
      <c r="V361" s="3">
        <f t="shared" si="5"/>
        <v>3</v>
      </c>
      <c r="W361" s="3">
        <f t="shared" si="6"/>
        <v>1</v>
      </c>
      <c r="X361" s="3" t="str">
        <f>IFERROR(__xludf.DUMMYFUNCTION("split(B361,"" "")"),"J.")</f>
        <v>J.</v>
      </c>
      <c r="Y361" s="3" t="str">
        <f>IFERROR(__xludf.DUMMYFUNCTION("""COMPUTED_VALUE"""),"Brissett")</f>
        <v>Brissett</v>
      </c>
      <c r="AA361" s="3">
        <v>1.0</v>
      </c>
      <c r="AB361" s="3">
        <f t="shared" si="7"/>
        <v>0</v>
      </c>
      <c r="AC361" s="3">
        <f t="shared" si="8"/>
        <v>1</v>
      </c>
      <c r="AD361" s="3">
        <f t="shared" si="9"/>
        <v>3.66</v>
      </c>
      <c r="AE361" s="3">
        <f t="shared" si="10"/>
        <v>3.66</v>
      </c>
      <c r="AF361" s="3">
        <f t="shared" si="11"/>
        <v>1.22</v>
      </c>
      <c r="AG361" s="3">
        <f t="shared" si="12"/>
        <v>0.6</v>
      </c>
    </row>
    <row r="362">
      <c r="A362" s="1" t="s">
        <v>12</v>
      </c>
      <c r="B362" s="1" t="s">
        <v>552</v>
      </c>
      <c r="C362" s="1" t="s">
        <v>20</v>
      </c>
      <c r="D362" s="1" t="s">
        <v>66</v>
      </c>
      <c r="E362" s="1" t="s">
        <v>94</v>
      </c>
      <c r="F362" s="1" t="s">
        <v>576</v>
      </c>
      <c r="G362" s="1">
        <v>1.5</v>
      </c>
      <c r="H362" s="1" t="s">
        <v>60</v>
      </c>
      <c r="I362" s="1">
        <v>-109.0</v>
      </c>
      <c r="J362" s="1">
        <v>-0.161322139229665</v>
      </c>
      <c r="K362" s="1" t="s">
        <v>61</v>
      </c>
      <c r="L362" s="1" t="s">
        <v>61</v>
      </c>
      <c r="M362" s="1" t="s">
        <v>62</v>
      </c>
      <c r="N362" s="1">
        <v>-119.0</v>
      </c>
      <c r="O362" s="1">
        <v>0.0964108276155708</v>
      </c>
      <c r="P362" s="1" t="s">
        <v>61</v>
      </c>
      <c r="Q362" s="1" t="s">
        <v>61</v>
      </c>
      <c r="R362" s="1">
        <f t="shared" si="1"/>
        <v>0.09641082762</v>
      </c>
      <c r="S362" s="1">
        <f t="shared" si="2"/>
        <v>-119</v>
      </c>
      <c r="T362" s="1">
        <f t="shared" si="3"/>
        <v>1.840336134</v>
      </c>
      <c r="U362" s="1">
        <f t="shared" si="4"/>
        <v>0</v>
      </c>
      <c r="V362" s="3">
        <f t="shared" si="5"/>
        <v>2</v>
      </c>
      <c r="W362" s="3">
        <f t="shared" si="6"/>
        <v>3</v>
      </c>
      <c r="X362" s="3" t="str">
        <f>IFERROR(__xludf.DUMMYFUNCTION("split(B362,"" "")"),"A.")</f>
        <v>A.</v>
      </c>
      <c r="Y362" s="3" t="str">
        <f>IFERROR(__xludf.DUMMYFUNCTION("""COMPUTED_VALUE"""),"Hooper")</f>
        <v>Hooper</v>
      </c>
      <c r="AA362" s="3">
        <v>1.0</v>
      </c>
      <c r="AB362" s="3">
        <f t="shared" si="7"/>
        <v>0</v>
      </c>
      <c r="AC362" s="3">
        <f t="shared" si="8"/>
        <v>1</v>
      </c>
      <c r="AD362" s="3">
        <f t="shared" si="9"/>
        <v>1.680672269</v>
      </c>
      <c r="AE362" s="3">
        <f t="shared" si="10"/>
        <v>1.680672269</v>
      </c>
      <c r="AF362" s="3">
        <f t="shared" si="11"/>
        <v>2.521008403</v>
      </c>
      <c r="AG362" s="3">
        <f t="shared" si="12"/>
        <v>0.3333333333</v>
      </c>
    </row>
    <row r="363">
      <c r="A363" s="1" t="s">
        <v>8</v>
      </c>
      <c r="B363" s="1" t="s">
        <v>383</v>
      </c>
      <c r="C363" s="1" t="s">
        <v>19</v>
      </c>
      <c r="D363" s="1" t="s">
        <v>66</v>
      </c>
      <c r="E363" s="1" t="s">
        <v>94</v>
      </c>
      <c r="F363" s="1" t="s">
        <v>576</v>
      </c>
      <c r="G363" s="1">
        <v>10.5</v>
      </c>
      <c r="H363" s="1" t="s">
        <v>60</v>
      </c>
      <c r="I363" s="1">
        <v>-134.0</v>
      </c>
      <c r="J363" s="1">
        <v>-0.151964007093589</v>
      </c>
      <c r="K363" s="1" t="s">
        <v>61</v>
      </c>
      <c r="L363" s="1" t="s">
        <v>61</v>
      </c>
      <c r="M363" s="1" t="s">
        <v>62</v>
      </c>
      <c r="N363" s="1">
        <v>-101.0</v>
      </c>
      <c r="O363" s="1">
        <v>0.0768118280422835</v>
      </c>
      <c r="P363" s="1" t="s">
        <v>61</v>
      </c>
      <c r="Q363" s="1" t="s">
        <v>61</v>
      </c>
      <c r="R363" s="1">
        <f t="shared" si="1"/>
        <v>0.07681182804</v>
      </c>
      <c r="S363" s="1">
        <f t="shared" si="2"/>
        <v>-101</v>
      </c>
      <c r="T363" s="1">
        <f t="shared" si="3"/>
        <v>1.99009901</v>
      </c>
      <c r="U363" s="1">
        <f t="shared" si="4"/>
        <v>0</v>
      </c>
      <c r="V363" s="3">
        <f t="shared" si="5"/>
        <v>2</v>
      </c>
      <c r="W363" s="3">
        <f t="shared" si="6"/>
        <v>2</v>
      </c>
      <c r="X363" s="3" t="str">
        <f>IFERROR(__xludf.DUMMYFUNCTION("split(B363,"" "")"),"A.")</f>
        <v>A.</v>
      </c>
      <c r="Y363" s="3" t="str">
        <f>IFERROR(__xludf.DUMMYFUNCTION("""COMPUTED_VALUE"""),"Gibson")</f>
        <v>Gibson</v>
      </c>
      <c r="AA363" s="3">
        <v>6.0</v>
      </c>
      <c r="AB363" s="3">
        <f t="shared" si="7"/>
        <v>0</v>
      </c>
      <c r="AC363" s="3">
        <f t="shared" si="8"/>
        <v>1</v>
      </c>
      <c r="AD363" s="3">
        <f t="shared" si="9"/>
        <v>1.98019802</v>
      </c>
      <c r="AE363" s="3">
        <f t="shared" si="10"/>
        <v>1.98019802</v>
      </c>
      <c r="AF363" s="3">
        <f t="shared" si="11"/>
        <v>1.98019802</v>
      </c>
      <c r="AG363" s="3">
        <f t="shared" si="12"/>
        <v>0.4285714286</v>
      </c>
    </row>
    <row r="364">
      <c r="A364" s="1" t="s">
        <v>12</v>
      </c>
      <c r="B364" s="1" t="s">
        <v>597</v>
      </c>
      <c r="C364" s="1" t="s">
        <v>18</v>
      </c>
      <c r="D364" s="1" t="s">
        <v>66</v>
      </c>
      <c r="E364" s="1" t="s">
        <v>94</v>
      </c>
      <c r="F364" s="1" t="s">
        <v>576</v>
      </c>
      <c r="G364" s="1">
        <v>2.0</v>
      </c>
      <c r="H364" s="1" t="s">
        <v>60</v>
      </c>
      <c r="I364" s="1">
        <v>-127.0</v>
      </c>
      <c r="J364" s="1">
        <v>-0.153766508502202</v>
      </c>
      <c r="K364" s="1" t="s">
        <v>61</v>
      </c>
      <c r="L364" s="1" t="s">
        <v>61</v>
      </c>
      <c r="M364" s="1" t="s">
        <v>62</v>
      </c>
      <c r="N364" s="1">
        <v>-120.0</v>
      </c>
      <c r="O364" s="1">
        <v>0.070895076890909</v>
      </c>
      <c r="P364" s="1" t="s">
        <v>61</v>
      </c>
      <c r="Q364" s="1" t="s">
        <v>61</v>
      </c>
      <c r="R364" s="1">
        <f t="shared" si="1"/>
        <v>0.07089507689</v>
      </c>
      <c r="S364" s="1">
        <f t="shared" si="2"/>
        <v>-120</v>
      </c>
      <c r="T364" s="1">
        <f t="shared" si="3"/>
        <v>1.833333333</v>
      </c>
      <c r="U364" s="1">
        <f t="shared" si="4"/>
        <v>0</v>
      </c>
      <c r="V364" s="3">
        <f t="shared" si="5"/>
        <v>2</v>
      </c>
      <c r="W364" s="3">
        <f t="shared" si="6"/>
        <v>3</v>
      </c>
      <c r="X364" s="3" t="str">
        <f>IFERROR(__xludf.DUMMYFUNCTION("split(B364,"" "")"),"K.")</f>
        <v>K.</v>
      </c>
      <c r="Y364" s="3" t="str">
        <f>IFERROR(__xludf.DUMMYFUNCTION("""COMPUTED_VALUE"""),"Bourne")</f>
        <v>Bourne</v>
      </c>
      <c r="AA364" s="3">
        <v>1.0</v>
      </c>
      <c r="AB364" s="3">
        <f t="shared" si="7"/>
        <v>0</v>
      </c>
      <c r="AC364" s="3">
        <f t="shared" si="8"/>
        <v>1</v>
      </c>
      <c r="AD364" s="3">
        <f t="shared" si="9"/>
        <v>1.666666667</v>
      </c>
      <c r="AE364" s="3">
        <f t="shared" si="10"/>
        <v>1.666666667</v>
      </c>
      <c r="AF364" s="3">
        <f t="shared" si="11"/>
        <v>2.5</v>
      </c>
      <c r="AG364" s="3">
        <f t="shared" si="12"/>
        <v>0.5</v>
      </c>
    </row>
    <row r="365">
      <c r="A365" s="1" t="s">
        <v>14</v>
      </c>
      <c r="B365" s="1" t="s">
        <v>65</v>
      </c>
      <c r="C365" s="1" t="s">
        <v>21</v>
      </c>
      <c r="D365" s="1" t="s">
        <v>66</v>
      </c>
      <c r="E365" s="1" t="s">
        <v>94</v>
      </c>
      <c r="F365" s="1" t="s">
        <v>576</v>
      </c>
      <c r="G365" s="1">
        <v>0.5</v>
      </c>
      <c r="H365" s="1" t="s">
        <v>60</v>
      </c>
      <c r="I365" s="1">
        <v>-166.0</v>
      </c>
      <c r="J365" s="1">
        <v>-0.131058172293233</v>
      </c>
      <c r="K365" s="1" t="s">
        <v>61</v>
      </c>
      <c r="L365" s="1" t="s">
        <v>61</v>
      </c>
      <c r="M365" s="1" t="s">
        <v>62</v>
      </c>
      <c r="N365" s="1">
        <v>129.0</v>
      </c>
      <c r="O365" s="1">
        <v>0.0703164796069868</v>
      </c>
      <c r="P365" s="1" t="s">
        <v>61</v>
      </c>
      <c r="Q365" s="1" t="s">
        <v>61</v>
      </c>
      <c r="R365" s="1">
        <f t="shared" si="1"/>
        <v>0.07031647961</v>
      </c>
      <c r="S365" s="1">
        <f t="shared" si="2"/>
        <v>129</v>
      </c>
      <c r="T365" s="1">
        <f t="shared" si="3"/>
        <v>2.29</v>
      </c>
      <c r="U365" s="1">
        <f t="shared" si="4"/>
        <v>0</v>
      </c>
      <c r="V365" s="3">
        <f t="shared" si="5"/>
        <v>2</v>
      </c>
      <c r="W365" s="3">
        <f t="shared" si="6"/>
        <v>1</v>
      </c>
      <c r="X365" s="3" t="str">
        <f>IFERROR(__xludf.DUMMYFUNCTION("split(B365,"" "")"),"J.")</f>
        <v>J.</v>
      </c>
      <c r="Y365" s="3" t="str">
        <f>IFERROR(__xludf.DUMMYFUNCTION("""COMPUTED_VALUE"""),"Brissett")</f>
        <v>Brissett</v>
      </c>
      <c r="AA365" s="3">
        <v>0.0</v>
      </c>
      <c r="AB365" s="3">
        <f t="shared" si="7"/>
        <v>0</v>
      </c>
      <c r="AC365" s="3">
        <f t="shared" si="8"/>
        <v>1</v>
      </c>
      <c r="AD365" s="3">
        <f t="shared" si="9"/>
        <v>2.58</v>
      </c>
      <c r="AE365" s="3">
        <f t="shared" si="10"/>
        <v>2.58</v>
      </c>
      <c r="AF365" s="3">
        <f t="shared" si="11"/>
        <v>1.29</v>
      </c>
      <c r="AG365" s="3">
        <f t="shared" si="12"/>
        <v>1</v>
      </c>
    </row>
    <row r="366">
      <c r="A366" s="1" t="s">
        <v>13</v>
      </c>
      <c r="B366" s="1" t="s">
        <v>65</v>
      </c>
      <c r="C366" s="1" t="s">
        <v>21</v>
      </c>
      <c r="D366" s="1" t="s">
        <v>66</v>
      </c>
      <c r="E366" s="1" t="s">
        <v>94</v>
      </c>
      <c r="F366" s="1" t="s">
        <v>576</v>
      </c>
      <c r="G366" s="1">
        <v>160.5</v>
      </c>
      <c r="H366" s="1" t="s">
        <v>60</v>
      </c>
      <c r="I366" s="1">
        <v>-108.0</v>
      </c>
      <c r="J366" s="1">
        <v>0.0634312688653843</v>
      </c>
      <c r="K366" s="1" t="s">
        <v>61</v>
      </c>
      <c r="L366" s="1" t="s">
        <v>61</v>
      </c>
      <c r="M366" s="1" t="s">
        <v>62</v>
      </c>
      <c r="N366" s="1">
        <v>-123.0</v>
      </c>
      <c r="O366" s="1">
        <v>-0.134181775006815</v>
      </c>
      <c r="P366" s="1" t="s">
        <v>61</v>
      </c>
      <c r="Q366" s="1" t="s">
        <v>61</v>
      </c>
      <c r="R366" s="1">
        <f t="shared" si="1"/>
        <v>0.06343126887</v>
      </c>
      <c r="S366" s="1">
        <f t="shared" si="2"/>
        <v>-108</v>
      </c>
      <c r="T366" s="1">
        <f t="shared" si="3"/>
        <v>1.925925926</v>
      </c>
      <c r="U366" s="1">
        <f t="shared" si="4"/>
        <v>1</v>
      </c>
      <c r="V366" s="3">
        <f t="shared" si="5"/>
        <v>2</v>
      </c>
      <c r="W366" s="3">
        <f t="shared" si="6"/>
        <v>2</v>
      </c>
      <c r="X366" s="3" t="str">
        <f>IFERROR(__xludf.DUMMYFUNCTION("split(B366,"" "")"),"J.")</f>
        <v>J.</v>
      </c>
      <c r="Y366" s="3" t="str">
        <f>IFERROR(__xludf.DUMMYFUNCTION("""COMPUTED_VALUE"""),"Brissett")</f>
        <v>Brissett</v>
      </c>
      <c r="AA366" s="3">
        <v>160.0</v>
      </c>
      <c r="AB366" s="3">
        <f t="shared" si="7"/>
        <v>0</v>
      </c>
      <c r="AC366" s="3">
        <f t="shared" si="8"/>
        <v>0</v>
      </c>
      <c r="AD366" s="3">
        <f t="shared" si="9"/>
        <v>1.851851852</v>
      </c>
      <c r="AE366" s="3">
        <f t="shared" si="10"/>
        <v>-2</v>
      </c>
      <c r="AF366" s="3">
        <f t="shared" si="11"/>
        <v>-2</v>
      </c>
      <c r="AG366" s="3">
        <f t="shared" si="12"/>
        <v>-0.003115264798</v>
      </c>
    </row>
    <row r="367">
      <c r="A367" s="1" t="s">
        <v>16</v>
      </c>
      <c r="B367" s="1" t="s">
        <v>65</v>
      </c>
      <c r="C367" s="1" t="s">
        <v>21</v>
      </c>
      <c r="D367" s="1" t="s">
        <v>66</v>
      </c>
      <c r="E367" s="1" t="s">
        <v>94</v>
      </c>
      <c r="F367" s="1" t="s">
        <v>576</v>
      </c>
      <c r="G367" s="1">
        <v>27.5</v>
      </c>
      <c r="H367" s="1" t="s">
        <v>60</v>
      </c>
      <c r="I367" s="1">
        <v>-106.0</v>
      </c>
      <c r="J367" s="1">
        <v>-0.123714200650485</v>
      </c>
      <c r="K367" s="1" t="s">
        <v>61</v>
      </c>
      <c r="L367" s="1" t="s">
        <v>61</v>
      </c>
      <c r="M367" s="1" t="s">
        <v>62</v>
      </c>
      <c r="N367" s="1">
        <v>-123.0</v>
      </c>
      <c r="O367" s="1">
        <v>0.0575749244879821</v>
      </c>
      <c r="P367" s="1" t="s">
        <v>61</v>
      </c>
      <c r="Q367" s="1" t="s">
        <v>61</v>
      </c>
      <c r="R367" s="1">
        <f t="shared" si="1"/>
        <v>0.05757492449</v>
      </c>
      <c r="S367" s="1">
        <f t="shared" si="2"/>
        <v>-123</v>
      </c>
      <c r="T367" s="1">
        <f t="shared" si="3"/>
        <v>1.81300813</v>
      </c>
      <c r="U367" s="1">
        <f t="shared" si="4"/>
        <v>0</v>
      </c>
      <c r="V367" s="3">
        <f t="shared" si="5"/>
        <v>2</v>
      </c>
      <c r="W367" s="3">
        <f t="shared" si="6"/>
        <v>3</v>
      </c>
      <c r="X367" s="3" t="str">
        <f>IFERROR(__xludf.DUMMYFUNCTION("split(B367,"" "")"),"J.")</f>
        <v>J.</v>
      </c>
      <c r="Y367" s="3" t="str">
        <f>IFERROR(__xludf.DUMMYFUNCTION("""COMPUTED_VALUE"""),"Brissett")</f>
        <v>Brissett</v>
      </c>
      <c r="AA367" s="3">
        <v>34.0</v>
      </c>
      <c r="AB367" s="3">
        <f t="shared" si="7"/>
        <v>1</v>
      </c>
      <c r="AC367" s="3">
        <f t="shared" si="8"/>
        <v>0</v>
      </c>
      <c r="AD367" s="3">
        <f t="shared" si="9"/>
        <v>1.62601626</v>
      </c>
      <c r="AE367" s="3">
        <f t="shared" si="10"/>
        <v>-2</v>
      </c>
      <c r="AF367" s="3">
        <f t="shared" si="11"/>
        <v>-3</v>
      </c>
      <c r="AG367" s="3">
        <f t="shared" si="12"/>
        <v>-0.2363636364</v>
      </c>
    </row>
    <row r="368">
      <c r="A368" s="1" t="s">
        <v>8</v>
      </c>
      <c r="B368" s="1" t="s">
        <v>476</v>
      </c>
      <c r="C368" s="1" t="s">
        <v>19</v>
      </c>
      <c r="D368" s="1" t="s">
        <v>66</v>
      </c>
      <c r="E368" s="1" t="s">
        <v>94</v>
      </c>
      <c r="F368" s="1" t="s">
        <v>576</v>
      </c>
      <c r="G368" s="1">
        <v>10.0</v>
      </c>
      <c r="H368" s="1" t="s">
        <v>60</v>
      </c>
      <c r="I368" s="1">
        <v>-117.0</v>
      </c>
      <c r="J368" s="1">
        <v>-0.125707314338184</v>
      </c>
      <c r="K368" s="1" t="s">
        <v>61</v>
      </c>
      <c r="L368" s="1" t="s">
        <v>61</v>
      </c>
      <c r="M368" s="1" t="s">
        <v>62</v>
      </c>
      <c r="N368" s="1">
        <v>-116.0</v>
      </c>
      <c r="O368" s="1">
        <v>0.0538054868759618</v>
      </c>
      <c r="P368" s="1" t="s">
        <v>61</v>
      </c>
      <c r="Q368" s="1" t="s">
        <v>61</v>
      </c>
      <c r="R368" s="1">
        <f t="shared" si="1"/>
        <v>0.05380548688</v>
      </c>
      <c r="S368" s="1">
        <f t="shared" si="2"/>
        <v>-116</v>
      </c>
      <c r="T368" s="1">
        <f t="shared" si="3"/>
        <v>1.862068966</v>
      </c>
      <c r="U368" s="1">
        <f t="shared" si="4"/>
        <v>0</v>
      </c>
      <c r="V368" s="3">
        <f t="shared" si="5"/>
        <v>2</v>
      </c>
      <c r="W368" s="3">
        <f t="shared" si="6"/>
        <v>2</v>
      </c>
      <c r="X368" s="3" t="str">
        <f>IFERROR(__xludf.DUMMYFUNCTION("split(B368,"" "")"),"R.")</f>
        <v>R.</v>
      </c>
      <c r="Y368" s="3" t="str">
        <f>IFERROR(__xludf.DUMMYFUNCTION("""COMPUTED_VALUE"""),"Stevenson")</f>
        <v>Stevenson</v>
      </c>
      <c r="AA368" s="3">
        <v>12.0</v>
      </c>
      <c r="AB368" s="3">
        <f t="shared" si="7"/>
        <v>1</v>
      </c>
      <c r="AC368" s="3">
        <f t="shared" si="8"/>
        <v>0</v>
      </c>
      <c r="AD368" s="3">
        <f t="shared" si="9"/>
        <v>1.724137931</v>
      </c>
      <c r="AE368" s="3">
        <f t="shared" si="10"/>
        <v>-2</v>
      </c>
      <c r="AF368" s="3">
        <f t="shared" si="11"/>
        <v>-2</v>
      </c>
      <c r="AG368" s="3">
        <f t="shared" si="12"/>
        <v>-0.2</v>
      </c>
    </row>
    <row r="369">
      <c r="A369" s="1" t="s">
        <v>15</v>
      </c>
      <c r="B369" s="1" t="s">
        <v>65</v>
      </c>
      <c r="C369" s="1" t="s">
        <v>21</v>
      </c>
      <c r="D369" s="1" t="s">
        <v>66</v>
      </c>
      <c r="E369" s="1" t="s">
        <v>94</v>
      </c>
      <c r="F369" s="1" t="s">
        <v>576</v>
      </c>
      <c r="G369" s="1">
        <v>16.5</v>
      </c>
      <c r="H369" s="1" t="s">
        <v>60</v>
      </c>
      <c r="I369" s="1">
        <v>-112.0</v>
      </c>
      <c r="J369" s="1">
        <v>-0.113898967665094</v>
      </c>
      <c r="K369" s="1" t="s">
        <v>61</v>
      </c>
      <c r="L369" s="1" t="s">
        <v>61</v>
      </c>
      <c r="M369" s="1" t="s">
        <v>62</v>
      </c>
      <c r="N369" s="1">
        <v>-120.0</v>
      </c>
      <c r="O369" s="1">
        <v>0.0401420789727272</v>
      </c>
      <c r="P369" s="1" t="s">
        <v>61</v>
      </c>
      <c r="Q369" s="1" t="s">
        <v>61</v>
      </c>
      <c r="R369" s="1">
        <f t="shared" si="1"/>
        <v>0.04014207897</v>
      </c>
      <c r="S369" s="1">
        <f t="shared" si="2"/>
        <v>-120</v>
      </c>
      <c r="T369" s="1">
        <f t="shared" si="3"/>
        <v>1.833333333</v>
      </c>
      <c r="U369" s="1">
        <f t="shared" si="4"/>
        <v>0</v>
      </c>
      <c r="V369" s="3">
        <f t="shared" si="5"/>
        <v>1</v>
      </c>
      <c r="W369" s="3">
        <f t="shared" si="6"/>
        <v>3</v>
      </c>
      <c r="X369" s="3" t="str">
        <f>IFERROR(__xludf.DUMMYFUNCTION("split(B369,"" "")"),"J.")</f>
        <v>J.</v>
      </c>
      <c r="Y369" s="3" t="str">
        <f>IFERROR(__xludf.DUMMYFUNCTION("""COMPUTED_VALUE"""),"Brissett")</f>
        <v>Brissett</v>
      </c>
      <c r="AA369" s="3">
        <v>18.0</v>
      </c>
      <c r="AB369" s="3">
        <f t="shared" si="7"/>
        <v>1</v>
      </c>
      <c r="AC369" s="3">
        <f t="shared" si="8"/>
        <v>0</v>
      </c>
      <c r="AD369" s="3">
        <f t="shared" si="9"/>
        <v>0.8333333333</v>
      </c>
      <c r="AE369" s="3">
        <f t="shared" si="10"/>
        <v>-1</v>
      </c>
      <c r="AF369" s="3">
        <f t="shared" si="11"/>
        <v>-3</v>
      </c>
      <c r="AG369" s="3">
        <f t="shared" si="12"/>
        <v>-0.09090909091</v>
      </c>
    </row>
    <row r="370">
      <c r="A370" s="1" t="s">
        <v>11</v>
      </c>
      <c r="B370" s="1" t="s">
        <v>140</v>
      </c>
      <c r="C370" s="1" t="s">
        <v>20</v>
      </c>
      <c r="D370" s="1" t="s">
        <v>66</v>
      </c>
      <c r="E370" s="1" t="s">
        <v>94</v>
      </c>
      <c r="F370" s="1" t="s">
        <v>576</v>
      </c>
      <c r="G370" s="1">
        <v>26.5</v>
      </c>
      <c r="H370" s="1" t="s">
        <v>60</v>
      </c>
      <c r="I370" s="1">
        <v>-113.0</v>
      </c>
      <c r="J370" s="1">
        <v>-0.0852412326264695</v>
      </c>
      <c r="K370" s="1" t="s">
        <v>61</v>
      </c>
      <c r="L370" s="1" t="s">
        <v>61</v>
      </c>
      <c r="M370" s="1" t="s">
        <v>62</v>
      </c>
      <c r="N370" s="1">
        <v>-114.0</v>
      </c>
      <c r="O370" s="1">
        <v>0.0221121313381277</v>
      </c>
      <c r="P370" s="1" t="s">
        <v>61</v>
      </c>
      <c r="Q370" s="1" t="s">
        <v>61</v>
      </c>
      <c r="R370" s="1">
        <f t="shared" si="1"/>
        <v>0.02211213134</v>
      </c>
      <c r="S370" s="1">
        <f t="shared" si="2"/>
        <v>-114</v>
      </c>
      <c r="T370" s="1">
        <f t="shared" si="3"/>
        <v>1.877192982</v>
      </c>
      <c r="U370" s="1">
        <f t="shared" si="4"/>
        <v>0</v>
      </c>
      <c r="V370" s="3">
        <f t="shared" si="5"/>
        <v>1</v>
      </c>
      <c r="W370" s="3">
        <f t="shared" si="6"/>
        <v>2</v>
      </c>
      <c r="X370" s="3" t="str">
        <f>IFERROR(__xludf.DUMMYFUNCTION("split(B370,"" "")"),"H.")</f>
        <v>H.</v>
      </c>
      <c r="Y370" s="3" t="str">
        <f>IFERROR(__xludf.DUMMYFUNCTION("""COMPUTED_VALUE"""),"Henry")</f>
        <v>Henry</v>
      </c>
      <c r="AA370" s="3">
        <v>32.0</v>
      </c>
      <c r="AB370" s="3">
        <f t="shared" si="7"/>
        <v>1</v>
      </c>
      <c r="AC370" s="3">
        <f t="shared" si="8"/>
        <v>0</v>
      </c>
      <c r="AD370" s="3">
        <f t="shared" si="9"/>
        <v>0.8771929825</v>
      </c>
      <c r="AE370" s="3">
        <f t="shared" si="10"/>
        <v>-1</v>
      </c>
      <c r="AF370" s="3">
        <f t="shared" si="11"/>
        <v>-2</v>
      </c>
      <c r="AG370" s="3">
        <f t="shared" si="12"/>
        <v>-0.2075471698</v>
      </c>
    </row>
    <row r="371">
      <c r="A371" s="1" t="s">
        <v>11</v>
      </c>
      <c r="B371" s="1" t="s">
        <v>476</v>
      </c>
      <c r="C371" s="1" t="s">
        <v>19</v>
      </c>
      <c r="D371" s="1" t="s">
        <v>66</v>
      </c>
      <c r="E371" s="1" t="s">
        <v>94</v>
      </c>
      <c r="F371" s="1" t="s">
        <v>576</v>
      </c>
      <c r="G371" s="1">
        <v>9.5</v>
      </c>
      <c r="H371" s="1" t="s">
        <v>60</v>
      </c>
      <c r="I371" s="1">
        <v>-110.0</v>
      </c>
      <c r="J371" s="1">
        <v>0.0176309364309354</v>
      </c>
      <c r="K371" s="1" t="s">
        <v>61</v>
      </c>
      <c r="L371" s="1" t="s">
        <v>61</v>
      </c>
      <c r="M371" s="1" t="s">
        <v>62</v>
      </c>
      <c r="N371" s="1">
        <v>-110.0</v>
      </c>
      <c r="O371" s="1">
        <v>-0.0652240300740292</v>
      </c>
      <c r="P371" s="1" t="s">
        <v>61</v>
      </c>
      <c r="Q371" s="1" t="s">
        <v>61</v>
      </c>
      <c r="R371" s="1">
        <f t="shared" si="1"/>
        <v>0.01763093643</v>
      </c>
      <c r="S371" s="1">
        <f t="shared" si="2"/>
        <v>-110</v>
      </c>
      <c r="T371" s="1">
        <f t="shared" si="3"/>
        <v>1.909090909</v>
      </c>
      <c r="U371" s="1">
        <f t="shared" si="4"/>
        <v>1</v>
      </c>
      <c r="V371" s="3">
        <f t="shared" si="5"/>
        <v>1</v>
      </c>
      <c r="W371" s="3">
        <f t="shared" si="6"/>
        <v>2</v>
      </c>
      <c r="X371" s="3" t="str">
        <f>IFERROR(__xludf.DUMMYFUNCTION("split(B371,"" "")"),"R.")</f>
        <v>R.</v>
      </c>
      <c r="Y371" s="3" t="str">
        <f>IFERROR(__xludf.DUMMYFUNCTION("""COMPUTED_VALUE"""),"Stevenson")</f>
        <v>Stevenson</v>
      </c>
      <c r="AA371" s="3">
        <v>3.0</v>
      </c>
      <c r="AB371" s="3">
        <f t="shared" si="7"/>
        <v>0</v>
      </c>
      <c r="AC371" s="3">
        <f t="shared" si="8"/>
        <v>0</v>
      </c>
      <c r="AD371" s="3">
        <f t="shared" si="9"/>
        <v>0.9090909091</v>
      </c>
      <c r="AE371" s="3">
        <f t="shared" si="10"/>
        <v>-1</v>
      </c>
      <c r="AF371" s="3">
        <f t="shared" si="11"/>
        <v>-2</v>
      </c>
      <c r="AG371" s="3">
        <f t="shared" si="12"/>
        <v>-0.6842105263</v>
      </c>
    </row>
    <row r="372">
      <c r="A372" s="1" t="s">
        <v>11</v>
      </c>
      <c r="B372" s="1" t="s">
        <v>170</v>
      </c>
      <c r="C372" s="1" t="s">
        <v>18</v>
      </c>
      <c r="D372" s="1" t="s">
        <v>66</v>
      </c>
      <c r="E372" s="1" t="s">
        <v>94</v>
      </c>
      <c r="F372" s="1" t="s">
        <v>576</v>
      </c>
      <c r="G372" s="1">
        <v>25.5</v>
      </c>
      <c r="H372" s="1" t="s">
        <v>60</v>
      </c>
      <c r="I372" s="1">
        <v>-118.0</v>
      </c>
      <c r="J372" s="1">
        <v>-0.0781249098048578</v>
      </c>
      <c r="K372" s="1" t="s">
        <v>61</v>
      </c>
      <c r="L372" s="1" t="s">
        <v>61</v>
      </c>
      <c r="M372" s="1" t="s">
        <v>62</v>
      </c>
      <c r="N372" s="1">
        <v>-111.0</v>
      </c>
      <c r="O372" s="1">
        <v>0.0108241501164905</v>
      </c>
      <c r="P372" s="1" t="s">
        <v>61</v>
      </c>
      <c r="Q372" s="1" t="s">
        <v>61</v>
      </c>
      <c r="R372" s="1">
        <f t="shared" si="1"/>
        <v>0.01082415012</v>
      </c>
      <c r="S372" s="1">
        <f t="shared" si="2"/>
        <v>-111</v>
      </c>
      <c r="T372" s="1">
        <f t="shared" si="3"/>
        <v>1.900900901</v>
      </c>
      <c r="U372" s="1">
        <f t="shared" si="4"/>
        <v>0</v>
      </c>
      <c r="V372" s="3">
        <f t="shared" si="5"/>
        <v>1</v>
      </c>
      <c r="W372" s="3">
        <f t="shared" si="6"/>
        <v>2</v>
      </c>
      <c r="X372" s="3" t="str">
        <f>IFERROR(__xludf.DUMMYFUNCTION("split(B372,"" "")"),"J.")</f>
        <v>J.</v>
      </c>
      <c r="Y372" s="3" t="str">
        <f>IFERROR(__xludf.DUMMYFUNCTION("""COMPUTED_VALUE"""),"Polk")</f>
        <v>Polk</v>
      </c>
      <c r="AA372" s="3">
        <v>13.0</v>
      </c>
      <c r="AB372" s="3">
        <f t="shared" si="7"/>
        <v>0</v>
      </c>
      <c r="AC372" s="3">
        <f t="shared" si="8"/>
        <v>1</v>
      </c>
      <c r="AD372" s="3">
        <f t="shared" si="9"/>
        <v>0.9009009009</v>
      </c>
      <c r="AE372" s="3">
        <f t="shared" si="10"/>
        <v>0.9009009009</v>
      </c>
      <c r="AF372" s="3">
        <f t="shared" si="11"/>
        <v>1.801801802</v>
      </c>
      <c r="AG372" s="3">
        <f t="shared" si="12"/>
        <v>0.4901960784</v>
      </c>
    </row>
    <row r="373">
      <c r="A373" s="1" t="s">
        <v>10</v>
      </c>
      <c r="B373" s="1" t="s">
        <v>491</v>
      </c>
      <c r="C373" s="1" t="s">
        <v>18</v>
      </c>
      <c r="D373" s="1" t="s">
        <v>58</v>
      </c>
      <c r="E373" s="1" t="s">
        <v>76</v>
      </c>
      <c r="F373" s="1" t="s">
        <v>589</v>
      </c>
      <c r="G373" s="1">
        <v>0.5</v>
      </c>
      <c r="H373" s="1" t="s">
        <v>60</v>
      </c>
      <c r="I373" s="1">
        <v>886.0</v>
      </c>
      <c r="J373" s="1">
        <v>0.511274981906845</v>
      </c>
      <c r="K373" s="1" t="s">
        <v>61</v>
      </c>
      <c r="L373" s="1" t="s">
        <v>61</v>
      </c>
      <c r="M373" s="1" t="s">
        <v>62</v>
      </c>
      <c r="N373" s="1">
        <v>-2248.0</v>
      </c>
      <c r="O373" s="1">
        <v>-0.57007235065625</v>
      </c>
      <c r="P373" s="1" t="s">
        <v>61</v>
      </c>
      <c r="Q373" s="1" t="s">
        <v>61</v>
      </c>
      <c r="R373" s="1">
        <f t="shared" si="1"/>
        <v>0.5112749819</v>
      </c>
      <c r="S373" s="1">
        <f t="shared" si="2"/>
        <v>886</v>
      </c>
      <c r="T373" s="1">
        <f t="shared" si="3"/>
        <v>9.86</v>
      </c>
      <c r="U373" s="1">
        <f t="shared" si="4"/>
        <v>1</v>
      </c>
      <c r="V373" s="3">
        <f t="shared" si="5"/>
        <v>3</v>
      </c>
      <c r="W373" s="3">
        <f t="shared" si="6"/>
        <v>1</v>
      </c>
      <c r="X373" s="3" t="str">
        <f>IFERROR(__xludf.DUMMYFUNCTION("split(B373,"" "")"),"C.")</f>
        <v>C.</v>
      </c>
      <c r="Y373" s="3" t="str">
        <f>IFERROR(__xludf.DUMMYFUNCTION("""COMPUTED_VALUE"""),"Olave")</f>
        <v>Olave</v>
      </c>
      <c r="AA373" s="3">
        <v>0.0</v>
      </c>
      <c r="AB373" s="3">
        <f t="shared" si="7"/>
        <v>0</v>
      </c>
      <c r="AC373" s="3">
        <f t="shared" si="8"/>
        <v>0</v>
      </c>
      <c r="AD373" s="3">
        <f t="shared" si="9"/>
        <v>26.58</v>
      </c>
      <c r="AE373" s="3">
        <f t="shared" si="10"/>
        <v>0</v>
      </c>
      <c r="AF373" s="3">
        <f t="shared" si="11"/>
        <v>-1</v>
      </c>
      <c r="AG373" s="3">
        <f t="shared" si="12"/>
        <v>-1</v>
      </c>
    </row>
    <row r="374">
      <c r="A374" s="1" t="s">
        <v>11</v>
      </c>
      <c r="B374" s="1" t="s">
        <v>127</v>
      </c>
      <c r="C374" s="1" t="s">
        <v>19</v>
      </c>
      <c r="D374" s="1" t="s">
        <v>58</v>
      </c>
      <c r="E374" s="1" t="s">
        <v>76</v>
      </c>
      <c r="F374" s="1" t="s">
        <v>589</v>
      </c>
      <c r="G374" s="1">
        <v>2.5</v>
      </c>
      <c r="H374" s="1" t="s">
        <v>60</v>
      </c>
      <c r="I374" s="1">
        <v>-116.0</v>
      </c>
      <c r="J374" s="1">
        <v>0.133248196326153</v>
      </c>
      <c r="K374" s="1" t="s">
        <v>61</v>
      </c>
      <c r="L374" s="1" t="s">
        <v>61</v>
      </c>
      <c r="M374" s="1" t="s">
        <v>62</v>
      </c>
      <c r="N374" s="1">
        <v>-113.0</v>
      </c>
      <c r="O374" s="1">
        <v>-0.200799510606984</v>
      </c>
      <c r="P374" s="1" t="s">
        <v>61</v>
      </c>
      <c r="Q374" s="1" t="s">
        <v>61</v>
      </c>
      <c r="R374" s="1">
        <f t="shared" si="1"/>
        <v>0.1332481963</v>
      </c>
      <c r="S374" s="1">
        <f t="shared" si="2"/>
        <v>-116</v>
      </c>
      <c r="T374" s="1">
        <f t="shared" si="3"/>
        <v>1.862068966</v>
      </c>
      <c r="U374" s="1">
        <f t="shared" si="4"/>
        <v>1</v>
      </c>
      <c r="V374" s="3">
        <f t="shared" si="5"/>
        <v>3</v>
      </c>
      <c r="W374" s="3">
        <f t="shared" si="6"/>
        <v>2</v>
      </c>
      <c r="X374" s="3" t="str">
        <f>IFERROR(__xludf.DUMMYFUNCTION("split(B374,"" "")"),"J.")</f>
        <v>J.</v>
      </c>
      <c r="Y374" s="3" t="str">
        <f>IFERROR(__xludf.DUMMYFUNCTION("""COMPUTED_VALUE"""),"Williams")</f>
        <v>Williams</v>
      </c>
      <c r="AA374" s="3">
        <v>0.0</v>
      </c>
      <c r="AB374" s="3">
        <f t="shared" si="7"/>
        <v>0</v>
      </c>
      <c r="AC374" s="3">
        <f t="shared" si="8"/>
        <v>0</v>
      </c>
      <c r="AD374" s="3">
        <f t="shared" si="9"/>
        <v>2.586206897</v>
      </c>
      <c r="AE374" s="3">
        <f t="shared" si="10"/>
        <v>-3</v>
      </c>
      <c r="AF374" s="3">
        <f t="shared" si="11"/>
        <v>-2</v>
      </c>
      <c r="AG374" s="3">
        <f t="shared" si="12"/>
        <v>-1</v>
      </c>
    </row>
    <row r="375">
      <c r="A375" s="1" t="s">
        <v>9</v>
      </c>
      <c r="B375" s="1" t="s">
        <v>127</v>
      </c>
      <c r="C375" s="1" t="s">
        <v>19</v>
      </c>
      <c r="D375" s="1" t="s">
        <v>58</v>
      </c>
      <c r="E375" s="1" t="s">
        <v>76</v>
      </c>
      <c r="F375" s="1" t="s">
        <v>589</v>
      </c>
      <c r="G375" s="1">
        <v>20.5</v>
      </c>
      <c r="H375" s="1" t="s">
        <v>60</v>
      </c>
      <c r="I375" s="1">
        <v>-118.0</v>
      </c>
      <c r="J375" s="1">
        <v>0.10947043059566</v>
      </c>
      <c r="K375" s="1" t="s">
        <v>61</v>
      </c>
      <c r="L375" s="1" t="s">
        <v>61</v>
      </c>
      <c r="M375" s="1" t="s">
        <v>62</v>
      </c>
      <c r="N375" s="1">
        <v>-115.0</v>
      </c>
      <c r="O375" s="1">
        <v>-0.185597846280614</v>
      </c>
      <c r="P375" s="1" t="s">
        <v>61</v>
      </c>
      <c r="Q375" s="1" t="s">
        <v>61</v>
      </c>
      <c r="R375" s="1">
        <f t="shared" si="1"/>
        <v>0.1094704306</v>
      </c>
      <c r="S375" s="1">
        <f t="shared" si="2"/>
        <v>-118</v>
      </c>
      <c r="T375" s="1">
        <f t="shared" si="3"/>
        <v>1.847457627</v>
      </c>
      <c r="U375" s="1">
        <f t="shared" si="4"/>
        <v>1</v>
      </c>
      <c r="V375" s="3">
        <f t="shared" si="5"/>
        <v>3</v>
      </c>
      <c r="W375" s="3">
        <f t="shared" si="6"/>
        <v>3</v>
      </c>
      <c r="X375" s="3" t="str">
        <f>IFERROR(__xludf.DUMMYFUNCTION("split(B375,"" "")"),"J.")</f>
        <v>J.</v>
      </c>
      <c r="Y375" s="3" t="str">
        <f>IFERROR(__xludf.DUMMYFUNCTION("""COMPUTED_VALUE"""),"Williams")</f>
        <v>Williams</v>
      </c>
      <c r="AA375" s="3">
        <v>9.0</v>
      </c>
      <c r="AB375" s="3">
        <f t="shared" si="7"/>
        <v>0</v>
      </c>
      <c r="AC375" s="3">
        <f t="shared" si="8"/>
        <v>0</v>
      </c>
      <c r="AD375" s="3">
        <f t="shared" si="9"/>
        <v>2.542372881</v>
      </c>
      <c r="AE375" s="3">
        <f t="shared" si="10"/>
        <v>-3</v>
      </c>
      <c r="AF375" s="3">
        <f t="shared" si="11"/>
        <v>-3</v>
      </c>
      <c r="AG375" s="3">
        <f t="shared" si="12"/>
        <v>-0.5609756098</v>
      </c>
    </row>
    <row r="376">
      <c r="A376" s="1" t="s">
        <v>12</v>
      </c>
      <c r="B376" s="1" t="s">
        <v>428</v>
      </c>
      <c r="C376" s="1" t="s">
        <v>18</v>
      </c>
      <c r="D376" s="1" t="s">
        <v>58</v>
      </c>
      <c r="E376" s="1" t="s">
        <v>76</v>
      </c>
      <c r="F376" s="1" t="s">
        <v>589</v>
      </c>
      <c r="G376" s="1">
        <v>3.5</v>
      </c>
      <c r="H376" s="1" t="s">
        <v>60</v>
      </c>
      <c r="I376" s="1">
        <v>-151.0</v>
      </c>
      <c r="J376" s="1">
        <v>-0.164893625498008</v>
      </c>
      <c r="K376" s="1" t="s">
        <v>61</v>
      </c>
      <c r="L376" s="1" t="s">
        <v>61</v>
      </c>
      <c r="M376" s="1" t="s">
        <v>62</v>
      </c>
      <c r="N376" s="1">
        <v>116.0</v>
      </c>
      <c r="O376" s="1">
        <v>0.100337037037037</v>
      </c>
      <c r="P376" s="1" t="s">
        <v>61</v>
      </c>
      <c r="Q376" s="1" t="s">
        <v>61</v>
      </c>
      <c r="R376" s="1">
        <f t="shared" si="1"/>
        <v>0.100337037</v>
      </c>
      <c r="S376" s="1">
        <f t="shared" si="2"/>
        <v>116</v>
      </c>
      <c r="T376" s="1">
        <f t="shared" si="3"/>
        <v>2.16</v>
      </c>
      <c r="U376" s="1">
        <f t="shared" si="4"/>
        <v>0</v>
      </c>
      <c r="V376" s="3">
        <f t="shared" si="5"/>
        <v>3</v>
      </c>
      <c r="W376" s="3">
        <f t="shared" si="6"/>
        <v>1</v>
      </c>
      <c r="X376" s="3" t="str">
        <f>IFERROR(__xludf.DUMMYFUNCTION("split(B376,"" "")"),"R.")</f>
        <v>R.</v>
      </c>
      <c r="Y376" s="3" t="str">
        <f>IFERROR(__xludf.DUMMYFUNCTION("""COMPUTED_VALUE"""),"Shaheed")</f>
        <v>Shaheed</v>
      </c>
      <c r="AA376" s="3">
        <v>4.0</v>
      </c>
      <c r="AB376" s="3">
        <f t="shared" si="7"/>
        <v>1</v>
      </c>
      <c r="AC376" s="3">
        <f t="shared" si="8"/>
        <v>0</v>
      </c>
      <c r="AD376" s="3">
        <f t="shared" si="9"/>
        <v>3.48</v>
      </c>
      <c r="AE376" s="3">
        <f t="shared" si="10"/>
        <v>-3</v>
      </c>
      <c r="AF376" s="3">
        <f t="shared" si="11"/>
        <v>-1</v>
      </c>
      <c r="AG376" s="3">
        <f t="shared" si="12"/>
        <v>-0.1428571429</v>
      </c>
    </row>
    <row r="377">
      <c r="A377" s="1" t="s">
        <v>10</v>
      </c>
      <c r="B377" s="1" t="s">
        <v>428</v>
      </c>
      <c r="C377" s="1" t="s">
        <v>18</v>
      </c>
      <c r="D377" s="1" t="s">
        <v>58</v>
      </c>
      <c r="E377" s="1" t="s">
        <v>76</v>
      </c>
      <c r="F377" s="1" t="s">
        <v>589</v>
      </c>
      <c r="G377" s="1">
        <v>0.5</v>
      </c>
      <c r="H377" s="1" t="s">
        <v>60</v>
      </c>
      <c r="I377" s="1">
        <v>-115.0</v>
      </c>
      <c r="J377" s="1">
        <v>0.0960449505568217</v>
      </c>
      <c r="K377" s="1" t="s">
        <v>61</v>
      </c>
      <c r="L377" s="1" t="s">
        <v>61</v>
      </c>
      <c r="M377" s="1" t="s">
        <v>62</v>
      </c>
      <c r="N377" s="1">
        <v>-114.0</v>
      </c>
      <c r="O377" s="1">
        <v>-0.163599556473168</v>
      </c>
      <c r="P377" s="1" t="s">
        <v>61</v>
      </c>
      <c r="Q377" s="1" t="s">
        <v>61</v>
      </c>
      <c r="R377" s="1">
        <f t="shared" si="1"/>
        <v>0.09604495056</v>
      </c>
      <c r="S377" s="1">
        <f t="shared" si="2"/>
        <v>-115</v>
      </c>
      <c r="T377" s="1">
        <f t="shared" si="3"/>
        <v>1.869565217</v>
      </c>
      <c r="U377" s="1">
        <f t="shared" si="4"/>
        <v>1</v>
      </c>
      <c r="V377" s="3">
        <f t="shared" si="5"/>
        <v>2</v>
      </c>
      <c r="W377" s="3">
        <f t="shared" si="6"/>
        <v>2</v>
      </c>
      <c r="X377" s="3" t="str">
        <f>IFERROR(__xludf.DUMMYFUNCTION("split(B377,"" "")"),"R.")</f>
        <v>R.</v>
      </c>
      <c r="Y377" s="3" t="str">
        <f>IFERROR(__xludf.DUMMYFUNCTION("""COMPUTED_VALUE"""),"Shaheed")</f>
        <v>Shaheed</v>
      </c>
      <c r="AA377" s="3">
        <v>0.0</v>
      </c>
      <c r="AB377" s="3">
        <f t="shared" si="7"/>
        <v>0</v>
      </c>
      <c r="AC377" s="3">
        <f t="shared" si="8"/>
        <v>0</v>
      </c>
      <c r="AD377" s="3">
        <f t="shared" si="9"/>
        <v>1.739130435</v>
      </c>
      <c r="AE377" s="3">
        <f t="shared" si="10"/>
        <v>-2</v>
      </c>
      <c r="AF377" s="3">
        <f t="shared" si="11"/>
        <v>-2</v>
      </c>
      <c r="AG377" s="3">
        <f t="shared" si="12"/>
        <v>-1</v>
      </c>
    </row>
    <row r="378">
      <c r="A378" s="1" t="s">
        <v>14</v>
      </c>
      <c r="B378" s="1" t="s">
        <v>287</v>
      </c>
      <c r="C378" s="1" t="s">
        <v>21</v>
      </c>
      <c r="D378" s="1" t="s">
        <v>58</v>
      </c>
      <c r="E378" s="1" t="s">
        <v>76</v>
      </c>
      <c r="F378" s="1" t="s">
        <v>589</v>
      </c>
      <c r="G378" s="1">
        <v>1.5</v>
      </c>
      <c r="H378" s="1" t="s">
        <v>60</v>
      </c>
      <c r="I378" s="1">
        <v>192.0</v>
      </c>
      <c r="J378" s="1">
        <v>0.0949</v>
      </c>
      <c r="K378" s="1" t="s">
        <v>61</v>
      </c>
      <c r="L378" s="1" t="s">
        <v>61</v>
      </c>
      <c r="M378" s="1" t="s">
        <v>62</v>
      </c>
      <c r="N378" s="1">
        <v>-263.0</v>
      </c>
      <c r="O378" s="1">
        <v>-0.161890358126721</v>
      </c>
      <c r="P378" s="1" t="s">
        <v>61</v>
      </c>
      <c r="Q378" s="1" t="s">
        <v>61</v>
      </c>
      <c r="R378" s="1">
        <f t="shared" si="1"/>
        <v>0.0949</v>
      </c>
      <c r="S378" s="1">
        <f t="shared" si="2"/>
        <v>192</v>
      </c>
      <c r="T378" s="1">
        <f t="shared" si="3"/>
        <v>2.92</v>
      </c>
      <c r="U378" s="1">
        <f t="shared" si="4"/>
        <v>1</v>
      </c>
      <c r="V378" s="3">
        <f t="shared" si="5"/>
        <v>2</v>
      </c>
      <c r="W378" s="3">
        <f t="shared" si="6"/>
        <v>1</v>
      </c>
      <c r="X378" s="3" t="str">
        <f>IFERROR(__xludf.DUMMYFUNCTION("split(B378,"" "")"),"D.")</f>
        <v>D.</v>
      </c>
      <c r="Y378" s="3" t="str">
        <f>IFERROR(__xludf.DUMMYFUNCTION("""COMPUTED_VALUE"""),"Carr")</f>
        <v>Carr</v>
      </c>
      <c r="AA378" s="3">
        <v>2.0</v>
      </c>
      <c r="AB378" s="3">
        <f t="shared" si="7"/>
        <v>1</v>
      </c>
      <c r="AC378" s="3">
        <f t="shared" si="8"/>
        <v>1</v>
      </c>
      <c r="AD378" s="3">
        <f t="shared" si="9"/>
        <v>3.84</v>
      </c>
      <c r="AE378" s="3">
        <f t="shared" si="10"/>
        <v>3.84</v>
      </c>
      <c r="AF378" s="3">
        <f t="shared" si="11"/>
        <v>1.92</v>
      </c>
      <c r="AG378" s="3">
        <f t="shared" si="12"/>
        <v>0.3333333333</v>
      </c>
    </row>
    <row r="379">
      <c r="A379" s="1" t="s">
        <v>10</v>
      </c>
      <c r="B379" s="1" t="s">
        <v>287</v>
      </c>
      <c r="C379" s="1" t="s">
        <v>21</v>
      </c>
      <c r="D379" s="1" t="s">
        <v>58</v>
      </c>
      <c r="E379" s="1" t="s">
        <v>76</v>
      </c>
      <c r="F379" s="1" t="s">
        <v>589</v>
      </c>
      <c r="G379" s="1">
        <v>3.5</v>
      </c>
      <c r="H379" s="1" t="s">
        <v>60</v>
      </c>
      <c r="I379" s="1">
        <v>-103.0</v>
      </c>
      <c r="J379" s="1">
        <v>0.0824711050731271</v>
      </c>
      <c r="K379" s="1" t="s">
        <v>61</v>
      </c>
      <c r="L379" s="1" t="s">
        <v>61</v>
      </c>
      <c r="M379" s="1" t="s">
        <v>62</v>
      </c>
      <c r="N379" s="1">
        <v>-127.0</v>
      </c>
      <c r="O379" s="1">
        <v>-0.149299095149352</v>
      </c>
      <c r="P379" s="1" t="s">
        <v>61</v>
      </c>
      <c r="Q379" s="1" t="s">
        <v>61</v>
      </c>
      <c r="R379" s="1">
        <f t="shared" si="1"/>
        <v>0.08247110507</v>
      </c>
      <c r="S379" s="1">
        <f t="shared" si="2"/>
        <v>-103</v>
      </c>
      <c r="T379" s="1">
        <f t="shared" si="3"/>
        <v>1.970873786</v>
      </c>
      <c r="U379" s="1">
        <f t="shared" si="4"/>
        <v>1</v>
      </c>
      <c r="V379" s="3">
        <f t="shared" si="5"/>
        <v>2</v>
      </c>
      <c r="W379" s="3">
        <f t="shared" si="6"/>
        <v>2</v>
      </c>
      <c r="X379" s="3" t="str">
        <f>IFERROR(__xludf.DUMMYFUNCTION("split(B379,"" "")"),"D.")</f>
        <v>D.</v>
      </c>
      <c r="Y379" s="3" t="str">
        <f>IFERROR(__xludf.DUMMYFUNCTION("""COMPUTED_VALUE"""),"Carr")</f>
        <v>Carr</v>
      </c>
      <c r="AA379" s="3">
        <v>0.0</v>
      </c>
      <c r="AB379" s="3">
        <f t="shared" si="7"/>
        <v>0</v>
      </c>
      <c r="AC379" s="3">
        <f t="shared" si="8"/>
        <v>0</v>
      </c>
      <c r="AD379" s="3">
        <f t="shared" si="9"/>
        <v>1.941747573</v>
      </c>
      <c r="AE379" s="3">
        <f t="shared" si="10"/>
        <v>-2</v>
      </c>
      <c r="AF379" s="3">
        <f t="shared" si="11"/>
        <v>-2</v>
      </c>
      <c r="AG379" s="3">
        <f t="shared" si="12"/>
        <v>-1</v>
      </c>
    </row>
    <row r="380">
      <c r="A380" s="1" t="s">
        <v>11</v>
      </c>
      <c r="B380" s="1" t="s">
        <v>598</v>
      </c>
      <c r="C380" s="1" t="s">
        <v>18</v>
      </c>
      <c r="D380" s="1" t="s">
        <v>58</v>
      </c>
      <c r="E380" s="1" t="s">
        <v>76</v>
      </c>
      <c r="F380" s="1" t="s">
        <v>589</v>
      </c>
      <c r="G380" s="1">
        <v>6.5</v>
      </c>
      <c r="H380" s="1" t="s">
        <v>60</v>
      </c>
      <c r="I380" s="1">
        <v>-115.0</v>
      </c>
      <c r="J380" s="1">
        <v>0.0770078357896023</v>
      </c>
      <c r="K380" s="1" t="s">
        <v>61</v>
      </c>
      <c r="L380" s="1" t="s">
        <v>61</v>
      </c>
      <c r="M380" s="1" t="s">
        <v>62</v>
      </c>
      <c r="N380" s="1">
        <v>-111.0</v>
      </c>
      <c r="O380" s="1">
        <v>-0.137943696735491</v>
      </c>
      <c r="P380" s="1" t="s">
        <v>61</v>
      </c>
      <c r="Q380" s="1" t="s">
        <v>61</v>
      </c>
      <c r="R380" s="1">
        <f t="shared" si="1"/>
        <v>0.07700783579</v>
      </c>
      <c r="S380" s="1">
        <f t="shared" si="2"/>
        <v>-115</v>
      </c>
      <c r="T380" s="1">
        <f t="shared" si="3"/>
        <v>1.869565217</v>
      </c>
      <c r="U380" s="1">
        <f t="shared" si="4"/>
        <v>1</v>
      </c>
      <c r="V380" s="3">
        <f t="shared" si="5"/>
        <v>2</v>
      </c>
      <c r="W380" s="3">
        <f t="shared" si="6"/>
        <v>2</v>
      </c>
      <c r="X380" s="3" t="str">
        <f>IFERROR(__xludf.DUMMYFUNCTION("split(B380,"" "")"),"M.")</f>
        <v>M.</v>
      </c>
      <c r="Y380" s="3" t="str">
        <f>IFERROR(__xludf.DUMMYFUNCTION("""COMPUTED_VALUE"""),"Tipton")</f>
        <v>Tipton</v>
      </c>
      <c r="AA380" s="3">
        <v>2.0</v>
      </c>
      <c r="AB380" s="3">
        <f t="shared" si="7"/>
        <v>0</v>
      </c>
      <c r="AC380" s="3">
        <f t="shared" si="8"/>
        <v>0</v>
      </c>
      <c r="AD380" s="3">
        <f t="shared" si="9"/>
        <v>1.739130435</v>
      </c>
      <c r="AE380" s="3">
        <f t="shared" si="10"/>
        <v>-2</v>
      </c>
      <c r="AF380" s="3">
        <f t="shared" si="11"/>
        <v>-2</v>
      </c>
      <c r="AG380" s="3">
        <f t="shared" si="12"/>
        <v>-0.6923076923</v>
      </c>
    </row>
    <row r="381">
      <c r="A381" s="1" t="s">
        <v>8</v>
      </c>
      <c r="B381" s="1" t="s">
        <v>127</v>
      </c>
      <c r="C381" s="1" t="s">
        <v>19</v>
      </c>
      <c r="D381" s="1" t="s">
        <v>58</v>
      </c>
      <c r="E381" s="1" t="s">
        <v>76</v>
      </c>
      <c r="F381" s="1" t="s">
        <v>589</v>
      </c>
      <c r="G381" s="1">
        <v>4.5</v>
      </c>
      <c r="H381" s="1" t="s">
        <v>60</v>
      </c>
      <c r="I381" s="1">
        <v>-104.0</v>
      </c>
      <c r="J381" s="1">
        <v>-0.135939359062721</v>
      </c>
      <c r="K381" s="1" t="s">
        <v>61</v>
      </c>
      <c r="L381" s="1" t="s">
        <v>61</v>
      </c>
      <c r="M381" s="1" t="s">
        <v>62</v>
      </c>
      <c r="N381" s="1">
        <v>-126.0</v>
      </c>
      <c r="O381" s="1">
        <v>0.0686319152808939</v>
      </c>
      <c r="P381" s="1" t="s">
        <v>61</v>
      </c>
      <c r="Q381" s="1" t="s">
        <v>61</v>
      </c>
      <c r="R381" s="1">
        <f t="shared" si="1"/>
        <v>0.06863191528</v>
      </c>
      <c r="S381" s="1">
        <f t="shared" si="2"/>
        <v>-126</v>
      </c>
      <c r="T381" s="1">
        <f t="shared" si="3"/>
        <v>1.793650794</v>
      </c>
      <c r="U381" s="1">
        <f t="shared" si="4"/>
        <v>0</v>
      </c>
      <c r="V381" s="3">
        <f t="shared" si="5"/>
        <v>2</v>
      </c>
      <c r="W381" s="3">
        <f t="shared" si="6"/>
        <v>3</v>
      </c>
      <c r="X381" s="3" t="str">
        <f>IFERROR(__xludf.DUMMYFUNCTION("split(B381,"" "")"),"J.")</f>
        <v>J.</v>
      </c>
      <c r="Y381" s="3" t="str">
        <f>IFERROR(__xludf.DUMMYFUNCTION("""COMPUTED_VALUE"""),"Williams")</f>
        <v>Williams</v>
      </c>
      <c r="AA381" s="3">
        <v>2.0</v>
      </c>
      <c r="AB381" s="3">
        <f t="shared" si="7"/>
        <v>0</v>
      </c>
      <c r="AC381" s="3">
        <f t="shared" si="8"/>
        <v>1</v>
      </c>
      <c r="AD381" s="3">
        <f t="shared" si="9"/>
        <v>1.587301587</v>
      </c>
      <c r="AE381" s="3">
        <f t="shared" si="10"/>
        <v>1.587301587</v>
      </c>
      <c r="AF381" s="3">
        <f t="shared" si="11"/>
        <v>2.380952381</v>
      </c>
      <c r="AG381" s="3">
        <f t="shared" si="12"/>
        <v>0.5555555556</v>
      </c>
    </row>
    <row r="382">
      <c r="A382" s="1" t="s">
        <v>11</v>
      </c>
      <c r="B382" s="1" t="s">
        <v>553</v>
      </c>
      <c r="C382" s="1" t="s">
        <v>20</v>
      </c>
      <c r="D382" s="1" t="s">
        <v>58</v>
      </c>
      <c r="E382" s="1" t="s">
        <v>76</v>
      </c>
      <c r="F382" s="1" t="s">
        <v>589</v>
      </c>
      <c r="G382" s="1">
        <v>10.5</v>
      </c>
      <c r="H382" s="1" t="s">
        <v>60</v>
      </c>
      <c r="I382" s="1">
        <v>100.0</v>
      </c>
      <c r="J382" s="1">
        <v>0.0671462494590615</v>
      </c>
      <c r="K382" s="1" t="s">
        <v>61</v>
      </c>
      <c r="L382" s="1" t="s">
        <v>61</v>
      </c>
      <c r="M382" s="1" t="s">
        <v>62</v>
      </c>
      <c r="N382" s="1">
        <v>-132.0</v>
      </c>
      <c r="O382" s="1">
        <v>-0.136076766625828</v>
      </c>
      <c r="P382" s="1" t="s">
        <v>61</v>
      </c>
      <c r="Q382" s="1" t="s">
        <v>61</v>
      </c>
      <c r="R382" s="1">
        <f t="shared" si="1"/>
        <v>0.06714624946</v>
      </c>
      <c r="S382" s="1">
        <f t="shared" si="2"/>
        <v>100</v>
      </c>
      <c r="T382" s="1">
        <f t="shared" si="3"/>
        <v>2</v>
      </c>
      <c r="U382" s="1">
        <f t="shared" si="4"/>
        <v>1</v>
      </c>
      <c r="V382" s="3">
        <f t="shared" si="5"/>
        <v>2</v>
      </c>
      <c r="W382" s="3">
        <f t="shared" si="6"/>
        <v>2</v>
      </c>
      <c r="X382" s="3" t="str">
        <f>IFERROR(__xludf.DUMMYFUNCTION("split(B382,"" "")"),"F.")</f>
        <v>F.</v>
      </c>
      <c r="Y382" s="3" t="str">
        <f>IFERROR(__xludf.DUMMYFUNCTION("""COMPUTED_VALUE"""),"Moreau")</f>
        <v>Moreau</v>
      </c>
      <c r="AA382" s="3">
        <v>13.0</v>
      </c>
      <c r="AB382" s="3">
        <f t="shared" si="7"/>
        <v>1</v>
      </c>
      <c r="AC382" s="3">
        <f t="shared" si="8"/>
        <v>1</v>
      </c>
      <c r="AD382" s="3">
        <f t="shared" si="9"/>
        <v>2</v>
      </c>
      <c r="AE382" s="3">
        <f t="shared" si="10"/>
        <v>2</v>
      </c>
      <c r="AF382" s="3">
        <f t="shared" si="11"/>
        <v>2</v>
      </c>
      <c r="AG382" s="3">
        <f t="shared" si="12"/>
        <v>0.2380952381</v>
      </c>
    </row>
    <row r="383">
      <c r="A383" s="1" t="s">
        <v>11</v>
      </c>
      <c r="B383" s="1" t="s">
        <v>282</v>
      </c>
      <c r="C383" s="1" t="s">
        <v>19</v>
      </c>
      <c r="D383" s="1" t="s">
        <v>58</v>
      </c>
      <c r="E383" s="1" t="s">
        <v>76</v>
      </c>
      <c r="F383" s="1" t="s">
        <v>589</v>
      </c>
      <c r="G383" s="1">
        <v>35.5</v>
      </c>
      <c r="H383" s="1" t="s">
        <v>60</v>
      </c>
      <c r="I383" s="1">
        <v>-110.0</v>
      </c>
      <c r="J383" s="1">
        <v>-0.120033847613571</v>
      </c>
      <c r="K383" s="1" t="s">
        <v>61</v>
      </c>
      <c r="L383" s="1" t="s">
        <v>61</v>
      </c>
      <c r="M383" s="1" t="s">
        <v>62</v>
      </c>
      <c r="N383" s="1">
        <v>-119.0</v>
      </c>
      <c r="O383" s="1">
        <v>0.0528481283764453</v>
      </c>
      <c r="P383" s="1" t="s">
        <v>61</v>
      </c>
      <c r="Q383" s="1" t="s">
        <v>61</v>
      </c>
      <c r="R383" s="1">
        <f t="shared" si="1"/>
        <v>0.05284812838</v>
      </c>
      <c r="S383" s="1">
        <f t="shared" si="2"/>
        <v>-119</v>
      </c>
      <c r="T383" s="1">
        <f t="shared" si="3"/>
        <v>1.840336134</v>
      </c>
      <c r="U383" s="1">
        <f t="shared" si="4"/>
        <v>0</v>
      </c>
      <c r="V383" s="3">
        <f t="shared" si="5"/>
        <v>2</v>
      </c>
      <c r="W383" s="3">
        <f t="shared" si="6"/>
        <v>3</v>
      </c>
      <c r="X383" s="3" t="str">
        <f>IFERROR(__xludf.DUMMYFUNCTION("split(B383,"" "")"),"A.")</f>
        <v>A.</v>
      </c>
      <c r="Y383" s="3" t="str">
        <f>IFERROR(__xludf.DUMMYFUNCTION("""COMPUTED_VALUE"""),"Kamara")</f>
        <v>Kamara</v>
      </c>
      <c r="AA383" s="3">
        <v>40.0</v>
      </c>
      <c r="AB383" s="3">
        <f t="shared" si="7"/>
        <v>1</v>
      </c>
      <c r="AC383" s="3">
        <f t="shared" si="8"/>
        <v>0</v>
      </c>
      <c r="AD383" s="3">
        <f t="shared" si="9"/>
        <v>1.680672269</v>
      </c>
      <c r="AE383" s="3">
        <f t="shared" si="10"/>
        <v>-2</v>
      </c>
      <c r="AF383" s="3">
        <f t="shared" si="11"/>
        <v>-3</v>
      </c>
      <c r="AG383" s="3">
        <f t="shared" si="12"/>
        <v>-0.1267605634</v>
      </c>
    </row>
    <row r="384">
      <c r="A384" s="1" t="s">
        <v>17</v>
      </c>
      <c r="B384" s="1" t="s">
        <v>287</v>
      </c>
      <c r="C384" s="1" t="s">
        <v>21</v>
      </c>
      <c r="D384" s="1" t="s">
        <v>58</v>
      </c>
      <c r="E384" s="1" t="s">
        <v>76</v>
      </c>
      <c r="F384" s="1" t="s">
        <v>589</v>
      </c>
      <c r="G384" s="1">
        <v>0.5</v>
      </c>
      <c r="H384" s="1" t="s">
        <v>60</v>
      </c>
      <c r="I384" s="1">
        <v>-129.0</v>
      </c>
      <c r="J384" s="1">
        <v>-0.119918777292576</v>
      </c>
      <c r="K384" s="1" t="s">
        <v>61</v>
      </c>
      <c r="L384" s="1" t="s">
        <v>61</v>
      </c>
      <c r="M384" s="1" t="s">
        <v>62</v>
      </c>
      <c r="N384" s="1">
        <v>-102.0</v>
      </c>
      <c r="O384" s="1">
        <v>0.051649504950495</v>
      </c>
      <c r="P384" s="1" t="s">
        <v>61</v>
      </c>
      <c r="Q384" s="1" t="s">
        <v>61</v>
      </c>
      <c r="R384" s="1">
        <f t="shared" si="1"/>
        <v>0.05164950495</v>
      </c>
      <c r="S384" s="1">
        <f t="shared" si="2"/>
        <v>-102</v>
      </c>
      <c r="T384" s="1">
        <f t="shared" si="3"/>
        <v>1.980392157</v>
      </c>
      <c r="U384" s="1">
        <f t="shared" si="4"/>
        <v>0</v>
      </c>
      <c r="V384" s="3">
        <f t="shared" si="5"/>
        <v>2</v>
      </c>
      <c r="W384" s="3">
        <f t="shared" si="6"/>
        <v>2</v>
      </c>
      <c r="X384" s="3" t="str">
        <f>IFERROR(__xludf.DUMMYFUNCTION("split(B384,"" "")"),"D.")</f>
        <v>D.</v>
      </c>
      <c r="Y384" s="3" t="str">
        <f>IFERROR(__xludf.DUMMYFUNCTION("""COMPUTED_VALUE"""),"Carr")</f>
        <v>Carr</v>
      </c>
      <c r="AA384" s="3">
        <v>1.0</v>
      </c>
      <c r="AB384" s="3">
        <f t="shared" si="7"/>
        <v>1</v>
      </c>
      <c r="AC384" s="3">
        <f t="shared" si="8"/>
        <v>0</v>
      </c>
      <c r="AD384" s="3">
        <f t="shared" si="9"/>
        <v>1.960784314</v>
      </c>
      <c r="AE384" s="3">
        <f t="shared" si="10"/>
        <v>-2</v>
      </c>
      <c r="AF384" s="3">
        <f t="shared" si="11"/>
        <v>-2</v>
      </c>
      <c r="AG384" s="3">
        <f t="shared" si="12"/>
        <v>-1</v>
      </c>
    </row>
    <row r="385">
      <c r="A385" s="1" t="s">
        <v>9</v>
      </c>
      <c r="B385" s="1" t="s">
        <v>282</v>
      </c>
      <c r="C385" s="1" t="s">
        <v>19</v>
      </c>
      <c r="D385" s="1" t="s">
        <v>58</v>
      </c>
      <c r="E385" s="1" t="s">
        <v>76</v>
      </c>
      <c r="F385" s="1" t="s">
        <v>589</v>
      </c>
      <c r="G385" s="1">
        <v>105.5</v>
      </c>
      <c r="H385" s="1" t="s">
        <v>60</v>
      </c>
      <c r="I385" s="1">
        <v>-118.0</v>
      </c>
      <c r="J385" s="1">
        <v>-0.10929930373179</v>
      </c>
      <c r="K385" s="1" t="s">
        <v>61</v>
      </c>
      <c r="L385" s="1" t="s">
        <v>61</v>
      </c>
      <c r="M385" s="1" t="s">
        <v>62</v>
      </c>
      <c r="N385" s="1">
        <v>-114.0</v>
      </c>
      <c r="O385" s="1">
        <v>0.0352745391960779</v>
      </c>
      <c r="P385" s="1" t="s">
        <v>61</v>
      </c>
      <c r="Q385" s="1" t="s">
        <v>61</v>
      </c>
      <c r="R385" s="1">
        <f t="shared" si="1"/>
        <v>0.0352745392</v>
      </c>
      <c r="S385" s="1">
        <f t="shared" si="2"/>
        <v>-114</v>
      </c>
      <c r="T385" s="1">
        <f t="shared" si="3"/>
        <v>1.877192982</v>
      </c>
      <c r="U385" s="1">
        <f t="shared" si="4"/>
        <v>0</v>
      </c>
      <c r="V385" s="3">
        <f t="shared" si="5"/>
        <v>1</v>
      </c>
      <c r="W385" s="3">
        <f t="shared" si="6"/>
        <v>2</v>
      </c>
      <c r="X385" s="3" t="str">
        <f>IFERROR(__xludf.DUMMYFUNCTION("split(B385,"" "")"),"A.")</f>
        <v>A.</v>
      </c>
      <c r="Y385" s="3" t="str">
        <f>IFERROR(__xludf.DUMMYFUNCTION("""COMPUTED_VALUE"""),"Kamara")</f>
        <v>Kamara</v>
      </c>
      <c r="AA385" s="3">
        <v>66.0</v>
      </c>
      <c r="AB385" s="3">
        <f t="shared" si="7"/>
        <v>0</v>
      </c>
      <c r="AC385" s="3">
        <f t="shared" si="8"/>
        <v>1</v>
      </c>
      <c r="AD385" s="3">
        <f t="shared" si="9"/>
        <v>0.8771929825</v>
      </c>
      <c r="AE385" s="3">
        <f t="shared" si="10"/>
        <v>0.8771929825</v>
      </c>
      <c r="AF385" s="3">
        <f t="shared" si="11"/>
        <v>1.754385965</v>
      </c>
      <c r="AG385" s="3">
        <f t="shared" si="12"/>
        <v>0.3744075829</v>
      </c>
    </row>
    <row r="386">
      <c r="A386" s="1" t="s">
        <v>10</v>
      </c>
      <c r="B386" s="1" t="s">
        <v>282</v>
      </c>
      <c r="C386" s="1" t="s">
        <v>19</v>
      </c>
      <c r="D386" s="1" t="s">
        <v>58</v>
      </c>
      <c r="E386" s="1" t="s">
        <v>76</v>
      </c>
      <c r="F386" s="1" t="s">
        <v>589</v>
      </c>
      <c r="G386" s="1">
        <v>65.5</v>
      </c>
      <c r="H386" s="1" t="s">
        <v>60</v>
      </c>
      <c r="I386" s="1">
        <v>-114.0</v>
      </c>
      <c r="J386" s="1">
        <v>-0.0951628896998545</v>
      </c>
      <c r="K386" s="1" t="s">
        <v>61</v>
      </c>
      <c r="L386" s="1" t="s">
        <v>61</v>
      </c>
      <c r="M386" s="1" t="s">
        <v>62</v>
      </c>
      <c r="N386" s="1">
        <v>-113.0</v>
      </c>
      <c r="O386" s="1">
        <v>0.0319159317741882</v>
      </c>
      <c r="P386" s="1" t="s">
        <v>61</v>
      </c>
      <c r="Q386" s="1" t="s">
        <v>61</v>
      </c>
      <c r="R386" s="1">
        <f t="shared" si="1"/>
        <v>0.03191593177</v>
      </c>
      <c r="S386" s="1">
        <f t="shared" si="2"/>
        <v>-113</v>
      </c>
      <c r="T386" s="1">
        <f t="shared" si="3"/>
        <v>1.884955752</v>
      </c>
      <c r="U386" s="1">
        <f t="shared" si="4"/>
        <v>0</v>
      </c>
      <c r="V386" s="3">
        <f t="shared" si="5"/>
        <v>1</v>
      </c>
      <c r="W386" s="3">
        <f t="shared" si="6"/>
        <v>2</v>
      </c>
      <c r="X386" s="3" t="str">
        <f>IFERROR(__xludf.DUMMYFUNCTION("split(B386,"" "")"),"A.")</f>
        <v>A.</v>
      </c>
      <c r="Y386" s="3" t="str">
        <f>IFERROR(__xludf.DUMMYFUNCTION("""COMPUTED_VALUE"""),"Kamara")</f>
        <v>Kamara</v>
      </c>
      <c r="AA386" s="3">
        <v>26.0</v>
      </c>
      <c r="AB386" s="3">
        <f t="shared" si="7"/>
        <v>0</v>
      </c>
      <c r="AC386" s="3">
        <f t="shared" si="8"/>
        <v>1</v>
      </c>
      <c r="AD386" s="3">
        <f t="shared" si="9"/>
        <v>0.8849557522</v>
      </c>
      <c r="AE386" s="3">
        <f t="shared" si="10"/>
        <v>0.8849557522</v>
      </c>
      <c r="AF386" s="3">
        <f t="shared" si="11"/>
        <v>1.769911504</v>
      </c>
      <c r="AG386" s="3">
        <f t="shared" si="12"/>
        <v>0.6030534351</v>
      </c>
    </row>
    <row r="387">
      <c r="A387" s="1" t="s">
        <v>12</v>
      </c>
      <c r="B387" s="1" t="s">
        <v>193</v>
      </c>
      <c r="C387" s="1" t="s">
        <v>20</v>
      </c>
      <c r="D387" s="1" t="s">
        <v>58</v>
      </c>
      <c r="E387" s="1" t="s">
        <v>76</v>
      </c>
      <c r="F387" s="1" t="s">
        <v>589</v>
      </c>
      <c r="G387" s="1">
        <v>2.5</v>
      </c>
      <c r="H387" s="1" t="s">
        <v>60</v>
      </c>
      <c r="I387" s="1">
        <v>121.0</v>
      </c>
      <c r="J387" s="1">
        <v>-0.0935410604153846</v>
      </c>
      <c r="K387" s="1" t="s">
        <v>61</v>
      </c>
      <c r="L387" s="1" t="s">
        <v>61</v>
      </c>
      <c r="M387" s="1" t="s">
        <v>62</v>
      </c>
      <c r="N387" s="1">
        <v>-158.0</v>
      </c>
      <c r="O387" s="1">
        <v>0.0286554791333334</v>
      </c>
      <c r="P387" s="1" t="s">
        <v>61</v>
      </c>
      <c r="Q387" s="1" t="s">
        <v>61</v>
      </c>
      <c r="R387" s="1">
        <f t="shared" si="1"/>
        <v>0.02865547913</v>
      </c>
      <c r="S387" s="1">
        <f t="shared" si="2"/>
        <v>-158</v>
      </c>
      <c r="T387" s="1">
        <f t="shared" si="3"/>
        <v>1.632911392</v>
      </c>
      <c r="U387" s="1">
        <f t="shared" si="4"/>
        <v>0</v>
      </c>
      <c r="V387" s="3">
        <f t="shared" si="5"/>
        <v>1</v>
      </c>
      <c r="W387" s="3">
        <f t="shared" si="6"/>
        <v>3</v>
      </c>
      <c r="X387" s="3" t="str">
        <f>IFERROR(__xludf.DUMMYFUNCTION("split(B387,"" "")"),"J.")</f>
        <v>J.</v>
      </c>
      <c r="Y387" s="3" t="str">
        <f>IFERROR(__xludf.DUMMYFUNCTION("""COMPUTED_VALUE"""),"Johnson")</f>
        <v>Johnson</v>
      </c>
      <c r="AA387" s="3">
        <v>5.0</v>
      </c>
      <c r="AB387" s="3">
        <f t="shared" si="7"/>
        <v>1</v>
      </c>
      <c r="AC387" s="3">
        <f t="shared" si="8"/>
        <v>0</v>
      </c>
      <c r="AD387" s="3">
        <f t="shared" si="9"/>
        <v>0.6329113924</v>
      </c>
      <c r="AE387" s="3">
        <f t="shared" si="10"/>
        <v>-1</v>
      </c>
      <c r="AF387" s="3">
        <f t="shared" si="11"/>
        <v>-3</v>
      </c>
      <c r="AG387" s="3">
        <f t="shared" si="12"/>
        <v>-1</v>
      </c>
    </row>
    <row r="388">
      <c r="A388" s="1" t="s">
        <v>15</v>
      </c>
      <c r="B388" s="1" t="s">
        <v>287</v>
      </c>
      <c r="C388" s="1" t="s">
        <v>21</v>
      </c>
      <c r="D388" s="1" t="s">
        <v>58</v>
      </c>
      <c r="E388" s="1" t="s">
        <v>76</v>
      </c>
      <c r="F388" s="1" t="s">
        <v>589</v>
      </c>
      <c r="G388" s="1">
        <v>20.5</v>
      </c>
      <c r="H388" s="1" t="s">
        <v>60</v>
      </c>
      <c r="I388" s="1">
        <v>-114.0</v>
      </c>
      <c r="J388" s="1">
        <v>0.0219831775700934</v>
      </c>
      <c r="K388" s="1" t="s">
        <v>61</v>
      </c>
      <c r="L388" s="1" t="s">
        <v>61</v>
      </c>
      <c r="M388" s="1" t="s">
        <v>62</v>
      </c>
      <c r="N388" s="1">
        <v>-116.0</v>
      </c>
      <c r="O388" s="1">
        <v>-0.0917444444444445</v>
      </c>
      <c r="P388" s="1" t="s">
        <v>61</v>
      </c>
      <c r="Q388" s="1" t="s">
        <v>61</v>
      </c>
      <c r="R388" s="1">
        <f t="shared" si="1"/>
        <v>0.02198317757</v>
      </c>
      <c r="S388" s="1">
        <f t="shared" si="2"/>
        <v>-114</v>
      </c>
      <c r="T388" s="1">
        <f t="shared" si="3"/>
        <v>1.877192982</v>
      </c>
      <c r="U388" s="1">
        <f t="shared" si="4"/>
        <v>1</v>
      </c>
      <c r="V388" s="3">
        <f t="shared" si="5"/>
        <v>1</v>
      </c>
      <c r="W388" s="3">
        <f t="shared" si="6"/>
        <v>2</v>
      </c>
      <c r="X388" s="3" t="str">
        <f>IFERROR(__xludf.DUMMYFUNCTION("split(B388,"" "")"),"D.")</f>
        <v>D.</v>
      </c>
      <c r="Y388" s="3" t="str">
        <f>IFERROR(__xludf.DUMMYFUNCTION("""COMPUTED_VALUE"""),"Carr")</f>
        <v>Carr</v>
      </c>
      <c r="AA388" s="3">
        <v>18.0</v>
      </c>
      <c r="AB388" s="3">
        <f t="shared" si="7"/>
        <v>0</v>
      </c>
      <c r="AC388" s="3">
        <f t="shared" si="8"/>
        <v>0</v>
      </c>
      <c r="AD388" s="3">
        <f t="shared" si="9"/>
        <v>0.8771929825</v>
      </c>
      <c r="AE388" s="3">
        <f t="shared" si="10"/>
        <v>-1</v>
      </c>
      <c r="AF388" s="3">
        <f t="shared" si="11"/>
        <v>-2</v>
      </c>
      <c r="AG388" s="3">
        <f t="shared" si="12"/>
        <v>-0.1219512195</v>
      </c>
    </row>
    <row r="389">
      <c r="A389" s="1" t="s">
        <v>8</v>
      </c>
      <c r="B389" s="1" t="s">
        <v>287</v>
      </c>
      <c r="C389" s="1" t="s">
        <v>21</v>
      </c>
      <c r="D389" s="1" t="s">
        <v>58</v>
      </c>
      <c r="E389" s="1" t="s">
        <v>76</v>
      </c>
      <c r="F389" s="1" t="s">
        <v>589</v>
      </c>
      <c r="G389" s="1">
        <v>1.5</v>
      </c>
      <c r="H389" s="1" t="s">
        <v>60</v>
      </c>
      <c r="I389" s="1">
        <v>-130.0</v>
      </c>
      <c r="J389" s="1">
        <v>-0.0740087479549964</v>
      </c>
      <c r="K389" s="1" t="s">
        <v>61</v>
      </c>
      <c r="L389" s="1" t="s">
        <v>61</v>
      </c>
      <c r="M389" s="1" t="s">
        <v>62</v>
      </c>
      <c r="N389" s="1">
        <v>100.0</v>
      </c>
      <c r="O389" s="1">
        <v>0.00879006014824579</v>
      </c>
      <c r="P389" s="1" t="s">
        <v>61</v>
      </c>
      <c r="Q389" s="1" t="s">
        <v>61</v>
      </c>
      <c r="R389" s="1">
        <f t="shared" si="1"/>
        <v>0.008790060148</v>
      </c>
      <c r="S389" s="1">
        <f t="shared" si="2"/>
        <v>100</v>
      </c>
      <c r="T389" s="1">
        <f t="shared" si="3"/>
        <v>2</v>
      </c>
      <c r="U389" s="1">
        <f t="shared" si="4"/>
        <v>0</v>
      </c>
      <c r="V389" s="3">
        <f t="shared" si="5"/>
        <v>1</v>
      </c>
      <c r="W389" s="3">
        <f t="shared" si="6"/>
        <v>2</v>
      </c>
      <c r="X389" s="3" t="str">
        <f>IFERROR(__xludf.DUMMYFUNCTION("split(B389,"" "")"),"D.")</f>
        <v>D.</v>
      </c>
      <c r="Y389" s="3" t="str">
        <f>IFERROR(__xludf.DUMMYFUNCTION("""COMPUTED_VALUE"""),"Carr")</f>
        <v>Carr</v>
      </c>
      <c r="AA389" s="3">
        <v>0.0</v>
      </c>
      <c r="AB389" s="3">
        <f t="shared" si="7"/>
        <v>0</v>
      </c>
      <c r="AC389" s="3">
        <f t="shared" si="8"/>
        <v>1</v>
      </c>
      <c r="AD389" s="3">
        <f t="shared" si="9"/>
        <v>1</v>
      </c>
      <c r="AE389" s="3">
        <f t="shared" si="10"/>
        <v>1</v>
      </c>
      <c r="AF389" s="3">
        <f t="shared" si="11"/>
        <v>2</v>
      </c>
      <c r="AG389" s="3">
        <f t="shared" si="12"/>
        <v>1</v>
      </c>
    </row>
    <row r="390">
      <c r="A390" s="1" t="s">
        <v>12</v>
      </c>
      <c r="B390" s="1" t="s">
        <v>491</v>
      </c>
      <c r="C390" s="1" t="s">
        <v>18</v>
      </c>
      <c r="D390" s="1" t="s">
        <v>58</v>
      </c>
      <c r="E390" s="1" t="s">
        <v>76</v>
      </c>
      <c r="F390" s="1" t="s">
        <v>589</v>
      </c>
      <c r="G390" s="1">
        <v>4.5</v>
      </c>
      <c r="H390" s="1" t="s">
        <v>60</v>
      </c>
      <c r="I390" s="1">
        <v>-152.0</v>
      </c>
      <c r="J390" s="1">
        <v>-0.067995238095238</v>
      </c>
      <c r="K390" s="1" t="s">
        <v>61</v>
      </c>
      <c r="L390" s="1" t="s">
        <v>61</v>
      </c>
      <c r="M390" s="1" t="s">
        <v>62</v>
      </c>
      <c r="N390" s="1">
        <v>117.0</v>
      </c>
      <c r="O390" s="1">
        <v>0.00397834101382488</v>
      </c>
      <c r="P390" s="1" t="s">
        <v>61</v>
      </c>
      <c r="Q390" s="1" t="s">
        <v>61</v>
      </c>
      <c r="R390" s="1">
        <f t="shared" si="1"/>
        <v>0.003978341014</v>
      </c>
      <c r="S390" s="1">
        <f t="shared" si="2"/>
        <v>117</v>
      </c>
      <c r="T390" s="1">
        <f t="shared" si="3"/>
        <v>2.17</v>
      </c>
      <c r="U390" s="1">
        <f t="shared" si="4"/>
        <v>0</v>
      </c>
      <c r="V390" s="3">
        <f t="shared" si="5"/>
        <v>1</v>
      </c>
      <c r="W390" s="3">
        <f t="shared" si="6"/>
        <v>1</v>
      </c>
      <c r="X390" s="3" t="str">
        <f>IFERROR(__xludf.DUMMYFUNCTION("split(B390,"" "")"),"C.")</f>
        <v>C.</v>
      </c>
      <c r="Y390" s="3" t="str">
        <f>IFERROR(__xludf.DUMMYFUNCTION("""COMPUTED_VALUE"""),"Olave")</f>
        <v>Olave</v>
      </c>
      <c r="AA390" s="3">
        <v>2.0</v>
      </c>
      <c r="AB390" s="3">
        <f t="shared" si="7"/>
        <v>0</v>
      </c>
      <c r="AC390" s="3">
        <f t="shared" si="8"/>
        <v>1</v>
      </c>
      <c r="AD390" s="3">
        <f t="shared" si="9"/>
        <v>1.17</v>
      </c>
      <c r="AE390" s="3">
        <f t="shared" si="10"/>
        <v>1.17</v>
      </c>
      <c r="AF390" s="3">
        <f t="shared" si="11"/>
        <v>1.17</v>
      </c>
      <c r="AG390" s="3">
        <f t="shared" si="12"/>
        <v>0.5555555556</v>
      </c>
    </row>
    <row r="391">
      <c r="A391" s="1" t="s">
        <v>11</v>
      </c>
      <c r="B391" s="1" t="s">
        <v>193</v>
      </c>
      <c r="C391" s="1" t="s">
        <v>20</v>
      </c>
      <c r="D391" s="1" t="s">
        <v>58</v>
      </c>
      <c r="E391" s="1" t="s">
        <v>76</v>
      </c>
      <c r="F391" s="1" t="s">
        <v>589</v>
      </c>
      <c r="G391" s="1">
        <v>22.5</v>
      </c>
      <c r="H391" s="1" t="s">
        <v>60</v>
      </c>
      <c r="I391" s="1">
        <v>-121.0</v>
      </c>
      <c r="J391" s="1">
        <v>-0.0784284666598599</v>
      </c>
      <c r="K391" s="1" t="s">
        <v>61</v>
      </c>
      <c r="L391" s="1" t="s">
        <v>61</v>
      </c>
      <c r="M391" s="1" t="s">
        <v>62</v>
      </c>
      <c r="N391" s="1">
        <v>-112.0</v>
      </c>
      <c r="O391" s="1">
        <v>0.00263489654551185</v>
      </c>
      <c r="P391" s="1" t="s">
        <v>61</v>
      </c>
      <c r="Q391" s="1" t="s">
        <v>61</v>
      </c>
      <c r="R391" s="1">
        <f t="shared" si="1"/>
        <v>0.002634896546</v>
      </c>
      <c r="S391" s="1">
        <f t="shared" si="2"/>
        <v>-112</v>
      </c>
      <c r="T391" s="1">
        <f t="shared" si="3"/>
        <v>1.892857143</v>
      </c>
      <c r="U391" s="1">
        <f t="shared" si="4"/>
        <v>0</v>
      </c>
      <c r="V391" s="3">
        <f t="shared" si="5"/>
        <v>1</v>
      </c>
      <c r="W391" s="3">
        <f t="shared" si="6"/>
        <v>2</v>
      </c>
      <c r="X391" s="3" t="str">
        <f>IFERROR(__xludf.DUMMYFUNCTION("split(B391,"" "")"),"J.")</f>
        <v>J.</v>
      </c>
      <c r="Y391" s="3" t="str">
        <f>IFERROR(__xludf.DUMMYFUNCTION("""COMPUTED_VALUE"""),"Johnson")</f>
        <v>Johnson</v>
      </c>
      <c r="AA391" s="3">
        <v>31.0</v>
      </c>
      <c r="AB391" s="3">
        <f t="shared" si="7"/>
        <v>1</v>
      </c>
      <c r="AC391" s="3">
        <f t="shared" si="8"/>
        <v>0</v>
      </c>
      <c r="AD391" s="3">
        <f t="shared" si="9"/>
        <v>0.8928571429</v>
      </c>
      <c r="AE391" s="3">
        <f t="shared" si="10"/>
        <v>-1</v>
      </c>
      <c r="AF391" s="3">
        <f t="shared" si="11"/>
        <v>-2</v>
      </c>
      <c r="AG391" s="3">
        <f t="shared" si="12"/>
        <v>-0.3777777778</v>
      </c>
    </row>
    <row r="392">
      <c r="A392" s="1" t="s">
        <v>12</v>
      </c>
      <c r="B392" s="1" t="s">
        <v>354</v>
      </c>
      <c r="C392" s="1" t="s">
        <v>18</v>
      </c>
      <c r="D392" s="1" t="s">
        <v>147</v>
      </c>
      <c r="E392" s="1" t="s">
        <v>82</v>
      </c>
      <c r="F392" s="1" t="s">
        <v>582</v>
      </c>
      <c r="G392" s="1">
        <v>6.5</v>
      </c>
      <c r="H392" s="1" t="s">
        <v>60</v>
      </c>
      <c r="I392" s="1">
        <v>113.0</v>
      </c>
      <c r="J392" s="1">
        <v>0.229369483568075</v>
      </c>
      <c r="K392" s="1" t="s">
        <v>61</v>
      </c>
      <c r="L392" s="1" t="s">
        <v>61</v>
      </c>
      <c r="M392" s="1" t="s">
        <v>62</v>
      </c>
      <c r="N392" s="1">
        <v>-149.0</v>
      </c>
      <c r="O392" s="1">
        <v>-0.297253413654618</v>
      </c>
      <c r="P392" s="1" t="s">
        <v>61</v>
      </c>
      <c r="Q392" s="1" t="s">
        <v>61</v>
      </c>
      <c r="R392" s="1">
        <f t="shared" si="1"/>
        <v>0.2293694836</v>
      </c>
      <c r="S392" s="1">
        <f t="shared" si="2"/>
        <v>113</v>
      </c>
      <c r="T392" s="1">
        <f t="shared" si="3"/>
        <v>2.13</v>
      </c>
      <c r="U392" s="1">
        <f t="shared" si="4"/>
        <v>1</v>
      </c>
      <c r="V392" s="3">
        <f t="shared" si="5"/>
        <v>3</v>
      </c>
      <c r="W392" s="3">
        <f t="shared" si="6"/>
        <v>1</v>
      </c>
      <c r="X392" s="3" t="str">
        <f>IFERROR(__xludf.DUMMYFUNCTION("split(B392,"" "")"),"W.")</f>
        <v>W.</v>
      </c>
      <c r="Y392" s="3" t="str">
        <f>IFERROR(__xludf.DUMMYFUNCTION("""COMPUTED_VALUE"""),"Robinson")</f>
        <v>Robinson</v>
      </c>
      <c r="AA392" s="3">
        <v>6.0</v>
      </c>
      <c r="AB392" s="3">
        <f t="shared" si="7"/>
        <v>0</v>
      </c>
      <c r="AC392" s="3">
        <f t="shared" si="8"/>
        <v>0</v>
      </c>
      <c r="AD392" s="3">
        <f t="shared" si="9"/>
        <v>3.39</v>
      </c>
      <c r="AE392" s="3">
        <f t="shared" si="10"/>
        <v>-3</v>
      </c>
      <c r="AF392" s="3">
        <f t="shared" si="11"/>
        <v>-1</v>
      </c>
      <c r="AG392" s="3">
        <f t="shared" si="12"/>
        <v>-0.07692307692</v>
      </c>
    </row>
    <row r="393">
      <c r="A393" s="1" t="s">
        <v>8</v>
      </c>
      <c r="B393" s="1" t="s">
        <v>260</v>
      </c>
      <c r="C393" s="1" t="s">
        <v>21</v>
      </c>
      <c r="D393" s="1" t="s">
        <v>147</v>
      </c>
      <c r="E393" s="1" t="s">
        <v>82</v>
      </c>
      <c r="F393" s="1" t="s">
        <v>582</v>
      </c>
      <c r="G393" s="1">
        <v>6.5</v>
      </c>
      <c r="H393" s="1" t="s">
        <v>60</v>
      </c>
      <c r="I393" s="1">
        <v>-123.0</v>
      </c>
      <c r="J393" s="1">
        <v>-0.233449862207249</v>
      </c>
      <c r="K393" s="1" t="s">
        <v>61</v>
      </c>
      <c r="L393" s="1" t="s">
        <v>61</v>
      </c>
      <c r="M393" s="1" t="s">
        <v>62</v>
      </c>
      <c r="N393" s="1">
        <v>-108.0</v>
      </c>
      <c r="O393" s="1">
        <v>0.162662273144201</v>
      </c>
      <c r="P393" s="1" t="s">
        <v>61</v>
      </c>
      <c r="Q393" s="1" t="s">
        <v>61</v>
      </c>
      <c r="R393" s="1">
        <f t="shared" si="1"/>
        <v>0.1626622731</v>
      </c>
      <c r="S393" s="1">
        <f t="shared" si="2"/>
        <v>-108</v>
      </c>
      <c r="T393" s="1">
        <f t="shared" si="3"/>
        <v>1.925925926</v>
      </c>
      <c r="U393" s="1">
        <f t="shared" si="4"/>
        <v>0</v>
      </c>
      <c r="V393" s="3">
        <f t="shared" si="5"/>
        <v>3</v>
      </c>
      <c r="W393" s="3">
        <f t="shared" si="6"/>
        <v>2</v>
      </c>
      <c r="X393" s="3" t="str">
        <f>IFERROR(__xludf.DUMMYFUNCTION("split(B393,"" "")"),"D.")</f>
        <v>D.</v>
      </c>
      <c r="Y393" s="3" t="str">
        <f>IFERROR(__xludf.DUMMYFUNCTION("""COMPUTED_VALUE"""),"Jones")</f>
        <v>Jones</v>
      </c>
      <c r="AA393" s="3">
        <v>11.0</v>
      </c>
      <c r="AB393" s="3">
        <f t="shared" si="7"/>
        <v>1</v>
      </c>
      <c r="AC393" s="3">
        <f t="shared" si="8"/>
        <v>0</v>
      </c>
      <c r="AD393" s="3">
        <f t="shared" si="9"/>
        <v>2.777777778</v>
      </c>
      <c r="AE393" s="3">
        <f t="shared" si="10"/>
        <v>-3</v>
      </c>
      <c r="AF393" s="3">
        <f t="shared" si="11"/>
        <v>-2</v>
      </c>
      <c r="AG393" s="3">
        <f t="shared" si="12"/>
        <v>-0.6923076923</v>
      </c>
    </row>
    <row r="394">
      <c r="A394" s="1" t="s">
        <v>12</v>
      </c>
      <c r="B394" s="1" t="s">
        <v>150</v>
      </c>
      <c r="C394" s="1" t="s">
        <v>18</v>
      </c>
      <c r="D394" s="1" t="s">
        <v>147</v>
      </c>
      <c r="E394" s="1" t="s">
        <v>82</v>
      </c>
      <c r="F394" s="1" t="s">
        <v>582</v>
      </c>
      <c r="G394" s="1">
        <v>1.5</v>
      </c>
      <c r="H394" s="1" t="s">
        <v>60</v>
      </c>
      <c r="I394" s="1">
        <v>-154.0</v>
      </c>
      <c r="J394" s="1">
        <v>-0.203176806224409</v>
      </c>
      <c r="K394" s="1" t="s">
        <v>61</v>
      </c>
      <c r="L394" s="1" t="s">
        <v>61</v>
      </c>
      <c r="M394" s="1" t="s">
        <v>62</v>
      </c>
      <c r="N394" s="1">
        <v>118.0</v>
      </c>
      <c r="O394" s="1">
        <v>0.138174810922018</v>
      </c>
      <c r="P394" s="1" t="s">
        <v>61</v>
      </c>
      <c r="Q394" s="1" t="s">
        <v>61</v>
      </c>
      <c r="R394" s="1">
        <f t="shared" si="1"/>
        <v>0.1381748109</v>
      </c>
      <c r="S394" s="1">
        <f t="shared" si="2"/>
        <v>118</v>
      </c>
      <c r="T394" s="1">
        <f t="shared" si="3"/>
        <v>2.18</v>
      </c>
      <c r="U394" s="1">
        <f t="shared" si="4"/>
        <v>0</v>
      </c>
      <c r="V394" s="3">
        <f t="shared" si="5"/>
        <v>3</v>
      </c>
      <c r="W394" s="3">
        <f t="shared" si="6"/>
        <v>1</v>
      </c>
      <c r="X394" s="3" t="str">
        <f>IFERROR(__xludf.DUMMYFUNCTION("split(B394,"" "")"),"J.")</f>
        <v>J.</v>
      </c>
      <c r="Y394" s="3" t="str">
        <f>IFERROR(__xludf.DUMMYFUNCTION("""COMPUTED_VALUE"""),"Hyatt")</f>
        <v>Hyatt</v>
      </c>
      <c r="AA394" s="3">
        <v>0.0</v>
      </c>
      <c r="AB394" s="3">
        <f t="shared" si="7"/>
        <v>0</v>
      </c>
      <c r="AC394" s="3">
        <f t="shared" si="8"/>
        <v>1</v>
      </c>
      <c r="AD394" s="3">
        <f t="shared" si="9"/>
        <v>3.54</v>
      </c>
      <c r="AE394" s="3">
        <f t="shared" si="10"/>
        <v>3.54</v>
      </c>
      <c r="AF394" s="3">
        <f t="shared" si="11"/>
        <v>1.18</v>
      </c>
      <c r="AG394" s="3">
        <f t="shared" si="12"/>
        <v>1</v>
      </c>
    </row>
    <row r="395">
      <c r="A395" s="1" t="s">
        <v>14</v>
      </c>
      <c r="B395" s="1" t="s">
        <v>260</v>
      </c>
      <c r="C395" s="1" t="s">
        <v>21</v>
      </c>
      <c r="D395" s="1" t="s">
        <v>147</v>
      </c>
      <c r="E395" s="1" t="s">
        <v>82</v>
      </c>
      <c r="F395" s="1" t="s">
        <v>582</v>
      </c>
      <c r="G395" s="1">
        <v>0.5</v>
      </c>
      <c r="H395" s="1" t="s">
        <v>60</v>
      </c>
      <c r="I395" s="1">
        <v>-211.0</v>
      </c>
      <c r="J395" s="1">
        <v>-0.170554407652733</v>
      </c>
      <c r="K395" s="1" t="s">
        <v>61</v>
      </c>
      <c r="L395" s="1" t="s">
        <v>61</v>
      </c>
      <c r="M395" s="1" t="s">
        <v>62</v>
      </c>
      <c r="N395" s="1">
        <v>163.0</v>
      </c>
      <c r="O395" s="1">
        <v>0.111869280532319</v>
      </c>
      <c r="P395" s="1" t="s">
        <v>61</v>
      </c>
      <c r="Q395" s="1" t="s">
        <v>61</v>
      </c>
      <c r="R395" s="1">
        <f t="shared" si="1"/>
        <v>0.1118692805</v>
      </c>
      <c r="S395" s="1">
        <f t="shared" si="2"/>
        <v>163</v>
      </c>
      <c r="T395" s="1">
        <f t="shared" si="3"/>
        <v>2.63</v>
      </c>
      <c r="U395" s="1">
        <f t="shared" si="4"/>
        <v>0</v>
      </c>
      <c r="V395" s="3">
        <f t="shared" si="5"/>
        <v>3</v>
      </c>
      <c r="W395" s="3">
        <f t="shared" si="6"/>
        <v>1</v>
      </c>
      <c r="X395" s="3" t="str">
        <f>IFERROR(__xludf.DUMMYFUNCTION("split(B395,"" "")"),"D.")</f>
        <v>D.</v>
      </c>
      <c r="Y395" s="3" t="str">
        <f>IFERROR(__xludf.DUMMYFUNCTION("""COMPUTED_VALUE"""),"Jones")</f>
        <v>Jones</v>
      </c>
      <c r="AA395" s="3">
        <v>2.0</v>
      </c>
      <c r="AB395" s="3">
        <f t="shared" si="7"/>
        <v>1</v>
      </c>
      <c r="AC395" s="3">
        <f t="shared" si="8"/>
        <v>0</v>
      </c>
      <c r="AD395" s="3">
        <f t="shared" si="9"/>
        <v>4.89</v>
      </c>
      <c r="AE395" s="3">
        <f t="shared" si="10"/>
        <v>-3</v>
      </c>
      <c r="AF395" s="3">
        <f t="shared" si="11"/>
        <v>-1</v>
      </c>
      <c r="AG395" s="3">
        <f t="shared" si="12"/>
        <v>-3</v>
      </c>
    </row>
    <row r="396">
      <c r="A396" s="1" t="s">
        <v>9</v>
      </c>
      <c r="B396" s="1" t="s">
        <v>150</v>
      </c>
      <c r="C396" s="1" t="s">
        <v>18</v>
      </c>
      <c r="D396" s="1" t="s">
        <v>147</v>
      </c>
      <c r="E396" s="1" t="s">
        <v>82</v>
      </c>
      <c r="F396" s="1" t="s">
        <v>582</v>
      </c>
      <c r="G396" s="1">
        <v>22.5</v>
      </c>
      <c r="H396" s="1" t="s">
        <v>60</v>
      </c>
      <c r="I396" s="1">
        <v>-117.0</v>
      </c>
      <c r="J396" s="1">
        <v>0.0985013818949069</v>
      </c>
      <c r="K396" s="1" t="s">
        <v>61</v>
      </c>
      <c r="L396" s="1" t="s">
        <v>61</v>
      </c>
      <c r="M396" s="1" t="s">
        <v>62</v>
      </c>
      <c r="N396" s="1">
        <v>-115.0</v>
      </c>
      <c r="O396" s="1">
        <v>-0.172502883031972</v>
      </c>
      <c r="P396" s="1" t="s">
        <v>61</v>
      </c>
      <c r="Q396" s="1" t="s">
        <v>61</v>
      </c>
      <c r="R396" s="1">
        <f t="shared" si="1"/>
        <v>0.09850138189</v>
      </c>
      <c r="S396" s="1">
        <f t="shared" si="2"/>
        <v>-117</v>
      </c>
      <c r="T396" s="1">
        <f t="shared" si="3"/>
        <v>1.854700855</v>
      </c>
      <c r="U396" s="1">
        <f t="shared" si="4"/>
        <v>1</v>
      </c>
      <c r="V396" s="3">
        <f t="shared" si="5"/>
        <v>2</v>
      </c>
      <c r="W396" s="3">
        <f t="shared" si="6"/>
        <v>2</v>
      </c>
      <c r="X396" s="3" t="str">
        <f>IFERROR(__xludf.DUMMYFUNCTION("split(B396,"" "")"),"J.")</f>
        <v>J.</v>
      </c>
      <c r="Y396" s="3" t="str">
        <f>IFERROR(__xludf.DUMMYFUNCTION("""COMPUTED_VALUE"""),"Hyatt")</f>
        <v>Hyatt</v>
      </c>
      <c r="AA396" s="3">
        <v>0.0</v>
      </c>
      <c r="AB396" s="3">
        <f t="shared" si="7"/>
        <v>0</v>
      </c>
      <c r="AC396" s="3">
        <f t="shared" si="8"/>
        <v>0</v>
      </c>
      <c r="AD396" s="3">
        <f t="shared" si="9"/>
        <v>1.709401709</v>
      </c>
      <c r="AE396" s="3">
        <f t="shared" si="10"/>
        <v>-2</v>
      </c>
      <c r="AF396" s="3">
        <f t="shared" si="11"/>
        <v>-2</v>
      </c>
      <c r="AG396" s="3">
        <f t="shared" si="12"/>
        <v>-1</v>
      </c>
    </row>
    <row r="397">
      <c r="A397" s="1" t="s">
        <v>12</v>
      </c>
      <c r="B397" s="1" t="s">
        <v>568</v>
      </c>
      <c r="C397" s="1" t="s">
        <v>19</v>
      </c>
      <c r="D397" s="1" t="s">
        <v>147</v>
      </c>
      <c r="E397" s="1" t="s">
        <v>82</v>
      </c>
      <c r="F397" s="1" t="s">
        <v>582</v>
      </c>
      <c r="G397" s="1">
        <v>2.5</v>
      </c>
      <c r="H397" s="1" t="s">
        <v>60</v>
      </c>
      <c r="I397" s="1">
        <v>-105.0</v>
      </c>
      <c r="J397" s="1">
        <v>-0.154593033365853</v>
      </c>
      <c r="K397" s="1" t="s">
        <v>61</v>
      </c>
      <c r="L397" s="1" t="s">
        <v>61</v>
      </c>
      <c r="M397" s="1" t="s">
        <v>62</v>
      </c>
      <c r="N397" s="1">
        <v>-126.0</v>
      </c>
      <c r="O397" s="1">
        <v>0.0848754890194689</v>
      </c>
      <c r="P397" s="1" t="s">
        <v>61</v>
      </c>
      <c r="Q397" s="1" t="s">
        <v>61</v>
      </c>
      <c r="R397" s="1">
        <f t="shared" si="1"/>
        <v>0.08487548902</v>
      </c>
      <c r="S397" s="1">
        <f t="shared" si="2"/>
        <v>-126</v>
      </c>
      <c r="T397" s="1">
        <f t="shared" si="3"/>
        <v>1.793650794</v>
      </c>
      <c r="U397" s="1">
        <f t="shared" si="4"/>
        <v>0</v>
      </c>
      <c r="V397" s="3">
        <f t="shared" si="5"/>
        <v>2</v>
      </c>
      <c r="W397" s="3">
        <f t="shared" si="6"/>
        <v>3</v>
      </c>
      <c r="X397" s="3" t="str">
        <f>IFERROR(__xludf.DUMMYFUNCTION("split(B397,"" "")"),"T.")</f>
        <v>T.</v>
      </c>
      <c r="Y397" s="3" t="str">
        <f>IFERROR(__xludf.DUMMYFUNCTION("""COMPUTED_VALUE"""),"Tracy")</f>
        <v>Tracy</v>
      </c>
      <c r="AA397" s="3">
        <v>1.0</v>
      </c>
      <c r="AB397" s="3">
        <f t="shared" si="7"/>
        <v>0</v>
      </c>
      <c r="AC397" s="3">
        <f t="shared" si="8"/>
        <v>1</v>
      </c>
      <c r="AD397" s="3">
        <f t="shared" si="9"/>
        <v>1.587301587</v>
      </c>
      <c r="AE397" s="3">
        <f t="shared" si="10"/>
        <v>1.587301587</v>
      </c>
      <c r="AF397" s="3">
        <f t="shared" si="11"/>
        <v>2.380952381</v>
      </c>
      <c r="AG397" s="3">
        <f t="shared" si="12"/>
        <v>0.6</v>
      </c>
    </row>
    <row r="398">
      <c r="A398" s="1" t="s">
        <v>12</v>
      </c>
      <c r="B398" s="1" t="s">
        <v>477</v>
      </c>
      <c r="C398" s="1" t="s">
        <v>20</v>
      </c>
      <c r="D398" s="1" t="s">
        <v>147</v>
      </c>
      <c r="E398" s="1" t="s">
        <v>82</v>
      </c>
      <c r="F398" s="1" t="s">
        <v>582</v>
      </c>
      <c r="G398" s="1">
        <v>2.5</v>
      </c>
      <c r="H398" s="1" t="s">
        <v>60</v>
      </c>
      <c r="I398" s="1">
        <v>134.0</v>
      </c>
      <c r="J398" s="1">
        <v>-0.150945982959829</v>
      </c>
      <c r="K398" s="1" t="s">
        <v>61</v>
      </c>
      <c r="L398" s="1" t="s">
        <v>61</v>
      </c>
      <c r="M398" s="1" t="s">
        <v>62</v>
      </c>
      <c r="N398" s="1">
        <v>-178.0</v>
      </c>
      <c r="O398" s="1">
        <v>0.0833072608784172</v>
      </c>
      <c r="P398" s="1" t="s">
        <v>61</v>
      </c>
      <c r="Q398" s="1" t="s">
        <v>61</v>
      </c>
      <c r="R398" s="1">
        <f t="shared" si="1"/>
        <v>0.08330726088</v>
      </c>
      <c r="S398" s="1">
        <f t="shared" si="2"/>
        <v>-178</v>
      </c>
      <c r="T398" s="1">
        <f t="shared" si="3"/>
        <v>1.561797753</v>
      </c>
      <c r="U398" s="1">
        <f t="shared" si="4"/>
        <v>0</v>
      </c>
      <c r="V398" s="3">
        <f t="shared" si="5"/>
        <v>2</v>
      </c>
      <c r="W398" s="3">
        <f t="shared" si="6"/>
        <v>3</v>
      </c>
      <c r="X398" s="3" t="str">
        <f>IFERROR(__xludf.DUMMYFUNCTION("split(B398,"" "")"),"T.")</f>
        <v>T.</v>
      </c>
      <c r="Y398" s="3" t="str">
        <f>IFERROR(__xludf.DUMMYFUNCTION("""COMPUTED_VALUE"""),"Johnson")</f>
        <v>Johnson</v>
      </c>
      <c r="AA398" s="3">
        <v>5.0</v>
      </c>
      <c r="AB398" s="3">
        <f t="shared" si="7"/>
        <v>1</v>
      </c>
      <c r="AC398" s="3">
        <f t="shared" si="8"/>
        <v>0</v>
      </c>
      <c r="AD398" s="3">
        <f t="shared" si="9"/>
        <v>1.123595506</v>
      </c>
      <c r="AE398" s="3">
        <f t="shared" si="10"/>
        <v>-2</v>
      </c>
      <c r="AF398" s="3">
        <f t="shared" si="11"/>
        <v>-3</v>
      </c>
      <c r="AG398" s="3">
        <f t="shared" si="12"/>
        <v>-1</v>
      </c>
    </row>
    <row r="399">
      <c r="A399" s="1" t="s">
        <v>12</v>
      </c>
      <c r="B399" s="1" t="s">
        <v>483</v>
      </c>
      <c r="C399" s="1" t="s">
        <v>18</v>
      </c>
      <c r="D399" s="1" t="s">
        <v>147</v>
      </c>
      <c r="E399" s="1" t="s">
        <v>82</v>
      </c>
      <c r="F399" s="1" t="s">
        <v>582</v>
      </c>
      <c r="G399" s="1">
        <v>3.5</v>
      </c>
      <c r="H399" s="1" t="s">
        <v>60</v>
      </c>
      <c r="I399" s="1">
        <v>-118.0</v>
      </c>
      <c r="J399" s="1">
        <v>-0.124984403669724</v>
      </c>
      <c r="K399" s="1" t="s">
        <v>61</v>
      </c>
      <c r="L399" s="1" t="s">
        <v>61</v>
      </c>
      <c r="M399" s="1" t="s">
        <v>62</v>
      </c>
      <c r="N399" s="1">
        <v>-112.0</v>
      </c>
      <c r="O399" s="1">
        <v>0.0553981132075471</v>
      </c>
      <c r="P399" s="1" t="s">
        <v>61</v>
      </c>
      <c r="Q399" s="1" t="s">
        <v>61</v>
      </c>
      <c r="R399" s="1">
        <f t="shared" si="1"/>
        <v>0.05539811321</v>
      </c>
      <c r="S399" s="1">
        <f t="shared" si="2"/>
        <v>-112</v>
      </c>
      <c r="T399" s="1">
        <f t="shared" si="3"/>
        <v>1.892857143</v>
      </c>
      <c r="U399" s="1">
        <f t="shared" si="4"/>
        <v>0</v>
      </c>
      <c r="V399" s="3">
        <f t="shared" si="5"/>
        <v>2</v>
      </c>
      <c r="W399" s="3">
        <f t="shared" si="6"/>
        <v>2</v>
      </c>
      <c r="X399" s="3" t="str">
        <f>IFERROR(__xludf.DUMMYFUNCTION("split(B399,"" "")"),"D.")</f>
        <v>D.</v>
      </c>
      <c r="Y399" s="3" t="str">
        <f>IFERROR(__xludf.DUMMYFUNCTION("""COMPUTED_VALUE"""),"Slayton")</f>
        <v>Slayton</v>
      </c>
      <c r="AA399" s="3">
        <v>8.0</v>
      </c>
      <c r="AB399" s="3">
        <f t="shared" si="7"/>
        <v>1</v>
      </c>
      <c r="AC399" s="3">
        <f t="shared" si="8"/>
        <v>0</v>
      </c>
      <c r="AD399" s="3">
        <f t="shared" si="9"/>
        <v>1.785714286</v>
      </c>
      <c r="AE399" s="3">
        <f t="shared" si="10"/>
        <v>-2</v>
      </c>
      <c r="AF399" s="3">
        <f t="shared" si="11"/>
        <v>-2</v>
      </c>
      <c r="AG399" s="3">
        <f t="shared" si="12"/>
        <v>-1.285714286</v>
      </c>
    </row>
    <row r="400">
      <c r="A400" s="1" t="s">
        <v>13</v>
      </c>
      <c r="B400" s="1" t="s">
        <v>260</v>
      </c>
      <c r="C400" s="1" t="s">
        <v>21</v>
      </c>
      <c r="D400" s="1" t="s">
        <v>147</v>
      </c>
      <c r="E400" s="1" t="s">
        <v>82</v>
      </c>
      <c r="F400" s="1" t="s">
        <v>582</v>
      </c>
      <c r="G400" s="1">
        <v>183.0</v>
      </c>
      <c r="H400" s="1" t="s">
        <v>60</v>
      </c>
      <c r="I400" s="1">
        <v>-111.0</v>
      </c>
      <c r="J400" s="1">
        <v>0.0518598631753552</v>
      </c>
      <c r="K400" s="1" t="s">
        <v>61</v>
      </c>
      <c r="L400" s="1" t="s">
        <v>61</v>
      </c>
      <c r="M400" s="1" t="s">
        <v>62</v>
      </c>
      <c r="N400" s="1">
        <v>-116.0</v>
      </c>
      <c r="O400" s="1">
        <v>-0.114593926438888</v>
      </c>
      <c r="P400" s="1" t="s">
        <v>61</v>
      </c>
      <c r="Q400" s="1" t="s">
        <v>61</v>
      </c>
      <c r="R400" s="1">
        <f t="shared" si="1"/>
        <v>0.05185986318</v>
      </c>
      <c r="S400" s="1">
        <f t="shared" si="2"/>
        <v>-111</v>
      </c>
      <c r="T400" s="1">
        <f t="shared" si="3"/>
        <v>1.900900901</v>
      </c>
      <c r="U400" s="1">
        <f t="shared" si="4"/>
        <v>1</v>
      </c>
      <c r="V400" s="3">
        <f t="shared" si="5"/>
        <v>2</v>
      </c>
      <c r="W400" s="3">
        <f t="shared" si="6"/>
        <v>2</v>
      </c>
      <c r="X400" s="3" t="str">
        <f>IFERROR(__xludf.DUMMYFUNCTION("split(B400,"" "")"),"D.")</f>
        <v>D.</v>
      </c>
      <c r="Y400" s="3" t="str">
        <f>IFERROR(__xludf.DUMMYFUNCTION("""COMPUTED_VALUE"""),"Jones")</f>
        <v>Jones</v>
      </c>
      <c r="AA400" s="3">
        <v>257.0</v>
      </c>
      <c r="AB400" s="3">
        <f t="shared" si="7"/>
        <v>1</v>
      </c>
      <c r="AC400" s="3">
        <f t="shared" si="8"/>
        <v>1</v>
      </c>
      <c r="AD400" s="3">
        <f t="shared" si="9"/>
        <v>1.801801802</v>
      </c>
      <c r="AE400" s="3">
        <f t="shared" si="10"/>
        <v>1.801801802</v>
      </c>
      <c r="AF400" s="3">
        <f t="shared" si="11"/>
        <v>1.801801802</v>
      </c>
      <c r="AG400" s="3">
        <f t="shared" si="12"/>
        <v>0.4043715847</v>
      </c>
    </row>
    <row r="401">
      <c r="A401" s="1" t="s">
        <v>17</v>
      </c>
      <c r="B401" s="1" t="s">
        <v>260</v>
      </c>
      <c r="C401" s="1" t="s">
        <v>21</v>
      </c>
      <c r="D401" s="1" t="s">
        <v>147</v>
      </c>
      <c r="E401" s="1" t="s">
        <v>82</v>
      </c>
      <c r="F401" s="1" t="s">
        <v>582</v>
      </c>
      <c r="G401" s="1">
        <v>0.5</v>
      </c>
      <c r="H401" s="1" t="s">
        <v>60</v>
      </c>
      <c r="I401" s="1">
        <v>-123.0</v>
      </c>
      <c r="J401" s="1">
        <v>-0.103214349775784</v>
      </c>
      <c r="K401" s="1" t="s">
        <v>61</v>
      </c>
      <c r="L401" s="1" t="s">
        <v>61</v>
      </c>
      <c r="M401" s="1" t="s">
        <v>62</v>
      </c>
      <c r="N401" s="1">
        <v>-107.0</v>
      </c>
      <c r="O401" s="1">
        <v>0.0347434782608696</v>
      </c>
      <c r="P401" s="1" t="s">
        <v>61</v>
      </c>
      <c r="Q401" s="1" t="s">
        <v>61</v>
      </c>
      <c r="R401" s="1">
        <f t="shared" si="1"/>
        <v>0.03474347826</v>
      </c>
      <c r="S401" s="1">
        <f t="shared" si="2"/>
        <v>-107</v>
      </c>
      <c r="T401" s="1">
        <f t="shared" si="3"/>
        <v>1.934579439</v>
      </c>
      <c r="U401" s="1">
        <f t="shared" si="4"/>
        <v>0</v>
      </c>
      <c r="V401" s="3">
        <f t="shared" si="5"/>
        <v>1</v>
      </c>
      <c r="W401" s="3">
        <f t="shared" si="6"/>
        <v>2</v>
      </c>
      <c r="X401" s="3" t="str">
        <f>IFERROR(__xludf.DUMMYFUNCTION("split(B401,"" "")"),"D.")</f>
        <v>D.</v>
      </c>
      <c r="Y401" s="3" t="str">
        <f>IFERROR(__xludf.DUMMYFUNCTION("""COMPUTED_VALUE"""),"Jones")</f>
        <v>Jones</v>
      </c>
      <c r="AA401" s="3">
        <v>0.0</v>
      </c>
      <c r="AB401" s="3">
        <f t="shared" si="7"/>
        <v>0</v>
      </c>
      <c r="AC401" s="3">
        <f t="shared" si="8"/>
        <v>1</v>
      </c>
      <c r="AD401" s="3">
        <f t="shared" si="9"/>
        <v>0.9345794393</v>
      </c>
      <c r="AE401" s="3">
        <f t="shared" si="10"/>
        <v>0.9345794393</v>
      </c>
      <c r="AF401" s="3">
        <f t="shared" si="11"/>
        <v>1.869158879</v>
      </c>
      <c r="AG401" s="3">
        <f t="shared" si="12"/>
        <v>1</v>
      </c>
    </row>
    <row r="402">
      <c r="A402" s="1" t="s">
        <v>10</v>
      </c>
      <c r="B402" s="1" t="s">
        <v>260</v>
      </c>
      <c r="C402" s="1" t="s">
        <v>21</v>
      </c>
      <c r="D402" s="1" t="s">
        <v>147</v>
      </c>
      <c r="E402" s="1" t="s">
        <v>82</v>
      </c>
      <c r="F402" s="1" t="s">
        <v>582</v>
      </c>
      <c r="G402" s="1">
        <v>31.5</v>
      </c>
      <c r="H402" s="1" t="s">
        <v>60</v>
      </c>
      <c r="I402" s="1">
        <v>-111.0</v>
      </c>
      <c r="J402" s="1">
        <v>-0.0857195464317114</v>
      </c>
      <c r="K402" s="1" t="s">
        <v>61</v>
      </c>
      <c r="L402" s="1" t="s">
        <v>61</v>
      </c>
      <c r="M402" s="1" t="s">
        <v>62</v>
      </c>
      <c r="N402" s="1">
        <v>-116.0</v>
      </c>
      <c r="O402" s="1">
        <v>0.0226232415954892</v>
      </c>
      <c r="P402" s="1" t="s">
        <v>61</v>
      </c>
      <c r="Q402" s="1" t="s">
        <v>61</v>
      </c>
      <c r="R402" s="1">
        <f t="shared" si="1"/>
        <v>0.0226232416</v>
      </c>
      <c r="S402" s="1">
        <f t="shared" si="2"/>
        <v>-116</v>
      </c>
      <c r="T402" s="1">
        <f t="shared" si="3"/>
        <v>1.862068966</v>
      </c>
      <c r="U402" s="1">
        <f t="shared" si="4"/>
        <v>0</v>
      </c>
      <c r="V402" s="3">
        <f t="shared" si="5"/>
        <v>1</v>
      </c>
      <c r="W402" s="3">
        <f t="shared" si="6"/>
        <v>2</v>
      </c>
      <c r="X402" s="3" t="str">
        <f>IFERROR(__xludf.DUMMYFUNCTION("split(B402,"" "")"),"D.")</f>
        <v>D.</v>
      </c>
      <c r="Y402" s="3" t="str">
        <f>IFERROR(__xludf.DUMMYFUNCTION("""COMPUTED_VALUE"""),"Jones")</f>
        <v>Jones</v>
      </c>
      <c r="AA402" s="3">
        <v>38.0</v>
      </c>
      <c r="AB402" s="3">
        <f t="shared" si="7"/>
        <v>1</v>
      </c>
      <c r="AC402" s="3">
        <f t="shared" si="8"/>
        <v>0</v>
      </c>
      <c r="AD402" s="3">
        <f t="shared" si="9"/>
        <v>0.8620689655</v>
      </c>
      <c r="AE402" s="3">
        <f t="shared" si="10"/>
        <v>-1</v>
      </c>
      <c r="AF402" s="3">
        <f t="shared" si="11"/>
        <v>-2</v>
      </c>
      <c r="AG402" s="3">
        <f t="shared" si="12"/>
        <v>-0.2063492063</v>
      </c>
    </row>
    <row r="403">
      <c r="A403" s="1" t="s">
        <v>9</v>
      </c>
      <c r="B403" s="1" t="s">
        <v>354</v>
      </c>
      <c r="C403" s="1" t="s">
        <v>18</v>
      </c>
      <c r="D403" s="1" t="s">
        <v>147</v>
      </c>
      <c r="E403" s="1" t="s">
        <v>82</v>
      </c>
      <c r="F403" s="1" t="s">
        <v>582</v>
      </c>
      <c r="G403" s="1">
        <v>52.5</v>
      </c>
      <c r="H403" s="1" t="s">
        <v>60</v>
      </c>
      <c r="I403" s="1">
        <v>-115.0</v>
      </c>
      <c r="J403" s="1">
        <v>0.0199868175919799</v>
      </c>
      <c r="K403" s="1" t="s">
        <v>61</v>
      </c>
      <c r="L403" s="1" t="s">
        <v>61</v>
      </c>
      <c r="M403" s="1" t="s">
        <v>62</v>
      </c>
      <c r="N403" s="1">
        <v>-118.0</v>
      </c>
      <c r="O403" s="1">
        <v>-0.0961501175370885</v>
      </c>
      <c r="P403" s="1" t="s">
        <v>61</v>
      </c>
      <c r="Q403" s="1" t="s">
        <v>61</v>
      </c>
      <c r="R403" s="1">
        <f t="shared" si="1"/>
        <v>0.01998681759</v>
      </c>
      <c r="S403" s="1">
        <f t="shared" si="2"/>
        <v>-115</v>
      </c>
      <c r="T403" s="1">
        <f t="shared" si="3"/>
        <v>1.869565217</v>
      </c>
      <c r="U403" s="1">
        <f t="shared" si="4"/>
        <v>1</v>
      </c>
      <c r="V403" s="3">
        <f t="shared" si="5"/>
        <v>1</v>
      </c>
      <c r="W403" s="3">
        <f t="shared" si="6"/>
        <v>2</v>
      </c>
      <c r="X403" s="3" t="str">
        <f>IFERROR(__xludf.DUMMYFUNCTION("split(B403,"" "")"),"W.")</f>
        <v>W.</v>
      </c>
      <c r="Y403" s="3" t="str">
        <f>IFERROR(__xludf.DUMMYFUNCTION("""COMPUTED_VALUE"""),"Robinson")</f>
        <v>Robinson</v>
      </c>
      <c r="AA403" s="3">
        <v>40.0</v>
      </c>
      <c r="AB403" s="3">
        <f t="shared" si="7"/>
        <v>0</v>
      </c>
      <c r="AC403" s="3">
        <f t="shared" si="8"/>
        <v>0</v>
      </c>
      <c r="AD403" s="3">
        <f t="shared" si="9"/>
        <v>0.8695652174</v>
      </c>
      <c r="AE403" s="3">
        <f t="shared" si="10"/>
        <v>-1</v>
      </c>
      <c r="AF403" s="3">
        <f t="shared" si="11"/>
        <v>-2</v>
      </c>
      <c r="AG403" s="3">
        <f t="shared" si="12"/>
        <v>-0.2380952381</v>
      </c>
    </row>
    <row r="404">
      <c r="A404" s="1" t="s">
        <v>15</v>
      </c>
      <c r="B404" s="1" t="s">
        <v>260</v>
      </c>
      <c r="C404" s="1" t="s">
        <v>21</v>
      </c>
      <c r="D404" s="1" t="s">
        <v>147</v>
      </c>
      <c r="E404" s="1" t="s">
        <v>82</v>
      </c>
      <c r="F404" s="1" t="s">
        <v>582</v>
      </c>
      <c r="G404" s="1">
        <v>19.5</v>
      </c>
      <c r="H404" s="1" t="s">
        <v>60</v>
      </c>
      <c r="I404" s="1">
        <v>-109.0</v>
      </c>
      <c r="J404" s="1">
        <v>0.0164723327751197</v>
      </c>
      <c r="K404" s="1" t="s">
        <v>61</v>
      </c>
      <c r="L404" s="1" t="s">
        <v>61</v>
      </c>
      <c r="M404" s="1" t="s">
        <v>62</v>
      </c>
      <c r="N404" s="1">
        <v>-121.0</v>
      </c>
      <c r="O404" s="1">
        <v>-0.0855152408846154</v>
      </c>
      <c r="P404" s="1" t="s">
        <v>61</v>
      </c>
      <c r="Q404" s="1" t="s">
        <v>61</v>
      </c>
      <c r="R404" s="1">
        <f t="shared" si="1"/>
        <v>0.01647233278</v>
      </c>
      <c r="S404" s="1">
        <f t="shared" si="2"/>
        <v>-109</v>
      </c>
      <c r="T404" s="1">
        <f t="shared" si="3"/>
        <v>1.917431193</v>
      </c>
      <c r="U404" s="1">
        <f t="shared" si="4"/>
        <v>1</v>
      </c>
      <c r="V404" s="3">
        <f t="shared" si="5"/>
        <v>1</v>
      </c>
      <c r="W404" s="3">
        <f t="shared" si="6"/>
        <v>2</v>
      </c>
      <c r="X404" s="3" t="str">
        <f>IFERROR(__xludf.DUMMYFUNCTION("split(B404,"" "")"),"D.")</f>
        <v>D.</v>
      </c>
      <c r="Y404" s="3" t="str">
        <f>IFERROR(__xludf.DUMMYFUNCTION("""COMPUTED_VALUE"""),"Jones")</f>
        <v>Jones</v>
      </c>
      <c r="AA404" s="3">
        <v>23.0</v>
      </c>
      <c r="AB404" s="3">
        <f t="shared" si="7"/>
        <v>1</v>
      </c>
      <c r="AC404" s="3">
        <f t="shared" si="8"/>
        <v>1</v>
      </c>
      <c r="AD404" s="3">
        <f t="shared" si="9"/>
        <v>0.9174311927</v>
      </c>
      <c r="AE404" s="3">
        <f t="shared" si="10"/>
        <v>0.9174311927</v>
      </c>
      <c r="AF404" s="3">
        <f t="shared" si="11"/>
        <v>1.834862385</v>
      </c>
      <c r="AG404" s="3">
        <f t="shared" si="12"/>
        <v>0.1794871795</v>
      </c>
    </row>
    <row r="405">
      <c r="A405" s="1" t="s">
        <v>8</v>
      </c>
      <c r="B405" s="1" t="s">
        <v>568</v>
      </c>
      <c r="C405" s="1" t="s">
        <v>19</v>
      </c>
      <c r="D405" s="1" t="s">
        <v>147</v>
      </c>
      <c r="E405" s="1" t="s">
        <v>82</v>
      </c>
      <c r="F405" s="1" t="s">
        <v>582</v>
      </c>
      <c r="G405" s="1">
        <v>12.5</v>
      </c>
      <c r="H405" s="1" t="s">
        <v>60</v>
      </c>
      <c r="I405" s="1">
        <v>-105.0</v>
      </c>
      <c r="J405" s="1">
        <v>-0.0759940827717072</v>
      </c>
      <c r="K405" s="1" t="s">
        <v>61</v>
      </c>
      <c r="L405" s="1" t="s">
        <v>61</v>
      </c>
      <c r="M405" s="1" t="s">
        <v>62</v>
      </c>
      <c r="N405" s="1">
        <v>-124.0</v>
      </c>
      <c r="O405" s="1">
        <v>0.0102273921453929</v>
      </c>
      <c r="P405" s="1" t="s">
        <v>61</v>
      </c>
      <c r="Q405" s="1" t="s">
        <v>61</v>
      </c>
      <c r="R405" s="1">
        <f t="shared" si="1"/>
        <v>0.01022739215</v>
      </c>
      <c r="S405" s="1">
        <f t="shared" si="2"/>
        <v>-124</v>
      </c>
      <c r="T405" s="1">
        <f t="shared" si="3"/>
        <v>1.806451613</v>
      </c>
      <c r="U405" s="1">
        <f t="shared" si="4"/>
        <v>0</v>
      </c>
      <c r="V405" s="3">
        <f t="shared" si="5"/>
        <v>1</v>
      </c>
      <c r="W405" s="3">
        <f t="shared" si="6"/>
        <v>3</v>
      </c>
      <c r="X405" s="3" t="str">
        <f>IFERROR(__xludf.DUMMYFUNCTION("split(B405,"" "")"),"T.")</f>
        <v>T.</v>
      </c>
      <c r="Y405" s="3" t="str">
        <f>IFERROR(__xludf.DUMMYFUNCTION("""COMPUTED_VALUE"""),"Tracy")</f>
        <v>Tracy</v>
      </c>
      <c r="AA405" s="3">
        <v>18.0</v>
      </c>
      <c r="AB405" s="3">
        <f t="shared" si="7"/>
        <v>1</v>
      </c>
      <c r="AC405" s="3">
        <f t="shared" si="8"/>
        <v>0</v>
      </c>
      <c r="AD405" s="3">
        <f t="shared" si="9"/>
        <v>0.8064516129</v>
      </c>
      <c r="AE405" s="3">
        <f t="shared" si="10"/>
        <v>-1</v>
      </c>
      <c r="AF405" s="3">
        <f t="shared" si="11"/>
        <v>-3</v>
      </c>
      <c r="AG405" s="3">
        <f t="shared" si="12"/>
        <v>-0.44</v>
      </c>
    </row>
    <row r="406">
      <c r="A406" s="1" t="s">
        <v>11</v>
      </c>
      <c r="B406" s="1" t="s">
        <v>477</v>
      </c>
      <c r="C406" s="1" t="s">
        <v>20</v>
      </c>
      <c r="D406" s="1" t="s">
        <v>147</v>
      </c>
      <c r="E406" s="1" t="s">
        <v>82</v>
      </c>
      <c r="F406" s="1" t="s">
        <v>582</v>
      </c>
      <c r="G406" s="1">
        <v>18.5</v>
      </c>
      <c r="H406" s="1" t="s">
        <v>60</v>
      </c>
      <c r="I406" s="1">
        <v>-105.0</v>
      </c>
      <c r="J406" s="1">
        <v>-0.0699611158770878</v>
      </c>
      <c r="K406" s="1" t="s">
        <v>61</v>
      </c>
      <c r="L406" s="1" t="s">
        <v>61</v>
      </c>
      <c r="M406" s="1" t="s">
        <v>62</v>
      </c>
      <c r="N406" s="1">
        <v>-123.0</v>
      </c>
      <c r="O406" s="1">
        <v>0.00623125725743356</v>
      </c>
      <c r="P406" s="1" t="s">
        <v>61</v>
      </c>
      <c r="Q406" s="1" t="s">
        <v>61</v>
      </c>
      <c r="R406" s="1">
        <f t="shared" si="1"/>
        <v>0.006231257257</v>
      </c>
      <c r="S406" s="1">
        <f t="shared" si="2"/>
        <v>-123</v>
      </c>
      <c r="T406" s="1">
        <f t="shared" si="3"/>
        <v>1.81300813</v>
      </c>
      <c r="U406" s="1">
        <f t="shared" si="4"/>
        <v>0</v>
      </c>
      <c r="V406" s="3">
        <f t="shared" si="5"/>
        <v>1</v>
      </c>
      <c r="W406" s="3">
        <f t="shared" si="6"/>
        <v>3</v>
      </c>
      <c r="X406" s="3" t="str">
        <f>IFERROR(__xludf.DUMMYFUNCTION("split(B406,"" "")"),"T.")</f>
        <v>T.</v>
      </c>
      <c r="Y406" s="3" t="str">
        <f>IFERROR(__xludf.DUMMYFUNCTION("""COMPUTED_VALUE"""),"Johnson")</f>
        <v>Johnson</v>
      </c>
      <c r="AA406" s="3">
        <v>48.0</v>
      </c>
      <c r="AB406" s="3">
        <f t="shared" si="7"/>
        <v>1</v>
      </c>
      <c r="AC406" s="3">
        <f t="shared" si="8"/>
        <v>0</v>
      </c>
      <c r="AD406" s="3">
        <f t="shared" si="9"/>
        <v>0.8130081301</v>
      </c>
      <c r="AE406" s="3">
        <f t="shared" si="10"/>
        <v>-1</v>
      </c>
      <c r="AF406" s="3">
        <f t="shared" si="11"/>
        <v>-3</v>
      </c>
      <c r="AG406" s="3">
        <f t="shared" si="12"/>
        <v>-1.594594595</v>
      </c>
    </row>
    <row r="407">
      <c r="A407" s="1" t="s">
        <v>10</v>
      </c>
      <c r="B407" s="1" t="s">
        <v>599</v>
      </c>
      <c r="C407" s="1" t="s">
        <v>19</v>
      </c>
      <c r="D407" s="1" t="s">
        <v>147</v>
      </c>
      <c r="E407" s="1" t="s">
        <v>82</v>
      </c>
      <c r="F407" s="1" t="s">
        <v>582</v>
      </c>
      <c r="G407" s="1">
        <v>17.5</v>
      </c>
      <c r="H407" s="1" t="s">
        <v>60</v>
      </c>
      <c r="I407" s="1">
        <v>-116.0</v>
      </c>
      <c r="J407" s="1">
        <v>-0.0702032698452034</v>
      </c>
      <c r="K407" s="1" t="s">
        <v>61</v>
      </c>
      <c r="L407" s="1" t="s">
        <v>61</v>
      </c>
      <c r="M407" s="1" t="s">
        <v>62</v>
      </c>
      <c r="N407" s="1">
        <v>-112.0</v>
      </c>
      <c r="O407" s="1">
        <v>0.00490192000448874</v>
      </c>
      <c r="P407" s="1" t="s">
        <v>61</v>
      </c>
      <c r="Q407" s="1" t="s">
        <v>61</v>
      </c>
      <c r="R407" s="1">
        <f t="shared" si="1"/>
        <v>0.004901920004</v>
      </c>
      <c r="S407" s="1">
        <f t="shared" si="2"/>
        <v>-112</v>
      </c>
      <c r="T407" s="1">
        <f t="shared" si="3"/>
        <v>1.892857143</v>
      </c>
      <c r="U407" s="1">
        <f t="shared" si="4"/>
        <v>0</v>
      </c>
      <c r="V407" s="3">
        <f t="shared" si="5"/>
        <v>1</v>
      </c>
      <c r="W407" s="3">
        <f t="shared" si="6"/>
        <v>2</v>
      </c>
      <c r="X407" s="3" t="str">
        <f>IFERROR(__xludf.DUMMYFUNCTION("split(B407,"" "")"),"E.")</f>
        <v>E.</v>
      </c>
      <c r="Y407" s="3" t="str">
        <f>IFERROR(__xludf.DUMMYFUNCTION("""COMPUTED_VALUE"""),"Gray")</f>
        <v>Gray</v>
      </c>
      <c r="AA407" s="3">
        <v>4.0</v>
      </c>
      <c r="AB407" s="3">
        <f t="shared" si="7"/>
        <v>0</v>
      </c>
      <c r="AC407" s="3">
        <f t="shared" si="8"/>
        <v>1</v>
      </c>
      <c r="AD407" s="3">
        <f t="shared" si="9"/>
        <v>0.8928571429</v>
      </c>
      <c r="AE407" s="3">
        <f t="shared" si="10"/>
        <v>0.8928571429</v>
      </c>
      <c r="AF407" s="3">
        <f t="shared" si="11"/>
        <v>1.785714286</v>
      </c>
      <c r="AG407" s="3">
        <f t="shared" si="12"/>
        <v>0.7714285714</v>
      </c>
    </row>
    <row r="408">
      <c r="A408" s="1" t="s">
        <v>9</v>
      </c>
      <c r="B408" s="1" t="s">
        <v>483</v>
      </c>
      <c r="C408" s="1" t="s">
        <v>18</v>
      </c>
      <c r="D408" s="1" t="s">
        <v>147</v>
      </c>
      <c r="E408" s="1" t="s">
        <v>82</v>
      </c>
      <c r="F408" s="1" t="s">
        <v>582</v>
      </c>
      <c r="G408" s="1">
        <v>43.5</v>
      </c>
      <c r="H408" s="1" t="s">
        <v>60</v>
      </c>
      <c r="I408" s="1">
        <v>-115.0</v>
      </c>
      <c r="J408" s="1">
        <v>0.00130726733391295</v>
      </c>
      <c r="K408" s="1" t="s">
        <v>61</v>
      </c>
      <c r="L408" s="1" t="s">
        <v>61</v>
      </c>
      <c r="M408" s="1" t="s">
        <v>62</v>
      </c>
      <c r="N408" s="1">
        <v>-118.0</v>
      </c>
      <c r="O408" s="1">
        <v>-0.0774247877184115</v>
      </c>
      <c r="P408" s="1" t="s">
        <v>61</v>
      </c>
      <c r="Q408" s="1" t="s">
        <v>61</v>
      </c>
      <c r="R408" s="1">
        <f t="shared" si="1"/>
        <v>0.001307267334</v>
      </c>
      <c r="S408" s="1">
        <f t="shared" si="2"/>
        <v>-115</v>
      </c>
      <c r="T408" s="1">
        <f t="shared" si="3"/>
        <v>1.869565217</v>
      </c>
      <c r="U408" s="1">
        <f t="shared" si="4"/>
        <v>1</v>
      </c>
      <c r="V408" s="3">
        <f t="shared" si="5"/>
        <v>1</v>
      </c>
      <c r="W408" s="3">
        <f t="shared" si="6"/>
        <v>2</v>
      </c>
      <c r="X408" s="3" t="str">
        <f>IFERROR(__xludf.DUMMYFUNCTION("split(B408,"" "")"),"D.")</f>
        <v>D.</v>
      </c>
      <c r="Y408" s="3" t="str">
        <f>IFERROR(__xludf.DUMMYFUNCTION("""COMPUTED_VALUE"""),"Slayton")</f>
        <v>Slayton</v>
      </c>
      <c r="AA408" s="3">
        <v>122.0</v>
      </c>
      <c r="AB408" s="3">
        <f t="shared" si="7"/>
        <v>1</v>
      </c>
      <c r="AC408" s="3">
        <f t="shared" si="8"/>
        <v>1</v>
      </c>
      <c r="AD408" s="3">
        <f t="shared" si="9"/>
        <v>0.8695652174</v>
      </c>
      <c r="AE408" s="3">
        <f t="shared" si="10"/>
        <v>0.8695652174</v>
      </c>
      <c r="AF408" s="3">
        <f t="shared" si="11"/>
        <v>1.739130435</v>
      </c>
      <c r="AG408" s="3">
        <f t="shared" si="12"/>
        <v>1.804597701</v>
      </c>
    </row>
    <row r="409">
      <c r="A409" s="1" t="s">
        <v>12</v>
      </c>
      <c r="B409" s="1" t="s">
        <v>291</v>
      </c>
      <c r="C409" s="1" t="s">
        <v>18</v>
      </c>
      <c r="D409" s="1" t="s">
        <v>165</v>
      </c>
      <c r="E409" s="1" t="s">
        <v>146</v>
      </c>
      <c r="F409" s="1" t="s">
        <v>596</v>
      </c>
      <c r="G409" s="1">
        <v>2.5</v>
      </c>
      <c r="H409" s="1" t="s">
        <v>60</v>
      </c>
      <c r="I409" s="1">
        <v>-165.0</v>
      </c>
      <c r="J409" s="1">
        <v>-0.256315208792452</v>
      </c>
      <c r="K409" s="1" t="s">
        <v>61</v>
      </c>
      <c r="L409" s="1" t="s">
        <v>61</v>
      </c>
      <c r="M409" s="1" t="s">
        <v>62</v>
      </c>
      <c r="N409" s="1">
        <v>126.0</v>
      </c>
      <c r="O409" s="1">
        <v>0.191208541283185</v>
      </c>
      <c r="P409" s="1" t="s">
        <v>61</v>
      </c>
      <c r="Q409" s="1" t="s">
        <v>61</v>
      </c>
      <c r="R409" s="1">
        <f t="shared" si="1"/>
        <v>0.1912085413</v>
      </c>
      <c r="S409" s="1">
        <f t="shared" si="2"/>
        <v>126</v>
      </c>
      <c r="T409" s="1">
        <f t="shared" si="3"/>
        <v>2.26</v>
      </c>
      <c r="U409" s="1">
        <f t="shared" si="4"/>
        <v>0</v>
      </c>
      <c r="V409" s="3">
        <f t="shared" si="5"/>
        <v>3</v>
      </c>
      <c r="W409" s="3">
        <f t="shared" si="6"/>
        <v>1</v>
      </c>
      <c r="X409" s="3" t="str">
        <f>IFERROR(__xludf.DUMMYFUNCTION("split(B409,"" "")"),"A.")</f>
        <v>A.</v>
      </c>
      <c r="Y409" s="3" t="str">
        <f>IFERROR(__xludf.DUMMYFUNCTION("""COMPUTED_VALUE"""),"Lazard")</f>
        <v>Lazard</v>
      </c>
      <c r="AA409" s="3">
        <v>4.0</v>
      </c>
      <c r="AB409" s="3">
        <f t="shared" si="7"/>
        <v>1</v>
      </c>
      <c r="AC409" s="3">
        <f t="shared" si="8"/>
        <v>0</v>
      </c>
      <c r="AD409" s="3">
        <f t="shared" si="9"/>
        <v>3.78</v>
      </c>
      <c r="AE409" s="3">
        <f t="shared" si="10"/>
        <v>-3</v>
      </c>
      <c r="AF409" s="3">
        <f t="shared" si="11"/>
        <v>-1</v>
      </c>
      <c r="AG409" s="3">
        <f t="shared" si="12"/>
        <v>-0.6</v>
      </c>
    </row>
    <row r="410">
      <c r="A410" s="1" t="s">
        <v>12</v>
      </c>
      <c r="B410" s="1" t="s">
        <v>305</v>
      </c>
      <c r="C410" s="1" t="s">
        <v>20</v>
      </c>
      <c r="D410" s="1" t="s">
        <v>165</v>
      </c>
      <c r="E410" s="1" t="s">
        <v>146</v>
      </c>
      <c r="F410" s="1" t="s">
        <v>596</v>
      </c>
      <c r="G410" s="1">
        <v>2.5</v>
      </c>
      <c r="H410" s="1" t="s">
        <v>60</v>
      </c>
      <c r="I410" s="1">
        <v>-158.0</v>
      </c>
      <c r="J410" s="1">
        <v>-0.227900902093023</v>
      </c>
      <c r="K410" s="1" t="s">
        <v>61</v>
      </c>
      <c r="L410" s="1" t="s">
        <v>61</v>
      </c>
      <c r="M410" s="1" t="s">
        <v>62</v>
      </c>
      <c r="N410" s="1">
        <v>120.0</v>
      </c>
      <c r="O410" s="1">
        <v>0.160951967</v>
      </c>
      <c r="P410" s="1" t="s">
        <v>61</v>
      </c>
      <c r="Q410" s="1" t="s">
        <v>61</v>
      </c>
      <c r="R410" s="1">
        <f t="shared" si="1"/>
        <v>0.160951967</v>
      </c>
      <c r="S410" s="1">
        <f t="shared" si="2"/>
        <v>120</v>
      </c>
      <c r="T410" s="1">
        <f t="shared" si="3"/>
        <v>2.2</v>
      </c>
      <c r="U410" s="1">
        <f t="shared" si="4"/>
        <v>0</v>
      </c>
      <c r="V410" s="3">
        <f t="shared" si="5"/>
        <v>3</v>
      </c>
      <c r="W410" s="3">
        <f t="shared" si="6"/>
        <v>1</v>
      </c>
      <c r="X410" s="3" t="str">
        <f>IFERROR(__xludf.DUMMYFUNCTION("split(B410,"" "")"),"T.")</f>
        <v>T.</v>
      </c>
      <c r="Y410" s="3" t="str">
        <f>IFERROR(__xludf.DUMMYFUNCTION("""COMPUTED_VALUE"""),"Conklin")</f>
        <v>Conklin</v>
      </c>
      <c r="AA410" s="3">
        <v>6.0</v>
      </c>
      <c r="AB410" s="3">
        <f t="shared" si="7"/>
        <v>1</v>
      </c>
      <c r="AC410" s="3">
        <f t="shared" si="8"/>
        <v>0</v>
      </c>
      <c r="AD410" s="3">
        <f t="shared" si="9"/>
        <v>3.6</v>
      </c>
      <c r="AE410" s="3">
        <f t="shared" si="10"/>
        <v>-3</v>
      </c>
      <c r="AF410" s="3">
        <f t="shared" si="11"/>
        <v>-1</v>
      </c>
      <c r="AG410" s="3">
        <f t="shared" si="12"/>
        <v>-1.4</v>
      </c>
    </row>
    <row r="411">
      <c r="A411" s="1" t="s">
        <v>12</v>
      </c>
      <c r="B411" s="1" t="s">
        <v>336</v>
      </c>
      <c r="C411" s="1" t="s">
        <v>19</v>
      </c>
      <c r="D411" s="1" t="s">
        <v>165</v>
      </c>
      <c r="E411" s="1" t="s">
        <v>146</v>
      </c>
      <c r="F411" s="1" t="s">
        <v>596</v>
      </c>
      <c r="G411" s="1">
        <v>3.5</v>
      </c>
      <c r="H411" s="1" t="s">
        <v>60</v>
      </c>
      <c r="I411" s="1">
        <v>-170.0</v>
      </c>
      <c r="J411" s="1">
        <v>-0.209866666666666</v>
      </c>
      <c r="K411" s="1" t="s">
        <v>61</v>
      </c>
      <c r="L411" s="1" t="s">
        <v>61</v>
      </c>
      <c r="M411" s="1" t="s">
        <v>62</v>
      </c>
      <c r="N411" s="1">
        <v>130.0</v>
      </c>
      <c r="O411" s="1">
        <v>0.145460869565217</v>
      </c>
      <c r="P411" s="1" t="s">
        <v>61</v>
      </c>
      <c r="Q411" s="1" t="s">
        <v>61</v>
      </c>
      <c r="R411" s="1">
        <f t="shared" si="1"/>
        <v>0.1454608696</v>
      </c>
      <c r="S411" s="1">
        <f t="shared" si="2"/>
        <v>130</v>
      </c>
      <c r="T411" s="1">
        <f t="shared" si="3"/>
        <v>2.3</v>
      </c>
      <c r="U411" s="1">
        <f t="shared" si="4"/>
        <v>0</v>
      </c>
      <c r="V411" s="3">
        <f t="shared" si="5"/>
        <v>3</v>
      </c>
      <c r="W411" s="3">
        <f t="shared" si="6"/>
        <v>1</v>
      </c>
      <c r="X411" s="3" t="str">
        <f>IFERROR(__xludf.DUMMYFUNCTION("split(B411,"" "")"),"B.")</f>
        <v>B.</v>
      </c>
      <c r="Y411" s="3" t="str">
        <f>IFERROR(__xludf.DUMMYFUNCTION("""COMPUTED_VALUE"""),"Hall")</f>
        <v>Hall</v>
      </c>
      <c r="AA411" s="3">
        <v>3.0</v>
      </c>
      <c r="AB411" s="3">
        <f t="shared" si="7"/>
        <v>0</v>
      </c>
      <c r="AC411" s="3">
        <f t="shared" si="8"/>
        <v>1</v>
      </c>
      <c r="AD411" s="3">
        <f t="shared" si="9"/>
        <v>3.9</v>
      </c>
      <c r="AE411" s="3">
        <f t="shared" si="10"/>
        <v>3.9</v>
      </c>
      <c r="AF411" s="3">
        <f t="shared" si="11"/>
        <v>1.3</v>
      </c>
      <c r="AG411" s="3">
        <f t="shared" si="12"/>
        <v>0.1428571429</v>
      </c>
    </row>
    <row r="412">
      <c r="A412" s="1" t="s">
        <v>12</v>
      </c>
      <c r="B412" s="1" t="s">
        <v>303</v>
      </c>
      <c r="C412" s="1" t="s">
        <v>18</v>
      </c>
      <c r="D412" s="1" t="s">
        <v>165</v>
      </c>
      <c r="E412" s="1" t="s">
        <v>146</v>
      </c>
      <c r="F412" s="1" t="s">
        <v>596</v>
      </c>
      <c r="G412" s="1">
        <v>2.5</v>
      </c>
      <c r="H412" s="1" t="s">
        <v>60</v>
      </c>
      <c r="I412" s="1">
        <v>-115.0</v>
      </c>
      <c r="J412" s="1">
        <v>-0.168928055906976</v>
      </c>
      <c r="K412" s="1" t="s">
        <v>61</v>
      </c>
      <c r="L412" s="1" t="s">
        <v>61</v>
      </c>
      <c r="M412" s="1" t="s">
        <v>62</v>
      </c>
      <c r="N412" s="1">
        <v>-115.0</v>
      </c>
      <c r="O412" s="1">
        <v>0.0991672642930231</v>
      </c>
      <c r="P412" s="1" t="s">
        <v>61</v>
      </c>
      <c r="Q412" s="1" t="s">
        <v>61</v>
      </c>
      <c r="R412" s="1">
        <f t="shared" si="1"/>
        <v>0.09916726429</v>
      </c>
      <c r="S412" s="1">
        <f t="shared" si="2"/>
        <v>-115</v>
      </c>
      <c r="T412" s="1">
        <f t="shared" si="3"/>
        <v>1.869565217</v>
      </c>
      <c r="U412" s="1">
        <f t="shared" si="4"/>
        <v>0</v>
      </c>
      <c r="V412" s="3">
        <f t="shared" si="5"/>
        <v>2</v>
      </c>
      <c r="W412" s="3">
        <f t="shared" si="6"/>
        <v>2</v>
      </c>
      <c r="X412" s="3" t="str">
        <f>IFERROR(__xludf.DUMMYFUNCTION("split(B412,"" "")"),"M.")</f>
        <v>M.</v>
      </c>
      <c r="Y412" s="3" t="str">
        <f>IFERROR(__xludf.DUMMYFUNCTION("""COMPUTED_VALUE"""),"Williams")</f>
        <v>Williams</v>
      </c>
      <c r="AA412" s="3">
        <v>2.0</v>
      </c>
      <c r="AB412" s="3">
        <f t="shared" si="7"/>
        <v>0</v>
      </c>
      <c r="AC412" s="3">
        <f t="shared" si="8"/>
        <v>1</v>
      </c>
      <c r="AD412" s="3">
        <f t="shared" si="9"/>
        <v>1.739130435</v>
      </c>
      <c r="AE412" s="3">
        <f t="shared" si="10"/>
        <v>1.739130435</v>
      </c>
      <c r="AF412" s="3">
        <f t="shared" si="11"/>
        <v>1.739130435</v>
      </c>
      <c r="AG412" s="3">
        <f t="shared" si="12"/>
        <v>0.2</v>
      </c>
    </row>
    <row r="413">
      <c r="A413" s="1" t="s">
        <v>12</v>
      </c>
      <c r="B413" s="1" t="s">
        <v>554</v>
      </c>
      <c r="C413" s="1" t="s">
        <v>19</v>
      </c>
      <c r="D413" s="1" t="s">
        <v>165</v>
      </c>
      <c r="E413" s="1" t="s">
        <v>146</v>
      </c>
      <c r="F413" s="1" t="s">
        <v>596</v>
      </c>
      <c r="G413" s="1">
        <v>1.5</v>
      </c>
      <c r="H413" s="1" t="s">
        <v>60</v>
      </c>
      <c r="I413" s="1">
        <v>-115.0</v>
      </c>
      <c r="J413" s="1">
        <v>-0.147475639655813</v>
      </c>
      <c r="K413" s="1" t="s">
        <v>61</v>
      </c>
      <c r="L413" s="1" t="s">
        <v>61</v>
      </c>
      <c r="M413" s="1" t="s">
        <v>62</v>
      </c>
      <c r="N413" s="1">
        <v>-115.0</v>
      </c>
      <c r="O413" s="1">
        <v>0.077721985604186</v>
      </c>
      <c r="P413" s="1" t="s">
        <v>61</v>
      </c>
      <c r="Q413" s="1" t="s">
        <v>61</v>
      </c>
      <c r="R413" s="1">
        <f t="shared" si="1"/>
        <v>0.0777219856</v>
      </c>
      <c r="S413" s="1">
        <f t="shared" si="2"/>
        <v>-115</v>
      </c>
      <c r="T413" s="1">
        <f t="shared" si="3"/>
        <v>1.869565217</v>
      </c>
      <c r="U413" s="1">
        <f t="shared" si="4"/>
        <v>0</v>
      </c>
      <c r="V413" s="3">
        <f t="shared" si="5"/>
        <v>2</v>
      </c>
      <c r="W413" s="3">
        <f t="shared" si="6"/>
        <v>2</v>
      </c>
      <c r="X413" s="3" t="str">
        <f>IFERROR(__xludf.DUMMYFUNCTION("split(B413,"" "")"),"B.")</f>
        <v>B.</v>
      </c>
      <c r="Y413" s="3" t="str">
        <f>IFERROR(__xludf.DUMMYFUNCTION("""COMPUTED_VALUE"""),"Allen")</f>
        <v>Allen</v>
      </c>
      <c r="AA413" s="3">
        <v>1.0</v>
      </c>
      <c r="AB413" s="3">
        <f t="shared" si="7"/>
        <v>0</v>
      </c>
      <c r="AC413" s="3">
        <f t="shared" si="8"/>
        <v>1</v>
      </c>
      <c r="AD413" s="3">
        <f t="shared" si="9"/>
        <v>1.739130435</v>
      </c>
      <c r="AE413" s="3">
        <f t="shared" si="10"/>
        <v>1.739130435</v>
      </c>
      <c r="AF413" s="3">
        <f t="shared" si="11"/>
        <v>1.739130435</v>
      </c>
      <c r="AG413" s="3">
        <f t="shared" si="12"/>
        <v>0.3333333333</v>
      </c>
    </row>
    <row r="414">
      <c r="A414" s="1" t="s">
        <v>10</v>
      </c>
      <c r="B414" s="1" t="s">
        <v>554</v>
      </c>
      <c r="C414" s="1" t="s">
        <v>19</v>
      </c>
      <c r="D414" s="1" t="s">
        <v>165</v>
      </c>
      <c r="E414" s="1" t="s">
        <v>146</v>
      </c>
      <c r="F414" s="1" t="s">
        <v>596</v>
      </c>
      <c r="G414" s="1">
        <v>33.5</v>
      </c>
      <c r="H414" s="1" t="s">
        <v>60</v>
      </c>
      <c r="I414" s="1">
        <v>-112.0</v>
      </c>
      <c r="J414" s="1">
        <v>-0.141932330472827</v>
      </c>
      <c r="K414" s="1" t="s">
        <v>61</v>
      </c>
      <c r="L414" s="1" t="s">
        <v>61</v>
      </c>
      <c r="M414" s="1" t="s">
        <v>62</v>
      </c>
      <c r="N414" s="1">
        <v>-117.0</v>
      </c>
      <c r="O414" s="1">
        <v>0.0744785956243329</v>
      </c>
      <c r="P414" s="1" t="s">
        <v>61</v>
      </c>
      <c r="Q414" s="1" t="s">
        <v>61</v>
      </c>
      <c r="R414" s="1">
        <f t="shared" si="1"/>
        <v>0.07447859562</v>
      </c>
      <c r="S414" s="1">
        <f t="shared" si="2"/>
        <v>-117</v>
      </c>
      <c r="T414" s="1">
        <f t="shared" si="3"/>
        <v>1.854700855</v>
      </c>
      <c r="U414" s="1">
        <f t="shared" si="4"/>
        <v>0</v>
      </c>
      <c r="V414" s="3">
        <f t="shared" si="5"/>
        <v>2</v>
      </c>
      <c r="W414" s="3">
        <f t="shared" si="6"/>
        <v>2</v>
      </c>
      <c r="X414" s="3" t="str">
        <f>IFERROR(__xludf.DUMMYFUNCTION("split(B414,"" "")"),"B.")</f>
        <v>B.</v>
      </c>
      <c r="Y414" s="3" t="str">
        <f>IFERROR(__xludf.DUMMYFUNCTION("""COMPUTED_VALUE"""),"Allen")</f>
        <v>Allen</v>
      </c>
      <c r="AA414" s="3">
        <v>13.0</v>
      </c>
      <c r="AB414" s="3">
        <f t="shared" si="7"/>
        <v>0</v>
      </c>
      <c r="AC414" s="3">
        <f t="shared" si="8"/>
        <v>1</v>
      </c>
      <c r="AD414" s="3">
        <f t="shared" si="9"/>
        <v>1.709401709</v>
      </c>
      <c r="AE414" s="3">
        <f t="shared" si="10"/>
        <v>1.709401709</v>
      </c>
      <c r="AF414" s="3">
        <f t="shared" si="11"/>
        <v>1.709401709</v>
      </c>
      <c r="AG414" s="3">
        <f t="shared" si="12"/>
        <v>0.6119402985</v>
      </c>
    </row>
    <row r="415">
      <c r="A415" s="1" t="s">
        <v>15</v>
      </c>
      <c r="B415" s="1" t="s">
        <v>330</v>
      </c>
      <c r="C415" s="1" t="s">
        <v>21</v>
      </c>
      <c r="D415" s="1" t="s">
        <v>165</v>
      </c>
      <c r="E415" s="1" t="s">
        <v>146</v>
      </c>
      <c r="F415" s="1" t="s">
        <v>596</v>
      </c>
      <c r="G415" s="1">
        <v>21.5</v>
      </c>
      <c r="H415" s="1" t="s">
        <v>60</v>
      </c>
      <c r="I415" s="1">
        <v>-103.0</v>
      </c>
      <c r="J415" s="1">
        <v>0.0744108374384234</v>
      </c>
      <c r="K415" s="1" t="s">
        <v>61</v>
      </c>
      <c r="L415" s="1" t="s">
        <v>61</v>
      </c>
      <c r="M415" s="1" t="s">
        <v>62</v>
      </c>
      <c r="N415" s="1">
        <v>-128.0</v>
      </c>
      <c r="O415" s="1">
        <v>-0.143203508771929</v>
      </c>
      <c r="P415" s="1" t="s">
        <v>61</v>
      </c>
      <c r="Q415" s="1" t="s">
        <v>61</v>
      </c>
      <c r="R415" s="1">
        <f t="shared" si="1"/>
        <v>0.07441083744</v>
      </c>
      <c r="S415" s="1">
        <f t="shared" si="2"/>
        <v>-103</v>
      </c>
      <c r="T415" s="1">
        <f t="shared" si="3"/>
        <v>1.970873786</v>
      </c>
      <c r="U415" s="1">
        <f t="shared" si="4"/>
        <v>1</v>
      </c>
      <c r="V415" s="3">
        <f t="shared" si="5"/>
        <v>2</v>
      </c>
      <c r="W415" s="3">
        <f t="shared" si="6"/>
        <v>2</v>
      </c>
      <c r="X415" s="3" t="str">
        <f>IFERROR(__xludf.DUMMYFUNCTION("split(B415,"" "")"),"A.")</f>
        <v>A.</v>
      </c>
      <c r="Y415" s="3" t="str">
        <f>IFERROR(__xludf.DUMMYFUNCTION("""COMPUTED_VALUE"""),"Rodgers")</f>
        <v>Rodgers</v>
      </c>
      <c r="AA415" s="3">
        <v>29.0</v>
      </c>
      <c r="AB415" s="3">
        <f t="shared" si="7"/>
        <v>1</v>
      </c>
      <c r="AC415" s="3">
        <f t="shared" si="8"/>
        <v>1</v>
      </c>
      <c r="AD415" s="3">
        <f t="shared" si="9"/>
        <v>1.941747573</v>
      </c>
      <c r="AE415" s="3">
        <f t="shared" si="10"/>
        <v>1.941747573</v>
      </c>
      <c r="AF415" s="3">
        <f t="shared" si="11"/>
        <v>1.941747573</v>
      </c>
      <c r="AG415" s="3">
        <f t="shared" si="12"/>
        <v>0.3488372093</v>
      </c>
    </row>
    <row r="416">
      <c r="A416" s="1" t="s">
        <v>10</v>
      </c>
      <c r="B416" s="1" t="s">
        <v>330</v>
      </c>
      <c r="C416" s="1" t="s">
        <v>21</v>
      </c>
      <c r="D416" s="1" t="s">
        <v>165</v>
      </c>
      <c r="E416" s="1" t="s">
        <v>146</v>
      </c>
      <c r="F416" s="1" t="s">
        <v>596</v>
      </c>
      <c r="G416" s="1">
        <v>4.5</v>
      </c>
      <c r="H416" s="1" t="s">
        <v>60</v>
      </c>
      <c r="I416" s="1">
        <v>-105.0</v>
      </c>
      <c r="J416" s="1">
        <v>0.0649588152653356</v>
      </c>
      <c r="K416" s="1" t="s">
        <v>61</v>
      </c>
      <c r="L416" s="1" t="s">
        <v>61</v>
      </c>
      <c r="M416" s="1" t="s">
        <v>62</v>
      </c>
      <c r="N416" s="1">
        <v>-124.0</v>
      </c>
      <c r="O416" s="1">
        <v>-0.130719155537715</v>
      </c>
      <c r="P416" s="1" t="s">
        <v>61</v>
      </c>
      <c r="Q416" s="1" t="s">
        <v>61</v>
      </c>
      <c r="R416" s="1">
        <f t="shared" si="1"/>
        <v>0.06495881527</v>
      </c>
      <c r="S416" s="1">
        <f t="shared" si="2"/>
        <v>-105</v>
      </c>
      <c r="T416" s="1">
        <f t="shared" si="3"/>
        <v>1.952380952</v>
      </c>
      <c r="U416" s="1">
        <f t="shared" si="4"/>
        <v>1</v>
      </c>
      <c r="V416" s="3">
        <f t="shared" si="5"/>
        <v>2</v>
      </c>
      <c r="W416" s="3">
        <f t="shared" si="6"/>
        <v>2</v>
      </c>
      <c r="X416" s="3" t="str">
        <f>IFERROR(__xludf.DUMMYFUNCTION("split(B416,"" "")"),"A.")</f>
        <v>A.</v>
      </c>
      <c r="Y416" s="3" t="str">
        <f>IFERROR(__xludf.DUMMYFUNCTION("""COMPUTED_VALUE"""),"Rodgers")</f>
        <v>Rodgers</v>
      </c>
      <c r="AA416" s="3">
        <v>0.0</v>
      </c>
      <c r="AB416" s="3">
        <f t="shared" si="7"/>
        <v>0</v>
      </c>
      <c r="AC416" s="3">
        <f t="shared" si="8"/>
        <v>0</v>
      </c>
      <c r="AD416" s="3">
        <f t="shared" si="9"/>
        <v>1.904761905</v>
      </c>
      <c r="AE416" s="3">
        <f t="shared" si="10"/>
        <v>-2</v>
      </c>
      <c r="AF416" s="3">
        <f t="shared" si="11"/>
        <v>-2</v>
      </c>
      <c r="AG416" s="3">
        <f t="shared" si="12"/>
        <v>-1</v>
      </c>
    </row>
    <row r="417">
      <c r="A417" s="1" t="s">
        <v>14</v>
      </c>
      <c r="B417" s="1" t="s">
        <v>330</v>
      </c>
      <c r="C417" s="1" t="s">
        <v>21</v>
      </c>
      <c r="D417" s="1" t="s">
        <v>165</v>
      </c>
      <c r="E417" s="1" t="s">
        <v>146</v>
      </c>
      <c r="F417" s="1" t="s">
        <v>596</v>
      </c>
      <c r="G417" s="1">
        <v>1.5</v>
      </c>
      <c r="H417" s="1" t="s">
        <v>60</v>
      </c>
      <c r="I417" s="1">
        <v>133.0</v>
      </c>
      <c r="J417" s="1">
        <v>0.0527154506437768</v>
      </c>
      <c r="K417" s="1" t="s">
        <v>61</v>
      </c>
      <c r="L417" s="1" t="s">
        <v>61</v>
      </c>
      <c r="M417" s="1" t="s">
        <v>62</v>
      </c>
      <c r="N417" s="1">
        <v>-172.0</v>
      </c>
      <c r="O417" s="1">
        <v>-0.11425294117647</v>
      </c>
      <c r="P417" s="1" t="s">
        <v>61</v>
      </c>
      <c r="Q417" s="1" t="s">
        <v>61</v>
      </c>
      <c r="R417" s="1">
        <f t="shared" si="1"/>
        <v>0.05271545064</v>
      </c>
      <c r="S417" s="1">
        <f t="shared" si="2"/>
        <v>133</v>
      </c>
      <c r="T417" s="1">
        <f t="shared" si="3"/>
        <v>2.33</v>
      </c>
      <c r="U417" s="1">
        <f t="shared" si="4"/>
        <v>1</v>
      </c>
      <c r="V417" s="3">
        <f t="shared" si="5"/>
        <v>2</v>
      </c>
      <c r="W417" s="3">
        <f t="shared" si="6"/>
        <v>1</v>
      </c>
      <c r="X417" s="3" t="str">
        <f>IFERROR(__xludf.DUMMYFUNCTION("split(B417,"" "")"),"A.")</f>
        <v>A.</v>
      </c>
      <c r="Y417" s="3" t="str">
        <f>IFERROR(__xludf.DUMMYFUNCTION("""COMPUTED_VALUE"""),"Rodgers")</f>
        <v>Rodgers</v>
      </c>
      <c r="AA417" s="3">
        <v>2.0</v>
      </c>
      <c r="AB417" s="3">
        <f t="shared" si="7"/>
        <v>1</v>
      </c>
      <c r="AC417" s="3">
        <f t="shared" si="8"/>
        <v>1</v>
      </c>
      <c r="AD417" s="3">
        <f t="shared" si="9"/>
        <v>2.66</v>
      </c>
      <c r="AE417" s="3">
        <f t="shared" si="10"/>
        <v>2.66</v>
      </c>
      <c r="AF417" s="3">
        <f t="shared" si="11"/>
        <v>1.33</v>
      </c>
      <c r="AG417" s="3">
        <f t="shared" si="12"/>
        <v>0.3333333333</v>
      </c>
    </row>
    <row r="418">
      <c r="A418" s="1" t="s">
        <v>11</v>
      </c>
      <c r="B418" s="1" t="s">
        <v>291</v>
      </c>
      <c r="C418" s="1" t="s">
        <v>18</v>
      </c>
      <c r="D418" s="1" t="s">
        <v>165</v>
      </c>
      <c r="E418" s="1" t="s">
        <v>146</v>
      </c>
      <c r="F418" s="1" t="s">
        <v>596</v>
      </c>
      <c r="G418" s="1">
        <v>33.5</v>
      </c>
      <c r="H418" s="1" t="s">
        <v>60</v>
      </c>
      <c r="I418" s="1">
        <v>-119.0</v>
      </c>
      <c r="J418" s="1">
        <v>-0.0977622216762101</v>
      </c>
      <c r="K418" s="1" t="s">
        <v>61</v>
      </c>
      <c r="L418" s="1" t="s">
        <v>61</v>
      </c>
      <c r="M418" s="1" t="s">
        <v>62</v>
      </c>
      <c r="N418" s="1">
        <v>-110.0</v>
      </c>
      <c r="O418" s="1">
        <v>0.0305842134125666</v>
      </c>
      <c r="P418" s="1" t="s">
        <v>61</v>
      </c>
      <c r="Q418" s="1" t="s">
        <v>61</v>
      </c>
      <c r="R418" s="1">
        <f t="shared" si="1"/>
        <v>0.03058421341</v>
      </c>
      <c r="S418" s="1">
        <f t="shared" si="2"/>
        <v>-110</v>
      </c>
      <c r="T418" s="1">
        <f t="shared" si="3"/>
        <v>1.909090909</v>
      </c>
      <c r="U418" s="1">
        <f t="shared" si="4"/>
        <v>0</v>
      </c>
      <c r="V418" s="3">
        <f t="shared" si="5"/>
        <v>1</v>
      </c>
      <c r="W418" s="3">
        <f t="shared" si="6"/>
        <v>2</v>
      </c>
      <c r="X418" s="3" t="str">
        <f>IFERROR(__xludf.DUMMYFUNCTION("split(B418,"" "")"),"A.")</f>
        <v>A.</v>
      </c>
      <c r="Y418" s="3" t="str">
        <f>IFERROR(__xludf.DUMMYFUNCTION("""COMPUTED_VALUE"""),"Lazard")</f>
        <v>Lazard</v>
      </c>
      <c r="AA418" s="3">
        <v>34.0</v>
      </c>
      <c r="AB418" s="3">
        <f t="shared" si="7"/>
        <v>1</v>
      </c>
      <c r="AC418" s="3">
        <f t="shared" si="8"/>
        <v>0</v>
      </c>
      <c r="AD418" s="3">
        <f t="shared" si="9"/>
        <v>0.9090909091</v>
      </c>
      <c r="AE418" s="3">
        <f t="shared" si="10"/>
        <v>-1</v>
      </c>
      <c r="AF418" s="3">
        <f t="shared" si="11"/>
        <v>-2</v>
      </c>
      <c r="AG418" s="3">
        <f t="shared" si="12"/>
        <v>-0.01492537313</v>
      </c>
    </row>
    <row r="419">
      <c r="A419" s="1" t="s">
        <v>11</v>
      </c>
      <c r="B419" s="1" t="s">
        <v>554</v>
      </c>
      <c r="C419" s="1" t="s">
        <v>19</v>
      </c>
      <c r="D419" s="1" t="s">
        <v>165</v>
      </c>
      <c r="E419" s="1" t="s">
        <v>146</v>
      </c>
      <c r="F419" s="1" t="s">
        <v>596</v>
      </c>
      <c r="G419" s="1">
        <v>9.5</v>
      </c>
      <c r="H419" s="1" t="s">
        <v>60</v>
      </c>
      <c r="I419" s="1">
        <v>-116.0</v>
      </c>
      <c r="J419" s="1">
        <v>0.0251146989287299</v>
      </c>
      <c r="K419" s="1" t="s">
        <v>61</v>
      </c>
      <c r="L419" s="1" t="s">
        <v>61</v>
      </c>
      <c r="M419" s="1" t="s">
        <v>62</v>
      </c>
      <c r="N419" s="1">
        <v>-112.0</v>
      </c>
      <c r="O419" s="1">
        <v>-0.0904326979473508</v>
      </c>
      <c r="P419" s="1" t="s">
        <v>61</v>
      </c>
      <c r="Q419" s="1" t="s">
        <v>61</v>
      </c>
      <c r="R419" s="1">
        <f t="shared" si="1"/>
        <v>0.02511469893</v>
      </c>
      <c r="S419" s="1">
        <f t="shared" si="2"/>
        <v>-116</v>
      </c>
      <c r="T419" s="1">
        <f t="shared" si="3"/>
        <v>1.862068966</v>
      </c>
      <c r="U419" s="1">
        <f t="shared" si="4"/>
        <v>1</v>
      </c>
      <c r="V419" s="3">
        <f t="shared" si="5"/>
        <v>1</v>
      </c>
      <c r="W419" s="3">
        <f t="shared" si="6"/>
        <v>2</v>
      </c>
      <c r="X419" s="3" t="str">
        <f>IFERROR(__xludf.DUMMYFUNCTION("split(B419,"" "")"),"B.")</f>
        <v>B.</v>
      </c>
      <c r="Y419" s="3" t="str">
        <f>IFERROR(__xludf.DUMMYFUNCTION("""COMPUTED_VALUE"""),"Allen")</f>
        <v>Allen</v>
      </c>
      <c r="AA419" s="3">
        <v>15.0</v>
      </c>
      <c r="AB419" s="3">
        <f t="shared" si="7"/>
        <v>1</v>
      </c>
      <c r="AC419" s="3">
        <f t="shared" si="8"/>
        <v>1</v>
      </c>
      <c r="AD419" s="3">
        <f t="shared" si="9"/>
        <v>0.8620689655</v>
      </c>
      <c r="AE419" s="3">
        <f t="shared" si="10"/>
        <v>0.8620689655</v>
      </c>
      <c r="AF419" s="3">
        <f t="shared" si="11"/>
        <v>1.724137931</v>
      </c>
      <c r="AG419" s="3">
        <f t="shared" si="12"/>
        <v>0.5789473684</v>
      </c>
    </row>
    <row r="420">
      <c r="A420" s="1" t="s">
        <v>11</v>
      </c>
      <c r="B420" s="1" t="s">
        <v>336</v>
      </c>
      <c r="C420" s="1" t="s">
        <v>19</v>
      </c>
      <c r="D420" s="1" t="s">
        <v>165</v>
      </c>
      <c r="E420" s="1" t="s">
        <v>146</v>
      </c>
      <c r="F420" s="1" t="s">
        <v>596</v>
      </c>
      <c r="G420" s="1">
        <v>28.5</v>
      </c>
      <c r="H420" s="1" t="s">
        <v>60</v>
      </c>
      <c r="I420" s="1">
        <v>-115.0</v>
      </c>
      <c r="J420" s="1">
        <v>-0.0881680605620465</v>
      </c>
      <c r="K420" s="1" t="s">
        <v>61</v>
      </c>
      <c r="L420" s="1" t="s">
        <v>61</v>
      </c>
      <c r="M420" s="1" t="s">
        <v>62</v>
      </c>
      <c r="N420" s="1">
        <v>-115.0</v>
      </c>
      <c r="O420" s="1">
        <v>0.0184582696463534</v>
      </c>
      <c r="P420" s="1" t="s">
        <v>61</v>
      </c>
      <c r="Q420" s="1" t="s">
        <v>61</v>
      </c>
      <c r="R420" s="1">
        <f t="shared" si="1"/>
        <v>0.01845826965</v>
      </c>
      <c r="S420" s="1">
        <f t="shared" si="2"/>
        <v>-115</v>
      </c>
      <c r="T420" s="1">
        <f t="shared" si="3"/>
        <v>1.869565217</v>
      </c>
      <c r="U420" s="1">
        <f t="shared" si="4"/>
        <v>0</v>
      </c>
      <c r="V420" s="3">
        <f t="shared" si="5"/>
        <v>1</v>
      </c>
      <c r="W420" s="3">
        <f t="shared" si="6"/>
        <v>2</v>
      </c>
      <c r="X420" s="3" t="str">
        <f>IFERROR(__xludf.DUMMYFUNCTION("split(B420,"" "")"),"B.")</f>
        <v>B.</v>
      </c>
      <c r="Y420" s="3" t="str">
        <f>IFERROR(__xludf.DUMMYFUNCTION("""COMPUTED_VALUE"""),"Hall")</f>
        <v>Hall</v>
      </c>
      <c r="AA420" s="3">
        <v>14.0</v>
      </c>
      <c r="AB420" s="3">
        <f t="shared" si="7"/>
        <v>0</v>
      </c>
      <c r="AC420" s="3">
        <f t="shared" si="8"/>
        <v>1</v>
      </c>
      <c r="AD420" s="3">
        <f t="shared" si="9"/>
        <v>0.8695652174</v>
      </c>
      <c r="AE420" s="3">
        <f t="shared" si="10"/>
        <v>0.8695652174</v>
      </c>
      <c r="AF420" s="3">
        <f t="shared" si="11"/>
        <v>1.739130435</v>
      </c>
      <c r="AG420" s="3">
        <f t="shared" si="12"/>
        <v>0.5087719298</v>
      </c>
    </row>
    <row r="421">
      <c r="A421" s="1" t="s">
        <v>9</v>
      </c>
      <c r="B421" s="1" t="s">
        <v>479</v>
      </c>
      <c r="C421" s="1" t="s">
        <v>18</v>
      </c>
      <c r="D421" s="1" t="s">
        <v>165</v>
      </c>
      <c r="E421" s="1" t="s">
        <v>146</v>
      </c>
      <c r="F421" s="1" t="s">
        <v>596</v>
      </c>
      <c r="G421" s="1">
        <v>54.5</v>
      </c>
      <c r="H421" s="1" t="s">
        <v>60</v>
      </c>
      <c r="I421" s="1">
        <v>-115.0</v>
      </c>
      <c r="J421" s="1">
        <v>0.0150695279454557</v>
      </c>
      <c r="K421" s="1" t="s">
        <v>61</v>
      </c>
      <c r="L421" s="1" t="s">
        <v>61</v>
      </c>
      <c r="M421" s="1" t="s">
        <v>62</v>
      </c>
      <c r="N421" s="1">
        <v>-115.0</v>
      </c>
      <c r="O421" s="1">
        <v>-0.0848749571372743</v>
      </c>
      <c r="P421" s="1" t="s">
        <v>61</v>
      </c>
      <c r="Q421" s="1" t="s">
        <v>61</v>
      </c>
      <c r="R421" s="1">
        <f t="shared" si="1"/>
        <v>0.01506952795</v>
      </c>
      <c r="S421" s="1">
        <f t="shared" si="2"/>
        <v>-115</v>
      </c>
      <c r="T421" s="1">
        <f t="shared" si="3"/>
        <v>1.869565217</v>
      </c>
      <c r="U421" s="1">
        <f t="shared" si="4"/>
        <v>1</v>
      </c>
      <c r="V421" s="3">
        <f t="shared" si="5"/>
        <v>1</v>
      </c>
      <c r="W421" s="3">
        <f t="shared" si="6"/>
        <v>2</v>
      </c>
      <c r="X421" s="3" t="str">
        <f>IFERROR(__xludf.DUMMYFUNCTION("split(B421,"" "")"),"G.")</f>
        <v>G.</v>
      </c>
      <c r="Y421" s="3" t="str">
        <f>IFERROR(__xludf.DUMMYFUNCTION("""COMPUTED_VALUE"""),"Wilson")</f>
        <v>Wilson</v>
      </c>
      <c r="AA421" s="3">
        <v>101.0</v>
      </c>
      <c r="AB421" s="3">
        <f t="shared" si="7"/>
        <v>1</v>
      </c>
      <c r="AC421" s="3">
        <f t="shared" si="8"/>
        <v>1</v>
      </c>
      <c r="AD421" s="3">
        <f t="shared" si="9"/>
        <v>0.8695652174</v>
      </c>
      <c r="AE421" s="3">
        <f t="shared" si="10"/>
        <v>0.8695652174</v>
      </c>
      <c r="AF421" s="3">
        <f t="shared" si="11"/>
        <v>1.739130435</v>
      </c>
      <c r="AG421" s="3">
        <f t="shared" si="12"/>
        <v>0.8532110092</v>
      </c>
    </row>
    <row r="422">
      <c r="A422" s="1" t="s">
        <v>9</v>
      </c>
      <c r="B422" s="1" t="s">
        <v>336</v>
      </c>
      <c r="C422" s="1" t="s">
        <v>19</v>
      </c>
      <c r="D422" s="1" t="s">
        <v>165</v>
      </c>
      <c r="E422" s="1" t="s">
        <v>146</v>
      </c>
      <c r="F422" s="1" t="s">
        <v>596</v>
      </c>
      <c r="G422" s="1">
        <v>83.5</v>
      </c>
      <c r="H422" s="1" t="s">
        <v>60</v>
      </c>
      <c r="I422" s="1">
        <v>-116.0</v>
      </c>
      <c r="J422" s="1">
        <v>-0.0805149168167642</v>
      </c>
      <c r="K422" s="1" t="s">
        <v>61</v>
      </c>
      <c r="L422" s="1" t="s">
        <v>61</v>
      </c>
      <c r="M422" s="1" t="s">
        <v>62</v>
      </c>
      <c r="N422" s="1">
        <v>-116.0</v>
      </c>
      <c r="O422" s="1">
        <v>0.00646777921944641</v>
      </c>
      <c r="P422" s="1" t="s">
        <v>61</v>
      </c>
      <c r="Q422" s="1" t="s">
        <v>61</v>
      </c>
      <c r="R422" s="1">
        <f t="shared" si="1"/>
        <v>0.006467779219</v>
      </c>
      <c r="S422" s="1">
        <f t="shared" si="2"/>
        <v>-116</v>
      </c>
      <c r="T422" s="1">
        <f t="shared" si="3"/>
        <v>1.862068966</v>
      </c>
      <c r="U422" s="1">
        <f t="shared" si="4"/>
        <v>0</v>
      </c>
      <c r="V422" s="3">
        <f t="shared" si="5"/>
        <v>1</v>
      </c>
      <c r="W422" s="3">
        <f t="shared" si="6"/>
        <v>2</v>
      </c>
      <c r="X422" s="3" t="str">
        <f>IFERROR(__xludf.DUMMYFUNCTION("split(B422,"" "")"),"B.")</f>
        <v>B.</v>
      </c>
      <c r="Y422" s="3" t="str">
        <f>IFERROR(__xludf.DUMMYFUNCTION("""COMPUTED_VALUE"""),"Hall")</f>
        <v>Hall</v>
      </c>
      <c r="AA422" s="3">
        <v>37.0</v>
      </c>
      <c r="AB422" s="3">
        <f t="shared" si="7"/>
        <v>0</v>
      </c>
      <c r="AC422" s="3">
        <f t="shared" si="8"/>
        <v>1</v>
      </c>
      <c r="AD422" s="3">
        <f t="shared" si="9"/>
        <v>0.8620689655</v>
      </c>
      <c r="AE422" s="3">
        <f t="shared" si="10"/>
        <v>0.8620689655</v>
      </c>
      <c r="AF422" s="3">
        <f t="shared" si="11"/>
        <v>1.724137931</v>
      </c>
      <c r="AG422" s="3">
        <f t="shared" si="12"/>
        <v>0.5568862275</v>
      </c>
    </row>
    <row r="423">
      <c r="A423" s="1" t="s">
        <v>12</v>
      </c>
      <c r="B423" s="1" t="s">
        <v>479</v>
      </c>
      <c r="C423" s="1" t="s">
        <v>18</v>
      </c>
      <c r="D423" s="1" t="s">
        <v>165</v>
      </c>
      <c r="E423" s="1" t="s">
        <v>146</v>
      </c>
      <c r="F423" s="1" t="s">
        <v>596</v>
      </c>
      <c r="G423" s="1">
        <v>4.5</v>
      </c>
      <c r="H423" s="1" t="s">
        <v>60</v>
      </c>
      <c r="I423" s="1">
        <v>-157.0</v>
      </c>
      <c r="J423" s="1">
        <v>-0.0713560311284047</v>
      </c>
      <c r="K423" s="1" t="s">
        <v>61</v>
      </c>
      <c r="L423" s="1" t="s">
        <v>61</v>
      </c>
      <c r="M423" s="1" t="s">
        <v>62</v>
      </c>
      <c r="N423" s="1">
        <v>120.0</v>
      </c>
      <c r="O423" s="1">
        <v>0.00590909090909097</v>
      </c>
      <c r="P423" s="1" t="s">
        <v>61</v>
      </c>
      <c r="Q423" s="1" t="s">
        <v>61</v>
      </c>
      <c r="R423" s="1">
        <f t="shared" si="1"/>
        <v>0.005909090909</v>
      </c>
      <c r="S423" s="1">
        <f t="shared" si="2"/>
        <v>120</v>
      </c>
      <c r="T423" s="1">
        <f t="shared" si="3"/>
        <v>2.2</v>
      </c>
      <c r="U423" s="1">
        <f t="shared" si="4"/>
        <v>0</v>
      </c>
      <c r="V423" s="3">
        <f t="shared" si="5"/>
        <v>1</v>
      </c>
      <c r="W423" s="3">
        <f t="shared" si="6"/>
        <v>1</v>
      </c>
      <c r="X423" s="3" t="str">
        <f>IFERROR(__xludf.DUMMYFUNCTION("split(B423,"" "")"),"G.")</f>
        <v>G.</v>
      </c>
      <c r="Y423" s="3" t="str">
        <f>IFERROR(__xludf.DUMMYFUNCTION("""COMPUTED_VALUE"""),"Wilson")</f>
        <v>Wilson</v>
      </c>
      <c r="AA423" s="3">
        <v>13.0</v>
      </c>
      <c r="AB423" s="3">
        <f t="shared" si="7"/>
        <v>1</v>
      </c>
      <c r="AC423" s="3">
        <f t="shared" si="8"/>
        <v>0</v>
      </c>
      <c r="AD423" s="3">
        <f t="shared" si="9"/>
        <v>1.2</v>
      </c>
      <c r="AE423" s="3">
        <f t="shared" si="10"/>
        <v>-1</v>
      </c>
      <c r="AF423" s="3">
        <f t="shared" si="11"/>
        <v>-1</v>
      </c>
      <c r="AG423" s="3">
        <f t="shared" si="12"/>
        <v>-1.888888889</v>
      </c>
    </row>
    <row r="424">
      <c r="A424" s="1" t="s">
        <v>16</v>
      </c>
      <c r="B424" s="1" t="s">
        <v>330</v>
      </c>
      <c r="C424" s="1" t="s">
        <v>21</v>
      </c>
      <c r="D424" s="1" t="s">
        <v>165</v>
      </c>
      <c r="E424" s="1" t="s">
        <v>146</v>
      </c>
      <c r="F424" s="1" t="s">
        <v>596</v>
      </c>
      <c r="G424" s="1">
        <v>33.5</v>
      </c>
      <c r="H424" s="1" t="s">
        <v>60</v>
      </c>
      <c r="I424" s="1">
        <v>-105.0</v>
      </c>
      <c r="J424" s="1">
        <v>0.0059063455414634</v>
      </c>
      <c r="K424" s="1" t="s">
        <v>61</v>
      </c>
      <c r="L424" s="1" t="s">
        <v>61</v>
      </c>
      <c r="M424" s="1" t="s">
        <v>62</v>
      </c>
      <c r="N424" s="1">
        <v>-127.0</v>
      </c>
      <c r="O424" s="1">
        <v>-0.0775586357709252</v>
      </c>
      <c r="P424" s="1" t="s">
        <v>61</v>
      </c>
      <c r="Q424" s="1" t="s">
        <v>61</v>
      </c>
      <c r="R424" s="1">
        <f t="shared" si="1"/>
        <v>0.005906345541</v>
      </c>
      <c r="S424" s="1">
        <f t="shared" si="2"/>
        <v>-105</v>
      </c>
      <c r="T424" s="1">
        <f t="shared" si="3"/>
        <v>1.952380952</v>
      </c>
      <c r="U424" s="1">
        <f t="shared" si="4"/>
        <v>1</v>
      </c>
      <c r="V424" s="3">
        <f t="shared" si="5"/>
        <v>1</v>
      </c>
      <c r="W424" s="3">
        <f t="shared" si="6"/>
        <v>2</v>
      </c>
      <c r="X424" s="3" t="str">
        <f>IFERROR(__xludf.DUMMYFUNCTION("split(B424,"" "")"),"A.")</f>
        <v>A.</v>
      </c>
      <c r="Y424" s="3" t="str">
        <f>IFERROR(__xludf.DUMMYFUNCTION("""COMPUTED_VALUE"""),"Rodgers")</f>
        <v>Rodgers</v>
      </c>
      <c r="AA424" s="3">
        <v>54.0</v>
      </c>
      <c r="AB424" s="3">
        <f t="shared" si="7"/>
        <v>1</v>
      </c>
      <c r="AC424" s="3">
        <f t="shared" si="8"/>
        <v>1</v>
      </c>
      <c r="AD424" s="3">
        <f t="shared" si="9"/>
        <v>0.9523809524</v>
      </c>
      <c r="AE424" s="3">
        <f t="shared" si="10"/>
        <v>0.9523809524</v>
      </c>
      <c r="AF424" s="3">
        <f t="shared" si="11"/>
        <v>1.904761905</v>
      </c>
      <c r="AG424" s="3">
        <f t="shared" si="12"/>
        <v>0.6119402985</v>
      </c>
    </row>
    <row r="425">
      <c r="A425" s="1" t="s">
        <v>8</v>
      </c>
      <c r="B425" s="1" t="s">
        <v>336</v>
      </c>
      <c r="C425" s="1" t="s">
        <v>19</v>
      </c>
      <c r="D425" s="1" t="s">
        <v>165</v>
      </c>
      <c r="E425" s="1" t="s">
        <v>146</v>
      </c>
      <c r="F425" s="1" t="s">
        <v>596</v>
      </c>
      <c r="G425" s="1">
        <v>13.5</v>
      </c>
      <c r="H425" s="1" t="s">
        <v>60</v>
      </c>
      <c r="I425" s="1">
        <v>-106.0</v>
      </c>
      <c r="J425" s="1">
        <v>-0.0756600705504855</v>
      </c>
      <c r="K425" s="1" t="s">
        <v>61</v>
      </c>
      <c r="L425" s="1" t="s">
        <v>61</v>
      </c>
      <c r="M425" s="1" t="s">
        <v>62</v>
      </c>
      <c r="N425" s="1">
        <v>-127.0</v>
      </c>
      <c r="O425" s="1">
        <v>0.00162513505470485</v>
      </c>
      <c r="P425" s="1" t="s">
        <v>61</v>
      </c>
      <c r="Q425" s="1" t="s">
        <v>61</v>
      </c>
      <c r="R425" s="1">
        <f t="shared" si="1"/>
        <v>0.001625135055</v>
      </c>
      <c r="S425" s="1">
        <f t="shared" si="2"/>
        <v>-127</v>
      </c>
      <c r="T425" s="1">
        <f t="shared" si="3"/>
        <v>1.787401575</v>
      </c>
      <c r="U425" s="1">
        <f t="shared" si="4"/>
        <v>0</v>
      </c>
      <c r="V425" s="3">
        <f t="shared" si="5"/>
        <v>1</v>
      </c>
      <c r="W425" s="3">
        <f t="shared" si="6"/>
        <v>3</v>
      </c>
      <c r="X425" s="3" t="str">
        <f>IFERROR(__xludf.DUMMYFUNCTION("split(B425,"" "")"),"B.")</f>
        <v>B.</v>
      </c>
      <c r="Y425" s="3" t="str">
        <f>IFERROR(__xludf.DUMMYFUNCTION("""COMPUTED_VALUE"""),"Hall")</f>
        <v>Hall</v>
      </c>
      <c r="AA425" s="3">
        <v>9.0</v>
      </c>
      <c r="AB425" s="3">
        <f t="shared" si="7"/>
        <v>0</v>
      </c>
      <c r="AC425" s="3">
        <f t="shared" si="8"/>
        <v>1</v>
      </c>
      <c r="AD425" s="3">
        <f t="shared" si="9"/>
        <v>0.7874015748</v>
      </c>
      <c r="AE425" s="3">
        <f t="shared" si="10"/>
        <v>0.7874015748</v>
      </c>
      <c r="AF425" s="3">
        <f t="shared" si="11"/>
        <v>2.362204724</v>
      </c>
      <c r="AG425" s="3">
        <f t="shared" si="12"/>
        <v>0.3333333333</v>
      </c>
    </row>
    <row r="426">
      <c r="A426" s="1" t="s">
        <v>12</v>
      </c>
      <c r="B426" s="1" t="s">
        <v>403</v>
      </c>
      <c r="C426" s="1" t="s">
        <v>18</v>
      </c>
      <c r="D426" s="1" t="s">
        <v>110</v>
      </c>
      <c r="E426" s="1" t="s">
        <v>88</v>
      </c>
      <c r="F426" s="1" t="s">
        <v>580</v>
      </c>
      <c r="G426" s="1">
        <v>1.5</v>
      </c>
      <c r="H426" s="1" t="s">
        <v>60</v>
      </c>
      <c r="I426" s="1">
        <v>-145.0</v>
      </c>
      <c r="J426" s="1">
        <v>-0.250871579048979</v>
      </c>
      <c r="K426" s="1" t="s">
        <v>61</v>
      </c>
      <c r="L426" s="1" t="s">
        <v>61</v>
      </c>
      <c r="M426" s="1" t="s">
        <v>62</v>
      </c>
      <c r="N426" s="1">
        <v>111.0</v>
      </c>
      <c r="O426" s="1">
        <v>0.185106809796208</v>
      </c>
      <c r="P426" s="1" t="s">
        <v>61</v>
      </c>
      <c r="Q426" s="1" t="s">
        <v>61</v>
      </c>
      <c r="R426" s="1">
        <f t="shared" si="1"/>
        <v>0.1851068098</v>
      </c>
      <c r="S426" s="1">
        <f t="shared" si="2"/>
        <v>111</v>
      </c>
      <c r="T426" s="1">
        <f t="shared" si="3"/>
        <v>2.11</v>
      </c>
      <c r="U426" s="1">
        <f t="shared" si="4"/>
        <v>0</v>
      </c>
      <c r="V426" s="3">
        <f t="shared" si="5"/>
        <v>3</v>
      </c>
      <c r="W426" s="3">
        <f t="shared" si="6"/>
        <v>1</v>
      </c>
      <c r="X426" s="3" t="str">
        <f>IFERROR(__xludf.DUMMYFUNCTION("split(B426,"" "")"),"V.")</f>
        <v>V.</v>
      </c>
      <c r="Y426" s="3" t="str">
        <f>IFERROR(__xludf.DUMMYFUNCTION("""COMPUTED_VALUE"""),"Jefferson")</f>
        <v>Jefferson</v>
      </c>
      <c r="AA426" s="3">
        <v>3.0</v>
      </c>
      <c r="AB426" s="3">
        <f t="shared" si="7"/>
        <v>1</v>
      </c>
      <c r="AC426" s="3">
        <f t="shared" si="8"/>
        <v>0</v>
      </c>
      <c r="AD426" s="3">
        <f t="shared" si="9"/>
        <v>3.33</v>
      </c>
      <c r="AE426" s="3">
        <f t="shared" si="10"/>
        <v>-3</v>
      </c>
      <c r="AF426" s="3">
        <f t="shared" si="11"/>
        <v>-1</v>
      </c>
      <c r="AG426" s="3">
        <f t="shared" si="12"/>
        <v>-1</v>
      </c>
    </row>
    <row r="427">
      <c r="A427" s="1" t="s">
        <v>9</v>
      </c>
      <c r="B427" s="1" t="s">
        <v>600</v>
      </c>
      <c r="C427" s="1" t="s">
        <v>18</v>
      </c>
      <c r="D427" s="1" t="s">
        <v>110</v>
      </c>
      <c r="E427" s="1" t="s">
        <v>88</v>
      </c>
      <c r="F427" s="1" t="s">
        <v>580</v>
      </c>
      <c r="G427" s="1">
        <v>16.5</v>
      </c>
      <c r="H427" s="1" t="s">
        <v>60</v>
      </c>
      <c r="I427" s="1">
        <v>-118.0</v>
      </c>
      <c r="J427" s="1">
        <v>0.139666897343439</v>
      </c>
      <c r="K427" s="1" t="s">
        <v>61</v>
      </c>
      <c r="L427" s="1" t="s">
        <v>61</v>
      </c>
      <c r="M427" s="1" t="s">
        <v>62</v>
      </c>
      <c r="N427" s="1">
        <v>-115.0</v>
      </c>
      <c r="O427" s="1">
        <v>-0.215826935646513</v>
      </c>
      <c r="P427" s="1" t="s">
        <v>61</v>
      </c>
      <c r="Q427" s="1" t="s">
        <v>61</v>
      </c>
      <c r="R427" s="1">
        <f t="shared" si="1"/>
        <v>0.1396668973</v>
      </c>
      <c r="S427" s="1">
        <f t="shared" si="2"/>
        <v>-118</v>
      </c>
      <c r="T427" s="1">
        <f t="shared" si="3"/>
        <v>1.847457627</v>
      </c>
      <c r="U427" s="1">
        <f t="shared" si="4"/>
        <v>1</v>
      </c>
      <c r="V427" s="3">
        <f t="shared" si="5"/>
        <v>3</v>
      </c>
      <c r="W427" s="3">
        <f t="shared" si="6"/>
        <v>3</v>
      </c>
      <c r="X427" s="3" t="str">
        <f>IFERROR(__xludf.DUMMYFUNCTION("split(B427,"" "")"),"C.")</f>
        <v>C.</v>
      </c>
      <c r="Y427" s="3" t="str">
        <f>IFERROR(__xludf.DUMMYFUNCTION("""COMPUTED_VALUE"""),"Austin")</f>
        <v>Austin</v>
      </c>
      <c r="Z427" s="3" t="str">
        <f>IFERROR(__xludf.DUMMYFUNCTION("""COMPUTED_VALUE"""),"III")</f>
        <v>III</v>
      </c>
      <c r="AA427" s="3">
        <v>6.0</v>
      </c>
      <c r="AB427" s="3">
        <f t="shared" si="7"/>
        <v>0</v>
      </c>
      <c r="AC427" s="3">
        <f t="shared" si="8"/>
        <v>0</v>
      </c>
      <c r="AD427" s="3">
        <f t="shared" si="9"/>
        <v>2.542372881</v>
      </c>
      <c r="AE427" s="3">
        <f t="shared" si="10"/>
        <v>-3</v>
      </c>
      <c r="AF427" s="3">
        <f t="shared" si="11"/>
        <v>-3</v>
      </c>
      <c r="AG427" s="3">
        <f t="shared" si="12"/>
        <v>-0.6363636364</v>
      </c>
    </row>
    <row r="428">
      <c r="A428" s="1" t="s">
        <v>12</v>
      </c>
      <c r="B428" s="1" t="s">
        <v>123</v>
      </c>
      <c r="C428" s="1" t="s">
        <v>19</v>
      </c>
      <c r="D428" s="1" t="s">
        <v>110</v>
      </c>
      <c r="E428" s="1" t="s">
        <v>88</v>
      </c>
      <c r="F428" s="1" t="s">
        <v>580</v>
      </c>
      <c r="G428" s="1">
        <v>2.5</v>
      </c>
      <c r="H428" s="1" t="s">
        <v>60</v>
      </c>
      <c r="I428" s="1">
        <v>-127.0</v>
      </c>
      <c r="J428" s="1">
        <v>-0.201069463171806</v>
      </c>
      <c r="K428" s="1" t="s">
        <v>61</v>
      </c>
      <c r="L428" s="1" t="s">
        <v>61</v>
      </c>
      <c r="M428" s="1" t="s">
        <v>62</v>
      </c>
      <c r="N428" s="1">
        <v>-104.0</v>
      </c>
      <c r="O428" s="1">
        <v>0.131793876792156</v>
      </c>
      <c r="P428" s="1" t="s">
        <v>61</v>
      </c>
      <c r="Q428" s="1" t="s">
        <v>61</v>
      </c>
      <c r="R428" s="1">
        <f t="shared" si="1"/>
        <v>0.1317938768</v>
      </c>
      <c r="S428" s="1">
        <f t="shared" si="2"/>
        <v>-104</v>
      </c>
      <c r="T428" s="1">
        <f t="shared" si="3"/>
        <v>1.961538462</v>
      </c>
      <c r="U428" s="1">
        <f t="shared" si="4"/>
        <v>0</v>
      </c>
      <c r="V428" s="3">
        <f t="shared" si="5"/>
        <v>3</v>
      </c>
      <c r="W428" s="3">
        <f t="shared" si="6"/>
        <v>2</v>
      </c>
      <c r="X428" s="3" t="str">
        <f>IFERROR(__xludf.DUMMYFUNCTION("split(B428,"" "")"),"N.")</f>
        <v>N.</v>
      </c>
      <c r="Y428" s="3" t="str">
        <f>IFERROR(__xludf.DUMMYFUNCTION("""COMPUTED_VALUE"""),"Harris")</f>
        <v>Harris</v>
      </c>
      <c r="AA428" s="3">
        <v>2.0</v>
      </c>
      <c r="AB428" s="3">
        <f t="shared" si="7"/>
        <v>0</v>
      </c>
      <c r="AC428" s="3">
        <f t="shared" si="8"/>
        <v>1</v>
      </c>
      <c r="AD428" s="3">
        <f t="shared" si="9"/>
        <v>2.884615385</v>
      </c>
      <c r="AE428" s="3">
        <f t="shared" si="10"/>
        <v>2.884615385</v>
      </c>
      <c r="AF428" s="3">
        <f t="shared" si="11"/>
        <v>1.923076923</v>
      </c>
      <c r="AG428" s="3">
        <f t="shared" si="12"/>
        <v>0.2</v>
      </c>
    </row>
    <row r="429">
      <c r="A429" s="1" t="s">
        <v>11</v>
      </c>
      <c r="B429" s="1" t="s">
        <v>601</v>
      </c>
      <c r="C429" s="1" t="s">
        <v>19</v>
      </c>
      <c r="D429" s="1" t="s">
        <v>110</v>
      </c>
      <c r="E429" s="1" t="s">
        <v>88</v>
      </c>
      <c r="F429" s="1" t="s">
        <v>580</v>
      </c>
      <c r="G429" s="1">
        <v>5.5</v>
      </c>
      <c r="H429" s="1" t="s">
        <v>60</v>
      </c>
      <c r="I429" s="1">
        <v>-113.0</v>
      </c>
      <c r="J429" s="1">
        <v>0.106483618381379</v>
      </c>
      <c r="K429" s="1" t="s">
        <v>61</v>
      </c>
      <c r="L429" s="1" t="s">
        <v>61</v>
      </c>
      <c r="M429" s="1" t="s">
        <v>62</v>
      </c>
      <c r="N429" s="1">
        <v>-112.0</v>
      </c>
      <c r="O429" s="1">
        <v>-0.165276886797462</v>
      </c>
      <c r="P429" s="1" t="s">
        <v>61</v>
      </c>
      <c r="Q429" s="1" t="s">
        <v>61</v>
      </c>
      <c r="R429" s="1">
        <f t="shared" si="1"/>
        <v>0.1064836184</v>
      </c>
      <c r="S429" s="1">
        <f t="shared" si="2"/>
        <v>-113</v>
      </c>
      <c r="T429" s="1">
        <f t="shared" si="3"/>
        <v>1.884955752</v>
      </c>
      <c r="U429" s="1">
        <f t="shared" si="4"/>
        <v>1</v>
      </c>
      <c r="V429" s="3">
        <f t="shared" si="5"/>
        <v>3</v>
      </c>
      <c r="W429" s="3">
        <f t="shared" si="6"/>
        <v>2</v>
      </c>
      <c r="X429" s="3" t="str">
        <f>IFERROR(__xludf.DUMMYFUNCTION("split(B429,"" "")"),"A.")</f>
        <v>A.</v>
      </c>
      <c r="Y429" s="3" t="str">
        <f>IFERROR(__xludf.DUMMYFUNCTION("""COMPUTED_VALUE"""),"Shampklin")</f>
        <v>Shampklin</v>
      </c>
      <c r="AA429" s="3">
        <v>0.0</v>
      </c>
      <c r="AB429" s="3">
        <f t="shared" si="7"/>
        <v>0</v>
      </c>
      <c r="AC429" s="3">
        <f t="shared" si="8"/>
        <v>0</v>
      </c>
      <c r="AD429" s="3">
        <f t="shared" si="9"/>
        <v>2.654867257</v>
      </c>
      <c r="AE429" s="3">
        <f t="shared" si="10"/>
        <v>-3</v>
      </c>
      <c r="AF429" s="3">
        <f t="shared" si="11"/>
        <v>-2</v>
      </c>
      <c r="AG429" s="3">
        <f t="shared" si="12"/>
        <v>-1</v>
      </c>
    </row>
    <row r="430">
      <c r="A430" s="1" t="s">
        <v>11</v>
      </c>
      <c r="B430" s="1" t="s">
        <v>602</v>
      </c>
      <c r="C430" s="1" t="s">
        <v>20</v>
      </c>
      <c r="D430" s="1" t="s">
        <v>110</v>
      </c>
      <c r="E430" s="1" t="s">
        <v>88</v>
      </c>
      <c r="F430" s="1" t="s">
        <v>580</v>
      </c>
      <c r="G430" s="1">
        <v>4.5</v>
      </c>
      <c r="H430" s="1" t="s">
        <v>60</v>
      </c>
      <c r="I430" s="1">
        <v>-120.0</v>
      </c>
      <c r="J430" s="1">
        <v>0.0993950166279268</v>
      </c>
      <c r="K430" s="1" t="s">
        <v>61</v>
      </c>
      <c r="L430" s="1" t="s">
        <v>61</v>
      </c>
      <c r="M430" s="1" t="s">
        <v>62</v>
      </c>
      <c r="N430" s="1">
        <v>-108.0</v>
      </c>
      <c r="O430" s="1">
        <v>-0.164044692071131</v>
      </c>
      <c r="P430" s="1" t="s">
        <v>61</v>
      </c>
      <c r="Q430" s="1" t="s">
        <v>61</v>
      </c>
      <c r="R430" s="1">
        <f t="shared" si="1"/>
        <v>0.09939501663</v>
      </c>
      <c r="S430" s="1">
        <f t="shared" si="2"/>
        <v>-120</v>
      </c>
      <c r="T430" s="1">
        <f t="shared" si="3"/>
        <v>1.833333333</v>
      </c>
      <c r="U430" s="1">
        <f t="shared" si="4"/>
        <v>1</v>
      </c>
      <c r="V430" s="3">
        <f t="shared" si="5"/>
        <v>2</v>
      </c>
      <c r="W430" s="3">
        <f t="shared" si="6"/>
        <v>3</v>
      </c>
      <c r="X430" s="3" t="str">
        <f>IFERROR(__xludf.DUMMYFUNCTION("split(B430,"" "")"),"D.")</f>
        <v>D.</v>
      </c>
      <c r="Y430" s="3" t="str">
        <f>IFERROR(__xludf.DUMMYFUNCTION("""COMPUTED_VALUE"""),"Washington")</f>
        <v>Washington</v>
      </c>
      <c r="AA430" s="3">
        <v>5.0</v>
      </c>
      <c r="AB430" s="3">
        <f t="shared" si="7"/>
        <v>1</v>
      </c>
      <c r="AC430" s="3">
        <f t="shared" si="8"/>
        <v>1</v>
      </c>
      <c r="AD430" s="3">
        <f t="shared" si="9"/>
        <v>1.666666667</v>
      </c>
      <c r="AE430" s="3">
        <f t="shared" si="10"/>
        <v>1.666666667</v>
      </c>
      <c r="AF430" s="3">
        <f t="shared" si="11"/>
        <v>2.5</v>
      </c>
      <c r="AG430" s="3">
        <f t="shared" si="12"/>
        <v>0.1111111111</v>
      </c>
    </row>
    <row r="431">
      <c r="A431" s="1" t="s">
        <v>9</v>
      </c>
      <c r="B431" s="1" t="s">
        <v>403</v>
      </c>
      <c r="C431" s="1" t="s">
        <v>18</v>
      </c>
      <c r="D431" s="1" t="s">
        <v>110</v>
      </c>
      <c r="E431" s="1" t="s">
        <v>88</v>
      </c>
      <c r="F431" s="1" t="s">
        <v>580</v>
      </c>
      <c r="G431" s="1">
        <v>18.5</v>
      </c>
      <c r="H431" s="1" t="s">
        <v>60</v>
      </c>
      <c r="I431" s="1">
        <v>-120.0</v>
      </c>
      <c r="J431" s="1">
        <v>0.0988107603929864</v>
      </c>
      <c r="K431" s="1" t="s">
        <v>61</v>
      </c>
      <c r="L431" s="1" t="s">
        <v>61</v>
      </c>
      <c r="M431" s="1" t="s">
        <v>62</v>
      </c>
      <c r="N431" s="1">
        <v>-110.0</v>
      </c>
      <c r="O431" s="1">
        <v>-0.168054304833822</v>
      </c>
      <c r="P431" s="1" t="s">
        <v>61</v>
      </c>
      <c r="Q431" s="1" t="s">
        <v>61</v>
      </c>
      <c r="R431" s="1">
        <f t="shared" si="1"/>
        <v>0.09881076039</v>
      </c>
      <c r="S431" s="1">
        <f t="shared" si="2"/>
        <v>-120</v>
      </c>
      <c r="T431" s="1">
        <f t="shared" si="3"/>
        <v>1.833333333</v>
      </c>
      <c r="U431" s="1">
        <f t="shared" si="4"/>
        <v>1</v>
      </c>
      <c r="V431" s="3">
        <f t="shared" si="5"/>
        <v>2</v>
      </c>
      <c r="W431" s="3">
        <f t="shared" si="6"/>
        <v>3</v>
      </c>
      <c r="X431" s="3" t="str">
        <f>IFERROR(__xludf.DUMMYFUNCTION("split(B431,"" "")"),"V.")</f>
        <v>V.</v>
      </c>
      <c r="Y431" s="3" t="str">
        <f>IFERROR(__xludf.DUMMYFUNCTION("""COMPUTED_VALUE"""),"Jefferson")</f>
        <v>Jefferson</v>
      </c>
      <c r="AA431" s="3">
        <v>26.0</v>
      </c>
      <c r="AB431" s="3">
        <f t="shared" si="7"/>
        <v>1</v>
      </c>
      <c r="AC431" s="3">
        <f t="shared" si="8"/>
        <v>1</v>
      </c>
      <c r="AD431" s="3">
        <f t="shared" si="9"/>
        <v>1.666666667</v>
      </c>
      <c r="AE431" s="3">
        <f t="shared" si="10"/>
        <v>1.666666667</v>
      </c>
      <c r="AF431" s="3">
        <f t="shared" si="11"/>
        <v>2.5</v>
      </c>
      <c r="AG431" s="3">
        <f t="shared" si="12"/>
        <v>0.4054054054</v>
      </c>
    </row>
    <row r="432">
      <c r="A432" s="1" t="s">
        <v>15</v>
      </c>
      <c r="B432" s="1" t="s">
        <v>555</v>
      </c>
      <c r="C432" s="1" t="s">
        <v>21</v>
      </c>
      <c r="D432" s="1" t="s">
        <v>110</v>
      </c>
      <c r="E432" s="1" t="s">
        <v>88</v>
      </c>
      <c r="F432" s="1" t="s">
        <v>580</v>
      </c>
      <c r="G432" s="1">
        <v>17.5</v>
      </c>
      <c r="H432" s="1" t="s">
        <v>60</v>
      </c>
      <c r="I432" s="1">
        <v>-104.0</v>
      </c>
      <c r="J432" s="1">
        <v>-0.164352734088235</v>
      </c>
      <c r="K432" s="1" t="s">
        <v>61</v>
      </c>
      <c r="L432" s="1" t="s">
        <v>61</v>
      </c>
      <c r="M432" s="1" t="s">
        <v>62</v>
      </c>
      <c r="N432" s="1">
        <v>-126.0</v>
      </c>
      <c r="O432" s="1">
        <v>0.0970333927877874</v>
      </c>
      <c r="P432" s="1" t="s">
        <v>61</v>
      </c>
      <c r="Q432" s="1" t="s">
        <v>61</v>
      </c>
      <c r="R432" s="1">
        <f t="shared" si="1"/>
        <v>0.09703339279</v>
      </c>
      <c r="S432" s="1">
        <f t="shared" si="2"/>
        <v>-126</v>
      </c>
      <c r="T432" s="1">
        <f t="shared" si="3"/>
        <v>1.793650794</v>
      </c>
      <c r="U432" s="1">
        <f t="shared" si="4"/>
        <v>0</v>
      </c>
      <c r="V432" s="3">
        <f t="shared" si="5"/>
        <v>2</v>
      </c>
      <c r="W432" s="3">
        <f t="shared" si="6"/>
        <v>3</v>
      </c>
      <c r="X432" s="3" t="str">
        <f>IFERROR(__xludf.DUMMYFUNCTION("split(B432,"" "")"),"J.")</f>
        <v>J.</v>
      </c>
      <c r="Y432" s="3" t="str">
        <f>IFERROR(__xludf.DUMMYFUNCTION("""COMPUTED_VALUE"""),"Fields")</f>
        <v>Fields</v>
      </c>
      <c r="AA432" s="3">
        <v>15.0</v>
      </c>
      <c r="AB432" s="3">
        <f t="shared" si="7"/>
        <v>0</v>
      </c>
      <c r="AC432" s="3">
        <f t="shared" si="8"/>
        <v>1</v>
      </c>
      <c r="AD432" s="3">
        <f t="shared" si="9"/>
        <v>1.587301587</v>
      </c>
      <c r="AE432" s="3">
        <f t="shared" si="10"/>
        <v>1.587301587</v>
      </c>
      <c r="AF432" s="3">
        <f t="shared" si="11"/>
        <v>2.380952381</v>
      </c>
      <c r="AG432" s="3">
        <f t="shared" si="12"/>
        <v>0.1428571429</v>
      </c>
    </row>
    <row r="433">
      <c r="A433" s="1" t="s">
        <v>12</v>
      </c>
      <c r="B433" s="1" t="s">
        <v>489</v>
      </c>
      <c r="C433" s="1" t="s">
        <v>20</v>
      </c>
      <c r="D433" s="1" t="s">
        <v>110</v>
      </c>
      <c r="E433" s="1" t="s">
        <v>88</v>
      </c>
      <c r="F433" s="1" t="s">
        <v>580</v>
      </c>
      <c r="G433" s="1">
        <v>3.5</v>
      </c>
      <c r="H433" s="1" t="s">
        <v>60</v>
      </c>
      <c r="I433" s="1">
        <v>-105.0</v>
      </c>
      <c r="J433" s="1">
        <v>-0.158295121951219</v>
      </c>
      <c r="K433" s="1" t="s">
        <v>61</v>
      </c>
      <c r="L433" s="1" t="s">
        <v>61</v>
      </c>
      <c r="M433" s="1" t="s">
        <v>62</v>
      </c>
      <c r="N433" s="1">
        <v>-125.0</v>
      </c>
      <c r="O433" s="1">
        <v>0.0905444444444444</v>
      </c>
      <c r="P433" s="1" t="s">
        <v>61</v>
      </c>
      <c r="Q433" s="1" t="s">
        <v>61</v>
      </c>
      <c r="R433" s="1">
        <f t="shared" si="1"/>
        <v>0.09054444444</v>
      </c>
      <c r="S433" s="1">
        <f t="shared" si="2"/>
        <v>-125</v>
      </c>
      <c r="T433" s="1">
        <f t="shared" si="3"/>
        <v>1.8</v>
      </c>
      <c r="U433" s="1">
        <f t="shared" si="4"/>
        <v>0</v>
      </c>
      <c r="V433" s="3">
        <f t="shared" si="5"/>
        <v>2</v>
      </c>
      <c r="W433" s="3">
        <f t="shared" si="6"/>
        <v>3</v>
      </c>
      <c r="X433" s="3" t="str">
        <f>IFERROR(__xludf.DUMMYFUNCTION("split(B433,"" "")"),"P.")</f>
        <v>P.</v>
      </c>
      <c r="Y433" s="3" t="str">
        <f>IFERROR(__xludf.DUMMYFUNCTION("""COMPUTED_VALUE"""),"Freiermuth")</f>
        <v>Freiermuth</v>
      </c>
      <c r="AA433" s="3">
        <v>3.0</v>
      </c>
      <c r="AB433" s="3">
        <f t="shared" si="7"/>
        <v>0</v>
      </c>
      <c r="AC433" s="3">
        <f t="shared" si="8"/>
        <v>1</v>
      </c>
      <c r="AD433" s="3">
        <f t="shared" si="9"/>
        <v>1.6</v>
      </c>
      <c r="AE433" s="3">
        <f t="shared" si="10"/>
        <v>1.6</v>
      </c>
      <c r="AF433" s="3">
        <f t="shared" si="11"/>
        <v>2.4</v>
      </c>
      <c r="AG433" s="3">
        <f t="shared" si="12"/>
        <v>0.1428571429</v>
      </c>
    </row>
    <row r="434">
      <c r="A434" s="1" t="s">
        <v>12</v>
      </c>
      <c r="B434" s="1" t="s">
        <v>600</v>
      </c>
      <c r="C434" s="1" t="s">
        <v>18</v>
      </c>
      <c r="D434" s="1" t="s">
        <v>110</v>
      </c>
      <c r="E434" s="1" t="s">
        <v>88</v>
      </c>
      <c r="F434" s="1" t="s">
        <v>580</v>
      </c>
      <c r="G434" s="1">
        <v>1.5</v>
      </c>
      <c r="H434" s="1" t="s">
        <v>60</v>
      </c>
      <c r="I434" s="1">
        <v>-101.0</v>
      </c>
      <c r="J434" s="1">
        <v>-0.153529237069651</v>
      </c>
      <c r="K434" s="1" t="s">
        <v>61</v>
      </c>
      <c r="L434" s="1" t="s">
        <v>61</v>
      </c>
      <c r="M434" s="1" t="s">
        <v>62</v>
      </c>
      <c r="N434" s="1">
        <v>-129.0</v>
      </c>
      <c r="O434" s="1">
        <v>0.0877284099554148</v>
      </c>
      <c r="P434" s="1" t="s">
        <v>61</v>
      </c>
      <c r="Q434" s="1" t="s">
        <v>61</v>
      </c>
      <c r="R434" s="1">
        <f t="shared" si="1"/>
        <v>0.08772840996</v>
      </c>
      <c r="S434" s="1">
        <f t="shared" si="2"/>
        <v>-129</v>
      </c>
      <c r="T434" s="1">
        <f t="shared" si="3"/>
        <v>1.775193798</v>
      </c>
      <c r="U434" s="1">
        <f t="shared" si="4"/>
        <v>0</v>
      </c>
      <c r="V434" s="3">
        <f t="shared" si="5"/>
        <v>2</v>
      </c>
      <c r="W434" s="3">
        <f t="shared" si="6"/>
        <v>3</v>
      </c>
      <c r="X434" s="3" t="str">
        <f>IFERROR(__xludf.DUMMYFUNCTION("split(B434,"" "")"),"C.")</f>
        <v>C.</v>
      </c>
      <c r="Y434" s="3" t="str">
        <f>IFERROR(__xludf.DUMMYFUNCTION("""COMPUTED_VALUE"""),"Austin")</f>
        <v>Austin</v>
      </c>
      <c r="Z434" s="3" t="str">
        <f>IFERROR(__xludf.DUMMYFUNCTION("""COMPUTED_VALUE"""),"III")</f>
        <v>III</v>
      </c>
      <c r="AA434" s="3">
        <v>1.0</v>
      </c>
      <c r="AB434" s="3">
        <f t="shared" si="7"/>
        <v>0</v>
      </c>
      <c r="AC434" s="3">
        <f t="shared" si="8"/>
        <v>1</v>
      </c>
      <c r="AD434" s="3">
        <f t="shared" si="9"/>
        <v>1.550387597</v>
      </c>
      <c r="AE434" s="3">
        <f t="shared" si="10"/>
        <v>1.550387597</v>
      </c>
      <c r="AF434" s="3">
        <f t="shared" si="11"/>
        <v>2.325581395</v>
      </c>
      <c r="AG434" s="3">
        <f t="shared" si="12"/>
        <v>0.3333333333</v>
      </c>
    </row>
    <row r="435">
      <c r="A435" s="1" t="s">
        <v>8</v>
      </c>
      <c r="B435" s="1" t="s">
        <v>555</v>
      </c>
      <c r="C435" s="1" t="s">
        <v>21</v>
      </c>
      <c r="D435" s="1" t="s">
        <v>110</v>
      </c>
      <c r="E435" s="1" t="s">
        <v>88</v>
      </c>
      <c r="F435" s="1" t="s">
        <v>580</v>
      </c>
      <c r="G435" s="1">
        <v>9.5</v>
      </c>
      <c r="H435" s="1" t="s">
        <v>60</v>
      </c>
      <c r="I435" s="1">
        <v>-101.0</v>
      </c>
      <c r="J435" s="1">
        <v>-0.148884499388049</v>
      </c>
      <c r="K435" s="1" t="s">
        <v>61</v>
      </c>
      <c r="L435" s="1" t="s">
        <v>61</v>
      </c>
      <c r="M435" s="1" t="s">
        <v>62</v>
      </c>
      <c r="N435" s="1">
        <v>-133.0</v>
      </c>
      <c r="O435" s="1">
        <v>0.0755810352850099</v>
      </c>
      <c r="P435" s="1" t="s">
        <v>61</v>
      </c>
      <c r="Q435" s="1" t="s">
        <v>61</v>
      </c>
      <c r="R435" s="1">
        <f t="shared" si="1"/>
        <v>0.07558103529</v>
      </c>
      <c r="S435" s="1">
        <f t="shared" si="2"/>
        <v>-133</v>
      </c>
      <c r="T435" s="1">
        <f t="shared" si="3"/>
        <v>1.751879699</v>
      </c>
      <c r="U435" s="1">
        <f t="shared" si="4"/>
        <v>0</v>
      </c>
      <c r="V435" s="3">
        <f t="shared" si="5"/>
        <v>2</v>
      </c>
      <c r="W435" s="3">
        <f t="shared" si="6"/>
        <v>3</v>
      </c>
      <c r="X435" s="3" t="str">
        <f>IFERROR(__xludf.DUMMYFUNCTION("split(B435,"" "")"),"J.")</f>
        <v>J.</v>
      </c>
      <c r="Y435" s="3" t="str">
        <f>IFERROR(__xludf.DUMMYFUNCTION("""COMPUTED_VALUE"""),"Fields")</f>
        <v>Fields</v>
      </c>
      <c r="AA435" s="3">
        <v>6.0</v>
      </c>
      <c r="AB435" s="3">
        <f t="shared" si="7"/>
        <v>0</v>
      </c>
      <c r="AC435" s="3">
        <f t="shared" si="8"/>
        <v>1</v>
      </c>
      <c r="AD435" s="3">
        <f t="shared" si="9"/>
        <v>1.503759398</v>
      </c>
      <c r="AE435" s="3">
        <f t="shared" si="10"/>
        <v>1.503759398</v>
      </c>
      <c r="AF435" s="3">
        <f t="shared" si="11"/>
        <v>2.255639098</v>
      </c>
      <c r="AG435" s="3">
        <f t="shared" si="12"/>
        <v>0.3684210526</v>
      </c>
    </row>
    <row r="436">
      <c r="A436" s="1" t="s">
        <v>16</v>
      </c>
      <c r="B436" s="1" t="s">
        <v>555</v>
      </c>
      <c r="C436" s="1" t="s">
        <v>21</v>
      </c>
      <c r="D436" s="1" t="s">
        <v>110</v>
      </c>
      <c r="E436" s="1" t="s">
        <v>88</v>
      </c>
      <c r="F436" s="1" t="s">
        <v>580</v>
      </c>
      <c r="G436" s="1">
        <v>26.5</v>
      </c>
      <c r="H436" s="1" t="s">
        <v>60</v>
      </c>
      <c r="I436" s="1">
        <v>-111.0</v>
      </c>
      <c r="J436" s="1">
        <v>-0.121266187914691</v>
      </c>
      <c r="K436" s="1" t="s">
        <v>61</v>
      </c>
      <c r="L436" s="1" t="s">
        <v>61</v>
      </c>
      <c r="M436" s="1" t="s">
        <v>62</v>
      </c>
      <c r="N436" s="1">
        <v>-119.0</v>
      </c>
      <c r="O436" s="1">
        <v>0.0518208179155251</v>
      </c>
      <c r="P436" s="1" t="s">
        <v>61</v>
      </c>
      <c r="Q436" s="1" t="s">
        <v>61</v>
      </c>
      <c r="R436" s="1">
        <f t="shared" si="1"/>
        <v>0.05182081792</v>
      </c>
      <c r="S436" s="1">
        <f t="shared" si="2"/>
        <v>-119</v>
      </c>
      <c r="T436" s="1">
        <f t="shared" si="3"/>
        <v>1.840336134</v>
      </c>
      <c r="U436" s="1">
        <f t="shared" si="4"/>
        <v>0</v>
      </c>
      <c r="V436" s="3">
        <f t="shared" si="5"/>
        <v>2</v>
      </c>
      <c r="W436" s="3">
        <f t="shared" si="6"/>
        <v>3</v>
      </c>
      <c r="X436" s="3" t="str">
        <f>IFERROR(__xludf.DUMMYFUNCTION("split(B436,"" "")"),"J.")</f>
        <v>J.</v>
      </c>
      <c r="Y436" s="3" t="str">
        <f>IFERROR(__xludf.DUMMYFUNCTION("""COMPUTED_VALUE"""),"Fields")</f>
        <v>Fields</v>
      </c>
      <c r="AA436" s="3">
        <v>27.0</v>
      </c>
      <c r="AB436" s="3">
        <f t="shared" si="7"/>
        <v>1</v>
      </c>
      <c r="AC436" s="3">
        <f t="shared" si="8"/>
        <v>0</v>
      </c>
      <c r="AD436" s="3">
        <f t="shared" si="9"/>
        <v>1.680672269</v>
      </c>
      <c r="AE436" s="3">
        <f t="shared" si="10"/>
        <v>-2</v>
      </c>
      <c r="AF436" s="3">
        <f t="shared" si="11"/>
        <v>-3</v>
      </c>
      <c r="AG436" s="3">
        <f t="shared" si="12"/>
        <v>-0.01886792453</v>
      </c>
    </row>
    <row r="437">
      <c r="A437" s="1" t="s">
        <v>9</v>
      </c>
      <c r="B437" s="1" t="s">
        <v>601</v>
      </c>
      <c r="C437" s="1" t="s">
        <v>19</v>
      </c>
      <c r="D437" s="1" t="s">
        <v>110</v>
      </c>
      <c r="E437" s="1" t="s">
        <v>88</v>
      </c>
      <c r="F437" s="1" t="s">
        <v>580</v>
      </c>
      <c r="G437" s="1">
        <v>26.5</v>
      </c>
      <c r="H437" s="1" t="s">
        <v>60</v>
      </c>
      <c r="I437" s="1">
        <v>-118.0</v>
      </c>
      <c r="J437" s="1">
        <v>0.0512336286695365</v>
      </c>
      <c r="K437" s="1" t="s">
        <v>61</v>
      </c>
      <c r="L437" s="1" t="s">
        <v>61</v>
      </c>
      <c r="M437" s="1" t="s">
        <v>62</v>
      </c>
      <c r="N437" s="1">
        <v>-117.0</v>
      </c>
      <c r="O437" s="1">
        <v>-0.131656623633419</v>
      </c>
      <c r="P437" s="1" t="s">
        <v>61</v>
      </c>
      <c r="Q437" s="1" t="s">
        <v>61</v>
      </c>
      <c r="R437" s="1">
        <f t="shared" si="1"/>
        <v>0.05123362867</v>
      </c>
      <c r="S437" s="1">
        <f t="shared" si="2"/>
        <v>-118</v>
      </c>
      <c r="T437" s="1">
        <f t="shared" si="3"/>
        <v>1.847457627</v>
      </c>
      <c r="U437" s="1">
        <f t="shared" si="4"/>
        <v>1</v>
      </c>
      <c r="V437" s="3">
        <f t="shared" si="5"/>
        <v>2</v>
      </c>
      <c r="W437" s="3">
        <f t="shared" si="6"/>
        <v>3</v>
      </c>
      <c r="X437" s="3" t="str">
        <f>IFERROR(__xludf.DUMMYFUNCTION("split(B437,"" "")"),"A.")</f>
        <v>A.</v>
      </c>
      <c r="Y437" s="3" t="str">
        <f>IFERROR(__xludf.DUMMYFUNCTION("""COMPUTED_VALUE"""),"Shampklin")</f>
        <v>Shampklin</v>
      </c>
      <c r="AA437" s="3">
        <v>14.0</v>
      </c>
      <c r="AB437" s="3">
        <f t="shared" si="7"/>
        <v>0</v>
      </c>
      <c r="AC437" s="3">
        <f t="shared" si="8"/>
        <v>0</v>
      </c>
      <c r="AD437" s="3">
        <f t="shared" si="9"/>
        <v>1.694915254</v>
      </c>
      <c r="AE437" s="3">
        <f t="shared" si="10"/>
        <v>-2</v>
      </c>
      <c r="AF437" s="3">
        <f t="shared" si="11"/>
        <v>-3</v>
      </c>
      <c r="AG437" s="3">
        <f t="shared" si="12"/>
        <v>-0.4716981132</v>
      </c>
    </row>
    <row r="438">
      <c r="A438" s="1" t="s">
        <v>11</v>
      </c>
      <c r="B438" s="1" t="s">
        <v>489</v>
      </c>
      <c r="C438" s="1" t="s">
        <v>20</v>
      </c>
      <c r="D438" s="1" t="s">
        <v>110</v>
      </c>
      <c r="E438" s="1" t="s">
        <v>88</v>
      </c>
      <c r="F438" s="1" t="s">
        <v>580</v>
      </c>
      <c r="G438" s="1">
        <v>32.5</v>
      </c>
      <c r="H438" s="1" t="s">
        <v>60</v>
      </c>
      <c r="I438" s="1">
        <v>-114.0</v>
      </c>
      <c r="J438" s="1">
        <v>-0.103326170105467</v>
      </c>
      <c r="K438" s="1" t="s">
        <v>61</v>
      </c>
      <c r="L438" s="1" t="s">
        <v>61</v>
      </c>
      <c r="M438" s="1" t="s">
        <v>62</v>
      </c>
      <c r="N438" s="1">
        <v>-112.0</v>
      </c>
      <c r="O438" s="1">
        <v>0.0423284164415775</v>
      </c>
      <c r="P438" s="1" t="s">
        <v>61</v>
      </c>
      <c r="Q438" s="1" t="s">
        <v>61</v>
      </c>
      <c r="R438" s="1">
        <f t="shared" si="1"/>
        <v>0.04232841644</v>
      </c>
      <c r="S438" s="1">
        <f t="shared" si="2"/>
        <v>-112</v>
      </c>
      <c r="T438" s="1">
        <f t="shared" si="3"/>
        <v>1.892857143</v>
      </c>
      <c r="U438" s="1">
        <f t="shared" si="4"/>
        <v>0</v>
      </c>
      <c r="V438" s="3">
        <f t="shared" si="5"/>
        <v>1</v>
      </c>
      <c r="W438" s="3">
        <f t="shared" si="6"/>
        <v>2</v>
      </c>
      <c r="X438" s="3" t="str">
        <f>IFERROR(__xludf.DUMMYFUNCTION("split(B438,"" "")"),"P.")</f>
        <v>P.</v>
      </c>
      <c r="Y438" s="3" t="str">
        <f>IFERROR(__xludf.DUMMYFUNCTION("""COMPUTED_VALUE"""),"Freiermuth")</f>
        <v>Freiermuth</v>
      </c>
      <c r="AA438" s="3">
        <v>22.0</v>
      </c>
      <c r="AB438" s="3">
        <f t="shared" si="7"/>
        <v>0</v>
      </c>
      <c r="AC438" s="3">
        <f t="shared" si="8"/>
        <v>1</v>
      </c>
      <c r="AD438" s="3">
        <f t="shared" si="9"/>
        <v>0.8928571429</v>
      </c>
      <c r="AE438" s="3">
        <f t="shared" si="10"/>
        <v>0.8928571429</v>
      </c>
      <c r="AF438" s="3">
        <f t="shared" si="11"/>
        <v>1.785714286</v>
      </c>
      <c r="AG438" s="3">
        <f t="shared" si="12"/>
        <v>0.3230769231</v>
      </c>
    </row>
    <row r="439">
      <c r="A439" s="1" t="s">
        <v>10</v>
      </c>
      <c r="B439" s="1" t="s">
        <v>555</v>
      </c>
      <c r="C439" s="1" t="s">
        <v>21</v>
      </c>
      <c r="D439" s="1" t="s">
        <v>110</v>
      </c>
      <c r="E439" s="1" t="s">
        <v>88</v>
      </c>
      <c r="F439" s="1" t="s">
        <v>580</v>
      </c>
      <c r="G439" s="1">
        <v>46.5</v>
      </c>
      <c r="H439" s="1" t="s">
        <v>60</v>
      </c>
      <c r="I439" s="1">
        <v>-121.0</v>
      </c>
      <c r="J439" s="1">
        <v>-0.0915992495465551</v>
      </c>
      <c r="K439" s="1" t="s">
        <v>61</v>
      </c>
      <c r="L439" s="1" t="s">
        <v>61</v>
      </c>
      <c r="M439" s="1" t="s">
        <v>62</v>
      </c>
      <c r="N439" s="1">
        <v>-109.0</v>
      </c>
      <c r="O439" s="1">
        <v>0.0225548990679137</v>
      </c>
      <c r="P439" s="1" t="s">
        <v>61</v>
      </c>
      <c r="Q439" s="1" t="s">
        <v>61</v>
      </c>
      <c r="R439" s="1">
        <f t="shared" si="1"/>
        <v>0.02255489907</v>
      </c>
      <c r="S439" s="1">
        <f t="shared" si="2"/>
        <v>-109</v>
      </c>
      <c r="T439" s="1">
        <f t="shared" si="3"/>
        <v>1.917431193</v>
      </c>
      <c r="U439" s="1">
        <f t="shared" si="4"/>
        <v>0</v>
      </c>
      <c r="V439" s="3">
        <f t="shared" si="5"/>
        <v>1</v>
      </c>
      <c r="W439" s="3">
        <f t="shared" si="6"/>
        <v>2</v>
      </c>
      <c r="X439" s="3" t="str">
        <f>IFERROR(__xludf.DUMMYFUNCTION("split(B439,"" "")"),"J.")</f>
        <v>J.</v>
      </c>
      <c r="Y439" s="3" t="str">
        <f>IFERROR(__xludf.DUMMYFUNCTION("""COMPUTED_VALUE"""),"Fields")</f>
        <v>Fields</v>
      </c>
      <c r="AA439" s="3">
        <v>27.0</v>
      </c>
      <c r="AB439" s="3">
        <f t="shared" si="7"/>
        <v>0</v>
      </c>
      <c r="AC439" s="3">
        <f t="shared" si="8"/>
        <v>1</v>
      </c>
      <c r="AD439" s="3">
        <f t="shared" si="9"/>
        <v>0.9174311927</v>
      </c>
      <c r="AE439" s="3">
        <f t="shared" si="10"/>
        <v>0.9174311927</v>
      </c>
      <c r="AF439" s="3">
        <f t="shared" si="11"/>
        <v>1.834862385</v>
      </c>
      <c r="AG439" s="3">
        <f t="shared" si="12"/>
        <v>0.4193548387</v>
      </c>
    </row>
    <row r="440">
      <c r="A440" s="1" t="s">
        <v>12</v>
      </c>
      <c r="B440" s="1" t="s">
        <v>415</v>
      </c>
      <c r="C440" s="1" t="s">
        <v>18</v>
      </c>
      <c r="D440" s="1" t="s">
        <v>110</v>
      </c>
      <c r="E440" s="1" t="s">
        <v>88</v>
      </c>
      <c r="F440" s="1" t="s">
        <v>580</v>
      </c>
      <c r="G440" s="1">
        <v>4.5</v>
      </c>
      <c r="H440" s="1" t="s">
        <v>60</v>
      </c>
      <c r="I440" s="1">
        <v>110.0</v>
      </c>
      <c r="J440" s="1">
        <v>0.0102095238095238</v>
      </c>
      <c r="K440" s="1" t="s">
        <v>61</v>
      </c>
      <c r="L440" s="1" t="s">
        <v>61</v>
      </c>
      <c r="M440" s="1" t="s">
        <v>62</v>
      </c>
      <c r="N440" s="1">
        <v>-143.0</v>
      </c>
      <c r="O440" s="1">
        <v>-0.074877366255144</v>
      </c>
      <c r="P440" s="1" t="s">
        <v>61</v>
      </c>
      <c r="Q440" s="1" t="s">
        <v>61</v>
      </c>
      <c r="R440" s="1">
        <f t="shared" si="1"/>
        <v>0.01020952381</v>
      </c>
      <c r="S440" s="1">
        <f t="shared" si="2"/>
        <v>110</v>
      </c>
      <c r="T440" s="1">
        <f t="shared" si="3"/>
        <v>2.1</v>
      </c>
      <c r="U440" s="1">
        <f t="shared" si="4"/>
        <v>1</v>
      </c>
      <c r="V440" s="3">
        <f t="shared" si="5"/>
        <v>1</v>
      </c>
      <c r="W440" s="3">
        <f t="shared" si="6"/>
        <v>2</v>
      </c>
      <c r="X440" s="3" t="str">
        <f>IFERROR(__xludf.DUMMYFUNCTION("split(B440,"" "")"),"G.")</f>
        <v>G.</v>
      </c>
      <c r="Y440" s="3" t="str">
        <f>IFERROR(__xludf.DUMMYFUNCTION("""COMPUTED_VALUE"""),"Pickens")</f>
        <v>Pickens</v>
      </c>
      <c r="AA440" s="3">
        <v>3.0</v>
      </c>
      <c r="AB440" s="3">
        <f t="shared" si="7"/>
        <v>0</v>
      </c>
      <c r="AC440" s="3">
        <f t="shared" si="8"/>
        <v>0</v>
      </c>
      <c r="AD440" s="3">
        <f t="shared" si="9"/>
        <v>1.1</v>
      </c>
      <c r="AE440" s="3">
        <f t="shared" si="10"/>
        <v>-1</v>
      </c>
      <c r="AF440" s="3">
        <f t="shared" si="11"/>
        <v>-2</v>
      </c>
      <c r="AG440" s="3">
        <f t="shared" si="12"/>
        <v>-0.3333333333</v>
      </c>
    </row>
    <row r="441">
      <c r="A441" s="1" t="s">
        <v>10</v>
      </c>
      <c r="B441" s="1" t="s">
        <v>601</v>
      </c>
      <c r="C441" s="1" t="s">
        <v>19</v>
      </c>
      <c r="D441" s="1" t="s">
        <v>110</v>
      </c>
      <c r="E441" s="1" t="s">
        <v>88</v>
      </c>
      <c r="F441" s="1" t="s">
        <v>580</v>
      </c>
      <c r="G441" s="1">
        <v>17.5</v>
      </c>
      <c r="H441" s="1" t="s">
        <v>60</v>
      </c>
      <c r="I441" s="1">
        <v>-106.0</v>
      </c>
      <c r="J441" s="1">
        <v>-0.069151294240732</v>
      </c>
      <c r="K441" s="1" t="s">
        <v>61</v>
      </c>
      <c r="L441" s="1" t="s">
        <v>61</v>
      </c>
      <c r="M441" s="1" t="s">
        <v>62</v>
      </c>
      <c r="N441" s="1">
        <v>-124.0</v>
      </c>
      <c r="O441" s="1">
        <v>0.00105720803952047</v>
      </c>
      <c r="P441" s="1" t="s">
        <v>61</v>
      </c>
      <c r="Q441" s="1" t="s">
        <v>61</v>
      </c>
      <c r="R441" s="1">
        <f t="shared" si="1"/>
        <v>0.00105720804</v>
      </c>
      <c r="S441" s="1">
        <f t="shared" si="2"/>
        <v>-124</v>
      </c>
      <c r="T441" s="1">
        <f t="shared" si="3"/>
        <v>1.806451613</v>
      </c>
      <c r="U441" s="1">
        <f t="shared" si="4"/>
        <v>0</v>
      </c>
      <c r="V441" s="3">
        <f t="shared" si="5"/>
        <v>1</v>
      </c>
      <c r="W441" s="3">
        <f t="shared" si="6"/>
        <v>3</v>
      </c>
      <c r="X441" s="3" t="str">
        <f>IFERROR(__xludf.DUMMYFUNCTION("split(B441,"" "")"),"A.")</f>
        <v>A.</v>
      </c>
      <c r="Y441" s="3" t="str">
        <f>IFERROR(__xludf.DUMMYFUNCTION("""COMPUTED_VALUE"""),"Shampklin")</f>
        <v>Shampklin</v>
      </c>
      <c r="AA441" s="3">
        <v>14.0</v>
      </c>
      <c r="AB441" s="3">
        <f t="shared" si="7"/>
        <v>0</v>
      </c>
      <c r="AC441" s="3">
        <f t="shared" si="8"/>
        <v>1</v>
      </c>
      <c r="AD441" s="3">
        <f t="shared" si="9"/>
        <v>0.8064516129</v>
      </c>
      <c r="AE441" s="3">
        <f t="shared" si="10"/>
        <v>0.8064516129</v>
      </c>
      <c r="AF441" s="3">
        <f t="shared" si="11"/>
        <v>2.419354839</v>
      </c>
      <c r="AG441" s="3">
        <f t="shared" si="12"/>
        <v>0.2</v>
      </c>
    </row>
    <row r="442">
      <c r="A442" s="1" t="s">
        <v>10</v>
      </c>
      <c r="B442" s="1" t="s">
        <v>123</v>
      </c>
      <c r="C442" s="1" t="s">
        <v>19</v>
      </c>
      <c r="D442" s="1" t="s">
        <v>110</v>
      </c>
      <c r="E442" s="1" t="s">
        <v>88</v>
      </c>
      <c r="F442" s="1" t="s">
        <v>580</v>
      </c>
      <c r="G442" s="1">
        <v>71.5</v>
      </c>
      <c r="H442" s="1" t="s">
        <v>60</v>
      </c>
      <c r="I442" s="1">
        <v>-117.0</v>
      </c>
      <c r="J442" s="1">
        <v>-0.0683321193659859</v>
      </c>
      <c r="K442" s="1" t="s">
        <v>61</v>
      </c>
      <c r="L442" s="1" t="s">
        <v>61</v>
      </c>
      <c r="M442" s="1" t="s">
        <v>62</v>
      </c>
      <c r="N442" s="1">
        <v>-112.0</v>
      </c>
      <c r="O442" s="1">
        <v>8.3801164461128E-4</v>
      </c>
      <c r="P442" s="1" t="s">
        <v>61</v>
      </c>
      <c r="Q442" s="1" t="s">
        <v>61</v>
      </c>
      <c r="R442" s="1">
        <f t="shared" si="1"/>
        <v>0.0008380116446</v>
      </c>
      <c r="S442" s="1">
        <f t="shared" si="2"/>
        <v>-112</v>
      </c>
      <c r="T442" s="1">
        <f t="shared" si="3"/>
        <v>1.892857143</v>
      </c>
      <c r="U442" s="1">
        <f t="shared" si="4"/>
        <v>0</v>
      </c>
      <c r="V442" s="3">
        <f t="shared" si="5"/>
        <v>1</v>
      </c>
      <c r="W442" s="3">
        <f t="shared" si="6"/>
        <v>2</v>
      </c>
      <c r="X442" s="3" t="str">
        <f>IFERROR(__xludf.DUMMYFUNCTION("split(B442,"" "")"),"N.")</f>
        <v>N.</v>
      </c>
      <c r="Y442" s="3" t="str">
        <f>IFERROR(__xludf.DUMMYFUNCTION("""COMPUTED_VALUE"""),"Harris")</f>
        <v>Harris</v>
      </c>
      <c r="AA442" s="3">
        <v>42.0</v>
      </c>
      <c r="AB442" s="3">
        <f t="shared" si="7"/>
        <v>0</v>
      </c>
      <c r="AC442" s="3">
        <f t="shared" si="8"/>
        <v>1</v>
      </c>
      <c r="AD442" s="3">
        <f t="shared" si="9"/>
        <v>0.8928571429</v>
      </c>
      <c r="AE442" s="3">
        <f t="shared" si="10"/>
        <v>0.8928571429</v>
      </c>
      <c r="AF442" s="3">
        <f t="shared" si="11"/>
        <v>1.785714286</v>
      </c>
      <c r="AG442" s="3">
        <f t="shared" si="12"/>
        <v>0.4125874126</v>
      </c>
    </row>
    <row r="443">
      <c r="A443" s="1" t="s">
        <v>8</v>
      </c>
      <c r="B443" s="1" t="s">
        <v>500</v>
      </c>
      <c r="C443" s="1" t="s">
        <v>21</v>
      </c>
      <c r="D443" s="1" t="s">
        <v>82</v>
      </c>
      <c r="E443" s="1" t="s">
        <v>147</v>
      </c>
      <c r="F443" s="1" t="s">
        <v>582</v>
      </c>
      <c r="G443" s="1">
        <v>2.5</v>
      </c>
      <c r="H443" s="1" t="s">
        <v>60</v>
      </c>
      <c r="I443" s="1">
        <v>-161.0</v>
      </c>
      <c r="J443" s="1">
        <v>-0.245588861411521</v>
      </c>
      <c r="K443" s="1" t="s">
        <v>61</v>
      </c>
      <c r="L443" s="1" t="s">
        <v>61</v>
      </c>
      <c r="M443" s="1" t="s">
        <v>62</v>
      </c>
      <c r="N443" s="1">
        <v>119.0</v>
      </c>
      <c r="O443" s="1">
        <v>0.172115492367155</v>
      </c>
      <c r="P443" s="1" t="s">
        <v>61</v>
      </c>
      <c r="Q443" s="1" t="s">
        <v>61</v>
      </c>
      <c r="R443" s="1">
        <f t="shared" si="1"/>
        <v>0.1721154924</v>
      </c>
      <c r="S443" s="1">
        <f t="shared" si="2"/>
        <v>119</v>
      </c>
      <c r="T443" s="1">
        <f t="shared" si="3"/>
        <v>2.19</v>
      </c>
      <c r="U443" s="1">
        <f t="shared" si="4"/>
        <v>0</v>
      </c>
      <c r="V443" s="3">
        <f t="shared" si="5"/>
        <v>3</v>
      </c>
      <c r="W443" s="3">
        <f t="shared" si="6"/>
        <v>1</v>
      </c>
      <c r="X443" s="3" t="str">
        <f>IFERROR(__xludf.DUMMYFUNCTION("split(B443,"" "")"),"G.")</f>
        <v>G.</v>
      </c>
      <c r="Y443" s="3" t="str">
        <f>IFERROR(__xludf.DUMMYFUNCTION("""COMPUTED_VALUE"""),"Smith")</f>
        <v>Smith</v>
      </c>
      <c r="AA443" s="3">
        <v>4.0</v>
      </c>
      <c r="AB443" s="3">
        <f t="shared" si="7"/>
        <v>1</v>
      </c>
      <c r="AC443" s="3">
        <f t="shared" si="8"/>
        <v>0</v>
      </c>
      <c r="AD443" s="3">
        <f t="shared" si="9"/>
        <v>3.57</v>
      </c>
      <c r="AE443" s="3">
        <f t="shared" si="10"/>
        <v>-3</v>
      </c>
      <c r="AF443" s="3">
        <f t="shared" si="11"/>
        <v>-1</v>
      </c>
      <c r="AG443" s="3">
        <f t="shared" si="12"/>
        <v>-0.6</v>
      </c>
    </row>
    <row r="444">
      <c r="A444" s="1" t="s">
        <v>11</v>
      </c>
      <c r="B444" s="1" t="s">
        <v>603</v>
      </c>
      <c r="C444" s="1" t="s">
        <v>20</v>
      </c>
      <c r="D444" s="1" t="s">
        <v>82</v>
      </c>
      <c r="E444" s="1" t="s">
        <v>147</v>
      </c>
      <c r="F444" s="1" t="s">
        <v>582</v>
      </c>
      <c r="G444" s="1">
        <v>3.5</v>
      </c>
      <c r="H444" s="1" t="s">
        <v>60</v>
      </c>
      <c r="I444" s="1">
        <v>-117.0</v>
      </c>
      <c r="J444" s="1">
        <v>0.116612043863559</v>
      </c>
      <c r="K444" s="1" t="s">
        <v>61</v>
      </c>
      <c r="L444" s="1" t="s">
        <v>61</v>
      </c>
      <c r="M444" s="1" t="s">
        <v>62</v>
      </c>
      <c r="N444" s="1">
        <v>-108.0</v>
      </c>
      <c r="O444" s="1">
        <v>-0.175011108653191</v>
      </c>
      <c r="P444" s="1" t="s">
        <v>61</v>
      </c>
      <c r="Q444" s="1" t="s">
        <v>61</v>
      </c>
      <c r="R444" s="1">
        <f t="shared" si="1"/>
        <v>0.1166120439</v>
      </c>
      <c r="S444" s="1">
        <f t="shared" si="2"/>
        <v>-117</v>
      </c>
      <c r="T444" s="1">
        <f t="shared" si="3"/>
        <v>1.854700855</v>
      </c>
      <c r="U444" s="1">
        <f t="shared" si="4"/>
        <v>1</v>
      </c>
      <c r="V444" s="3">
        <f t="shared" si="5"/>
        <v>3</v>
      </c>
      <c r="W444" s="3">
        <f t="shared" si="6"/>
        <v>2</v>
      </c>
      <c r="X444" s="3" t="str">
        <f>IFERROR(__xludf.DUMMYFUNCTION("split(B444,"" "")"),"A.")</f>
        <v>A.</v>
      </c>
      <c r="Y444" s="3" t="str">
        <f>IFERROR(__xludf.DUMMYFUNCTION("""COMPUTED_VALUE"""),"Barner")</f>
        <v>Barner</v>
      </c>
      <c r="AA444" s="3">
        <v>13.0</v>
      </c>
      <c r="AB444" s="3">
        <f t="shared" si="7"/>
        <v>1</v>
      </c>
      <c r="AC444" s="3">
        <f t="shared" si="8"/>
        <v>1</v>
      </c>
      <c r="AD444" s="3">
        <f t="shared" si="9"/>
        <v>2.564102564</v>
      </c>
      <c r="AE444" s="3">
        <f t="shared" si="10"/>
        <v>2.564102564</v>
      </c>
      <c r="AF444" s="3">
        <f t="shared" si="11"/>
        <v>1.709401709</v>
      </c>
      <c r="AG444" s="3">
        <f t="shared" si="12"/>
        <v>2.714285714</v>
      </c>
    </row>
    <row r="445">
      <c r="A445" s="1" t="s">
        <v>12</v>
      </c>
      <c r="B445" s="1" t="s">
        <v>480</v>
      </c>
      <c r="C445" s="1" t="s">
        <v>18</v>
      </c>
      <c r="D445" s="1" t="s">
        <v>82</v>
      </c>
      <c r="E445" s="1" t="s">
        <v>147</v>
      </c>
      <c r="F445" s="1" t="s">
        <v>582</v>
      </c>
      <c r="G445" s="1">
        <v>3.5</v>
      </c>
      <c r="H445" s="1" t="s">
        <v>60</v>
      </c>
      <c r="I445" s="1">
        <v>-147.0</v>
      </c>
      <c r="J445" s="1">
        <v>-0.179001214574898</v>
      </c>
      <c r="K445" s="1" t="s">
        <v>61</v>
      </c>
      <c r="L445" s="1" t="s">
        <v>61</v>
      </c>
      <c r="M445" s="1" t="s">
        <v>62</v>
      </c>
      <c r="N445" s="1">
        <v>112.0</v>
      </c>
      <c r="O445" s="1">
        <v>0.112154716981132</v>
      </c>
      <c r="P445" s="1" t="s">
        <v>61</v>
      </c>
      <c r="Q445" s="1" t="s">
        <v>61</v>
      </c>
      <c r="R445" s="1">
        <f t="shared" si="1"/>
        <v>0.112154717</v>
      </c>
      <c r="S445" s="1">
        <f t="shared" si="2"/>
        <v>112</v>
      </c>
      <c r="T445" s="1">
        <f t="shared" si="3"/>
        <v>2.12</v>
      </c>
      <c r="U445" s="1">
        <f t="shared" si="4"/>
        <v>0</v>
      </c>
      <c r="V445" s="3">
        <f t="shared" si="5"/>
        <v>3</v>
      </c>
      <c r="W445" s="3">
        <f t="shared" si="6"/>
        <v>1</v>
      </c>
      <c r="X445" s="3" t="str">
        <f>IFERROR(__xludf.DUMMYFUNCTION("split(B445,"" "")"),"T.")</f>
        <v>T.</v>
      </c>
      <c r="Y445" s="3" t="str">
        <f>IFERROR(__xludf.DUMMYFUNCTION("""COMPUTED_VALUE"""),"Lockett")</f>
        <v>Lockett</v>
      </c>
      <c r="AA445" s="3">
        <v>4.0</v>
      </c>
      <c r="AB445" s="3">
        <f t="shared" si="7"/>
        <v>1</v>
      </c>
      <c r="AC445" s="3">
        <f t="shared" si="8"/>
        <v>0</v>
      </c>
      <c r="AD445" s="3">
        <f t="shared" si="9"/>
        <v>3.36</v>
      </c>
      <c r="AE445" s="3">
        <f t="shared" si="10"/>
        <v>-3</v>
      </c>
      <c r="AF445" s="3">
        <f t="shared" si="11"/>
        <v>-1</v>
      </c>
      <c r="AG445" s="3">
        <f t="shared" si="12"/>
        <v>-0.1428571429</v>
      </c>
    </row>
    <row r="446">
      <c r="A446" s="1" t="s">
        <v>12</v>
      </c>
      <c r="B446" s="1" t="s">
        <v>490</v>
      </c>
      <c r="C446" s="1" t="s">
        <v>19</v>
      </c>
      <c r="D446" s="1" t="s">
        <v>82</v>
      </c>
      <c r="E446" s="1" t="s">
        <v>147</v>
      </c>
      <c r="F446" s="1" t="s">
        <v>582</v>
      </c>
      <c r="G446" s="1">
        <v>2.5</v>
      </c>
      <c r="H446" s="1" t="s">
        <v>60</v>
      </c>
      <c r="I446" s="1">
        <v>105.0</v>
      </c>
      <c r="J446" s="1">
        <v>-0.159952081539024</v>
      </c>
      <c r="K446" s="1" t="s">
        <v>61</v>
      </c>
      <c r="L446" s="1" t="s">
        <v>61</v>
      </c>
      <c r="M446" s="1" t="s">
        <v>62</v>
      </c>
      <c r="N446" s="1">
        <v>-138.0</v>
      </c>
      <c r="O446" s="1">
        <v>0.0923082987890755</v>
      </c>
      <c r="P446" s="1" t="s">
        <v>61</v>
      </c>
      <c r="Q446" s="1" t="s">
        <v>61</v>
      </c>
      <c r="R446" s="1">
        <f t="shared" si="1"/>
        <v>0.09230829879</v>
      </c>
      <c r="S446" s="1">
        <f t="shared" si="2"/>
        <v>-138</v>
      </c>
      <c r="T446" s="1">
        <f t="shared" si="3"/>
        <v>1.724637681</v>
      </c>
      <c r="U446" s="1">
        <f t="shared" si="4"/>
        <v>0</v>
      </c>
      <c r="V446" s="3">
        <f t="shared" si="5"/>
        <v>2</v>
      </c>
      <c r="W446" s="3">
        <f t="shared" si="6"/>
        <v>3</v>
      </c>
      <c r="X446" s="3" t="str">
        <f>IFERROR(__xludf.DUMMYFUNCTION("split(B446,"" "")"),"K.")</f>
        <v>K.</v>
      </c>
      <c r="Y446" s="3" t="str">
        <f>IFERROR(__xludf.DUMMYFUNCTION("""COMPUTED_VALUE"""),"Walker")</f>
        <v>Walker</v>
      </c>
      <c r="Z446" s="3" t="str">
        <f>IFERROR(__xludf.DUMMYFUNCTION("""COMPUTED_VALUE"""),"III")</f>
        <v>III</v>
      </c>
      <c r="AA446" s="3">
        <v>7.0</v>
      </c>
      <c r="AB446" s="3">
        <f t="shared" si="7"/>
        <v>1</v>
      </c>
      <c r="AC446" s="3">
        <f t="shared" si="8"/>
        <v>0</v>
      </c>
      <c r="AD446" s="3">
        <f t="shared" si="9"/>
        <v>1.449275362</v>
      </c>
      <c r="AE446" s="3">
        <f t="shared" si="10"/>
        <v>-2</v>
      </c>
      <c r="AF446" s="3">
        <f t="shared" si="11"/>
        <v>-3</v>
      </c>
      <c r="AG446" s="3">
        <f t="shared" si="12"/>
        <v>-1.8</v>
      </c>
    </row>
    <row r="447">
      <c r="A447" s="1" t="s">
        <v>12</v>
      </c>
      <c r="B447" s="1" t="s">
        <v>81</v>
      </c>
      <c r="C447" s="1" t="s">
        <v>20</v>
      </c>
      <c r="D447" s="1" t="s">
        <v>82</v>
      </c>
      <c r="E447" s="1" t="s">
        <v>147</v>
      </c>
      <c r="F447" s="1" t="s">
        <v>582</v>
      </c>
      <c r="G447" s="1">
        <v>2.5</v>
      </c>
      <c r="H447" s="1" t="s">
        <v>60</v>
      </c>
      <c r="I447" s="1">
        <v>106.0</v>
      </c>
      <c r="J447" s="1">
        <v>-0.137634912496116</v>
      </c>
      <c r="K447" s="1" t="s">
        <v>61</v>
      </c>
      <c r="L447" s="1" t="s">
        <v>61</v>
      </c>
      <c r="M447" s="1" t="s">
        <v>62</v>
      </c>
      <c r="N447" s="1">
        <v>-139.0</v>
      </c>
      <c r="O447" s="1">
        <v>0.0706078031267781</v>
      </c>
      <c r="P447" s="1" t="s">
        <v>61</v>
      </c>
      <c r="Q447" s="1" t="s">
        <v>61</v>
      </c>
      <c r="R447" s="1">
        <f t="shared" si="1"/>
        <v>0.07060780313</v>
      </c>
      <c r="S447" s="1">
        <f t="shared" si="2"/>
        <v>-139</v>
      </c>
      <c r="T447" s="1">
        <f t="shared" si="3"/>
        <v>1.71942446</v>
      </c>
      <c r="U447" s="1">
        <f t="shared" si="4"/>
        <v>0</v>
      </c>
      <c r="V447" s="3">
        <f t="shared" si="5"/>
        <v>2</v>
      </c>
      <c r="W447" s="3">
        <f t="shared" si="6"/>
        <v>3</v>
      </c>
      <c r="X447" s="3" t="str">
        <f>IFERROR(__xludf.DUMMYFUNCTION("split(B447,"" "")"),"N.")</f>
        <v>N.</v>
      </c>
      <c r="Y447" s="3" t="str">
        <f>IFERROR(__xludf.DUMMYFUNCTION("""COMPUTED_VALUE"""),"Fant")</f>
        <v>Fant</v>
      </c>
      <c r="AA447" s="3">
        <v>3.0</v>
      </c>
      <c r="AB447" s="3">
        <f t="shared" si="7"/>
        <v>1</v>
      </c>
      <c r="AC447" s="3">
        <f t="shared" si="8"/>
        <v>0</v>
      </c>
      <c r="AD447" s="3">
        <f t="shared" si="9"/>
        <v>1.438848921</v>
      </c>
      <c r="AE447" s="3">
        <f t="shared" si="10"/>
        <v>-2</v>
      </c>
      <c r="AF447" s="3">
        <f t="shared" si="11"/>
        <v>-3</v>
      </c>
      <c r="AG447" s="3">
        <f t="shared" si="12"/>
        <v>-0.2</v>
      </c>
    </row>
    <row r="448">
      <c r="A448" s="1" t="s">
        <v>12</v>
      </c>
      <c r="B448" s="1" t="s">
        <v>361</v>
      </c>
      <c r="C448" s="1" t="s">
        <v>19</v>
      </c>
      <c r="D448" s="1" t="s">
        <v>82</v>
      </c>
      <c r="E448" s="1" t="s">
        <v>147</v>
      </c>
      <c r="F448" s="1" t="s">
        <v>582</v>
      </c>
      <c r="G448" s="1">
        <v>2.5</v>
      </c>
      <c r="H448" s="1" t="s">
        <v>60</v>
      </c>
      <c r="I448" s="1">
        <v>134.0</v>
      </c>
      <c r="J448" s="1">
        <v>-0.1135433474547</v>
      </c>
      <c r="K448" s="1" t="s">
        <v>61</v>
      </c>
      <c r="L448" s="1" t="s">
        <v>61</v>
      </c>
      <c r="M448" s="1" t="s">
        <v>62</v>
      </c>
      <c r="N448" s="1">
        <v>-177.0</v>
      </c>
      <c r="O448" s="1">
        <v>0.0472029302462094</v>
      </c>
      <c r="P448" s="1" t="s">
        <v>61</v>
      </c>
      <c r="Q448" s="1" t="s">
        <v>61</v>
      </c>
      <c r="R448" s="1">
        <f t="shared" si="1"/>
        <v>0.04720293025</v>
      </c>
      <c r="S448" s="1">
        <f t="shared" si="2"/>
        <v>-177</v>
      </c>
      <c r="T448" s="1">
        <f t="shared" si="3"/>
        <v>1.564971751</v>
      </c>
      <c r="U448" s="1">
        <f t="shared" si="4"/>
        <v>0</v>
      </c>
      <c r="V448" s="3">
        <f t="shared" si="5"/>
        <v>1</v>
      </c>
      <c r="W448" s="3">
        <f t="shared" si="6"/>
        <v>3</v>
      </c>
      <c r="X448" s="3" t="str">
        <f>IFERROR(__xludf.DUMMYFUNCTION("split(B448,"" "")"),"Z.")</f>
        <v>Z.</v>
      </c>
      <c r="Y448" s="3" t="str">
        <f>IFERROR(__xludf.DUMMYFUNCTION("""COMPUTED_VALUE"""),"Charbonnet")</f>
        <v>Charbonnet</v>
      </c>
      <c r="AA448" s="3">
        <v>3.0</v>
      </c>
      <c r="AB448" s="3">
        <f t="shared" si="7"/>
        <v>1</v>
      </c>
      <c r="AC448" s="3">
        <f t="shared" si="8"/>
        <v>0</v>
      </c>
      <c r="AD448" s="3">
        <f t="shared" si="9"/>
        <v>0.5649717514</v>
      </c>
      <c r="AE448" s="3">
        <f t="shared" si="10"/>
        <v>-1</v>
      </c>
      <c r="AF448" s="3">
        <f t="shared" si="11"/>
        <v>-3</v>
      </c>
      <c r="AG448" s="3">
        <f t="shared" si="12"/>
        <v>-0.2</v>
      </c>
    </row>
    <row r="449">
      <c r="A449" s="1" t="s">
        <v>16</v>
      </c>
      <c r="B449" s="1" t="s">
        <v>500</v>
      </c>
      <c r="C449" s="1" t="s">
        <v>21</v>
      </c>
      <c r="D449" s="1" t="s">
        <v>82</v>
      </c>
      <c r="E449" s="1" t="s">
        <v>147</v>
      </c>
      <c r="F449" s="1" t="s">
        <v>582</v>
      </c>
      <c r="G449" s="1">
        <v>34.5</v>
      </c>
      <c r="H449" s="1" t="s">
        <v>60</v>
      </c>
      <c r="I449" s="1">
        <v>103.0</v>
      </c>
      <c r="J449" s="1">
        <v>0.0391395755763546</v>
      </c>
      <c r="K449" s="1" t="s">
        <v>61</v>
      </c>
      <c r="L449" s="1" t="s">
        <v>61</v>
      </c>
      <c r="M449" s="1" t="s">
        <v>62</v>
      </c>
      <c r="N449" s="1">
        <v>-134.0</v>
      </c>
      <c r="O449" s="1">
        <v>-0.104406554880341</v>
      </c>
      <c r="P449" s="1" t="s">
        <v>61</v>
      </c>
      <c r="Q449" s="1" t="s">
        <v>61</v>
      </c>
      <c r="R449" s="1">
        <f t="shared" si="1"/>
        <v>0.03913957558</v>
      </c>
      <c r="S449" s="1">
        <f t="shared" si="2"/>
        <v>103</v>
      </c>
      <c r="T449" s="1">
        <f t="shared" si="3"/>
        <v>2.03</v>
      </c>
      <c r="U449" s="1">
        <f t="shared" si="4"/>
        <v>1</v>
      </c>
      <c r="V449" s="3">
        <f t="shared" si="5"/>
        <v>1</v>
      </c>
      <c r="W449" s="3">
        <f t="shared" si="6"/>
        <v>2</v>
      </c>
      <c r="X449" s="3" t="str">
        <f>IFERROR(__xludf.DUMMYFUNCTION("split(B449,"" "")"),"G.")</f>
        <v>G.</v>
      </c>
      <c r="Y449" s="3" t="str">
        <f>IFERROR(__xludf.DUMMYFUNCTION("""COMPUTED_VALUE"""),"Smith")</f>
        <v>Smith</v>
      </c>
      <c r="AA449" s="3">
        <v>40.0</v>
      </c>
      <c r="AB449" s="3">
        <f t="shared" si="7"/>
        <v>1</v>
      </c>
      <c r="AC449" s="3">
        <f t="shared" si="8"/>
        <v>1</v>
      </c>
      <c r="AD449" s="3">
        <f t="shared" si="9"/>
        <v>1.03</v>
      </c>
      <c r="AE449" s="3">
        <f t="shared" si="10"/>
        <v>1.03</v>
      </c>
      <c r="AF449" s="3">
        <f t="shared" si="11"/>
        <v>2.06</v>
      </c>
      <c r="AG449" s="3">
        <f t="shared" si="12"/>
        <v>0.1594202899</v>
      </c>
    </row>
    <row r="450">
      <c r="A450" s="1" t="s">
        <v>9</v>
      </c>
      <c r="B450" s="1" t="s">
        <v>490</v>
      </c>
      <c r="C450" s="1" t="s">
        <v>19</v>
      </c>
      <c r="D450" s="1" t="s">
        <v>82</v>
      </c>
      <c r="E450" s="1" t="s">
        <v>147</v>
      </c>
      <c r="F450" s="1" t="s">
        <v>582</v>
      </c>
      <c r="G450" s="1">
        <v>89.5</v>
      </c>
      <c r="H450" s="1" t="s">
        <v>60</v>
      </c>
      <c r="I450" s="1">
        <v>-116.0</v>
      </c>
      <c r="J450" s="1">
        <v>-0.104597939685282</v>
      </c>
      <c r="K450" s="1" t="s">
        <v>61</v>
      </c>
      <c r="L450" s="1" t="s">
        <v>61</v>
      </c>
      <c r="M450" s="1" t="s">
        <v>62</v>
      </c>
      <c r="N450" s="1">
        <v>-115.0</v>
      </c>
      <c r="O450" s="1">
        <v>0.0326389321697864</v>
      </c>
      <c r="P450" s="1" t="s">
        <v>61</v>
      </c>
      <c r="Q450" s="1" t="s">
        <v>61</v>
      </c>
      <c r="R450" s="1">
        <f t="shared" si="1"/>
        <v>0.03263893217</v>
      </c>
      <c r="S450" s="1">
        <f t="shared" si="2"/>
        <v>-115</v>
      </c>
      <c r="T450" s="1">
        <f t="shared" si="3"/>
        <v>1.869565217</v>
      </c>
      <c r="U450" s="1">
        <f t="shared" si="4"/>
        <v>0</v>
      </c>
      <c r="V450" s="3">
        <f t="shared" si="5"/>
        <v>1</v>
      </c>
      <c r="W450" s="3">
        <f t="shared" si="6"/>
        <v>2</v>
      </c>
      <c r="X450" s="3" t="str">
        <f>IFERROR(__xludf.DUMMYFUNCTION("split(B450,"" "")"),"K.")</f>
        <v>K.</v>
      </c>
      <c r="Y450" s="3" t="str">
        <f>IFERROR(__xludf.DUMMYFUNCTION("""COMPUTED_VALUE"""),"Walker")</f>
        <v>Walker</v>
      </c>
      <c r="Z450" s="3" t="str">
        <f>IFERROR(__xludf.DUMMYFUNCTION("""COMPUTED_VALUE"""),"III")</f>
        <v>III</v>
      </c>
      <c r="AA450" s="3">
        <v>76.0</v>
      </c>
      <c r="AB450" s="3">
        <f t="shared" si="7"/>
        <v>0</v>
      </c>
      <c r="AC450" s="3">
        <f t="shared" si="8"/>
        <v>1</v>
      </c>
      <c r="AD450" s="3">
        <f t="shared" si="9"/>
        <v>0.8695652174</v>
      </c>
      <c r="AE450" s="3">
        <f t="shared" si="10"/>
        <v>0.8695652174</v>
      </c>
      <c r="AF450" s="3">
        <f t="shared" si="11"/>
        <v>1.739130435</v>
      </c>
      <c r="AG450" s="3">
        <f t="shared" si="12"/>
        <v>0.1508379888</v>
      </c>
    </row>
    <row r="451">
      <c r="A451" s="1" t="s">
        <v>10</v>
      </c>
      <c r="B451" s="1" t="s">
        <v>490</v>
      </c>
      <c r="C451" s="1" t="s">
        <v>19</v>
      </c>
      <c r="D451" s="1" t="s">
        <v>82</v>
      </c>
      <c r="E451" s="1" t="s">
        <v>147</v>
      </c>
      <c r="F451" s="1" t="s">
        <v>582</v>
      </c>
      <c r="G451" s="1">
        <v>70.5</v>
      </c>
      <c r="H451" s="1" t="s">
        <v>60</v>
      </c>
      <c r="I451" s="1">
        <v>-116.0</v>
      </c>
      <c r="J451" s="1">
        <v>-0.0950607239013737</v>
      </c>
      <c r="K451" s="1" t="s">
        <v>61</v>
      </c>
      <c r="L451" s="1" t="s">
        <v>61</v>
      </c>
      <c r="M451" s="1" t="s">
        <v>62</v>
      </c>
      <c r="N451" s="1">
        <v>-112.0</v>
      </c>
      <c r="O451" s="1">
        <v>0.0296803279764016</v>
      </c>
      <c r="P451" s="1" t="s">
        <v>61</v>
      </c>
      <c r="Q451" s="1" t="s">
        <v>61</v>
      </c>
      <c r="R451" s="1">
        <f t="shared" si="1"/>
        <v>0.02968032798</v>
      </c>
      <c r="S451" s="1">
        <f t="shared" si="2"/>
        <v>-112</v>
      </c>
      <c r="T451" s="1">
        <f t="shared" si="3"/>
        <v>1.892857143</v>
      </c>
      <c r="U451" s="1">
        <f t="shared" si="4"/>
        <v>0</v>
      </c>
      <c r="V451" s="3">
        <f t="shared" si="5"/>
        <v>1</v>
      </c>
      <c r="W451" s="3">
        <f t="shared" si="6"/>
        <v>2</v>
      </c>
      <c r="X451" s="3" t="str">
        <f>IFERROR(__xludf.DUMMYFUNCTION("split(B451,"" "")"),"K.")</f>
        <v>K.</v>
      </c>
      <c r="Y451" s="3" t="str">
        <f>IFERROR(__xludf.DUMMYFUNCTION("""COMPUTED_VALUE"""),"Walker")</f>
        <v>Walker</v>
      </c>
      <c r="Z451" s="3" t="str">
        <f>IFERROR(__xludf.DUMMYFUNCTION("""COMPUTED_VALUE"""),"III")</f>
        <v>III</v>
      </c>
      <c r="AA451" s="3">
        <v>19.0</v>
      </c>
      <c r="AB451" s="3">
        <f t="shared" si="7"/>
        <v>0</v>
      </c>
      <c r="AC451" s="3">
        <f t="shared" si="8"/>
        <v>1</v>
      </c>
      <c r="AD451" s="3">
        <f t="shared" si="9"/>
        <v>0.8928571429</v>
      </c>
      <c r="AE451" s="3">
        <f t="shared" si="10"/>
        <v>0.8928571429</v>
      </c>
      <c r="AF451" s="3">
        <f t="shared" si="11"/>
        <v>1.785714286</v>
      </c>
      <c r="AG451" s="3">
        <f t="shared" si="12"/>
        <v>0.7304964539</v>
      </c>
    </row>
    <row r="452">
      <c r="A452" s="1" t="s">
        <v>12</v>
      </c>
      <c r="B452" s="1" t="s">
        <v>387</v>
      </c>
      <c r="C452" s="1" t="s">
        <v>18</v>
      </c>
      <c r="D452" s="1" t="s">
        <v>82</v>
      </c>
      <c r="E452" s="1" t="s">
        <v>147</v>
      </c>
      <c r="F452" s="1" t="s">
        <v>582</v>
      </c>
      <c r="G452" s="1">
        <v>4.5</v>
      </c>
      <c r="H452" s="1" t="s">
        <v>60</v>
      </c>
      <c r="I452" s="1">
        <v>-152.0</v>
      </c>
      <c r="J452" s="1">
        <v>-0.0871746031746031</v>
      </c>
      <c r="K452" s="1" t="s">
        <v>61</v>
      </c>
      <c r="L452" s="1" t="s">
        <v>61</v>
      </c>
      <c r="M452" s="1" t="s">
        <v>62</v>
      </c>
      <c r="N452" s="1">
        <v>117.0</v>
      </c>
      <c r="O452" s="1">
        <v>0.0231705069124423</v>
      </c>
      <c r="P452" s="1" t="s">
        <v>61</v>
      </c>
      <c r="Q452" s="1" t="s">
        <v>61</v>
      </c>
      <c r="R452" s="1">
        <f t="shared" si="1"/>
        <v>0.02317050691</v>
      </c>
      <c r="S452" s="1">
        <f t="shared" si="2"/>
        <v>117</v>
      </c>
      <c r="T452" s="1">
        <f t="shared" si="3"/>
        <v>2.17</v>
      </c>
      <c r="U452" s="1">
        <f t="shared" si="4"/>
        <v>0</v>
      </c>
      <c r="V452" s="3">
        <f t="shared" si="5"/>
        <v>1</v>
      </c>
      <c r="W452" s="3">
        <f t="shared" si="6"/>
        <v>1</v>
      </c>
      <c r="X452" s="3" t="str">
        <f>IFERROR(__xludf.DUMMYFUNCTION("split(B452,"" "")"),"D.")</f>
        <v>D.</v>
      </c>
      <c r="Y452" s="3" t="str">
        <f>IFERROR(__xludf.DUMMYFUNCTION("""COMPUTED_VALUE"""),"Metcalf")</f>
        <v>Metcalf</v>
      </c>
      <c r="AA452" s="3">
        <v>4.0</v>
      </c>
      <c r="AB452" s="3">
        <f t="shared" si="7"/>
        <v>0</v>
      </c>
      <c r="AC452" s="3">
        <f t="shared" si="8"/>
        <v>1</v>
      </c>
      <c r="AD452" s="3">
        <f t="shared" si="9"/>
        <v>1.17</v>
      </c>
      <c r="AE452" s="3">
        <f t="shared" si="10"/>
        <v>1.17</v>
      </c>
      <c r="AF452" s="3">
        <f t="shared" si="11"/>
        <v>1.17</v>
      </c>
      <c r="AG452" s="3">
        <f t="shared" si="12"/>
        <v>0.1111111111</v>
      </c>
    </row>
    <row r="453">
      <c r="A453" s="1" t="s">
        <v>14</v>
      </c>
      <c r="B453" s="1" t="s">
        <v>500</v>
      </c>
      <c r="C453" s="1" t="s">
        <v>21</v>
      </c>
      <c r="D453" s="1" t="s">
        <v>82</v>
      </c>
      <c r="E453" s="1" t="s">
        <v>147</v>
      </c>
      <c r="F453" s="1" t="s">
        <v>582</v>
      </c>
      <c r="G453" s="1">
        <v>1.5</v>
      </c>
      <c r="H453" s="1" t="s">
        <v>60</v>
      </c>
      <c r="I453" s="1">
        <v>-112.0</v>
      </c>
      <c r="J453" s="1">
        <v>-0.084354716981132</v>
      </c>
      <c r="K453" s="1" t="s">
        <v>61</v>
      </c>
      <c r="L453" s="1" t="s">
        <v>61</v>
      </c>
      <c r="M453" s="1" t="s">
        <v>62</v>
      </c>
      <c r="N453" s="1">
        <v>-116.0</v>
      </c>
      <c r="O453" s="1">
        <v>0.0190092592592592</v>
      </c>
      <c r="P453" s="1" t="s">
        <v>61</v>
      </c>
      <c r="Q453" s="1" t="s">
        <v>61</v>
      </c>
      <c r="R453" s="1">
        <f t="shared" si="1"/>
        <v>0.01900925926</v>
      </c>
      <c r="S453" s="1">
        <f t="shared" si="2"/>
        <v>-116</v>
      </c>
      <c r="T453" s="1">
        <f t="shared" si="3"/>
        <v>1.862068966</v>
      </c>
      <c r="U453" s="1">
        <f t="shared" si="4"/>
        <v>0</v>
      </c>
      <c r="V453" s="3">
        <f t="shared" si="5"/>
        <v>1</v>
      </c>
      <c r="W453" s="3">
        <f t="shared" si="6"/>
        <v>2</v>
      </c>
      <c r="X453" s="3" t="str">
        <f>IFERROR(__xludf.DUMMYFUNCTION("split(B453,"" "")"),"G.")</f>
        <v>G.</v>
      </c>
      <c r="Y453" s="3" t="str">
        <f>IFERROR(__xludf.DUMMYFUNCTION("""COMPUTED_VALUE"""),"Smith")</f>
        <v>Smith</v>
      </c>
      <c r="AA453" s="3">
        <v>1.0</v>
      </c>
      <c r="AB453" s="3">
        <f t="shared" si="7"/>
        <v>0</v>
      </c>
      <c r="AC453" s="3">
        <f t="shared" si="8"/>
        <v>1</v>
      </c>
      <c r="AD453" s="3">
        <f t="shared" si="9"/>
        <v>0.8620689655</v>
      </c>
      <c r="AE453" s="3">
        <f t="shared" si="10"/>
        <v>0.8620689655</v>
      </c>
      <c r="AF453" s="3">
        <f t="shared" si="11"/>
        <v>1.724137931</v>
      </c>
      <c r="AG453" s="3">
        <f t="shared" si="12"/>
        <v>0.3333333333</v>
      </c>
    </row>
    <row r="454">
      <c r="A454" s="1" t="s">
        <v>9</v>
      </c>
      <c r="B454" s="1" t="s">
        <v>361</v>
      </c>
      <c r="C454" s="1" t="s">
        <v>19</v>
      </c>
      <c r="D454" s="1" t="s">
        <v>82</v>
      </c>
      <c r="E454" s="1" t="s">
        <v>147</v>
      </c>
      <c r="F454" s="1" t="s">
        <v>582</v>
      </c>
      <c r="G454" s="1">
        <v>35.5</v>
      </c>
      <c r="H454" s="1" t="s">
        <v>60</v>
      </c>
      <c r="I454" s="1">
        <v>-117.0</v>
      </c>
      <c r="J454" s="1">
        <v>0.0174322115330014</v>
      </c>
      <c r="K454" s="1" t="s">
        <v>61</v>
      </c>
      <c r="L454" s="1" t="s">
        <v>61</v>
      </c>
      <c r="M454" s="1" t="s">
        <v>62</v>
      </c>
      <c r="N454" s="1">
        <v>-115.0</v>
      </c>
      <c r="O454" s="1">
        <v>-0.0914547366886536</v>
      </c>
      <c r="P454" s="1" t="s">
        <v>61</v>
      </c>
      <c r="Q454" s="1" t="s">
        <v>61</v>
      </c>
      <c r="R454" s="1">
        <f t="shared" si="1"/>
        <v>0.01743221153</v>
      </c>
      <c r="S454" s="1">
        <f t="shared" si="2"/>
        <v>-117</v>
      </c>
      <c r="T454" s="1">
        <f t="shared" si="3"/>
        <v>1.854700855</v>
      </c>
      <c r="U454" s="1">
        <f t="shared" si="4"/>
        <v>1</v>
      </c>
      <c r="V454" s="3">
        <f t="shared" si="5"/>
        <v>1</v>
      </c>
      <c r="W454" s="3">
        <f t="shared" si="6"/>
        <v>2</v>
      </c>
      <c r="X454" s="3" t="str">
        <f>IFERROR(__xludf.DUMMYFUNCTION("split(B454,"" "")"),"Z.")</f>
        <v>Z.</v>
      </c>
      <c r="Y454" s="3" t="str">
        <f>IFERROR(__xludf.DUMMYFUNCTION("""COMPUTED_VALUE"""),"Charbonnet")</f>
        <v>Charbonnet</v>
      </c>
      <c r="AA454" s="3">
        <v>30.0</v>
      </c>
      <c r="AB454" s="3">
        <f t="shared" si="7"/>
        <v>0</v>
      </c>
      <c r="AC454" s="3">
        <f t="shared" si="8"/>
        <v>0</v>
      </c>
      <c r="AD454" s="3">
        <f t="shared" si="9"/>
        <v>0.8547008547</v>
      </c>
      <c r="AE454" s="3">
        <f t="shared" si="10"/>
        <v>-1</v>
      </c>
      <c r="AF454" s="3">
        <f t="shared" si="11"/>
        <v>-2</v>
      </c>
      <c r="AG454" s="3">
        <f t="shared" si="12"/>
        <v>-0.1549295775</v>
      </c>
    </row>
    <row r="455">
      <c r="A455" s="1" t="s">
        <v>12</v>
      </c>
      <c r="B455" s="1" t="s">
        <v>334</v>
      </c>
      <c r="C455" s="1" t="s">
        <v>18</v>
      </c>
      <c r="D455" s="1" t="s">
        <v>82</v>
      </c>
      <c r="E455" s="1" t="s">
        <v>147</v>
      </c>
      <c r="F455" s="1" t="s">
        <v>582</v>
      </c>
      <c r="G455" s="1">
        <v>4.5</v>
      </c>
      <c r="H455" s="1" t="s">
        <v>60</v>
      </c>
      <c r="I455" s="1">
        <v>-147.0</v>
      </c>
      <c r="J455" s="1">
        <v>-0.0831012145748988</v>
      </c>
      <c r="K455" s="1" t="s">
        <v>61</v>
      </c>
      <c r="L455" s="1" t="s">
        <v>61</v>
      </c>
      <c r="M455" s="1" t="s">
        <v>62</v>
      </c>
      <c r="N455" s="1">
        <v>112.0</v>
      </c>
      <c r="O455" s="1">
        <v>0.0162547169811321</v>
      </c>
      <c r="P455" s="1" t="s">
        <v>61</v>
      </c>
      <c r="Q455" s="1" t="s">
        <v>61</v>
      </c>
      <c r="R455" s="1">
        <f t="shared" si="1"/>
        <v>0.01625471698</v>
      </c>
      <c r="S455" s="1">
        <f t="shared" si="2"/>
        <v>112</v>
      </c>
      <c r="T455" s="1">
        <f t="shared" si="3"/>
        <v>2.12</v>
      </c>
      <c r="U455" s="1">
        <f t="shared" si="4"/>
        <v>0</v>
      </c>
      <c r="V455" s="3">
        <f t="shared" si="5"/>
        <v>1</v>
      </c>
      <c r="W455" s="3">
        <f t="shared" si="6"/>
        <v>1</v>
      </c>
      <c r="X455" s="3" t="str">
        <f>IFERROR(__xludf.DUMMYFUNCTION("split(B455,"" "")"),"J.")</f>
        <v>J.</v>
      </c>
      <c r="Y455" s="3" t="str">
        <f>IFERROR(__xludf.DUMMYFUNCTION("""COMPUTED_VALUE"""),"Smith-Njigba")</f>
        <v>Smith-Njigba</v>
      </c>
      <c r="AA455" s="3">
        <v>4.0</v>
      </c>
      <c r="AB455" s="3">
        <f t="shared" si="7"/>
        <v>0</v>
      </c>
      <c r="AC455" s="3">
        <f t="shared" si="8"/>
        <v>1</v>
      </c>
      <c r="AD455" s="3">
        <f t="shared" si="9"/>
        <v>1.12</v>
      </c>
      <c r="AE455" s="3">
        <f t="shared" si="10"/>
        <v>1.12</v>
      </c>
      <c r="AF455" s="3">
        <f t="shared" si="11"/>
        <v>1.12</v>
      </c>
      <c r="AG455" s="3">
        <f t="shared" si="12"/>
        <v>0.1111111111</v>
      </c>
    </row>
    <row r="456">
      <c r="A456" s="1" t="s">
        <v>11</v>
      </c>
      <c r="B456" s="1" t="s">
        <v>480</v>
      </c>
      <c r="C456" s="1" t="s">
        <v>18</v>
      </c>
      <c r="D456" s="1" t="s">
        <v>82</v>
      </c>
      <c r="E456" s="1" t="s">
        <v>147</v>
      </c>
      <c r="F456" s="1" t="s">
        <v>582</v>
      </c>
      <c r="G456" s="1">
        <v>42.5</v>
      </c>
      <c r="H456" s="1" t="s">
        <v>60</v>
      </c>
      <c r="I456" s="1">
        <v>-117.0</v>
      </c>
      <c r="J456" s="1">
        <v>-0.0815857549194471</v>
      </c>
      <c r="K456" s="1" t="s">
        <v>61</v>
      </c>
      <c r="L456" s="1" t="s">
        <v>61</v>
      </c>
      <c r="M456" s="1" t="s">
        <v>62</v>
      </c>
      <c r="N456" s="1">
        <v>-112.0</v>
      </c>
      <c r="O456" s="1">
        <v>0.0141728987526038</v>
      </c>
      <c r="P456" s="1" t="s">
        <v>61</v>
      </c>
      <c r="Q456" s="1" t="s">
        <v>61</v>
      </c>
      <c r="R456" s="1">
        <f t="shared" si="1"/>
        <v>0.01417289875</v>
      </c>
      <c r="S456" s="1">
        <f t="shared" si="2"/>
        <v>-112</v>
      </c>
      <c r="T456" s="1">
        <f t="shared" si="3"/>
        <v>1.892857143</v>
      </c>
      <c r="U456" s="1">
        <f t="shared" si="4"/>
        <v>0</v>
      </c>
      <c r="V456" s="3">
        <f t="shared" si="5"/>
        <v>1</v>
      </c>
      <c r="W456" s="3">
        <f t="shared" si="6"/>
        <v>2</v>
      </c>
      <c r="X456" s="3" t="str">
        <f>IFERROR(__xludf.DUMMYFUNCTION("split(B456,"" "")"),"T.")</f>
        <v>T.</v>
      </c>
      <c r="Y456" s="3" t="str">
        <f>IFERROR(__xludf.DUMMYFUNCTION("""COMPUTED_VALUE"""),"Lockett")</f>
        <v>Lockett</v>
      </c>
      <c r="AA456" s="3">
        <v>75.0</v>
      </c>
      <c r="AB456" s="3">
        <f t="shared" si="7"/>
        <v>1</v>
      </c>
      <c r="AC456" s="3">
        <f t="shared" si="8"/>
        <v>0</v>
      </c>
      <c r="AD456" s="3">
        <f t="shared" si="9"/>
        <v>0.8928571429</v>
      </c>
      <c r="AE456" s="3">
        <f t="shared" si="10"/>
        <v>-1</v>
      </c>
      <c r="AF456" s="3">
        <f t="shared" si="11"/>
        <v>-2</v>
      </c>
      <c r="AG456" s="3">
        <f t="shared" si="12"/>
        <v>-0.7647058824</v>
      </c>
    </row>
    <row r="457">
      <c r="A457" s="1" t="s">
        <v>15</v>
      </c>
      <c r="B457" s="1" t="s">
        <v>500</v>
      </c>
      <c r="C457" s="1" t="s">
        <v>21</v>
      </c>
      <c r="D457" s="1" t="s">
        <v>82</v>
      </c>
      <c r="E457" s="1" t="s">
        <v>147</v>
      </c>
      <c r="F457" s="1" t="s">
        <v>582</v>
      </c>
      <c r="G457" s="1">
        <v>23.5</v>
      </c>
      <c r="H457" s="1" t="s">
        <v>60</v>
      </c>
      <c r="I457" s="1">
        <v>-131.0</v>
      </c>
      <c r="J457" s="1">
        <v>0.00995714285714277</v>
      </c>
      <c r="K457" s="1" t="s">
        <v>61</v>
      </c>
      <c r="L457" s="1" t="s">
        <v>61</v>
      </c>
      <c r="M457" s="1" t="s">
        <v>62</v>
      </c>
      <c r="N457" s="1">
        <v>100.0</v>
      </c>
      <c r="O457" s="1">
        <v>-0.0770499999999999</v>
      </c>
      <c r="P457" s="1" t="s">
        <v>61</v>
      </c>
      <c r="Q457" s="1" t="s">
        <v>61</v>
      </c>
      <c r="R457" s="1">
        <f t="shared" si="1"/>
        <v>0.009957142857</v>
      </c>
      <c r="S457" s="1">
        <f t="shared" si="2"/>
        <v>-131</v>
      </c>
      <c r="T457" s="1">
        <f t="shared" si="3"/>
        <v>1.763358779</v>
      </c>
      <c r="U457" s="1">
        <f t="shared" si="4"/>
        <v>1</v>
      </c>
      <c r="V457" s="3">
        <f t="shared" si="5"/>
        <v>1</v>
      </c>
      <c r="W457" s="3">
        <f t="shared" si="6"/>
        <v>3</v>
      </c>
      <c r="X457" s="3" t="str">
        <f>IFERROR(__xludf.DUMMYFUNCTION("split(B457,"" "")"),"G.")</f>
        <v>G.</v>
      </c>
      <c r="Y457" s="3" t="str">
        <f>IFERROR(__xludf.DUMMYFUNCTION("""COMPUTED_VALUE"""),"Smith")</f>
        <v>Smith</v>
      </c>
      <c r="AA457" s="3">
        <v>28.0</v>
      </c>
      <c r="AB457" s="3">
        <f t="shared" si="7"/>
        <v>1</v>
      </c>
      <c r="AC457" s="3">
        <f t="shared" si="8"/>
        <v>1</v>
      </c>
      <c r="AD457" s="3">
        <f t="shared" si="9"/>
        <v>0.7633587786</v>
      </c>
      <c r="AE457" s="3">
        <f t="shared" si="10"/>
        <v>0.7633587786</v>
      </c>
      <c r="AF457" s="3">
        <f t="shared" si="11"/>
        <v>2.290076336</v>
      </c>
      <c r="AG457" s="3">
        <f t="shared" si="12"/>
        <v>0.1914893617</v>
      </c>
    </row>
    <row r="458">
      <c r="A458" s="1" t="s">
        <v>17</v>
      </c>
      <c r="B458" s="1" t="s">
        <v>500</v>
      </c>
      <c r="C458" s="1" t="s">
        <v>21</v>
      </c>
      <c r="D458" s="1" t="s">
        <v>82</v>
      </c>
      <c r="E458" s="1" t="s">
        <v>147</v>
      </c>
      <c r="F458" s="1" t="s">
        <v>582</v>
      </c>
      <c r="G458" s="1">
        <v>0.5</v>
      </c>
      <c r="H458" s="1" t="s">
        <v>60</v>
      </c>
      <c r="I458" s="1">
        <v>-110.0</v>
      </c>
      <c r="J458" s="1">
        <v>-0.0683095238095238</v>
      </c>
      <c r="K458" s="1" t="s">
        <v>61</v>
      </c>
      <c r="L458" s="1" t="s">
        <v>61</v>
      </c>
      <c r="M458" s="1" t="s">
        <v>62</v>
      </c>
      <c r="N458" s="1">
        <v>-118.0</v>
      </c>
      <c r="O458" s="1">
        <v>0.00321559633027523</v>
      </c>
      <c r="P458" s="1" t="s">
        <v>61</v>
      </c>
      <c r="Q458" s="1" t="s">
        <v>61</v>
      </c>
      <c r="R458" s="1">
        <f t="shared" si="1"/>
        <v>0.00321559633</v>
      </c>
      <c r="S458" s="1">
        <f t="shared" si="2"/>
        <v>-118</v>
      </c>
      <c r="T458" s="1">
        <f t="shared" si="3"/>
        <v>1.847457627</v>
      </c>
      <c r="U458" s="1">
        <f t="shared" si="4"/>
        <v>0</v>
      </c>
      <c r="V458" s="3">
        <f t="shared" si="5"/>
        <v>1</v>
      </c>
      <c r="W458" s="3">
        <f t="shared" si="6"/>
        <v>3</v>
      </c>
      <c r="X458" s="3" t="str">
        <f>IFERROR(__xludf.DUMMYFUNCTION("split(B458,"" "")"),"G.")</f>
        <v>G.</v>
      </c>
      <c r="Y458" s="3" t="str">
        <f>IFERROR(__xludf.DUMMYFUNCTION("""COMPUTED_VALUE"""),"Smith")</f>
        <v>Smith</v>
      </c>
      <c r="AA458" s="3">
        <v>0.0</v>
      </c>
      <c r="AB458" s="3">
        <f t="shared" si="7"/>
        <v>0</v>
      </c>
      <c r="AC458" s="3">
        <f t="shared" si="8"/>
        <v>1</v>
      </c>
      <c r="AD458" s="3">
        <f t="shared" si="9"/>
        <v>0.8474576271</v>
      </c>
      <c r="AE458" s="3">
        <f t="shared" si="10"/>
        <v>0.8474576271</v>
      </c>
      <c r="AF458" s="3">
        <f t="shared" si="11"/>
        <v>2.542372881</v>
      </c>
      <c r="AG458" s="3">
        <f t="shared" si="12"/>
        <v>1</v>
      </c>
    </row>
    <row r="459">
      <c r="A459" s="1" t="s">
        <v>9</v>
      </c>
      <c r="B459" s="1" t="s">
        <v>334</v>
      </c>
      <c r="C459" s="1" t="s">
        <v>18</v>
      </c>
      <c r="D459" s="1" t="s">
        <v>82</v>
      </c>
      <c r="E459" s="1" t="s">
        <v>147</v>
      </c>
      <c r="F459" s="1" t="s">
        <v>582</v>
      </c>
      <c r="G459" s="1">
        <v>48.5</v>
      </c>
      <c r="H459" s="1" t="s">
        <v>60</v>
      </c>
      <c r="I459" s="1">
        <v>-115.0</v>
      </c>
      <c r="J459" s="1">
        <v>0.0019520824443785</v>
      </c>
      <c r="K459" s="1" t="s">
        <v>61</v>
      </c>
      <c r="L459" s="1" t="s">
        <v>61</v>
      </c>
      <c r="M459" s="1" t="s">
        <v>62</v>
      </c>
      <c r="N459" s="1">
        <v>-115.0</v>
      </c>
      <c r="O459" s="1">
        <v>-0.0716948948110355</v>
      </c>
      <c r="P459" s="1" t="s">
        <v>61</v>
      </c>
      <c r="Q459" s="1" t="s">
        <v>61</v>
      </c>
      <c r="R459" s="1">
        <f t="shared" si="1"/>
        <v>0.001952082444</v>
      </c>
      <c r="S459" s="1">
        <f t="shared" si="2"/>
        <v>-115</v>
      </c>
      <c r="T459" s="1">
        <f t="shared" si="3"/>
        <v>1.869565217</v>
      </c>
      <c r="U459" s="1">
        <f t="shared" si="4"/>
        <v>1</v>
      </c>
      <c r="V459" s="3">
        <f t="shared" si="5"/>
        <v>1</v>
      </c>
      <c r="W459" s="3">
        <f t="shared" si="6"/>
        <v>2</v>
      </c>
      <c r="X459" s="3" t="str">
        <f>IFERROR(__xludf.DUMMYFUNCTION("split(B459,"" "")"),"J.")</f>
        <v>J.</v>
      </c>
      <c r="Y459" s="3" t="str">
        <f>IFERROR(__xludf.DUMMYFUNCTION("""COMPUTED_VALUE"""),"Smith-Njigba")</f>
        <v>Smith-Njigba</v>
      </c>
      <c r="AA459" s="3">
        <v>31.0</v>
      </c>
      <c r="AB459" s="3">
        <f t="shared" si="7"/>
        <v>0</v>
      </c>
      <c r="AC459" s="3">
        <f t="shared" si="8"/>
        <v>0</v>
      </c>
      <c r="AD459" s="3">
        <f t="shared" si="9"/>
        <v>0.8695652174</v>
      </c>
      <c r="AE459" s="3">
        <f t="shared" si="10"/>
        <v>-1</v>
      </c>
      <c r="AF459" s="3">
        <f t="shared" si="11"/>
        <v>-2</v>
      </c>
      <c r="AG459" s="3">
        <f t="shared" si="12"/>
        <v>-0.3608247423</v>
      </c>
    </row>
    <row r="460">
      <c r="A460" s="1" t="s">
        <v>8</v>
      </c>
      <c r="B460" s="1" t="s">
        <v>262</v>
      </c>
      <c r="C460" s="1" t="s">
        <v>21</v>
      </c>
      <c r="D460" s="1" t="s">
        <v>164</v>
      </c>
      <c r="E460" s="1" t="s">
        <v>105</v>
      </c>
      <c r="F460" s="1" t="s">
        <v>574</v>
      </c>
      <c r="G460" s="1">
        <v>3.5</v>
      </c>
      <c r="H460" s="1" t="s">
        <v>60</v>
      </c>
      <c r="I460" s="1">
        <v>-132.0</v>
      </c>
      <c r="J460" s="1">
        <v>-0.244217510264411</v>
      </c>
      <c r="K460" s="1" t="s">
        <v>61</v>
      </c>
      <c r="L460" s="1" t="s">
        <v>61</v>
      </c>
      <c r="M460" s="1" t="s">
        <v>62</v>
      </c>
      <c r="N460" s="1">
        <v>-101.0</v>
      </c>
      <c r="O460" s="1">
        <v>0.172756472662471</v>
      </c>
      <c r="P460" s="1" t="s">
        <v>61</v>
      </c>
      <c r="Q460" s="1" t="s">
        <v>61</v>
      </c>
      <c r="R460" s="1">
        <f t="shared" si="1"/>
        <v>0.1727564727</v>
      </c>
      <c r="S460" s="1">
        <f t="shared" si="2"/>
        <v>-101</v>
      </c>
      <c r="T460" s="1">
        <f t="shared" si="3"/>
        <v>1.99009901</v>
      </c>
      <c r="U460" s="1">
        <f t="shared" si="4"/>
        <v>0</v>
      </c>
      <c r="V460" s="3">
        <f t="shared" si="5"/>
        <v>3</v>
      </c>
      <c r="W460" s="3">
        <f t="shared" si="6"/>
        <v>2</v>
      </c>
      <c r="X460" s="3" t="str">
        <f>IFERROR(__xludf.DUMMYFUNCTION("split(B460,"" "")"),"B.")</f>
        <v>B.</v>
      </c>
      <c r="Y460" s="3" t="str">
        <f>IFERROR(__xludf.DUMMYFUNCTION("""COMPUTED_VALUE"""),"Purdy")</f>
        <v>Purdy</v>
      </c>
      <c r="AA460" s="3">
        <v>4.0</v>
      </c>
      <c r="AB460" s="3">
        <f t="shared" si="7"/>
        <v>1</v>
      </c>
      <c r="AC460" s="3">
        <f t="shared" si="8"/>
        <v>0</v>
      </c>
      <c r="AD460" s="3">
        <f t="shared" si="9"/>
        <v>2.97029703</v>
      </c>
      <c r="AE460" s="3">
        <f t="shared" si="10"/>
        <v>-3</v>
      </c>
      <c r="AF460" s="3">
        <f t="shared" si="11"/>
        <v>-2</v>
      </c>
      <c r="AG460" s="3">
        <f t="shared" si="12"/>
        <v>-0.1428571429</v>
      </c>
    </row>
    <row r="461">
      <c r="A461" s="1" t="s">
        <v>11</v>
      </c>
      <c r="B461" s="1" t="s">
        <v>497</v>
      </c>
      <c r="C461" s="1" t="s">
        <v>19</v>
      </c>
      <c r="D461" s="1" t="s">
        <v>164</v>
      </c>
      <c r="E461" s="1" t="s">
        <v>105</v>
      </c>
      <c r="F461" s="1" t="s">
        <v>574</v>
      </c>
      <c r="G461" s="1">
        <v>11.5</v>
      </c>
      <c r="H461" s="1" t="s">
        <v>60</v>
      </c>
      <c r="I461" s="1">
        <v>-111.0</v>
      </c>
      <c r="J461" s="1">
        <v>0.0744890721096255</v>
      </c>
      <c r="K461" s="1" t="s">
        <v>61</v>
      </c>
      <c r="L461" s="1" t="s">
        <v>61</v>
      </c>
      <c r="M461" s="1" t="s">
        <v>62</v>
      </c>
      <c r="N461" s="1">
        <v>-121.0</v>
      </c>
      <c r="O461" s="1">
        <v>-0.148075339367911</v>
      </c>
      <c r="P461" s="1" t="s">
        <v>61</v>
      </c>
      <c r="Q461" s="1" t="s">
        <v>61</v>
      </c>
      <c r="R461" s="1">
        <f t="shared" si="1"/>
        <v>0.07448907211</v>
      </c>
      <c r="S461" s="1">
        <f t="shared" si="2"/>
        <v>-111</v>
      </c>
      <c r="T461" s="1">
        <f t="shared" si="3"/>
        <v>1.900900901</v>
      </c>
      <c r="U461" s="1">
        <f t="shared" si="4"/>
        <v>1</v>
      </c>
      <c r="V461" s="3">
        <f t="shared" si="5"/>
        <v>2</v>
      </c>
      <c r="W461" s="3">
        <f t="shared" si="6"/>
        <v>2</v>
      </c>
      <c r="X461" s="3" t="str">
        <f>IFERROR(__xludf.DUMMYFUNCTION("split(B461,"" "")"),"J.")</f>
        <v>J.</v>
      </c>
      <c r="Y461" s="3" t="str">
        <f>IFERROR(__xludf.DUMMYFUNCTION("""COMPUTED_VALUE"""),"Mason")</f>
        <v>Mason</v>
      </c>
      <c r="AA461" s="3">
        <v>9.0</v>
      </c>
      <c r="AB461" s="3">
        <f t="shared" si="7"/>
        <v>0</v>
      </c>
      <c r="AC461" s="3">
        <f t="shared" si="8"/>
        <v>0</v>
      </c>
      <c r="AD461" s="3">
        <f t="shared" si="9"/>
        <v>1.801801802</v>
      </c>
      <c r="AE461" s="3">
        <f t="shared" si="10"/>
        <v>-2</v>
      </c>
      <c r="AF461" s="3">
        <f t="shared" si="11"/>
        <v>-2</v>
      </c>
      <c r="AG461" s="3">
        <f t="shared" si="12"/>
        <v>-0.2173913043</v>
      </c>
    </row>
    <row r="462">
      <c r="A462" s="1" t="s">
        <v>12</v>
      </c>
      <c r="B462" s="1" t="s">
        <v>332</v>
      </c>
      <c r="C462" s="1" t="s">
        <v>20</v>
      </c>
      <c r="D462" s="1" t="s">
        <v>164</v>
      </c>
      <c r="E462" s="1" t="s">
        <v>105</v>
      </c>
      <c r="F462" s="1" t="s">
        <v>574</v>
      </c>
      <c r="G462" s="1">
        <v>3.5</v>
      </c>
      <c r="H462" s="1" t="s">
        <v>60</v>
      </c>
      <c r="I462" s="1">
        <v>-120.0</v>
      </c>
      <c r="J462" s="1">
        <v>-0.142090909090909</v>
      </c>
      <c r="K462" s="1" t="s">
        <v>61</v>
      </c>
      <c r="L462" s="1" t="s">
        <v>61</v>
      </c>
      <c r="M462" s="1" t="s">
        <v>62</v>
      </c>
      <c r="N462" s="1">
        <v>-111.0</v>
      </c>
      <c r="O462" s="1">
        <v>0.0705914691943128</v>
      </c>
      <c r="P462" s="1" t="s">
        <v>61</v>
      </c>
      <c r="Q462" s="1" t="s">
        <v>61</v>
      </c>
      <c r="R462" s="1">
        <f t="shared" si="1"/>
        <v>0.07059146919</v>
      </c>
      <c r="S462" s="1">
        <f t="shared" si="2"/>
        <v>-111</v>
      </c>
      <c r="T462" s="1">
        <f t="shared" si="3"/>
        <v>1.900900901</v>
      </c>
      <c r="U462" s="1">
        <f t="shared" si="4"/>
        <v>0</v>
      </c>
      <c r="V462" s="3">
        <f t="shared" si="5"/>
        <v>2</v>
      </c>
      <c r="W462" s="3">
        <f t="shared" si="6"/>
        <v>2</v>
      </c>
      <c r="X462" s="3" t="str">
        <f>IFERROR(__xludf.DUMMYFUNCTION("split(B462,"" "")"),"G.")</f>
        <v>G.</v>
      </c>
      <c r="Y462" s="3" t="str">
        <f>IFERROR(__xludf.DUMMYFUNCTION("""COMPUTED_VALUE"""),"Kittle")</f>
        <v>Kittle</v>
      </c>
      <c r="AA462" s="3">
        <v>8.0</v>
      </c>
      <c r="AB462" s="3">
        <f t="shared" si="7"/>
        <v>1</v>
      </c>
      <c r="AC462" s="3">
        <f t="shared" si="8"/>
        <v>0</v>
      </c>
      <c r="AD462" s="3">
        <f t="shared" si="9"/>
        <v>1.801801802</v>
      </c>
      <c r="AE462" s="3">
        <f t="shared" si="10"/>
        <v>-2</v>
      </c>
      <c r="AF462" s="3">
        <f t="shared" si="11"/>
        <v>-2</v>
      </c>
      <c r="AG462" s="3">
        <f t="shared" si="12"/>
        <v>-1.285714286</v>
      </c>
    </row>
    <row r="463">
      <c r="A463" s="1" t="s">
        <v>14</v>
      </c>
      <c r="B463" s="1" t="s">
        <v>262</v>
      </c>
      <c r="C463" s="1" t="s">
        <v>21</v>
      </c>
      <c r="D463" s="1" t="s">
        <v>164</v>
      </c>
      <c r="E463" s="1" t="s">
        <v>105</v>
      </c>
      <c r="F463" s="1" t="s">
        <v>574</v>
      </c>
      <c r="G463" s="1">
        <v>1.5</v>
      </c>
      <c r="H463" s="1" t="s">
        <v>60</v>
      </c>
      <c r="I463" s="1">
        <v>-153.0</v>
      </c>
      <c r="J463" s="1">
        <v>-0.126303557312253</v>
      </c>
      <c r="K463" s="1" t="s">
        <v>61</v>
      </c>
      <c r="L463" s="1" t="s">
        <v>61</v>
      </c>
      <c r="M463" s="1" t="s">
        <v>62</v>
      </c>
      <c r="N463" s="1">
        <v>118.0</v>
      </c>
      <c r="O463" s="1">
        <v>0.0628385321100917</v>
      </c>
      <c r="P463" s="1" t="s">
        <v>61</v>
      </c>
      <c r="Q463" s="1" t="s">
        <v>61</v>
      </c>
      <c r="R463" s="1">
        <f t="shared" si="1"/>
        <v>0.06283853211</v>
      </c>
      <c r="S463" s="1">
        <f t="shared" si="2"/>
        <v>118</v>
      </c>
      <c r="T463" s="1">
        <f t="shared" si="3"/>
        <v>2.18</v>
      </c>
      <c r="U463" s="1">
        <f t="shared" si="4"/>
        <v>0</v>
      </c>
      <c r="V463" s="3">
        <f t="shared" si="5"/>
        <v>2</v>
      </c>
      <c r="W463" s="3">
        <f t="shared" si="6"/>
        <v>1</v>
      </c>
      <c r="X463" s="3" t="str">
        <f>IFERROR(__xludf.DUMMYFUNCTION("split(B463,"" "")"),"B.")</f>
        <v>B.</v>
      </c>
      <c r="Y463" s="3" t="str">
        <f>IFERROR(__xludf.DUMMYFUNCTION("""COMPUTED_VALUE"""),"Purdy")</f>
        <v>Purdy</v>
      </c>
      <c r="AA463" s="3">
        <v>1.0</v>
      </c>
      <c r="AB463" s="3">
        <f t="shared" si="7"/>
        <v>0</v>
      </c>
      <c r="AC463" s="3">
        <f t="shared" si="8"/>
        <v>1</v>
      </c>
      <c r="AD463" s="3">
        <f t="shared" si="9"/>
        <v>2.36</v>
      </c>
      <c r="AE463" s="3">
        <f t="shared" si="10"/>
        <v>2.36</v>
      </c>
      <c r="AF463" s="3">
        <f t="shared" si="11"/>
        <v>1.18</v>
      </c>
      <c r="AG463" s="3">
        <f t="shared" si="12"/>
        <v>0.3333333333</v>
      </c>
    </row>
    <row r="464">
      <c r="A464" s="1" t="s">
        <v>10</v>
      </c>
      <c r="B464" s="1" t="s">
        <v>496</v>
      </c>
      <c r="C464" s="1" t="s">
        <v>18</v>
      </c>
      <c r="D464" s="1" t="s">
        <v>164</v>
      </c>
      <c r="E464" s="1" t="s">
        <v>105</v>
      </c>
      <c r="F464" s="1" t="s">
        <v>574</v>
      </c>
      <c r="G464" s="1">
        <v>15.5</v>
      </c>
      <c r="H464" s="1" t="s">
        <v>60</v>
      </c>
      <c r="I464" s="1">
        <v>-113.0</v>
      </c>
      <c r="J464" s="1">
        <v>-0.12190528891274</v>
      </c>
      <c r="K464" s="1" t="s">
        <v>61</v>
      </c>
      <c r="L464" s="1" t="s">
        <v>61</v>
      </c>
      <c r="M464" s="1" t="s">
        <v>62</v>
      </c>
      <c r="N464" s="1">
        <v>-113.0</v>
      </c>
      <c r="O464" s="1">
        <v>0.0608839764713966</v>
      </c>
      <c r="P464" s="1" t="s">
        <v>61</v>
      </c>
      <c r="Q464" s="1" t="s">
        <v>61</v>
      </c>
      <c r="R464" s="1">
        <f t="shared" si="1"/>
        <v>0.06088397647</v>
      </c>
      <c r="S464" s="1">
        <f t="shared" si="2"/>
        <v>-113</v>
      </c>
      <c r="T464" s="1">
        <f t="shared" si="3"/>
        <v>1.884955752</v>
      </c>
      <c r="U464" s="1">
        <f t="shared" si="4"/>
        <v>0</v>
      </c>
      <c r="V464" s="3">
        <f t="shared" si="5"/>
        <v>2</v>
      </c>
      <c r="W464" s="3">
        <f t="shared" si="6"/>
        <v>2</v>
      </c>
      <c r="X464" s="3" t="str">
        <f>IFERROR(__xludf.DUMMYFUNCTION("split(B464,"" "")"),"D.")</f>
        <v>D.</v>
      </c>
      <c r="Y464" s="3" t="str">
        <f>IFERROR(__xludf.DUMMYFUNCTION("""COMPUTED_VALUE"""),"Samuel")</f>
        <v>Samuel</v>
      </c>
      <c r="AA464" s="3">
        <v>9.0</v>
      </c>
      <c r="AB464" s="3">
        <f t="shared" si="7"/>
        <v>0</v>
      </c>
      <c r="AC464" s="3">
        <f t="shared" si="8"/>
        <v>1</v>
      </c>
      <c r="AD464" s="3">
        <f t="shared" si="9"/>
        <v>1.769911504</v>
      </c>
      <c r="AE464" s="3">
        <f t="shared" si="10"/>
        <v>1.769911504</v>
      </c>
      <c r="AF464" s="3">
        <f t="shared" si="11"/>
        <v>1.769911504</v>
      </c>
      <c r="AG464" s="3">
        <f t="shared" si="12"/>
        <v>0.4193548387</v>
      </c>
    </row>
    <row r="465">
      <c r="A465" s="1" t="s">
        <v>15</v>
      </c>
      <c r="B465" s="1" t="s">
        <v>262</v>
      </c>
      <c r="C465" s="1" t="s">
        <v>21</v>
      </c>
      <c r="D465" s="1" t="s">
        <v>164</v>
      </c>
      <c r="E465" s="1" t="s">
        <v>105</v>
      </c>
      <c r="F465" s="1" t="s">
        <v>574</v>
      </c>
      <c r="G465" s="1">
        <v>21.5</v>
      </c>
      <c r="H465" s="1" t="s">
        <v>60</v>
      </c>
      <c r="I465" s="1">
        <v>-107.0</v>
      </c>
      <c r="J465" s="1">
        <v>0.0511400966183575</v>
      </c>
      <c r="K465" s="1" t="s">
        <v>61</v>
      </c>
      <c r="L465" s="1" t="s">
        <v>61</v>
      </c>
      <c r="M465" s="1" t="s">
        <v>62</v>
      </c>
      <c r="N465" s="1">
        <v>-123.0</v>
      </c>
      <c r="O465" s="1">
        <v>-0.11962466367713</v>
      </c>
      <c r="P465" s="1" t="s">
        <v>61</v>
      </c>
      <c r="Q465" s="1" t="s">
        <v>61</v>
      </c>
      <c r="R465" s="1">
        <f t="shared" si="1"/>
        <v>0.05114009662</v>
      </c>
      <c r="S465" s="1">
        <f t="shared" si="2"/>
        <v>-107</v>
      </c>
      <c r="T465" s="1">
        <f t="shared" si="3"/>
        <v>1.934579439</v>
      </c>
      <c r="U465" s="1">
        <f t="shared" si="4"/>
        <v>1</v>
      </c>
      <c r="V465" s="3">
        <f t="shared" si="5"/>
        <v>2</v>
      </c>
      <c r="W465" s="3">
        <f t="shared" si="6"/>
        <v>2</v>
      </c>
      <c r="X465" s="3" t="str">
        <f>IFERROR(__xludf.DUMMYFUNCTION("split(B465,"" "")"),"B.")</f>
        <v>B.</v>
      </c>
      <c r="Y465" s="3" t="str">
        <f>IFERROR(__xludf.DUMMYFUNCTION("""COMPUTED_VALUE"""),"Purdy")</f>
        <v>Purdy</v>
      </c>
      <c r="AA465" s="3">
        <v>19.0</v>
      </c>
      <c r="AB465" s="3">
        <f t="shared" si="7"/>
        <v>0</v>
      </c>
      <c r="AC465" s="3">
        <f t="shared" si="8"/>
        <v>0</v>
      </c>
      <c r="AD465" s="3">
        <f t="shared" si="9"/>
        <v>1.869158879</v>
      </c>
      <c r="AE465" s="3">
        <f t="shared" si="10"/>
        <v>-2</v>
      </c>
      <c r="AF465" s="3">
        <f t="shared" si="11"/>
        <v>-2</v>
      </c>
      <c r="AG465" s="3">
        <f t="shared" si="12"/>
        <v>-0.1162790698</v>
      </c>
    </row>
    <row r="466">
      <c r="A466" s="1" t="s">
        <v>12</v>
      </c>
      <c r="B466" s="1" t="s">
        <v>285</v>
      </c>
      <c r="C466" s="1" t="s">
        <v>18</v>
      </c>
      <c r="D466" s="1" t="s">
        <v>164</v>
      </c>
      <c r="E466" s="1" t="s">
        <v>105</v>
      </c>
      <c r="F466" s="1" t="s">
        <v>574</v>
      </c>
      <c r="G466" s="1">
        <v>3.5</v>
      </c>
      <c r="H466" s="1" t="s">
        <v>60</v>
      </c>
      <c r="I466" s="1">
        <v>122.0</v>
      </c>
      <c r="J466" s="1">
        <v>-0.119005405405405</v>
      </c>
      <c r="K466" s="1" t="s">
        <v>61</v>
      </c>
      <c r="L466" s="1" t="s">
        <v>61</v>
      </c>
      <c r="M466" s="1" t="s">
        <v>62</v>
      </c>
      <c r="N466" s="1">
        <v>-162.0</v>
      </c>
      <c r="O466" s="1">
        <v>0.0502412213740458</v>
      </c>
      <c r="P466" s="1" t="s">
        <v>61</v>
      </c>
      <c r="Q466" s="1" t="s">
        <v>61</v>
      </c>
      <c r="R466" s="1">
        <f t="shared" si="1"/>
        <v>0.05024122137</v>
      </c>
      <c r="S466" s="1">
        <f t="shared" si="2"/>
        <v>-162</v>
      </c>
      <c r="T466" s="1">
        <f t="shared" si="3"/>
        <v>1.617283951</v>
      </c>
      <c r="U466" s="1">
        <f t="shared" si="4"/>
        <v>0</v>
      </c>
      <c r="V466" s="3">
        <f t="shared" si="5"/>
        <v>2</v>
      </c>
      <c r="W466" s="3">
        <f t="shared" si="6"/>
        <v>3</v>
      </c>
      <c r="X466" s="3" t="str">
        <f>IFERROR(__xludf.DUMMYFUNCTION("split(B466,"" "")"),"J.")</f>
        <v>J.</v>
      </c>
      <c r="Y466" s="3" t="str">
        <f>IFERROR(__xludf.DUMMYFUNCTION("""COMPUTED_VALUE"""),"Jennings")</f>
        <v>Jennings</v>
      </c>
      <c r="AA466" s="3">
        <v>1.0</v>
      </c>
      <c r="AB466" s="3">
        <f t="shared" si="7"/>
        <v>0</v>
      </c>
      <c r="AC466" s="3">
        <f t="shared" si="8"/>
        <v>1</v>
      </c>
      <c r="AD466" s="3">
        <f t="shared" si="9"/>
        <v>1.234567901</v>
      </c>
      <c r="AE466" s="3">
        <f t="shared" si="10"/>
        <v>1.234567901</v>
      </c>
      <c r="AF466" s="3">
        <f t="shared" si="11"/>
        <v>1.851851852</v>
      </c>
      <c r="AG466" s="3">
        <f t="shared" si="12"/>
        <v>0.7142857143</v>
      </c>
    </row>
    <row r="467">
      <c r="A467" s="1" t="s">
        <v>11</v>
      </c>
      <c r="B467" s="1" t="s">
        <v>285</v>
      </c>
      <c r="C467" s="1" t="s">
        <v>18</v>
      </c>
      <c r="D467" s="1" t="s">
        <v>164</v>
      </c>
      <c r="E467" s="1" t="s">
        <v>105</v>
      </c>
      <c r="F467" s="1" t="s">
        <v>574</v>
      </c>
      <c r="G467" s="1">
        <v>40.5</v>
      </c>
      <c r="H467" s="1" t="s">
        <v>60</v>
      </c>
      <c r="I467" s="1">
        <v>-113.0</v>
      </c>
      <c r="J467" s="1">
        <v>-0.106361973762065</v>
      </c>
      <c r="K467" s="1" t="s">
        <v>61</v>
      </c>
      <c r="L467" s="1" t="s">
        <v>61</v>
      </c>
      <c r="M467" s="1" t="s">
        <v>62</v>
      </c>
      <c r="N467" s="1">
        <v>-116.0</v>
      </c>
      <c r="O467" s="1">
        <v>0.0388000770692408</v>
      </c>
      <c r="P467" s="1" t="s">
        <v>61</v>
      </c>
      <c r="Q467" s="1" t="s">
        <v>61</v>
      </c>
      <c r="R467" s="1">
        <f t="shared" si="1"/>
        <v>0.03880007707</v>
      </c>
      <c r="S467" s="1">
        <f t="shared" si="2"/>
        <v>-116</v>
      </c>
      <c r="T467" s="1">
        <f t="shared" si="3"/>
        <v>1.862068966</v>
      </c>
      <c r="U467" s="1">
        <f t="shared" si="4"/>
        <v>0</v>
      </c>
      <c r="V467" s="3">
        <f t="shared" si="5"/>
        <v>1</v>
      </c>
      <c r="W467" s="3">
        <f t="shared" si="6"/>
        <v>2</v>
      </c>
      <c r="X467" s="3" t="str">
        <f>IFERROR(__xludf.DUMMYFUNCTION("split(B467,"" "")"),"J.")</f>
        <v>J.</v>
      </c>
      <c r="Y467" s="3" t="str">
        <f>IFERROR(__xludf.DUMMYFUNCTION("""COMPUTED_VALUE"""),"Jennings")</f>
        <v>Jennings</v>
      </c>
      <c r="AA467" s="3">
        <v>13.0</v>
      </c>
      <c r="AB467" s="3">
        <f t="shared" si="7"/>
        <v>0</v>
      </c>
      <c r="AC467" s="3">
        <f t="shared" si="8"/>
        <v>1</v>
      </c>
      <c r="AD467" s="3">
        <f t="shared" si="9"/>
        <v>0.8620689655</v>
      </c>
      <c r="AE467" s="3">
        <f t="shared" si="10"/>
        <v>0.8620689655</v>
      </c>
      <c r="AF467" s="3">
        <f t="shared" si="11"/>
        <v>1.724137931</v>
      </c>
      <c r="AG467" s="3">
        <f t="shared" si="12"/>
        <v>0.6790123457</v>
      </c>
    </row>
    <row r="468">
      <c r="A468" s="1" t="s">
        <v>9</v>
      </c>
      <c r="B468" s="1" t="s">
        <v>496</v>
      </c>
      <c r="C468" s="1" t="s">
        <v>18</v>
      </c>
      <c r="D468" s="1" t="s">
        <v>164</v>
      </c>
      <c r="E468" s="1" t="s">
        <v>105</v>
      </c>
      <c r="F468" s="1" t="s">
        <v>574</v>
      </c>
      <c r="G468" s="1">
        <v>75.5</v>
      </c>
      <c r="H468" s="1" t="s">
        <v>60</v>
      </c>
      <c r="I468" s="1">
        <v>-126.0</v>
      </c>
      <c r="J468" s="1">
        <v>-0.115245590444689</v>
      </c>
      <c r="K468" s="1" t="s">
        <v>61</v>
      </c>
      <c r="L468" s="1" t="s">
        <v>61</v>
      </c>
      <c r="M468" s="1" t="s">
        <v>62</v>
      </c>
      <c r="N468" s="1">
        <v>-108.0</v>
      </c>
      <c r="O468" s="1">
        <v>0.0384967678641335</v>
      </c>
      <c r="P468" s="1" t="s">
        <v>61</v>
      </c>
      <c r="Q468" s="1" t="s">
        <v>61</v>
      </c>
      <c r="R468" s="1">
        <f t="shared" si="1"/>
        <v>0.03849676786</v>
      </c>
      <c r="S468" s="1">
        <f t="shared" si="2"/>
        <v>-108</v>
      </c>
      <c r="T468" s="1">
        <f t="shared" si="3"/>
        <v>1.925925926</v>
      </c>
      <c r="U468" s="1">
        <f t="shared" si="4"/>
        <v>0</v>
      </c>
      <c r="V468" s="3">
        <f t="shared" si="5"/>
        <v>1</v>
      </c>
      <c r="W468" s="3">
        <f t="shared" si="6"/>
        <v>2</v>
      </c>
      <c r="X468" s="3" t="str">
        <f>IFERROR(__xludf.DUMMYFUNCTION("split(B468,"" "")"),"D.")</f>
        <v>D.</v>
      </c>
      <c r="Y468" s="3" t="str">
        <f>IFERROR(__xludf.DUMMYFUNCTION("""COMPUTED_VALUE"""),"Samuel")</f>
        <v>Samuel</v>
      </c>
      <c r="AA468" s="3">
        <v>20.0</v>
      </c>
      <c r="AB468" s="3">
        <f t="shared" si="7"/>
        <v>0</v>
      </c>
      <c r="AC468" s="3">
        <f t="shared" si="8"/>
        <v>1</v>
      </c>
      <c r="AD468" s="3">
        <f t="shared" si="9"/>
        <v>0.9259259259</v>
      </c>
      <c r="AE468" s="3">
        <f t="shared" si="10"/>
        <v>0.9259259259</v>
      </c>
      <c r="AF468" s="3">
        <f t="shared" si="11"/>
        <v>1.851851852</v>
      </c>
      <c r="AG468" s="3">
        <f t="shared" si="12"/>
        <v>0.7350993377</v>
      </c>
    </row>
    <row r="469">
      <c r="A469" s="1" t="s">
        <v>8</v>
      </c>
      <c r="B469" s="1" t="s">
        <v>497</v>
      </c>
      <c r="C469" s="1" t="s">
        <v>19</v>
      </c>
      <c r="D469" s="1" t="s">
        <v>164</v>
      </c>
      <c r="E469" s="1" t="s">
        <v>105</v>
      </c>
      <c r="F469" s="1" t="s">
        <v>574</v>
      </c>
      <c r="G469" s="1">
        <v>18.5</v>
      </c>
      <c r="H469" s="1" t="s">
        <v>60</v>
      </c>
      <c r="I469" s="1">
        <v>-123.0</v>
      </c>
      <c r="J469" s="1">
        <v>0.0374621903327353</v>
      </c>
      <c r="K469" s="1" t="s">
        <v>61</v>
      </c>
      <c r="L469" s="1" t="s">
        <v>61</v>
      </c>
      <c r="M469" s="1" t="s">
        <v>62</v>
      </c>
      <c r="N469" s="1">
        <v>-109.0</v>
      </c>
      <c r="O469" s="1">
        <v>-0.1105851030622</v>
      </c>
      <c r="P469" s="1" t="s">
        <v>61</v>
      </c>
      <c r="Q469" s="1" t="s">
        <v>61</v>
      </c>
      <c r="R469" s="1">
        <f t="shared" si="1"/>
        <v>0.03746219033</v>
      </c>
      <c r="S469" s="1">
        <f t="shared" si="2"/>
        <v>-123</v>
      </c>
      <c r="T469" s="1">
        <f t="shared" si="3"/>
        <v>1.81300813</v>
      </c>
      <c r="U469" s="1">
        <f t="shared" si="4"/>
        <v>1</v>
      </c>
      <c r="V469" s="3">
        <f t="shared" si="5"/>
        <v>1</v>
      </c>
      <c r="W469" s="3">
        <f t="shared" si="6"/>
        <v>3</v>
      </c>
      <c r="X469" s="3" t="str">
        <f>IFERROR(__xludf.DUMMYFUNCTION("split(B469,"" "")"),"J.")</f>
        <v>J.</v>
      </c>
      <c r="Y469" s="3" t="str">
        <f>IFERROR(__xludf.DUMMYFUNCTION("""COMPUTED_VALUE"""),"Mason")</f>
        <v>Mason</v>
      </c>
      <c r="AA469" s="3">
        <v>14.0</v>
      </c>
      <c r="AB469" s="3">
        <f t="shared" si="7"/>
        <v>0</v>
      </c>
      <c r="AC469" s="3">
        <f t="shared" si="8"/>
        <v>0</v>
      </c>
      <c r="AD469" s="3">
        <f t="shared" si="9"/>
        <v>0.8130081301</v>
      </c>
      <c r="AE469" s="3">
        <f t="shared" si="10"/>
        <v>-1</v>
      </c>
      <c r="AF469" s="3">
        <f t="shared" si="11"/>
        <v>-3</v>
      </c>
      <c r="AG469" s="3">
        <f t="shared" si="12"/>
        <v>-0.2432432432</v>
      </c>
    </row>
    <row r="470">
      <c r="A470" s="1" t="s">
        <v>10</v>
      </c>
      <c r="B470" s="1" t="s">
        <v>262</v>
      </c>
      <c r="C470" s="1" t="s">
        <v>21</v>
      </c>
      <c r="D470" s="1" t="s">
        <v>164</v>
      </c>
      <c r="E470" s="1" t="s">
        <v>105</v>
      </c>
      <c r="F470" s="1" t="s">
        <v>574</v>
      </c>
      <c r="G470" s="1">
        <v>12.5</v>
      </c>
      <c r="H470" s="1" t="s">
        <v>60</v>
      </c>
      <c r="I470" s="1">
        <v>-110.0</v>
      </c>
      <c r="J470" s="1">
        <v>-0.0867532002793311</v>
      </c>
      <c r="K470" s="1" t="s">
        <v>61</v>
      </c>
      <c r="L470" s="1" t="s">
        <v>61</v>
      </c>
      <c r="M470" s="1" t="s">
        <v>62</v>
      </c>
      <c r="N470" s="1">
        <v>-119.0</v>
      </c>
      <c r="O470" s="1">
        <v>0.0195708436064148</v>
      </c>
      <c r="P470" s="1" t="s">
        <v>61</v>
      </c>
      <c r="Q470" s="1" t="s">
        <v>61</v>
      </c>
      <c r="R470" s="1">
        <f t="shared" si="1"/>
        <v>0.01957084361</v>
      </c>
      <c r="S470" s="1">
        <f t="shared" si="2"/>
        <v>-119</v>
      </c>
      <c r="T470" s="1">
        <f t="shared" si="3"/>
        <v>1.840336134</v>
      </c>
      <c r="U470" s="1">
        <f t="shared" si="4"/>
        <v>0</v>
      </c>
      <c r="V470" s="3">
        <f t="shared" si="5"/>
        <v>1</v>
      </c>
      <c r="W470" s="3">
        <f t="shared" si="6"/>
        <v>3</v>
      </c>
      <c r="X470" s="3" t="str">
        <f>IFERROR(__xludf.DUMMYFUNCTION("split(B470,"" "")"),"B.")</f>
        <v>B.</v>
      </c>
      <c r="Y470" s="3" t="str">
        <f>IFERROR(__xludf.DUMMYFUNCTION("""COMPUTED_VALUE"""),"Purdy")</f>
        <v>Purdy</v>
      </c>
      <c r="AA470" s="3">
        <v>33.0</v>
      </c>
      <c r="AB470" s="3">
        <f t="shared" si="7"/>
        <v>1</v>
      </c>
      <c r="AC470" s="3">
        <f t="shared" si="8"/>
        <v>0</v>
      </c>
      <c r="AD470" s="3">
        <f t="shared" si="9"/>
        <v>0.8403361345</v>
      </c>
      <c r="AE470" s="3">
        <f t="shared" si="10"/>
        <v>-1</v>
      </c>
      <c r="AF470" s="3">
        <f t="shared" si="11"/>
        <v>-3</v>
      </c>
      <c r="AG470" s="3">
        <f t="shared" si="12"/>
        <v>-1.64</v>
      </c>
    </row>
    <row r="471">
      <c r="A471" s="1" t="s">
        <v>11</v>
      </c>
      <c r="B471" s="1" t="s">
        <v>163</v>
      </c>
      <c r="C471" s="1" t="s">
        <v>19</v>
      </c>
      <c r="D471" s="1" t="s">
        <v>164</v>
      </c>
      <c r="E471" s="1" t="s">
        <v>105</v>
      </c>
      <c r="F471" s="1" t="s">
        <v>574</v>
      </c>
      <c r="G471" s="1">
        <v>9.5</v>
      </c>
      <c r="H471" s="1" t="s">
        <v>60</v>
      </c>
      <c r="I471" s="1">
        <v>-108.0</v>
      </c>
      <c r="J471" s="1">
        <v>0.0115094235461556</v>
      </c>
      <c r="K471" s="1" t="s">
        <v>61</v>
      </c>
      <c r="L471" s="1" t="s">
        <v>61</v>
      </c>
      <c r="M471" s="1" t="s">
        <v>62</v>
      </c>
      <c r="N471" s="1">
        <v>-118.0</v>
      </c>
      <c r="O471" s="1">
        <v>-0.0720044812622405</v>
      </c>
      <c r="P471" s="1" t="s">
        <v>61</v>
      </c>
      <c r="Q471" s="1" t="s">
        <v>61</v>
      </c>
      <c r="R471" s="1">
        <f t="shared" si="1"/>
        <v>0.01150942355</v>
      </c>
      <c r="S471" s="1">
        <f t="shared" si="2"/>
        <v>-108</v>
      </c>
      <c r="T471" s="1">
        <f t="shared" si="3"/>
        <v>1.925925926</v>
      </c>
      <c r="U471" s="1">
        <f t="shared" si="4"/>
        <v>1</v>
      </c>
      <c r="V471" s="3">
        <f t="shared" si="5"/>
        <v>1</v>
      </c>
      <c r="W471" s="3">
        <f t="shared" si="6"/>
        <v>2</v>
      </c>
      <c r="X471" s="3" t="str">
        <f>IFERROR(__xludf.DUMMYFUNCTION("split(B471,"" "")"),"K.")</f>
        <v>K.</v>
      </c>
      <c r="Y471" s="3" t="str">
        <f>IFERROR(__xludf.DUMMYFUNCTION("""COMPUTED_VALUE"""),"Juszczyk")</f>
        <v>Juszczyk</v>
      </c>
      <c r="AA471" s="3">
        <v>0.0</v>
      </c>
      <c r="AB471" s="3">
        <f t="shared" si="7"/>
        <v>0</v>
      </c>
      <c r="AC471" s="3">
        <f t="shared" si="8"/>
        <v>0</v>
      </c>
      <c r="AD471" s="3">
        <f t="shared" si="9"/>
        <v>0.9259259259</v>
      </c>
      <c r="AE471" s="3">
        <f t="shared" si="10"/>
        <v>-1</v>
      </c>
      <c r="AF471" s="3">
        <f t="shared" si="11"/>
        <v>-2</v>
      </c>
      <c r="AG471" s="3">
        <f t="shared" si="12"/>
        <v>-1</v>
      </c>
    </row>
    <row r="472">
      <c r="A472" s="1" t="s">
        <v>12</v>
      </c>
      <c r="B472" s="1" t="s">
        <v>496</v>
      </c>
      <c r="C472" s="1" t="s">
        <v>18</v>
      </c>
      <c r="D472" s="1" t="s">
        <v>164</v>
      </c>
      <c r="E472" s="1" t="s">
        <v>105</v>
      </c>
      <c r="F472" s="1" t="s">
        <v>574</v>
      </c>
      <c r="G472" s="1">
        <v>4.5</v>
      </c>
      <c r="H472" s="1" t="s">
        <v>60</v>
      </c>
      <c r="I472" s="1">
        <v>-119.0</v>
      </c>
      <c r="J472" s="1">
        <v>-0.0699333333333331</v>
      </c>
      <c r="K472" s="1" t="s">
        <v>61</v>
      </c>
      <c r="L472" s="1" t="s">
        <v>61</v>
      </c>
      <c r="M472" s="1" t="s">
        <v>62</v>
      </c>
      <c r="N472" s="1">
        <v>-110.0</v>
      </c>
      <c r="O472" s="1">
        <v>0.0027380952380952</v>
      </c>
      <c r="P472" s="1" t="s">
        <v>61</v>
      </c>
      <c r="Q472" s="1" t="s">
        <v>61</v>
      </c>
      <c r="R472" s="1">
        <f t="shared" si="1"/>
        <v>0.002738095238</v>
      </c>
      <c r="S472" s="1">
        <f t="shared" si="2"/>
        <v>-110</v>
      </c>
      <c r="T472" s="1">
        <f t="shared" si="3"/>
        <v>1.909090909</v>
      </c>
      <c r="U472" s="1">
        <f t="shared" si="4"/>
        <v>0</v>
      </c>
      <c r="V472" s="3">
        <f t="shared" si="5"/>
        <v>1</v>
      </c>
      <c r="W472" s="3">
        <f t="shared" si="6"/>
        <v>2</v>
      </c>
      <c r="X472" s="3" t="str">
        <f>IFERROR(__xludf.DUMMYFUNCTION("split(B472,"" "")"),"D.")</f>
        <v>D.</v>
      </c>
      <c r="Y472" s="3" t="str">
        <f>IFERROR(__xludf.DUMMYFUNCTION("""COMPUTED_VALUE"""),"Samuel")</f>
        <v>Samuel</v>
      </c>
      <c r="AA472" s="3">
        <v>1.0</v>
      </c>
      <c r="AB472" s="3">
        <f t="shared" si="7"/>
        <v>0</v>
      </c>
      <c r="AC472" s="3">
        <f t="shared" si="8"/>
        <v>1</v>
      </c>
      <c r="AD472" s="3">
        <f t="shared" si="9"/>
        <v>0.9090909091</v>
      </c>
      <c r="AE472" s="3">
        <f t="shared" si="10"/>
        <v>0.9090909091</v>
      </c>
      <c r="AF472" s="3">
        <f t="shared" si="11"/>
        <v>1.818181818</v>
      </c>
      <c r="AG472" s="3">
        <f t="shared" si="12"/>
        <v>0.7777777778</v>
      </c>
    </row>
    <row r="473">
      <c r="A473" s="1" t="s">
        <v>11</v>
      </c>
      <c r="B473" s="1" t="s">
        <v>332</v>
      </c>
      <c r="C473" s="1" t="s">
        <v>20</v>
      </c>
      <c r="D473" s="1" t="s">
        <v>164</v>
      </c>
      <c r="E473" s="1" t="s">
        <v>105</v>
      </c>
      <c r="F473" s="1" t="s">
        <v>574</v>
      </c>
      <c r="G473" s="1">
        <v>44.5</v>
      </c>
      <c r="H473" s="1" t="s">
        <v>60</v>
      </c>
      <c r="I473" s="1">
        <v>-115.0</v>
      </c>
      <c r="J473" s="1">
        <v>-0.0673442628418605</v>
      </c>
      <c r="K473" s="1" t="s">
        <v>61</v>
      </c>
      <c r="L473" s="1" t="s">
        <v>61</v>
      </c>
      <c r="M473" s="1" t="s">
        <v>62</v>
      </c>
      <c r="N473" s="1">
        <v>-113.0</v>
      </c>
      <c r="O473" s="1">
        <v>0.00202216745569494</v>
      </c>
      <c r="P473" s="1" t="s">
        <v>61</v>
      </c>
      <c r="Q473" s="1" t="s">
        <v>61</v>
      </c>
      <c r="R473" s="1">
        <f t="shared" si="1"/>
        <v>0.002022167456</v>
      </c>
      <c r="S473" s="1">
        <f t="shared" si="2"/>
        <v>-113</v>
      </c>
      <c r="T473" s="1">
        <f t="shared" si="3"/>
        <v>1.884955752</v>
      </c>
      <c r="U473" s="1">
        <f t="shared" si="4"/>
        <v>0</v>
      </c>
      <c r="V473" s="3">
        <f t="shared" si="5"/>
        <v>1</v>
      </c>
      <c r="W473" s="3">
        <f t="shared" si="6"/>
        <v>2</v>
      </c>
      <c r="X473" s="3" t="str">
        <f>IFERROR(__xludf.DUMMYFUNCTION("split(B473,"" "")"),"G.")</f>
        <v>G.</v>
      </c>
      <c r="Y473" s="3" t="str">
        <f>IFERROR(__xludf.DUMMYFUNCTION("""COMPUTED_VALUE"""),"Kittle")</f>
        <v>Kittle</v>
      </c>
      <c r="AA473" s="3">
        <v>64.0</v>
      </c>
      <c r="AB473" s="3">
        <f t="shared" si="7"/>
        <v>1</v>
      </c>
      <c r="AC473" s="3">
        <f t="shared" si="8"/>
        <v>0</v>
      </c>
      <c r="AD473" s="3">
        <f t="shared" si="9"/>
        <v>0.8849557522</v>
      </c>
      <c r="AE473" s="3">
        <f t="shared" si="10"/>
        <v>-1</v>
      </c>
      <c r="AF473" s="3">
        <f t="shared" si="11"/>
        <v>-2</v>
      </c>
      <c r="AG473" s="3">
        <f t="shared" si="12"/>
        <v>-0.4382022472</v>
      </c>
    </row>
    <row r="474">
      <c r="A474" s="1" t="s">
        <v>12</v>
      </c>
      <c r="B474" s="1" t="s">
        <v>497</v>
      </c>
      <c r="C474" s="1" t="s">
        <v>19</v>
      </c>
      <c r="D474" s="1" t="s">
        <v>164</v>
      </c>
      <c r="E474" s="1" t="s">
        <v>105</v>
      </c>
      <c r="F474" s="1" t="s">
        <v>574</v>
      </c>
      <c r="G474" s="1">
        <v>1.5</v>
      </c>
      <c r="H474" s="1" t="s">
        <v>60</v>
      </c>
      <c r="I474" s="1">
        <v>-140.0</v>
      </c>
      <c r="J474" s="1">
        <v>-0.0699288841666666</v>
      </c>
      <c r="K474" s="1" t="s">
        <v>61</v>
      </c>
      <c r="L474" s="1" t="s">
        <v>61</v>
      </c>
      <c r="M474" s="1" t="s">
        <v>62</v>
      </c>
      <c r="N474" s="1">
        <v>106.0</v>
      </c>
      <c r="O474" s="1">
        <v>0.00115792330097092</v>
      </c>
      <c r="P474" s="1" t="s">
        <v>61</v>
      </c>
      <c r="Q474" s="1" t="s">
        <v>61</v>
      </c>
      <c r="R474" s="1">
        <f t="shared" si="1"/>
        <v>0.001157923301</v>
      </c>
      <c r="S474" s="1">
        <f t="shared" si="2"/>
        <v>106</v>
      </c>
      <c r="T474" s="1">
        <f t="shared" si="3"/>
        <v>2.06</v>
      </c>
      <c r="U474" s="1">
        <f t="shared" si="4"/>
        <v>0</v>
      </c>
      <c r="V474" s="3">
        <f t="shared" si="5"/>
        <v>1</v>
      </c>
      <c r="W474" s="3">
        <f t="shared" si="6"/>
        <v>2</v>
      </c>
      <c r="X474" s="3" t="str">
        <f>IFERROR(__xludf.DUMMYFUNCTION("split(B474,"" "")"),"J.")</f>
        <v>J.</v>
      </c>
      <c r="Y474" s="3" t="str">
        <f>IFERROR(__xludf.DUMMYFUNCTION("""COMPUTED_VALUE"""),"Mason")</f>
        <v>Mason</v>
      </c>
      <c r="AA474" s="3">
        <v>1.0</v>
      </c>
      <c r="AB474" s="3">
        <f t="shared" si="7"/>
        <v>0</v>
      </c>
      <c r="AC474" s="3">
        <f t="shared" si="8"/>
        <v>1</v>
      </c>
      <c r="AD474" s="3">
        <f t="shared" si="9"/>
        <v>1.06</v>
      </c>
      <c r="AE474" s="3">
        <f t="shared" si="10"/>
        <v>1.06</v>
      </c>
      <c r="AF474" s="3">
        <f t="shared" si="11"/>
        <v>2.12</v>
      </c>
      <c r="AG474" s="3">
        <f t="shared" si="12"/>
        <v>0.3333333333</v>
      </c>
    </row>
    <row r="475">
      <c r="A475" s="1" t="s">
        <v>10</v>
      </c>
      <c r="B475" s="1" t="s">
        <v>112</v>
      </c>
      <c r="C475" s="1" t="s">
        <v>20</v>
      </c>
      <c r="D475" s="1" t="s">
        <v>113</v>
      </c>
      <c r="E475" s="1" t="s">
        <v>109</v>
      </c>
      <c r="F475" s="1" t="s">
        <v>575</v>
      </c>
      <c r="G475" s="1">
        <v>0.5</v>
      </c>
      <c r="H475" s="1" t="s">
        <v>60</v>
      </c>
      <c r="I475" s="1">
        <v>700.0</v>
      </c>
      <c r="J475" s="1">
        <v>0.487708115846648</v>
      </c>
      <c r="K475" s="1" t="s">
        <v>61</v>
      </c>
      <c r="L475" s="1" t="s">
        <v>61</v>
      </c>
      <c r="M475" s="1" t="s">
        <v>62</v>
      </c>
      <c r="N475" s="1">
        <v>-1600.0</v>
      </c>
      <c r="O475" s="1">
        <v>-0.553847385112361</v>
      </c>
      <c r="P475" s="1" t="s">
        <v>61</v>
      </c>
      <c r="Q475" s="1" t="s">
        <v>61</v>
      </c>
      <c r="R475" s="1">
        <f t="shared" si="1"/>
        <v>0.4877081158</v>
      </c>
      <c r="S475" s="1">
        <f t="shared" si="2"/>
        <v>700</v>
      </c>
      <c r="T475" s="1">
        <f t="shared" si="3"/>
        <v>8</v>
      </c>
      <c r="U475" s="1">
        <f t="shared" si="4"/>
        <v>1</v>
      </c>
      <c r="V475" s="3">
        <f t="shared" si="5"/>
        <v>3</v>
      </c>
      <c r="W475" s="3">
        <f t="shared" si="6"/>
        <v>1</v>
      </c>
      <c r="X475" s="3" t="str">
        <f>IFERROR(__xludf.DUMMYFUNCTION("split(B475,"" "")"),"C.")</f>
        <v>C.</v>
      </c>
      <c r="Y475" s="3" t="str">
        <f>IFERROR(__xludf.DUMMYFUNCTION("""COMPUTED_VALUE"""),"Otton")</f>
        <v>Otton</v>
      </c>
      <c r="AA475" s="3">
        <v>0.0</v>
      </c>
      <c r="AB475" s="3">
        <f t="shared" si="7"/>
        <v>0</v>
      </c>
      <c r="AC475" s="3">
        <f t="shared" si="8"/>
        <v>0</v>
      </c>
      <c r="AD475" s="3">
        <f t="shared" si="9"/>
        <v>21</v>
      </c>
      <c r="AE475" s="3">
        <f t="shared" si="10"/>
        <v>0</v>
      </c>
      <c r="AF475" s="3">
        <f t="shared" si="11"/>
        <v>-1</v>
      </c>
      <c r="AG475" s="3">
        <f t="shared" si="12"/>
        <v>-1</v>
      </c>
    </row>
    <row r="476">
      <c r="A476" s="1" t="s">
        <v>10</v>
      </c>
      <c r="B476" s="1" t="s">
        <v>314</v>
      </c>
      <c r="C476" s="1" t="s">
        <v>18</v>
      </c>
      <c r="D476" s="1" t="s">
        <v>113</v>
      </c>
      <c r="E476" s="1" t="s">
        <v>109</v>
      </c>
      <c r="F476" s="1" t="s">
        <v>575</v>
      </c>
      <c r="G476" s="1">
        <v>0.5</v>
      </c>
      <c r="H476" s="1" t="s">
        <v>60</v>
      </c>
      <c r="I476" s="1">
        <v>450.0</v>
      </c>
      <c r="J476" s="1">
        <v>0.437018070958046</v>
      </c>
      <c r="K476" s="1" t="s">
        <v>61</v>
      </c>
      <c r="L476" s="1" t="s">
        <v>61</v>
      </c>
      <c r="M476" s="1" t="s">
        <v>62</v>
      </c>
      <c r="N476" s="1">
        <v>-750.0</v>
      </c>
      <c r="O476" s="1">
        <v>-0.501121449072403</v>
      </c>
      <c r="P476" s="1" t="s">
        <v>61</v>
      </c>
      <c r="Q476" s="1" t="s">
        <v>61</v>
      </c>
      <c r="R476" s="1">
        <f t="shared" si="1"/>
        <v>0.437018071</v>
      </c>
      <c r="S476" s="1">
        <f t="shared" si="2"/>
        <v>450</v>
      </c>
      <c r="T476" s="1">
        <f t="shared" si="3"/>
        <v>5.5</v>
      </c>
      <c r="U476" s="1">
        <f t="shared" si="4"/>
        <v>1</v>
      </c>
      <c r="V476" s="3">
        <f t="shared" si="5"/>
        <v>3</v>
      </c>
      <c r="W476" s="3">
        <f t="shared" si="6"/>
        <v>1</v>
      </c>
      <c r="X476" s="3" t="str">
        <f>IFERROR(__xludf.DUMMYFUNCTION("split(B476,"" "")"),"C.")</f>
        <v>C.</v>
      </c>
      <c r="Y476" s="3" t="str">
        <f>IFERROR(__xludf.DUMMYFUNCTION("""COMPUTED_VALUE"""),"Godwin")</f>
        <v>Godwin</v>
      </c>
      <c r="AA476" s="3">
        <v>2.0</v>
      </c>
      <c r="AB476" s="3">
        <f t="shared" si="7"/>
        <v>1</v>
      </c>
      <c r="AC476" s="3">
        <f t="shared" si="8"/>
        <v>1</v>
      </c>
      <c r="AD476" s="3">
        <f t="shared" si="9"/>
        <v>13.5</v>
      </c>
      <c r="AE476" s="3">
        <f t="shared" si="10"/>
        <v>0</v>
      </c>
      <c r="AF476" s="3">
        <f t="shared" si="11"/>
        <v>4.5</v>
      </c>
      <c r="AG476" s="3">
        <f t="shared" si="12"/>
        <v>3</v>
      </c>
    </row>
    <row r="477">
      <c r="A477" s="1" t="s">
        <v>12</v>
      </c>
      <c r="B477" s="1" t="s">
        <v>557</v>
      </c>
      <c r="C477" s="1" t="s">
        <v>19</v>
      </c>
      <c r="D477" s="1" t="s">
        <v>113</v>
      </c>
      <c r="E477" s="1" t="s">
        <v>109</v>
      </c>
      <c r="F477" s="1" t="s">
        <v>575</v>
      </c>
      <c r="G477" s="1">
        <v>1.5</v>
      </c>
      <c r="H477" s="1" t="s">
        <v>60</v>
      </c>
      <c r="I477" s="1">
        <v>-124.0</v>
      </c>
      <c r="J477" s="1">
        <v>-0.211309426825892</v>
      </c>
      <c r="K477" s="1" t="s">
        <v>61</v>
      </c>
      <c r="L477" s="1" t="s">
        <v>61</v>
      </c>
      <c r="M477" s="1" t="s">
        <v>62</v>
      </c>
      <c r="N477" s="1">
        <v>-106.0</v>
      </c>
      <c r="O477" s="1">
        <v>0.143180690803592</v>
      </c>
      <c r="P477" s="1" t="s">
        <v>61</v>
      </c>
      <c r="Q477" s="1" t="s">
        <v>61</v>
      </c>
      <c r="R477" s="1">
        <f t="shared" si="1"/>
        <v>0.1431806908</v>
      </c>
      <c r="S477" s="1">
        <f t="shared" si="2"/>
        <v>-106</v>
      </c>
      <c r="T477" s="1">
        <f t="shared" si="3"/>
        <v>1.943396226</v>
      </c>
      <c r="U477" s="1">
        <f t="shared" si="4"/>
        <v>0</v>
      </c>
      <c r="V477" s="3">
        <f t="shared" si="5"/>
        <v>3</v>
      </c>
      <c r="W477" s="3">
        <f t="shared" si="6"/>
        <v>2</v>
      </c>
      <c r="X477" s="3" t="str">
        <f>IFERROR(__xludf.DUMMYFUNCTION("split(B477,"" "")"),"B.")</f>
        <v>B.</v>
      </c>
      <c r="Y477" s="3" t="str">
        <f>IFERROR(__xludf.DUMMYFUNCTION("""COMPUTED_VALUE"""),"Irving")</f>
        <v>Irving</v>
      </c>
      <c r="AA477" s="3">
        <v>2.0</v>
      </c>
      <c r="AB477" s="3">
        <f t="shared" si="7"/>
        <v>1</v>
      </c>
      <c r="AC477" s="3">
        <f t="shared" si="8"/>
        <v>0</v>
      </c>
      <c r="AD477" s="3">
        <f t="shared" si="9"/>
        <v>2.830188679</v>
      </c>
      <c r="AE477" s="3">
        <f t="shared" si="10"/>
        <v>-3</v>
      </c>
      <c r="AF477" s="3">
        <f t="shared" si="11"/>
        <v>-2</v>
      </c>
      <c r="AG477" s="3">
        <f t="shared" si="12"/>
        <v>-0.3333333333</v>
      </c>
    </row>
    <row r="478">
      <c r="A478" s="1" t="s">
        <v>12</v>
      </c>
      <c r="B478" s="1" t="s">
        <v>314</v>
      </c>
      <c r="C478" s="1" t="s">
        <v>18</v>
      </c>
      <c r="D478" s="1" t="s">
        <v>113</v>
      </c>
      <c r="E478" s="1" t="s">
        <v>109</v>
      </c>
      <c r="F478" s="1" t="s">
        <v>575</v>
      </c>
      <c r="G478" s="1">
        <v>6.5</v>
      </c>
      <c r="H478" s="1" t="s">
        <v>60</v>
      </c>
      <c r="I478" s="1">
        <v>106.0</v>
      </c>
      <c r="J478" s="1">
        <v>0.137214563106796</v>
      </c>
      <c r="K478" s="1" t="s">
        <v>61</v>
      </c>
      <c r="L478" s="1" t="s">
        <v>61</v>
      </c>
      <c r="M478" s="1" t="s">
        <v>62</v>
      </c>
      <c r="N478" s="1">
        <v>-140.0</v>
      </c>
      <c r="O478" s="1">
        <v>-0.205991666666666</v>
      </c>
      <c r="P478" s="1" t="s">
        <v>61</v>
      </c>
      <c r="Q478" s="1" t="s">
        <v>61</v>
      </c>
      <c r="R478" s="1">
        <f t="shared" si="1"/>
        <v>0.1372145631</v>
      </c>
      <c r="S478" s="1">
        <f t="shared" si="2"/>
        <v>106</v>
      </c>
      <c r="T478" s="1">
        <f t="shared" si="3"/>
        <v>2.06</v>
      </c>
      <c r="U478" s="1">
        <f t="shared" si="4"/>
        <v>1</v>
      </c>
      <c r="V478" s="3">
        <f t="shared" si="5"/>
        <v>3</v>
      </c>
      <c r="W478" s="3">
        <f t="shared" si="6"/>
        <v>2</v>
      </c>
      <c r="X478" s="3" t="str">
        <f>IFERROR(__xludf.DUMMYFUNCTION("split(B478,"" "")"),"C.")</f>
        <v>C.</v>
      </c>
      <c r="Y478" s="3" t="str">
        <f>IFERROR(__xludf.DUMMYFUNCTION("""COMPUTED_VALUE"""),"Godwin")</f>
        <v>Godwin</v>
      </c>
      <c r="AA478" s="3">
        <v>5.0</v>
      </c>
      <c r="AB478" s="3">
        <f t="shared" si="7"/>
        <v>0</v>
      </c>
      <c r="AC478" s="3">
        <f t="shared" si="8"/>
        <v>0</v>
      </c>
      <c r="AD478" s="3">
        <f t="shared" si="9"/>
        <v>3.18</v>
      </c>
      <c r="AE478" s="3">
        <f t="shared" si="10"/>
        <v>-3</v>
      </c>
      <c r="AF478" s="3">
        <f t="shared" si="11"/>
        <v>-2</v>
      </c>
      <c r="AG478" s="3">
        <f t="shared" si="12"/>
        <v>-0.2307692308</v>
      </c>
    </row>
    <row r="479">
      <c r="A479" s="1" t="s">
        <v>8</v>
      </c>
      <c r="B479" s="1" t="s">
        <v>557</v>
      </c>
      <c r="C479" s="1" t="s">
        <v>19</v>
      </c>
      <c r="D479" s="1" t="s">
        <v>113</v>
      </c>
      <c r="E479" s="1" t="s">
        <v>109</v>
      </c>
      <c r="F479" s="1" t="s">
        <v>575</v>
      </c>
      <c r="G479" s="1">
        <v>10.5</v>
      </c>
      <c r="H479" s="1" t="s">
        <v>60</v>
      </c>
      <c r="I479" s="1">
        <v>-102.0</v>
      </c>
      <c r="J479" s="1">
        <v>-0.189796626244094</v>
      </c>
      <c r="K479" s="1" t="s">
        <v>61</v>
      </c>
      <c r="L479" s="1" t="s">
        <v>61</v>
      </c>
      <c r="M479" s="1" t="s">
        <v>62</v>
      </c>
      <c r="N479" s="1">
        <v>-135.0</v>
      </c>
      <c r="O479" s="1">
        <v>0.110385446709635</v>
      </c>
      <c r="P479" s="1" t="s">
        <v>61</v>
      </c>
      <c r="Q479" s="1" t="s">
        <v>61</v>
      </c>
      <c r="R479" s="1">
        <f t="shared" si="1"/>
        <v>0.1103854467</v>
      </c>
      <c r="S479" s="1">
        <f t="shared" si="2"/>
        <v>-135</v>
      </c>
      <c r="T479" s="1">
        <f t="shared" si="3"/>
        <v>1.740740741</v>
      </c>
      <c r="U479" s="1">
        <f t="shared" si="4"/>
        <v>0</v>
      </c>
      <c r="V479" s="3">
        <f t="shared" si="5"/>
        <v>3</v>
      </c>
      <c r="W479" s="3">
        <f t="shared" si="6"/>
        <v>3</v>
      </c>
      <c r="X479" s="3" t="str">
        <f>IFERROR(__xludf.DUMMYFUNCTION("split(B479,"" "")"),"B.")</f>
        <v>B.</v>
      </c>
      <c r="Y479" s="3" t="str">
        <f>IFERROR(__xludf.DUMMYFUNCTION("""COMPUTED_VALUE"""),"Irving")</f>
        <v>Irving</v>
      </c>
      <c r="AA479" s="3">
        <v>9.0</v>
      </c>
      <c r="AB479" s="3">
        <f t="shared" si="7"/>
        <v>0</v>
      </c>
      <c r="AC479" s="3">
        <f t="shared" si="8"/>
        <v>1</v>
      </c>
      <c r="AD479" s="3">
        <f t="shared" si="9"/>
        <v>2.222222222</v>
      </c>
      <c r="AE479" s="3">
        <f t="shared" si="10"/>
        <v>2.222222222</v>
      </c>
      <c r="AF479" s="3">
        <f t="shared" si="11"/>
        <v>2.222222222</v>
      </c>
      <c r="AG479" s="3">
        <f t="shared" si="12"/>
        <v>0.1428571429</v>
      </c>
    </row>
    <row r="480">
      <c r="A480" s="1" t="s">
        <v>12</v>
      </c>
      <c r="B480" s="1" t="s">
        <v>112</v>
      </c>
      <c r="C480" s="1" t="s">
        <v>20</v>
      </c>
      <c r="D480" s="1" t="s">
        <v>113</v>
      </c>
      <c r="E480" s="1" t="s">
        <v>109</v>
      </c>
      <c r="F480" s="1" t="s">
        <v>575</v>
      </c>
      <c r="G480" s="1">
        <v>3.5</v>
      </c>
      <c r="H480" s="1" t="s">
        <v>60</v>
      </c>
      <c r="I480" s="1">
        <v>-119.0</v>
      </c>
      <c r="J480" s="1">
        <v>-0.173778995433789</v>
      </c>
      <c r="K480" s="1" t="s">
        <v>61</v>
      </c>
      <c r="L480" s="1" t="s">
        <v>61</v>
      </c>
      <c r="M480" s="1" t="s">
        <v>62</v>
      </c>
      <c r="N480" s="1">
        <v>-110.0</v>
      </c>
      <c r="O480" s="1">
        <v>0.106590476190476</v>
      </c>
      <c r="P480" s="1" t="s">
        <v>61</v>
      </c>
      <c r="Q480" s="1" t="s">
        <v>61</v>
      </c>
      <c r="R480" s="1">
        <f t="shared" si="1"/>
        <v>0.1065904762</v>
      </c>
      <c r="S480" s="1">
        <f t="shared" si="2"/>
        <v>-110</v>
      </c>
      <c r="T480" s="1">
        <f t="shared" si="3"/>
        <v>1.909090909</v>
      </c>
      <c r="U480" s="1">
        <f t="shared" si="4"/>
        <v>0</v>
      </c>
      <c r="V480" s="3">
        <f t="shared" si="5"/>
        <v>3</v>
      </c>
      <c r="W480" s="3">
        <f t="shared" si="6"/>
        <v>2</v>
      </c>
      <c r="X480" s="3" t="str">
        <f>IFERROR(__xludf.DUMMYFUNCTION("split(B480,"" "")"),"C.")</f>
        <v>C.</v>
      </c>
      <c r="Y480" s="3" t="str">
        <f>IFERROR(__xludf.DUMMYFUNCTION("""COMPUTED_VALUE"""),"Otton")</f>
        <v>Otton</v>
      </c>
      <c r="AA480" s="3">
        <v>3.0</v>
      </c>
      <c r="AB480" s="3">
        <f t="shared" si="7"/>
        <v>0</v>
      </c>
      <c r="AC480" s="3">
        <f t="shared" si="8"/>
        <v>1</v>
      </c>
      <c r="AD480" s="3">
        <f t="shared" si="9"/>
        <v>2.727272727</v>
      </c>
      <c r="AE480" s="3">
        <f t="shared" si="10"/>
        <v>2.727272727</v>
      </c>
      <c r="AF480" s="3">
        <f t="shared" si="11"/>
        <v>1.818181818</v>
      </c>
      <c r="AG480" s="3">
        <f t="shared" si="12"/>
        <v>0.1428571429</v>
      </c>
    </row>
    <row r="481">
      <c r="A481" s="1" t="s">
        <v>8</v>
      </c>
      <c r="B481" s="1" t="s">
        <v>417</v>
      </c>
      <c r="C481" s="1" t="s">
        <v>19</v>
      </c>
      <c r="D481" s="1" t="s">
        <v>113</v>
      </c>
      <c r="E481" s="1" t="s">
        <v>109</v>
      </c>
      <c r="F481" s="1" t="s">
        <v>575</v>
      </c>
      <c r="G481" s="1">
        <v>9.5</v>
      </c>
      <c r="H481" s="1" t="s">
        <v>60</v>
      </c>
      <c r="I481" s="1">
        <v>-114.0</v>
      </c>
      <c r="J481" s="1">
        <v>-0.159760004288733</v>
      </c>
      <c r="K481" s="1" t="s">
        <v>61</v>
      </c>
      <c r="L481" s="1" t="s">
        <v>61</v>
      </c>
      <c r="M481" s="1" t="s">
        <v>62</v>
      </c>
      <c r="N481" s="1">
        <v>-118.0</v>
      </c>
      <c r="O481" s="1">
        <v>0.0857573590962891</v>
      </c>
      <c r="P481" s="1" t="s">
        <v>61</v>
      </c>
      <c r="Q481" s="1" t="s">
        <v>61</v>
      </c>
      <c r="R481" s="1">
        <f t="shared" si="1"/>
        <v>0.0857573591</v>
      </c>
      <c r="S481" s="1">
        <f t="shared" si="2"/>
        <v>-118</v>
      </c>
      <c r="T481" s="1">
        <f t="shared" si="3"/>
        <v>1.847457627</v>
      </c>
      <c r="U481" s="1">
        <f t="shared" si="4"/>
        <v>0</v>
      </c>
      <c r="V481" s="3">
        <f t="shared" si="5"/>
        <v>2</v>
      </c>
      <c r="W481" s="3">
        <f t="shared" si="6"/>
        <v>3</v>
      </c>
      <c r="X481" s="3" t="str">
        <f>IFERROR(__xludf.DUMMYFUNCTION("split(B481,"" "")"),"R.")</f>
        <v>R.</v>
      </c>
      <c r="Y481" s="3" t="str">
        <f>IFERROR(__xludf.DUMMYFUNCTION("""COMPUTED_VALUE"""),"White")</f>
        <v>White</v>
      </c>
      <c r="AA481" s="3">
        <v>10.0</v>
      </c>
      <c r="AB481" s="3">
        <f t="shared" si="7"/>
        <v>1</v>
      </c>
      <c r="AC481" s="3">
        <f t="shared" si="8"/>
        <v>0</v>
      </c>
      <c r="AD481" s="3">
        <f t="shared" si="9"/>
        <v>1.694915254</v>
      </c>
      <c r="AE481" s="3">
        <f t="shared" si="10"/>
        <v>-2</v>
      </c>
      <c r="AF481" s="3">
        <f t="shared" si="11"/>
        <v>-3</v>
      </c>
      <c r="AG481" s="3">
        <f t="shared" si="12"/>
        <v>-0.05263157895</v>
      </c>
    </row>
    <row r="482">
      <c r="A482" s="1" t="s">
        <v>10</v>
      </c>
      <c r="B482" s="1" t="s">
        <v>557</v>
      </c>
      <c r="C482" s="1" t="s">
        <v>19</v>
      </c>
      <c r="D482" s="1" t="s">
        <v>113</v>
      </c>
      <c r="E482" s="1" t="s">
        <v>109</v>
      </c>
      <c r="F482" s="1" t="s">
        <v>575</v>
      </c>
      <c r="G482" s="1">
        <v>44.5</v>
      </c>
      <c r="H482" s="1" t="s">
        <v>60</v>
      </c>
      <c r="I482" s="1">
        <v>-113.0</v>
      </c>
      <c r="J482" s="1">
        <v>-0.128337278956492</v>
      </c>
      <c r="K482" s="1" t="s">
        <v>61</v>
      </c>
      <c r="L482" s="1" t="s">
        <v>61</v>
      </c>
      <c r="M482" s="1" t="s">
        <v>62</v>
      </c>
      <c r="N482" s="1">
        <v>-113.0</v>
      </c>
      <c r="O482" s="1">
        <v>0.0673457526668367</v>
      </c>
      <c r="P482" s="1" t="s">
        <v>61</v>
      </c>
      <c r="Q482" s="1" t="s">
        <v>61</v>
      </c>
      <c r="R482" s="1">
        <f t="shared" si="1"/>
        <v>0.06734575267</v>
      </c>
      <c r="S482" s="1">
        <f t="shared" si="2"/>
        <v>-113</v>
      </c>
      <c r="T482" s="1">
        <f t="shared" si="3"/>
        <v>1.884955752</v>
      </c>
      <c r="U482" s="1">
        <f t="shared" si="4"/>
        <v>0</v>
      </c>
      <c r="V482" s="3">
        <f t="shared" si="5"/>
        <v>2</v>
      </c>
      <c r="W482" s="3">
        <f t="shared" si="6"/>
        <v>2</v>
      </c>
      <c r="X482" s="3" t="str">
        <f>IFERROR(__xludf.DUMMYFUNCTION("split(B482,"" "")"),"B.")</f>
        <v>B.</v>
      </c>
      <c r="Y482" s="3" t="str">
        <f>IFERROR(__xludf.DUMMYFUNCTION("""COMPUTED_VALUE"""),"Irving")</f>
        <v>Irving</v>
      </c>
      <c r="AA482" s="3">
        <v>44.0</v>
      </c>
      <c r="AB482" s="3">
        <f t="shared" si="7"/>
        <v>0</v>
      </c>
      <c r="AC482" s="3">
        <f t="shared" si="8"/>
        <v>1</v>
      </c>
      <c r="AD482" s="3">
        <f t="shared" si="9"/>
        <v>1.769911504</v>
      </c>
      <c r="AE482" s="3">
        <f t="shared" si="10"/>
        <v>1.769911504</v>
      </c>
      <c r="AF482" s="3">
        <f t="shared" si="11"/>
        <v>1.769911504</v>
      </c>
      <c r="AG482" s="3">
        <f t="shared" si="12"/>
        <v>0.01123595506</v>
      </c>
    </row>
    <row r="483">
      <c r="A483" s="1" t="s">
        <v>11</v>
      </c>
      <c r="B483" s="1" t="s">
        <v>557</v>
      </c>
      <c r="C483" s="1" t="s">
        <v>19</v>
      </c>
      <c r="D483" s="1" t="s">
        <v>113</v>
      </c>
      <c r="E483" s="1" t="s">
        <v>109</v>
      </c>
      <c r="F483" s="1" t="s">
        <v>575</v>
      </c>
      <c r="G483" s="1">
        <v>7.5</v>
      </c>
      <c r="H483" s="1" t="s">
        <v>60</v>
      </c>
      <c r="I483" s="1">
        <v>-117.0</v>
      </c>
      <c r="J483" s="1">
        <v>0.0477911452817202</v>
      </c>
      <c r="K483" s="1" t="s">
        <v>61</v>
      </c>
      <c r="L483" s="1" t="s">
        <v>61</v>
      </c>
      <c r="M483" s="1" t="s">
        <v>62</v>
      </c>
      <c r="N483" s="1">
        <v>-111.0</v>
      </c>
      <c r="O483" s="1">
        <v>-0.112980105042691</v>
      </c>
      <c r="P483" s="1" t="s">
        <v>61</v>
      </c>
      <c r="Q483" s="1" t="s">
        <v>61</v>
      </c>
      <c r="R483" s="1">
        <f t="shared" si="1"/>
        <v>0.04779114528</v>
      </c>
      <c r="S483" s="1">
        <f t="shared" si="2"/>
        <v>-117</v>
      </c>
      <c r="T483" s="1">
        <f t="shared" si="3"/>
        <v>1.854700855</v>
      </c>
      <c r="U483" s="1">
        <f t="shared" si="4"/>
        <v>1</v>
      </c>
      <c r="V483" s="3">
        <f t="shared" si="5"/>
        <v>1</v>
      </c>
      <c r="W483" s="3">
        <f t="shared" si="6"/>
        <v>2</v>
      </c>
      <c r="X483" s="3" t="str">
        <f>IFERROR(__xludf.DUMMYFUNCTION("split(B483,"" "")"),"B.")</f>
        <v>B.</v>
      </c>
      <c r="Y483" s="3" t="str">
        <f>IFERROR(__xludf.DUMMYFUNCTION("""COMPUTED_VALUE"""),"Irving")</f>
        <v>Irving</v>
      </c>
      <c r="AA483" s="3">
        <v>12.0</v>
      </c>
      <c r="AB483" s="3">
        <f t="shared" si="7"/>
        <v>1</v>
      </c>
      <c r="AC483" s="3">
        <f t="shared" si="8"/>
        <v>1</v>
      </c>
      <c r="AD483" s="3">
        <f t="shared" si="9"/>
        <v>0.8547008547</v>
      </c>
      <c r="AE483" s="3">
        <f t="shared" si="10"/>
        <v>0.8547008547</v>
      </c>
      <c r="AF483" s="3">
        <f t="shared" si="11"/>
        <v>1.709401709</v>
      </c>
      <c r="AG483" s="3">
        <f t="shared" si="12"/>
        <v>0.6</v>
      </c>
    </row>
    <row r="484">
      <c r="A484" s="1" t="s">
        <v>8</v>
      </c>
      <c r="B484" s="1" t="s">
        <v>253</v>
      </c>
      <c r="C484" s="1" t="s">
        <v>21</v>
      </c>
      <c r="D484" s="1" t="s">
        <v>113</v>
      </c>
      <c r="E484" s="1" t="s">
        <v>109</v>
      </c>
      <c r="F484" s="1" t="s">
        <v>575</v>
      </c>
      <c r="G484" s="1">
        <v>3.5</v>
      </c>
      <c r="H484" s="1" t="s">
        <v>60</v>
      </c>
      <c r="I484" s="1">
        <v>128.0</v>
      </c>
      <c r="J484" s="1">
        <v>-0.118046584927576</v>
      </c>
      <c r="K484" s="1" t="s">
        <v>61</v>
      </c>
      <c r="L484" s="1" t="s">
        <v>61</v>
      </c>
      <c r="M484" s="1" t="s">
        <v>62</v>
      </c>
      <c r="N484" s="1">
        <v>-173.0</v>
      </c>
      <c r="O484" s="1">
        <v>0.0457569109398841</v>
      </c>
      <c r="P484" s="1" t="s">
        <v>61</v>
      </c>
      <c r="Q484" s="1" t="s">
        <v>61</v>
      </c>
      <c r="R484" s="1">
        <f t="shared" si="1"/>
        <v>0.04575691094</v>
      </c>
      <c r="S484" s="1">
        <f t="shared" si="2"/>
        <v>-173</v>
      </c>
      <c r="T484" s="1">
        <f t="shared" si="3"/>
        <v>1.578034682</v>
      </c>
      <c r="U484" s="1">
        <f t="shared" si="4"/>
        <v>0</v>
      </c>
      <c r="V484" s="3">
        <f t="shared" si="5"/>
        <v>1</v>
      </c>
      <c r="W484" s="3">
        <f t="shared" si="6"/>
        <v>3</v>
      </c>
      <c r="X484" s="3" t="str">
        <f>IFERROR(__xludf.DUMMYFUNCTION("split(B484,"" "")"),"B.")</f>
        <v>B.</v>
      </c>
      <c r="Y484" s="3" t="str">
        <f>IFERROR(__xludf.DUMMYFUNCTION("""COMPUTED_VALUE"""),"Mayfield")</f>
        <v>Mayfield</v>
      </c>
      <c r="AA484" s="3">
        <v>6.0</v>
      </c>
      <c r="AB484" s="3">
        <f t="shared" si="7"/>
        <v>1</v>
      </c>
      <c r="AC484" s="3">
        <f t="shared" si="8"/>
        <v>0</v>
      </c>
      <c r="AD484" s="3">
        <f t="shared" si="9"/>
        <v>0.5780346821</v>
      </c>
      <c r="AE484" s="3">
        <f t="shared" si="10"/>
        <v>-1</v>
      </c>
      <c r="AF484" s="3">
        <f t="shared" si="11"/>
        <v>-3</v>
      </c>
      <c r="AG484" s="3">
        <f t="shared" si="12"/>
        <v>-0.7142857143</v>
      </c>
    </row>
    <row r="485">
      <c r="A485" s="1" t="s">
        <v>15</v>
      </c>
      <c r="B485" s="1" t="s">
        <v>253</v>
      </c>
      <c r="C485" s="1" t="s">
        <v>21</v>
      </c>
      <c r="D485" s="1" t="s">
        <v>113</v>
      </c>
      <c r="E485" s="1" t="s">
        <v>109</v>
      </c>
      <c r="F485" s="1" t="s">
        <v>575</v>
      </c>
      <c r="G485" s="1">
        <v>22.5</v>
      </c>
      <c r="H485" s="1" t="s">
        <v>60</v>
      </c>
      <c r="I485" s="1">
        <v>-115.0</v>
      </c>
      <c r="J485" s="1">
        <v>0.0385627906976743</v>
      </c>
      <c r="K485" s="1" t="s">
        <v>61</v>
      </c>
      <c r="L485" s="1" t="s">
        <v>61</v>
      </c>
      <c r="M485" s="1" t="s">
        <v>62</v>
      </c>
      <c r="N485" s="1">
        <v>-115.0</v>
      </c>
      <c r="O485" s="1">
        <v>-0.108337209302325</v>
      </c>
      <c r="P485" s="1" t="s">
        <v>61</v>
      </c>
      <c r="Q485" s="1" t="s">
        <v>61</v>
      </c>
      <c r="R485" s="1">
        <f t="shared" si="1"/>
        <v>0.0385627907</v>
      </c>
      <c r="S485" s="1">
        <f t="shared" si="2"/>
        <v>-115</v>
      </c>
      <c r="T485" s="1">
        <f t="shared" si="3"/>
        <v>1.869565217</v>
      </c>
      <c r="U485" s="1">
        <f t="shared" si="4"/>
        <v>1</v>
      </c>
      <c r="V485" s="3">
        <f t="shared" si="5"/>
        <v>1</v>
      </c>
      <c r="W485" s="3">
        <f t="shared" si="6"/>
        <v>2</v>
      </c>
      <c r="X485" s="3" t="str">
        <f>IFERROR(__xludf.DUMMYFUNCTION("split(B485,"" "")"),"B.")</f>
        <v>B.</v>
      </c>
      <c r="Y485" s="3" t="str">
        <f>IFERROR(__xludf.DUMMYFUNCTION("""COMPUTED_VALUE"""),"Mayfield")</f>
        <v>Mayfield</v>
      </c>
      <c r="AA485" s="3">
        <v>19.0</v>
      </c>
      <c r="AB485" s="3">
        <f t="shared" si="7"/>
        <v>0</v>
      </c>
      <c r="AC485" s="3">
        <f t="shared" si="8"/>
        <v>0</v>
      </c>
      <c r="AD485" s="3">
        <f t="shared" si="9"/>
        <v>0.8695652174</v>
      </c>
      <c r="AE485" s="3">
        <f t="shared" si="10"/>
        <v>-1</v>
      </c>
      <c r="AF485" s="3">
        <f t="shared" si="11"/>
        <v>-2</v>
      </c>
      <c r="AG485" s="3">
        <f t="shared" si="12"/>
        <v>-0.1555555556</v>
      </c>
    </row>
    <row r="486">
      <c r="A486" s="1" t="s">
        <v>11</v>
      </c>
      <c r="B486" s="1" t="s">
        <v>112</v>
      </c>
      <c r="C486" s="1" t="s">
        <v>20</v>
      </c>
      <c r="D486" s="1" t="s">
        <v>113</v>
      </c>
      <c r="E486" s="1" t="s">
        <v>109</v>
      </c>
      <c r="F486" s="1" t="s">
        <v>575</v>
      </c>
      <c r="G486" s="1">
        <v>30.5</v>
      </c>
      <c r="H486" s="1" t="s">
        <v>60</v>
      </c>
      <c r="I486" s="1">
        <v>-114.0</v>
      </c>
      <c r="J486" s="1">
        <v>-0.0922682291914018</v>
      </c>
      <c r="K486" s="1" t="s">
        <v>61</v>
      </c>
      <c r="L486" s="1" t="s">
        <v>61</v>
      </c>
      <c r="M486" s="1" t="s">
        <v>62</v>
      </c>
      <c r="N486" s="1">
        <v>-114.0</v>
      </c>
      <c r="O486" s="1">
        <v>0.0268687802221982</v>
      </c>
      <c r="P486" s="1" t="s">
        <v>61</v>
      </c>
      <c r="Q486" s="1" t="s">
        <v>61</v>
      </c>
      <c r="R486" s="1">
        <f t="shared" si="1"/>
        <v>0.02686878022</v>
      </c>
      <c r="S486" s="1">
        <f t="shared" si="2"/>
        <v>-114</v>
      </c>
      <c r="T486" s="1">
        <f t="shared" si="3"/>
        <v>1.877192982</v>
      </c>
      <c r="U486" s="1">
        <f t="shared" si="4"/>
        <v>0</v>
      </c>
      <c r="V486" s="3">
        <f t="shared" si="5"/>
        <v>1</v>
      </c>
      <c r="W486" s="3">
        <f t="shared" si="6"/>
        <v>2</v>
      </c>
      <c r="X486" s="3" t="str">
        <f>IFERROR(__xludf.DUMMYFUNCTION("split(B486,"" "")"),"C.")</f>
        <v>C.</v>
      </c>
      <c r="Y486" s="3" t="str">
        <f>IFERROR(__xludf.DUMMYFUNCTION("""COMPUTED_VALUE"""),"Otton")</f>
        <v>Otton</v>
      </c>
      <c r="AA486" s="3">
        <v>44.0</v>
      </c>
      <c r="AB486" s="3">
        <f t="shared" si="7"/>
        <v>1</v>
      </c>
      <c r="AC486" s="3">
        <f t="shared" si="8"/>
        <v>0</v>
      </c>
      <c r="AD486" s="3">
        <f t="shared" si="9"/>
        <v>0.8771929825</v>
      </c>
      <c r="AE486" s="3">
        <f t="shared" si="10"/>
        <v>-1</v>
      </c>
      <c r="AF486" s="3">
        <f t="shared" si="11"/>
        <v>-2</v>
      </c>
      <c r="AG486" s="3">
        <f t="shared" si="12"/>
        <v>-0.4426229508</v>
      </c>
    </row>
    <row r="487">
      <c r="A487" s="1" t="s">
        <v>17</v>
      </c>
      <c r="B487" s="1" t="s">
        <v>253</v>
      </c>
      <c r="C487" s="1" t="s">
        <v>21</v>
      </c>
      <c r="D487" s="1" t="s">
        <v>113</v>
      </c>
      <c r="E487" s="1" t="s">
        <v>109</v>
      </c>
      <c r="F487" s="1" t="s">
        <v>575</v>
      </c>
      <c r="G487" s="1">
        <v>0.5</v>
      </c>
      <c r="H487" s="1" t="s">
        <v>60</v>
      </c>
      <c r="I487" s="1">
        <v>-117.0</v>
      </c>
      <c r="J487" s="1">
        <v>-0.0863705069124423</v>
      </c>
      <c r="K487" s="1" t="s">
        <v>61</v>
      </c>
      <c r="L487" s="1" t="s">
        <v>61</v>
      </c>
      <c r="M487" s="1" t="s">
        <v>62</v>
      </c>
      <c r="N487" s="1">
        <v>-112.0</v>
      </c>
      <c r="O487" s="1">
        <v>0.0188981132075471</v>
      </c>
      <c r="P487" s="1" t="s">
        <v>61</v>
      </c>
      <c r="Q487" s="1" t="s">
        <v>61</v>
      </c>
      <c r="R487" s="1">
        <f t="shared" si="1"/>
        <v>0.01889811321</v>
      </c>
      <c r="S487" s="1">
        <f t="shared" si="2"/>
        <v>-112</v>
      </c>
      <c r="T487" s="1">
        <f t="shared" si="3"/>
        <v>1.892857143</v>
      </c>
      <c r="U487" s="1">
        <f t="shared" si="4"/>
        <v>0</v>
      </c>
      <c r="V487" s="3">
        <f t="shared" si="5"/>
        <v>1</v>
      </c>
      <c r="W487" s="3">
        <f t="shared" si="6"/>
        <v>2</v>
      </c>
      <c r="X487" s="3" t="str">
        <f>IFERROR(__xludf.DUMMYFUNCTION("split(B487,"" "")"),"B.")</f>
        <v>B.</v>
      </c>
      <c r="Y487" s="3" t="str">
        <f>IFERROR(__xludf.DUMMYFUNCTION("""COMPUTED_VALUE"""),"Mayfield")</f>
        <v>Mayfield</v>
      </c>
      <c r="AA487" s="3">
        <v>0.0</v>
      </c>
      <c r="AB487" s="3">
        <f t="shared" si="7"/>
        <v>0</v>
      </c>
      <c r="AC487" s="3">
        <f t="shared" si="8"/>
        <v>1</v>
      </c>
      <c r="AD487" s="3">
        <f t="shared" si="9"/>
        <v>0.8928571429</v>
      </c>
      <c r="AE487" s="3">
        <f t="shared" si="10"/>
        <v>0.8928571429</v>
      </c>
      <c r="AF487" s="3">
        <f t="shared" si="11"/>
        <v>1.785714286</v>
      </c>
      <c r="AG487" s="3">
        <f t="shared" si="12"/>
        <v>1</v>
      </c>
    </row>
    <row r="488">
      <c r="A488" s="1" t="s">
        <v>10</v>
      </c>
      <c r="B488" s="1" t="s">
        <v>417</v>
      </c>
      <c r="C488" s="1" t="s">
        <v>19</v>
      </c>
      <c r="D488" s="1" t="s">
        <v>113</v>
      </c>
      <c r="E488" s="1" t="s">
        <v>109</v>
      </c>
      <c r="F488" s="1" t="s">
        <v>575</v>
      </c>
      <c r="G488" s="1">
        <v>34.5</v>
      </c>
      <c r="H488" s="1" t="s">
        <v>60</v>
      </c>
      <c r="I488" s="1">
        <v>-115.0</v>
      </c>
      <c r="J488" s="1">
        <v>-0.0795660389015732</v>
      </c>
      <c r="K488" s="1" t="s">
        <v>61</v>
      </c>
      <c r="L488" s="1" t="s">
        <v>61</v>
      </c>
      <c r="M488" s="1" t="s">
        <v>62</v>
      </c>
      <c r="N488" s="1">
        <v>-112.0</v>
      </c>
      <c r="O488" s="1">
        <v>0.0164446594814094</v>
      </c>
      <c r="P488" s="1" t="s">
        <v>61</v>
      </c>
      <c r="Q488" s="1" t="s">
        <v>61</v>
      </c>
      <c r="R488" s="1">
        <f t="shared" si="1"/>
        <v>0.01644465948</v>
      </c>
      <c r="S488" s="1">
        <f t="shared" si="2"/>
        <v>-112</v>
      </c>
      <c r="T488" s="1">
        <f t="shared" si="3"/>
        <v>1.892857143</v>
      </c>
      <c r="U488" s="1">
        <f t="shared" si="4"/>
        <v>0</v>
      </c>
      <c r="V488" s="3">
        <f t="shared" si="5"/>
        <v>1</v>
      </c>
      <c r="W488" s="3">
        <f t="shared" si="6"/>
        <v>2</v>
      </c>
      <c r="X488" s="3" t="str">
        <f>IFERROR(__xludf.DUMMYFUNCTION("split(B488,"" "")"),"R.")</f>
        <v>R.</v>
      </c>
      <c r="Y488" s="3" t="str">
        <f>IFERROR(__xludf.DUMMYFUNCTION("""COMPUTED_VALUE"""),"White")</f>
        <v>White</v>
      </c>
      <c r="AA488" s="3">
        <v>72.0</v>
      </c>
      <c r="AB488" s="3">
        <f t="shared" si="7"/>
        <v>1</v>
      </c>
      <c r="AC488" s="3">
        <f t="shared" si="8"/>
        <v>0</v>
      </c>
      <c r="AD488" s="3">
        <f t="shared" si="9"/>
        <v>0.8928571429</v>
      </c>
      <c r="AE488" s="3">
        <f t="shared" si="10"/>
        <v>-1</v>
      </c>
      <c r="AF488" s="3">
        <f t="shared" si="11"/>
        <v>-2</v>
      </c>
      <c r="AG488" s="3">
        <f t="shared" si="12"/>
        <v>-1.086956522</v>
      </c>
    </row>
    <row r="489">
      <c r="A489" s="1" t="s">
        <v>9</v>
      </c>
      <c r="B489" s="1" t="s">
        <v>314</v>
      </c>
      <c r="C489" s="1" t="s">
        <v>18</v>
      </c>
      <c r="D489" s="1" t="s">
        <v>113</v>
      </c>
      <c r="E489" s="1" t="s">
        <v>109</v>
      </c>
      <c r="F489" s="1" t="s">
        <v>575</v>
      </c>
      <c r="G489" s="1">
        <v>69.5</v>
      </c>
      <c r="H489" s="1" t="s">
        <v>60</v>
      </c>
      <c r="I489" s="1">
        <v>-119.0</v>
      </c>
      <c r="J489" s="1">
        <v>-0.0869069303691636</v>
      </c>
      <c r="K489" s="1" t="s">
        <v>61</v>
      </c>
      <c r="L489" s="1" t="s">
        <v>61</v>
      </c>
      <c r="M489" s="1" t="s">
        <v>62</v>
      </c>
      <c r="N489" s="1">
        <v>-114.0</v>
      </c>
      <c r="O489" s="1">
        <v>0.0108056459624551</v>
      </c>
      <c r="P489" s="1" t="s">
        <v>61</v>
      </c>
      <c r="Q489" s="1" t="s">
        <v>61</v>
      </c>
      <c r="R489" s="1">
        <f t="shared" si="1"/>
        <v>0.01080564596</v>
      </c>
      <c r="S489" s="1">
        <f t="shared" si="2"/>
        <v>-114</v>
      </c>
      <c r="T489" s="1">
        <f t="shared" si="3"/>
        <v>1.877192982</v>
      </c>
      <c r="U489" s="1">
        <f t="shared" si="4"/>
        <v>0</v>
      </c>
      <c r="V489" s="3">
        <f t="shared" si="5"/>
        <v>1</v>
      </c>
      <c r="W489" s="3">
        <f t="shared" si="6"/>
        <v>2</v>
      </c>
      <c r="X489" s="3" t="str">
        <f>IFERROR(__xludf.DUMMYFUNCTION("split(B489,"" "")"),"C.")</f>
        <v>C.</v>
      </c>
      <c r="Y489" s="3" t="str">
        <f>IFERROR(__xludf.DUMMYFUNCTION("""COMPUTED_VALUE"""),"Godwin")</f>
        <v>Godwin</v>
      </c>
      <c r="AA489" s="3">
        <v>66.0</v>
      </c>
      <c r="AB489" s="3">
        <f t="shared" si="7"/>
        <v>0</v>
      </c>
      <c r="AC489" s="3">
        <f t="shared" si="8"/>
        <v>1</v>
      </c>
      <c r="AD489" s="3">
        <f t="shared" si="9"/>
        <v>0.8771929825</v>
      </c>
      <c r="AE489" s="3">
        <f t="shared" si="10"/>
        <v>0.8771929825</v>
      </c>
      <c r="AF489" s="3">
        <f t="shared" si="11"/>
        <v>1.754385965</v>
      </c>
      <c r="AG489" s="3">
        <f t="shared" si="12"/>
        <v>0.05035971223</v>
      </c>
    </row>
    <row r="490">
      <c r="A490" s="1" t="s">
        <v>11</v>
      </c>
      <c r="B490" s="1" t="s">
        <v>314</v>
      </c>
      <c r="C490" s="1" t="s">
        <v>18</v>
      </c>
      <c r="D490" s="1" t="s">
        <v>113</v>
      </c>
      <c r="E490" s="1" t="s">
        <v>109</v>
      </c>
      <c r="F490" s="1" t="s">
        <v>575</v>
      </c>
      <c r="G490" s="1">
        <v>69.5</v>
      </c>
      <c r="H490" s="1" t="s">
        <v>60</v>
      </c>
      <c r="I490" s="1">
        <v>-114.0</v>
      </c>
      <c r="J490" s="1">
        <v>-0.0660690530324901</v>
      </c>
      <c r="K490" s="1" t="s">
        <v>61</v>
      </c>
      <c r="L490" s="1" t="s">
        <v>61</v>
      </c>
      <c r="M490" s="1" t="s">
        <v>62</v>
      </c>
      <c r="N490" s="1">
        <v>-110.0</v>
      </c>
      <c r="O490" s="1">
        <v>0.00953189583663272</v>
      </c>
      <c r="P490" s="1" t="s">
        <v>61</v>
      </c>
      <c r="Q490" s="1" t="s">
        <v>61</v>
      </c>
      <c r="R490" s="1">
        <f t="shared" si="1"/>
        <v>0.009531895837</v>
      </c>
      <c r="S490" s="1">
        <f t="shared" si="2"/>
        <v>-110</v>
      </c>
      <c r="T490" s="1">
        <f t="shared" si="3"/>
        <v>1.909090909</v>
      </c>
      <c r="U490" s="1">
        <f t="shared" si="4"/>
        <v>0</v>
      </c>
      <c r="V490" s="3">
        <f t="shared" si="5"/>
        <v>1</v>
      </c>
      <c r="W490" s="3">
        <f t="shared" si="6"/>
        <v>2</v>
      </c>
      <c r="X490" s="3" t="str">
        <f>IFERROR(__xludf.DUMMYFUNCTION("split(B490,"" "")"),"C.")</f>
        <v>C.</v>
      </c>
      <c r="Y490" s="3" t="str">
        <f>IFERROR(__xludf.DUMMYFUNCTION("""COMPUTED_VALUE"""),"Godwin")</f>
        <v>Godwin</v>
      </c>
      <c r="AA490" s="3">
        <v>64.0</v>
      </c>
      <c r="AB490" s="3">
        <f t="shared" si="7"/>
        <v>0</v>
      </c>
      <c r="AC490" s="3">
        <f t="shared" si="8"/>
        <v>1</v>
      </c>
      <c r="AD490" s="3">
        <f t="shared" si="9"/>
        <v>0.9090909091</v>
      </c>
      <c r="AE490" s="3">
        <f t="shared" si="10"/>
        <v>0.9090909091</v>
      </c>
      <c r="AF490" s="3">
        <f t="shared" si="11"/>
        <v>1.818181818</v>
      </c>
      <c r="AG490" s="3">
        <f t="shared" si="12"/>
        <v>0.07913669065</v>
      </c>
    </row>
    <row r="491">
      <c r="A491" s="1" t="s">
        <v>9</v>
      </c>
      <c r="B491" s="1" t="s">
        <v>557</v>
      </c>
      <c r="C491" s="1" t="s">
        <v>19</v>
      </c>
      <c r="D491" s="1" t="s">
        <v>113</v>
      </c>
      <c r="E491" s="1" t="s">
        <v>109</v>
      </c>
      <c r="F491" s="1" t="s">
        <v>575</v>
      </c>
      <c r="G491" s="1">
        <v>55.5</v>
      </c>
      <c r="H491" s="1" t="s">
        <v>60</v>
      </c>
      <c r="I491" s="1">
        <v>-116.0</v>
      </c>
      <c r="J491" s="1">
        <v>-0.0749925414895016</v>
      </c>
      <c r="K491" s="1" t="s">
        <v>61</v>
      </c>
      <c r="L491" s="1" t="s">
        <v>61</v>
      </c>
      <c r="M491" s="1" t="s">
        <v>62</v>
      </c>
      <c r="N491" s="1">
        <v>-116.0</v>
      </c>
      <c r="O491" s="1">
        <v>9.59348127821835E-4</v>
      </c>
      <c r="P491" s="1" t="s">
        <v>61</v>
      </c>
      <c r="Q491" s="1" t="s">
        <v>61</v>
      </c>
      <c r="R491" s="1">
        <f t="shared" si="1"/>
        <v>0.0009593481278</v>
      </c>
      <c r="S491" s="1">
        <f t="shared" si="2"/>
        <v>-116</v>
      </c>
      <c r="T491" s="1">
        <f t="shared" si="3"/>
        <v>1.862068966</v>
      </c>
      <c r="U491" s="1">
        <f t="shared" si="4"/>
        <v>0</v>
      </c>
      <c r="V491" s="3">
        <f t="shared" si="5"/>
        <v>1</v>
      </c>
      <c r="W491" s="3">
        <f t="shared" si="6"/>
        <v>2</v>
      </c>
      <c r="X491" s="3" t="str">
        <f>IFERROR(__xludf.DUMMYFUNCTION("split(B491,"" "")"),"B.")</f>
        <v>B.</v>
      </c>
      <c r="Y491" s="3" t="str">
        <f>IFERROR(__xludf.DUMMYFUNCTION("""COMPUTED_VALUE"""),"Irving")</f>
        <v>Irving</v>
      </c>
      <c r="AA491" s="3">
        <v>56.0</v>
      </c>
      <c r="AB491" s="3">
        <f t="shared" si="7"/>
        <v>1</v>
      </c>
      <c r="AC491" s="3">
        <f t="shared" si="8"/>
        <v>0</v>
      </c>
      <c r="AD491" s="3">
        <f t="shared" si="9"/>
        <v>0.8620689655</v>
      </c>
      <c r="AE491" s="3">
        <f t="shared" si="10"/>
        <v>-1</v>
      </c>
      <c r="AF491" s="3">
        <f t="shared" si="11"/>
        <v>-2</v>
      </c>
      <c r="AG491" s="3">
        <f t="shared" si="12"/>
        <v>-0.009009009009</v>
      </c>
    </row>
    <row r="492">
      <c r="A492" s="1" t="s">
        <v>12</v>
      </c>
      <c r="B492" s="1" t="s">
        <v>604</v>
      </c>
      <c r="C492" s="1" t="s">
        <v>18</v>
      </c>
      <c r="D492" s="1" t="s">
        <v>114</v>
      </c>
      <c r="E492" s="1" t="s">
        <v>89</v>
      </c>
      <c r="F492" s="1" t="s">
        <v>576</v>
      </c>
      <c r="G492" s="1">
        <v>1.5</v>
      </c>
      <c r="H492" s="1" t="s">
        <v>60</v>
      </c>
      <c r="I492" s="1">
        <v>-180.0</v>
      </c>
      <c r="J492" s="1">
        <v>-0.286186460782142</v>
      </c>
      <c r="K492" s="1" t="s">
        <v>61</v>
      </c>
      <c r="L492" s="1" t="s">
        <v>61</v>
      </c>
      <c r="M492" s="1" t="s">
        <v>62</v>
      </c>
      <c r="N492" s="1">
        <v>137.0</v>
      </c>
      <c r="O492" s="1">
        <v>0.221393708940928</v>
      </c>
      <c r="P492" s="1" t="s">
        <v>61</v>
      </c>
      <c r="Q492" s="1" t="s">
        <v>61</v>
      </c>
      <c r="R492" s="1">
        <f t="shared" si="1"/>
        <v>0.2213937089</v>
      </c>
      <c r="S492" s="1">
        <f t="shared" si="2"/>
        <v>137</v>
      </c>
      <c r="T492" s="1">
        <f t="shared" si="3"/>
        <v>2.37</v>
      </c>
      <c r="U492" s="1">
        <f t="shared" si="4"/>
        <v>0</v>
      </c>
      <c r="V492" s="3">
        <f t="shared" si="5"/>
        <v>3</v>
      </c>
      <c r="W492" s="3">
        <f t="shared" si="6"/>
        <v>1</v>
      </c>
      <c r="X492" s="3" t="str">
        <f>IFERROR(__xludf.DUMMYFUNCTION("split(B492,"" "")"),"L.")</f>
        <v>L.</v>
      </c>
      <c r="Y492" s="3" t="str">
        <f>IFERROR(__xludf.DUMMYFUNCTION("""COMPUTED_VALUE"""),"McCaffrey")</f>
        <v>McCaffrey</v>
      </c>
      <c r="AA492" s="3">
        <v>3.0</v>
      </c>
      <c r="AB492" s="3">
        <f t="shared" si="7"/>
        <v>1</v>
      </c>
      <c r="AC492" s="3">
        <f t="shared" si="8"/>
        <v>0</v>
      </c>
      <c r="AD492" s="3">
        <f t="shared" si="9"/>
        <v>4.11</v>
      </c>
      <c r="AE492" s="3">
        <f t="shared" si="10"/>
        <v>-3</v>
      </c>
      <c r="AF492" s="3">
        <f t="shared" si="11"/>
        <v>-1</v>
      </c>
      <c r="AG492" s="3">
        <f t="shared" si="12"/>
        <v>-1</v>
      </c>
    </row>
    <row r="493">
      <c r="A493" s="1" t="s">
        <v>9</v>
      </c>
      <c r="B493" s="1" t="s">
        <v>605</v>
      </c>
      <c r="C493" s="1" t="s">
        <v>18</v>
      </c>
      <c r="D493" s="1" t="s">
        <v>114</v>
      </c>
      <c r="E493" s="1" t="s">
        <v>89</v>
      </c>
      <c r="F493" s="1" t="s">
        <v>576</v>
      </c>
      <c r="G493" s="1">
        <v>10.5</v>
      </c>
      <c r="H493" s="1" t="s">
        <v>60</v>
      </c>
      <c r="I493" s="1">
        <v>-119.0</v>
      </c>
      <c r="J493" s="1">
        <v>0.21483300699608</v>
      </c>
      <c r="K493" s="1" t="s">
        <v>61</v>
      </c>
      <c r="L493" s="1" t="s">
        <v>61</v>
      </c>
      <c r="M493" s="1" t="s">
        <v>62</v>
      </c>
      <c r="N493" s="1">
        <v>-114.0</v>
      </c>
      <c r="O493" s="1">
        <v>-0.290907619283371</v>
      </c>
      <c r="P493" s="1" t="s">
        <v>61</v>
      </c>
      <c r="Q493" s="1" t="s">
        <v>61</v>
      </c>
      <c r="R493" s="1">
        <f t="shared" si="1"/>
        <v>0.214833007</v>
      </c>
      <c r="S493" s="1">
        <f t="shared" si="2"/>
        <v>-119</v>
      </c>
      <c r="T493" s="1">
        <f t="shared" si="3"/>
        <v>1.840336134</v>
      </c>
      <c r="U493" s="1">
        <f t="shared" si="4"/>
        <v>1</v>
      </c>
      <c r="V493" s="3">
        <f t="shared" si="5"/>
        <v>3</v>
      </c>
      <c r="W493" s="3">
        <f t="shared" si="6"/>
        <v>3</v>
      </c>
      <c r="X493" s="3" t="str">
        <f>IFERROR(__xludf.DUMMYFUNCTION("split(B493,"" "")"),"D.")</f>
        <v>D.</v>
      </c>
      <c r="Y493" s="3" t="str">
        <f>IFERROR(__xludf.DUMMYFUNCTION("""COMPUTED_VALUE"""),"Brown")</f>
        <v>Brown</v>
      </c>
      <c r="AA493" s="3">
        <v>57.0</v>
      </c>
      <c r="AB493" s="3">
        <f t="shared" si="7"/>
        <v>1</v>
      </c>
      <c r="AC493" s="3">
        <f t="shared" si="8"/>
        <v>1</v>
      </c>
      <c r="AD493" s="3">
        <f t="shared" si="9"/>
        <v>2.521008403</v>
      </c>
      <c r="AE493" s="3">
        <f t="shared" si="10"/>
        <v>2.521008403</v>
      </c>
      <c r="AF493" s="3">
        <f t="shared" si="11"/>
        <v>2.521008403</v>
      </c>
      <c r="AG493" s="3">
        <f t="shared" si="12"/>
        <v>4.428571429</v>
      </c>
    </row>
    <row r="494">
      <c r="A494" s="1" t="s">
        <v>12</v>
      </c>
      <c r="B494" s="1" t="s">
        <v>264</v>
      </c>
      <c r="C494" s="1" t="s">
        <v>19</v>
      </c>
      <c r="D494" s="1" t="s">
        <v>114</v>
      </c>
      <c r="E494" s="1" t="s">
        <v>89</v>
      </c>
      <c r="F494" s="1" t="s">
        <v>576</v>
      </c>
      <c r="G494" s="1">
        <v>1.5</v>
      </c>
      <c r="H494" s="1" t="s">
        <v>60</v>
      </c>
      <c r="I494" s="1">
        <v>-174.0</v>
      </c>
      <c r="J494" s="1">
        <v>-0.247672127540146</v>
      </c>
      <c r="K494" s="1" t="s">
        <v>61</v>
      </c>
      <c r="L494" s="1" t="s">
        <v>61</v>
      </c>
      <c r="M494" s="1" t="s">
        <v>62</v>
      </c>
      <c r="N494" s="1">
        <v>131.0</v>
      </c>
      <c r="O494" s="1">
        <v>0.179741830935064</v>
      </c>
      <c r="P494" s="1" t="s">
        <v>61</v>
      </c>
      <c r="Q494" s="1" t="s">
        <v>61</v>
      </c>
      <c r="R494" s="1">
        <f t="shared" si="1"/>
        <v>0.1797418309</v>
      </c>
      <c r="S494" s="1">
        <f t="shared" si="2"/>
        <v>131</v>
      </c>
      <c r="T494" s="1">
        <f t="shared" si="3"/>
        <v>2.31</v>
      </c>
      <c r="U494" s="1">
        <f t="shared" si="4"/>
        <v>0</v>
      </c>
      <c r="V494" s="3">
        <f t="shared" si="5"/>
        <v>3</v>
      </c>
      <c r="W494" s="3">
        <f t="shared" si="6"/>
        <v>1</v>
      </c>
      <c r="X494" s="3" t="str">
        <f>IFERROR(__xludf.DUMMYFUNCTION("split(B494,"" "")"),"B.")</f>
        <v>B.</v>
      </c>
      <c r="Y494" s="3" t="str">
        <f>IFERROR(__xludf.DUMMYFUNCTION("""COMPUTED_VALUE"""),"Robinson")</f>
        <v>Robinson</v>
      </c>
      <c r="AA494" s="3">
        <v>0.0</v>
      </c>
      <c r="AB494" s="3">
        <f t="shared" si="7"/>
        <v>0</v>
      </c>
      <c r="AC494" s="3">
        <f t="shared" si="8"/>
        <v>1</v>
      </c>
      <c r="AD494" s="3">
        <f t="shared" si="9"/>
        <v>3.93</v>
      </c>
      <c r="AE494" s="3">
        <f t="shared" si="10"/>
        <v>3.93</v>
      </c>
      <c r="AF494" s="3">
        <f t="shared" si="11"/>
        <v>1.31</v>
      </c>
      <c r="AG494" s="3">
        <f t="shared" si="12"/>
        <v>1</v>
      </c>
    </row>
    <row r="495">
      <c r="A495" s="1" t="s">
        <v>12</v>
      </c>
      <c r="B495" s="1" t="s">
        <v>606</v>
      </c>
      <c r="C495" s="1" t="s">
        <v>18</v>
      </c>
      <c r="D495" s="1" t="s">
        <v>114</v>
      </c>
      <c r="E495" s="1" t="s">
        <v>89</v>
      </c>
      <c r="F495" s="1" t="s">
        <v>576</v>
      </c>
      <c r="G495" s="1">
        <v>1.5</v>
      </c>
      <c r="H495" s="1" t="s">
        <v>60</v>
      </c>
      <c r="I495" s="1">
        <v>-174.0</v>
      </c>
      <c r="J495" s="1">
        <v>-0.237171999372262</v>
      </c>
      <c r="K495" s="1" t="s">
        <v>61</v>
      </c>
      <c r="L495" s="1" t="s">
        <v>61</v>
      </c>
      <c r="M495" s="1" t="s">
        <v>62</v>
      </c>
      <c r="N495" s="1">
        <v>132.0</v>
      </c>
      <c r="O495" s="1">
        <v>0.171107447534482</v>
      </c>
      <c r="P495" s="1" t="s">
        <v>61</v>
      </c>
      <c r="Q495" s="1" t="s">
        <v>61</v>
      </c>
      <c r="R495" s="1">
        <f t="shared" si="1"/>
        <v>0.1711074475</v>
      </c>
      <c r="S495" s="1">
        <f t="shared" si="2"/>
        <v>132</v>
      </c>
      <c r="T495" s="1">
        <f t="shared" si="3"/>
        <v>2.32</v>
      </c>
      <c r="U495" s="1">
        <f t="shared" si="4"/>
        <v>0</v>
      </c>
      <c r="V495" s="3">
        <f t="shared" si="5"/>
        <v>3</v>
      </c>
      <c r="W495" s="3">
        <f t="shared" si="6"/>
        <v>1</v>
      </c>
      <c r="X495" s="3" t="str">
        <f>IFERROR(__xludf.DUMMYFUNCTION("split(B495,"" "")"),"O.")</f>
        <v>O.</v>
      </c>
      <c r="Y495" s="3" t="str">
        <f>IFERROR(__xludf.DUMMYFUNCTION("""COMPUTED_VALUE"""),"Zaccheaus")</f>
        <v>Zaccheaus</v>
      </c>
      <c r="AA495" s="3">
        <v>1.0</v>
      </c>
      <c r="AB495" s="3">
        <f t="shared" si="7"/>
        <v>0</v>
      </c>
      <c r="AC495" s="3">
        <f t="shared" si="8"/>
        <v>1</v>
      </c>
      <c r="AD495" s="3">
        <f t="shared" si="9"/>
        <v>3.96</v>
      </c>
      <c r="AE495" s="3">
        <f t="shared" si="10"/>
        <v>3.96</v>
      </c>
      <c r="AF495" s="3">
        <f t="shared" si="11"/>
        <v>1.32</v>
      </c>
      <c r="AG495" s="3">
        <f t="shared" si="12"/>
        <v>0.3333333333</v>
      </c>
    </row>
    <row r="496">
      <c r="A496" s="1" t="s">
        <v>12</v>
      </c>
      <c r="B496" s="1" t="s">
        <v>561</v>
      </c>
      <c r="C496" s="1" t="s">
        <v>18</v>
      </c>
      <c r="D496" s="1" t="s">
        <v>114</v>
      </c>
      <c r="E496" s="1" t="s">
        <v>89</v>
      </c>
      <c r="F496" s="1" t="s">
        <v>576</v>
      </c>
      <c r="G496" s="1">
        <v>2.5</v>
      </c>
      <c r="H496" s="1" t="s">
        <v>60</v>
      </c>
      <c r="I496" s="1">
        <v>-125.0</v>
      </c>
      <c r="J496" s="1">
        <v>-0.216754005955555</v>
      </c>
      <c r="K496" s="1" t="s">
        <v>61</v>
      </c>
      <c r="L496" s="1" t="s">
        <v>61</v>
      </c>
      <c r="M496" s="1" t="s">
        <v>62</v>
      </c>
      <c r="N496" s="1">
        <v>-104.0</v>
      </c>
      <c r="O496" s="1">
        <v>0.151394300949019</v>
      </c>
      <c r="P496" s="1" t="s">
        <v>61</v>
      </c>
      <c r="Q496" s="1" t="s">
        <v>61</v>
      </c>
      <c r="R496" s="1">
        <f t="shared" si="1"/>
        <v>0.1513943009</v>
      </c>
      <c r="S496" s="1">
        <f t="shared" si="2"/>
        <v>-104</v>
      </c>
      <c r="T496" s="1">
        <f t="shared" si="3"/>
        <v>1.961538462</v>
      </c>
      <c r="U496" s="1">
        <f t="shared" si="4"/>
        <v>0</v>
      </c>
      <c r="V496" s="3">
        <f t="shared" si="5"/>
        <v>3</v>
      </c>
      <c r="W496" s="3">
        <f t="shared" si="6"/>
        <v>2</v>
      </c>
      <c r="X496" s="3" t="str">
        <f>IFERROR(__xludf.DUMMYFUNCTION("split(B496,"" "")"),"N.")</f>
        <v>N.</v>
      </c>
      <c r="Y496" s="3" t="str">
        <f>IFERROR(__xludf.DUMMYFUNCTION("""COMPUTED_VALUE"""),"Brown")</f>
        <v>Brown</v>
      </c>
      <c r="AA496" s="3">
        <v>2.0</v>
      </c>
      <c r="AB496" s="3">
        <f t="shared" si="7"/>
        <v>0</v>
      </c>
      <c r="AC496" s="3">
        <f t="shared" si="8"/>
        <v>1</v>
      </c>
      <c r="AD496" s="3">
        <f t="shared" si="9"/>
        <v>2.884615385</v>
      </c>
      <c r="AE496" s="3">
        <f t="shared" si="10"/>
        <v>2.884615385</v>
      </c>
      <c r="AF496" s="3">
        <f t="shared" si="11"/>
        <v>1.923076923</v>
      </c>
      <c r="AG496" s="3">
        <f t="shared" si="12"/>
        <v>0.2</v>
      </c>
    </row>
    <row r="497">
      <c r="A497" s="1" t="s">
        <v>8</v>
      </c>
      <c r="B497" s="1" t="s">
        <v>408</v>
      </c>
      <c r="C497" s="1" t="s">
        <v>19</v>
      </c>
      <c r="D497" s="1" t="s">
        <v>114</v>
      </c>
      <c r="E497" s="1" t="s">
        <v>89</v>
      </c>
      <c r="F497" s="1" t="s">
        <v>576</v>
      </c>
      <c r="G497" s="1">
        <v>6.5</v>
      </c>
      <c r="H497" s="1" t="s">
        <v>60</v>
      </c>
      <c r="I497" s="1">
        <v>108.0</v>
      </c>
      <c r="J497" s="1">
        <v>-0.214406780490076</v>
      </c>
      <c r="K497" s="1" t="s">
        <v>61</v>
      </c>
      <c r="L497" s="1" t="s">
        <v>61</v>
      </c>
      <c r="M497" s="1" t="s">
        <v>62</v>
      </c>
      <c r="N497" s="1">
        <v>-141.0</v>
      </c>
      <c r="O497" s="1">
        <v>0.14856739120228</v>
      </c>
      <c r="P497" s="1" t="s">
        <v>61</v>
      </c>
      <c r="Q497" s="1" t="s">
        <v>61</v>
      </c>
      <c r="R497" s="1">
        <f t="shared" si="1"/>
        <v>0.1485673912</v>
      </c>
      <c r="S497" s="1">
        <f t="shared" si="2"/>
        <v>-141</v>
      </c>
      <c r="T497" s="1">
        <f t="shared" si="3"/>
        <v>1.709219858</v>
      </c>
      <c r="U497" s="1">
        <f t="shared" si="4"/>
        <v>0</v>
      </c>
      <c r="V497" s="3">
        <f t="shared" si="5"/>
        <v>3</v>
      </c>
      <c r="W497" s="3">
        <f t="shared" si="6"/>
        <v>3</v>
      </c>
      <c r="X497" s="3" t="str">
        <f>IFERROR(__xludf.DUMMYFUNCTION("split(B497,"" "")"),"A.")</f>
        <v>A.</v>
      </c>
      <c r="Y497" s="3" t="str">
        <f>IFERROR(__xludf.DUMMYFUNCTION("""COMPUTED_VALUE"""),"Ekeler")</f>
        <v>Ekeler</v>
      </c>
      <c r="AA497" s="3">
        <v>6.0</v>
      </c>
      <c r="AB497" s="3">
        <f t="shared" si="7"/>
        <v>0</v>
      </c>
      <c r="AC497" s="3">
        <f t="shared" si="8"/>
        <v>1</v>
      </c>
      <c r="AD497" s="3">
        <f t="shared" si="9"/>
        <v>2.127659574</v>
      </c>
      <c r="AE497" s="3">
        <f t="shared" si="10"/>
        <v>2.127659574</v>
      </c>
      <c r="AF497" s="3">
        <f t="shared" si="11"/>
        <v>2.127659574</v>
      </c>
      <c r="AG497" s="3">
        <f t="shared" si="12"/>
        <v>0.07692307692</v>
      </c>
    </row>
    <row r="498">
      <c r="A498" s="1" t="s">
        <v>11</v>
      </c>
      <c r="B498" s="1" t="s">
        <v>607</v>
      </c>
      <c r="C498" s="1" t="s">
        <v>20</v>
      </c>
      <c r="D498" s="1" t="s">
        <v>114</v>
      </c>
      <c r="E498" s="1" t="s">
        <v>89</v>
      </c>
      <c r="F498" s="1" t="s">
        <v>576</v>
      </c>
      <c r="G498" s="1">
        <v>2.5</v>
      </c>
      <c r="H498" s="1" t="s">
        <v>60</v>
      </c>
      <c r="I498" s="1">
        <v>-111.0</v>
      </c>
      <c r="J498" s="1">
        <v>0.145367690562241</v>
      </c>
      <c r="K498" s="1" t="s">
        <v>61</v>
      </c>
      <c r="L498" s="1" t="s">
        <v>61</v>
      </c>
      <c r="M498" s="1" t="s">
        <v>62</v>
      </c>
      <c r="N498" s="1">
        <v>-118.0</v>
      </c>
      <c r="O498" s="1">
        <v>-0.212709071542142</v>
      </c>
      <c r="P498" s="1" t="s">
        <v>61</v>
      </c>
      <c r="Q498" s="1" t="s">
        <v>61</v>
      </c>
      <c r="R498" s="1">
        <f t="shared" si="1"/>
        <v>0.1453676906</v>
      </c>
      <c r="S498" s="1">
        <f t="shared" si="2"/>
        <v>-111</v>
      </c>
      <c r="T498" s="1">
        <f t="shared" si="3"/>
        <v>1.900900901</v>
      </c>
      <c r="U498" s="1">
        <f t="shared" si="4"/>
        <v>1</v>
      </c>
      <c r="V498" s="3">
        <f t="shared" si="5"/>
        <v>3</v>
      </c>
      <c r="W498" s="3">
        <f t="shared" si="6"/>
        <v>2</v>
      </c>
      <c r="X498" s="3" t="str">
        <f>IFERROR(__xludf.DUMMYFUNCTION("split(B498,"" "")"),"J.")</f>
        <v>J.</v>
      </c>
      <c r="Y498" s="3" t="str">
        <f>IFERROR(__xludf.DUMMYFUNCTION("""COMPUTED_VALUE"""),"Bates")</f>
        <v>Bates</v>
      </c>
      <c r="AA498" s="3">
        <v>0.0</v>
      </c>
      <c r="AB498" s="3">
        <f t="shared" si="7"/>
        <v>0</v>
      </c>
      <c r="AC498" s="3">
        <f t="shared" si="8"/>
        <v>0</v>
      </c>
      <c r="AD498" s="3">
        <f t="shared" si="9"/>
        <v>2.702702703</v>
      </c>
      <c r="AE498" s="3">
        <f t="shared" si="10"/>
        <v>-3</v>
      </c>
      <c r="AF498" s="3">
        <f t="shared" si="11"/>
        <v>-2</v>
      </c>
      <c r="AG498" s="3">
        <f t="shared" si="12"/>
        <v>-1</v>
      </c>
    </row>
    <row r="499">
      <c r="A499" s="1" t="s">
        <v>9</v>
      </c>
      <c r="B499" s="1" t="s">
        <v>606</v>
      </c>
      <c r="C499" s="1" t="s">
        <v>18</v>
      </c>
      <c r="D499" s="1" t="s">
        <v>114</v>
      </c>
      <c r="E499" s="1" t="s">
        <v>89</v>
      </c>
      <c r="F499" s="1" t="s">
        <v>576</v>
      </c>
      <c r="G499" s="1">
        <v>19.5</v>
      </c>
      <c r="H499" s="1" t="s">
        <v>60</v>
      </c>
      <c r="I499" s="1">
        <v>-115.0</v>
      </c>
      <c r="J499" s="1">
        <v>0.12314285179605</v>
      </c>
      <c r="K499" s="1" t="s">
        <v>61</v>
      </c>
      <c r="L499" s="1" t="s">
        <v>61</v>
      </c>
      <c r="M499" s="1" t="s">
        <v>62</v>
      </c>
      <c r="N499" s="1">
        <v>-118.0</v>
      </c>
      <c r="O499" s="1">
        <v>-0.199249823397513</v>
      </c>
      <c r="P499" s="1" t="s">
        <v>61</v>
      </c>
      <c r="Q499" s="1" t="s">
        <v>61</v>
      </c>
      <c r="R499" s="1">
        <f t="shared" si="1"/>
        <v>0.1231428518</v>
      </c>
      <c r="S499" s="1">
        <f t="shared" si="2"/>
        <v>-115</v>
      </c>
      <c r="T499" s="1">
        <f t="shared" si="3"/>
        <v>1.869565217</v>
      </c>
      <c r="U499" s="1">
        <f t="shared" si="4"/>
        <v>1</v>
      </c>
      <c r="V499" s="3">
        <f t="shared" si="5"/>
        <v>3</v>
      </c>
      <c r="W499" s="3">
        <f t="shared" si="6"/>
        <v>2</v>
      </c>
      <c r="X499" s="3" t="str">
        <f>IFERROR(__xludf.DUMMYFUNCTION("split(B499,"" "")"),"O.")</f>
        <v>O.</v>
      </c>
      <c r="Y499" s="3" t="str">
        <f>IFERROR(__xludf.DUMMYFUNCTION("""COMPUTED_VALUE"""),"Zaccheaus")</f>
        <v>Zaccheaus</v>
      </c>
      <c r="AA499" s="3">
        <v>10.0</v>
      </c>
      <c r="AB499" s="3">
        <f t="shared" si="7"/>
        <v>0</v>
      </c>
      <c r="AC499" s="3">
        <f t="shared" si="8"/>
        <v>0</v>
      </c>
      <c r="AD499" s="3">
        <f t="shared" si="9"/>
        <v>2.608695652</v>
      </c>
      <c r="AE499" s="3">
        <f t="shared" si="10"/>
        <v>-3</v>
      </c>
      <c r="AF499" s="3">
        <f t="shared" si="11"/>
        <v>-2</v>
      </c>
      <c r="AG499" s="3">
        <f t="shared" si="12"/>
        <v>-0.4871794872</v>
      </c>
    </row>
    <row r="500">
      <c r="A500" s="1" t="s">
        <v>9</v>
      </c>
      <c r="B500" s="1" t="s">
        <v>604</v>
      </c>
      <c r="C500" s="1" t="s">
        <v>18</v>
      </c>
      <c r="D500" s="1" t="s">
        <v>114</v>
      </c>
      <c r="E500" s="1" t="s">
        <v>89</v>
      </c>
      <c r="F500" s="1" t="s">
        <v>576</v>
      </c>
      <c r="G500" s="1">
        <v>18.5</v>
      </c>
      <c r="H500" s="1" t="s">
        <v>60</v>
      </c>
      <c r="I500" s="1">
        <v>-120.0</v>
      </c>
      <c r="J500" s="1">
        <v>0.0964549942531869</v>
      </c>
      <c r="K500" s="1" t="s">
        <v>61</v>
      </c>
      <c r="L500" s="1" t="s">
        <v>61</v>
      </c>
      <c r="M500" s="1" t="s">
        <v>62</v>
      </c>
      <c r="N500" s="1">
        <v>-113.0</v>
      </c>
      <c r="O500" s="1">
        <v>-0.172410852447616</v>
      </c>
      <c r="P500" s="1" t="s">
        <v>61</v>
      </c>
      <c r="Q500" s="1" t="s">
        <v>61</v>
      </c>
      <c r="R500" s="1">
        <f t="shared" si="1"/>
        <v>0.09645499425</v>
      </c>
      <c r="S500" s="1">
        <f t="shared" si="2"/>
        <v>-120</v>
      </c>
      <c r="T500" s="1">
        <f t="shared" si="3"/>
        <v>1.833333333</v>
      </c>
      <c r="U500" s="1">
        <f t="shared" si="4"/>
        <v>1</v>
      </c>
      <c r="V500" s="3">
        <f t="shared" si="5"/>
        <v>2</v>
      </c>
      <c r="W500" s="3">
        <f t="shared" si="6"/>
        <v>3</v>
      </c>
      <c r="X500" s="3" t="str">
        <f>IFERROR(__xludf.DUMMYFUNCTION("split(B500,"" "")"),"L.")</f>
        <v>L.</v>
      </c>
      <c r="Y500" s="3" t="str">
        <f>IFERROR(__xludf.DUMMYFUNCTION("""COMPUTED_VALUE"""),"McCaffrey")</f>
        <v>McCaffrey</v>
      </c>
      <c r="AA500" s="3">
        <v>19.0</v>
      </c>
      <c r="AB500" s="3">
        <f t="shared" si="7"/>
        <v>1</v>
      </c>
      <c r="AC500" s="3">
        <f t="shared" si="8"/>
        <v>1</v>
      </c>
      <c r="AD500" s="3">
        <f t="shared" si="9"/>
        <v>1.666666667</v>
      </c>
      <c r="AE500" s="3">
        <f t="shared" si="10"/>
        <v>1.666666667</v>
      </c>
      <c r="AF500" s="3">
        <f t="shared" si="11"/>
        <v>2.5</v>
      </c>
      <c r="AG500" s="3">
        <f t="shared" si="12"/>
        <v>0.02702702703</v>
      </c>
    </row>
    <row r="501">
      <c r="A501" s="1" t="s">
        <v>8</v>
      </c>
      <c r="B501" s="1" t="s">
        <v>320</v>
      </c>
      <c r="C501" s="1" t="s">
        <v>21</v>
      </c>
      <c r="D501" s="1" t="s">
        <v>114</v>
      </c>
      <c r="E501" s="1" t="s">
        <v>89</v>
      </c>
      <c r="F501" s="1" t="s">
        <v>576</v>
      </c>
      <c r="G501" s="1">
        <v>9.5</v>
      </c>
      <c r="H501" s="1" t="s">
        <v>60</v>
      </c>
      <c r="I501" s="1">
        <v>-109.0</v>
      </c>
      <c r="J501" s="1">
        <v>-0.138479216649478</v>
      </c>
      <c r="K501" s="1" t="s">
        <v>61</v>
      </c>
      <c r="L501" s="1" t="s">
        <v>61</v>
      </c>
      <c r="M501" s="1" t="s">
        <v>62</v>
      </c>
      <c r="N501" s="1">
        <v>-123.0</v>
      </c>
      <c r="O501" s="1">
        <v>0.0653706826191991</v>
      </c>
      <c r="P501" s="1" t="s">
        <v>61</v>
      </c>
      <c r="Q501" s="1" t="s">
        <v>61</v>
      </c>
      <c r="R501" s="1">
        <f t="shared" si="1"/>
        <v>0.06537068262</v>
      </c>
      <c r="S501" s="1">
        <f t="shared" si="2"/>
        <v>-123</v>
      </c>
      <c r="T501" s="1">
        <f t="shared" si="3"/>
        <v>1.81300813</v>
      </c>
      <c r="U501" s="1">
        <f t="shared" si="4"/>
        <v>0</v>
      </c>
      <c r="V501" s="3">
        <f t="shared" si="5"/>
        <v>2</v>
      </c>
      <c r="W501" s="3">
        <f t="shared" si="6"/>
        <v>3</v>
      </c>
      <c r="X501" s="3" t="str">
        <f>IFERROR(__xludf.DUMMYFUNCTION("split(B501,"" "")"),"J.")</f>
        <v>J.</v>
      </c>
      <c r="Y501" s="3" t="str">
        <f>IFERROR(__xludf.DUMMYFUNCTION("""COMPUTED_VALUE"""),"Daniels")</f>
        <v>Daniels</v>
      </c>
      <c r="AA501" s="3">
        <v>11.0</v>
      </c>
      <c r="AB501" s="3">
        <f t="shared" si="7"/>
        <v>1</v>
      </c>
      <c r="AC501" s="3">
        <f t="shared" si="8"/>
        <v>0</v>
      </c>
      <c r="AD501" s="3">
        <f t="shared" si="9"/>
        <v>1.62601626</v>
      </c>
      <c r="AE501" s="3">
        <f t="shared" si="10"/>
        <v>-2</v>
      </c>
      <c r="AF501" s="3">
        <f t="shared" si="11"/>
        <v>-3</v>
      </c>
      <c r="AG501" s="3">
        <f t="shared" si="12"/>
        <v>-0.1578947368</v>
      </c>
    </row>
    <row r="502">
      <c r="A502" s="1" t="s">
        <v>16</v>
      </c>
      <c r="B502" s="1" t="s">
        <v>320</v>
      </c>
      <c r="C502" s="1" t="s">
        <v>21</v>
      </c>
      <c r="D502" s="1" t="s">
        <v>114</v>
      </c>
      <c r="E502" s="1" t="s">
        <v>89</v>
      </c>
      <c r="F502" s="1" t="s">
        <v>576</v>
      </c>
      <c r="G502" s="1">
        <v>27.5</v>
      </c>
      <c r="H502" s="1" t="s">
        <v>60</v>
      </c>
      <c r="I502" s="1">
        <v>-126.0</v>
      </c>
      <c r="J502" s="1">
        <v>-0.13151011159292</v>
      </c>
      <c r="K502" s="1" t="s">
        <v>61</v>
      </c>
      <c r="L502" s="1" t="s">
        <v>61</v>
      </c>
      <c r="M502" s="1" t="s">
        <v>62</v>
      </c>
      <c r="N502" s="1">
        <v>-105.0</v>
      </c>
      <c r="O502" s="1">
        <v>0.0618067291756098</v>
      </c>
      <c r="P502" s="1" t="s">
        <v>61</v>
      </c>
      <c r="Q502" s="1" t="s">
        <v>61</v>
      </c>
      <c r="R502" s="1">
        <f t="shared" si="1"/>
        <v>0.06180672918</v>
      </c>
      <c r="S502" s="1">
        <f t="shared" si="2"/>
        <v>-105</v>
      </c>
      <c r="T502" s="1">
        <f t="shared" si="3"/>
        <v>1.952380952</v>
      </c>
      <c r="U502" s="1">
        <f t="shared" si="4"/>
        <v>0</v>
      </c>
      <c r="V502" s="3">
        <f t="shared" si="5"/>
        <v>2</v>
      </c>
      <c r="W502" s="3">
        <f t="shared" si="6"/>
        <v>2</v>
      </c>
      <c r="X502" s="3" t="str">
        <f>IFERROR(__xludf.DUMMYFUNCTION("split(B502,"" "")"),"J.")</f>
        <v>J.</v>
      </c>
      <c r="Y502" s="3" t="str">
        <f>IFERROR(__xludf.DUMMYFUNCTION("""COMPUTED_VALUE"""),"Daniels")</f>
        <v>Daniels</v>
      </c>
      <c r="AA502" s="3">
        <v>25.0</v>
      </c>
      <c r="AB502" s="3">
        <f t="shared" si="7"/>
        <v>0</v>
      </c>
      <c r="AC502" s="3">
        <f t="shared" si="8"/>
        <v>1</v>
      </c>
      <c r="AD502" s="3">
        <f t="shared" si="9"/>
        <v>1.904761905</v>
      </c>
      <c r="AE502" s="3">
        <f t="shared" si="10"/>
        <v>1.904761905</v>
      </c>
      <c r="AF502" s="3">
        <f t="shared" si="11"/>
        <v>1.904761905</v>
      </c>
      <c r="AG502" s="3">
        <f t="shared" si="12"/>
        <v>0.09090909091</v>
      </c>
    </row>
    <row r="503">
      <c r="A503" s="1" t="s">
        <v>11</v>
      </c>
      <c r="B503" s="1" t="s">
        <v>605</v>
      </c>
      <c r="C503" s="1" t="s">
        <v>18</v>
      </c>
      <c r="D503" s="1" t="s">
        <v>114</v>
      </c>
      <c r="E503" s="1" t="s">
        <v>89</v>
      </c>
      <c r="F503" s="1" t="s">
        <v>576</v>
      </c>
      <c r="G503" s="1">
        <v>9.5</v>
      </c>
      <c r="H503" s="1" t="s">
        <v>60</v>
      </c>
      <c r="I503" s="1">
        <v>-118.0</v>
      </c>
      <c r="J503" s="1">
        <v>0.0553843731289342</v>
      </c>
      <c r="K503" s="1" t="s">
        <v>61</v>
      </c>
      <c r="L503" s="1" t="s">
        <v>61</v>
      </c>
      <c r="M503" s="1" t="s">
        <v>62</v>
      </c>
      <c r="N503" s="1">
        <v>-109.0</v>
      </c>
      <c r="O503" s="1">
        <v>-0.118140826521039</v>
      </c>
      <c r="P503" s="1" t="s">
        <v>61</v>
      </c>
      <c r="Q503" s="1" t="s">
        <v>61</v>
      </c>
      <c r="R503" s="1">
        <f t="shared" si="1"/>
        <v>0.05538437313</v>
      </c>
      <c r="S503" s="1">
        <f t="shared" si="2"/>
        <v>-118</v>
      </c>
      <c r="T503" s="1">
        <f t="shared" si="3"/>
        <v>1.847457627</v>
      </c>
      <c r="U503" s="1">
        <f t="shared" si="4"/>
        <v>1</v>
      </c>
      <c r="V503" s="3">
        <f t="shared" si="5"/>
        <v>2</v>
      </c>
      <c r="W503" s="3">
        <f t="shared" si="6"/>
        <v>3</v>
      </c>
      <c r="X503" s="3" t="str">
        <f>IFERROR(__xludf.DUMMYFUNCTION("split(B503,"" "")"),"D.")</f>
        <v>D.</v>
      </c>
      <c r="Y503" s="3" t="str">
        <f>IFERROR(__xludf.DUMMYFUNCTION("""COMPUTED_VALUE"""),"Brown")</f>
        <v>Brown</v>
      </c>
      <c r="AA503" s="3">
        <v>57.0</v>
      </c>
      <c r="AB503" s="3">
        <f t="shared" si="7"/>
        <v>1</v>
      </c>
      <c r="AC503" s="3">
        <f t="shared" si="8"/>
        <v>1</v>
      </c>
      <c r="AD503" s="3">
        <f t="shared" si="9"/>
        <v>1.694915254</v>
      </c>
      <c r="AE503" s="3">
        <f t="shared" si="10"/>
        <v>1.694915254</v>
      </c>
      <c r="AF503" s="3">
        <f t="shared" si="11"/>
        <v>2.542372881</v>
      </c>
      <c r="AG503" s="3">
        <f t="shared" si="12"/>
        <v>5</v>
      </c>
    </row>
    <row r="504">
      <c r="A504" s="1" t="s">
        <v>12</v>
      </c>
      <c r="B504" s="1" t="s">
        <v>408</v>
      </c>
      <c r="C504" s="1" t="s">
        <v>19</v>
      </c>
      <c r="D504" s="1" t="s">
        <v>114</v>
      </c>
      <c r="E504" s="1" t="s">
        <v>89</v>
      </c>
      <c r="F504" s="1" t="s">
        <v>576</v>
      </c>
      <c r="G504" s="1">
        <v>2.5</v>
      </c>
      <c r="H504" s="1" t="s">
        <v>60</v>
      </c>
      <c r="I504" s="1">
        <v>118.0</v>
      </c>
      <c r="J504" s="1">
        <v>-0.105113375223853</v>
      </c>
      <c r="K504" s="1" t="s">
        <v>61</v>
      </c>
      <c r="L504" s="1" t="s">
        <v>61</v>
      </c>
      <c r="M504" s="1" t="s">
        <v>62</v>
      </c>
      <c r="N504" s="1">
        <v>-154.0</v>
      </c>
      <c r="O504" s="1">
        <v>0.0400982995133859</v>
      </c>
      <c r="P504" s="1" t="s">
        <v>61</v>
      </c>
      <c r="Q504" s="1" t="s">
        <v>61</v>
      </c>
      <c r="R504" s="1">
        <f t="shared" si="1"/>
        <v>0.04009829951</v>
      </c>
      <c r="S504" s="1">
        <f t="shared" si="2"/>
        <v>-154</v>
      </c>
      <c r="T504" s="1">
        <f t="shared" si="3"/>
        <v>1.649350649</v>
      </c>
      <c r="U504" s="1">
        <f t="shared" si="4"/>
        <v>0</v>
      </c>
      <c r="V504" s="3">
        <f t="shared" si="5"/>
        <v>1</v>
      </c>
      <c r="W504" s="3">
        <f t="shared" si="6"/>
        <v>3</v>
      </c>
      <c r="X504" s="3" t="str">
        <f>IFERROR(__xludf.DUMMYFUNCTION("split(B504,"" "")"),"A.")</f>
        <v>A.</v>
      </c>
      <c r="Y504" s="3" t="str">
        <f>IFERROR(__xludf.DUMMYFUNCTION("""COMPUTED_VALUE"""),"Ekeler")</f>
        <v>Ekeler</v>
      </c>
      <c r="AA504" s="3">
        <v>2.0</v>
      </c>
      <c r="AB504" s="3">
        <f t="shared" si="7"/>
        <v>0</v>
      </c>
      <c r="AC504" s="3">
        <f t="shared" si="8"/>
        <v>1</v>
      </c>
      <c r="AD504" s="3">
        <f t="shared" si="9"/>
        <v>0.6493506494</v>
      </c>
      <c r="AE504" s="3">
        <f t="shared" si="10"/>
        <v>0.6493506494</v>
      </c>
      <c r="AF504" s="3">
        <f t="shared" si="11"/>
        <v>1.948051948</v>
      </c>
      <c r="AG504" s="3">
        <f t="shared" si="12"/>
        <v>0.2</v>
      </c>
    </row>
    <row r="505">
      <c r="A505" s="1" t="s">
        <v>10</v>
      </c>
      <c r="B505" s="1" t="s">
        <v>408</v>
      </c>
      <c r="C505" s="1" t="s">
        <v>19</v>
      </c>
      <c r="D505" s="1" t="s">
        <v>114</v>
      </c>
      <c r="E505" s="1" t="s">
        <v>89</v>
      </c>
      <c r="F505" s="1" t="s">
        <v>576</v>
      </c>
      <c r="G505" s="1">
        <v>22.5</v>
      </c>
      <c r="H505" s="1" t="s">
        <v>60</v>
      </c>
      <c r="I505" s="1">
        <v>-109.0</v>
      </c>
      <c r="J505" s="1">
        <v>-0.10578538358077</v>
      </c>
      <c r="K505" s="1" t="s">
        <v>61</v>
      </c>
      <c r="L505" s="1" t="s">
        <v>61</v>
      </c>
      <c r="M505" s="1" t="s">
        <v>62</v>
      </c>
      <c r="N505" s="1">
        <v>-120.0</v>
      </c>
      <c r="O505" s="1">
        <v>0.0388633372820781</v>
      </c>
      <c r="P505" s="1" t="s">
        <v>61</v>
      </c>
      <c r="Q505" s="1" t="s">
        <v>61</v>
      </c>
      <c r="R505" s="1">
        <f t="shared" si="1"/>
        <v>0.03886333728</v>
      </c>
      <c r="S505" s="1">
        <f t="shared" si="2"/>
        <v>-120</v>
      </c>
      <c r="T505" s="1">
        <f t="shared" si="3"/>
        <v>1.833333333</v>
      </c>
      <c r="U505" s="1">
        <f t="shared" si="4"/>
        <v>0</v>
      </c>
      <c r="V505" s="3">
        <f t="shared" si="5"/>
        <v>1</v>
      </c>
      <c r="W505" s="3">
        <f t="shared" si="6"/>
        <v>3</v>
      </c>
      <c r="X505" s="3" t="str">
        <f>IFERROR(__xludf.DUMMYFUNCTION("split(B505,"" "")"),"A.")</f>
        <v>A.</v>
      </c>
      <c r="Y505" s="3" t="str">
        <f>IFERROR(__xludf.DUMMYFUNCTION("""COMPUTED_VALUE"""),"Ekeler")</f>
        <v>Ekeler</v>
      </c>
      <c r="AA505" s="3">
        <v>67.0</v>
      </c>
      <c r="AB505" s="3">
        <f t="shared" si="7"/>
        <v>1</v>
      </c>
      <c r="AC505" s="3">
        <f t="shared" si="8"/>
        <v>0</v>
      </c>
      <c r="AD505" s="3">
        <f t="shared" si="9"/>
        <v>0.8333333333</v>
      </c>
      <c r="AE505" s="3">
        <f t="shared" si="10"/>
        <v>-1</v>
      </c>
      <c r="AF505" s="3">
        <f t="shared" si="11"/>
        <v>-3</v>
      </c>
      <c r="AG505" s="3">
        <f t="shared" si="12"/>
        <v>-1.977777778</v>
      </c>
    </row>
    <row r="506">
      <c r="A506" s="1" t="s">
        <v>11</v>
      </c>
      <c r="B506" s="1" t="s">
        <v>561</v>
      </c>
      <c r="C506" s="1" t="s">
        <v>18</v>
      </c>
      <c r="D506" s="1" t="s">
        <v>114</v>
      </c>
      <c r="E506" s="1" t="s">
        <v>89</v>
      </c>
      <c r="F506" s="1" t="s">
        <v>576</v>
      </c>
      <c r="G506" s="1">
        <v>31.5</v>
      </c>
      <c r="H506" s="1" t="s">
        <v>60</v>
      </c>
      <c r="I506" s="1">
        <v>-113.0</v>
      </c>
      <c r="J506" s="1">
        <v>-0.0992137253385446</v>
      </c>
      <c r="K506" s="1" t="s">
        <v>61</v>
      </c>
      <c r="L506" s="1" t="s">
        <v>61</v>
      </c>
      <c r="M506" s="1" t="s">
        <v>62</v>
      </c>
      <c r="N506" s="1">
        <v>-117.0</v>
      </c>
      <c r="O506" s="1">
        <v>0.0295847394477267</v>
      </c>
      <c r="P506" s="1" t="s">
        <v>61</v>
      </c>
      <c r="Q506" s="1" t="s">
        <v>61</v>
      </c>
      <c r="R506" s="1">
        <f t="shared" si="1"/>
        <v>0.02958473945</v>
      </c>
      <c r="S506" s="1">
        <f t="shared" si="2"/>
        <v>-117</v>
      </c>
      <c r="T506" s="1">
        <f t="shared" si="3"/>
        <v>1.854700855</v>
      </c>
      <c r="U506" s="1">
        <f t="shared" si="4"/>
        <v>0</v>
      </c>
      <c r="V506" s="3">
        <f t="shared" si="5"/>
        <v>1</v>
      </c>
      <c r="W506" s="3">
        <f t="shared" si="6"/>
        <v>2</v>
      </c>
      <c r="X506" s="3" t="str">
        <f>IFERROR(__xludf.DUMMYFUNCTION("split(B506,"" "")"),"N.")</f>
        <v>N.</v>
      </c>
      <c r="Y506" s="3" t="str">
        <f>IFERROR(__xludf.DUMMYFUNCTION("""COMPUTED_VALUE"""),"Brown")</f>
        <v>Brown</v>
      </c>
      <c r="AA506" s="3">
        <v>57.0</v>
      </c>
      <c r="AB506" s="3">
        <f t="shared" si="7"/>
        <v>1</v>
      </c>
      <c r="AC506" s="3">
        <f t="shared" si="8"/>
        <v>0</v>
      </c>
      <c r="AD506" s="3">
        <f t="shared" si="9"/>
        <v>0.8547008547</v>
      </c>
      <c r="AE506" s="3">
        <f t="shared" si="10"/>
        <v>-1</v>
      </c>
      <c r="AF506" s="3">
        <f t="shared" si="11"/>
        <v>-2</v>
      </c>
      <c r="AG506" s="3">
        <f t="shared" si="12"/>
        <v>-0.8095238095</v>
      </c>
    </row>
    <row r="507">
      <c r="A507" s="1" t="s">
        <v>15</v>
      </c>
      <c r="B507" s="1" t="s">
        <v>320</v>
      </c>
      <c r="C507" s="1" t="s">
        <v>21</v>
      </c>
      <c r="D507" s="1" t="s">
        <v>114</v>
      </c>
      <c r="E507" s="1" t="s">
        <v>89</v>
      </c>
      <c r="F507" s="1" t="s">
        <v>576</v>
      </c>
      <c r="G507" s="1">
        <v>18.5</v>
      </c>
      <c r="H507" s="1" t="s">
        <v>60</v>
      </c>
      <c r="I507" s="1">
        <v>-129.0</v>
      </c>
      <c r="J507" s="1">
        <v>-0.0865051013973798</v>
      </c>
      <c r="K507" s="1" t="s">
        <v>61</v>
      </c>
      <c r="L507" s="1" t="s">
        <v>61</v>
      </c>
      <c r="M507" s="1" t="s">
        <v>62</v>
      </c>
      <c r="N507" s="1">
        <v>-102.0</v>
      </c>
      <c r="O507" s="1">
        <v>0.0182493246752475</v>
      </c>
      <c r="P507" s="1" t="s">
        <v>61</v>
      </c>
      <c r="Q507" s="1" t="s">
        <v>61</v>
      </c>
      <c r="R507" s="1">
        <f t="shared" si="1"/>
        <v>0.01824932468</v>
      </c>
      <c r="S507" s="1">
        <f t="shared" si="2"/>
        <v>-102</v>
      </c>
      <c r="T507" s="1">
        <f t="shared" si="3"/>
        <v>1.980392157</v>
      </c>
      <c r="U507" s="1">
        <f t="shared" si="4"/>
        <v>0</v>
      </c>
      <c r="V507" s="3">
        <f t="shared" si="5"/>
        <v>1</v>
      </c>
      <c r="W507" s="3">
        <f t="shared" si="6"/>
        <v>2</v>
      </c>
      <c r="X507" s="3" t="str">
        <f>IFERROR(__xludf.DUMMYFUNCTION("split(B507,"" "")"),"J.")</f>
        <v>J.</v>
      </c>
      <c r="Y507" s="3" t="str">
        <f>IFERROR(__xludf.DUMMYFUNCTION("""COMPUTED_VALUE"""),"Daniels")</f>
        <v>Daniels</v>
      </c>
      <c r="AA507" s="3">
        <v>14.0</v>
      </c>
      <c r="AB507" s="3">
        <f t="shared" si="7"/>
        <v>0</v>
      </c>
      <c r="AC507" s="3">
        <f t="shared" si="8"/>
        <v>1</v>
      </c>
      <c r="AD507" s="3">
        <f t="shared" si="9"/>
        <v>0.9803921569</v>
      </c>
      <c r="AE507" s="3">
        <f t="shared" si="10"/>
        <v>0.9803921569</v>
      </c>
      <c r="AF507" s="3">
        <f t="shared" si="11"/>
        <v>1.960784314</v>
      </c>
      <c r="AG507" s="3">
        <f t="shared" si="12"/>
        <v>0.2432432432</v>
      </c>
    </row>
    <row r="508">
      <c r="A508" s="1" t="s">
        <v>11</v>
      </c>
      <c r="B508" s="1" t="s">
        <v>249</v>
      </c>
      <c r="C508" s="1" t="s">
        <v>18</v>
      </c>
      <c r="D508" s="1" t="s">
        <v>114</v>
      </c>
      <c r="E508" s="1" t="s">
        <v>89</v>
      </c>
      <c r="F508" s="1" t="s">
        <v>576</v>
      </c>
      <c r="G508" s="1">
        <v>53.5</v>
      </c>
      <c r="H508" s="1" t="s">
        <v>60</v>
      </c>
      <c r="I508" s="1">
        <v>-114.0</v>
      </c>
      <c r="J508" s="1">
        <v>-0.0745965355411588</v>
      </c>
      <c r="K508" s="1" t="s">
        <v>61</v>
      </c>
      <c r="L508" s="1" t="s">
        <v>61</v>
      </c>
      <c r="M508" s="1" t="s">
        <v>62</v>
      </c>
      <c r="N508" s="1">
        <v>-112.0</v>
      </c>
      <c r="O508" s="1">
        <v>0.0136084758524528</v>
      </c>
      <c r="P508" s="1" t="s">
        <v>61</v>
      </c>
      <c r="Q508" s="1" t="s">
        <v>61</v>
      </c>
      <c r="R508" s="1">
        <f t="shared" si="1"/>
        <v>0.01360847585</v>
      </c>
      <c r="S508" s="1">
        <f t="shared" si="2"/>
        <v>-112</v>
      </c>
      <c r="T508" s="1">
        <f t="shared" si="3"/>
        <v>1.892857143</v>
      </c>
      <c r="U508" s="1">
        <f t="shared" si="4"/>
        <v>0</v>
      </c>
      <c r="V508" s="3">
        <f t="shared" si="5"/>
        <v>1</v>
      </c>
      <c r="W508" s="3">
        <f t="shared" si="6"/>
        <v>2</v>
      </c>
      <c r="X508" s="3" t="str">
        <f>IFERROR(__xludf.DUMMYFUNCTION("split(B508,"" "")"),"T.")</f>
        <v>T.</v>
      </c>
      <c r="Y508" s="3" t="str">
        <f>IFERROR(__xludf.DUMMYFUNCTION("""COMPUTED_VALUE"""),"McLaurin")</f>
        <v>McLaurin</v>
      </c>
      <c r="AA508" s="3">
        <v>112.0</v>
      </c>
      <c r="AB508" s="3">
        <f t="shared" si="7"/>
        <v>1</v>
      </c>
      <c r="AC508" s="3">
        <f t="shared" si="8"/>
        <v>0</v>
      </c>
      <c r="AD508" s="3">
        <f t="shared" si="9"/>
        <v>0.8928571429</v>
      </c>
      <c r="AE508" s="3">
        <f t="shared" si="10"/>
        <v>-1</v>
      </c>
      <c r="AF508" s="3">
        <f t="shared" si="11"/>
        <v>-2</v>
      </c>
      <c r="AG508" s="3">
        <f t="shared" si="12"/>
        <v>-1.093457944</v>
      </c>
    </row>
    <row r="509">
      <c r="A509" s="1" t="s">
        <v>12</v>
      </c>
      <c r="B509" s="1" t="s">
        <v>249</v>
      </c>
      <c r="C509" s="1" t="s">
        <v>18</v>
      </c>
      <c r="D509" s="1" t="s">
        <v>114</v>
      </c>
      <c r="E509" s="1" t="s">
        <v>89</v>
      </c>
      <c r="F509" s="1" t="s">
        <v>576</v>
      </c>
      <c r="G509" s="1">
        <v>4.5</v>
      </c>
      <c r="H509" s="1" t="s">
        <v>60</v>
      </c>
      <c r="I509" s="1">
        <v>-111.0</v>
      </c>
      <c r="J509" s="1">
        <v>-0.0822137440758293</v>
      </c>
      <c r="K509" s="1" t="s">
        <v>61</v>
      </c>
      <c r="L509" s="1" t="s">
        <v>61</v>
      </c>
      <c r="M509" s="1" t="s">
        <v>62</v>
      </c>
      <c r="N509" s="1">
        <v>-119.0</v>
      </c>
      <c r="O509" s="1">
        <v>0.0127753424657535</v>
      </c>
      <c r="P509" s="1" t="s">
        <v>61</v>
      </c>
      <c r="Q509" s="1" t="s">
        <v>61</v>
      </c>
      <c r="R509" s="1">
        <f t="shared" si="1"/>
        <v>0.01277534247</v>
      </c>
      <c r="S509" s="1">
        <f t="shared" si="2"/>
        <v>-119</v>
      </c>
      <c r="T509" s="1">
        <f t="shared" si="3"/>
        <v>1.840336134</v>
      </c>
      <c r="U509" s="1">
        <f t="shared" si="4"/>
        <v>0</v>
      </c>
      <c r="V509" s="3">
        <f t="shared" si="5"/>
        <v>1</v>
      </c>
      <c r="W509" s="3">
        <f t="shared" si="6"/>
        <v>3</v>
      </c>
      <c r="X509" s="3" t="str">
        <f>IFERROR(__xludf.DUMMYFUNCTION("split(B509,"" "")"),"T.")</f>
        <v>T.</v>
      </c>
      <c r="Y509" s="3" t="str">
        <f>IFERROR(__xludf.DUMMYFUNCTION("""COMPUTED_VALUE"""),"McLaurin")</f>
        <v>McLaurin</v>
      </c>
      <c r="AA509" s="3">
        <v>4.0</v>
      </c>
      <c r="AB509" s="3">
        <f t="shared" si="7"/>
        <v>0</v>
      </c>
      <c r="AC509" s="3">
        <f t="shared" si="8"/>
        <v>1</v>
      </c>
      <c r="AD509" s="3">
        <f t="shared" si="9"/>
        <v>0.8403361345</v>
      </c>
      <c r="AE509" s="3">
        <f t="shared" si="10"/>
        <v>0.8403361345</v>
      </c>
      <c r="AF509" s="3">
        <f t="shared" si="11"/>
        <v>2.521008403</v>
      </c>
      <c r="AG509" s="3">
        <f t="shared" si="12"/>
        <v>0.1111111111</v>
      </c>
    </row>
    <row r="510">
      <c r="A510" s="1" t="s">
        <v>10</v>
      </c>
      <c r="B510" s="1" t="s">
        <v>320</v>
      </c>
      <c r="C510" s="1" t="s">
        <v>21</v>
      </c>
      <c r="D510" s="1" t="s">
        <v>114</v>
      </c>
      <c r="E510" s="1" t="s">
        <v>89</v>
      </c>
      <c r="F510" s="1" t="s">
        <v>576</v>
      </c>
      <c r="G510" s="1">
        <v>52.5</v>
      </c>
      <c r="H510" s="1" t="s">
        <v>60</v>
      </c>
      <c r="I510" s="1">
        <v>-112.0</v>
      </c>
      <c r="J510" s="1">
        <v>-0.078126218510088</v>
      </c>
      <c r="K510" s="1" t="s">
        <v>61</v>
      </c>
      <c r="L510" s="1" t="s">
        <v>61</v>
      </c>
      <c r="M510" s="1" t="s">
        <v>62</v>
      </c>
      <c r="N510" s="1">
        <v>-117.0</v>
      </c>
      <c r="O510" s="1">
        <v>0.0106846549000729</v>
      </c>
      <c r="P510" s="1" t="s">
        <v>61</v>
      </c>
      <c r="Q510" s="1" t="s">
        <v>61</v>
      </c>
      <c r="R510" s="1">
        <f t="shared" si="1"/>
        <v>0.0106846549</v>
      </c>
      <c r="S510" s="1">
        <f t="shared" si="2"/>
        <v>-117</v>
      </c>
      <c r="T510" s="1">
        <f t="shared" si="3"/>
        <v>1.854700855</v>
      </c>
      <c r="U510" s="1">
        <f t="shared" si="4"/>
        <v>0</v>
      </c>
      <c r="V510" s="3">
        <f t="shared" si="5"/>
        <v>1</v>
      </c>
      <c r="W510" s="3">
        <f t="shared" si="6"/>
        <v>2</v>
      </c>
      <c r="X510" s="3" t="str">
        <f>IFERROR(__xludf.DUMMYFUNCTION("split(B510,"" "")"),"J.")</f>
        <v>J.</v>
      </c>
      <c r="Y510" s="3" t="str">
        <f>IFERROR(__xludf.DUMMYFUNCTION("""COMPUTED_VALUE"""),"Daniels")</f>
        <v>Daniels</v>
      </c>
      <c r="AA510" s="3">
        <v>82.0</v>
      </c>
      <c r="AB510" s="3">
        <f t="shared" si="7"/>
        <v>1</v>
      </c>
      <c r="AC510" s="3">
        <f t="shared" si="8"/>
        <v>0</v>
      </c>
      <c r="AD510" s="3">
        <f t="shared" si="9"/>
        <v>0.8547008547</v>
      </c>
      <c r="AE510" s="3">
        <f t="shared" si="10"/>
        <v>-1</v>
      </c>
      <c r="AF510" s="3">
        <f t="shared" si="11"/>
        <v>-2</v>
      </c>
      <c r="AG510" s="3">
        <f t="shared" si="12"/>
        <v>-0.5619047619</v>
      </c>
    </row>
    <row r="511">
      <c r="A511" s="1" t="s">
        <v>9</v>
      </c>
      <c r="B511" s="1" t="s">
        <v>561</v>
      </c>
      <c r="C511" s="1" t="s">
        <v>18</v>
      </c>
      <c r="D511" s="1" t="s">
        <v>114</v>
      </c>
      <c r="E511" s="1" t="s">
        <v>89</v>
      </c>
      <c r="F511" s="1" t="s">
        <v>576</v>
      </c>
      <c r="G511" s="1">
        <v>31.5</v>
      </c>
      <c r="H511" s="1" t="s">
        <v>60</v>
      </c>
      <c r="I511" s="1">
        <v>-114.0</v>
      </c>
      <c r="J511" s="1">
        <v>0.00829878623154212</v>
      </c>
      <c r="K511" s="1" t="s">
        <v>61</v>
      </c>
      <c r="L511" s="1" t="s">
        <v>61</v>
      </c>
      <c r="M511" s="1" t="s">
        <v>62</v>
      </c>
      <c r="N511" s="1">
        <v>-118.0</v>
      </c>
      <c r="O511" s="1">
        <v>-0.0822949059595824</v>
      </c>
      <c r="P511" s="1" t="s">
        <v>61</v>
      </c>
      <c r="Q511" s="1" t="s">
        <v>61</v>
      </c>
      <c r="R511" s="1">
        <f t="shared" si="1"/>
        <v>0.008298786232</v>
      </c>
      <c r="S511" s="1">
        <f t="shared" si="2"/>
        <v>-114</v>
      </c>
      <c r="T511" s="1">
        <f t="shared" si="3"/>
        <v>1.877192982</v>
      </c>
      <c r="U511" s="1">
        <f t="shared" si="4"/>
        <v>1</v>
      </c>
      <c r="V511" s="3">
        <f t="shared" si="5"/>
        <v>1</v>
      </c>
      <c r="W511" s="3">
        <f t="shared" si="6"/>
        <v>2</v>
      </c>
      <c r="X511" s="3" t="str">
        <f>IFERROR(__xludf.DUMMYFUNCTION("split(B511,"" "")"),"N.")</f>
        <v>N.</v>
      </c>
      <c r="Y511" s="3" t="str">
        <f>IFERROR(__xludf.DUMMYFUNCTION("""COMPUTED_VALUE"""),"Brown")</f>
        <v>Brown</v>
      </c>
      <c r="AA511" s="3">
        <v>57.0</v>
      </c>
      <c r="AB511" s="3">
        <f t="shared" si="7"/>
        <v>1</v>
      </c>
      <c r="AC511" s="3">
        <f t="shared" si="8"/>
        <v>1</v>
      </c>
      <c r="AD511" s="3">
        <f t="shared" si="9"/>
        <v>0.8771929825</v>
      </c>
      <c r="AE511" s="3">
        <f t="shared" si="10"/>
        <v>0.8771929825</v>
      </c>
      <c r="AF511" s="3">
        <f t="shared" si="11"/>
        <v>1.754385965</v>
      </c>
      <c r="AG511" s="3">
        <f t="shared" si="12"/>
        <v>0.8095238095</v>
      </c>
    </row>
    <row r="512">
      <c r="A512" s="1" t="s">
        <v>11</v>
      </c>
      <c r="B512" s="1" t="s">
        <v>604</v>
      </c>
      <c r="C512" s="1" t="s">
        <v>18</v>
      </c>
      <c r="D512" s="1" t="s">
        <v>114</v>
      </c>
      <c r="E512" s="1" t="s">
        <v>89</v>
      </c>
      <c r="F512" s="1" t="s">
        <v>576</v>
      </c>
      <c r="G512" s="1">
        <v>18.5</v>
      </c>
      <c r="H512" s="1" t="s">
        <v>60</v>
      </c>
      <c r="I512" s="1">
        <v>-112.0</v>
      </c>
      <c r="J512" s="1">
        <v>-0.0699369242909198</v>
      </c>
      <c r="K512" s="1" t="s">
        <v>61</v>
      </c>
      <c r="L512" s="1" t="s">
        <v>61</v>
      </c>
      <c r="M512" s="1" t="s">
        <v>62</v>
      </c>
      <c r="N512" s="1">
        <v>-117.0</v>
      </c>
      <c r="O512" s="1">
        <v>0.00248384654893896</v>
      </c>
      <c r="P512" s="1" t="s">
        <v>61</v>
      </c>
      <c r="Q512" s="1" t="s">
        <v>61</v>
      </c>
      <c r="R512" s="1">
        <f t="shared" si="1"/>
        <v>0.002483846549</v>
      </c>
      <c r="S512" s="1">
        <f t="shared" si="2"/>
        <v>-117</v>
      </c>
      <c r="T512" s="1">
        <f t="shared" si="3"/>
        <v>1.854700855</v>
      </c>
      <c r="U512" s="1">
        <f t="shared" si="4"/>
        <v>0</v>
      </c>
      <c r="V512" s="3">
        <f t="shared" si="5"/>
        <v>1</v>
      </c>
      <c r="W512" s="3">
        <f t="shared" si="6"/>
        <v>2</v>
      </c>
      <c r="X512" s="3" t="str">
        <f>IFERROR(__xludf.DUMMYFUNCTION("split(B512,"" "")"),"L.")</f>
        <v>L.</v>
      </c>
      <c r="Y512" s="3" t="str">
        <f>IFERROR(__xludf.DUMMYFUNCTION("""COMPUTED_VALUE"""),"McCaffrey")</f>
        <v>McCaffrey</v>
      </c>
      <c r="AA512" s="3">
        <v>19.0</v>
      </c>
      <c r="AB512" s="3">
        <f t="shared" si="7"/>
        <v>1</v>
      </c>
      <c r="AC512" s="3">
        <f t="shared" si="8"/>
        <v>0</v>
      </c>
      <c r="AD512" s="3">
        <f t="shared" si="9"/>
        <v>0.8547008547</v>
      </c>
      <c r="AE512" s="3">
        <f t="shared" si="10"/>
        <v>-1</v>
      </c>
      <c r="AF512" s="3">
        <f t="shared" si="11"/>
        <v>-2</v>
      </c>
      <c r="AG512" s="3">
        <f t="shared" si="12"/>
        <v>-0.02702702703</v>
      </c>
    </row>
  </sheetData>
  <conditionalFormatting sqref="AK19:AK30">
    <cfRule type="colorScale" priority="1">
      <colorScale>
        <cfvo type="min"/>
        <cfvo type="max"/>
        <color rgb="FFD9EAD3"/>
        <color rgb="FF57BB8A"/>
      </colorScale>
    </cfRule>
  </conditionalFormatting>
  <conditionalFormatting sqref="AN19:AN30">
    <cfRule type="colorScale" priority="2">
      <colorScale>
        <cfvo type="min"/>
        <cfvo type="percentile" val="50"/>
        <cfvo type="max"/>
        <color rgb="FFDD7E6B"/>
        <color rgb="FFFFFFFF"/>
        <color rgb="FF57BB8A"/>
      </colorScale>
    </cfRule>
  </conditionalFormatting>
  <conditionalFormatting sqref="AG2:AG512">
    <cfRule type="colorScale" priority="3">
      <colorScale>
        <cfvo type="min"/>
        <cfvo type="formula" val="-0.1428571429"/>
        <cfvo type="max"/>
        <color rgb="FFB6D7A8"/>
        <color rgb="FFEFEFEF"/>
        <color rgb="FF93C47D"/>
      </colorScale>
    </cfRule>
  </conditionalFormatting>
  <conditionalFormatting sqref="O1:O983">
    <cfRule type="cellIs" dxfId="0" priority="4" operator="greaterThan">
      <formula>0</formula>
    </cfRule>
  </conditionalFormatting>
  <conditionalFormatting sqref="J1:J983">
    <cfRule type="cellIs" dxfId="0" priority="5" operator="greaterThan">
      <formula>0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SUM(AE2:AE99923)</f>
        <v>-53.02583257</v>
      </c>
      <c r="AH1" s="2">
        <f>COUNTIF(AC:AC,1)/COUNT(AC:AC)</f>
        <v>0.4930417495</v>
      </c>
      <c r="AI1" s="3">
        <f>COUNTIF(AC:AC,1)</f>
        <v>248</v>
      </c>
      <c r="AJ1" s="1">
        <f>COUNT(AC:AC)-AI1</f>
        <v>255</v>
      </c>
      <c r="AK1" s="1">
        <f>SUM(AF2:AF976)</f>
        <v>-64.41512239</v>
      </c>
      <c r="AL1" s="1"/>
      <c r="AM1" s="1"/>
      <c r="AN1" s="1"/>
      <c r="AO1" s="1"/>
      <c r="AP1" s="1"/>
      <c r="AQ1" s="1"/>
      <c r="AR1" s="1"/>
    </row>
    <row r="2">
      <c r="A2" s="1" t="s">
        <v>12</v>
      </c>
      <c r="B2" s="1" t="s">
        <v>451</v>
      </c>
      <c r="C2" s="1" t="s">
        <v>18</v>
      </c>
      <c r="D2" s="1" t="s">
        <v>105</v>
      </c>
      <c r="E2" s="1" t="s">
        <v>157</v>
      </c>
      <c r="F2" s="1" t="s">
        <v>608</v>
      </c>
      <c r="G2" s="1">
        <v>2.5</v>
      </c>
      <c r="H2" s="1" t="s">
        <v>60</v>
      </c>
      <c r="I2" s="1">
        <v>-110.0</v>
      </c>
      <c r="J2" s="1">
        <v>-0.202108156571428</v>
      </c>
      <c r="K2" s="1" t="s">
        <v>61</v>
      </c>
      <c r="L2" s="1" t="s">
        <v>61</v>
      </c>
      <c r="M2" s="1" t="s">
        <v>62</v>
      </c>
      <c r="N2" s="1">
        <v>-120.0</v>
      </c>
      <c r="O2" s="1">
        <v>0.132843888436363</v>
      </c>
      <c r="P2" s="1" t="s">
        <v>61</v>
      </c>
      <c r="Q2" s="1" t="s">
        <v>61</v>
      </c>
      <c r="R2" s="1">
        <f t="shared" ref="R2:R504" si="1">if(O2&gt;0, O2, J2)</f>
        <v>0.1328438884</v>
      </c>
      <c r="S2" s="1">
        <f t="shared" ref="S2:S504" si="2">if(O2&gt;0,N2,I2)</f>
        <v>-120</v>
      </c>
      <c r="T2" s="1">
        <f t="shared" ref="T2:T504" si="3">if(S2&gt;0, S2/100, -100/S2) + 1</f>
        <v>1.833333333</v>
      </c>
      <c r="U2" s="1">
        <f t="shared" ref="U2:U504" si="4">if(and(M2="under", O2&gt;0),0,1)</f>
        <v>0</v>
      </c>
      <c r="V2" s="3">
        <f t="shared" ref="V2:V504" si="5">IF(R2&lt;0.05, 1,if(R2&gt;0.1,3,2))</f>
        <v>3</v>
      </c>
      <c r="W2" s="3">
        <f t="shared" ref="W2:W504" si="6">IFS(T2&gt;2.1, 1, T2&lt;1.85,3, TRUE,2)</f>
        <v>3</v>
      </c>
      <c r="X2" s="3" t="str">
        <f>IFERROR(__xludf.DUMMYFUNCTION("split(B2,"" "")"),"G.")</f>
        <v>G.</v>
      </c>
      <c r="Y2" s="3" t="str">
        <f>IFERROR(__xludf.DUMMYFUNCTION("""COMPUTED_VALUE"""),"Dortch")</f>
        <v>Dortch</v>
      </c>
      <c r="AA2" s="3">
        <v>3.0</v>
      </c>
      <c r="AB2" s="3">
        <f t="shared" ref="AB2:AB504" si="7">if(AA2&lt;G2,0,1)</f>
        <v>1</v>
      </c>
      <c r="AC2" s="3">
        <f t="shared" ref="AC2:AC504" si="8">if(AB2=U2,1,0)</f>
        <v>0</v>
      </c>
      <c r="AD2" s="3">
        <f t="shared" ref="AD2:AD504" si="9">if(S2&lt;0, (100/(-S2))*V2, (S2/100)*V2)</f>
        <v>2.5</v>
      </c>
      <c r="AE2" s="3">
        <f t="shared" ref="AE2:AE504" si="10">if(T2&gt;4, 0, if(AC2=1,AD2,-V2))</f>
        <v>-3</v>
      </c>
      <c r="AF2" s="3">
        <f t="shared" ref="AF2:AF504" si="11">IF(AC2=0, -W2, (W2*T2)-W2)</f>
        <v>-3</v>
      </c>
      <c r="AG2" s="3">
        <f t="shared" ref="AG2:AG504" si="12">if(AC2 = 1, ABS((AA2-G2)/G2), ABS((AA2-G2)/G2)*-1)</f>
        <v>-0.2</v>
      </c>
    </row>
    <row r="3">
      <c r="A3" s="1" t="s">
        <v>8</v>
      </c>
      <c r="B3" s="1" t="s">
        <v>204</v>
      </c>
      <c r="C3" s="1" t="s">
        <v>21</v>
      </c>
      <c r="D3" s="1" t="s">
        <v>105</v>
      </c>
      <c r="E3" s="1" t="s">
        <v>157</v>
      </c>
      <c r="F3" s="1" t="s">
        <v>608</v>
      </c>
      <c r="G3" s="1">
        <v>5.5</v>
      </c>
      <c r="H3" s="1" t="s">
        <v>60</v>
      </c>
      <c r="I3" s="1">
        <v>-108.0</v>
      </c>
      <c r="J3" s="1">
        <v>-0.201714134694548</v>
      </c>
      <c r="K3" s="1" t="s">
        <v>61</v>
      </c>
      <c r="L3" s="1" t="s">
        <v>61</v>
      </c>
      <c r="M3" s="1" t="s">
        <v>62</v>
      </c>
      <c r="N3" s="1">
        <v>-123.0</v>
      </c>
      <c r="O3" s="1">
        <v>0.130926135516831</v>
      </c>
      <c r="P3" s="1" t="s">
        <v>61</v>
      </c>
      <c r="Q3" s="1" t="s">
        <v>61</v>
      </c>
      <c r="R3" s="1">
        <f t="shared" si="1"/>
        <v>0.1309261355</v>
      </c>
      <c r="S3" s="1">
        <f t="shared" si="2"/>
        <v>-123</v>
      </c>
      <c r="T3" s="1">
        <f t="shared" si="3"/>
        <v>1.81300813</v>
      </c>
      <c r="U3" s="1">
        <f t="shared" si="4"/>
        <v>0</v>
      </c>
      <c r="V3" s="3">
        <f t="shared" si="5"/>
        <v>3</v>
      </c>
      <c r="W3" s="3">
        <f t="shared" si="6"/>
        <v>3</v>
      </c>
      <c r="X3" s="3" t="str">
        <f>IFERROR(__xludf.DUMMYFUNCTION("split(B3,"" "")"),"K.")</f>
        <v>K.</v>
      </c>
      <c r="Y3" s="3" t="str">
        <f>IFERROR(__xludf.DUMMYFUNCTION("""COMPUTED_VALUE"""),"Murray")</f>
        <v>Murray</v>
      </c>
      <c r="AA3" s="3">
        <v>7.0</v>
      </c>
      <c r="AB3" s="3">
        <f t="shared" si="7"/>
        <v>1</v>
      </c>
      <c r="AC3" s="3">
        <f t="shared" si="8"/>
        <v>0</v>
      </c>
      <c r="AD3" s="3">
        <f t="shared" si="9"/>
        <v>2.43902439</v>
      </c>
      <c r="AE3" s="3">
        <f t="shared" si="10"/>
        <v>-3</v>
      </c>
      <c r="AF3" s="3">
        <f t="shared" si="11"/>
        <v>-3</v>
      </c>
      <c r="AG3" s="3">
        <f t="shared" si="12"/>
        <v>-0.2727272727</v>
      </c>
    </row>
    <row r="4">
      <c r="A4" s="1" t="s">
        <v>11</v>
      </c>
      <c r="B4" s="1" t="s">
        <v>609</v>
      </c>
      <c r="C4" s="1" t="s">
        <v>20</v>
      </c>
      <c r="D4" s="1" t="s">
        <v>105</v>
      </c>
      <c r="E4" s="1" t="s">
        <v>157</v>
      </c>
      <c r="F4" s="1" t="s">
        <v>608</v>
      </c>
      <c r="G4" s="1">
        <v>3.5</v>
      </c>
      <c r="H4" s="1" t="s">
        <v>60</v>
      </c>
      <c r="I4" s="1">
        <v>-118.0</v>
      </c>
      <c r="J4" s="1">
        <v>0.120573737334793</v>
      </c>
      <c r="K4" s="1" t="s">
        <v>61</v>
      </c>
      <c r="L4" s="1" t="s">
        <v>61</v>
      </c>
      <c r="M4" s="1" t="s">
        <v>62</v>
      </c>
      <c r="N4" s="1">
        <v>-113.0</v>
      </c>
      <c r="O4" s="1">
        <v>-0.192321063169263</v>
      </c>
      <c r="P4" s="1" t="s">
        <v>61</v>
      </c>
      <c r="Q4" s="1" t="s">
        <v>61</v>
      </c>
      <c r="R4" s="1">
        <f t="shared" si="1"/>
        <v>0.1205737373</v>
      </c>
      <c r="S4" s="1">
        <f t="shared" si="2"/>
        <v>-118</v>
      </c>
      <c r="T4" s="1">
        <f t="shared" si="3"/>
        <v>1.847457627</v>
      </c>
      <c r="U4" s="1">
        <f t="shared" si="4"/>
        <v>1</v>
      </c>
      <c r="V4" s="3">
        <f t="shared" si="5"/>
        <v>3</v>
      </c>
      <c r="W4" s="3">
        <f t="shared" si="6"/>
        <v>3</v>
      </c>
      <c r="X4" s="3" t="str">
        <f>IFERROR(__xludf.DUMMYFUNCTION("split(B4,"" "")"),"E.")</f>
        <v>E.</v>
      </c>
      <c r="Y4" s="3" t="str">
        <f>IFERROR(__xludf.DUMMYFUNCTION("""COMPUTED_VALUE"""),"Higgins")</f>
        <v>Higgins</v>
      </c>
      <c r="AA4" s="3">
        <v>0.0</v>
      </c>
      <c r="AB4" s="3">
        <f t="shared" si="7"/>
        <v>0</v>
      </c>
      <c r="AC4" s="3">
        <f t="shared" si="8"/>
        <v>0</v>
      </c>
      <c r="AD4" s="3">
        <f t="shared" si="9"/>
        <v>2.542372881</v>
      </c>
      <c r="AE4" s="3">
        <f t="shared" si="10"/>
        <v>-3</v>
      </c>
      <c r="AF4" s="3">
        <f t="shared" si="11"/>
        <v>-3</v>
      </c>
      <c r="AG4" s="3">
        <f t="shared" si="12"/>
        <v>-1</v>
      </c>
      <c r="AH4" s="1" t="s">
        <v>18</v>
      </c>
      <c r="AI4" s="3">
        <f t="shared" ref="AI4:AI7" si="13">COUNTIFS(C:C, "="&amp;AH4, AC:AC, "=1")</f>
        <v>86</v>
      </c>
      <c r="AJ4" s="3">
        <f t="shared" ref="AJ4:AJ7" si="14">countif(C:C, "="&amp;AH4)</f>
        <v>154</v>
      </c>
      <c r="AK4" s="3">
        <f t="shared" ref="AK4:AK7" si="15">AI4/AJ4</f>
        <v>0.5584415584</v>
      </c>
    </row>
    <row r="5">
      <c r="A5" s="1" t="s">
        <v>12</v>
      </c>
      <c r="B5" s="1" t="s">
        <v>233</v>
      </c>
      <c r="C5" s="1" t="s">
        <v>18</v>
      </c>
      <c r="D5" s="1" t="s">
        <v>105</v>
      </c>
      <c r="E5" s="1" t="s">
        <v>157</v>
      </c>
      <c r="F5" s="1" t="s">
        <v>608</v>
      </c>
      <c r="G5" s="1">
        <v>3.5</v>
      </c>
      <c r="H5" s="1" t="s">
        <v>60</v>
      </c>
      <c r="I5" s="1">
        <v>100.0</v>
      </c>
      <c r="J5" s="1">
        <v>-0.171499999999999</v>
      </c>
      <c r="K5" s="1" t="s">
        <v>61</v>
      </c>
      <c r="L5" s="1" t="s">
        <v>61</v>
      </c>
      <c r="M5" s="1" t="s">
        <v>62</v>
      </c>
      <c r="N5" s="1">
        <v>-130.0</v>
      </c>
      <c r="O5" s="1">
        <v>0.106282608695652</v>
      </c>
      <c r="P5" s="1" t="s">
        <v>61</v>
      </c>
      <c r="Q5" s="1" t="s">
        <v>61</v>
      </c>
      <c r="R5" s="1">
        <f t="shared" si="1"/>
        <v>0.1062826087</v>
      </c>
      <c r="S5" s="1">
        <f t="shared" si="2"/>
        <v>-130</v>
      </c>
      <c r="T5" s="1">
        <f t="shared" si="3"/>
        <v>1.769230769</v>
      </c>
      <c r="U5" s="1">
        <f t="shared" si="4"/>
        <v>0</v>
      </c>
      <c r="V5" s="3">
        <f t="shared" si="5"/>
        <v>3</v>
      </c>
      <c r="W5" s="3">
        <f t="shared" si="6"/>
        <v>3</v>
      </c>
      <c r="X5" s="3" t="str">
        <f>IFERROR(__xludf.DUMMYFUNCTION("split(B5,"" "")"),"M.")</f>
        <v>M.</v>
      </c>
      <c r="Y5" s="3" t="str">
        <f>IFERROR(__xludf.DUMMYFUNCTION("""COMPUTED_VALUE"""),"Wilson")</f>
        <v>Wilson</v>
      </c>
      <c r="AA5" s="3">
        <v>2.0</v>
      </c>
      <c r="AB5" s="3">
        <f t="shared" si="7"/>
        <v>0</v>
      </c>
      <c r="AC5" s="3">
        <f t="shared" si="8"/>
        <v>1</v>
      </c>
      <c r="AD5" s="3">
        <f t="shared" si="9"/>
        <v>2.307692308</v>
      </c>
      <c r="AE5" s="3">
        <f t="shared" si="10"/>
        <v>2.307692308</v>
      </c>
      <c r="AF5" s="3">
        <f t="shared" si="11"/>
        <v>2.307692308</v>
      </c>
      <c r="AG5" s="3">
        <f t="shared" si="12"/>
        <v>0.4285714286</v>
      </c>
      <c r="AH5" s="1" t="s">
        <v>19</v>
      </c>
      <c r="AI5" s="3">
        <f t="shared" si="13"/>
        <v>73</v>
      </c>
      <c r="AJ5" s="3">
        <f t="shared" si="14"/>
        <v>150</v>
      </c>
      <c r="AK5" s="3">
        <f t="shared" si="15"/>
        <v>0.4866666667</v>
      </c>
    </row>
    <row r="6">
      <c r="A6" s="1" t="s">
        <v>17</v>
      </c>
      <c r="B6" s="1" t="s">
        <v>204</v>
      </c>
      <c r="C6" s="1" t="s">
        <v>21</v>
      </c>
      <c r="D6" s="1" t="s">
        <v>105</v>
      </c>
      <c r="E6" s="1" t="s">
        <v>157</v>
      </c>
      <c r="F6" s="1" t="s">
        <v>608</v>
      </c>
      <c r="G6" s="1">
        <v>0.5</v>
      </c>
      <c r="H6" s="1" t="s">
        <v>60</v>
      </c>
      <c r="I6" s="1">
        <v>-131.0</v>
      </c>
      <c r="J6" s="1">
        <v>-0.127699567099567</v>
      </c>
      <c r="K6" s="1" t="s">
        <v>61</v>
      </c>
      <c r="L6" s="1" t="s">
        <v>61</v>
      </c>
      <c r="M6" s="1" t="s">
        <v>62</v>
      </c>
      <c r="N6" s="1">
        <v>100.0</v>
      </c>
      <c r="O6" s="1">
        <v>0.0605999999999999</v>
      </c>
      <c r="P6" s="1" t="s">
        <v>61</v>
      </c>
      <c r="Q6" s="1" t="s">
        <v>61</v>
      </c>
      <c r="R6" s="1">
        <f t="shared" si="1"/>
        <v>0.0606</v>
      </c>
      <c r="S6" s="1">
        <f t="shared" si="2"/>
        <v>100</v>
      </c>
      <c r="T6" s="1">
        <f t="shared" si="3"/>
        <v>2</v>
      </c>
      <c r="U6" s="1">
        <f t="shared" si="4"/>
        <v>0</v>
      </c>
      <c r="V6" s="3">
        <f t="shared" si="5"/>
        <v>2</v>
      </c>
      <c r="W6" s="3">
        <f t="shared" si="6"/>
        <v>2</v>
      </c>
      <c r="X6" s="3" t="str">
        <f>IFERROR(__xludf.DUMMYFUNCTION("split(B6,"" "")"),"K.")</f>
        <v>K.</v>
      </c>
      <c r="Y6" s="3" t="str">
        <f>IFERROR(__xludf.DUMMYFUNCTION("""COMPUTED_VALUE"""),"Murray")</f>
        <v>Murray</v>
      </c>
      <c r="AA6" s="3">
        <v>0.0</v>
      </c>
      <c r="AB6" s="3">
        <f t="shared" si="7"/>
        <v>0</v>
      </c>
      <c r="AC6" s="3">
        <f t="shared" si="8"/>
        <v>1</v>
      </c>
      <c r="AD6" s="3">
        <f t="shared" si="9"/>
        <v>2</v>
      </c>
      <c r="AE6" s="3">
        <f t="shared" si="10"/>
        <v>2</v>
      </c>
      <c r="AF6" s="3">
        <f t="shared" si="11"/>
        <v>2</v>
      </c>
      <c r="AG6" s="3">
        <f t="shared" si="12"/>
        <v>1</v>
      </c>
      <c r="AH6" s="1" t="s">
        <v>20</v>
      </c>
      <c r="AI6" s="3">
        <f t="shared" si="13"/>
        <v>27</v>
      </c>
      <c r="AJ6" s="3">
        <f t="shared" si="14"/>
        <v>59</v>
      </c>
      <c r="AK6" s="3">
        <f t="shared" si="15"/>
        <v>0.4576271186</v>
      </c>
    </row>
    <row r="7">
      <c r="A7" s="1" t="s">
        <v>11</v>
      </c>
      <c r="B7" s="1" t="s">
        <v>233</v>
      </c>
      <c r="C7" s="1" t="s">
        <v>18</v>
      </c>
      <c r="D7" s="1" t="s">
        <v>105</v>
      </c>
      <c r="E7" s="1" t="s">
        <v>157</v>
      </c>
      <c r="F7" s="1" t="s">
        <v>608</v>
      </c>
      <c r="G7" s="1">
        <v>38.5</v>
      </c>
      <c r="H7" s="1" t="s">
        <v>60</v>
      </c>
      <c r="I7" s="1">
        <v>-119.0</v>
      </c>
      <c r="J7" s="1">
        <v>-0.125450241589817</v>
      </c>
      <c r="K7" s="1" t="s">
        <v>61</v>
      </c>
      <c r="L7" s="1" t="s">
        <v>61</v>
      </c>
      <c r="M7" s="1" t="s">
        <v>62</v>
      </c>
      <c r="N7" s="1">
        <v>-109.0</v>
      </c>
      <c r="O7" s="1">
        <v>0.0605634976460159</v>
      </c>
      <c r="P7" s="1" t="s">
        <v>61</v>
      </c>
      <c r="Q7" s="1" t="s">
        <v>61</v>
      </c>
      <c r="R7" s="1">
        <f t="shared" si="1"/>
        <v>0.06056349765</v>
      </c>
      <c r="S7" s="1">
        <f t="shared" si="2"/>
        <v>-109</v>
      </c>
      <c r="T7" s="1">
        <f t="shared" si="3"/>
        <v>1.917431193</v>
      </c>
      <c r="U7" s="1">
        <f t="shared" si="4"/>
        <v>0</v>
      </c>
      <c r="V7" s="3">
        <f t="shared" si="5"/>
        <v>2</v>
      </c>
      <c r="W7" s="3">
        <f t="shared" si="6"/>
        <v>2</v>
      </c>
      <c r="X7" s="3" t="str">
        <f>IFERROR(__xludf.DUMMYFUNCTION("split(B7,"" "")"),"M.")</f>
        <v>M.</v>
      </c>
      <c r="Y7" s="3" t="str">
        <f>IFERROR(__xludf.DUMMYFUNCTION("""COMPUTED_VALUE"""),"Wilson")</f>
        <v>Wilson</v>
      </c>
      <c r="AA7" s="3">
        <v>21.0</v>
      </c>
      <c r="AB7" s="3">
        <f t="shared" si="7"/>
        <v>0</v>
      </c>
      <c r="AC7" s="3">
        <f t="shared" si="8"/>
        <v>1</v>
      </c>
      <c r="AD7" s="3">
        <f t="shared" si="9"/>
        <v>1.834862385</v>
      </c>
      <c r="AE7" s="3">
        <f t="shared" si="10"/>
        <v>1.834862385</v>
      </c>
      <c r="AF7" s="3">
        <f t="shared" si="11"/>
        <v>1.834862385</v>
      </c>
      <c r="AG7" s="3">
        <f t="shared" si="12"/>
        <v>0.4545454545</v>
      </c>
      <c r="AH7" s="1" t="s">
        <v>21</v>
      </c>
      <c r="AI7" s="3">
        <f t="shared" si="13"/>
        <v>62</v>
      </c>
      <c r="AJ7" s="3">
        <f t="shared" si="14"/>
        <v>140</v>
      </c>
      <c r="AK7" s="3">
        <f t="shared" si="15"/>
        <v>0.4428571429</v>
      </c>
    </row>
    <row r="8">
      <c r="A8" s="1" t="s">
        <v>10</v>
      </c>
      <c r="B8" s="1" t="s">
        <v>204</v>
      </c>
      <c r="C8" s="1" t="s">
        <v>21</v>
      </c>
      <c r="D8" s="1" t="s">
        <v>105</v>
      </c>
      <c r="E8" s="1" t="s">
        <v>157</v>
      </c>
      <c r="F8" s="1" t="s">
        <v>608</v>
      </c>
      <c r="G8" s="1">
        <v>33.5</v>
      </c>
      <c r="H8" s="1" t="s">
        <v>60</v>
      </c>
      <c r="I8" s="1">
        <v>-120.0</v>
      </c>
      <c r="J8" s="1">
        <v>-0.132496926049618</v>
      </c>
      <c r="K8" s="1" t="s">
        <v>61</v>
      </c>
      <c r="L8" s="1" t="s">
        <v>61</v>
      </c>
      <c r="M8" s="1" t="s">
        <v>62</v>
      </c>
      <c r="N8" s="1">
        <v>-112.0</v>
      </c>
      <c r="O8" s="1">
        <v>0.0587635970689902</v>
      </c>
      <c r="P8" s="1" t="s">
        <v>61</v>
      </c>
      <c r="Q8" s="1" t="s">
        <v>61</v>
      </c>
      <c r="R8" s="1">
        <f t="shared" si="1"/>
        <v>0.05876359707</v>
      </c>
      <c r="S8" s="1">
        <f t="shared" si="2"/>
        <v>-112</v>
      </c>
      <c r="T8" s="1">
        <f t="shared" si="3"/>
        <v>1.892857143</v>
      </c>
      <c r="U8" s="1">
        <f t="shared" si="4"/>
        <v>0</v>
      </c>
      <c r="V8" s="3">
        <f t="shared" si="5"/>
        <v>2</v>
      </c>
      <c r="W8" s="3">
        <f t="shared" si="6"/>
        <v>2</v>
      </c>
      <c r="X8" s="3" t="str">
        <f>IFERROR(__xludf.DUMMYFUNCTION("split(B8,"" "")"),"K.")</f>
        <v>K.</v>
      </c>
      <c r="Y8" s="3" t="str">
        <f>IFERROR(__xludf.DUMMYFUNCTION("""COMPUTED_VALUE"""),"Murray")</f>
        <v>Murray</v>
      </c>
      <c r="AA8" s="3">
        <v>14.0</v>
      </c>
      <c r="AB8" s="3">
        <f t="shared" si="7"/>
        <v>0</v>
      </c>
      <c r="AC8" s="3">
        <f t="shared" si="8"/>
        <v>1</v>
      </c>
      <c r="AD8" s="3">
        <f t="shared" si="9"/>
        <v>1.785714286</v>
      </c>
      <c r="AE8" s="3">
        <f t="shared" si="10"/>
        <v>1.785714286</v>
      </c>
      <c r="AF8" s="3">
        <f t="shared" si="11"/>
        <v>1.785714286</v>
      </c>
      <c r="AG8" s="3">
        <f t="shared" si="12"/>
        <v>0.5820895522</v>
      </c>
    </row>
    <row r="9">
      <c r="A9" s="1" t="s">
        <v>12</v>
      </c>
      <c r="B9" s="1" t="s">
        <v>349</v>
      </c>
      <c r="C9" s="1" t="s">
        <v>20</v>
      </c>
      <c r="D9" s="1" t="s">
        <v>105</v>
      </c>
      <c r="E9" s="1" t="s">
        <v>157</v>
      </c>
      <c r="F9" s="1" t="s">
        <v>608</v>
      </c>
      <c r="G9" s="1">
        <v>5.5</v>
      </c>
      <c r="H9" s="1" t="s">
        <v>60</v>
      </c>
      <c r="I9" s="1">
        <v>108.0</v>
      </c>
      <c r="J9" s="1">
        <v>0.0536269230769231</v>
      </c>
      <c r="K9" s="1" t="s">
        <v>61</v>
      </c>
      <c r="L9" s="1" t="s">
        <v>61</v>
      </c>
      <c r="M9" s="1" t="s">
        <v>62</v>
      </c>
      <c r="N9" s="1">
        <v>-142.0</v>
      </c>
      <c r="O9" s="1">
        <v>-0.121159504132231</v>
      </c>
      <c r="P9" s="1" t="s">
        <v>61</v>
      </c>
      <c r="Q9" s="1" t="s">
        <v>61</v>
      </c>
      <c r="R9" s="1">
        <f t="shared" si="1"/>
        <v>0.05362692308</v>
      </c>
      <c r="S9" s="1">
        <f t="shared" si="2"/>
        <v>108</v>
      </c>
      <c r="T9" s="1">
        <f t="shared" si="3"/>
        <v>2.08</v>
      </c>
      <c r="U9" s="1">
        <f t="shared" si="4"/>
        <v>1</v>
      </c>
      <c r="V9" s="3">
        <f t="shared" si="5"/>
        <v>2</v>
      </c>
      <c r="W9" s="3">
        <f t="shared" si="6"/>
        <v>2</v>
      </c>
      <c r="X9" s="3" t="str">
        <f>IFERROR(__xludf.DUMMYFUNCTION("split(B9,"" "")"),"T.")</f>
        <v>T.</v>
      </c>
      <c r="Y9" s="3" t="str">
        <f>IFERROR(__xludf.DUMMYFUNCTION("""COMPUTED_VALUE"""),"McBride")</f>
        <v>McBride</v>
      </c>
      <c r="AA9" s="3">
        <v>8.0</v>
      </c>
      <c r="AB9" s="3">
        <f t="shared" si="7"/>
        <v>1</v>
      </c>
      <c r="AC9" s="3">
        <f t="shared" si="8"/>
        <v>1</v>
      </c>
      <c r="AD9" s="3">
        <f t="shared" si="9"/>
        <v>2.16</v>
      </c>
      <c r="AE9" s="3">
        <f t="shared" si="10"/>
        <v>2.16</v>
      </c>
      <c r="AF9" s="3">
        <f t="shared" si="11"/>
        <v>2.16</v>
      </c>
      <c r="AG9" s="3">
        <f t="shared" si="12"/>
        <v>0.4545454545</v>
      </c>
    </row>
    <row r="10">
      <c r="A10" s="1" t="s">
        <v>9</v>
      </c>
      <c r="B10" s="1" t="s">
        <v>345</v>
      </c>
      <c r="C10" s="1" t="s">
        <v>19</v>
      </c>
      <c r="D10" s="1" t="s">
        <v>105</v>
      </c>
      <c r="E10" s="1" t="s">
        <v>157</v>
      </c>
      <c r="F10" s="1" t="s">
        <v>608</v>
      </c>
      <c r="G10" s="1">
        <v>83.5</v>
      </c>
      <c r="H10" s="1" t="s">
        <v>60</v>
      </c>
      <c r="I10" s="1">
        <v>-119.0</v>
      </c>
      <c r="J10" s="1">
        <v>-0.124949511731843</v>
      </c>
      <c r="K10" s="1" t="s">
        <v>61</v>
      </c>
      <c r="L10" s="1" t="s">
        <v>61</v>
      </c>
      <c r="M10" s="1" t="s">
        <v>62</v>
      </c>
      <c r="N10" s="1">
        <v>-114.0</v>
      </c>
      <c r="O10" s="1">
        <v>0.0488886499951961</v>
      </c>
      <c r="P10" s="1" t="s">
        <v>61</v>
      </c>
      <c r="Q10" s="1" t="s">
        <v>61</v>
      </c>
      <c r="R10" s="1">
        <f t="shared" si="1"/>
        <v>0.04888865</v>
      </c>
      <c r="S10" s="1">
        <f t="shared" si="2"/>
        <v>-114</v>
      </c>
      <c r="T10" s="1">
        <f t="shared" si="3"/>
        <v>1.877192982</v>
      </c>
      <c r="U10" s="1">
        <f t="shared" si="4"/>
        <v>0</v>
      </c>
      <c r="V10" s="3">
        <f t="shared" si="5"/>
        <v>1</v>
      </c>
      <c r="W10" s="3">
        <f t="shared" si="6"/>
        <v>2</v>
      </c>
      <c r="X10" s="3" t="str">
        <f>IFERROR(__xludf.DUMMYFUNCTION("split(B10,"" "")"),"J.")</f>
        <v>J.</v>
      </c>
      <c r="Y10" s="3" t="str">
        <f>IFERROR(__xludf.DUMMYFUNCTION("""COMPUTED_VALUE"""),"Conner")</f>
        <v>Conner</v>
      </c>
      <c r="AA10" s="3">
        <v>46.0</v>
      </c>
      <c r="AB10" s="3">
        <f t="shared" si="7"/>
        <v>0</v>
      </c>
      <c r="AC10" s="3">
        <f t="shared" si="8"/>
        <v>1</v>
      </c>
      <c r="AD10" s="3">
        <f t="shared" si="9"/>
        <v>0.8771929825</v>
      </c>
      <c r="AE10" s="3">
        <f t="shared" si="10"/>
        <v>0.8771929825</v>
      </c>
      <c r="AF10" s="3">
        <f t="shared" si="11"/>
        <v>1.754385965</v>
      </c>
      <c r="AG10" s="3">
        <f t="shared" si="12"/>
        <v>0.4491017964</v>
      </c>
    </row>
    <row r="11">
      <c r="A11" s="1" t="s">
        <v>12</v>
      </c>
      <c r="B11" s="1" t="s">
        <v>345</v>
      </c>
      <c r="C11" s="1" t="s">
        <v>19</v>
      </c>
      <c r="D11" s="1" t="s">
        <v>105</v>
      </c>
      <c r="E11" s="1" t="s">
        <v>157</v>
      </c>
      <c r="F11" s="1" t="s">
        <v>608</v>
      </c>
      <c r="G11" s="1">
        <v>2.5</v>
      </c>
      <c r="H11" s="1" t="s">
        <v>60</v>
      </c>
      <c r="I11" s="1">
        <v>145.0</v>
      </c>
      <c r="J11" s="1">
        <v>-0.114098332057142</v>
      </c>
      <c r="K11" s="1" t="s">
        <v>61</v>
      </c>
      <c r="L11" s="1" t="s">
        <v>61</v>
      </c>
      <c r="M11" s="1" t="s">
        <v>62</v>
      </c>
      <c r="N11" s="1">
        <v>-192.0</v>
      </c>
      <c r="O11" s="1">
        <v>0.0483936121863013</v>
      </c>
      <c r="P11" s="1" t="s">
        <v>61</v>
      </c>
      <c r="Q11" s="1" t="s">
        <v>61</v>
      </c>
      <c r="R11" s="1">
        <f t="shared" si="1"/>
        <v>0.04839361219</v>
      </c>
      <c r="S11" s="1">
        <f t="shared" si="2"/>
        <v>-192</v>
      </c>
      <c r="T11" s="1">
        <f t="shared" si="3"/>
        <v>1.520833333</v>
      </c>
      <c r="U11" s="1">
        <f t="shared" si="4"/>
        <v>0</v>
      </c>
      <c r="V11" s="3">
        <f t="shared" si="5"/>
        <v>1</v>
      </c>
      <c r="W11" s="3">
        <f t="shared" si="6"/>
        <v>3</v>
      </c>
      <c r="X11" s="3" t="str">
        <f>IFERROR(__xludf.DUMMYFUNCTION("split(B11,"" "")"),"J.")</f>
        <v>J.</v>
      </c>
      <c r="Y11" s="3" t="str">
        <f>IFERROR(__xludf.DUMMYFUNCTION("""COMPUTED_VALUE"""),"Conner")</f>
        <v>Conner</v>
      </c>
      <c r="AA11" s="3">
        <v>4.0</v>
      </c>
      <c r="AB11" s="3">
        <f t="shared" si="7"/>
        <v>1</v>
      </c>
      <c r="AC11" s="3">
        <f t="shared" si="8"/>
        <v>0</v>
      </c>
      <c r="AD11" s="3">
        <f t="shared" si="9"/>
        <v>0.5208333333</v>
      </c>
      <c r="AE11" s="3">
        <f t="shared" si="10"/>
        <v>-1</v>
      </c>
      <c r="AF11" s="3">
        <f t="shared" si="11"/>
        <v>-3</v>
      </c>
      <c r="AG11" s="3">
        <f t="shared" si="12"/>
        <v>-0.6</v>
      </c>
      <c r="AH11" s="1" t="s">
        <v>209</v>
      </c>
      <c r="AI11" s="3">
        <f>COUNTIFs(AC:AC, "=1", AB:AB, "=0")</f>
        <v>180</v>
      </c>
      <c r="AJ11" s="3">
        <f>countif(AB:AB, "=0")</f>
        <v>261</v>
      </c>
      <c r="AK11" s="3">
        <f t="shared" ref="AK11:AK12" si="16">AI11/AJ11</f>
        <v>0.6896551724</v>
      </c>
      <c r="AL11" s="3">
        <f>sumifs(AE:AE,U:U, "=0")</f>
        <v>-27.79003419</v>
      </c>
    </row>
    <row r="12">
      <c r="A12" s="1" t="s">
        <v>8</v>
      </c>
      <c r="B12" s="1" t="s">
        <v>345</v>
      </c>
      <c r="C12" s="1" t="s">
        <v>19</v>
      </c>
      <c r="D12" s="1" t="s">
        <v>105</v>
      </c>
      <c r="E12" s="1" t="s">
        <v>157</v>
      </c>
      <c r="F12" s="1" t="s">
        <v>608</v>
      </c>
      <c r="G12" s="1">
        <v>16.5</v>
      </c>
      <c r="H12" s="1" t="s">
        <v>60</v>
      </c>
      <c r="I12" s="1">
        <v>-127.0</v>
      </c>
      <c r="J12" s="1">
        <v>-0.113646867709251</v>
      </c>
      <c r="K12" s="1" t="s">
        <v>61</v>
      </c>
      <c r="L12" s="1" t="s">
        <v>61</v>
      </c>
      <c r="M12" s="1" t="s">
        <v>62</v>
      </c>
      <c r="N12" s="1">
        <v>-104.0</v>
      </c>
      <c r="O12" s="1">
        <v>0.0443991790627451</v>
      </c>
      <c r="P12" s="1" t="s">
        <v>61</v>
      </c>
      <c r="Q12" s="1" t="s">
        <v>61</v>
      </c>
      <c r="R12" s="1">
        <f t="shared" si="1"/>
        <v>0.04439917906</v>
      </c>
      <c r="S12" s="1">
        <f t="shared" si="2"/>
        <v>-104</v>
      </c>
      <c r="T12" s="1">
        <f t="shared" si="3"/>
        <v>1.961538462</v>
      </c>
      <c r="U12" s="1">
        <f t="shared" si="4"/>
        <v>0</v>
      </c>
      <c r="V12" s="3">
        <f t="shared" si="5"/>
        <v>1</v>
      </c>
      <c r="W12" s="3">
        <f t="shared" si="6"/>
        <v>2</v>
      </c>
      <c r="X12" s="3" t="str">
        <f>IFERROR(__xludf.DUMMYFUNCTION("split(B12,"" "")"),"J.")</f>
        <v>J.</v>
      </c>
      <c r="Y12" s="3" t="str">
        <f>IFERROR(__xludf.DUMMYFUNCTION("""COMPUTED_VALUE"""),"Conner")</f>
        <v>Conner</v>
      </c>
      <c r="AA12" s="3">
        <v>7.0</v>
      </c>
      <c r="AB12" s="3">
        <f t="shared" si="7"/>
        <v>0</v>
      </c>
      <c r="AC12" s="3">
        <f t="shared" si="8"/>
        <v>1</v>
      </c>
      <c r="AD12" s="3">
        <f t="shared" si="9"/>
        <v>0.9615384615</v>
      </c>
      <c r="AE12" s="3">
        <f t="shared" si="10"/>
        <v>0.9615384615</v>
      </c>
      <c r="AF12" s="3">
        <f t="shared" si="11"/>
        <v>1.923076923</v>
      </c>
      <c r="AG12" s="3">
        <f t="shared" si="12"/>
        <v>0.5757575758</v>
      </c>
      <c r="AH12" s="1" t="s">
        <v>206</v>
      </c>
      <c r="AI12" s="3">
        <f>COUNTIFs(AC:AC, "=1", AB:AB, "=1")</f>
        <v>68</v>
      </c>
      <c r="AJ12" s="3">
        <f>countif(AB:AB, "=1")</f>
        <v>242</v>
      </c>
      <c r="AK12" s="3">
        <f t="shared" si="16"/>
        <v>0.2809917355</v>
      </c>
      <c r="AL12" s="3">
        <f>sumifs(AE:AE,U:U, "=1")</f>
        <v>-25.23579838</v>
      </c>
    </row>
    <row r="13">
      <c r="A13" s="1" t="s">
        <v>9</v>
      </c>
      <c r="B13" s="1" t="s">
        <v>451</v>
      </c>
      <c r="C13" s="1" t="s">
        <v>18</v>
      </c>
      <c r="D13" s="1" t="s">
        <v>105</v>
      </c>
      <c r="E13" s="1" t="s">
        <v>157</v>
      </c>
      <c r="F13" s="1" t="s">
        <v>608</v>
      </c>
      <c r="G13" s="1">
        <v>24.5</v>
      </c>
      <c r="H13" s="1" t="s">
        <v>60</v>
      </c>
      <c r="I13" s="1">
        <v>-120.0</v>
      </c>
      <c r="J13" s="1">
        <v>0.0440982356525854</v>
      </c>
      <c r="K13" s="1" t="s">
        <v>61</v>
      </c>
      <c r="L13" s="1" t="s">
        <v>61</v>
      </c>
      <c r="M13" s="1" t="s">
        <v>62</v>
      </c>
      <c r="N13" s="1">
        <v>-113.0</v>
      </c>
      <c r="O13" s="1">
        <v>-0.120044607433017</v>
      </c>
      <c r="P13" s="1" t="s">
        <v>61</v>
      </c>
      <c r="Q13" s="1" t="s">
        <v>61</v>
      </c>
      <c r="R13" s="1">
        <f t="shared" si="1"/>
        <v>0.04409823565</v>
      </c>
      <c r="S13" s="1">
        <f t="shared" si="2"/>
        <v>-120</v>
      </c>
      <c r="T13" s="1">
        <f t="shared" si="3"/>
        <v>1.833333333</v>
      </c>
      <c r="U13" s="1">
        <f t="shared" si="4"/>
        <v>1</v>
      </c>
      <c r="V13" s="3">
        <f t="shared" si="5"/>
        <v>1</v>
      </c>
      <c r="W13" s="3">
        <f t="shared" si="6"/>
        <v>3</v>
      </c>
      <c r="X13" s="3" t="str">
        <f>IFERROR(__xludf.DUMMYFUNCTION("split(B13,"" "")"),"G.")</f>
        <v>G.</v>
      </c>
      <c r="Y13" s="3" t="str">
        <f>IFERROR(__xludf.DUMMYFUNCTION("""COMPUTED_VALUE"""),"Dortch")</f>
        <v>Dortch</v>
      </c>
      <c r="AA13" s="3">
        <v>36.0</v>
      </c>
      <c r="AB13" s="3">
        <f t="shared" si="7"/>
        <v>1</v>
      </c>
      <c r="AC13" s="3">
        <f t="shared" si="8"/>
        <v>1</v>
      </c>
      <c r="AD13" s="3">
        <f t="shared" si="9"/>
        <v>0.8333333333</v>
      </c>
      <c r="AE13" s="3">
        <f t="shared" si="10"/>
        <v>0.8333333333</v>
      </c>
      <c r="AF13" s="3">
        <f t="shared" si="11"/>
        <v>2.5</v>
      </c>
      <c r="AG13" s="3">
        <f t="shared" si="12"/>
        <v>0.4693877551</v>
      </c>
    </row>
    <row r="14">
      <c r="A14" s="1" t="s">
        <v>10</v>
      </c>
      <c r="B14" s="1" t="s">
        <v>345</v>
      </c>
      <c r="C14" s="1" t="s">
        <v>19</v>
      </c>
      <c r="D14" s="1" t="s">
        <v>105</v>
      </c>
      <c r="E14" s="1" t="s">
        <v>157</v>
      </c>
      <c r="F14" s="1" t="s">
        <v>608</v>
      </c>
      <c r="G14" s="1">
        <v>69.5</v>
      </c>
      <c r="H14" s="1" t="s">
        <v>60</v>
      </c>
      <c r="I14" s="1">
        <v>-115.0</v>
      </c>
      <c r="J14" s="1">
        <v>-0.104835544506069</v>
      </c>
      <c r="K14" s="1" t="s">
        <v>61</v>
      </c>
      <c r="L14" s="1" t="s">
        <v>61</v>
      </c>
      <c r="M14" s="1" t="s">
        <v>62</v>
      </c>
      <c r="N14" s="1">
        <v>-114.0</v>
      </c>
      <c r="O14" s="1">
        <v>0.0372331963616308</v>
      </c>
      <c r="P14" s="1" t="s">
        <v>61</v>
      </c>
      <c r="Q14" s="1" t="s">
        <v>61</v>
      </c>
      <c r="R14" s="1">
        <f t="shared" si="1"/>
        <v>0.03723319636</v>
      </c>
      <c r="S14" s="1">
        <f t="shared" si="2"/>
        <v>-114</v>
      </c>
      <c r="T14" s="1">
        <f t="shared" si="3"/>
        <v>1.877192982</v>
      </c>
      <c r="U14" s="1">
        <f t="shared" si="4"/>
        <v>0</v>
      </c>
      <c r="V14" s="3">
        <f t="shared" si="5"/>
        <v>1</v>
      </c>
      <c r="W14" s="3">
        <f t="shared" si="6"/>
        <v>2</v>
      </c>
      <c r="X14" s="3" t="str">
        <f>IFERROR(__xludf.DUMMYFUNCTION("split(B14,"" "")"),"J.")</f>
        <v>J.</v>
      </c>
      <c r="Y14" s="3" t="str">
        <f>IFERROR(__xludf.DUMMYFUNCTION("""COMPUTED_VALUE"""),"Conner")</f>
        <v>Conner</v>
      </c>
      <c r="AA14" s="3">
        <v>24.0</v>
      </c>
      <c r="AB14" s="3">
        <f t="shared" si="7"/>
        <v>0</v>
      </c>
      <c r="AC14" s="3">
        <f t="shared" si="8"/>
        <v>1</v>
      </c>
      <c r="AD14" s="3">
        <f t="shared" si="9"/>
        <v>0.8771929825</v>
      </c>
      <c r="AE14" s="3">
        <f t="shared" si="10"/>
        <v>0.8771929825</v>
      </c>
      <c r="AF14" s="3">
        <f t="shared" si="11"/>
        <v>1.754385965</v>
      </c>
      <c r="AG14" s="3">
        <f t="shared" si="12"/>
        <v>0.654676259</v>
      </c>
    </row>
    <row r="15">
      <c r="A15" s="1" t="s">
        <v>11</v>
      </c>
      <c r="B15" s="1" t="s">
        <v>349</v>
      </c>
      <c r="C15" s="1" t="s">
        <v>20</v>
      </c>
      <c r="D15" s="1" t="s">
        <v>105</v>
      </c>
      <c r="E15" s="1" t="s">
        <v>157</v>
      </c>
      <c r="F15" s="1" t="s">
        <v>608</v>
      </c>
      <c r="G15" s="1">
        <v>50.5</v>
      </c>
      <c r="H15" s="1" t="s">
        <v>60</v>
      </c>
      <c r="I15" s="1">
        <v>-113.0</v>
      </c>
      <c r="J15" s="1">
        <v>-0.0870988885000984</v>
      </c>
      <c r="K15" s="1" t="s">
        <v>61</v>
      </c>
      <c r="L15" s="1" t="s">
        <v>61</v>
      </c>
      <c r="M15" s="1" t="s">
        <v>62</v>
      </c>
      <c r="N15" s="1">
        <v>-116.0</v>
      </c>
      <c r="O15" s="1">
        <v>0.0195856225193887</v>
      </c>
      <c r="P15" s="1" t="s">
        <v>61</v>
      </c>
      <c r="Q15" s="1" t="s">
        <v>61</v>
      </c>
      <c r="R15" s="1">
        <f t="shared" si="1"/>
        <v>0.01958562252</v>
      </c>
      <c r="S15" s="1">
        <f t="shared" si="2"/>
        <v>-116</v>
      </c>
      <c r="T15" s="1">
        <f t="shared" si="3"/>
        <v>1.862068966</v>
      </c>
      <c r="U15" s="1">
        <f t="shared" si="4"/>
        <v>0</v>
      </c>
      <c r="V15" s="3">
        <f t="shared" si="5"/>
        <v>1</v>
      </c>
      <c r="W15" s="3">
        <f t="shared" si="6"/>
        <v>2</v>
      </c>
      <c r="X15" s="3" t="str">
        <f>IFERROR(__xludf.DUMMYFUNCTION("split(B15,"" "")"),"T.")</f>
        <v>T.</v>
      </c>
      <c r="Y15" s="3" t="str">
        <f>IFERROR(__xludf.DUMMYFUNCTION("""COMPUTED_VALUE"""),"McBride")</f>
        <v>McBride</v>
      </c>
      <c r="AA15" s="3">
        <v>96.0</v>
      </c>
      <c r="AB15" s="3">
        <f t="shared" si="7"/>
        <v>1</v>
      </c>
      <c r="AC15" s="3">
        <f t="shared" si="8"/>
        <v>0</v>
      </c>
      <c r="AD15" s="3">
        <f t="shared" si="9"/>
        <v>0.8620689655</v>
      </c>
      <c r="AE15" s="3">
        <f t="shared" si="10"/>
        <v>-1</v>
      </c>
      <c r="AF15" s="3">
        <f t="shared" si="11"/>
        <v>-2</v>
      </c>
      <c r="AG15" s="3">
        <f t="shared" si="12"/>
        <v>-0.900990099</v>
      </c>
      <c r="AH15" s="1" t="s">
        <v>216</v>
      </c>
      <c r="AI15" s="3">
        <f>COUNTIFS(AC:AC, "=1",V:V, "=1")/COUNTIF(V:V, "=1")</f>
        <v>0.5072463768</v>
      </c>
      <c r="AJ15" s="3">
        <f>SUMIF(V:V, "=1", AE:AE)</f>
        <v>-15.98862629</v>
      </c>
      <c r="AK15" s="3">
        <f>AVERAGEIF(V:V, "=1",T:T)</f>
        <v>1.878322772</v>
      </c>
      <c r="AL15" s="7">
        <f t="shared" ref="AL15:AL16" si="17">if(AK15&gt;2, (AK15-1)/100, (-100/(AK15-1)))</f>
        <v>-113.8533614</v>
      </c>
    </row>
    <row r="16">
      <c r="A16" s="1" t="s">
        <v>11</v>
      </c>
      <c r="B16" s="1" t="s">
        <v>451</v>
      </c>
      <c r="C16" s="1" t="s">
        <v>18</v>
      </c>
      <c r="D16" s="1" t="s">
        <v>105</v>
      </c>
      <c r="E16" s="1" t="s">
        <v>157</v>
      </c>
      <c r="F16" s="1" t="s">
        <v>608</v>
      </c>
      <c r="G16" s="1">
        <v>23.5</v>
      </c>
      <c r="H16" s="1" t="s">
        <v>60</v>
      </c>
      <c r="I16" s="1">
        <v>-113.0</v>
      </c>
      <c r="J16" s="1">
        <v>-0.0853393861088591</v>
      </c>
      <c r="K16" s="1" t="s">
        <v>61</v>
      </c>
      <c r="L16" s="1" t="s">
        <v>61</v>
      </c>
      <c r="M16" s="1" t="s">
        <v>62</v>
      </c>
      <c r="N16" s="1">
        <v>-116.0</v>
      </c>
      <c r="O16" s="1">
        <v>0.0178036088878561</v>
      </c>
      <c r="P16" s="1" t="s">
        <v>61</v>
      </c>
      <c r="Q16" s="1" t="s">
        <v>61</v>
      </c>
      <c r="R16" s="1">
        <f t="shared" si="1"/>
        <v>0.01780360889</v>
      </c>
      <c r="S16" s="1">
        <f t="shared" si="2"/>
        <v>-116</v>
      </c>
      <c r="T16" s="1">
        <f t="shared" si="3"/>
        <v>1.862068966</v>
      </c>
      <c r="U16" s="1">
        <f t="shared" si="4"/>
        <v>0</v>
      </c>
      <c r="V16" s="3">
        <f t="shared" si="5"/>
        <v>1</v>
      </c>
      <c r="W16" s="3">
        <f t="shared" si="6"/>
        <v>2</v>
      </c>
      <c r="X16" s="3" t="str">
        <f>IFERROR(__xludf.DUMMYFUNCTION("split(B16,"" "")"),"G.")</f>
        <v>G.</v>
      </c>
      <c r="Y16" s="3" t="str">
        <f>IFERROR(__xludf.DUMMYFUNCTION("""COMPUTED_VALUE"""),"Dortch")</f>
        <v>Dortch</v>
      </c>
      <c r="AA16" s="3">
        <v>36.0</v>
      </c>
      <c r="AB16" s="3">
        <f t="shared" si="7"/>
        <v>1</v>
      </c>
      <c r="AC16" s="3">
        <f t="shared" si="8"/>
        <v>0</v>
      </c>
      <c r="AD16" s="3">
        <f t="shared" si="9"/>
        <v>0.8620689655</v>
      </c>
      <c r="AE16" s="3">
        <f t="shared" si="10"/>
        <v>-1</v>
      </c>
      <c r="AF16" s="3">
        <f t="shared" si="11"/>
        <v>-2</v>
      </c>
      <c r="AG16" s="3">
        <f t="shared" si="12"/>
        <v>-0.5319148936</v>
      </c>
      <c r="AH16" s="1" t="s">
        <v>219</v>
      </c>
      <c r="AI16" s="3">
        <f>COUNTIFS(AC:AC, "=1",V:V, "=2")/COUNTIF(V:V, "=2")</f>
        <v>0.487804878</v>
      </c>
      <c r="AJ16" s="3">
        <f>SUMIF(V:V, "=2", AE:AE)</f>
        <v>-17.70205888</v>
      </c>
      <c r="AK16" s="3">
        <f>AVERAGEIF(V:V, "=2",T:T)</f>
        <v>1.927182301</v>
      </c>
      <c r="AL16" s="7">
        <f t="shared" si="17"/>
        <v>-107.8536549</v>
      </c>
    </row>
    <row r="17">
      <c r="A17" s="1" t="s">
        <v>14</v>
      </c>
      <c r="B17" s="1" t="s">
        <v>204</v>
      </c>
      <c r="C17" s="1" t="s">
        <v>21</v>
      </c>
      <c r="D17" s="1" t="s">
        <v>105</v>
      </c>
      <c r="E17" s="1" t="s">
        <v>157</v>
      </c>
      <c r="F17" s="1" t="s">
        <v>608</v>
      </c>
      <c r="G17" s="1">
        <v>1.5</v>
      </c>
      <c r="H17" s="1" t="s">
        <v>60</v>
      </c>
      <c r="I17" s="1">
        <v>153.0</v>
      </c>
      <c r="J17" s="1">
        <v>0.0167430830039526</v>
      </c>
      <c r="K17" s="1" t="s">
        <v>61</v>
      </c>
      <c r="L17" s="1" t="s">
        <v>61</v>
      </c>
      <c r="M17" s="1" t="s">
        <v>62</v>
      </c>
      <c r="N17" s="1">
        <v>-201.0</v>
      </c>
      <c r="O17" s="1">
        <v>-0.0797740863787376</v>
      </c>
      <c r="P17" s="1" t="s">
        <v>61</v>
      </c>
      <c r="Q17" s="1" t="s">
        <v>61</v>
      </c>
      <c r="R17" s="1">
        <f t="shared" si="1"/>
        <v>0.016743083</v>
      </c>
      <c r="S17" s="1">
        <f t="shared" si="2"/>
        <v>153</v>
      </c>
      <c r="T17" s="1">
        <f t="shared" si="3"/>
        <v>2.53</v>
      </c>
      <c r="U17" s="1">
        <f t="shared" si="4"/>
        <v>1</v>
      </c>
      <c r="V17" s="3">
        <f t="shared" si="5"/>
        <v>1</v>
      </c>
      <c r="W17" s="3">
        <f t="shared" si="6"/>
        <v>1</v>
      </c>
      <c r="X17" s="3" t="str">
        <f>IFERROR(__xludf.DUMMYFUNCTION("split(B17,"" "")"),"K.")</f>
        <v>K.</v>
      </c>
      <c r="Y17" s="3" t="str">
        <f>IFERROR(__xludf.DUMMYFUNCTION("""COMPUTED_VALUE"""),"Murray")</f>
        <v>Murray</v>
      </c>
      <c r="AA17" s="3">
        <v>1.0</v>
      </c>
      <c r="AB17" s="3">
        <f t="shared" si="7"/>
        <v>0</v>
      </c>
      <c r="AC17" s="3">
        <f t="shared" si="8"/>
        <v>0</v>
      </c>
      <c r="AD17" s="3">
        <f t="shared" si="9"/>
        <v>1.53</v>
      </c>
      <c r="AE17" s="3">
        <f t="shared" si="10"/>
        <v>-1</v>
      </c>
      <c r="AF17" s="3">
        <f t="shared" si="11"/>
        <v>-1</v>
      </c>
      <c r="AG17" s="3">
        <f t="shared" si="12"/>
        <v>-0.3333333333</v>
      </c>
      <c r="AH17" s="1" t="s">
        <v>222</v>
      </c>
      <c r="AI17" s="3">
        <f>COUNTIFS(AC:AC, "=1",V:V, "=3")/COUNTIF(V:V, "=3")</f>
        <v>0.4615384615</v>
      </c>
      <c r="AJ17" s="3">
        <f>SUMIF(V:V, "=3", AE:AE)</f>
        <v>-19.3351474</v>
      </c>
      <c r="AK17" s="3">
        <f>AVERAGEIF(V:V, "=3",T:T)</f>
        <v>2.092234366</v>
      </c>
      <c r="AL17" s="7">
        <f>if(AK17&gt;2, (AK17-1)*100, (-100/(AK17-1)))</f>
        <v>109.2234366</v>
      </c>
    </row>
    <row r="18">
      <c r="A18" s="1" t="s">
        <v>11</v>
      </c>
      <c r="B18" s="1" t="s">
        <v>345</v>
      </c>
      <c r="C18" s="1" t="s">
        <v>19</v>
      </c>
      <c r="D18" s="1" t="s">
        <v>105</v>
      </c>
      <c r="E18" s="1" t="s">
        <v>157</v>
      </c>
      <c r="F18" s="1" t="s">
        <v>608</v>
      </c>
      <c r="G18" s="1">
        <v>10.5</v>
      </c>
      <c r="H18" s="1" t="s">
        <v>60</v>
      </c>
      <c r="I18" s="1">
        <v>-109.0</v>
      </c>
      <c r="J18" s="1">
        <v>0.0119603249045275</v>
      </c>
      <c r="K18" s="1" t="s">
        <v>61</v>
      </c>
      <c r="L18" s="1" t="s">
        <v>61</v>
      </c>
      <c r="M18" s="1" t="s">
        <v>62</v>
      </c>
      <c r="N18" s="1">
        <v>-118.0</v>
      </c>
      <c r="O18" s="1">
        <v>-0.0747484464585072</v>
      </c>
      <c r="P18" s="1" t="s">
        <v>61</v>
      </c>
      <c r="Q18" s="1" t="s">
        <v>61</v>
      </c>
      <c r="R18" s="1">
        <f t="shared" si="1"/>
        <v>0.0119603249</v>
      </c>
      <c r="S18" s="1">
        <f t="shared" si="2"/>
        <v>-109</v>
      </c>
      <c r="T18" s="1">
        <f t="shared" si="3"/>
        <v>1.917431193</v>
      </c>
      <c r="U18" s="1">
        <f t="shared" si="4"/>
        <v>1</v>
      </c>
      <c r="V18" s="3">
        <f t="shared" si="5"/>
        <v>1</v>
      </c>
      <c r="W18" s="3">
        <f t="shared" si="6"/>
        <v>2</v>
      </c>
      <c r="X18" s="3" t="str">
        <f>IFERROR(__xludf.DUMMYFUNCTION("split(B18,"" "")"),"J.")</f>
        <v>J.</v>
      </c>
      <c r="Y18" s="3" t="str">
        <f>IFERROR(__xludf.DUMMYFUNCTION("""COMPUTED_VALUE"""),"Conner")</f>
        <v>Conner</v>
      </c>
      <c r="AA18" s="3">
        <v>22.0</v>
      </c>
      <c r="AB18" s="3">
        <f t="shared" si="7"/>
        <v>1</v>
      </c>
      <c r="AC18" s="3">
        <f t="shared" si="8"/>
        <v>1</v>
      </c>
      <c r="AD18" s="3">
        <f t="shared" si="9"/>
        <v>0.9174311927</v>
      </c>
      <c r="AE18" s="3">
        <f t="shared" si="10"/>
        <v>0.9174311927</v>
      </c>
      <c r="AF18" s="3">
        <f t="shared" si="11"/>
        <v>1.834862385</v>
      </c>
      <c r="AG18" s="3">
        <f t="shared" si="12"/>
        <v>1.095238095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</row>
    <row r="19">
      <c r="A19" s="1" t="s">
        <v>12</v>
      </c>
      <c r="B19" s="1" t="s">
        <v>452</v>
      </c>
      <c r="C19" s="1" t="s">
        <v>18</v>
      </c>
      <c r="D19" s="1" t="s">
        <v>105</v>
      </c>
      <c r="E19" s="1" t="s">
        <v>157</v>
      </c>
      <c r="F19" s="1" t="s">
        <v>608</v>
      </c>
      <c r="G19" s="1">
        <v>4.5</v>
      </c>
      <c r="H19" s="1" t="s">
        <v>60</v>
      </c>
      <c r="I19" s="1">
        <v>104.0</v>
      </c>
      <c r="J19" s="1">
        <v>0.0116039215686274</v>
      </c>
      <c r="K19" s="1" t="s">
        <v>61</v>
      </c>
      <c r="L19" s="1" t="s">
        <v>61</v>
      </c>
      <c r="M19" s="1" t="s">
        <v>62</v>
      </c>
      <c r="N19" s="1">
        <v>-140.0</v>
      </c>
      <c r="O19" s="1">
        <v>-0.0851333333333332</v>
      </c>
      <c r="P19" s="1" t="s">
        <v>61</v>
      </c>
      <c r="Q19" s="1" t="s">
        <v>61</v>
      </c>
      <c r="R19" s="1">
        <f t="shared" si="1"/>
        <v>0.01160392157</v>
      </c>
      <c r="S19" s="1">
        <f t="shared" si="2"/>
        <v>104</v>
      </c>
      <c r="T19" s="1">
        <f t="shared" si="3"/>
        <v>2.04</v>
      </c>
      <c r="U19" s="1">
        <f t="shared" si="4"/>
        <v>1</v>
      </c>
      <c r="V19" s="3">
        <f t="shared" si="5"/>
        <v>1</v>
      </c>
      <c r="W19" s="3">
        <f t="shared" si="6"/>
        <v>2</v>
      </c>
      <c r="X19" s="3" t="str">
        <f>IFERROR(__xludf.DUMMYFUNCTION("split(B19,"" "")"),"M.")</f>
        <v>M.</v>
      </c>
      <c r="Y19" s="3" t="str">
        <f>IFERROR(__xludf.DUMMYFUNCTION("""COMPUTED_VALUE"""),"Harrison")</f>
        <v>Harrison</v>
      </c>
      <c r="Z19" s="3" t="str">
        <f>IFERROR(__xludf.DUMMYFUNCTION("""COMPUTED_VALUE"""),"Jr.")</f>
        <v>Jr.</v>
      </c>
      <c r="AA19" s="3">
        <v>0.0</v>
      </c>
      <c r="AB19" s="3">
        <f t="shared" si="7"/>
        <v>0</v>
      </c>
      <c r="AC19" s="3">
        <f t="shared" si="8"/>
        <v>0</v>
      </c>
      <c r="AD19" s="3">
        <f t="shared" si="9"/>
        <v>1.04</v>
      </c>
      <c r="AE19" s="3">
        <f t="shared" si="10"/>
        <v>-1</v>
      </c>
      <c r="AF19" s="3">
        <f t="shared" si="11"/>
        <v>-2</v>
      </c>
      <c r="AG19" s="3">
        <f t="shared" si="12"/>
        <v>-1</v>
      </c>
      <c r="AH19" s="1" t="s">
        <v>8</v>
      </c>
      <c r="AI19" s="3">
        <f t="shared" ref="AI19:AI21" si="18">COUNTIFs(A:A, "=" &amp; AH19, AC:AC, "=1")</f>
        <v>29</v>
      </c>
      <c r="AJ19" s="3">
        <f t="shared" ref="AJ19:AJ21" si="19">countif(A:A, "=" &amp; AH19)</f>
        <v>60</v>
      </c>
      <c r="AK19" s="3">
        <f t="shared" ref="AK19:AK21" si="20">AI19/AJ19</f>
        <v>0.4833333333</v>
      </c>
      <c r="AL19" s="3">
        <f t="shared" ref="AL19:AL21" si="21">SUMIFS(AE:AE, A:A,"=" &amp; AH19,AC:AC, "=1")</f>
        <v>48.74259754</v>
      </c>
      <c r="AM19" s="3">
        <f t="shared" ref="AM19:AM21" si="22">SUMIFS(AE:AE, A:A,"=" &amp; AH19,AC:AC, "=0")</f>
        <v>-72</v>
      </c>
      <c r="AN19" s="3">
        <f t="shared" ref="AN19:AN21" si="23">AL19+AM19</f>
        <v>-23.25740246</v>
      </c>
      <c r="AO19" s="4">
        <f t="shared" ref="AO19:AO21" si="24">IFERROR( countifs(A:A, "="&amp;AH19, U:U, "=1", AC:AC, "=1")/countifs(A:A, "="&amp;AH19, U:U, "=1"), 0)</f>
        <v>0.4</v>
      </c>
      <c r="AP19" s="4">
        <f t="shared" ref="AP19:AP21" si="25">IFERROR( countifs(A:A, "="&amp;AH19, U:U, "=0", AC:AC, "=1")/countifs(A:A, "="&amp;AH19, U:U, "=0"), 0)</f>
        <v>0.4909090909</v>
      </c>
      <c r="AQ19" s="5">
        <f t="shared" ref="AQ19:AQ21" si="26">iferror(IFS(AND(AP19 &gt; 0.5, AO19 &gt; 0.5), 1, AND(AP19 &lt;= 0.5, AO19 &lt;= 0.5), -1), 0)
</f>
        <v>-1</v>
      </c>
      <c r="AR19" s="5">
        <f t="shared" ref="AR19:AR21" si="27">if(AN19&lt;0, -1, 1)</f>
        <v>-1</v>
      </c>
    </row>
    <row r="20">
      <c r="A20" s="1" t="s">
        <v>16</v>
      </c>
      <c r="B20" s="1" t="s">
        <v>204</v>
      </c>
      <c r="C20" s="1" t="s">
        <v>21</v>
      </c>
      <c r="D20" s="1" t="s">
        <v>105</v>
      </c>
      <c r="E20" s="1" t="s">
        <v>157</v>
      </c>
      <c r="F20" s="1" t="s">
        <v>608</v>
      </c>
      <c r="G20" s="1">
        <v>31.5</v>
      </c>
      <c r="H20" s="1" t="s">
        <v>60</v>
      </c>
      <c r="I20" s="1">
        <v>-111.0</v>
      </c>
      <c r="J20" s="1">
        <v>-0.0743663507109003</v>
      </c>
      <c r="K20" s="1" t="s">
        <v>61</v>
      </c>
      <c r="L20" s="1" t="s">
        <v>61</v>
      </c>
      <c r="M20" s="1" t="s">
        <v>62</v>
      </c>
      <c r="N20" s="1">
        <v>-119.0</v>
      </c>
      <c r="O20" s="1">
        <v>0.00492100456621014</v>
      </c>
      <c r="P20" s="1" t="s">
        <v>61</v>
      </c>
      <c r="Q20" s="1" t="s">
        <v>61</v>
      </c>
      <c r="R20" s="1">
        <f t="shared" si="1"/>
        <v>0.004921004566</v>
      </c>
      <c r="S20" s="1">
        <f t="shared" si="2"/>
        <v>-119</v>
      </c>
      <c r="T20" s="1">
        <f t="shared" si="3"/>
        <v>1.840336134</v>
      </c>
      <c r="U20" s="1">
        <f t="shared" si="4"/>
        <v>0</v>
      </c>
      <c r="V20" s="3">
        <f t="shared" si="5"/>
        <v>1</v>
      </c>
      <c r="W20" s="3">
        <f t="shared" si="6"/>
        <v>3</v>
      </c>
      <c r="X20" s="3" t="str">
        <f>IFERROR(__xludf.DUMMYFUNCTION("split(B20,"" "")"),"K.")</f>
        <v>K.</v>
      </c>
      <c r="Y20" s="3" t="str">
        <f>IFERROR(__xludf.DUMMYFUNCTION("""COMPUTED_VALUE"""),"Murray")</f>
        <v>Murray</v>
      </c>
      <c r="AA20" s="3">
        <v>32.0</v>
      </c>
      <c r="AB20" s="3">
        <f t="shared" si="7"/>
        <v>1</v>
      </c>
      <c r="AC20" s="3">
        <f t="shared" si="8"/>
        <v>0</v>
      </c>
      <c r="AD20" s="3">
        <f t="shared" si="9"/>
        <v>0.8403361345</v>
      </c>
      <c r="AE20" s="3">
        <f t="shared" si="10"/>
        <v>-1</v>
      </c>
      <c r="AF20" s="3">
        <f t="shared" si="11"/>
        <v>-3</v>
      </c>
      <c r="AG20" s="3">
        <f t="shared" si="12"/>
        <v>-0.01587301587</v>
      </c>
      <c r="AH20" s="1" t="s">
        <v>9</v>
      </c>
      <c r="AI20" s="3">
        <f t="shared" si="18"/>
        <v>29</v>
      </c>
      <c r="AJ20" s="3">
        <f t="shared" si="19"/>
        <v>69</v>
      </c>
      <c r="AK20" s="3">
        <f t="shared" si="20"/>
        <v>0.4202898551</v>
      </c>
      <c r="AL20" s="3">
        <f t="shared" si="21"/>
        <v>38.2311604</v>
      </c>
      <c r="AM20" s="3">
        <f t="shared" si="22"/>
        <v>-56</v>
      </c>
      <c r="AN20" s="3">
        <f t="shared" si="23"/>
        <v>-17.7688396</v>
      </c>
      <c r="AO20" s="4">
        <f t="shared" si="24"/>
        <v>0.4081632653</v>
      </c>
      <c r="AP20" s="4">
        <f t="shared" si="25"/>
        <v>0.45</v>
      </c>
      <c r="AQ20" s="5">
        <f t="shared" si="26"/>
        <v>-1</v>
      </c>
      <c r="AR20" s="5">
        <f t="shared" si="27"/>
        <v>-1</v>
      </c>
    </row>
    <row r="21">
      <c r="A21" s="1" t="s">
        <v>10</v>
      </c>
      <c r="B21" s="1" t="s">
        <v>328</v>
      </c>
      <c r="C21" s="1" t="s">
        <v>21</v>
      </c>
      <c r="D21" s="1" t="s">
        <v>109</v>
      </c>
      <c r="E21" s="1" t="s">
        <v>57</v>
      </c>
      <c r="F21" s="1" t="s">
        <v>610</v>
      </c>
      <c r="G21" s="1">
        <v>0.5</v>
      </c>
      <c r="H21" s="1" t="s">
        <v>60</v>
      </c>
      <c r="I21" s="1">
        <v>152.0</v>
      </c>
      <c r="J21" s="1">
        <v>0.251941352070605</v>
      </c>
      <c r="K21" s="1" t="s">
        <v>61</v>
      </c>
      <c r="L21" s="1" t="s">
        <v>61</v>
      </c>
      <c r="M21" s="1" t="s">
        <v>62</v>
      </c>
      <c r="N21" s="1">
        <v>-202.0</v>
      </c>
      <c r="O21" s="1">
        <v>-0.317615514681041</v>
      </c>
      <c r="P21" s="1" t="s">
        <v>61</v>
      </c>
      <c r="Q21" s="1" t="s">
        <v>61</v>
      </c>
      <c r="R21" s="1">
        <f t="shared" si="1"/>
        <v>0.2519413521</v>
      </c>
      <c r="S21" s="1">
        <f t="shared" si="2"/>
        <v>152</v>
      </c>
      <c r="T21" s="1">
        <f t="shared" si="3"/>
        <v>2.52</v>
      </c>
      <c r="U21" s="1">
        <f t="shared" si="4"/>
        <v>1</v>
      </c>
      <c r="V21" s="3">
        <f t="shared" si="5"/>
        <v>3</v>
      </c>
      <c r="W21" s="3">
        <f t="shared" si="6"/>
        <v>1</v>
      </c>
      <c r="X21" s="3" t="str">
        <f>IFERROR(__xludf.DUMMYFUNCTION("split(B21,"" "")"),"K.")</f>
        <v>K.</v>
      </c>
      <c r="Y21" s="3" t="str">
        <f>IFERROR(__xludf.DUMMYFUNCTION("""COMPUTED_VALUE"""),"Cousins")</f>
        <v>Cousins</v>
      </c>
      <c r="AA21" s="3">
        <v>-5.0</v>
      </c>
      <c r="AB21" s="3">
        <f t="shared" si="7"/>
        <v>0</v>
      </c>
      <c r="AC21" s="3">
        <f t="shared" si="8"/>
        <v>0</v>
      </c>
      <c r="AD21" s="3">
        <f t="shared" si="9"/>
        <v>4.56</v>
      </c>
      <c r="AE21" s="3">
        <f t="shared" si="10"/>
        <v>-3</v>
      </c>
      <c r="AF21" s="3">
        <f t="shared" si="11"/>
        <v>-1</v>
      </c>
      <c r="AG21" s="3">
        <f t="shared" si="12"/>
        <v>-11</v>
      </c>
      <c r="AH21" s="1" t="s">
        <v>10</v>
      </c>
      <c r="AI21" s="3">
        <f t="shared" si="18"/>
        <v>26</v>
      </c>
      <c r="AJ21" s="3">
        <f t="shared" si="19"/>
        <v>54</v>
      </c>
      <c r="AK21" s="3">
        <f t="shared" si="20"/>
        <v>0.4814814815</v>
      </c>
      <c r="AL21" s="3">
        <f t="shared" si="21"/>
        <v>29.40720417</v>
      </c>
      <c r="AM21" s="3">
        <f t="shared" si="22"/>
        <v>-35</v>
      </c>
      <c r="AN21" s="3">
        <f t="shared" si="23"/>
        <v>-5.59279583</v>
      </c>
      <c r="AO21" s="4">
        <f t="shared" si="24"/>
        <v>0.5</v>
      </c>
      <c r="AP21" s="4">
        <f t="shared" si="25"/>
        <v>0.4772727273</v>
      </c>
      <c r="AQ21" s="5">
        <f t="shared" si="26"/>
        <v>-1</v>
      </c>
      <c r="AR21" s="5">
        <f t="shared" si="27"/>
        <v>-1</v>
      </c>
    </row>
    <row r="22">
      <c r="A22" s="1" t="s">
        <v>8</v>
      </c>
      <c r="B22" s="1" t="s">
        <v>202</v>
      </c>
      <c r="C22" s="1" t="s">
        <v>19</v>
      </c>
      <c r="D22" s="1" t="s">
        <v>109</v>
      </c>
      <c r="E22" s="1" t="s">
        <v>57</v>
      </c>
      <c r="F22" s="1" t="s">
        <v>610</v>
      </c>
      <c r="G22" s="1">
        <v>9.5</v>
      </c>
      <c r="H22" s="1" t="s">
        <v>60</v>
      </c>
      <c r="I22" s="1">
        <v>-104.0</v>
      </c>
      <c r="J22" s="1">
        <v>-0.207053214274236</v>
      </c>
      <c r="K22" s="1" t="s">
        <v>61</v>
      </c>
      <c r="L22" s="1" t="s">
        <v>61</v>
      </c>
      <c r="M22" s="1" t="s">
        <v>62</v>
      </c>
      <c r="N22" s="1">
        <v>-127.0</v>
      </c>
      <c r="O22" s="1">
        <v>0.137770761031582</v>
      </c>
      <c r="P22" s="1" t="s">
        <v>61</v>
      </c>
      <c r="Q22" s="1" t="s">
        <v>61</v>
      </c>
      <c r="R22" s="1">
        <f t="shared" si="1"/>
        <v>0.137770761</v>
      </c>
      <c r="S22" s="1">
        <f t="shared" si="2"/>
        <v>-127</v>
      </c>
      <c r="T22" s="1">
        <f t="shared" si="3"/>
        <v>1.787401575</v>
      </c>
      <c r="U22" s="1">
        <f t="shared" si="4"/>
        <v>0</v>
      </c>
      <c r="V22" s="3">
        <f t="shared" si="5"/>
        <v>3</v>
      </c>
      <c r="W22" s="3">
        <f t="shared" si="6"/>
        <v>3</v>
      </c>
      <c r="X22" s="3" t="str">
        <f>IFERROR(__xludf.DUMMYFUNCTION("split(B22,"" "")"),"T.")</f>
        <v>T.</v>
      </c>
      <c r="Y22" s="3" t="str">
        <f>IFERROR(__xludf.DUMMYFUNCTION("""COMPUTED_VALUE"""),"Allgeier")</f>
        <v>Allgeier</v>
      </c>
      <c r="AA22" s="3">
        <v>18.0</v>
      </c>
      <c r="AB22" s="3">
        <f t="shared" si="7"/>
        <v>1</v>
      </c>
      <c r="AC22" s="3">
        <f t="shared" si="8"/>
        <v>0</v>
      </c>
      <c r="AD22" s="3">
        <f t="shared" si="9"/>
        <v>2.362204724</v>
      </c>
      <c r="AE22" s="3">
        <f t="shared" si="10"/>
        <v>-3</v>
      </c>
      <c r="AF22" s="3">
        <f t="shared" si="11"/>
        <v>-3</v>
      </c>
      <c r="AG22" s="3">
        <f t="shared" si="12"/>
        <v>-0.8947368421</v>
      </c>
      <c r="AO22" s="4"/>
      <c r="AP22" s="4"/>
      <c r="AQ22" s="5"/>
      <c r="AR22" s="5"/>
    </row>
    <row r="23">
      <c r="A23" s="1" t="s">
        <v>11</v>
      </c>
      <c r="B23" s="1" t="s">
        <v>202</v>
      </c>
      <c r="C23" s="1" t="s">
        <v>19</v>
      </c>
      <c r="D23" s="1" t="s">
        <v>109</v>
      </c>
      <c r="E23" s="1" t="s">
        <v>57</v>
      </c>
      <c r="F23" s="1" t="s">
        <v>610</v>
      </c>
      <c r="G23" s="1">
        <v>5.5</v>
      </c>
      <c r="H23" s="1" t="s">
        <v>60</v>
      </c>
      <c r="I23" s="1">
        <v>-122.0</v>
      </c>
      <c r="J23" s="1">
        <v>0.0673566958537391</v>
      </c>
      <c r="K23" s="1" t="s">
        <v>61</v>
      </c>
      <c r="L23" s="1" t="s">
        <v>61</v>
      </c>
      <c r="M23" s="1" t="s">
        <v>62</v>
      </c>
      <c r="N23" s="1">
        <v>-106.0</v>
      </c>
      <c r="O23" s="1">
        <v>-0.131427542079135</v>
      </c>
      <c r="P23" s="1" t="s">
        <v>61</v>
      </c>
      <c r="Q23" s="1" t="s">
        <v>61</v>
      </c>
      <c r="R23" s="1">
        <f t="shared" si="1"/>
        <v>0.06735669585</v>
      </c>
      <c r="S23" s="1">
        <f t="shared" si="2"/>
        <v>-122</v>
      </c>
      <c r="T23" s="1">
        <f t="shared" si="3"/>
        <v>1.819672131</v>
      </c>
      <c r="U23" s="1">
        <f t="shared" si="4"/>
        <v>1</v>
      </c>
      <c r="V23" s="3">
        <f t="shared" si="5"/>
        <v>2</v>
      </c>
      <c r="W23" s="3">
        <f t="shared" si="6"/>
        <v>3</v>
      </c>
      <c r="X23" s="3" t="str">
        <f>IFERROR(__xludf.DUMMYFUNCTION("split(B23,"" "")"),"T.")</f>
        <v>T.</v>
      </c>
      <c r="Y23" s="3" t="str">
        <f>IFERROR(__xludf.DUMMYFUNCTION("""COMPUTED_VALUE"""),"Allgeier")</f>
        <v>Allgeier</v>
      </c>
      <c r="AA23" s="3">
        <v>3.0</v>
      </c>
      <c r="AB23" s="3">
        <f t="shared" si="7"/>
        <v>0</v>
      </c>
      <c r="AC23" s="3">
        <f t="shared" si="8"/>
        <v>0</v>
      </c>
      <c r="AD23" s="3">
        <f t="shared" si="9"/>
        <v>1.639344262</v>
      </c>
      <c r="AE23" s="3">
        <f t="shared" si="10"/>
        <v>-2</v>
      </c>
      <c r="AF23" s="3">
        <f t="shared" si="11"/>
        <v>-3</v>
      </c>
      <c r="AG23" s="3">
        <f t="shared" si="12"/>
        <v>-0.4545454545</v>
      </c>
      <c r="AH23" s="1" t="s">
        <v>11</v>
      </c>
      <c r="AI23" s="3">
        <f t="shared" ref="AI23:AI24" si="28">COUNTIFs(A:A, "=" &amp; AH23, AC:AC, "=1")</f>
        <v>50</v>
      </c>
      <c r="AJ23" s="3">
        <f t="shared" ref="AJ23:AJ24" si="29">countif(A:A, "=" &amp; AH23)</f>
        <v>94</v>
      </c>
      <c r="AK23" s="3">
        <f t="shared" ref="AK23:AK24" si="30">AI23/AJ23</f>
        <v>0.5319148936</v>
      </c>
      <c r="AL23" s="3">
        <f t="shared" ref="AL23:AL24" si="31">SUMIFS(AE:AE, A:A,"=" &amp; AH23,AC:AC, "=1")</f>
        <v>57.94740379</v>
      </c>
      <c r="AM23" s="3">
        <f t="shared" ref="AM23:AM24" si="32">SUMIFS(AE:AE, A:A,"=" &amp; AH23,AC:AC, "=0")</f>
        <v>-64</v>
      </c>
      <c r="AN23" s="3">
        <f t="shared" ref="AN23:AN24" si="33">AL23+AM23</f>
        <v>-6.052596213</v>
      </c>
      <c r="AO23" s="4">
        <f t="shared" ref="AO23:AO24" si="34">IFERROR( countifs(A:A, "="&amp;AH23, U:U, "=1", AC:AC, "=1")/countifs(A:A, "="&amp;AH23, U:U, "=1"), 0)</f>
        <v>0.4482758621</v>
      </c>
      <c r="AP23" s="4">
        <f t="shared" ref="AP23:AP24" si="35">IFERROR( countifs(A:A, "="&amp;AH23, U:U, "=0", AC:AC, "=1")/countifs(A:A, "="&amp;AH23, U:U, "=0"), 0)</f>
        <v>0.5692307692</v>
      </c>
      <c r="AQ23" s="5">
        <f t="shared" ref="AQ23:AQ24" si="36">iferror(IFS(AND(AP23 &gt; 0.5, AO23 &gt; 0.5), 1, AND(AP23 &lt;= 0.5, AO23 &lt;= 0.5), -1), 0)
</f>
        <v>0</v>
      </c>
      <c r="AR23" s="5">
        <f t="shared" ref="AR23:AR24" si="37">if(AN23&lt;0, -1, 1)</f>
        <v>-1</v>
      </c>
    </row>
    <row r="24">
      <c r="A24" s="1" t="s">
        <v>10</v>
      </c>
      <c r="B24" s="1" t="s">
        <v>202</v>
      </c>
      <c r="C24" s="1" t="s">
        <v>19</v>
      </c>
      <c r="D24" s="1" t="s">
        <v>109</v>
      </c>
      <c r="E24" s="1" t="s">
        <v>57</v>
      </c>
      <c r="F24" s="1" t="s">
        <v>610</v>
      </c>
      <c r="G24" s="1">
        <v>38.5</v>
      </c>
      <c r="H24" s="1" t="s">
        <v>60</v>
      </c>
      <c r="I24" s="1">
        <v>-116.0</v>
      </c>
      <c r="J24" s="1">
        <v>-0.120348262987802</v>
      </c>
      <c r="K24" s="1" t="s">
        <v>61</v>
      </c>
      <c r="L24" s="1" t="s">
        <v>61</v>
      </c>
      <c r="M24" s="1" t="s">
        <v>62</v>
      </c>
      <c r="N24" s="1">
        <v>-112.0</v>
      </c>
      <c r="O24" s="1">
        <v>0.0550381076829864</v>
      </c>
      <c r="P24" s="1" t="s">
        <v>61</v>
      </c>
      <c r="Q24" s="1" t="s">
        <v>61</v>
      </c>
      <c r="R24" s="1">
        <f t="shared" si="1"/>
        <v>0.05503810768</v>
      </c>
      <c r="S24" s="1">
        <f t="shared" si="2"/>
        <v>-112</v>
      </c>
      <c r="T24" s="1">
        <f t="shared" si="3"/>
        <v>1.892857143</v>
      </c>
      <c r="U24" s="1">
        <f t="shared" si="4"/>
        <v>0</v>
      </c>
      <c r="V24" s="3">
        <f t="shared" si="5"/>
        <v>2</v>
      </c>
      <c r="W24" s="3">
        <f t="shared" si="6"/>
        <v>2</v>
      </c>
      <c r="X24" s="3" t="str">
        <f>IFERROR(__xludf.DUMMYFUNCTION("split(B24,"" "")"),"T.")</f>
        <v>T.</v>
      </c>
      <c r="Y24" s="3" t="str">
        <f>IFERROR(__xludf.DUMMYFUNCTION("""COMPUTED_VALUE"""),"Allgeier")</f>
        <v>Allgeier</v>
      </c>
      <c r="AA24" s="3">
        <v>105.0</v>
      </c>
      <c r="AB24" s="3">
        <f t="shared" si="7"/>
        <v>1</v>
      </c>
      <c r="AC24" s="3">
        <f t="shared" si="8"/>
        <v>0</v>
      </c>
      <c r="AD24" s="3">
        <f t="shared" si="9"/>
        <v>1.785714286</v>
      </c>
      <c r="AE24" s="3">
        <f t="shared" si="10"/>
        <v>-2</v>
      </c>
      <c r="AF24" s="3">
        <f t="shared" si="11"/>
        <v>-2</v>
      </c>
      <c r="AG24" s="3">
        <f t="shared" si="12"/>
        <v>-1.727272727</v>
      </c>
      <c r="AH24" s="1" t="s">
        <v>12</v>
      </c>
      <c r="AI24" s="3">
        <f t="shared" si="28"/>
        <v>69</v>
      </c>
      <c r="AJ24" s="3">
        <f t="shared" si="29"/>
        <v>131</v>
      </c>
      <c r="AK24" s="3">
        <f t="shared" si="30"/>
        <v>0.5267175573</v>
      </c>
      <c r="AL24" s="3">
        <f t="shared" si="31"/>
        <v>122.7268994</v>
      </c>
      <c r="AM24" s="3">
        <f t="shared" si="32"/>
        <v>-127</v>
      </c>
      <c r="AN24" s="3">
        <f t="shared" si="33"/>
        <v>-4.273100551</v>
      </c>
      <c r="AO24" s="4">
        <f t="shared" si="34"/>
        <v>0.4782608696</v>
      </c>
      <c r="AP24" s="4">
        <f t="shared" si="35"/>
        <v>0.537037037</v>
      </c>
      <c r="AQ24" s="5">
        <f t="shared" si="36"/>
        <v>0</v>
      </c>
      <c r="AR24" s="5">
        <f t="shared" si="37"/>
        <v>-1</v>
      </c>
    </row>
    <row r="25">
      <c r="A25" s="1" t="s">
        <v>17</v>
      </c>
      <c r="B25" s="1" t="s">
        <v>328</v>
      </c>
      <c r="C25" s="1" t="s">
        <v>21</v>
      </c>
      <c r="D25" s="1" t="s">
        <v>109</v>
      </c>
      <c r="E25" s="1" t="s">
        <v>57</v>
      </c>
      <c r="F25" s="1" t="s">
        <v>610</v>
      </c>
      <c r="G25" s="1">
        <v>0.5</v>
      </c>
      <c r="H25" s="1" t="s">
        <v>60</v>
      </c>
      <c r="I25" s="1">
        <v>-130.0</v>
      </c>
      <c r="J25" s="1">
        <v>-0.118817391304347</v>
      </c>
      <c r="K25" s="1" t="s">
        <v>61</v>
      </c>
      <c r="L25" s="1" t="s">
        <v>61</v>
      </c>
      <c r="M25" s="1" t="s">
        <v>62</v>
      </c>
      <c r="N25" s="1">
        <v>-102.0</v>
      </c>
      <c r="O25" s="1">
        <v>0.048649504950495</v>
      </c>
      <c r="P25" s="1" t="s">
        <v>61</v>
      </c>
      <c r="Q25" s="1" t="s">
        <v>61</v>
      </c>
      <c r="R25" s="1">
        <f t="shared" si="1"/>
        <v>0.04864950495</v>
      </c>
      <c r="S25" s="1">
        <f t="shared" si="2"/>
        <v>-102</v>
      </c>
      <c r="T25" s="1">
        <f t="shared" si="3"/>
        <v>1.980392157</v>
      </c>
      <c r="U25" s="1">
        <f t="shared" si="4"/>
        <v>0</v>
      </c>
      <c r="V25" s="3">
        <f t="shared" si="5"/>
        <v>1</v>
      </c>
      <c r="W25" s="3">
        <f t="shared" si="6"/>
        <v>2</v>
      </c>
      <c r="X25" s="3" t="str">
        <f>IFERROR(__xludf.DUMMYFUNCTION("split(B25,"" "")"),"K.")</f>
        <v>K.</v>
      </c>
      <c r="Y25" s="3" t="str">
        <f>IFERROR(__xludf.DUMMYFUNCTION("""COMPUTED_VALUE"""),"Cousins")</f>
        <v>Cousins</v>
      </c>
      <c r="AA25" s="3">
        <v>0.0</v>
      </c>
      <c r="AB25" s="3">
        <f t="shared" si="7"/>
        <v>0</v>
      </c>
      <c r="AC25" s="3">
        <f t="shared" si="8"/>
        <v>1</v>
      </c>
      <c r="AD25" s="3">
        <f t="shared" si="9"/>
        <v>0.9803921569</v>
      </c>
      <c r="AE25" s="3">
        <f t="shared" si="10"/>
        <v>0.9803921569</v>
      </c>
      <c r="AF25" s="3">
        <f t="shared" si="11"/>
        <v>1.960784314</v>
      </c>
      <c r="AG25" s="3">
        <f t="shared" si="12"/>
        <v>1</v>
      </c>
      <c r="AO25" s="4"/>
      <c r="AP25" s="4"/>
      <c r="AQ25" s="5"/>
      <c r="AR25" s="5"/>
    </row>
    <row r="26">
      <c r="A26" s="1" t="s">
        <v>11</v>
      </c>
      <c r="B26" s="1" t="s">
        <v>355</v>
      </c>
      <c r="C26" s="1" t="s">
        <v>18</v>
      </c>
      <c r="D26" s="1" t="s">
        <v>109</v>
      </c>
      <c r="E26" s="1" t="s">
        <v>57</v>
      </c>
      <c r="F26" s="1" t="s">
        <v>610</v>
      </c>
      <c r="G26" s="1">
        <v>52.5</v>
      </c>
      <c r="H26" s="1" t="s">
        <v>60</v>
      </c>
      <c r="I26" s="1">
        <v>-114.0</v>
      </c>
      <c r="J26" s="1">
        <v>-0.105751054057663</v>
      </c>
      <c r="K26" s="1" t="s">
        <v>61</v>
      </c>
      <c r="L26" s="1" t="s">
        <v>61</v>
      </c>
      <c r="M26" s="1" t="s">
        <v>62</v>
      </c>
      <c r="N26" s="1">
        <v>-113.0</v>
      </c>
      <c r="O26" s="1">
        <v>0.0425430076711079</v>
      </c>
      <c r="P26" s="1" t="s">
        <v>61</v>
      </c>
      <c r="Q26" s="1" t="s">
        <v>61</v>
      </c>
      <c r="R26" s="1">
        <f t="shared" si="1"/>
        <v>0.04254300767</v>
      </c>
      <c r="S26" s="1">
        <f t="shared" si="2"/>
        <v>-113</v>
      </c>
      <c r="T26" s="1">
        <f t="shared" si="3"/>
        <v>1.884955752</v>
      </c>
      <c r="U26" s="1">
        <f t="shared" si="4"/>
        <v>0</v>
      </c>
      <c r="V26" s="3">
        <f t="shared" si="5"/>
        <v>1</v>
      </c>
      <c r="W26" s="3">
        <f t="shared" si="6"/>
        <v>2</v>
      </c>
      <c r="X26" s="3" t="str">
        <f>IFERROR(__xludf.DUMMYFUNCTION("split(B26,"" "")"),"D.")</f>
        <v>D.</v>
      </c>
      <c r="Y26" s="3" t="str">
        <f>IFERROR(__xludf.DUMMYFUNCTION("""COMPUTED_VALUE"""),"Mooney")</f>
        <v>Mooney</v>
      </c>
      <c r="AA26" s="3">
        <v>38.0</v>
      </c>
      <c r="AB26" s="3">
        <f t="shared" si="7"/>
        <v>0</v>
      </c>
      <c r="AC26" s="3">
        <f t="shared" si="8"/>
        <v>1</v>
      </c>
      <c r="AD26" s="3">
        <f t="shared" si="9"/>
        <v>0.8849557522</v>
      </c>
      <c r="AE26" s="3">
        <f t="shared" si="10"/>
        <v>0.8849557522</v>
      </c>
      <c r="AF26" s="3">
        <f t="shared" si="11"/>
        <v>1.769911504</v>
      </c>
      <c r="AG26" s="3">
        <f t="shared" si="12"/>
        <v>0.2761904762</v>
      </c>
      <c r="AH26" s="1" t="s">
        <v>13</v>
      </c>
      <c r="AI26" s="3">
        <f t="shared" ref="AI26:AI30" si="38">COUNTIFs(A:A, "=" &amp; AH26, AC:AC, "=1")</f>
        <v>6</v>
      </c>
      <c r="AJ26" s="3">
        <f t="shared" ref="AJ26:AJ30" si="39">countif(A:A, "=" &amp; AH26)</f>
        <v>7</v>
      </c>
      <c r="AK26" s="3">
        <f t="shared" ref="AK26:AK30" si="40">AI26/AJ26</f>
        <v>0.8571428571</v>
      </c>
      <c r="AL26" s="3">
        <f t="shared" ref="AL26:AL30" si="41">SUMIFS(AE:AE, A:A,"=" &amp; AH26,AC:AC, "=1")</f>
        <v>6.221941235</v>
      </c>
      <c r="AM26" s="3">
        <f t="shared" ref="AM26:AM30" si="42">SUMIFS(AE:AE, A:A,"=" &amp; AH26,AC:AC, "=0")</f>
        <v>-1</v>
      </c>
      <c r="AN26" s="3">
        <f t="shared" ref="AN26:AN30" si="43">AL26+AM26</f>
        <v>5.221941235</v>
      </c>
      <c r="AO26" s="4">
        <f t="shared" ref="AO26:AO30" si="44">IFERROR( countifs(A:A, "="&amp;AH26, U:U, "=1", AC:AC, "=1")/countifs(A:A, "="&amp;AH26, U:U, "=1"), 0)</f>
        <v>0.8333333333</v>
      </c>
      <c r="AP26" s="4">
        <f t="shared" ref="AP26:AP30" si="45">IFERROR( countifs(A:A, "="&amp;AH26, U:U, "=0", AC:AC, "=1")/countifs(A:A, "="&amp;AH26, U:U, "=0"), 0)</f>
        <v>1</v>
      </c>
      <c r="AQ26" s="5">
        <f t="shared" ref="AQ26:AQ30" si="46">iferror(IFS(AND(AP26 &gt; 0.5, AO26 &gt; 0.5), 1, AND(AP26 &lt;= 0.5, AO26 &lt;= 0.5), -1), 0)
</f>
        <v>1</v>
      </c>
      <c r="AR26" s="5">
        <f t="shared" ref="AR26:AR30" si="47">if(AN26&lt;0, -1, 1)</f>
        <v>1</v>
      </c>
    </row>
    <row r="27">
      <c r="A27" s="1" t="s">
        <v>12</v>
      </c>
      <c r="B27" s="1" t="s">
        <v>355</v>
      </c>
      <c r="C27" s="1" t="s">
        <v>18</v>
      </c>
      <c r="D27" s="1" t="s">
        <v>109</v>
      </c>
      <c r="E27" s="1" t="s">
        <v>57</v>
      </c>
      <c r="F27" s="1" t="s">
        <v>610</v>
      </c>
      <c r="G27" s="1">
        <v>4.5</v>
      </c>
      <c r="H27" s="1" t="s">
        <v>60</v>
      </c>
      <c r="I27" s="1">
        <v>106.0</v>
      </c>
      <c r="J27" s="1">
        <v>-0.105485436893204</v>
      </c>
      <c r="K27" s="1" t="s">
        <v>61</v>
      </c>
      <c r="L27" s="1" t="s">
        <v>61</v>
      </c>
      <c r="M27" s="1" t="s">
        <v>62</v>
      </c>
      <c r="N27" s="1">
        <v>-141.0</v>
      </c>
      <c r="O27" s="1">
        <v>0.0349792531120332</v>
      </c>
      <c r="P27" s="1" t="s">
        <v>61</v>
      </c>
      <c r="Q27" s="1" t="s">
        <v>61</v>
      </c>
      <c r="R27" s="1">
        <f t="shared" si="1"/>
        <v>0.03497925311</v>
      </c>
      <c r="S27" s="1">
        <f t="shared" si="2"/>
        <v>-141</v>
      </c>
      <c r="T27" s="1">
        <f t="shared" si="3"/>
        <v>1.709219858</v>
      </c>
      <c r="U27" s="1">
        <f t="shared" si="4"/>
        <v>0</v>
      </c>
      <c r="V27" s="3">
        <f t="shared" si="5"/>
        <v>1</v>
      </c>
      <c r="W27" s="3">
        <f t="shared" si="6"/>
        <v>3</v>
      </c>
      <c r="X27" s="3" t="str">
        <f>IFERROR(__xludf.DUMMYFUNCTION("split(B27,"" "")"),"D.")</f>
        <v>D.</v>
      </c>
      <c r="Y27" s="3" t="str">
        <f>IFERROR(__xludf.DUMMYFUNCTION("""COMPUTED_VALUE"""),"Mooney")</f>
        <v>Mooney</v>
      </c>
      <c r="AA27" s="3">
        <v>3.0</v>
      </c>
      <c r="AB27" s="3">
        <f t="shared" si="7"/>
        <v>0</v>
      </c>
      <c r="AC27" s="3">
        <f t="shared" si="8"/>
        <v>1</v>
      </c>
      <c r="AD27" s="3">
        <f t="shared" si="9"/>
        <v>0.7092198582</v>
      </c>
      <c r="AE27" s="3">
        <f t="shared" si="10"/>
        <v>0.7092198582</v>
      </c>
      <c r="AF27" s="3">
        <f t="shared" si="11"/>
        <v>2.127659574</v>
      </c>
      <c r="AG27" s="3">
        <f t="shared" si="12"/>
        <v>0.3333333333</v>
      </c>
      <c r="AH27" s="1" t="s">
        <v>14</v>
      </c>
      <c r="AI27" s="3">
        <f t="shared" si="38"/>
        <v>10</v>
      </c>
      <c r="AJ27" s="3">
        <f t="shared" si="39"/>
        <v>23</v>
      </c>
      <c r="AK27" s="3">
        <f t="shared" si="40"/>
        <v>0.4347826087</v>
      </c>
      <c r="AL27" s="3">
        <f t="shared" si="41"/>
        <v>28.33153846</v>
      </c>
      <c r="AM27" s="3">
        <f t="shared" si="42"/>
        <v>-19</v>
      </c>
      <c r="AN27" s="3">
        <f t="shared" si="43"/>
        <v>9.331538462</v>
      </c>
      <c r="AO27" s="4">
        <f t="shared" si="44"/>
        <v>0.4285714286</v>
      </c>
      <c r="AP27" s="4">
        <f t="shared" si="45"/>
        <v>0.4375</v>
      </c>
      <c r="AQ27" s="5">
        <f t="shared" si="46"/>
        <v>-1</v>
      </c>
      <c r="AR27" s="5">
        <f t="shared" si="47"/>
        <v>1</v>
      </c>
    </row>
    <row r="28">
      <c r="A28" s="1" t="s">
        <v>12</v>
      </c>
      <c r="B28" s="1" t="s">
        <v>202</v>
      </c>
      <c r="C28" s="1" t="s">
        <v>19</v>
      </c>
      <c r="D28" s="1" t="s">
        <v>109</v>
      </c>
      <c r="E28" s="1" t="s">
        <v>57</v>
      </c>
      <c r="F28" s="1" t="s">
        <v>610</v>
      </c>
      <c r="G28" s="1">
        <v>1.5</v>
      </c>
      <c r="H28" s="1" t="s">
        <v>60</v>
      </c>
      <c r="I28" s="1">
        <v>138.0</v>
      </c>
      <c r="J28" s="1">
        <v>-0.0979934240879832</v>
      </c>
      <c r="K28" s="1" t="s">
        <v>61</v>
      </c>
      <c r="L28" s="1" t="s">
        <v>61</v>
      </c>
      <c r="M28" s="1" t="s">
        <v>62</v>
      </c>
      <c r="N28" s="1">
        <v>-183.0</v>
      </c>
      <c r="O28" s="1">
        <v>0.0311736465593287</v>
      </c>
      <c r="P28" s="1" t="s">
        <v>61</v>
      </c>
      <c r="Q28" s="1" t="s">
        <v>61</v>
      </c>
      <c r="R28" s="1">
        <f t="shared" si="1"/>
        <v>0.03117364656</v>
      </c>
      <c r="S28" s="1">
        <f t="shared" si="2"/>
        <v>-183</v>
      </c>
      <c r="T28" s="1">
        <f t="shared" si="3"/>
        <v>1.546448087</v>
      </c>
      <c r="U28" s="1">
        <f t="shared" si="4"/>
        <v>0</v>
      </c>
      <c r="V28" s="3">
        <f t="shared" si="5"/>
        <v>1</v>
      </c>
      <c r="W28" s="3">
        <f t="shared" si="6"/>
        <v>3</v>
      </c>
      <c r="X28" s="3" t="str">
        <f>IFERROR(__xludf.DUMMYFUNCTION("split(B28,"" "")"),"T.")</f>
        <v>T.</v>
      </c>
      <c r="Y28" s="3" t="str">
        <f>IFERROR(__xludf.DUMMYFUNCTION("""COMPUTED_VALUE"""),"Allgeier")</f>
        <v>Allgeier</v>
      </c>
      <c r="AA28" s="3">
        <v>1.0</v>
      </c>
      <c r="AB28" s="3">
        <f t="shared" si="7"/>
        <v>0</v>
      </c>
      <c r="AC28" s="3">
        <f t="shared" si="8"/>
        <v>1</v>
      </c>
      <c r="AD28" s="3">
        <f t="shared" si="9"/>
        <v>0.5464480874</v>
      </c>
      <c r="AE28" s="3">
        <f t="shared" si="10"/>
        <v>0.5464480874</v>
      </c>
      <c r="AF28" s="3">
        <f t="shared" si="11"/>
        <v>1.639344262</v>
      </c>
      <c r="AG28" s="3">
        <f t="shared" si="12"/>
        <v>0.3333333333</v>
      </c>
      <c r="AH28" s="1" t="s">
        <v>15</v>
      </c>
      <c r="AI28" s="3">
        <f t="shared" si="38"/>
        <v>11</v>
      </c>
      <c r="AJ28" s="3">
        <f t="shared" si="39"/>
        <v>23</v>
      </c>
      <c r="AK28" s="3">
        <f t="shared" si="40"/>
        <v>0.4782608696</v>
      </c>
      <c r="AL28" s="3">
        <f t="shared" si="41"/>
        <v>14.89773318</v>
      </c>
      <c r="AM28" s="3">
        <f t="shared" si="42"/>
        <v>-17</v>
      </c>
      <c r="AN28" s="3">
        <f t="shared" si="43"/>
        <v>-2.10226682</v>
      </c>
      <c r="AO28" s="4">
        <f t="shared" si="44"/>
        <v>0.5</v>
      </c>
      <c r="AP28" s="4">
        <f t="shared" si="45"/>
        <v>0.4285714286</v>
      </c>
      <c r="AQ28" s="5">
        <f t="shared" si="46"/>
        <v>-1</v>
      </c>
      <c r="AR28" s="5">
        <f t="shared" si="47"/>
        <v>-1</v>
      </c>
    </row>
    <row r="29">
      <c r="A29" s="1" t="s">
        <v>14</v>
      </c>
      <c r="B29" s="1" t="s">
        <v>328</v>
      </c>
      <c r="C29" s="1" t="s">
        <v>21</v>
      </c>
      <c r="D29" s="1" t="s">
        <v>109</v>
      </c>
      <c r="E29" s="1" t="s">
        <v>57</v>
      </c>
      <c r="F29" s="1" t="s">
        <v>610</v>
      </c>
      <c r="G29" s="1">
        <v>1.5</v>
      </c>
      <c r="H29" s="1" t="s">
        <v>60</v>
      </c>
      <c r="I29" s="1">
        <v>-136.0</v>
      </c>
      <c r="J29" s="1">
        <v>-0.093428813559322</v>
      </c>
      <c r="K29" s="1" t="s">
        <v>61</v>
      </c>
      <c r="L29" s="1" t="s">
        <v>61</v>
      </c>
      <c r="M29" s="1" t="s">
        <v>62</v>
      </c>
      <c r="N29" s="1">
        <v>104.0</v>
      </c>
      <c r="O29" s="1">
        <v>0.0269549019607843</v>
      </c>
      <c r="P29" s="1" t="s">
        <v>61</v>
      </c>
      <c r="Q29" s="1" t="s">
        <v>61</v>
      </c>
      <c r="R29" s="1">
        <f t="shared" si="1"/>
        <v>0.02695490196</v>
      </c>
      <c r="S29" s="1">
        <f t="shared" si="2"/>
        <v>104</v>
      </c>
      <c r="T29" s="1">
        <f t="shared" si="3"/>
        <v>2.04</v>
      </c>
      <c r="U29" s="1">
        <f t="shared" si="4"/>
        <v>0</v>
      </c>
      <c r="V29" s="3">
        <f t="shared" si="5"/>
        <v>1</v>
      </c>
      <c r="W29" s="3">
        <f t="shared" si="6"/>
        <v>2</v>
      </c>
      <c r="X29" s="3" t="str">
        <f>IFERROR(__xludf.DUMMYFUNCTION("split(B29,"" "")"),"K.")</f>
        <v>K.</v>
      </c>
      <c r="Y29" s="3" t="str">
        <f>IFERROR(__xludf.DUMMYFUNCTION("""COMPUTED_VALUE"""),"Cousins")</f>
        <v>Cousins</v>
      </c>
      <c r="AA29" s="3">
        <v>1.0</v>
      </c>
      <c r="AB29" s="3">
        <f t="shared" si="7"/>
        <v>0</v>
      </c>
      <c r="AC29" s="3">
        <f t="shared" si="8"/>
        <v>1</v>
      </c>
      <c r="AD29" s="3">
        <f t="shared" si="9"/>
        <v>1.04</v>
      </c>
      <c r="AE29" s="3">
        <f t="shared" si="10"/>
        <v>1.04</v>
      </c>
      <c r="AF29" s="3">
        <f t="shared" si="11"/>
        <v>2.08</v>
      </c>
      <c r="AG29" s="3">
        <f t="shared" si="12"/>
        <v>0.3333333333</v>
      </c>
      <c r="AH29" s="1" t="s">
        <v>16</v>
      </c>
      <c r="AI29" s="3">
        <f t="shared" si="38"/>
        <v>7</v>
      </c>
      <c r="AJ29" s="3">
        <f t="shared" si="39"/>
        <v>16</v>
      </c>
      <c r="AK29" s="3">
        <f t="shared" si="40"/>
        <v>0.4375</v>
      </c>
      <c r="AL29" s="3">
        <f t="shared" si="41"/>
        <v>8.255560801</v>
      </c>
      <c r="AM29" s="3">
        <f t="shared" si="42"/>
        <v>-12</v>
      </c>
      <c r="AN29" s="3">
        <f t="shared" si="43"/>
        <v>-3.744439199</v>
      </c>
      <c r="AO29" s="4">
        <f t="shared" si="44"/>
        <v>0.25</v>
      </c>
      <c r="AP29" s="4">
        <f t="shared" si="45"/>
        <v>0.5</v>
      </c>
      <c r="AQ29" s="5">
        <f t="shared" si="46"/>
        <v>-1</v>
      </c>
      <c r="AR29" s="5">
        <f t="shared" si="47"/>
        <v>-1</v>
      </c>
    </row>
    <row r="30">
      <c r="A30" s="1" t="s">
        <v>10</v>
      </c>
      <c r="B30" s="1" t="s">
        <v>264</v>
      </c>
      <c r="C30" s="1" t="s">
        <v>19</v>
      </c>
      <c r="D30" s="1" t="s">
        <v>109</v>
      </c>
      <c r="E30" s="1" t="s">
        <v>57</v>
      </c>
      <c r="F30" s="1" t="s">
        <v>610</v>
      </c>
      <c r="G30" s="1">
        <v>66.5</v>
      </c>
      <c r="H30" s="1" t="s">
        <v>60</v>
      </c>
      <c r="I30" s="1">
        <v>-117.0</v>
      </c>
      <c r="J30" s="1">
        <v>-0.0826468543823271</v>
      </c>
      <c r="K30" s="1" t="s">
        <v>61</v>
      </c>
      <c r="L30" s="1" t="s">
        <v>61</v>
      </c>
      <c r="M30" s="1" t="s">
        <v>62</v>
      </c>
      <c r="N30" s="1">
        <v>-107.0</v>
      </c>
      <c r="O30" s="1">
        <v>0.0266004890531197</v>
      </c>
      <c r="P30" s="1" t="s">
        <v>61</v>
      </c>
      <c r="Q30" s="1" t="s">
        <v>61</v>
      </c>
      <c r="R30" s="1">
        <f t="shared" si="1"/>
        <v>0.02660048905</v>
      </c>
      <c r="S30" s="1">
        <f t="shared" si="2"/>
        <v>-107</v>
      </c>
      <c r="T30" s="1">
        <f t="shared" si="3"/>
        <v>1.934579439</v>
      </c>
      <c r="U30" s="1">
        <f t="shared" si="4"/>
        <v>0</v>
      </c>
      <c r="V30" s="3">
        <f t="shared" si="5"/>
        <v>1</v>
      </c>
      <c r="W30" s="3">
        <f t="shared" si="6"/>
        <v>2</v>
      </c>
      <c r="X30" s="3" t="str">
        <f>IFERROR(__xludf.DUMMYFUNCTION("split(B30,"" "")"),"B.")</f>
        <v>B.</v>
      </c>
      <c r="Y30" s="3" t="str">
        <f>IFERROR(__xludf.DUMMYFUNCTION("""COMPUTED_VALUE"""),"Robinson")</f>
        <v>Robinson</v>
      </c>
      <c r="AA30" s="3">
        <v>95.0</v>
      </c>
      <c r="AB30" s="3">
        <f t="shared" si="7"/>
        <v>1</v>
      </c>
      <c r="AC30" s="3">
        <f t="shared" si="8"/>
        <v>0</v>
      </c>
      <c r="AD30" s="3">
        <f t="shared" si="9"/>
        <v>0.9345794393</v>
      </c>
      <c r="AE30" s="3">
        <f t="shared" si="10"/>
        <v>-1</v>
      </c>
      <c r="AF30" s="3">
        <f t="shared" si="11"/>
        <v>-2</v>
      </c>
      <c r="AG30" s="3">
        <f t="shared" si="12"/>
        <v>-0.4285714286</v>
      </c>
      <c r="AH30" s="1" t="s">
        <v>17</v>
      </c>
      <c r="AI30" s="3">
        <f t="shared" si="38"/>
        <v>11</v>
      </c>
      <c r="AJ30" s="3">
        <f t="shared" si="39"/>
        <v>26</v>
      </c>
      <c r="AK30" s="3">
        <f t="shared" si="40"/>
        <v>0.4230769231</v>
      </c>
      <c r="AL30" s="3">
        <f t="shared" si="41"/>
        <v>16.21212839</v>
      </c>
      <c r="AM30" s="3">
        <f t="shared" si="42"/>
        <v>-21</v>
      </c>
      <c r="AN30" s="3">
        <f t="shared" si="43"/>
        <v>-4.787871606</v>
      </c>
      <c r="AO30" s="4">
        <f t="shared" si="44"/>
        <v>0</v>
      </c>
      <c r="AP30" s="4">
        <f t="shared" si="45"/>
        <v>0.4230769231</v>
      </c>
      <c r="AQ30" s="5">
        <f t="shared" si="46"/>
        <v>-1</v>
      </c>
      <c r="AR30" s="5">
        <f t="shared" si="47"/>
        <v>-1</v>
      </c>
    </row>
    <row r="31">
      <c r="A31" s="1" t="s">
        <v>8</v>
      </c>
      <c r="B31" s="1" t="s">
        <v>328</v>
      </c>
      <c r="C31" s="1" t="s">
        <v>21</v>
      </c>
      <c r="D31" s="1" t="s">
        <v>109</v>
      </c>
      <c r="E31" s="1" t="s">
        <v>57</v>
      </c>
      <c r="F31" s="1" t="s">
        <v>610</v>
      </c>
      <c r="G31" s="1">
        <v>1.5</v>
      </c>
      <c r="H31" s="1" t="s">
        <v>60</v>
      </c>
      <c r="I31" s="1">
        <v>105.0</v>
      </c>
      <c r="J31" s="1">
        <v>0.0264517252102344</v>
      </c>
      <c r="K31" s="1" t="s">
        <v>61</v>
      </c>
      <c r="L31" s="1" t="s">
        <v>61</v>
      </c>
      <c r="M31" s="1" t="s">
        <v>62</v>
      </c>
      <c r="N31" s="1">
        <v>-140.0</v>
      </c>
      <c r="O31" s="1">
        <v>-0.0975839092672115</v>
      </c>
      <c r="P31" s="1" t="s">
        <v>61</v>
      </c>
      <c r="Q31" s="1" t="s">
        <v>61</v>
      </c>
      <c r="R31" s="1">
        <f t="shared" si="1"/>
        <v>0.02645172521</v>
      </c>
      <c r="S31" s="1">
        <f t="shared" si="2"/>
        <v>105</v>
      </c>
      <c r="T31" s="1">
        <f t="shared" si="3"/>
        <v>2.05</v>
      </c>
      <c r="U31" s="1">
        <f t="shared" si="4"/>
        <v>1</v>
      </c>
      <c r="V31" s="3">
        <f t="shared" si="5"/>
        <v>1</v>
      </c>
      <c r="W31" s="3">
        <f t="shared" si="6"/>
        <v>2</v>
      </c>
      <c r="X31" s="3" t="str">
        <f>IFERROR(__xludf.DUMMYFUNCTION("split(B31,"" "")"),"K.")</f>
        <v>K.</v>
      </c>
      <c r="Y31" s="3" t="str">
        <f>IFERROR(__xludf.DUMMYFUNCTION("""COMPUTED_VALUE"""),"Cousins")</f>
        <v>Cousins</v>
      </c>
      <c r="AA31" s="3">
        <v>4.0</v>
      </c>
      <c r="AB31" s="3">
        <f t="shared" si="7"/>
        <v>1</v>
      </c>
      <c r="AC31" s="3">
        <f t="shared" si="8"/>
        <v>1</v>
      </c>
      <c r="AD31" s="3">
        <f t="shared" si="9"/>
        <v>1.05</v>
      </c>
      <c r="AE31" s="3">
        <f t="shared" si="10"/>
        <v>1.05</v>
      </c>
      <c r="AF31" s="3">
        <f t="shared" si="11"/>
        <v>2.1</v>
      </c>
      <c r="AG31" s="3">
        <f t="shared" si="12"/>
        <v>1.666666667</v>
      </c>
      <c r="AJ31" s="1" t="s">
        <v>512</v>
      </c>
      <c r="AK31" s="1" t="s">
        <v>513</v>
      </c>
    </row>
    <row r="32">
      <c r="A32" s="1" t="s">
        <v>12</v>
      </c>
      <c r="B32" s="1" t="s">
        <v>499</v>
      </c>
      <c r="C32" s="1" t="s">
        <v>18</v>
      </c>
      <c r="D32" s="1" t="s">
        <v>109</v>
      </c>
      <c r="E32" s="1" t="s">
        <v>57</v>
      </c>
      <c r="F32" s="1" t="s">
        <v>610</v>
      </c>
      <c r="G32" s="1">
        <v>5.5</v>
      </c>
      <c r="H32" s="1" t="s">
        <v>60</v>
      </c>
      <c r="I32" s="1">
        <v>-132.0</v>
      </c>
      <c r="J32" s="1">
        <v>0.0185637931034482</v>
      </c>
      <c r="K32" s="1" t="s">
        <v>61</v>
      </c>
      <c r="L32" s="1" t="s">
        <v>61</v>
      </c>
      <c r="M32" s="1" t="s">
        <v>62</v>
      </c>
      <c r="N32" s="1">
        <v>100.0</v>
      </c>
      <c r="O32" s="1">
        <v>-0.08755</v>
      </c>
      <c r="P32" s="1" t="s">
        <v>61</v>
      </c>
      <c r="Q32" s="1" t="s">
        <v>61</v>
      </c>
      <c r="R32" s="1">
        <f t="shared" si="1"/>
        <v>0.0185637931</v>
      </c>
      <c r="S32" s="1">
        <f t="shared" si="2"/>
        <v>-132</v>
      </c>
      <c r="T32" s="1">
        <f t="shared" si="3"/>
        <v>1.757575758</v>
      </c>
      <c r="U32" s="1">
        <f t="shared" si="4"/>
        <v>1</v>
      </c>
      <c r="V32" s="3">
        <f t="shared" si="5"/>
        <v>1</v>
      </c>
      <c r="W32" s="3">
        <f t="shared" si="6"/>
        <v>3</v>
      </c>
      <c r="X32" s="3" t="str">
        <f>IFERROR(__xludf.DUMMYFUNCTION("split(B32,"" "")"),"D.")</f>
        <v>D.</v>
      </c>
      <c r="Y32" s="3" t="str">
        <f>IFERROR(__xludf.DUMMYFUNCTION("""COMPUTED_VALUE"""),"London")</f>
        <v>London</v>
      </c>
      <c r="AA32" s="3">
        <v>6.0</v>
      </c>
      <c r="AB32" s="3">
        <f t="shared" si="7"/>
        <v>1</v>
      </c>
      <c r="AC32" s="3">
        <f t="shared" si="8"/>
        <v>1</v>
      </c>
      <c r="AD32" s="3">
        <f t="shared" si="9"/>
        <v>0.7575757576</v>
      </c>
      <c r="AE32" s="3">
        <f t="shared" si="10"/>
        <v>0.7575757576</v>
      </c>
      <c r="AF32" s="3">
        <f t="shared" si="11"/>
        <v>2.272727273</v>
      </c>
      <c r="AG32" s="3">
        <f t="shared" si="12"/>
        <v>0.09090909091</v>
      </c>
      <c r="AH32" s="1" t="s">
        <v>514</v>
      </c>
      <c r="AI32" s="3">
        <f>COUNTIFS(AG2:AG999, "&gt;1.7", AC2:AC999,"=1", U2:U999, "=1") + countifs(U2:U999, "=0", AA2:AA999, "=0")</f>
        <v>61</v>
      </c>
      <c r="AJ32" s="3">
        <f>COUNTIFS(AG2:AG999, "&gt;1.7", AC2:AC999,"=1", U2:U999, "=1")</f>
        <v>11</v>
      </c>
      <c r="AK32" s="3">
        <f>AI32-AJ32</f>
        <v>50</v>
      </c>
    </row>
    <row r="33">
      <c r="A33" s="1" t="s">
        <v>8</v>
      </c>
      <c r="B33" s="1" t="s">
        <v>264</v>
      </c>
      <c r="C33" s="1" t="s">
        <v>19</v>
      </c>
      <c r="D33" s="1" t="s">
        <v>109</v>
      </c>
      <c r="E33" s="1" t="s">
        <v>57</v>
      </c>
      <c r="F33" s="1" t="s">
        <v>610</v>
      </c>
      <c r="G33" s="1">
        <v>15.5</v>
      </c>
      <c r="H33" s="1" t="s">
        <v>60</v>
      </c>
      <c r="I33" s="1">
        <v>111.0</v>
      </c>
      <c r="J33" s="1">
        <v>0.0178668816170617</v>
      </c>
      <c r="K33" s="1" t="s">
        <v>61</v>
      </c>
      <c r="L33" s="1" t="s">
        <v>61</v>
      </c>
      <c r="M33" s="1" t="s">
        <v>62</v>
      </c>
      <c r="N33" s="1">
        <v>-146.0</v>
      </c>
      <c r="O33" s="1">
        <v>-0.085296533915447</v>
      </c>
      <c r="P33" s="1" t="s">
        <v>61</v>
      </c>
      <c r="Q33" s="1" t="s">
        <v>61</v>
      </c>
      <c r="R33" s="1">
        <f t="shared" si="1"/>
        <v>0.01786688162</v>
      </c>
      <c r="S33" s="1">
        <f t="shared" si="2"/>
        <v>111</v>
      </c>
      <c r="T33" s="1">
        <f t="shared" si="3"/>
        <v>2.11</v>
      </c>
      <c r="U33" s="1">
        <f t="shared" si="4"/>
        <v>1</v>
      </c>
      <c r="V33" s="3">
        <f t="shared" si="5"/>
        <v>1</v>
      </c>
      <c r="W33" s="3">
        <f t="shared" si="6"/>
        <v>1</v>
      </c>
      <c r="X33" s="3" t="str">
        <f>IFERROR(__xludf.DUMMYFUNCTION("split(B33,"" "")"),"B.")</f>
        <v>B.</v>
      </c>
      <c r="Y33" s="3" t="str">
        <f>IFERROR(__xludf.DUMMYFUNCTION("""COMPUTED_VALUE"""),"Robinson")</f>
        <v>Robinson</v>
      </c>
      <c r="AA33" s="3">
        <v>15.0</v>
      </c>
      <c r="AB33" s="3">
        <f t="shared" si="7"/>
        <v>0</v>
      </c>
      <c r="AC33" s="3">
        <f t="shared" si="8"/>
        <v>0</v>
      </c>
      <c r="AD33" s="3">
        <f t="shared" si="9"/>
        <v>1.11</v>
      </c>
      <c r="AE33" s="3">
        <f t="shared" si="10"/>
        <v>-1</v>
      </c>
      <c r="AF33" s="3">
        <f t="shared" si="11"/>
        <v>-1</v>
      </c>
      <c r="AG33" s="3">
        <f t="shared" si="12"/>
        <v>-0.03225806452</v>
      </c>
    </row>
    <row r="34">
      <c r="A34" s="1" t="s">
        <v>11</v>
      </c>
      <c r="B34" s="1" t="s">
        <v>501</v>
      </c>
      <c r="C34" s="1" t="s">
        <v>18</v>
      </c>
      <c r="D34" s="1" t="s">
        <v>109</v>
      </c>
      <c r="E34" s="1" t="s">
        <v>57</v>
      </c>
      <c r="F34" s="1" t="s">
        <v>610</v>
      </c>
      <c r="G34" s="1">
        <v>40.5</v>
      </c>
      <c r="H34" s="1" t="s">
        <v>60</v>
      </c>
      <c r="I34" s="1">
        <v>-109.0</v>
      </c>
      <c r="J34" s="1">
        <v>-0.0840695339947369</v>
      </c>
      <c r="K34" s="1" t="s">
        <v>61</v>
      </c>
      <c r="L34" s="1" t="s">
        <v>61</v>
      </c>
      <c r="M34" s="1" t="s">
        <v>62</v>
      </c>
      <c r="N34" s="1">
        <v>-120.0</v>
      </c>
      <c r="O34" s="1">
        <v>0.0170888029600001</v>
      </c>
      <c r="P34" s="1" t="s">
        <v>61</v>
      </c>
      <c r="Q34" s="1" t="s">
        <v>61</v>
      </c>
      <c r="R34" s="1">
        <f t="shared" si="1"/>
        <v>0.01708880296</v>
      </c>
      <c r="S34" s="1">
        <f t="shared" si="2"/>
        <v>-120</v>
      </c>
      <c r="T34" s="1">
        <f t="shared" si="3"/>
        <v>1.833333333</v>
      </c>
      <c r="U34" s="1">
        <f t="shared" si="4"/>
        <v>0</v>
      </c>
      <c r="V34" s="3">
        <f t="shared" si="5"/>
        <v>1</v>
      </c>
      <c r="W34" s="3">
        <f t="shared" si="6"/>
        <v>3</v>
      </c>
      <c r="X34" s="3" t="str">
        <f>IFERROR(__xludf.DUMMYFUNCTION("split(B34,"" "")"),"R.")</f>
        <v>R.</v>
      </c>
      <c r="Y34" s="3" t="str">
        <f>IFERROR(__xludf.DUMMYFUNCTION("""COMPUTED_VALUE"""),"McCloud")</f>
        <v>McCloud</v>
      </c>
      <c r="Z34" s="3" t="str">
        <f>IFERROR(__xludf.DUMMYFUNCTION("""COMPUTED_VALUE"""),"III")</f>
        <v>III</v>
      </c>
      <c r="AA34" s="3">
        <v>30.0</v>
      </c>
      <c r="AB34" s="3">
        <f t="shared" si="7"/>
        <v>0</v>
      </c>
      <c r="AC34" s="3">
        <f t="shared" si="8"/>
        <v>1</v>
      </c>
      <c r="AD34" s="3">
        <f t="shared" si="9"/>
        <v>0.8333333333</v>
      </c>
      <c r="AE34" s="3">
        <f t="shared" si="10"/>
        <v>0.8333333333</v>
      </c>
      <c r="AF34" s="3">
        <f t="shared" si="11"/>
        <v>2.5</v>
      </c>
      <c r="AG34" s="3">
        <f t="shared" si="12"/>
        <v>0.2592592593</v>
      </c>
    </row>
    <row r="35">
      <c r="A35" s="1" t="s">
        <v>16</v>
      </c>
      <c r="B35" s="1" t="s">
        <v>328</v>
      </c>
      <c r="C35" s="1" t="s">
        <v>21</v>
      </c>
      <c r="D35" s="1" t="s">
        <v>109</v>
      </c>
      <c r="E35" s="1" t="s">
        <v>57</v>
      </c>
      <c r="F35" s="1" t="s">
        <v>610</v>
      </c>
      <c r="G35" s="1">
        <v>34.5</v>
      </c>
      <c r="H35" s="1" t="s">
        <v>60</v>
      </c>
      <c r="I35" s="1">
        <v>104.0</v>
      </c>
      <c r="J35" s="1">
        <v>0.00615235980392153</v>
      </c>
      <c r="K35" s="1" t="s">
        <v>61</v>
      </c>
      <c r="L35" s="1" t="s">
        <v>61</v>
      </c>
      <c r="M35" s="1" t="s">
        <v>62</v>
      </c>
      <c r="N35" s="1">
        <v>-134.0</v>
      </c>
      <c r="O35" s="1">
        <v>-0.0689918008547009</v>
      </c>
      <c r="P35" s="1" t="s">
        <v>61</v>
      </c>
      <c r="Q35" s="1" t="s">
        <v>61</v>
      </c>
      <c r="R35" s="1">
        <f t="shared" si="1"/>
        <v>0.006152359804</v>
      </c>
      <c r="S35" s="1">
        <f t="shared" si="2"/>
        <v>104</v>
      </c>
      <c r="T35" s="1">
        <f t="shared" si="3"/>
        <v>2.04</v>
      </c>
      <c r="U35" s="1">
        <f t="shared" si="4"/>
        <v>1</v>
      </c>
      <c r="V35" s="3">
        <f t="shared" si="5"/>
        <v>1</v>
      </c>
      <c r="W35" s="3">
        <f t="shared" si="6"/>
        <v>2</v>
      </c>
      <c r="X35" s="3" t="str">
        <f>IFERROR(__xludf.DUMMYFUNCTION("split(B35,"" "")"),"K.")</f>
        <v>K.</v>
      </c>
      <c r="Y35" s="3" t="str">
        <f>IFERROR(__xludf.DUMMYFUNCTION("""COMPUTED_VALUE"""),"Cousins")</f>
        <v>Cousins</v>
      </c>
      <c r="AA35" s="3">
        <v>30.0</v>
      </c>
      <c r="AB35" s="3">
        <f t="shared" si="7"/>
        <v>0</v>
      </c>
      <c r="AC35" s="3">
        <f t="shared" si="8"/>
        <v>0</v>
      </c>
      <c r="AD35" s="3">
        <f t="shared" si="9"/>
        <v>1.04</v>
      </c>
      <c r="AE35" s="3">
        <f t="shared" si="10"/>
        <v>-1</v>
      </c>
      <c r="AF35" s="3">
        <f t="shared" si="11"/>
        <v>-2</v>
      </c>
      <c r="AG35" s="3">
        <f t="shared" si="12"/>
        <v>-0.1304347826</v>
      </c>
    </row>
    <row r="36">
      <c r="A36" s="1" t="s">
        <v>9</v>
      </c>
      <c r="B36" s="1" t="s">
        <v>264</v>
      </c>
      <c r="C36" s="1" t="s">
        <v>19</v>
      </c>
      <c r="D36" s="1" t="s">
        <v>109</v>
      </c>
      <c r="E36" s="1" t="s">
        <v>57</v>
      </c>
      <c r="F36" s="1" t="s">
        <v>610</v>
      </c>
      <c r="G36" s="1">
        <v>92.5</v>
      </c>
      <c r="H36" s="1" t="s">
        <v>60</v>
      </c>
      <c r="I36" s="1">
        <v>-120.0</v>
      </c>
      <c r="J36" s="1">
        <v>-0.0811966478108514</v>
      </c>
      <c r="K36" s="1" t="s">
        <v>61</v>
      </c>
      <c r="L36" s="1" t="s">
        <v>61</v>
      </c>
      <c r="M36" s="1" t="s">
        <v>62</v>
      </c>
      <c r="N36" s="1">
        <v>-113.0</v>
      </c>
      <c r="O36" s="1">
        <v>0.00523213254280607</v>
      </c>
      <c r="P36" s="1" t="s">
        <v>61</v>
      </c>
      <c r="Q36" s="1" t="s">
        <v>61</v>
      </c>
      <c r="R36" s="1">
        <f t="shared" si="1"/>
        <v>0.005232132543</v>
      </c>
      <c r="S36" s="1">
        <f t="shared" si="2"/>
        <v>-113</v>
      </c>
      <c r="T36" s="1">
        <f t="shared" si="3"/>
        <v>1.884955752</v>
      </c>
      <c r="U36" s="1">
        <f t="shared" si="4"/>
        <v>0</v>
      </c>
      <c r="V36" s="3">
        <f t="shared" si="5"/>
        <v>1</v>
      </c>
      <c r="W36" s="3">
        <f t="shared" si="6"/>
        <v>2</v>
      </c>
      <c r="X36" s="3" t="str">
        <f>IFERROR(__xludf.DUMMYFUNCTION("split(B36,"" "")"),"B.")</f>
        <v>B.</v>
      </c>
      <c r="Y36" s="3" t="str">
        <f>IFERROR(__xludf.DUMMYFUNCTION("""COMPUTED_VALUE"""),"Robinson")</f>
        <v>Robinson</v>
      </c>
      <c r="AA36" s="3">
        <v>105.0</v>
      </c>
      <c r="AB36" s="3">
        <f t="shared" si="7"/>
        <v>1</v>
      </c>
      <c r="AC36" s="3">
        <f t="shared" si="8"/>
        <v>0</v>
      </c>
      <c r="AD36" s="3">
        <f t="shared" si="9"/>
        <v>0.8849557522</v>
      </c>
      <c r="AE36" s="3">
        <f t="shared" si="10"/>
        <v>-1</v>
      </c>
      <c r="AF36" s="3">
        <f t="shared" si="11"/>
        <v>-2</v>
      </c>
      <c r="AG36" s="3">
        <f t="shared" si="12"/>
        <v>-0.1351351351</v>
      </c>
    </row>
    <row r="37">
      <c r="A37" s="1" t="s">
        <v>15</v>
      </c>
      <c r="B37" s="1" t="s">
        <v>328</v>
      </c>
      <c r="C37" s="1" t="s">
        <v>21</v>
      </c>
      <c r="D37" s="1" t="s">
        <v>109</v>
      </c>
      <c r="E37" s="1" t="s">
        <v>57</v>
      </c>
      <c r="F37" s="1" t="s">
        <v>610</v>
      </c>
      <c r="G37" s="1">
        <v>22.5</v>
      </c>
      <c r="H37" s="1" t="s">
        <v>60</v>
      </c>
      <c r="I37" s="1">
        <v>-122.0</v>
      </c>
      <c r="J37" s="1">
        <v>1.40540540540468E-4</v>
      </c>
      <c r="K37" s="1" t="s">
        <v>61</v>
      </c>
      <c r="L37" s="1" t="s">
        <v>61</v>
      </c>
      <c r="M37" s="1" t="s">
        <v>62</v>
      </c>
      <c r="N37" s="1">
        <v>-108.0</v>
      </c>
      <c r="O37" s="1">
        <v>-0.0689346153846152</v>
      </c>
      <c r="P37" s="1" t="s">
        <v>61</v>
      </c>
      <c r="Q37" s="1" t="s">
        <v>61</v>
      </c>
      <c r="R37" s="1">
        <f t="shared" si="1"/>
        <v>0.0001405405405</v>
      </c>
      <c r="S37" s="1">
        <f t="shared" si="2"/>
        <v>-122</v>
      </c>
      <c r="T37" s="1">
        <f t="shared" si="3"/>
        <v>1.819672131</v>
      </c>
      <c r="U37" s="1">
        <f t="shared" si="4"/>
        <v>1</v>
      </c>
      <c r="V37" s="3">
        <f t="shared" si="5"/>
        <v>1</v>
      </c>
      <c r="W37" s="3">
        <f t="shared" si="6"/>
        <v>3</v>
      </c>
      <c r="X37" s="3" t="str">
        <f>IFERROR(__xludf.DUMMYFUNCTION("split(B37,"" "")"),"K.")</f>
        <v>K.</v>
      </c>
      <c r="Y37" s="3" t="str">
        <f>IFERROR(__xludf.DUMMYFUNCTION("""COMPUTED_VALUE"""),"Cousins")</f>
        <v>Cousins</v>
      </c>
      <c r="AA37" s="3">
        <v>19.0</v>
      </c>
      <c r="AB37" s="3">
        <f t="shared" si="7"/>
        <v>0</v>
      </c>
      <c r="AC37" s="3">
        <f t="shared" si="8"/>
        <v>0</v>
      </c>
      <c r="AD37" s="3">
        <f t="shared" si="9"/>
        <v>0.8196721311</v>
      </c>
      <c r="AE37" s="3">
        <f t="shared" si="10"/>
        <v>-1</v>
      </c>
      <c r="AF37" s="3">
        <f t="shared" si="11"/>
        <v>-3</v>
      </c>
      <c r="AG37" s="3">
        <f t="shared" si="12"/>
        <v>-0.1555555556</v>
      </c>
    </row>
    <row r="38">
      <c r="A38" s="1" t="s">
        <v>8</v>
      </c>
      <c r="B38" s="1" t="s">
        <v>182</v>
      </c>
      <c r="C38" s="1" t="s">
        <v>19</v>
      </c>
      <c r="D38" s="1" t="s">
        <v>77</v>
      </c>
      <c r="E38" s="1" t="s">
        <v>114</v>
      </c>
      <c r="F38" s="1" t="s">
        <v>608</v>
      </c>
      <c r="G38" s="1">
        <v>3.5</v>
      </c>
      <c r="H38" s="1" t="s">
        <v>60</v>
      </c>
      <c r="I38" s="1">
        <v>-143.0</v>
      </c>
      <c r="J38" s="1">
        <v>-0.277514619448181</v>
      </c>
      <c r="K38" s="1" t="s">
        <v>61</v>
      </c>
      <c r="L38" s="1" t="s">
        <v>61</v>
      </c>
      <c r="M38" s="1" t="s">
        <v>62</v>
      </c>
      <c r="N38" s="1">
        <v>107.0</v>
      </c>
      <c r="O38" s="1">
        <v>0.205951944569604</v>
      </c>
      <c r="P38" s="1" t="s">
        <v>61</v>
      </c>
      <c r="Q38" s="1" t="s">
        <v>61</v>
      </c>
      <c r="R38" s="1">
        <f t="shared" si="1"/>
        <v>0.2059519446</v>
      </c>
      <c r="S38" s="1">
        <f t="shared" si="2"/>
        <v>107</v>
      </c>
      <c r="T38" s="1">
        <f t="shared" si="3"/>
        <v>2.07</v>
      </c>
      <c r="U38" s="1">
        <f t="shared" si="4"/>
        <v>0</v>
      </c>
      <c r="V38" s="3">
        <f t="shared" si="5"/>
        <v>3</v>
      </c>
      <c r="W38" s="3">
        <f t="shared" si="6"/>
        <v>2</v>
      </c>
      <c r="X38" s="3" t="str">
        <f>IFERROR(__xludf.DUMMYFUNCTION("split(B38,"" "")"),"J.")</f>
        <v>J.</v>
      </c>
      <c r="Y38" s="3" t="str">
        <f>IFERROR(__xludf.DUMMYFUNCTION("""COMPUTED_VALUE"""),"Hill")</f>
        <v>Hill</v>
      </c>
      <c r="AA38" s="3">
        <v>1.0</v>
      </c>
      <c r="AB38" s="3">
        <f t="shared" si="7"/>
        <v>0</v>
      </c>
      <c r="AC38" s="3">
        <f t="shared" si="8"/>
        <v>1</v>
      </c>
      <c r="AD38" s="3">
        <f t="shared" si="9"/>
        <v>3.21</v>
      </c>
      <c r="AE38" s="3">
        <f t="shared" si="10"/>
        <v>3.21</v>
      </c>
      <c r="AF38" s="3">
        <f t="shared" si="11"/>
        <v>2.14</v>
      </c>
      <c r="AG38" s="3">
        <f t="shared" si="12"/>
        <v>0.7142857143</v>
      </c>
    </row>
    <row r="39">
      <c r="A39" s="1" t="s">
        <v>8</v>
      </c>
      <c r="B39" s="1" t="s">
        <v>347</v>
      </c>
      <c r="C39" s="1" t="s">
        <v>21</v>
      </c>
      <c r="D39" s="1" t="s">
        <v>77</v>
      </c>
      <c r="E39" s="1" t="s">
        <v>114</v>
      </c>
      <c r="F39" s="1" t="s">
        <v>608</v>
      </c>
      <c r="G39" s="1">
        <v>8.5</v>
      </c>
      <c r="H39" s="1" t="s">
        <v>60</v>
      </c>
      <c r="I39" s="1">
        <v>-148.0</v>
      </c>
      <c r="J39" s="1">
        <v>-0.254253769780381</v>
      </c>
      <c r="K39" s="1" t="s">
        <v>61</v>
      </c>
      <c r="L39" s="1" t="s">
        <v>61</v>
      </c>
      <c r="M39" s="1" t="s">
        <v>62</v>
      </c>
      <c r="N39" s="1">
        <v>113.0</v>
      </c>
      <c r="O39" s="1">
        <v>0.188009084063543</v>
      </c>
      <c r="P39" s="1" t="s">
        <v>61</v>
      </c>
      <c r="Q39" s="1" t="s">
        <v>61</v>
      </c>
      <c r="R39" s="1">
        <f t="shared" si="1"/>
        <v>0.1880090841</v>
      </c>
      <c r="S39" s="1">
        <f t="shared" si="2"/>
        <v>113</v>
      </c>
      <c r="T39" s="1">
        <f t="shared" si="3"/>
        <v>2.13</v>
      </c>
      <c r="U39" s="1">
        <f t="shared" si="4"/>
        <v>0</v>
      </c>
      <c r="V39" s="3">
        <f t="shared" si="5"/>
        <v>3</v>
      </c>
      <c r="W39" s="3">
        <f t="shared" si="6"/>
        <v>1</v>
      </c>
      <c r="X39" s="3" t="str">
        <f>IFERROR(__xludf.DUMMYFUNCTION("split(B39,"" "")"),"L.")</f>
        <v>L.</v>
      </c>
      <c r="Y39" s="3" t="str">
        <f>IFERROR(__xludf.DUMMYFUNCTION("""COMPUTED_VALUE"""),"Jackson")</f>
        <v>Jackson</v>
      </c>
      <c r="AA39" s="3">
        <v>11.0</v>
      </c>
      <c r="AB39" s="3">
        <f t="shared" si="7"/>
        <v>1</v>
      </c>
      <c r="AC39" s="3">
        <f t="shared" si="8"/>
        <v>0</v>
      </c>
      <c r="AD39" s="3">
        <f t="shared" si="9"/>
        <v>3.39</v>
      </c>
      <c r="AE39" s="3">
        <f t="shared" si="10"/>
        <v>-3</v>
      </c>
      <c r="AF39" s="3">
        <f t="shared" si="11"/>
        <v>-1</v>
      </c>
      <c r="AG39" s="3">
        <f t="shared" si="12"/>
        <v>-0.2941176471</v>
      </c>
    </row>
    <row r="40">
      <c r="A40" s="1" t="s">
        <v>11</v>
      </c>
      <c r="B40" s="1" t="s">
        <v>611</v>
      </c>
      <c r="C40" s="1" t="s">
        <v>20</v>
      </c>
      <c r="D40" s="1" t="s">
        <v>77</v>
      </c>
      <c r="E40" s="1" t="s">
        <v>114</v>
      </c>
      <c r="F40" s="1" t="s">
        <v>608</v>
      </c>
      <c r="G40" s="1">
        <v>0.5</v>
      </c>
      <c r="H40" s="1" t="s">
        <v>60</v>
      </c>
      <c r="I40" s="1">
        <v>-101.0</v>
      </c>
      <c r="J40" s="1">
        <v>0.187147576095658</v>
      </c>
      <c r="K40" s="1" t="s">
        <v>61</v>
      </c>
      <c r="L40" s="1" t="s">
        <v>61</v>
      </c>
      <c r="M40" s="1" t="s">
        <v>62</v>
      </c>
      <c r="N40" s="1">
        <v>-127.0</v>
      </c>
      <c r="O40" s="1">
        <v>-0.249110879955677</v>
      </c>
      <c r="P40" s="1" t="s">
        <v>61</v>
      </c>
      <c r="Q40" s="1" t="s">
        <v>61</v>
      </c>
      <c r="R40" s="1">
        <f t="shared" si="1"/>
        <v>0.1871475761</v>
      </c>
      <c r="S40" s="1">
        <f t="shared" si="2"/>
        <v>-101</v>
      </c>
      <c r="T40" s="1">
        <f t="shared" si="3"/>
        <v>1.99009901</v>
      </c>
      <c r="U40" s="1">
        <f t="shared" si="4"/>
        <v>1</v>
      </c>
      <c r="V40" s="3">
        <f t="shared" si="5"/>
        <v>3</v>
      </c>
      <c r="W40" s="3">
        <f t="shared" si="6"/>
        <v>2</v>
      </c>
      <c r="X40" s="3" t="str">
        <f>IFERROR(__xludf.DUMMYFUNCTION("split(B40,"" "")"),"C.")</f>
        <v>C.</v>
      </c>
      <c r="Y40" s="3" t="str">
        <f>IFERROR(__xludf.DUMMYFUNCTION("""COMPUTED_VALUE"""),"Kolar")</f>
        <v>Kolar</v>
      </c>
      <c r="AA40" s="3">
        <v>0.0</v>
      </c>
      <c r="AB40" s="3">
        <f t="shared" si="7"/>
        <v>0</v>
      </c>
      <c r="AC40" s="3">
        <f t="shared" si="8"/>
        <v>0</v>
      </c>
      <c r="AD40" s="3">
        <f t="shared" si="9"/>
        <v>2.97029703</v>
      </c>
      <c r="AE40" s="3">
        <f t="shared" si="10"/>
        <v>-3</v>
      </c>
      <c r="AF40" s="3">
        <f t="shared" si="11"/>
        <v>-2</v>
      </c>
      <c r="AG40" s="3">
        <f t="shared" si="12"/>
        <v>-1</v>
      </c>
    </row>
    <row r="41">
      <c r="A41" s="1" t="s">
        <v>9</v>
      </c>
      <c r="B41" s="1" t="s">
        <v>138</v>
      </c>
      <c r="C41" s="1" t="s">
        <v>18</v>
      </c>
      <c r="D41" s="1" t="s">
        <v>77</v>
      </c>
      <c r="E41" s="1" t="s">
        <v>114</v>
      </c>
      <c r="F41" s="1" t="s">
        <v>608</v>
      </c>
      <c r="G41" s="1">
        <v>16.5</v>
      </c>
      <c r="H41" s="1" t="s">
        <v>60</v>
      </c>
      <c r="I41" s="1">
        <v>-115.0</v>
      </c>
      <c r="J41" s="1">
        <v>0.147367714748925</v>
      </c>
      <c r="K41" s="1" t="s">
        <v>61</v>
      </c>
      <c r="L41" s="1" t="s">
        <v>61</v>
      </c>
      <c r="M41" s="1" t="s">
        <v>62</v>
      </c>
      <c r="N41" s="1">
        <v>-115.0</v>
      </c>
      <c r="O41" s="1">
        <v>-0.217127871961264</v>
      </c>
      <c r="P41" s="1" t="s">
        <v>61</v>
      </c>
      <c r="Q41" s="1" t="s">
        <v>61</v>
      </c>
      <c r="R41" s="1">
        <f t="shared" si="1"/>
        <v>0.1473677147</v>
      </c>
      <c r="S41" s="1">
        <f t="shared" si="2"/>
        <v>-115</v>
      </c>
      <c r="T41" s="1">
        <f t="shared" si="3"/>
        <v>1.869565217</v>
      </c>
      <c r="U41" s="1">
        <f t="shared" si="4"/>
        <v>1</v>
      </c>
      <c r="V41" s="3">
        <f t="shared" si="5"/>
        <v>3</v>
      </c>
      <c r="W41" s="3">
        <f t="shared" si="6"/>
        <v>2</v>
      </c>
      <c r="X41" s="3" t="str">
        <f>IFERROR(__xludf.DUMMYFUNCTION("split(B41,"" "")"),"N.")</f>
        <v>N.</v>
      </c>
      <c r="Y41" s="3" t="str">
        <f>IFERROR(__xludf.DUMMYFUNCTION("""COMPUTED_VALUE"""),"Agholor")</f>
        <v>Agholor</v>
      </c>
      <c r="AA41" s="3">
        <v>25.0</v>
      </c>
      <c r="AB41" s="3">
        <f t="shared" si="7"/>
        <v>1</v>
      </c>
      <c r="AC41" s="3">
        <f t="shared" si="8"/>
        <v>1</v>
      </c>
      <c r="AD41" s="3">
        <f t="shared" si="9"/>
        <v>2.608695652</v>
      </c>
      <c r="AE41" s="3">
        <f t="shared" si="10"/>
        <v>2.608695652</v>
      </c>
      <c r="AF41" s="3">
        <f t="shared" si="11"/>
        <v>1.739130435</v>
      </c>
      <c r="AG41" s="3">
        <f t="shared" si="12"/>
        <v>0.5151515152</v>
      </c>
    </row>
    <row r="42">
      <c r="A42" s="1" t="s">
        <v>12</v>
      </c>
      <c r="B42" s="1" t="s">
        <v>239</v>
      </c>
      <c r="C42" s="1" t="s">
        <v>18</v>
      </c>
      <c r="D42" s="1" t="s">
        <v>77</v>
      </c>
      <c r="E42" s="1" t="s">
        <v>114</v>
      </c>
      <c r="F42" s="1" t="s">
        <v>608</v>
      </c>
      <c r="G42" s="1">
        <v>2.5</v>
      </c>
      <c r="H42" s="1" t="s">
        <v>60</v>
      </c>
      <c r="I42" s="1">
        <v>-105.0</v>
      </c>
      <c r="J42" s="1">
        <v>-0.153893015902439</v>
      </c>
      <c r="K42" s="1" t="s">
        <v>61</v>
      </c>
      <c r="L42" s="1" t="s">
        <v>61</v>
      </c>
      <c r="M42" s="1" t="s">
        <v>62</v>
      </c>
      <c r="N42" s="1">
        <v>-125.0</v>
      </c>
      <c r="O42" s="1">
        <v>0.0861420458888888</v>
      </c>
      <c r="P42" s="1" t="s">
        <v>61</v>
      </c>
      <c r="Q42" s="1" t="s">
        <v>61</v>
      </c>
      <c r="R42" s="1">
        <f t="shared" si="1"/>
        <v>0.08614204589</v>
      </c>
      <c r="S42" s="1">
        <f t="shared" si="2"/>
        <v>-125</v>
      </c>
      <c r="T42" s="1">
        <f t="shared" si="3"/>
        <v>1.8</v>
      </c>
      <c r="U42" s="1">
        <f t="shared" si="4"/>
        <v>0</v>
      </c>
      <c r="V42" s="3">
        <f t="shared" si="5"/>
        <v>2</v>
      </c>
      <c r="W42" s="3">
        <f t="shared" si="6"/>
        <v>3</v>
      </c>
      <c r="X42" s="3" t="str">
        <f>IFERROR(__xludf.DUMMYFUNCTION("split(B42,"" "")"),"R.")</f>
        <v>R.</v>
      </c>
      <c r="Y42" s="3" t="str">
        <f>IFERROR(__xludf.DUMMYFUNCTION("""COMPUTED_VALUE"""),"Bateman")</f>
        <v>Bateman</v>
      </c>
      <c r="AA42" s="3">
        <v>4.0</v>
      </c>
      <c r="AB42" s="3">
        <f t="shared" si="7"/>
        <v>1</v>
      </c>
      <c r="AC42" s="3">
        <f t="shared" si="8"/>
        <v>0</v>
      </c>
      <c r="AD42" s="3">
        <f t="shared" si="9"/>
        <v>1.6</v>
      </c>
      <c r="AE42" s="3">
        <f t="shared" si="10"/>
        <v>-2</v>
      </c>
      <c r="AF42" s="3">
        <f t="shared" si="11"/>
        <v>-3</v>
      </c>
      <c r="AG42" s="3">
        <f t="shared" si="12"/>
        <v>-0.6</v>
      </c>
    </row>
    <row r="43">
      <c r="A43" s="1" t="s">
        <v>12</v>
      </c>
      <c r="B43" s="1" t="s">
        <v>138</v>
      </c>
      <c r="C43" s="1" t="s">
        <v>18</v>
      </c>
      <c r="D43" s="1" t="s">
        <v>77</v>
      </c>
      <c r="E43" s="1" t="s">
        <v>114</v>
      </c>
      <c r="F43" s="1" t="s">
        <v>608</v>
      </c>
      <c r="G43" s="1">
        <v>1.5</v>
      </c>
      <c r="H43" s="1" t="s">
        <v>60</v>
      </c>
      <c r="I43" s="1">
        <v>100.0</v>
      </c>
      <c r="J43" s="1">
        <v>-0.149791762389999</v>
      </c>
      <c r="K43" s="1" t="s">
        <v>61</v>
      </c>
      <c r="L43" s="1" t="s">
        <v>61</v>
      </c>
      <c r="M43" s="1" t="s">
        <v>62</v>
      </c>
      <c r="N43" s="1">
        <v>-130.0</v>
      </c>
      <c r="O43" s="1">
        <v>0.0845602531365217</v>
      </c>
      <c r="P43" s="1" t="s">
        <v>61</v>
      </c>
      <c r="Q43" s="1" t="s">
        <v>61</v>
      </c>
      <c r="R43" s="1">
        <f t="shared" si="1"/>
        <v>0.08456025314</v>
      </c>
      <c r="S43" s="1">
        <f t="shared" si="2"/>
        <v>-130</v>
      </c>
      <c r="T43" s="1">
        <f t="shared" si="3"/>
        <v>1.769230769</v>
      </c>
      <c r="U43" s="1">
        <f t="shared" si="4"/>
        <v>0</v>
      </c>
      <c r="V43" s="3">
        <f t="shared" si="5"/>
        <v>2</v>
      </c>
      <c r="W43" s="3">
        <f t="shared" si="6"/>
        <v>3</v>
      </c>
      <c r="X43" s="3" t="str">
        <f>IFERROR(__xludf.DUMMYFUNCTION("split(B43,"" "")"),"N.")</f>
        <v>N.</v>
      </c>
      <c r="Y43" s="3" t="str">
        <f>IFERROR(__xludf.DUMMYFUNCTION("""COMPUTED_VALUE"""),"Agholor")</f>
        <v>Agholor</v>
      </c>
      <c r="AA43" s="3">
        <v>1.0</v>
      </c>
      <c r="AB43" s="3">
        <f t="shared" si="7"/>
        <v>0</v>
      </c>
      <c r="AC43" s="3">
        <f t="shared" si="8"/>
        <v>1</v>
      </c>
      <c r="AD43" s="3">
        <f t="shared" si="9"/>
        <v>1.538461538</v>
      </c>
      <c r="AE43" s="3">
        <f t="shared" si="10"/>
        <v>1.538461538</v>
      </c>
      <c r="AF43" s="3">
        <f t="shared" si="11"/>
        <v>2.307692308</v>
      </c>
      <c r="AG43" s="3">
        <f t="shared" si="12"/>
        <v>0.3333333333</v>
      </c>
    </row>
    <row r="44">
      <c r="A44" s="1" t="s">
        <v>12</v>
      </c>
      <c r="B44" s="1" t="s">
        <v>399</v>
      </c>
      <c r="C44" s="1" t="s">
        <v>18</v>
      </c>
      <c r="D44" s="1" t="s">
        <v>77</v>
      </c>
      <c r="E44" s="1" t="s">
        <v>114</v>
      </c>
      <c r="F44" s="1" t="s">
        <v>608</v>
      </c>
      <c r="G44" s="1">
        <v>5.5</v>
      </c>
      <c r="H44" s="1" t="s">
        <v>60</v>
      </c>
      <c r="I44" s="1">
        <v>125.0</v>
      </c>
      <c r="J44" s="1">
        <v>0.0745111111111111</v>
      </c>
      <c r="K44" s="1" t="s">
        <v>61</v>
      </c>
      <c r="L44" s="1" t="s">
        <v>61</v>
      </c>
      <c r="M44" s="1" t="s">
        <v>62</v>
      </c>
      <c r="N44" s="1">
        <v>-165.0</v>
      </c>
      <c r="O44" s="1">
        <v>-0.141603773584905</v>
      </c>
      <c r="P44" s="1" t="s">
        <v>61</v>
      </c>
      <c r="Q44" s="1" t="s">
        <v>61</v>
      </c>
      <c r="R44" s="1">
        <f t="shared" si="1"/>
        <v>0.07451111111</v>
      </c>
      <c r="S44" s="1">
        <f t="shared" si="2"/>
        <v>125</v>
      </c>
      <c r="T44" s="1">
        <f t="shared" si="3"/>
        <v>2.25</v>
      </c>
      <c r="U44" s="1">
        <f t="shared" si="4"/>
        <v>1</v>
      </c>
      <c r="V44" s="3">
        <f t="shared" si="5"/>
        <v>2</v>
      </c>
      <c r="W44" s="3">
        <f t="shared" si="6"/>
        <v>1</v>
      </c>
      <c r="X44" s="3" t="str">
        <f>IFERROR(__xludf.DUMMYFUNCTION("split(B44,"" "")"),"Z.")</f>
        <v>Z.</v>
      </c>
      <c r="Y44" s="3" t="str">
        <f>IFERROR(__xludf.DUMMYFUNCTION("""COMPUTED_VALUE"""),"Flowers")</f>
        <v>Flowers</v>
      </c>
      <c r="AA44" s="3">
        <v>9.0</v>
      </c>
      <c r="AB44" s="3">
        <f t="shared" si="7"/>
        <v>1</v>
      </c>
      <c r="AC44" s="3">
        <f t="shared" si="8"/>
        <v>1</v>
      </c>
      <c r="AD44" s="3">
        <f t="shared" si="9"/>
        <v>2.5</v>
      </c>
      <c r="AE44" s="3">
        <f t="shared" si="10"/>
        <v>2.5</v>
      </c>
      <c r="AF44" s="3">
        <f t="shared" si="11"/>
        <v>1.25</v>
      </c>
      <c r="AG44" s="3">
        <f t="shared" si="12"/>
        <v>0.6363636364</v>
      </c>
    </row>
    <row r="45">
      <c r="A45" s="1" t="s">
        <v>12</v>
      </c>
      <c r="B45" s="1" t="s">
        <v>182</v>
      </c>
      <c r="C45" s="1" t="s">
        <v>19</v>
      </c>
      <c r="D45" s="1" t="s">
        <v>77</v>
      </c>
      <c r="E45" s="1" t="s">
        <v>114</v>
      </c>
      <c r="F45" s="1" t="s">
        <v>608</v>
      </c>
      <c r="G45" s="1">
        <v>2.5</v>
      </c>
      <c r="H45" s="1" t="s">
        <v>60</v>
      </c>
      <c r="I45" s="1">
        <v>-109.0</v>
      </c>
      <c r="J45" s="1">
        <v>-0.123275827129186</v>
      </c>
      <c r="K45" s="1" t="s">
        <v>61</v>
      </c>
      <c r="L45" s="1" t="s">
        <v>61</v>
      </c>
      <c r="M45" s="1" t="s">
        <v>62</v>
      </c>
      <c r="N45" s="1">
        <v>-121.0</v>
      </c>
      <c r="O45" s="1">
        <v>0.0542398684285065</v>
      </c>
      <c r="P45" s="1" t="s">
        <v>61</v>
      </c>
      <c r="Q45" s="1" t="s">
        <v>61</v>
      </c>
      <c r="R45" s="1">
        <f t="shared" si="1"/>
        <v>0.05423986843</v>
      </c>
      <c r="S45" s="1">
        <f t="shared" si="2"/>
        <v>-121</v>
      </c>
      <c r="T45" s="1">
        <f t="shared" si="3"/>
        <v>1.826446281</v>
      </c>
      <c r="U45" s="1">
        <f t="shared" si="4"/>
        <v>0</v>
      </c>
      <c r="V45" s="3">
        <f t="shared" si="5"/>
        <v>2</v>
      </c>
      <c r="W45" s="3">
        <f t="shared" si="6"/>
        <v>3</v>
      </c>
      <c r="X45" s="3" t="str">
        <f>IFERROR(__xludf.DUMMYFUNCTION("split(B45,"" "")"),"J.")</f>
        <v>J.</v>
      </c>
      <c r="Y45" s="3" t="str">
        <f>IFERROR(__xludf.DUMMYFUNCTION("""COMPUTED_VALUE"""),"Hill")</f>
        <v>Hill</v>
      </c>
      <c r="AA45" s="3">
        <v>1.0</v>
      </c>
      <c r="AB45" s="3">
        <f t="shared" si="7"/>
        <v>0</v>
      </c>
      <c r="AC45" s="3">
        <f t="shared" si="8"/>
        <v>1</v>
      </c>
      <c r="AD45" s="3">
        <f t="shared" si="9"/>
        <v>1.652892562</v>
      </c>
      <c r="AE45" s="3">
        <f t="shared" si="10"/>
        <v>1.652892562</v>
      </c>
      <c r="AF45" s="3">
        <f t="shared" si="11"/>
        <v>2.479338843</v>
      </c>
      <c r="AG45" s="3">
        <f t="shared" si="12"/>
        <v>0.6</v>
      </c>
    </row>
    <row r="46">
      <c r="A46" s="1" t="s">
        <v>12</v>
      </c>
      <c r="B46" s="1" t="s">
        <v>309</v>
      </c>
      <c r="C46" s="1" t="s">
        <v>19</v>
      </c>
      <c r="D46" s="1" t="s">
        <v>77</v>
      </c>
      <c r="E46" s="1" t="s">
        <v>114</v>
      </c>
      <c r="F46" s="1" t="s">
        <v>608</v>
      </c>
      <c r="G46" s="1">
        <v>1.5</v>
      </c>
      <c r="H46" s="1" t="s">
        <v>60</v>
      </c>
      <c r="I46" s="1">
        <v>116.0</v>
      </c>
      <c r="J46" s="1">
        <v>-0.117154593455555</v>
      </c>
      <c r="K46" s="1" t="s">
        <v>61</v>
      </c>
      <c r="L46" s="1" t="s">
        <v>61</v>
      </c>
      <c r="M46" s="1" t="s">
        <v>62</v>
      </c>
      <c r="N46" s="1">
        <v>-152.0</v>
      </c>
      <c r="O46" s="1">
        <v>0.0510159965904762</v>
      </c>
      <c r="P46" s="1" t="s">
        <v>61</v>
      </c>
      <c r="Q46" s="1" t="s">
        <v>61</v>
      </c>
      <c r="R46" s="1">
        <f t="shared" si="1"/>
        <v>0.05101599659</v>
      </c>
      <c r="S46" s="1">
        <f t="shared" si="2"/>
        <v>-152</v>
      </c>
      <c r="T46" s="1">
        <f t="shared" si="3"/>
        <v>1.657894737</v>
      </c>
      <c r="U46" s="1">
        <f t="shared" si="4"/>
        <v>0</v>
      </c>
      <c r="V46" s="3">
        <f t="shared" si="5"/>
        <v>2</v>
      </c>
      <c r="W46" s="3">
        <f t="shared" si="6"/>
        <v>3</v>
      </c>
      <c r="X46" s="3" t="str">
        <f>IFERROR(__xludf.DUMMYFUNCTION("split(B46,"" "")"),"D.")</f>
        <v>D.</v>
      </c>
      <c r="Y46" s="3" t="str">
        <f>IFERROR(__xludf.DUMMYFUNCTION("""COMPUTED_VALUE"""),"Henry")</f>
        <v>Henry</v>
      </c>
      <c r="AA46" s="3">
        <v>0.0</v>
      </c>
      <c r="AB46" s="3">
        <f t="shared" si="7"/>
        <v>0</v>
      </c>
      <c r="AC46" s="3">
        <f t="shared" si="8"/>
        <v>1</v>
      </c>
      <c r="AD46" s="3">
        <f t="shared" si="9"/>
        <v>1.315789474</v>
      </c>
      <c r="AE46" s="3">
        <f t="shared" si="10"/>
        <v>1.315789474</v>
      </c>
      <c r="AF46" s="3">
        <f t="shared" si="11"/>
        <v>1.973684211</v>
      </c>
      <c r="AG46" s="3">
        <f t="shared" si="12"/>
        <v>1</v>
      </c>
    </row>
    <row r="47">
      <c r="A47" s="1" t="s">
        <v>9</v>
      </c>
      <c r="B47" s="1" t="s">
        <v>239</v>
      </c>
      <c r="C47" s="1" t="s">
        <v>18</v>
      </c>
      <c r="D47" s="1" t="s">
        <v>77</v>
      </c>
      <c r="E47" s="1" t="s">
        <v>114</v>
      </c>
      <c r="F47" s="1" t="s">
        <v>608</v>
      </c>
      <c r="G47" s="1">
        <v>30.5</v>
      </c>
      <c r="H47" s="1" t="s">
        <v>60</v>
      </c>
      <c r="I47" s="1">
        <v>-115.0</v>
      </c>
      <c r="J47" s="1">
        <v>0.0413123998422084</v>
      </c>
      <c r="K47" s="1" t="s">
        <v>61</v>
      </c>
      <c r="L47" s="1" t="s">
        <v>61</v>
      </c>
      <c r="M47" s="1" t="s">
        <v>62</v>
      </c>
      <c r="N47" s="1">
        <v>-115.0</v>
      </c>
      <c r="O47" s="1">
        <v>-0.111094259818539</v>
      </c>
      <c r="P47" s="1" t="s">
        <v>61</v>
      </c>
      <c r="Q47" s="1" t="s">
        <v>61</v>
      </c>
      <c r="R47" s="1">
        <f t="shared" si="1"/>
        <v>0.04131239984</v>
      </c>
      <c r="S47" s="1">
        <f t="shared" si="2"/>
        <v>-115</v>
      </c>
      <c r="T47" s="1">
        <f t="shared" si="3"/>
        <v>1.869565217</v>
      </c>
      <c r="U47" s="1">
        <f t="shared" si="4"/>
        <v>1</v>
      </c>
      <c r="V47" s="3">
        <f t="shared" si="5"/>
        <v>1</v>
      </c>
      <c r="W47" s="3">
        <f t="shared" si="6"/>
        <v>2</v>
      </c>
      <c r="X47" s="3" t="str">
        <f>IFERROR(__xludf.DUMMYFUNCTION("split(B47,"" "")"),"R.")</f>
        <v>R.</v>
      </c>
      <c r="Y47" s="3" t="str">
        <f>IFERROR(__xludf.DUMMYFUNCTION("""COMPUTED_VALUE"""),"Bateman")</f>
        <v>Bateman</v>
      </c>
      <c r="AA47" s="3">
        <v>71.0</v>
      </c>
      <c r="AB47" s="3">
        <f t="shared" si="7"/>
        <v>1</v>
      </c>
      <c r="AC47" s="3">
        <f t="shared" si="8"/>
        <v>1</v>
      </c>
      <c r="AD47" s="3">
        <f t="shared" si="9"/>
        <v>0.8695652174</v>
      </c>
      <c r="AE47" s="3">
        <f t="shared" si="10"/>
        <v>0.8695652174</v>
      </c>
      <c r="AF47" s="3">
        <f t="shared" si="11"/>
        <v>1.739130435</v>
      </c>
      <c r="AG47" s="3">
        <f t="shared" si="12"/>
        <v>1.327868852</v>
      </c>
    </row>
    <row r="48">
      <c r="A48" s="1" t="s">
        <v>10</v>
      </c>
      <c r="B48" s="1" t="s">
        <v>182</v>
      </c>
      <c r="C48" s="1" t="s">
        <v>19</v>
      </c>
      <c r="D48" s="1" t="s">
        <v>77</v>
      </c>
      <c r="E48" s="1" t="s">
        <v>114</v>
      </c>
      <c r="F48" s="1" t="s">
        <v>608</v>
      </c>
      <c r="G48" s="1">
        <v>15.5</v>
      </c>
      <c r="H48" s="1" t="s">
        <v>60</v>
      </c>
      <c r="I48" s="1">
        <v>-114.0</v>
      </c>
      <c r="J48" s="1">
        <v>-0.100491974513271</v>
      </c>
      <c r="K48" s="1" t="s">
        <v>61</v>
      </c>
      <c r="L48" s="1" t="s">
        <v>61</v>
      </c>
      <c r="M48" s="1" t="s">
        <v>62</v>
      </c>
      <c r="N48" s="1">
        <v>-114.0</v>
      </c>
      <c r="O48" s="1">
        <v>0.0350968509451294</v>
      </c>
      <c r="P48" s="1" t="s">
        <v>61</v>
      </c>
      <c r="Q48" s="1" t="s">
        <v>61</v>
      </c>
      <c r="R48" s="1">
        <f t="shared" si="1"/>
        <v>0.03509685095</v>
      </c>
      <c r="S48" s="1">
        <f t="shared" si="2"/>
        <v>-114</v>
      </c>
      <c r="T48" s="1">
        <f t="shared" si="3"/>
        <v>1.877192982</v>
      </c>
      <c r="U48" s="1">
        <f t="shared" si="4"/>
        <v>0</v>
      </c>
      <c r="V48" s="3">
        <f t="shared" si="5"/>
        <v>1</v>
      </c>
      <c r="W48" s="3">
        <f t="shared" si="6"/>
        <v>2</v>
      </c>
      <c r="X48" s="3" t="str">
        <f>IFERROR(__xludf.DUMMYFUNCTION("split(B48,"" "")"),"J.")</f>
        <v>J.</v>
      </c>
      <c r="Y48" s="3" t="str">
        <f>IFERROR(__xludf.DUMMYFUNCTION("""COMPUTED_VALUE"""),"Hill")</f>
        <v>Hill</v>
      </c>
      <c r="AA48" s="3">
        <v>2.0</v>
      </c>
      <c r="AB48" s="3">
        <f t="shared" si="7"/>
        <v>0</v>
      </c>
      <c r="AC48" s="3">
        <f t="shared" si="8"/>
        <v>1</v>
      </c>
      <c r="AD48" s="3">
        <f t="shared" si="9"/>
        <v>0.8771929825</v>
      </c>
      <c r="AE48" s="3">
        <f t="shared" si="10"/>
        <v>0.8771929825</v>
      </c>
      <c r="AF48" s="3">
        <f t="shared" si="11"/>
        <v>1.754385965</v>
      </c>
      <c r="AG48" s="3">
        <f t="shared" si="12"/>
        <v>0.8709677419</v>
      </c>
    </row>
    <row r="49">
      <c r="A49" s="1" t="s">
        <v>11</v>
      </c>
      <c r="B49" s="1" t="s">
        <v>309</v>
      </c>
      <c r="C49" s="1" t="s">
        <v>19</v>
      </c>
      <c r="D49" s="1" t="s">
        <v>77</v>
      </c>
      <c r="E49" s="1" t="s">
        <v>114</v>
      </c>
      <c r="F49" s="1" t="s">
        <v>608</v>
      </c>
      <c r="G49" s="1">
        <v>8.5</v>
      </c>
      <c r="H49" s="1" t="s">
        <v>60</v>
      </c>
      <c r="I49" s="1">
        <v>-115.0</v>
      </c>
      <c r="J49" s="1">
        <v>0.0294668999908007</v>
      </c>
      <c r="K49" s="1" t="s">
        <v>61</v>
      </c>
      <c r="L49" s="1" t="s">
        <v>61</v>
      </c>
      <c r="M49" s="1" t="s">
        <v>62</v>
      </c>
      <c r="N49" s="1">
        <v>-110.0</v>
      </c>
      <c r="O49" s="1">
        <v>-0.0881286754658304</v>
      </c>
      <c r="P49" s="1" t="s">
        <v>61</v>
      </c>
      <c r="Q49" s="1" t="s">
        <v>61</v>
      </c>
      <c r="R49" s="1">
        <f t="shared" si="1"/>
        <v>0.02946689999</v>
      </c>
      <c r="S49" s="1">
        <f t="shared" si="2"/>
        <v>-115</v>
      </c>
      <c r="T49" s="1">
        <f t="shared" si="3"/>
        <v>1.869565217</v>
      </c>
      <c r="U49" s="1">
        <f t="shared" si="4"/>
        <v>1</v>
      </c>
      <c r="V49" s="3">
        <f t="shared" si="5"/>
        <v>1</v>
      </c>
      <c r="W49" s="3">
        <f t="shared" si="6"/>
        <v>2</v>
      </c>
      <c r="X49" s="3" t="str">
        <f>IFERROR(__xludf.DUMMYFUNCTION("split(B49,"" "")"),"D.")</f>
        <v>D.</v>
      </c>
      <c r="Y49" s="3" t="str">
        <f>IFERROR(__xludf.DUMMYFUNCTION("""COMPUTED_VALUE"""),"Henry")</f>
        <v>Henry</v>
      </c>
      <c r="AA49" s="3">
        <v>0.0</v>
      </c>
      <c r="AB49" s="3">
        <f t="shared" si="7"/>
        <v>0</v>
      </c>
      <c r="AC49" s="3">
        <f t="shared" si="8"/>
        <v>0</v>
      </c>
      <c r="AD49" s="3">
        <f t="shared" si="9"/>
        <v>0.8695652174</v>
      </c>
      <c r="AE49" s="3">
        <f t="shared" si="10"/>
        <v>-1</v>
      </c>
      <c r="AF49" s="3">
        <f t="shared" si="11"/>
        <v>-2</v>
      </c>
      <c r="AG49" s="3">
        <f t="shared" si="12"/>
        <v>-1</v>
      </c>
    </row>
    <row r="50">
      <c r="A50" s="1" t="s">
        <v>16</v>
      </c>
      <c r="B50" s="1" t="s">
        <v>347</v>
      </c>
      <c r="C50" s="1" t="s">
        <v>21</v>
      </c>
      <c r="D50" s="1" t="s">
        <v>77</v>
      </c>
      <c r="E50" s="1" t="s">
        <v>114</v>
      </c>
      <c r="F50" s="1" t="s">
        <v>608</v>
      </c>
      <c r="G50" s="1">
        <v>28.5</v>
      </c>
      <c r="H50" s="1" t="s">
        <v>60</v>
      </c>
      <c r="I50" s="1">
        <v>-125.0</v>
      </c>
      <c r="J50" s="1">
        <v>-0.0925542295999999</v>
      </c>
      <c r="K50" s="1" t="s">
        <v>61</v>
      </c>
      <c r="L50" s="1" t="s">
        <v>61</v>
      </c>
      <c r="M50" s="1" t="s">
        <v>62</v>
      </c>
      <c r="N50" s="1">
        <v>-104.0</v>
      </c>
      <c r="O50" s="1">
        <v>0.0271945574823528</v>
      </c>
      <c r="P50" s="1" t="s">
        <v>61</v>
      </c>
      <c r="Q50" s="1" t="s">
        <v>61</v>
      </c>
      <c r="R50" s="1">
        <f t="shared" si="1"/>
        <v>0.02719455748</v>
      </c>
      <c r="S50" s="1">
        <f t="shared" si="2"/>
        <v>-104</v>
      </c>
      <c r="T50" s="1">
        <f t="shared" si="3"/>
        <v>1.961538462</v>
      </c>
      <c r="U50" s="1">
        <f t="shared" si="4"/>
        <v>0</v>
      </c>
      <c r="V50" s="3">
        <f t="shared" si="5"/>
        <v>1</v>
      </c>
      <c r="W50" s="3">
        <f t="shared" si="6"/>
        <v>2</v>
      </c>
      <c r="X50" s="3" t="str">
        <f>IFERROR(__xludf.DUMMYFUNCTION("split(B50,"" "")"),"L.")</f>
        <v>L.</v>
      </c>
      <c r="Y50" s="3" t="str">
        <f>IFERROR(__xludf.DUMMYFUNCTION("""COMPUTED_VALUE"""),"Jackson")</f>
        <v>Jackson</v>
      </c>
      <c r="AA50" s="3">
        <v>26.0</v>
      </c>
      <c r="AB50" s="3">
        <f t="shared" si="7"/>
        <v>0</v>
      </c>
      <c r="AC50" s="3">
        <f t="shared" si="8"/>
        <v>1</v>
      </c>
      <c r="AD50" s="3">
        <f t="shared" si="9"/>
        <v>0.9615384615</v>
      </c>
      <c r="AE50" s="3">
        <f t="shared" si="10"/>
        <v>0.9615384615</v>
      </c>
      <c r="AF50" s="3">
        <f t="shared" si="11"/>
        <v>1.923076923</v>
      </c>
      <c r="AG50" s="3">
        <f t="shared" si="12"/>
        <v>0.08771929825</v>
      </c>
    </row>
    <row r="51">
      <c r="A51" s="1" t="s">
        <v>12</v>
      </c>
      <c r="B51" s="1" t="s">
        <v>418</v>
      </c>
      <c r="C51" s="1" t="s">
        <v>20</v>
      </c>
      <c r="D51" s="1" t="s">
        <v>77</v>
      </c>
      <c r="E51" s="1" t="s">
        <v>114</v>
      </c>
      <c r="F51" s="1" t="s">
        <v>608</v>
      </c>
      <c r="G51" s="1">
        <v>2.5</v>
      </c>
      <c r="H51" s="1" t="s">
        <v>60</v>
      </c>
      <c r="I51" s="1">
        <v>120.0</v>
      </c>
      <c r="J51" s="1">
        <v>-0.0903520379454545</v>
      </c>
      <c r="K51" s="1" t="s">
        <v>61</v>
      </c>
      <c r="L51" s="1" t="s">
        <v>61</v>
      </c>
      <c r="M51" s="1" t="s">
        <v>62</v>
      </c>
      <c r="N51" s="1">
        <v>-157.0</v>
      </c>
      <c r="O51" s="1">
        <v>0.0249244290089493</v>
      </c>
      <c r="P51" s="1" t="s">
        <v>61</v>
      </c>
      <c r="Q51" s="1" t="s">
        <v>61</v>
      </c>
      <c r="R51" s="1">
        <f t="shared" si="1"/>
        <v>0.02492442901</v>
      </c>
      <c r="S51" s="1">
        <f t="shared" si="2"/>
        <v>-157</v>
      </c>
      <c r="T51" s="1">
        <f t="shared" si="3"/>
        <v>1.636942675</v>
      </c>
      <c r="U51" s="1">
        <f t="shared" si="4"/>
        <v>0</v>
      </c>
      <c r="V51" s="3">
        <f t="shared" si="5"/>
        <v>1</v>
      </c>
      <c r="W51" s="3">
        <f t="shared" si="6"/>
        <v>3</v>
      </c>
      <c r="X51" s="3" t="str">
        <f>IFERROR(__xludf.DUMMYFUNCTION("split(B51,"" "")"),"M.")</f>
        <v>M.</v>
      </c>
      <c r="Y51" s="3" t="str">
        <f>IFERROR(__xludf.DUMMYFUNCTION("""COMPUTED_VALUE"""),"Andrews")</f>
        <v>Andrews</v>
      </c>
      <c r="AA51" s="3">
        <v>3.0</v>
      </c>
      <c r="AB51" s="3">
        <f t="shared" si="7"/>
        <v>1</v>
      </c>
      <c r="AC51" s="3">
        <f t="shared" si="8"/>
        <v>0</v>
      </c>
      <c r="AD51" s="3">
        <f t="shared" si="9"/>
        <v>0.6369426752</v>
      </c>
      <c r="AE51" s="3">
        <f t="shared" si="10"/>
        <v>-1</v>
      </c>
      <c r="AF51" s="3">
        <f t="shared" si="11"/>
        <v>-3</v>
      </c>
      <c r="AG51" s="3">
        <f t="shared" si="12"/>
        <v>-0.2</v>
      </c>
    </row>
    <row r="52">
      <c r="A52" s="1" t="s">
        <v>9</v>
      </c>
      <c r="B52" s="1" t="s">
        <v>182</v>
      </c>
      <c r="C52" s="1" t="s">
        <v>19</v>
      </c>
      <c r="D52" s="1" t="s">
        <v>77</v>
      </c>
      <c r="E52" s="1" t="s">
        <v>114</v>
      </c>
      <c r="F52" s="1" t="s">
        <v>608</v>
      </c>
      <c r="G52" s="1">
        <v>34.5</v>
      </c>
      <c r="H52" s="1" t="s">
        <v>60</v>
      </c>
      <c r="I52" s="1">
        <v>-118.0</v>
      </c>
      <c r="J52" s="1">
        <v>0.02138114317593</v>
      </c>
      <c r="K52" s="1" t="s">
        <v>61</v>
      </c>
      <c r="L52" s="1" t="s">
        <v>61</v>
      </c>
      <c r="M52" s="1" t="s">
        <v>62</v>
      </c>
      <c r="N52" s="1">
        <v>-115.0</v>
      </c>
      <c r="O52" s="1">
        <v>-0.0975103376474683</v>
      </c>
      <c r="P52" s="1" t="s">
        <v>61</v>
      </c>
      <c r="Q52" s="1" t="s">
        <v>61</v>
      </c>
      <c r="R52" s="1">
        <f t="shared" si="1"/>
        <v>0.02138114318</v>
      </c>
      <c r="S52" s="1">
        <f t="shared" si="2"/>
        <v>-118</v>
      </c>
      <c r="T52" s="1">
        <f t="shared" si="3"/>
        <v>1.847457627</v>
      </c>
      <c r="U52" s="1">
        <f t="shared" si="4"/>
        <v>1</v>
      </c>
      <c r="V52" s="3">
        <f t="shared" si="5"/>
        <v>1</v>
      </c>
      <c r="W52" s="3">
        <f t="shared" si="6"/>
        <v>3</v>
      </c>
      <c r="X52" s="3" t="str">
        <f>IFERROR(__xludf.DUMMYFUNCTION("split(B52,"" "")"),"J.")</f>
        <v>J.</v>
      </c>
      <c r="Y52" s="3" t="str">
        <f>IFERROR(__xludf.DUMMYFUNCTION("""COMPUTED_VALUE"""),"Hill")</f>
        <v>Hill</v>
      </c>
      <c r="AA52" s="3">
        <v>4.0</v>
      </c>
      <c r="AB52" s="3">
        <f t="shared" si="7"/>
        <v>0</v>
      </c>
      <c r="AC52" s="3">
        <f t="shared" si="8"/>
        <v>0</v>
      </c>
      <c r="AD52" s="3">
        <f t="shared" si="9"/>
        <v>0.8474576271</v>
      </c>
      <c r="AE52" s="3">
        <f t="shared" si="10"/>
        <v>-1</v>
      </c>
      <c r="AF52" s="3">
        <f t="shared" si="11"/>
        <v>-3</v>
      </c>
      <c r="AG52" s="3">
        <f t="shared" si="12"/>
        <v>-0.884057971</v>
      </c>
    </row>
    <row r="53">
      <c r="A53" s="1" t="s">
        <v>14</v>
      </c>
      <c r="B53" s="1" t="s">
        <v>347</v>
      </c>
      <c r="C53" s="1" t="s">
        <v>21</v>
      </c>
      <c r="D53" s="1" t="s">
        <v>77</v>
      </c>
      <c r="E53" s="1" t="s">
        <v>114</v>
      </c>
      <c r="F53" s="1" t="s">
        <v>608</v>
      </c>
      <c r="G53" s="1">
        <v>1.5</v>
      </c>
      <c r="H53" s="1" t="s">
        <v>60</v>
      </c>
      <c r="I53" s="1">
        <v>-125.0</v>
      </c>
      <c r="J53" s="1">
        <v>-0.0799555555555556</v>
      </c>
      <c r="K53" s="1" t="s">
        <v>61</v>
      </c>
      <c r="L53" s="1" t="s">
        <v>61</v>
      </c>
      <c r="M53" s="1" t="s">
        <v>62</v>
      </c>
      <c r="N53" s="1">
        <v>-104.0</v>
      </c>
      <c r="O53" s="1">
        <v>0.0145960784313725</v>
      </c>
      <c r="P53" s="1" t="s">
        <v>61</v>
      </c>
      <c r="Q53" s="1" t="s">
        <v>61</v>
      </c>
      <c r="R53" s="1">
        <f t="shared" si="1"/>
        <v>0.01459607843</v>
      </c>
      <c r="S53" s="1">
        <f t="shared" si="2"/>
        <v>-104</v>
      </c>
      <c r="T53" s="1">
        <f t="shared" si="3"/>
        <v>1.961538462</v>
      </c>
      <c r="U53" s="1">
        <f t="shared" si="4"/>
        <v>0</v>
      </c>
      <c r="V53" s="3">
        <f t="shared" si="5"/>
        <v>1</v>
      </c>
      <c r="W53" s="3">
        <f t="shared" si="6"/>
        <v>2</v>
      </c>
      <c r="X53" s="3" t="str">
        <f>IFERROR(__xludf.DUMMYFUNCTION("split(B53,"" "")"),"L.")</f>
        <v>L.</v>
      </c>
      <c r="Y53" s="3" t="str">
        <f>IFERROR(__xludf.DUMMYFUNCTION("""COMPUTED_VALUE"""),"Jackson")</f>
        <v>Jackson</v>
      </c>
      <c r="AA53" s="3">
        <v>1.0</v>
      </c>
      <c r="AB53" s="3">
        <f t="shared" si="7"/>
        <v>0</v>
      </c>
      <c r="AC53" s="3">
        <f t="shared" si="8"/>
        <v>1</v>
      </c>
      <c r="AD53" s="3">
        <f t="shared" si="9"/>
        <v>0.9615384615</v>
      </c>
      <c r="AE53" s="3">
        <f t="shared" si="10"/>
        <v>0.9615384615</v>
      </c>
      <c r="AF53" s="3">
        <f t="shared" si="11"/>
        <v>1.923076923</v>
      </c>
      <c r="AG53" s="3">
        <f t="shared" si="12"/>
        <v>0.3333333333</v>
      </c>
    </row>
    <row r="54">
      <c r="A54" s="1" t="s">
        <v>11</v>
      </c>
      <c r="B54" s="1" t="s">
        <v>239</v>
      </c>
      <c r="C54" s="1" t="s">
        <v>18</v>
      </c>
      <c r="D54" s="1" t="s">
        <v>77</v>
      </c>
      <c r="E54" s="1" t="s">
        <v>114</v>
      </c>
      <c r="F54" s="1" t="s">
        <v>608</v>
      </c>
      <c r="G54" s="1">
        <v>30.5</v>
      </c>
      <c r="H54" s="1" t="s">
        <v>60</v>
      </c>
      <c r="I54" s="1">
        <v>-118.0</v>
      </c>
      <c r="J54" s="1">
        <v>-0.0795224385781651</v>
      </c>
      <c r="K54" s="1" t="s">
        <v>61</v>
      </c>
      <c r="L54" s="1" t="s">
        <v>61</v>
      </c>
      <c r="M54" s="1" t="s">
        <v>62</v>
      </c>
      <c r="N54" s="1">
        <v>-111.0</v>
      </c>
      <c r="O54" s="1">
        <v>0.0122352668313384</v>
      </c>
      <c r="P54" s="1" t="s">
        <v>61</v>
      </c>
      <c r="Q54" s="1" t="s">
        <v>61</v>
      </c>
      <c r="R54" s="1">
        <f t="shared" si="1"/>
        <v>0.01223526683</v>
      </c>
      <c r="S54" s="1">
        <f t="shared" si="2"/>
        <v>-111</v>
      </c>
      <c r="T54" s="1">
        <f t="shared" si="3"/>
        <v>1.900900901</v>
      </c>
      <c r="U54" s="1">
        <f t="shared" si="4"/>
        <v>0</v>
      </c>
      <c r="V54" s="3">
        <f t="shared" si="5"/>
        <v>1</v>
      </c>
      <c r="W54" s="3">
        <f t="shared" si="6"/>
        <v>2</v>
      </c>
      <c r="X54" s="3" t="str">
        <f>IFERROR(__xludf.DUMMYFUNCTION("split(B54,"" "")"),"R.")</f>
        <v>R.</v>
      </c>
      <c r="Y54" s="3" t="str">
        <f>IFERROR(__xludf.DUMMYFUNCTION("""COMPUTED_VALUE"""),"Bateman")</f>
        <v>Bateman</v>
      </c>
      <c r="AA54" s="3">
        <v>71.0</v>
      </c>
      <c r="AB54" s="3">
        <f t="shared" si="7"/>
        <v>1</v>
      </c>
      <c r="AC54" s="3">
        <f t="shared" si="8"/>
        <v>0</v>
      </c>
      <c r="AD54" s="3">
        <f t="shared" si="9"/>
        <v>0.9009009009</v>
      </c>
      <c r="AE54" s="3">
        <f t="shared" si="10"/>
        <v>-1</v>
      </c>
      <c r="AF54" s="3">
        <f t="shared" si="11"/>
        <v>-2</v>
      </c>
      <c r="AG54" s="3">
        <f t="shared" si="12"/>
        <v>-1.327868852</v>
      </c>
    </row>
    <row r="55">
      <c r="A55" s="1" t="s">
        <v>11</v>
      </c>
      <c r="B55" s="1" t="s">
        <v>399</v>
      </c>
      <c r="C55" s="1" t="s">
        <v>18</v>
      </c>
      <c r="D55" s="1" t="s">
        <v>77</v>
      </c>
      <c r="E55" s="1" t="s">
        <v>114</v>
      </c>
      <c r="F55" s="1" t="s">
        <v>608</v>
      </c>
      <c r="G55" s="1">
        <v>58.5</v>
      </c>
      <c r="H55" s="1" t="s">
        <v>60</v>
      </c>
      <c r="I55" s="1">
        <v>-114.0</v>
      </c>
      <c r="J55" s="1">
        <v>-0.067051448583652</v>
      </c>
      <c r="K55" s="1" t="s">
        <v>61</v>
      </c>
      <c r="L55" s="1" t="s">
        <v>61</v>
      </c>
      <c r="M55" s="1" t="s">
        <v>62</v>
      </c>
      <c r="N55" s="1">
        <v>-113.0</v>
      </c>
      <c r="O55" s="1">
        <v>0.00384277447751046</v>
      </c>
      <c r="P55" s="1" t="s">
        <v>61</v>
      </c>
      <c r="Q55" s="1" t="s">
        <v>61</v>
      </c>
      <c r="R55" s="1">
        <f t="shared" si="1"/>
        <v>0.003842774478</v>
      </c>
      <c r="S55" s="1">
        <f t="shared" si="2"/>
        <v>-113</v>
      </c>
      <c r="T55" s="1">
        <f t="shared" si="3"/>
        <v>1.884955752</v>
      </c>
      <c r="U55" s="1">
        <f t="shared" si="4"/>
        <v>0</v>
      </c>
      <c r="V55" s="3">
        <f t="shared" si="5"/>
        <v>1</v>
      </c>
      <c r="W55" s="3">
        <f t="shared" si="6"/>
        <v>2</v>
      </c>
      <c r="X55" s="3" t="str">
        <f>IFERROR(__xludf.DUMMYFUNCTION("split(B55,"" "")"),"Z.")</f>
        <v>Z.</v>
      </c>
      <c r="Y55" s="3" t="str">
        <f>IFERROR(__xludf.DUMMYFUNCTION("""COMPUTED_VALUE"""),"Flowers")</f>
        <v>Flowers</v>
      </c>
      <c r="AA55" s="3">
        <v>132.0</v>
      </c>
      <c r="AB55" s="3">
        <f t="shared" si="7"/>
        <v>1</v>
      </c>
      <c r="AC55" s="3">
        <f t="shared" si="8"/>
        <v>0</v>
      </c>
      <c r="AD55" s="3">
        <f t="shared" si="9"/>
        <v>0.8849557522</v>
      </c>
      <c r="AE55" s="3">
        <f t="shared" si="10"/>
        <v>-1</v>
      </c>
      <c r="AF55" s="3">
        <f t="shared" si="11"/>
        <v>-2</v>
      </c>
      <c r="AG55" s="3">
        <f t="shared" si="12"/>
        <v>-1.256410256</v>
      </c>
    </row>
    <row r="56">
      <c r="A56" s="1" t="s">
        <v>8</v>
      </c>
      <c r="B56" s="1" t="s">
        <v>309</v>
      </c>
      <c r="C56" s="1" t="s">
        <v>19</v>
      </c>
      <c r="D56" s="1" t="s">
        <v>77</v>
      </c>
      <c r="E56" s="1" t="s">
        <v>114</v>
      </c>
      <c r="F56" s="1" t="s">
        <v>608</v>
      </c>
      <c r="G56" s="1">
        <v>17.5</v>
      </c>
      <c r="H56" s="1" t="s">
        <v>60</v>
      </c>
      <c r="I56" s="1">
        <v>-139.0</v>
      </c>
      <c r="J56" s="1">
        <v>0.00119372384937233</v>
      </c>
      <c r="K56" s="1" t="s">
        <v>61</v>
      </c>
      <c r="L56" s="1" t="s">
        <v>61</v>
      </c>
      <c r="M56" s="1" t="s">
        <v>62</v>
      </c>
      <c r="N56" s="1">
        <v>106.0</v>
      </c>
      <c r="O56" s="1">
        <v>-0.0682339805825242</v>
      </c>
      <c r="P56" s="1" t="s">
        <v>61</v>
      </c>
      <c r="Q56" s="1" t="s">
        <v>61</v>
      </c>
      <c r="R56" s="1">
        <f t="shared" si="1"/>
        <v>0.001193723849</v>
      </c>
      <c r="S56" s="1">
        <f t="shared" si="2"/>
        <v>-139</v>
      </c>
      <c r="T56" s="1">
        <f t="shared" si="3"/>
        <v>1.71942446</v>
      </c>
      <c r="U56" s="1">
        <f t="shared" si="4"/>
        <v>1</v>
      </c>
      <c r="V56" s="3">
        <f t="shared" si="5"/>
        <v>1</v>
      </c>
      <c r="W56" s="3">
        <f t="shared" si="6"/>
        <v>3</v>
      </c>
      <c r="X56" s="3" t="str">
        <f>IFERROR(__xludf.DUMMYFUNCTION("split(B56,"" "")"),"D.")</f>
        <v>D.</v>
      </c>
      <c r="Y56" s="3" t="str">
        <f>IFERROR(__xludf.DUMMYFUNCTION("""COMPUTED_VALUE"""),"Henry")</f>
        <v>Henry</v>
      </c>
      <c r="AA56" s="3">
        <v>24.0</v>
      </c>
      <c r="AB56" s="3">
        <f t="shared" si="7"/>
        <v>1</v>
      </c>
      <c r="AC56" s="3">
        <f t="shared" si="8"/>
        <v>1</v>
      </c>
      <c r="AD56" s="3">
        <f t="shared" si="9"/>
        <v>0.7194244604</v>
      </c>
      <c r="AE56" s="3">
        <f t="shared" si="10"/>
        <v>0.7194244604</v>
      </c>
      <c r="AF56" s="3">
        <f t="shared" si="11"/>
        <v>2.158273381</v>
      </c>
      <c r="AG56" s="3">
        <f t="shared" si="12"/>
        <v>0.3714285714</v>
      </c>
    </row>
    <row r="57">
      <c r="A57" s="1" t="s">
        <v>8</v>
      </c>
      <c r="B57" s="1" t="s">
        <v>434</v>
      </c>
      <c r="C57" s="1" t="s">
        <v>21</v>
      </c>
      <c r="D57" s="1" t="s">
        <v>104</v>
      </c>
      <c r="E57" s="1" t="s">
        <v>165</v>
      </c>
      <c r="F57" s="1" t="s">
        <v>612</v>
      </c>
      <c r="G57" s="1">
        <v>6.5</v>
      </c>
      <c r="H57" s="1" t="s">
        <v>60</v>
      </c>
      <c r="I57" s="1">
        <v>-145.0</v>
      </c>
      <c r="J57" s="1">
        <v>-0.28528858601502</v>
      </c>
      <c r="K57" s="1" t="s">
        <v>61</v>
      </c>
      <c r="L57" s="1" t="s">
        <v>61</v>
      </c>
      <c r="M57" s="1" t="s">
        <v>62</v>
      </c>
      <c r="N57" s="1">
        <v>110.0</v>
      </c>
      <c r="O57" s="1">
        <v>0.217253350350857</v>
      </c>
      <c r="P57" s="1" t="s">
        <v>61</v>
      </c>
      <c r="Q57" s="1" t="s">
        <v>61</v>
      </c>
      <c r="R57" s="1">
        <f t="shared" si="1"/>
        <v>0.2172533504</v>
      </c>
      <c r="S57" s="1">
        <f t="shared" si="2"/>
        <v>110</v>
      </c>
      <c r="T57" s="1">
        <f t="shared" si="3"/>
        <v>2.1</v>
      </c>
      <c r="U57" s="1">
        <f t="shared" si="4"/>
        <v>0</v>
      </c>
      <c r="V57" s="3">
        <f t="shared" si="5"/>
        <v>3</v>
      </c>
      <c r="W57" s="3">
        <f t="shared" si="6"/>
        <v>2</v>
      </c>
      <c r="X57" s="3" t="str">
        <f>IFERROR(__xludf.DUMMYFUNCTION("split(B57,"" "")"),"J.")</f>
        <v>J.</v>
      </c>
      <c r="Y57" s="3" t="str">
        <f>IFERROR(__xludf.DUMMYFUNCTION("""COMPUTED_VALUE"""),"Allen")</f>
        <v>Allen</v>
      </c>
      <c r="AA57" s="3">
        <v>9.0</v>
      </c>
      <c r="AB57" s="3">
        <f t="shared" si="7"/>
        <v>1</v>
      </c>
      <c r="AC57" s="3">
        <f t="shared" si="8"/>
        <v>0</v>
      </c>
      <c r="AD57" s="3">
        <f t="shared" si="9"/>
        <v>3.3</v>
      </c>
      <c r="AE57" s="3">
        <f t="shared" si="10"/>
        <v>-3</v>
      </c>
      <c r="AF57" s="3">
        <f t="shared" si="11"/>
        <v>-2</v>
      </c>
      <c r="AG57" s="3">
        <f t="shared" si="12"/>
        <v>-0.3846153846</v>
      </c>
    </row>
    <row r="58">
      <c r="A58" s="1" t="s">
        <v>11</v>
      </c>
      <c r="B58" s="1" t="s">
        <v>459</v>
      </c>
      <c r="C58" s="1" t="s">
        <v>20</v>
      </c>
      <c r="D58" s="1" t="s">
        <v>104</v>
      </c>
      <c r="E58" s="1" t="s">
        <v>165</v>
      </c>
      <c r="F58" s="1" t="s">
        <v>612</v>
      </c>
      <c r="G58" s="1">
        <v>8.5</v>
      </c>
      <c r="H58" s="1" t="s">
        <v>60</v>
      </c>
      <c r="I58" s="1">
        <v>-108.0</v>
      </c>
      <c r="J58" s="1">
        <v>0.0717145971164042</v>
      </c>
      <c r="K58" s="1" t="s">
        <v>61</v>
      </c>
      <c r="L58" s="1" t="s">
        <v>61</v>
      </c>
      <c r="M58" s="1" t="s">
        <v>62</v>
      </c>
      <c r="N58" s="1">
        <v>-117.0</v>
      </c>
      <c r="O58" s="1">
        <v>-0.130097089190083</v>
      </c>
      <c r="P58" s="1" t="s">
        <v>61</v>
      </c>
      <c r="Q58" s="1" t="s">
        <v>61</v>
      </c>
      <c r="R58" s="1">
        <f t="shared" si="1"/>
        <v>0.07171459712</v>
      </c>
      <c r="S58" s="1">
        <f t="shared" si="2"/>
        <v>-108</v>
      </c>
      <c r="T58" s="1">
        <f t="shared" si="3"/>
        <v>1.925925926</v>
      </c>
      <c r="U58" s="1">
        <f t="shared" si="4"/>
        <v>1</v>
      </c>
      <c r="V58" s="3">
        <f t="shared" si="5"/>
        <v>2</v>
      </c>
      <c r="W58" s="3">
        <f t="shared" si="6"/>
        <v>2</v>
      </c>
      <c r="X58" s="3" t="str">
        <f>IFERROR(__xludf.DUMMYFUNCTION("split(B58,"" "")"),"D.")</f>
        <v>D.</v>
      </c>
      <c r="Y58" s="3" t="str">
        <f>IFERROR(__xludf.DUMMYFUNCTION("""COMPUTED_VALUE"""),"Knox")</f>
        <v>Knox</v>
      </c>
      <c r="AA58" s="3">
        <v>12.0</v>
      </c>
      <c r="AB58" s="3">
        <f t="shared" si="7"/>
        <v>1</v>
      </c>
      <c r="AC58" s="3">
        <f t="shared" si="8"/>
        <v>1</v>
      </c>
      <c r="AD58" s="3">
        <f t="shared" si="9"/>
        <v>1.851851852</v>
      </c>
      <c r="AE58" s="3">
        <f t="shared" si="10"/>
        <v>1.851851852</v>
      </c>
      <c r="AF58" s="3">
        <f t="shared" si="11"/>
        <v>1.851851852</v>
      </c>
      <c r="AG58" s="3">
        <f t="shared" si="12"/>
        <v>0.4117647059</v>
      </c>
    </row>
    <row r="59">
      <c r="A59" s="1" t="s">
        <v>12</v>
      </c>
      <c r="B59" s="1" t="s">
        <v>235</v>
      </c>
      <c r="C59" s="1" t="s">
        <v>20</v>
      </c>
      <c r="D59" s="1" t="s">
        <v>104</v>
      </c>
      <c r="E59" s="1" t="s">
        <v>165</v>
      </c>
      <c r="F59" s="1" t="s">
        <v>612</v>
      </c>
      <c r="G59" s="1">
        <v>3.5</v>
      </c>
      <c r="H59" s="1" t="s">
        <v>60</v>
      </c>
      <c r="I59" s="1">
        <v>-128.0</v>
      </c>
      <c r="J59" s="1">
        <v>-0.124703508771929</v>
      </c>
      <c r="K59" s="1" t="s">
        <v>61</v>
      </c>
      <c r="L59" s="1" t="s">
        <v>61</v>
      </c>
      <c r="M59" s="1" t="s">
        <v>62</v>
      </c>
      <c r="N59" s="1">
        <v>-102.0</v>
      </c>
      <c r="O59" s="1">
        <v>0.058349504950495</v>
      </c>
      <c r="P59" s="1" t="s">
        <v>61</v>
      </c>
      <c r="Q59" s="1" t="s">
        <v>61</v>
      </c>
      <c r="R59" s="1">
        <f t="shared" si="1"/>
        <v>0.05834950495</v>
      </c>
      <c r="S59" s="1">
        <f t="shared" si="2"/>
        <v>-102</v>
      </c>
      <c r="T59" s="1">
        <f t="shared" si="3"/>
        <v>1.980392157</v>
      </c>
      <c r="U59" s="1">
        <f t="shared" si="4"/>
        <v>0</v>
      </c>
      <c r="V59" s="3">
        <f t="shared" si="5"/>
        <v>2</v>
      </c>
      <c r="W59" s="3">
        <f t="shared" si="6"/>
        <v>2</v>
      </c>
      <c r="X59" s="3" t="str">
        <f>IFERROR(__xludf.DUMMYFUNCTION("split(B59,"" "")"),"D.")</f>
        <v>D.</v>
      </c>
      <c r="Y59" s="3" t="str">
        <f>IFERROR(__xludf.DUMMYFUNCTION("""COMPUTED_VALUE"""),"Kincaid")</f>
        <v>Kincaid</v>
      </c>
      <c r="AA59" s="3">
        <v>6.0</v>
      </c>
      <c r="AB59" s="3">
        <f t="shared" si="7"/>
        <v>1</v>
      </c>
      <c r="AC59" s="3">
        <f t="shared" si="8"/>
        <v>0</v>
      </c>
      <c r="AD59" s="3">
        <f t="shared" si="9"/>
        <v>1.960784314</v>
      </c>
      <c r="AE59" s="3">
        <f t="shared" si="10"/>
        <v>-2</v>
      </c>
      <c r="AF59" s="3">
        <f t="shared" si="11"/>
        <v>-2</v>
      </c>
      <c r="AG59" s="3">
        <f t="shared" si="12"/>
        <v>-0.7142857143</v>
      </c>
    </row>
    <row r="60">
      <c r="A60" s="1" t="s">
        <v>14</v>
      </c>
      <c r="B60" s="1" t="s">
        <v>434</v>
      </c>
      <c r="C60" s="1" t="s">
        <v>21</v>
      </c>
      <c r="D60" s="1" t="s">
        <v>104</v>
      </c>
      <c r="E60" s="1" t="s">
        <v>165</v>
      </c>
      <c r="F60" s="1" t="s">
        <v>612</v>
      </c>
      <c r="G60" s="1">
        <v>1.5</v>
      </c>
      <c r="H60" s="1" t="s">
        <v>60</v>
      </c>
      <c r="I60" s="1">
        <v>160.0</v>
      </c>
      <c r="J60" s="1">
        <v>0.0501846153846154</v>
      </c>
      <c r="K60" s="1" t="s">
        <v>61</v>
      </c>
      <c r="L60" s="1" t="s">
        <v>61</v>
      </c>
      <c r="M60" s="1" t="s">
        <v>62</v>
      </c>
      <c r="N60" s="1">
        <v>-214.0</v>
      </c>
      <c r="O60" s="1">
        <v>-0.116328662420382</v>
      </c>
      <c r="P60" s="1" t="s">
        <v>61</v>
      </c>
      <c r="Q60" s="1" t="s">
        <v>61</v>
      </c>
      <c r="R60" s="1">
        <f t="shared" si="1"/>
        <v>0.05018461538</v>
      </c>
      <c r="S60" s="1">
        <f t="shared" si="2"/>
        <v>160</v>
      </c>
      <c r="T60" s="1">
        <f t="shared" si="3"/>
        <v>2.6</v>
      </c>
      <c r="U60" s="1">
        <f t="shared" si="4"/>
        <v>1</v>
      </c>
      <c r="V60" s="3">
        <f t="shared" si="5"/>
        <v>2</v>
      </c>
      <c r="W60" s="3">
        <f t="shared" si="6"/>
        <v>1</v>
      </c>
      <c r="X60" s="3" t="str">
        <f>IFERROR(__xludf.DUMMYFUNCTION("split(B60,"" "")"),"J.")</f>
        <v>J.</v>
      </c>
      <c r="Y60" s="3" t="str">
        <f>IFERROR(__xludf.DUMMYFUNCTION("""COMPUTED_VALUE"""),"Allen")</f>
        <v>Allen</v>
      </c>
      <c r="AA60" s="3">
        <v>2.0</v>
      </c>
      <c r="AB60" s="3">
        <f t="shared" si="7"/>
        <v>1</v>
      </c>
      <c r="AC60" s="3">
        <f t="shared" si="8"/>
        <v>1</v>
      </c>
      <c r="AD60" s="3">
        <f t="shared" si="9"/>
        <v>3.2</v>
      </c>
      <c r="AE60" s="3">
        <f t="shared" si="10"/>
        <v>3.2</v>
      </c>
      <c r="AF60" s="3">
        <f t="shared" si="11"/>
        <v>1.6</v>
      </c>
      <c r="AG60" s="3">
        <f t="shared" si="12"/>
        <v>0.3333333333</v>
      </c>
    </row>
    <row r="61">
      <c r="A61" s="1" t="s">
        <v>17</v>
      </c>
      <c r="B61" s="1" t="s">
        <v>434</v>
      </c>
      <c r="C61" s="1" t="s">
        <v>21</v>
      </c>
      <c r="D61" s="1" t="s">
        <v>104</v>
      </c>
      <c r="E61" s="1" t="s">
        <v>165</v>
      </c>
      <c r="F61" s="1" t="s">
        <v>612</v>
      </c>
      <c r="G61" s="1">
        <v>0.5</v>
      </c>
      <c r="H61" s="1" t="s">
        <v>60</v>
      </c>
      <c r="I61" s="1">
        <v>-128.0</v>
      </c>
      <c r="J61" s="1">
        <v>-0.115847368421052</v>
      </c>
      <c r="K61" s="1" t="s">
        <v>61</v>
      </c>
      <c r="L61" s="1" t="s">
        <v>61</v>
      </c>
      <c r="M61" s="1" t="s">
        <v>62</v>
      </c>
      <c r="N61" s="1">
        <v>-103.0</v>
      </c>
      <c r="O61" s="1">
        <v>0.0470615763546797</v>
      </c>
      <c r="P61" s="1" t="s">
        <v>61</v>
      </c>
      <c r="Q61" s="1" t="s">
        <v>61</v>
      </c>
      <c r="R61" s="1">
        <f t="shared" si="1"/>
        <v>0.04706157635</v>
      </c>
      <c r="S61" s="1">
        <f t="shared" si="2"/>
        <v>-103</v>
      </c>
      <c r="T61" s="1">
        <f t="shared" si="3"/>
        <v>1.970873786</v>
      </c>
      <c r="U61" s="1">
        <f t="shared" si="4"/>
        <v>0</v>
      </c>
      <c r="V61" s="3">
        <f t="shared" si="5"/>
        <v>1</v>
      </c>
      <c r="W61" s="3">
        <f t="shared" si="6"/>
        <v>2</v>
      </c>
      <c r="X61" s="3" t="str">
        <f>IFERROR(__xludf.DUMMYFUNCTION("split(B61,"" "")"),"J.")</f>
        <v>J.</v>
      </c>
      <c r="Y61" s="3" t="str">
        <f>IFERROR(__xludf.DUMMYFUNCTION("""COMPUTED_VALUE"""),"Allen")</f>
        <v>Allen</v>
      </c>
      <c r="AA61" s="3">
        <v>0.0</v>
      </c>
      <c r="AB61" s="3">
        <f t="shared" si="7"/>
        <v>0</v>
      </c>
      <c r="AC61" s="3">
        <f t="shared" si="8"/>
        <v>1</v>
      </c>
      <c r="AD61" s="3">
        <f t="shared" si="9"/>
        <v>0.9708737864</v>
      </c>
      <c r="AE61" s="3">
        <f t="shared" si="10"/>
        <v>0.9708737864</v>
      </c>
      <c r="AF61" s="3">
        <f t="shared" si="11"/>
        <v>1.941747573</v>
      </c>
      <c r="AG61" s="3">
        <f t="shared" si="12"/>
        <v>1</v>
      </c>
    </row>
    <row r="62">
      <c r="A62" s="1" t="s">
        <v>10</v>
      </c>
      <c r="B62" s="1" t="s">
        <v>434</v>
      </c>
      <c r="C62" s="1" t="s">
        <v>21</v>
      </c>
      <c r="D62" s="1" t="s">
        <v>104</v>
      </c>
      <c r="E62" s="1" t="s">
        <v>165</v>
      </c>
      <c r="F62" s="1" t="s">
        <v>612</v>
      </c>
      <c r="G62" s="1">
        <v>32.5</v>
      </c>
      <c r="H62" s="1" t="s">
        <v>60</v>
      </c>
      <c r="I62" s="1">
        <v>-113.0</v>
      </c>
      <c r="J62" s="1">
        <v>-0.100808554936766</v>
      </c>
      <c r="K62" s="1" t="s">
        <v>61</v>
      </c>
      <c r="L62" s="1" t="s">
        <v>61</v>
      </c>
      <c r="M62" s="1" t="s">
        <v>62</v>
      </c>
      <c r="N62" s="1">
        <v>-117.0</v>
      </c>
      <c r="O62" s="1">
        <v>0.0311501335289932</v>
      </c>
      <c r="P62" s="1" t="s">
        <v>61</v>
      </c>
      <c r="Q62" s="1" t="s">
        <v>61</v>
      </c>
      <c r="R62" s="1">
        <f t="shared" si="1"/>
        <v>0.03115013353</v>
      </c>
      <c r="S62" s="1">
        <f t="shared" si="2"/>
        <v>-117</v>
      </c>
      <c r="T62" s="1">
        <f t="shared" si="3"/>
        <v>1.854700855</v>
      </c>
      <c r="U62" s="1">
        <f t="shared" si="4"/>
        <v>0</v>
      </c>
      <c r="V62" s="3">
        <f t="shared" si="5"/>
        <v>1</v>
      </c>
      <c r="W62" s="3">
        <f t="shared" si="6"/>
        <v>2</v>
      </c>
      <c r="X62" s="3" t="str">
        <f>IFERROR(__xludf.DUMMYFUNCTION("split(B62,"" "")"),"J.")</f>
        <v>J.</v>
      </c>
      <c r="Y62" s="3" t="str">
        <f>IFERROR(__xludf.DUMMYFUNCTION("""COMPUTED_VALUE"""),"Allen")</f>
        <v>Allen</v>
      </c>
      <c r="AA62" s="3">
        <v>18.0</v>
      </c>
      <c r="AB62" s="3">
        <f t="shared" si="7"/>
        <v>0</v>
      </c>
      <c r="AC62" s="3">
        <f t="shared" si="8"/>
        <v>1</v>
      </c>
      <c r="AD62" s="3">
        <f t="shared" si="9"/>
        <v>0.8547008547</v>
      </c>
      <c r="AE62" s="3">
        <f t="shared" si="10"/>
        <v>0.8547008547</v>
      </c>
      <c r="AF62" s="3">
        <f t="shared" si="11"/>
        <v>1.709401709</v>
      </c>
      <c r="AG62" s="3">
        <f t="shared" si="12"/>
        <v>0.4461538462</v>
      </c>
    </row>
    <row r="63">
      <c r="A63" s="1" t="s">
        <v>11</v>
      </c>
      <c r="B63" s="1" t="s">
        <v>235</v>
      </c>
      <c r="C63" s="1" t="s">
        <v>20</v>
      </c>
      <c r="D63" s="1" t="s">
        <v>104</v>
      </c>
      <c r="E63" s="1" t="s">
        <v>165</v>
      </c>
      <c r="F63" s="1" t="s">
        <v>612</v>
      </c>
      <c r="G63" s="1">
        <v>39.5</v>
      </c>
      <c r="H63" s="1" t="s">
        <v>60</v>
      </c>
      <c r="I63" s="1">
        <v>-113.0</v>
      </c>
      <c r="J63" s="1">
        <v>-0.085855054008216</v>
      </c>
      <c r="K63" s="1" t="s">
        <v>61</v>
      </c>
      <c r="L63" s="1" t="s">
        <v>61</v>
      </c>
      <c r="M63" s="1" t="s">
        <v>62</v>
      </c>
      <c r="N63" s="1">
        <v>-116.0</v>
      </c>
      <c r="O63" s="1">
        <v>0.0183066093920926</v>
      </c>
      <c r="P63" s="1" t="s">
        <v>61</v>
      </c>
      <c r="Q63" s="1" t="s">
        <v>61</v>
      </c>
      <c r="R63" s="1">
        <f t="shared" si="1"/>
        <v>0.01830660939</v>
      </c>
      <c r="S63" s="1">
        <f t="shared" si="2"/>
        <v>-116</v>
      </c>
      <c r="T63" s="1">
        <f t="shared" si="3"/>
        <v>1.862068966</v>
      </c>
      <c r="U63" s="1">
        <f t="shared" si="4"/>
        <v>0</v>
      </c>
      <c r="V63" s="3">
        <f t="shared" si="5"/>
        <v>1</v>
      </c>
      <c r="W63" s="3">
        <f t="shared" si="6"/>
        <v>2</v>
      </c>
      <c r="X63" s="3" t="str">
        <f>IFERROR(__xludf.DUMMYFUNCTION("split(B63,"" "")"),"D.")</f>
        <v>D.</v>
      </c>
      <c r="Y63" s="3" t="str">
        <f>IFERROR(__xludf.DUMMYFUNCTION("""COMPUTED_VALUE"""),"Kincaid")</f>
        <v>Kincaid</v>
      </c>
      <c r="AA63" s="3">
        <v>51.0</v>
      </c>
      <c r="AB63" s="3">
        <f t="shared" si="7"/>
        <v>1</v>
      </c>
      <c r="AC63" s="3">
        <f t="shared" si="8"/>
        <v>0</v>
      </c>
      <c r="AD63" s="3">
        <f t="shared" si="9"/>
        <v>0.8620689655</v>
      </c>
      <c r="AE63" s="3">
        <f t="shared" si="10"/>
        <v>-1</v>
      </c>
      <c r="AF63" s="3">
        <f t="shared" si="11"/>
        <v>-2</v>
      </c>
      <c r="AG63" s="3">
        <f t="shared" si="12"/>
        <v>-0.2911392405</v>
      </c>
    </row>
    <row r="64">
      <c r="A64" s="1" t="s">
        <v>11</v>
      </c>
      <c r="B64" s="1" t="s">
        <v>426</v>
      </c>
      <c r="C64" s="1" t="s">
        <v>18</v>
      </c>
      <c r="D64" s="1" t="s">
        <v>104</v>
      </c>
      <c r="E64" s="1" t="s">
        <v>165</v>
      </c>
      <c r="F64" s="1" t="s">
        <v>612</v>
      </c>
      <c r="G64" s="1">
        <v>35.5</v>
      </c>
      <c r="H64" s="1" t="s">
        <v>60</v>
      </c>
      <c r="I64" s="1">
        <v>-110.0</v>
      </c>
      <c r="J64" s="1">
        <v>-0.0826389410733333</v>
      </c>
      <c r="K64" s="1" t="s">
        <v>61</v>
      </c>
      <c r="L64" s="1" t="s">
        <v>61</v>
      </c>
      <c r="M64" s="1" t="s">
        <v>62</v>
      </c>
      <c r="N64" s="1">
        <v>-119.0</v>
      </c>
      <c r="O64" s="1">
        <v>0.0154674406983379</v>
      </c>
      <c r="P64" s="1" t="s">
        <v>61</v>
      </c>
      <c r="Q64" s="1" t="s">
        <v>61</v>
      </c>
      <c r="R64" s="1">
        <f t="shared" si="1"/>
        <v>0.0154674407</v>
      </c>
      <c r="S64" s="1">
        <f t="shared" si="2"/>
        <v>-119</v>
      </c>
      <c r="T64" s="1">
        <f t="shared" si="3"/>
        <v>1.840336134</v>
      </c>
      <c r="U64" s="1">
        <f t="shared" si="4"/>
        <v>0</v>
      </c>
      <c r="V64" s="3">
        <f t="shared" si="5"/>
        <v>1</v>
      </c>
      <c r="W64" s="3">
        <f t="shared" si="6"/>
        <v>3</v>
      </c>
      <c r="X64" s="3" t="str">
        <f>IFERROR(__xludf.DUMMYFUNCTION("split(B64,"" "")"),"K.")</f>
        <v>K.</v>
      </c>
      <c r="Y64" s="3" t="str">
        <f>IFERROR(__xludf.DUMMYFUNCTION("""COMPUTED_VALUE"""),"Coleman")</f>
        <v>Coleman</v>
      </c>
      <c r="AA64" s="3">
        <v>26.0</v>
      </c>
      <c r="AB64" s="3">
        <f t="shared" si="7"/>
        <v>0</v>
      </c>
      <c r="AC64" s="3">
        <f t="shared" si="8"/>
        <v>1</v>
      </c>
      <c r="AD64" s="3">
        <f t="shared" si="9"/>
        <v>0.8403361345</v>
      </c>
      <c r="AE64" s="3">
        <f t="shared" si="10"/>
        <v>0.8403361345</v>
      </c>
      <c r="AF64" s="3">
        <f t="shared" si="11"/>
        <v>2.521008403</v>
      </c>
      <c r="AG64" s="3">
        <f t="shared" si="12"/>
        <v>0.2676056338</v>
      </c>
    </row>
    <row r="65">
      <c r="A65" s="1" t="s">
        <v>16</v>
      </c>
      <c r="B65" s="1" t="s">
        <v>434</v>
      </c>
      <c r="C65" s="1" t="s">
        <v>21</v>
      </c>
      <c r="D65" s="1" t="s">
        <v>104</v>
      </c>
      <c r="E65" s="1" t="s">
        <v>165</v>
      </c>
      <c r="F65" s="1" t="s">
        <v>612</v>
      </c>
      <c r="G65" s="1">
        <v>30.5</v>
      </c>
      <c r="H65" s="1" t="s">
        <v>60</v>
      </c>
      <c r="I65" s="1">
        <v>-107.0</v>
      </c>
      <c r="J65" s="1">
        <v>-0.0803603663285024</v>
      </c>
      <c r="K65" s="1" t="s">
        <v>61</v>
      </c>
      <c r="L65" s="1" t="s">
        <v>61</v>
      </c>
      <c r="M65" s="1" t="s">
        <v>62</v>
      </c>
      <c r="N65" s="1">
        <v>-124.0</v>
      </c>
      <c r="O65" s="1">
        <v>0.00985915548749993</v>
      </c>
      <c r="P65" s="1" t="s">
        <v>61</v>
      </c>
      <c r="Q65" s="1" t="s">
        <v>61</v>
      </c>
      <c r="R65" s="1">
        <f t="shared" si="1"/>
        <v>0.009859155487</v>
      </c>
      <c r="S65" s="1">
        <f t="shared" si="2"/>
        <v>-124</v>
      </c>
      <c r="T65" s="1">
        <f t="shared" si="3"/>
        <v>1.806451613</v>
      </c>
      <c r="U65" s="1">
        <f t="shared" si="4"/>
        <v>0</v>
      </c>
      <c r="V65" s="3">
        <f t="shared" si="5"/>
        <v>1</v>
      </c>
      <c r="W65" s="3">
        <f t="shared" si="6"/>
        <v>3</v>
      </c>
      <c r="X65" s="3" t="str">
        <f>IFERROR(__xludf.DUMMYFUNCTION("split(B65,"" "")"),"J.")</f>
        <v>J.</v>
      </c>
      <c r="Y65" s="3" t="str">
        <f>IFERROR(__xludf.DUMMYFUNCTION("""COMPUTED_VALUE"""),"Allen")</f>
        <v>Allen</v>
      </c>
      <c r="AA65" s="3">
        <v>25.0</v>
      </c>
      <c r="AB65" s="3">
        <f t="shared" si="7"/>
        <v>0</v>
      </c>
      <c r="AC65" s="3">
        <f t="shared" si="8"/>
        <v>1</v>
      </c>
      <c r="AD65" s="3">
        <f t="shared" si="9"/>
        <v>0.8064516129</v>
      </c>
      <c r="AE65" s="3">
        <f t="shared" si="10"/>
        <v>0.8064516129</v>
      </c>
      <c r="AF65" s="3">
        <f t="shared" si="11"/>
        <v>2.419354839</v>
      </c>
      <c r="AG65" s="3">
        <f t="shared" si="12"/>
        <v>0.1803278689</v>
      </c>
    </row>
    <row r="66">
      <c r="A66" s="1" t="s">
        <v>9</v>
      </c>
      <c r="B66" s="1" t="s">
        <v>426</v>
      </c>
      <c r="C66" s="1" t="s">
        <v>18</v>
      </c>
      <c r="D66" s="1" t="s">
        <v>104</v>
      </c>
      <c r="E66" s="1" t="s">
        <v>165</v>
      </c>
      <c r="F66" s="1" t="s">
        <v>612</v>
      </c>
      <c r="G66" s="1">
        <v>35.5</v>
      </c>
      <c r="H66" s="1" t="s">
        <v>60</v>
      </c>
      <c r="I66" s="1">
        <v>-114.0</v>
      </c>
      <c r="J66" s="1">
        <v>0.00174400192101842</v>
      </c>
      <c r="K66" s="1" t="s">
        <v>61</v>
      </c>
      <c r="L66" s="1" t="s">
        <v>61</v>
      </c>
      <c r="M66" s="1" t="s">
        <v>62</v>
      </c>
      <c r="N66" s="1">
        <v>-118.0</v>
      </c>
      <c r="O66" s="1">
        <v>-0.0757314466288787</v>
      </c>
      <c r="P66" s="1" t="s">
        <v>61</v>
      </c>
      <c r="Q66" s="1" t="s">
        <v>61</v>
      </c>
      <c r="R66" s="1">
        <f t="shared" si="1"/>
        <v>0.001744001921</v>
      </c>
      <c r="S66" s="1">
        <f t="shared" si="2"/>
        <v>-114</v>
      </c>
      <c r="T66" s="1">
        <f t="shared" si="3"/>
        <v>1.877192982</v>
      </c>
      <c r="U66" s="1">
        <f t="shared" si="4"/>
        <v>1</v>
      </c>
      <c r="V66" s="3">
        <f t="shared" si="5"/>
        <v>1</v>
      </c>
      <c r="W66" s="3">
        <f t="shared" si="6"/>
        <v>2</v>
      </c>
      <c r="X66" s="3" t="str">
        <f>IFERROR(__xludf.DUMMYFUNCTION("split(B66,"" "")"),"K.")</f>
        <v>K.</v>
      </c>
      <c r="Y66" s="3" t="str">
        <f>IFERROR(__xludf.DUMMYFUNCTION("""COMPUTED_VALUE"""),"Coleman")</f>
        <v>Coleman</v>
      </c>
      <c r="AA66" s="3">
        <v>26.0</v>
      </c>
      <c r="AB66" s="3">
        <f t="shared" si="7"/>
        <v>0</v>
      </c>
      <c r="AC66" s="3">
        <f t="shared" si="8"/>
        <v>0</v>
      </c>
      <c r="AD66" s="3">
        <f t="shared" si="9"/>
        <v>0.8771929825</v>
      </c>
      <c r="AE66" s="3">
        <f t="shared" si="10"/>
        <v>-1</v>
      </c>
      <c r="AF66" s="3">
        <f t="shared" si="11"/>
        <v>-2</v>
      </c>
      <c r="AG66" s="3">
        <f t="shared" si="12"/>
        <v>-0.2676056338</v>
      </c>
    </row>
    <row r="67">
      <c r="A67" s="1" t="s">
        <v>12</v>
      </c>
      <c r="B67" s="1" t="s">
        <v>521</v>
      </c>
      <c r="C67" s="1" t="s">
        <v>19</v>
      </c>
      <c r="D67" s="1" t="s">
        <v>57</v>
      </c>
      <c r="E67" s="1" t="s">
        <v>109</v>
      </c>
      <c r="F67" s="1" t="s">
        <v>610</v>
      </c>
      <c r="G67" s="1">
        <v>1.5</v>
      </c>
      <c r="H67" s="1" t="s">
        <v>60</v>
      </c>
      <c r="I67" s="1">
        <v>-172.0</v>
      </c>
      <c r="J67" s="1">
        <v>-0.278646603330882</v>
      </c>
      <c r="K67" s="1" t="s">
        <v>61</v>
      </c>
      <c r="L67" s="1" t="s">
        <v>61</v>
      </c>
      <c r="M67" s="1" t="s">
        <v>62</v>
      </c>
      <c r="N67" s="1">
        <v>130.0</v>
      </c>
      <c r="O67" s="1">
        <v>0.211509896113043</v>
      </c>
      <c r="P67" s="1" t="s">
        <v>61</v>
      </c>
      <c r="Q67" s="1" t="s">
        <v>61</v>
      </c>
      <c r="R67" s="1">
        <f t="shared" si="1"/>
        <v>0.2115098961</v>
      </c>
      <c r="S67" s="1">
        <f t="shared" si="2"/>
        <v>130</v>
      </c>
      <c r="T67" s="1">
        <f t="shared" si="3"/>
        <v>2.3</v>
      </c>
      <c r="U67" s="1">
        <f t="shared" si="4"/>
        <v>0</v>
      </c>
      <c r="V67" s="3">
        <f t="shared" si="5"/>
        <v>3</v>
      </c>
      <c r="W67" s="3">
        <f t="shared" si="6"/>
        <v>1</v>
      </c>
      <c r="X67" s="3" t="str">
        <f>IFERROR(__xludf.DUMMYFUNCTION("split(B67,"" "")"),"M.")</f>
        <v>M.</v>
      </c>
      <c r="Y67" s="3" t="str">
        <f>IFERROR(__xludf.DUMMYFUNCTION("""COMPUTED_VALUE"""),"Sanders")</f>
        <v>Sanders</v>
      </c>
      <c r="AA67" s="3">
        <v>1.0</v>
      </c>
      <c r="AB67" s="3">
        <f t="shared" si="7"/>
        <v>0</v>
      </c>
      <c r="AC67" s="3">
        <f t="shared" si="8"/>
        <v>1</v>
      </c>
      <c r="AD67" s="3">
        <f t="shared" si="9"/>
        <v>3.9</v>
      </c>
      <c r="AE67" s="3">
        <f t="shared" si="10"/>
        <v>3.9</v>
      </c>
      <c r="AF67" s="3">
        <f t="shared" si="11"/>
        <v>1.3</v>
      </c>
      <c r="AG67" s="3">
        <f t="shared" si="12"/>
        <v>0.3333333333</v>
      </c>
    </row>
    <row r="68">
      <c r="A68" s="1" t="s">
        <v>12</v>
      </c>
      <c r="B68" s="1" t="s">
        <v>207</v>
      </c>
      <c r="C68" s="1" t="s">
        <v>18</v>
      </c>
      <c r="D68" s="1" t="s">
        <v>57</v>
      </c>
      <c r="E68" s="1" t="s">
        <v>109</v>
      </c>
      <c r="F68" s="1" t="s">
        <v>610</v>
      </c>
      <c r="G68" s="1">
        <v>2.5</v>
      </c>
      <c r="H68" s="1" t="s">
        <v>60</v>
      </c>
      <c r="I68" s="1">
        <v>-142.0</v>
      </c>
      <c r="J68" s="1">
        <v>-0.232033821900826</v>
      </c>
      <c r="K68" s="1" t="s">
        <v>61</v>
      </c>
      <c r="L68" s="1" t="s">
        <v>61</v>
      </c>
      <c r="M68" s="1" t="s">
        <v>62</v>
      </c>
      <c r="N68" s="1">
        <v>107.0</v>
      </c>
      <c r="O68" s="1">
        <v>0.162157898067632</v>
      </c>
      <c r="P68" s="1" t="s">
        <v>61</v>
      </c>
      <c r="Q68" s="1" t="s">
        <v>61</v>
      </c>
      <c r="R68" s="1">
        <f t="shared" si="1"/>
        <v>0.1621578981</v>
      </c>
      <c r="S68" s="1">
        <f t="shared" si="2"/>
        <v>107</v>
      </c>
      <c r="T68" s="1">
        <f t="shared" si="3"/>
        <v>2.07</v>
      </c>
      <c r="U68" s="1">
        <f t="shared" si="4"/>
        <v>0</v>
      </c>
      <c r="V68" s="3">
        <f t="shared" si="5"/>
        <v>3</v>
      </c>
      <c r="W68" s="3">
        <f t="shared" si="6"/>
        <v>2</v>
      </c>
      <c r="X68" s="3" t="str">
        <f>IFERROR(__xludf.DUMMYFUNCTION("split(B68,"" "")"),"J.")</f>
        <v>J.</v>
      </c>
      <c r="Y68" s="3" t="str">
        <f>IFERROR(__xludf.DUMMYFUNCTION("""COMPUTED_VALUE"""),"Mingo")</f>
        <v>Mingo</v>
      </c>
      <c r="AA68" s="3">
        <v>1.0</v>
      </c>
      <c r="AB68" s="3">
        <f t="shared" si="7"/>
        <v>0</v>
      </c>
      <c r="AC68" s="3">
        <f t="shared" si="8"/>
        <v>1</v>
      </c>
      <c r="AD68" s="3">
        <f t="shared" si="9"/>
        <v>3.21</v>
      </c>
      <c r="AE68" s="3">
        <f t="shared" si="10"/>
        <v>3.21</v>
      </c>
      <c r="AF68" s="3">
        <f t="shared" si="11"/>
        <v>2.14</v>
      </c>
      <c r="AG68" s="3">
        <f t="shared" si="12"/>
        <v>0.6</v>
      </c>
    </row>
    <row r="69">
      <c r="A69" s="1" t="s">
        <v>12</v>
      </c>
      <c r="B69" s="1" t="s">
        <v>523</v>
      </c>
      <c r="C69" s="1" t="s">
        <v>20</v>
      </c>
      <c r="D69" s="1" t="s">
        <v>57</v>
      </c>
      <c r="E69" s="1" t="s">
        <v>109</v>
      </c>
      <c r="F69" s="1" t="s">
        <v>610</v>
      </c>
      <c r="G69" s="1">
        <v>2.5</v>
      </c>
      <c r="H69" s="1" t="s">
        <v>60</v>
      </c>
      <c r="I69" s="1">
        <v>101.0</v>
      </c>
      <c r="J69" s="1">
        <v>-0.178711045116418</v>
      </c>
      <c r="K69" s="1" t="s">
        <v>61</v>
      </c>
      <c r="L69" s="1" t="s">
        <v>61</v>
      </c>
      <c r="M69" s="1" t="s">
        <v>62</v>
      </c>
      <c r="N69" s="1">
        <v>-133.0</v>
      </c>
      <c r="O69" s="1">
        <v>0.11038296728412</v>
      </c>
      <c r="P69" s="1" t="s">
        <v>61</v>
      </c>
      <c r="Q69" s="1" t="s">
        <v>61</v>
      </c>
      <c r="R69" s="1">
        <f t="shared" si="1"/>
        <v>0.1103829673</v>
      </c>
      <c r="S69" s="1">
        <f t="shared" si="2"/>
        <v>-133</v>
      </c>
      <c r="T69" s="1">
        <f t="shared" si="3"/>
        <v>1.751879699</v>
      </c>
      <c r="U69" s="1">
        <f t="shared" si="4"/>
        <v>0</v>
      </c>
      <c r="V69" s="3">
        <f t="shared" si="5"/>
        <v>3</v>
      </c>
      <c r="W69" s="3">
        <f t="shared" si="6"/>
        <v>3</v>
      </c>
      <c r="X69" s="3" t="str">
        <f>IFERROR(__xludf.DUMMYFUNCTION("split(B69,"" "")"),"J.")</f>
        <v>J.</v>
      </c>
      <c r="Y69" s="3" t="str">
        <f>IFERROR(__xludf.DUMMYFUNCTION("""COMPUTED_VALUE"""),"Sanders")</f>
        <v>Sanders</v>
      </c>
      <c r="AA69" s="3">
        <v>1.0</v>
      </c>
      <c r="AB69" s="3">
        <f t="shared" si="7"/>
        <v>0</v>
      </c>
      <c r="AC69" s="3">
        <f t="shared" si="8"/>
        <v>1</v>
      </c>
      <c r="AD69" s="3">
        <f t="shared" si="9"/>
        <v>2.255639098</v>
      </c>
      <c r="AE69" s="3">
        <f t="shared" si="10"/>
        <v>2.255639098</v>
      </c>
      <c r="AF69" s="3">
        <f t="shared" si="11"/>
        <v>2.255639098</v>
      </c>
      <c r="AG69" s="3">
        <f t="shared" si="12"/>
        <v>0.6</v>
      </c>
    </row>
    <row r="70">
      <c r="A70" s="1" t="s">
        <v>12</v>
      </c>
      <c r="B70" s="1" t="s">
        <v>353</v>
      </c>
      <c r="C70" s="1" t="s">
        <v>18</v>
      </c>
      <c r="D70" s="1" t="s">
        <v>57</v>
      </c>
      <c r="E70" s="1" t="s">
        <v>109</v>
      </c>
      <c r="F70" s="1" t="s">
        <v>610</v>
      </c>
      <c r="G70" s="1">
        <v>5.5</v>
      </c>
      <c r="H70" s="1" t="s">
        <v>60</v>
      </c>
      <c r="I70" s="1">
        <v>101.0</v>
      </c>
      <c r="J70" s="1">
        <v>0.0770373134328357</v>
      </c>
      <c r="K70" s="1" t="s">
        <v>61</v>
      </c>
      <c r="L70" s="1" t="s">
        <v>61</v>
      </c>
      <c r="M70" s="1" t="s">
        <v>62</v>
      </c>
      <c r="N70" s="1">
        <v>-134.0</v>
      </c>
      <c r="O70" s="1">
        <v>-0.147192307692307</v>
      </c>
      <c r="P70" s="1" t="s">
        <v>61</v>
      </c>
      <c r="Q70" s="1" t="s">
        <v>61</v>
      </c>
      <c r="R70" s="1">
        <f t="shared" si="1"/>
        <v>0.07703731343</v>
      </c>
      <c r="S70" s="1">
        <f t="shared" si="2"/>
        <v>101</v>
      </c>
      <c r="T70" s="1">
        <f t="shared" si="3"/>
        <v>2.01</v>
      </c>
      <c r="U70" s="1">
        <f t="shared" si="4"/>
        <v>1</v>
      </c>
      <c r="V70" s="3">
        <f t="shared" si="5"/>
        <v>2</v>
      </c>
      <c r="W70" s="3">
        <f t="shared" si="6"/>
        <v>2</v>
      </c>
      <c r="X70" s="3" t="str">
        <f>IFERROR(__xludf.DUMMYFUNCTION("split(B70,"" "")"),"D.")</f>
        <v>D.</v>
      </c>
      <c r="Y70" s="3" t="str">
        <f>IFERROR(__xludf.DUMMYFUNCTION("""COMPUTED_VALUE"""),"Johnson")</f>
        <v>Johnson</v>
      </c>
      <c r="AA70" s="3">
        <v>6.0</v>
      </c>
      <c r="AB70" s="3">
        <f t="shared" si="7"/>
        <v>1</v>
      </c>
      <c r="AC70" s="3">
        <f t="shared" si="8"/>
        <v>1</v>
      </c>
      <c r="AD70" s="3">
        <f t="shared" si="9"/>
        <v>2.02</v>
      </c>
      <c r="AE70" s="3">
        <f t="shared" si="10"/>
        <v>2.02</v>
      </c>
      <c r="AF70" s="3">
        <f t="shared" si="11"/>
        <v>2.02</v>
      </c>
      <c r="AG70" s="3">
        <f t="shared" si="12"/>
        <v>0.09090909091</v>
      </c>
    </row>
    <row r="71">
      <c r="A71" s="1" t="s">
        <v>17</v>
      </c>
      <c r="B71" s="1" t="s">
        <v>522</v>
      </c>
      <c r="C71" s="1" t="s">
        <v>21</v>
      </c>
      <c r="D71" s="1" t="s">
        <v>57</v>
      </c>
      <c r="E71" s="1" t="s">
        <v>109</v>
      </c>
      <c r="F71" s="1" t="s">
        <v>610</v>
      </c>
      <c r="G71" s="1">
        <v>0.5</v>
      </c>
      <c r="H71" s="1" t="s">
        <v>60</v>
      </c>
      <c r="I71" s="1">
        <v>-151.0</v>
      </c>
      <c r="J71" s="1">
        <v>-0.144233466135458</v>
      </c>
      <c r="K71" s="1" t="s">
        <v>61</v>
      </c>
      <c r="L71" s="1" t="s">
        <v>61</v>
      </c>
      <c r="M71" s="1" t="s">
        <v>62</v>
      </c>
      <c r="N71" s="1">
        <v>114.0</v>
      </c>
      <c r="O71" s="1">
        <v>0.0753570093457943</v>
      </c>
      <c r="P71" s="1" t="s">
        <v>61</v>
      </c>
      <c r="Q71" s="1" t="s">
        <v>61</v>
      </c>
      <c r="R71" s="1">
        <f t="shared" si="1"/>
        <v>0.07535700935</v>
      </c>
      <c r="S71" s="1">
        <f t="shared" si="2"/>
        <v>114</v>
      </c>
      <c r="T71" s="1">
        <f t="shared" si="3"/>
        <v>2.14</v>
      </c>
      <c r="U71" s="1">
        <f t="shared" si="4"/>
        <v>0</v>
      </c>
      <c r="V71" s="3">
        <f t="shared" si="5"/>
        <v>2</v>
      </c>
      <c r="W71" s="3">
        <f t="shared" si="6"/>
        <v>1</v>
      </c>
      <c r="X71" s="3" t="str">
        <f>IFERROR(__xludf.DUMMYFUNCTION("split(B71,"" "")"),"A.")</f>
        <v>A.</v>
      </c>
      <c r="Y71" s="3" t="str">
        <f>IFERROR(__xludf.DUMMYFUNCTION("""COMPUTED_VALUE"""),"Dalton")</f>
        <v>Dalton</v>
      </c>
      <c r="AA71" s="3">
        <v>2.0</v>
      </c>
      <c r="AB71" s="3">
        <f t="shared" si="7"/>
        <v>1</v>
      </c>
      <c r="AC71" s="3">
        <f t="shared" si="8"/>
        <v>0</v>
      </c>
      <c r="AD71" s="3">
        <f t="shared" si="9"/>
        <v>2.28</v>
      </c>
      <c r="AE71" s="3">
        <f t="shared" si="10"/>
        <v>-2</v>
      </c>
      <c r="AF71" s="3">
        <f t="shared" si="11"/>
        <v>-1</v>
      </c>
      <c r="AG71" s="3">
        <f t="shared" si="12"/>
        <v>-3</v>
      </c>
    </row>
    <row r="72">
      <c r="A72" s="1" t="s">
        <v>12</v>
      </c>
      <c r="B72" s="1" t="s">
        <v>357</v>
      </c>
      <c r="C72" s="1" t="s">
        <v>18</v>
      </c>
      <c r="D72" s="1" t="s">
        <v>57</v>
      </c>
      <c r="E72" s="1" t="s">
        <v>109</v>
      </c>
      <c r="F72" s="1" t="s">
        <v>610</v>
      </c>
      <c r="G72" s="1">
        <v>3.5</v>
      </c>
      <c r="H72" s="1" t="s">
        <v>60</v>
      </c>
      <c r="I72" s="1">
        <v>-112.0</v>
      </c>
      <c r="J72" s="1">
        <v>-0.117354716981131</v>
      </c>
      <c r="K72" s="1" t="s">
        <v>61</v>
      </c>
      <c r="L72" s="1" t="s">
        <v>61</v>
      </c>
      <c r="M72" s="1" t="s">
        <v>62</v>
      </c>
      <c r="N72" s="1">
        <v>-118.0</v>
      </c>
      <c r="O72" s="1">
        <v>0.0477614678899082</v>
      </c>
      <c r="P72" s="1" t="s">
        <v>61</v>
      </c>
      <c r="Q72" s="1" t="s">
        <v>61</v>
      </c>
      <c r="R72" s="1">
        <f t="shared" si="1"/>
        <v>0.04776146789</v>
      </c>
      <c r="S72" s="1">
        <f t="shared" si="2"/>
        <v>-118</v>
      </c>
      <c r="T72" s="1">
        <f t="shared" si="3"/>
        <v>1.847457627</v>
      </c>
      <c r="U72" s="1">
        <f t="shared" si="4"/>
        <v>0</v>
      </c>
      <c r="V72" s="3">
        <f t="shared" si="5"/>
        <v>1</v>
      </c>
      <c r="W72" s="3">
        <f t="shared" si="6"/>
        <v>3</v>
      </c>
      <c r="X72" s="3" t="str">
        <f>IFERROR(__xludf.DUMMYFUNCTION("split(B72,"" "")"),"X.")</f>
        <v>X.</v>
      </c>
      <c r="Y72" s="3" t="str">
        <f>IFERROR(__xludf.DUMMYFUNCTION("""COMPUTED_VALUE"""),"Legette")</f>
        <v>Legette</v>
      </c>
      <c r="AA72" s="3">
        <v>3.0</v>
      </c>
      <c r="AB72" s="3">
        <f t="shared" si="7"/>
        <v>0</v>
      </c>
      <c r="AC72" s="3">
        <f t="shared" si="8"/>
        <v>1</v>
      </c>
      <c r="AD72" s="3">
        <f t="shared" si="9"/>
        <v>0.8474576271</v>
      </c>
      <c r="AE72" s="3">
        <f t="shared" si="10"/>
        <v>0.8474576271</v>
      </c>
      <c r="AF72" s="3">
        <f t="shared" si="11"/>
        <v>2.542372881</v>
      </c>
      <c r="AG72" s="3">
        <f t="shared" si="12"/>
        <v>0.1428571429</v>
      </c>
    </row>
    <row r="73">
      <c r="A73" s="1" t="s">
        <v>10</v>
      </c>
      <c r="B73" s="1" t="s">
        <v>522</v>
      </c>
      <c r="C73" s="1" t="s">
        <v>21</v>
      </c>
      <c r="D73" s="1" t="s">
        <v>57</v>
      </c>
      <c r="E73" s="1" t="s">
        <v>109</v>
      </c>
      <c r="F73" s="1" t="s">
        <v>610</v>
      </c>
      <c r="G73" s="1">
        <v>3.5</v>
      </c>
      <c r="H73" s="1" t="s">
        <v>60</v>
      </c>
      <c r="I73" s="1">
        <v>-125.0</v>
      </c>
      <c r="J73" s="1">
        <v>0.0455967827734099</v>
      </c>
      <c r="K73" s="1" t="s">
        <v>61</v>
      </c>
      <c r="L73" s="1" t="s">
        <v>61</v>
      </c>
      <c r="M73" s="1" t="s">
        <v>62</v>
      </c>
      <c r="N73" s="1">
        <v>-104.0</v>
      </c>
      <c r="O73" s="1">
        <v>-0.110949250828323</v>
      </c>
      <c r="P73" s="1" t="s">
        <v>61</v>
      </c>
      <c r="Q73" s="1" t="s">
        <v>61</v>
      </c>
      <c r="R73" s="1">
        <f t="shared" si="1"/>
        <v>0.04559678277</v>
      </c>
      <c r="S73" s="1">
        <f t="shared" si="2"/>
        <v>-125</v>
      </c>
      <c r="T73" s="1">
        <f t="shared" si="3"/>
        <v>1.8</v>
      </c>
      <c r="U73" s="1">
        <f t="shared" si="4"/>
        <v>1</v>
      </c>
      <c r="V73" s="3">
        <f t="shared" si="5"/>
        <v>1</v>
      </c>
      <c r="W73" s="3">
        <f t="shared" si="6"/>
        <v>3</v>
      </c>
      <c r="X73" s="3" t="str">
        <f>IFERROR(__xludf.DUMMYFUNCTION("split(B73,"" "")"),"A.")</f>
        <v>A.</v>
      </c>
      <c r="Y73" s="3" t="str">
        <f>IFERROR(__xludf.DUMMYFUNCTION("""COMPUTED_VALUE"""),"Dalton")</f>
        <v>Dalton</v>
      </c>
      <c r="AA73" s="3">
        <v>21.0</v>
      </c>
      <c r="AB73" s="3">
        <f t="shared" si="7"/>
        <v>1</v>
      </c>
      <c r="AC73" s="3">
        <f t="shared" si="8"/>
        <v>1</v>
      </c>
      <c r="AD73" s="3">
        <f t="shared" si="9"/>
        <v>0.8</v>
      </c>
      <c r="AE73" s="3">
        <f t="shared" si="10"/>
        <v>0.8</v>
      </c>
      <c r="AF73" s="3">
        <f t="shared" si="11"/>
        <v>2.4</v>
      </c>
      <c r="AG73" s="3">
        <f t="shared" si="12"/>
        <v>5</v>
      </c>
    </row>
    <row r="74">
      <c r="A74" s="1" t="s">
        <v>10</v>
      </c>
      <c r="B74" s="1" t="s">
        <v>266</v>
      </c>
      <c r="C74" s="1" t="s">
        <v>19</v>
      </c>
      <c r="D74" s="1" t="s">
        <v>57</v>
      </c>
      <c r="E74" s="1" t="s">
        <v>109</v>
      </c>
      <c r="F74" s="1" t="s">
        <v>610</v>
      </c>
      <c r="G74" s="1">
        <v>65.5</v>
      </c>
      <c r="H74" s="1" t="s">
        <v>60</v>
      </c>
      <c r="I74" s="1">
        <v>-116.0</v>
      </c>
      <c r="J74" s="1">
        <v>-0.106784433511865</v>
      </c>
      <c r="K74" s="1" t="s">
        <v>61</v>
      </c>
      <c r="L74" s="1" t="s">
        <v>61</v>
      </c>
      <c r="M74" s="1" t="s">
        <v>62</v>
      </c>
      <c r="N74" s="1">
        <v>-111.0</v>
      </c>
      <c r="O74" s="1">
        <v>0.0436735344860406</v>
      </c>
      <c r="P74" s="1" t="s">
        <v>61</v>
      </c>
      <c r="Q74" s="1" t="s">
        <v>61</v>
      </c>
      <c r="R74" s="1">
        <f t="shared" si="1"/>
        <v>0.04367353449</v>
      </c>
      <c r="S74" s="1">
        <f t="shared" si="2"/>
        <v>-111</v>
      </c>
      <c r="T74" s="1">
        <f t="shared" si="3"/>
        <v>1.900900901</v>
      </c>
      <c r="U74" s="1">
        <f t="shared" si="4"/>
        <v>0</v>
      </c>
      <c r="V74" s="3">
        <f t="shared" si="5"/>
        <v>1</v>
      </c>
      <c r="W74" s="3">
        <f t="shared" si="6"/>
        <v>2</v>
      </c>
      <c r="X74" s="3" t="str">
        <f>IFERROR(__xludf.DUMMYFUNCTION("split(B74,"" "")"),"C.")</f>
        <v>C.</v>
      </c>
      <c r="Y74" s="3" t="str">
        <f>IFERROR(__xludf.DUMMYFUNCTION("""COMPUTED_VALUE"""),"Hubbard")</f>
        <v>Hubbard</v>
      </c>
      <c r="AA74" s="3">
        <v>92.0</v>
      </c>
      <c r="AB74" s="3">
        <f t="shared" si="7"/>
        <v>1</v>
      </c>
      <c r="AC74" s="3">
        <f t="shared" si="8"/>
        <v>0</v>
      </c>
      <c r="AD74" s="3">
        <f t="shared" si="9"/>
        <v>0.9009009009</v>
      </c>
      <c r="AE74" s="3">
        <f t="shared" si="10"/>
        <v>-1</v>
      </c>
      <c r="AF74" s="3">
        <f t="shared" si="11"/>
        <v>-2</v>
      </c>
      <c r="AG74" s="3">
        <f t="shared" si="12"/>
        <v>-0.4045801527</v>
      </c>
    </row>
    <row r="75">
      <c r="A75" s="1" t="s">
        <v>9</v>
      </c>
      <c r="B75" s="1" t="s">
        <v>266</v>
      </c>
      <c r="C75" s="1" t="s">
        <v>19</v>
      </c>
      <c r="D75" s="1" t="s">
        <v>57</v>
      </c>
      <c r="E75" s="1" t="s">
        <v>109</v>
      </c>
      <c r="F75" s="1" t="s">
        <v>610</v>
      </c>
      <c r="G75" s="1">
        <v>88.5</v>
      </c>
      <c r="H75" s="1" t="s">
        <v>60</v>
      </c>
      <c r="I75" s="1">
        <v>-119.0</v>
      </c>
      <c r="J75" s="1">
        <v>-0.116716990074645</v>
      </c>
      <c r="K75" s="1" t="s">
        <v>61</v>
      </c>
      <c r="L75" s="1" t="s">
        <v>61</v>
      </c>
      <c r="M75" s="1" t="s">
        <v>62</v>
      </c>
      <c r="N75" s="1">
        <v>-114.0</v>
      </c>
      <c r="O75" s="1">
        <v>0.0406325128933923</v>
      </c>
      <c r="P75" s="1" t="s">
        <v>61</v>
      </c>
      <c r="Q75" s="1" t="s">
        <v>61</v>
      </c>
      <c r="R75" s="1">
        <f t="shared" si="1"/>
        <v>0.04063251289</v>
      </c>
      <c r="S75" s="1">
        <f t="shared" si="2"/>
        <v>-114</v>
      </c>
      <c r="T75" s="1">
        <f t="shared" si="3"/>
        <v>1.877192982</v>
      </c>
      <c r="U75" s="1">
        <f t="shared" si="4"/>
        <v>0</v>
      </c>
      <c r="V75" s="3">
        <f t="shared" si="5"/>
        <v>1</v>
      </c>
      <c r="W75" s="3">
        <f t="shared" si="6"/>
        <v>2</v>
      </c>
      <c r="X75" s="3" t="str">
        <f>IFERROR(__xludf.DUMMYFUNCTION("split(B75,"" "")"),"C.")</f>
        <v>C.</v>
      </c>
      <c r="Y75" s="3" t="str">
        <f>IFERROR(__xludf.DUMMYFUNCTION("""COMPUTED_VALUE"""),"Hubbard")</f>
        <v>Hubbard</v>
      </c>
      <c r="AA75" s="3">
        <v>103.0</v>
      </c>
      <c r="AB75" s="3">
        <f t="shared" si="7"/>
        <v>1</v>
      </c>
      <c r="AC75" s="3">
        <f t="shared" si="8"/>
        <v>0</v>
      </c>
      <c r="AD75" s="3">
        <f t="shared" si="9"/>
        <v>0.8771929825</v>
      </c>
      <c r="AE75" s="3">
        <f t="shared" si="10"/>
        <v>-1</v>
      </c>
      <c r="AF75" s="3">
        <f t="shared" si="11"/>
        <v>-2</v>
      </c>
      <c r="AG75" s="3">
        <f t="shared" si="12"/>
        <v>-0.1638418079</v>
      </c>
    </row>
    <row r="76">
      <c r="A76" s="1" t="s">
        <v>12</v>
      </c>
      <c r="B76" s="1" t="s">
        <v>266</v>
      </c>
      <c r="C76" s="1" t="s">
        <v>19</v>
      </c>
      <c r="D76" s="1" t="s">
        <v>57</v>
      </c>
      <c r="E76" s="1" t="s">
        <v>109</v>
      </c>
      <c r="F76" s="1" t="s">
        <v>610</v>
      </c>
      <c r="G76" s="1">
        <v>3.5</v>
      </c>
      <c r="H76" s="1" t="s">
        <v>60</v>
      </c>
      <c r="I76" s="1">
        <v>127.0</v>
      </c>
      <c r="J76" s="1">
        <v>-0.105928634361233</v>
      </c>
      <c r="K76" s="1" t="s">
        <v>61</v>
      </c>
      <c r="L76" s="1" t="s">
        <v>61</v>
      </c>
      <c r="M76" s="1" t="s">
        <v>62</v>
      </c>
      <c r="N76" s="1">
        <v>-168.0</v>
      </c>
      <c r="O76" s="1">
        <v>0.038534328358209</v>
      </c>
      <c r="P76" s="1" t="s">
        <v>61</v>
      </c>
      <c r="Q76" s="1" t="s">
        <v>61</v>
      </c>
      <c r="R76" s="1">
        <f t="shared" si="1"/>
        <v>0.03853432836</v>
      </c>
      <c r="S76" s="1">
        <f t="shared" si="2"/>
        <v>-168</v>
      </c>
      <c r="T76" s="1">
        <f t="shared" si="3"/>
        <v>1.595238095</v>
      </c>
      <c r="U76" s="1">
        <f t="shared" si="4"/>
        <v>0</v>
      </c>
      <c r="V76" s="3">
        <f t="shared" si="5"/>
        <v>1</v>
      </c>
      <c r="W76" s="3">
        <f t="shared" si="6"/>
        <v>3</v>
      </c>
      <c r="X76" s="3" t="str">
        <f>IFERROR(__xludf.DUMMYFUNCTION("split(B76,"" "")"),"C.")</f>
        <v>C.</v>
      </c>
      <c r="Y76" s="3" t="str">
        <f>IFERROR(__xludf.DUMMYFUNCTION("""COMPUTED_VALUE"""),"Hubbard")</f>
        <v>Hubbard</v>
      </c>
      <c r="AA76" s="3">
        <v>5.0</v>
      </c>
      <c r="AB76" s="3">
        <f t="shared" si="7"/>
        <v>1</v>
      </c>
      <c r="AC76" s="3">
        <f t="shared" si="8"/>
        <v>0</v>
      </c>
      <c r="AD76" s="3">
        <f t="shared" si="9"/>
        <v>0.5952380952</v>
      </c>
      <c r="AE76" s="3">
        <f t="shared" si="10"/>
        <v>-1</v>
      </c>
      <c r="AF76" s="3">
        <f t="shared" si="11"/>
        <v>-3</v>
      </c>
      <c r="AG76" s="3">
        <f t="shared" si="12"/>
        <v>-0.4285714286</v>
      </c>
    </row>
    <row r="77">
      <c r="A77" s="1" t="s">
        <v>9</v>
      </c>
      <c r="B77" s="1" t="s">
        <v>207</v>
      </c>
      <c r="C77" s="1" t="s">
        <v>18</v>
      </c>
      <c r="D77" s="1" t="s">
        <v>57</v>
      </c>
      <c r="E77" s="1" t="s">
        <v>109</v>
      </c>
      <c r="F77" s="1" t="s">
        <v>610</v>
      </c>
      <c r="G77" s="1">
        <v>27.5</v>
      </c>
      <c r="H77" s="1" t="s">
        <v>60</v>
      </c>
      <c r="I77" s="1">
        <v>-120.0</v>
      </c>
      <c r="J77" s="1">
        <v>0.0354005626800467</v>
      </c>
      <c r="K77" s="1" t="s">
        <v>61</v>
      </c>
      <c r="L77" s="1" t="s">
        <v>61</v>
      </c>
      <c r="M77" s="1" t="s">
        <v>62</v>
      </c>
      <c r="N77" s="1">
        <v>-113.0</v>
      </c>
      <c r="O77" s="1">
        <v>-0.111364037005913</v>
      </c>
      <c r="P77" s="1" t="s">
        <v>61</v>
      </c>
      <c r="Q77" s="1" t="s">
        <v>61</v>
      </c>
      <c r="R77" s="1">
        <f t="shared" si="1"/>
        <v>0.03540056268</v>
      </c>
      <c r="S77" s="1">
        <f t="shared" si="2"/>
        <v>-120</v>
      </c>
      <c r="T77" s="1">
        <f t="shared" si="3"/>
        <v>1.833333333</v>
      </c>
      <c r="U77" s="1">
        <f t="shared" si="4"/>
        <v>1</v>
      </c>
      <c r="V77" s="3">
        <f t="shared" si="5"/>
        <v>1</v>
      </c>
      <c r="W77" s="3">
        <f t="shared" si="6"/>
        <v>3</v>
      </c>
      <c r="X77" s="3" t="str">
        <f>IFERROR(__xludf.DUMMYFUNCTION("split(B77,"" "")"),"J.")</f>
        <v>J.</v>
      </c>
      <c r="Y77" s="3" t="str">
        <f>IFERROR(__xludf.DUMMYFUNCTION("""COMPUTED_VALUE"""),"Mingo")</f>
        <v>Mingo</v>
      </c>
      <c r="AA77" s="3">
        <v>1.0</v>
      </c>
      <c r="AB77" s="3">
        <f t="shared" si="7"/>
        <v>0</v>
      </c>
      <c r="AC77" s="3">
        <f t="shared" si="8"/>
        <v>0</v>
      </c>
      <c r="AD77" s="3">
        <f t="shared" si="9"/>
        <v>0.8333333333</v>
      </c>
      <c r="AE77" s="3">
        <f t="shared" si="10"/>
        <v>-1</v>
      </c>
      <c r="AF77" s="3">
        <f t="shared" si="11"/>
        <v>-3</v>
      </c>
      <c r="AG77" s="3">
        <f t="shared" si="12"/>
        <v>-0.9636363636</v>
      </c>
    </row>
    <row r="78">
      <c r="A78" s="1" t="s">
        <v>14</v>
      </c>
      <c r="B78" s="1" t="s">
        <v>522</v>
      </c>
      <c r="C78" s="1" t="s">
        <v>21</v>
      </c>
      <c r="D78" s="1" t="s">
        <v>57</v>
      </c>
      <c r="E78" s="1" t="s">
        <v>109</v>
      </c>
      <c r="F78" s="1" t="s">
        <v>610</v>
      </c>
      <c r="G78" s="1">
        <v>1.5</v>
      </c>
      <c r="H78" s="1" t="s">
        <v>60</v>
      </c>
      <c r="I78" s="1">
        <v>148.0</v>
      </c>
      <c r="J78" s="1">
        <v>0.033774193548387</v>
      </c>
      <c r="K78" s="1" t="s">
        <v>61</v>
      </c>
      <c r="L78" s="1" t="s">
        <v>61</v>
      </c>
      <c r="M78" s="1" t="s">
        <v>62</v>
      </c>
      <c r="N78" s="1">
        <v>-193.0</v>
      </c>
      <c r="O78" s="1">
        <v>-0.0957030716723548</v>
      </c>
      <c r="P78" s="1" t="s">
        <v>61</v>
      </c>
      <c r="Q78" s="1" t="s">
        <v>61</v>
      </c>
      <c r="R78" s="1">
        <f t="shared" si="1"/>
        <v>0.03377419355</v>
      </c>
      <c r="S78" s="1">
        <f t="shared" si="2"/>
        <v>148</v>
      </c>
      <c r="T78" s="1">
        <f t="shared" si="3"/>
        <v>2.48</v>
      </c>
      <c r="U78" s="1">
        <f t="shared" si="4"/>
        <v>1</v>
      </c>
      <c r="V78" s="3">
        <f t="shared" si="5"/>
        <v>1</v>
      </c>
      <c r="W78" s="3">
        <f t="shared" si="6"/>
        <v>1</v>
      </c>
      <c r="X78" s="3" t="str">
        <f>IFERROR(__xludf.DUMMYFUNCTION("split(B78,"" "")"),"A.")</f>
        <v>A.</v>
      </c>
      <c r="Y78" s="3" t="str">
        <f>IFERROR(__xludf.DUMMYFUNCTION("""COMPUTED_VALUE"""),"Dalton")</f>
        <v>Dalton</v>
      </c>
      <c r="AA78" s="3">
        <v>2.0</v>
      </c>
      <c r="AB78" s="3">
        <f t="shared" si="7"/>
        <v>1</v>
      </c>
      <c r="AC78" s="3">
        <f t="shared" si="8"/>
        <v>1</v>
      </c>
      <c r="AD78" s="3">
        <f t="shared" si="9"/>
        <v>1.48</v>
      </c>
      <c r="AE78" s="3">
        <f t="shared" si="10"/>
        <v>1.48</v>
      </c>
      <c r="AF78" s="3">
        <f t="shared" si="11"/>
        <v>1.48</v>
      </c>
      <c r="AG78" s="3">
        <f t="shared" si="12"/>
        <v>0.3333333333</v>
      </c>
    </row>
    <row r="79">
      <c r="A79" s="1" t="s">
        <v>8</v>
      </c>
      <c r="B79" s="1" t="s">
        <v>522</v>
      </c>
      <c r="C79" s="1" t="s">
        <v>21</v>
      </c>
      <c r="D79" s="1" t="s">
        <v>57</v>
      </c>
      <c r="E79" s="1" t="s">
        <v>109</v>
      </c>
      <c r="F79" s="1" t="s">
        <v>610</v>
      </c>
      <c r="G79" s="1">
        <v>1.5</v>
      </c>
      <c r="H79" s="1" t="s">
        <v>60</v>
      </c>
      <c r="I79" s="1">
        <v>-153.0</v>
      </c>
      <c r="J79" s="1">
        <v>-0.0984732886915982</v>
      </c>
      <c r="K79" s="1" t="s">
        <v>61</v>
      </c>
      <c r="L79" s="1" t="s">
        <v>61</v>
      </c>
      <c r="M79" s="1" t="s">
        <v>62</v>
      </c>
      <c r="N79" s="1">
        <v>115.0</v>
      </c>
      <c r="O79" s="1">
        <v>0.0286192652975549</v>
      </c>
      <c r="P79" s="1" t="s">
        <v>61</v>
      </c>
      <c r="Q79" s="1" t="s">
        <v>61</v>
      </c>
      <c r="R79" s="1">
        <f t="shared" si="1"/>
        <v>0.0286192653</v>
      </c>
      <c r="S79" s="1">
        <f t="shared" si="2"/>
        <v>115</v>
      </c>
      <c r="T79" s="1">
        <f t="shared" si="3"/>
        <v>2.15</v>
      </c>
      <c r="U79" s="1">
        <f t="shared" si="4"/>
        <v>0</v>
      </c>
      <c r="V79" s="3">
        <f t="shared" si="5"/>
        <v>1</v>
      </c>
      <c r="W79" s="3">
        <f t="shared" si="6"/>
        <v>1</v>
      </c>
      <c r="X79" s="3" t="str">
        <f>IFERROR(__xludf.DUMMYFUNCTION("split(B79,"" "")"),"A.")</f>
        <v>A.</v>
      </c>
      <c r="Y79" s="3" t="str">
        <f>IFERROR(__xludf.DUMMYFUNCTION("""COMPUTED_VALUE"""),"Dalton")</f>
        <v>Dalton</v>
      </c>
      <c r="AA79" s="3">
        <v>3.0</v>
      </c>
      <c r="AB79" s="3">
        <f t="shared" si="7"/>
        <v>1</v>
      </c>
      <c r="AC79" s="3">
        <f t="shared" si="8"/>
        <v>0</v>
      </c>
      <c r="AD79" s="3">
        <f t="shared" si="9"/>
        <v>1.15</v>
      </c>
      <c r="AE79" s="3">
        <f t="shared" si="10"/>
        <v>-1</v>
      </c>
      <c r="AF79" s="3">
        <f t="shared" si="11"/>
        <v>-1</v>
      </c>
      <c r="AG79" s="3">
        <f t="shared" si="12"/>
        <v>-1</v>
      </c>
    </row>
    <row r="80">
      <c r="A80" s="1" t="s">
        <v>9</v>
      </c>
      <c r="B80" s="1" t="s">
        <v>521</v>
      </c>
      <c r="C80" s="1" t="s">
        <v>19</v>
      </c>
      <c r="D80" s="1" t="s">
        <v>57</v>
      </c>
      <c r="E80" s="1" t="s">
        <v>109</v>
      </c>
      <c r="F80" s="1" t="s">
        <v>610</v>
      </c>
      <c r="G80" s="1">
        <v>32.5</v>
      </c>
      <c r="H80" s="1" t="s">
        <v>60</v>
      </c>
      <c r="I80" s="1">
        <v>-115.0</v>
      </c>
      <c r="J80" s="1">
        <v>0.0269713669724094</v>
      </c>
      <c r="K80" s="1" t="s">
        <v>61</v>
      </c>
      <c r="L80" s="1" t="s">
        <v>61</v>
      </c>
      <c r="M80" s="1" t="s">
        <v>62</v>
      </c>
      <c r="N80" s="1">
        <v>-116.0</v>
      </c>
      <c r="O80" s="1">
        <v>-0.0988851801986988</v>
      </c>
      <c r="P80" s="1" t="s">
        <v>61</v>
      </c>
      <c r="Q80" s="1" t="s">
        <v>61</v>
      </c>
      <c r="R80" s="1">
        <f t="shared" si="1"/>
        <v>0.02697136697</v>
      </c>
      <c r="S80" s="1">
        <f t="shared" si="2"/>
        <v>-115</v>
      </c>
      <c r="T80" s="1">
        <f t="shared" si="3"/>
        <v>1.869565217</v>
      </c>
      <c r="U80" s="1">
        <f t="shared" si="4"/>
        <v>1</v>
      </c>
      <c r="V80" s="3">
        <f t="shared" si="5"/>
        <v>1</v>
      </c>
      <c r="W80" s="3">
        <f t="shared" si="6"/>
        <v>2</v>
      </c>
      <c r="X80" s="3" t="str">
        <f>IFERROR(__xludf.DUMMYFUNCTION("split(B80,"" "")"),"M.")</f>
        <v>M.</v>
      </c>
      <c r="Y80" s="3" t="str">
        <f>IFERROR(__xludf.DUMMYFUNCTION("""COMPUTED_VALUE"""),"Sanders")</f>
        <v>Sanders</v>
      </c>
      <c r="AA80" s="3">
        <v>13.0</v>
      </c>
      <c r="AB80" s="3">
        <f t="shared" si="7"/>
        <v>0</v>
      </c>
      <c r="AC80" s="3">
        <f t="shared" si="8"/>
        <v>0</v>
      </c>
      <c r="AD80" s="3">
        <f t="shared" si="9"/>
        <v>0.8695652174</v>
      </c>
      <c r="AE80" s="3">
        <f t="shared" si="10"/>
        <v>-1</v>
      </c>
      <c r="AF80" s="3">
        <f t="shared" si="11"/>
        <v>-2</v>
      </c>
      <c r="AG80" s="3">
        <f t="shared" si="12"/>
        <v>-0.6</v>
      </c>
    </row>
    <row r="81">
      <c r="A81" s="1" t="s">
        <v>8</v>
      </c>
      <c r="B81" s="1" t="s">
        <v>266</v>
      </c>
      <c r="C81" s="1" t="s">
        <v>19</v>
      </c>
      <c r="D81" s="1" t="s">
        <v>57</v>
      </c>
      <c r="E81" s="1" t="s">
        <v>109</v>
      </c>
      <c r="F81" s="1" t="s">
        <v>610</v>
      </c>
      <c r="G81" s="1">
        <v>15.5</v>
      </c>
      <c r="H81" s="1" t="s">
        <v>60</v>
      </c>
      <c r="I81" s="1">
        <v>-117.0</v>
      </c>
      <c r="J81" s="1">
        <v>-0.093070251718894</v>
      </c>
      <c r="K81" s="1" t="s">
        <v>61</v>
      </c>
      <c r="L81" s="1" t="s">
        <v>61</v>
      </c>
      <c r="M81" s="1" t="s">
        <v>62</v>
      </c>
      <c r="N81" s="1">
        <v>-113.0</v>
      </c>
      <c r="O81" s="1">
        <v>0.0233832742910328</v>
      </c>
      <c r="P81" s="1" t="s">
        <v>61</v>
      </c>
      <c r="Q81" s="1" t="s">
        <v>61</v>
      </c>
      <c r="R81" s="1">
        <f t="shared" si="1"/>
        <v>0.02338327429</v>
      </c>
      <c r="S81" s="1">
        <f t="shared" si="2"/>
        <v>-113</v>
      </c>
      <c r="T81" s="1">
        <f t="shared" si="3"/>
        <v>1.884955752</v>
      </c>
      <c r="U81" s="1">
        <f t="shared" si="4"/>
        <v>0</v>
      </c>
      <c r="V81" s="3">
        <f t="shared" si="5"/>
        <v>1</v>
      </c>
      <c r="W81" s="3">
        <f t="shared" si="6"/>
        <v>2</v>
      </c>
      <c r="X81" s="3" t="str">
        <f>IFERROR(__xludf.DUMMYFUNCTION("split(B81,"" "")"),"C.")</f>
        <v>C.</v>
      </c>
      <c r="Y81" s="3" t="str">
        <f>IFERROR(__xludf.DUMMYFUNCTION("""COMPUTED_VALUE"""),"Hubbard")</f>
        <v>Hubbard</v>
      </c>
      <c r="AA81" s="3">
        <v>18.0</v>
      </c>
      <c r="AB81" s="3">
        <f t="shared" si="7"/>
        <v>1</v>
      </c>
      <c r="AC81" s="3">
        <f t="shared" si="8"/>
        <v>0</v>
      </c>
      <c r="AD81" s="3">
        <f t="shared" si="9"/>
        <v>0.8849557522</v>
      </c>
      <c r="AE81" s="3">
        <f t="shared" si="10"/>
        <v>-1</v>
      </c>
      <c r="AF81" s="3">
        <f t="shared" si="11"/>
        <v>-2</v>
      </c>
      <c r="AG81" s="3">
        <f t="shared" si="12"/>
        <v>-0.1612903226</v>
      </c>
    </row>
    <row r="82">
      <c r="A82" s="1" t="s">
        <v>15</v>
      </c>
      <c r="B82" s="1" t="s">
        <v>522</v>
      </c>
      <c r="C82" s="1" t="s">
        <v>21</v>
      </c>
      <c r="D82" s="1" t="s">
        <v>57</v>
      </c>
      <c r="E82" s="1" t="s">
        <v>109</v>
      </c>
      <c r="F82" s="1" t="s">
        <v>610</v>
      </c>
      <c r="G82" s="1">
        <v>22.5</v>
      </c>
      <c r="H82" s="1" t="s">
        <v>60</v>
      </c>
      <c r="I82" s="1">
        <v>-109.0</v>
      </c>
      <c r="J82" s="1">
        <v>0.0150645933014353</v>
      </c>
      <c r="K82" s="1" t="s">
        <v>61</v>
      </c>
      <c r="L82" s="1" t="s">
        <v>61</v>
      </c>
      <c r="M82" s="1" t="s">
        <v>62</v>
      </c>
      <c r="N82" s="1">
        <v>-123.0</v>
      </c>
      <c r="O82" s="1">
        <v>-0.0881798206278027</v>
      </c>
      <c r="P82" s="1" t="s">
        <v>61</v>
      </c>
      <c r="Q82" s="1" t="s">
        <v>61</v>
      </c>
      <c r="R82" s="1">
        <f t="shared" si="1"/>
        <v>0.0150645933</v>
      </c>
      <c r="S82" s="1">
        <f t="shared" si="2"/>
        <v>-109</v>
      </c>
      <c r="T82" s="1">
        <f t="shared" si="3"/>
        <v>1.917431193</v>
      </c>
      <c r="U82" s="1">
        <f t="shared" si="4"/>
        <v>1</v>
      </c>
      <c r="V82" s="3">
        <f t="shared" si="5"/>
        <v>1</v>
      </c>
      <c r="W82" s="3">
        <f t="shared" si="6"/>
        <v>2</v>
      </c>
      <c r="X82" s="3" t="str">
        <f>IFERROR(__xludf.DUMMYFUNCTION("split(B82,"" "")"),"A.")</f>
        <v>A.</v>
      </c>
      <c r="Y82" s="3" t="str">
        <f>IFERROR(__xludf.DUMMYFUNCTION("""COMPUTED_VALUE"""),"Dalton")</f>
        <v>Dalton</v>
      </c>
      <c r="AA82" s="3">
        <v>26.0</v>
      </c>
      <c r="AB82" s="3">
        <f t="shared" si="7"/>
        <v>1</v>
      </c>
      <c r="AC82" s="3">
        <f t="shared" si="8"/>
        <v>1</v>
      </c>
      <c r="AD82" s="3">
        <f t="shared" si="9"/>
        <v>0.9174311927</v>
      </c>
      <c r="AE82" s="3">
        <f t="shared" si="10"/>
        <v>0.9174311927</v>
      </c>
      <c r="AF82" s="3">
        <f t="shared" si="11"/>
        <v>1.834862385</v>
      </c>
      <c r="AG82" s="3">
        <f t="shared" si="12"/>
        <v>0.1555555556</v>
      </c>
    </row>
    <row r="83">
      <c r="A83" s="1" t="s">
        <v>11</v>
      </c>
      <c r="B83" s="1" t="s">
        <v>523</v>
      </c>
      <c r="C83" s="1" t="s">
        <v>20</v>
      </c>
      <c r="D83" s="1" t="s">
        <v>57</v>
      </c>
      <c r="E83" s="1" t="s">
        <v>109</v>
      </c>
      <c r="F83" s="1" t="s">
        <v>610</v>
      </c>
      <c r="G83" s="1">
        <v>21.5</v>
      </c>
      <c r="H83" s="1" t="s">
        <v>60</v>
      </c>
      <c r="I83" s="1">
        <v>-104.0</v>
      </c>
      <c r="J83" s="1">
        <v>-0.0753077839681568</v>
      </c>
      <c r="K83" s="1" t="s">
        <v>61</v>
      </c>
      <c r="L83" s="1" t="s">
        <v>61</v>
      </c>
      <c r="M83" s="1" t="s">
        <v>62</v>
      </c>
      <c r="N83" s="1">
        <v>-126.0</v>
      </c>
      <c r="O83" s="1">
        <v>0.00799600350077445</v>
      </c>
      <c r="P83" s="1" t="s">
        <v>61</v>
      </c>
      <c r="Q83" s="1" t="s">
        <v>61</v>
      </c>
      <c r="R83" s="1">
        <f t="shared" si="1"/>
        <v>0.007996003501</v>
      </c>
      <c r="S83" s="1">
        <f t="shared" si="2"/>
        <v>-126</v>
      </c>
      <c r="T83" s="1">
        <f t="shared" si="3"/>
        <v>1.793650794</v>
      </c>
      <c r="U83" s="1">
        <f t="shared" si="4"/>
        <v>0</v>
      </c>
      <c r="V83" s="3">
        <f t="shared" si="5"/>
        <v>1</v>
      </c>
      <c r="W83" s="3">
        <f t="shared" si="6"/>
        <v>3</v>
      </c>
      <c r="X83" s="3" t="str">
        <f>IFERROR(__xludf.DUMMYFUNCTION("split(B83,"" "")"),"J.")</f>
        <v>J.</v>
      </c>
      <c r="Y83" s="3" t="str">
        <f>IFERROR(__xludf.DUMMYFUNCTION("""COMPUTED_VALUE"""),"Sanders")</f>
        <v>Sanders</v>
      </c>
      <c r="AA83" s="3">
        <v>12.0</v>
      </c>
      <c r="AB83" s="3">
        <f t="shared" si="7"/>
        <v>0</v>
      </c>
      <c r="AC83" s="3">
        <f t="shared" si="8"/>
        <v>1</v>
      </c>
      <c r="AD83" s="3">
        <f t="shared" si="9"/>
        <v>0.7936507937</v>
      </c>
      <c r="AE83" s="3">
        <f t="shared" si="10"/>
        <v>0.7936507937</v>
      </c>
      <c r="AF83" s="3">
        <f t="shared" si="11"/>
        <v>2.380952381</v>
      </c>
      <c r="AG83" s="3">
        <f t="shared" si="12"/>
        <v>0.4418604651</v>
      </c>
    </row>
    <row r="84">
      <c r="A84" s="1" t="s">
        <v>8</v>
      </c>
      <c r="B84" s="1" t="s">
        <v>274</v>
      </c>
      <c r="C84" s="1" t="s">
        <v>21</v>
      </c>
      <c r="D84" s="1" t="s">
        <v>99</v>
      </c>
      <c r="E84" s="1" t="s">
        <v>93</v>
      </c>
      <c r="F84" s="1" t="s">
        <v>613</v>
      </c>
      <c r="G84" s="1">
        <v>3.5</v>
      </c>
      <c r="H84" s="1" t="s">
        <v>60</v>
      </c>
      <c r="I84" s="1">
        <v>-169.0</v>
      </c>
      <c r="J84" s="1">
        <v>-0.277384040863368</v>
      </c>
      <c r="K84" s="1" t="s">
        <v>61</v>
      </c>
      <c r="L84" s="1" t="s">
        <v>61</v>
      </c>
      <c r="M84" s="1" t="s">
        <v>62</v>
      </c>
      <c r="N84" s="1">
        <v>129.0</v>
      </c>
      <c r="O84" s="1">
        <v>0.212455489049109</v>
      </c>
      <c r="P84" s="1" t="s">
        <v>61</v>
      </c>
      <c r="Q84" s="1" t="s">
        <v>61</v>
      </c>
      <c r="R84" s="1">
        <f t="shared" si="1"/>
        <v>0.212455489</v>
      </c>
      <c r="S84" s="1">
        <f t="shared" si="2"/>
        <v>129</v>
      </c>
      <c r="T84" s="1">
        <f t="shared" si="3"/>
        <v>2.29</v>
      </c>
      <c r="U84" s="1">
        <f t="shared" si="4"/>
        <v>0</v>
      </c>
      <c r="V84" s="3">
        <f t="shared" si="5"/>
        <v>3</v>
      </c>
      <c r="W84" s="3">
        <f t="shared" si="6"/>
        <v>1</v>
      </c>
      <c r="X84" s="3" t="str">
        <f>IFERROR(__xludf.DUMMYFUNCTION("split(B84,"" "")"),"C.")</f>
        <v>C.</v>
      </c>
      <c r="Y84" s="3" t="str">
        <f>IFERROR(__xludf.DUMMYFUNCTION("""COMPUTED_VALUE"""),"Williams")</f>
        <v>Williams</v>
      </c>
      <c r="AA84" s="3">
        <v>4.0</v>
      </c>
      <c r="AB84" s="3">
        <f t="shared" si="7"/>
        <v>1</v>
      </c>
      <c r="AC84" s="3">
        <f t="shared" si="8"/>
        <v>0</v>
      </c>
      <c r="AD84" s="3">
        <f t="shared" si="9"/>
        <v>3.87</v>
      </c>
      <c r="AE84" s="3">
        <f t="shared" si="10"/>
        <v>-3</v>
      </c>
      <c r="AF84" s="3">
        <f t="shared" si="11"/>
        <v>-1</v>
      </c>
      <c r="AG84" s="3">
        <f t="shared" si="12"/>
        <v>-0.1428571429</v>
      </c>
    </row>
    <row r="85">
      <c r="A85" s="1" t="s">
        <v>12</v>
      </c>
      <c r="B85" s="1" t="s">
        <v>98</v>
      </c>
      <c r="C85" s="1" t="s">
        <v>19</v>
      </c>
      <c r="D85" s="1" t="s">
        <v>99</v>
      </c>
      <c r="E85" s="1" t="s">
        <v>93</v>
      </c>
      <c r="F85" s="1" t="s">
        <v>613</v>
      </c>
      <c r="G85" s="1">
        <v>2.5</v>
      </c>
      <c r="H85" s="1" t="s">
        <v>60</v>
      </c>
      <c r="I85" s="1">
        <v>-140.0</v>
      </c>
      <c r="J85" s="1">
        <v>-0.278428703916666</v>
      </c>
      <c r="K85" s="1" t="s">
        <v>61</v>
      </c>
      <c r="L85" s="1" t="s">
        <v>61</v>
      </c>
      <c r="M85" s="1" t="s">
        <v>62</v>
      </c>
      <c r="N85" s="1">
        <v>107.0</v>
      </c>
      <c r="O85" s="1">
        <v>0.212002845120773</v>
      </c>
      <c r="P85" s="1" t="s">
        <v>61</v>
      </c>
      <c r="Q85" s="1" t="s">
        <v>61</v>
      </c>
      <c r="R85" s="1">
        <f t="shared" si="1"/>
        <v>0.2120028451</v>
      </c>
      <c r="S85" s="1">
        <f t="shared" si="2"/>
        <v>107</v>
      </c>
      <c r="T85" s="1">
        <f t="shared" si="3"/>
        <v>2.07</v>
      </c>
      <c r="U85" s="1">
        <f t="shared" si="4"/>
        <v>0</v>
      </c>
      <c r="V85" s="3">
        <f t="shared" si="5"/>
        <v>3</v>
      </c>
      <c r="W85" s="3">
        <f t="shared" si="6"/>
        <v>2</v>
      </c>
      <c r="X85" s="3" t="str">
        <f>IFERROR(__xludf.DUMMYFUNCTION("split(B85,"" "")"),"D.")</f>
        <v>D.</v>
      </c>
      <c r="Y85" s="3" t="str">
        <f>IFERROR(__xludf.DUMMYFUNCTION("""COMPUTED_VALUE"""),"Swift")</f>
        <v>Swift</v>
      </c>
      <c r="AA85" s="3">
        <v>4.0</v>
      </c>
      <c r="AB85" s="3">
        <f t="shared" si="7"/>
        <v>1</v>
      </c>
      <c r="AC85" s="3">
        <f t="shared" si="8"/>
        <v>0</v>
      </c>
      <c r="AD85" s="3">
        <f t="shared" si="9"/>
        <v>3.21</v>
      </c>
      <c r="AE85" s="3">
        <f t="shared" si="10"/>
        <v>-3</v>
      </c>
      <c r="AF85" s="3">
        <f t="shared" si="11"/>
        <v>-2</v>
      </c>
      <c r="AG85" s="3">
        <f t="shared" si="12"/>
        <v>-0.6</v>
      </c>
    </row>
    <row r="86">
      <c r="A86" s="1" t="s">
        <v>8</v>
      </c>
      <c r="B86" s="1" t="s">
        <v>578</v>
      </c>
      <c r="C86" s="1" t="s">
        <v>19</v>
      </c>
      <c r="D86" s="1" t="s">
        <v>99</v>
      </c>
      <c r="E86" s="1" t="s">
        <v>93</v>
      </c>
      <c r="F86" s="1" t="s">
        <v>613</v>
      </c>
      <c r="G86" s="1">
        <v>6.5</v>
      </c>
      <c r="H86" s="1" t="s">
        <v>60</v>
      </c>
      <c r="I86" s="1">
        <v>-108.0</v>
      </c>
      <c r="J86" s="1">
        <v>-0.208669736987828</v>
      </c>
      <c r="K86" s="1" t="s">
        <v>61</v>
      </c>
      <c r="L86" s="1" t="s">
        <v>61</v>
      </c>
      <c r="M86" s="1" t="s">
        <v>62</v>
      </c>
      <c r="N86" s="1">
        <v>-120.0</v>
      </c>
      <c r="O86" s="1">
        <v>0.143989665237099</v>
      </c>
      <c r="P86" s="1" t="s">
        <v>61</v>
      </c>
      <c r="Q86" s="1" t="s">
        <v>61</v>
      </c>
      <c r="R86" s="1">
        <f t="shared" si="1"/>
        <v>0.1439896652</v>
      </c>
      <c r="S86" s="1">
        <f t="shared" si="2"/>
        <v>-120</v>
      </c>
      <c r="T86" s="1">
        <f t="shared" si="3"/>
        <v>1.833333333</v>
      </c>
      <c r="U86" s="1">
        <f t="shared" si="4"/>
        <v>0</v>
      </c>
      <c r="V86" s="3">
        <f t="shared" si="5"/>
        <v>3</v>
      </c>
      <c r="W86" s="3">
        <f t="shared" si="6"/>
        <v>3</v>
      </c>
      <c r="X86" s="3" t="str">
        <f>IFERROR(__xludf.DUMMYFUNCTION("split(B86,"" "")"),"R.")</f>
        <v>R.</v>
      </c>
      <c r="Y86" s="3" t="str">
        <f>IFERROR(__xludf.DUMMYFUNCTION("""COMPUTED_VALUE"""),"Johnson")</f>
        <v>Johnson</v>
      </c>
      <c r="AA86" s="3">
        <v>6.0</v>
      </c>
      <c r="AB86" s="3">
        <f t="shared" si="7"/>
        <v>0</v>
      </c>
      <c r="AC86" s="3">
        <f t="shared" si="8"/>
        <v>1</v>
      </c>
      <c r="AD86" s="3">
        <f t="shared" si="9"/>
        <v>2.5</v>
      </c>
      <c r="AE86" s="3">
        <f t="shared" si="10"/>
        <v>2.5</v>
      </c>
      <c r="AF86" s="3">
        <f t="shared" si="11"/>
        <v>2.5</v>
      </c>
      <c r="AG86" s="3">
        <f t="shared" si="12"/>
        <v>0.07692307692</v>
      </c>
    </row>
    <row r="87">
      <c r="A87" s="1" t="s">
        <v>11</v>
      </c>
      <c r="B87" s="1" t="s">
        <v>160</v>
      </c>
      <c r="C87" s="1" t="s">
        <v>20</v>
      </c>
      <c r="D87" s="1" t="s">
        <v>99</v>
      </c>
      <c r="E87" s="1" t="s">
        <v>93</v>
      </c>
      <c r="F87" s="1" t="s">
        <v>613</v>
      </c>
      <c r="G87" s="1">
        <v>5.5</v>
      </c>
      <c r="H87" s="1" t="s">
        <v>60</v>
      </c>
      <c r="I87" s="1">
        <v>-112.0</v>
      </c>
      <c r="J87" s="1">
        <v>0.0998423888598258</v>
      </c>
      <c r="K87" s="1" t="s">
        <v>61</v>
      </c>
      <c r="L87" s="1" t="s">
        <v>61</v>
      </c>
      <c r="M87" s="1" t="s">
        <v>62</v>
      </c>
      <c r="N87" s="1">
        <v>-115.0</v>
      </c>
      <c r="O87" s="1">
        <v>-0.162993741414072</v>
      </c>
      <c r="P87" s="1" t="s">
        <v>61</v>
      </c>
      <c r="Q87" s="1" t="s">
        <v>61</v>
      </c>
      <c r="R87" s="1">
        <f t="shared" si="1"/>
        <v>0.09984238886</v>
      </c>
      <c r="S87" s="1">
        <f t="shared" si="2"/>
        <v>-112</v>
      </c>
      <c r="T87" s="1">
        <f t="shared" si="3"/>
        <v>1.892857143</v>
      </c>
      <c r="U87" s="1">
        <f t="shared" si="4"/>
        <v>1</v>
      </c>
      <c r="V87" s="3">
        <f t="shared" si="5"/>
        <v>2</v>
      </c>
      <c r="W87" s="3">
        <f t="shared" si="6"/>
        <v>2</v>
      </c>
      <c r="X87" s="3" t="str">
        <f>IFERROR(__xludf.DUMMYFUNCTION("split(B87,"" "")"),"G.")</f>
        <v>G.</v>
      </c>
      <c r="Y87" s="3" t="str">
        <f>IFERROR(__xludf.DUMMYFUNCTION("""COMPUTED_VALUE"""),"Everett")</f>
        <v>Everett</v>
      </c>
      <c r="AA87" s="3">
        <v>0.0</v>
      </c>
      <c r="AB87" s="3">
        <f t="shared" si="7"/>
        <v>0</v>
      </c>
      <c r="AC87" s="3">
        <f t="shared" si="8"/>
        <v>0</v>
      </c>
      <c r="AD87" s="3">
        <f t="shared" si="9"/>
        <v>1.785714286</v>
      </c>
      <c r="AE87" s="3">
        <f t="shared" si="10"/>
        <v>-2</v>
      </c>
      <c r="AF87" s="3">
        <f t="shared" si="11"/>
        <v>-2</v>
      </c>
      <c r="AG87" s="3">
        <f t="shared" si="12"/>
        <v>-1</v>
      </c>
    </row>
    <row r="88">
      <c r="A88" s="1" t="s">
        <v>12</v>
      </c>
      <c r="B88" s="1" t="s">
        <v>351</v>
      </c>
      <c r="C88" s="1" t="s">
        <v>18</v>
      </c>
      <c r="D88" s="1" t="s">
        <v>99</v>
      </c>
      <c r="E88" s="1" t="s">
        <v>93</v>
      </c>
      <c r="F88" s="1" t="s">
        <v>613</v>
      </c>
      <c r="G88" s="1">
        <v>5.5</v>
      </c>
      <c r="H88" s="1" t="s">
        <v>60</v>
      </c>
      <c r="I88" s="1">
        <v>101.0</v>
      </c>
      <c r="J88" s="1">
        <v>0.0785875621890546</v>
      </c>
      <c r="K88" s="1" t="s">
        <v>61</v>
      </c>
      <c r="L88" s="1" t="s">
        <v>61</v>
      </c>
      <c r="M88" s="1" t="s">
        <v>62</v>
      </c>
      <c r="N88" s="1">
        <v>-132.0</v>
      </c>
      <c r="O88" s="1">
        <v>-0.145065517241379</v>
      </c>
      <c r="P88" s="1" t="s">
        <v>61</v>
      </c>
      <c r="Q88" s="1" t="s">
        <v>61</v>
      </c>
      <c r="R88" s="1">
        <f t="shared" si="1"/>
        <v>0.07858756219</v>
      </c>
      <c r="S88" s="1">
        <f t="shared" si="2"/>
        <v>101</v>
      </c>
      <c r="T88" s="1">
        <f t="shared" si="3"/>
        <v>2.01</v>
      </c>
      <c r="U88" s="1">
        <f t="shared" si="4"/>
        <v>1</v>
      </c>
      <c r="V88" s="3">
        <f t="shared" si="5"/>
        <v>2</v>
      </c>
      <c r="W88" s="3">
        <f t="shared" si="6"/>
        <v>2</v>
      </c>
      <c r="X88" s="3" t="str">
        <f>IFERROR(__xludf.DUMMYFUNCTION("split(B88,"" "")"),"D.")</f>
        <v>D.</v>
      </c>
      <c r="Y88" s="3" t="str">
        <f>IFERROR(__xludf.DUMMYFUNCTION("""COMPUTED_VALUE"""),"Moore")</f>
        <v>Moore</v>
      </c>
      <c r="AA88" s="3">
        <v>4.0</v>
      </c>
      <c r="AB88" s="3">
        <f t="shared" si="7"/>
        <v>0</v>
      </c>
      <c r="AC88" s="3">
        <f t="shared" si="8"/>
        <v>0</v>
      </c>
      <c r="AD88" s="3">
        <f t="shared" si="9"/>
        <v>2.02</v>
      </c>
      <c r="AE88" s="3">
        <f t="shared" si="10"/>
        <v>-2</v>
      </c>
      <c r="AF88" s="3">
        <f t="shared" si="11"/>
        <v>-2</v>
      </c>
      <c r="AG88" s="3">
        <f t="shared" si="12"/>
        <v>-0.2727272727</v>
      </c>
    </row>
    <row r="89">
      <c r="A89" s="1" t="s">
        <v>8</v>
      </c>
      <c r="B89" s="1" t="s">
        <v>98</v>
      </c>
      <c r="C89" s="1" t="s">
        <v>19</v>
      </c>
      <c r="D89" s="1" t="s">
        <v>99</v>
      </c>
      <c r="E89" s="1" t="s">
        <v>93</v>
      </c>
      <c r="F89" s="1" t="s">
        <v>613</v>
      </c>
      <c r="G89" s="1">
        <v>12.5</v>
      </c>
      <c r="H89" s="1" t="s">
        <v>60</v>
      </c>
      <c r="I89" s="1">
        <v>-148.0</v>
      </c>
      <c r="J89" s="1">
        <v>-0.144053791579435</v>
      </c>
      <c r="K89" s="1" t="s">
        <v>61</v>
      </c>
      <c r="L89" s="1" t="s">
        <v>61</v>
      </c>
      <c r="M89" s="1" t="s">
        <v>62</v>
      </c>
      <c r="N89" s="1">
        <v>112.0</v>
      </c>
      <c r="O89" s="1">
        <v>0.075595001470283</v>
      </c>
      <c r="P89" s="1" t="s">
        <v>61</v>
      </c>
      <c r="Q89" s="1" t="s">
        <v>61</v>
      </c>
      <c r="R89" s="1">
        <f t="shared" si="1"/>
        <v>0.07559500147</v>
      </c>
      <c r="S89" s="1">
        <f t="shared" si="2"/>
        <v>112</v>
      </c>
      <c r="T89" s="1">
        <f t="shared" si="3"/>
        <v>2.12</v>
      </c>
      <c r="U89" s="1">
        <f t="shared" si="4"/>
        <v>0</v>
      </c>
      <c r="V89" s="3">
        <f t="shared" si="5"/>
        <v>2</v>
      </c>
      <c r="W89" s="3">
        <f t="shared" si="6"/>
        <v>1</v>
      </c>
      <c r="X89" s="3" t="str">
        <f>IFERROR(__xludf.DUMMYFUNCTION("split(B89,"" "")"),"D.")</f>
        <v>D.</v>
      </c>
      <c r="Y89" s="3" t="str">
        <f>IFERROR(__xludf.DUMMYFUNCTION("""COMPUTED_VALUE"""),"Swift")</f>
        <v>Swift</v>
      </c>
      <c r="AA89" s="3">
        <v>17.0</v>
      </c>
      <c r="AB89" s="3">
        <f t="shared" si="7"/>
        <v>1</v>
      </c>
      <c r="AC89" s="3">
        <f t="shared" si="8"/>
        <v>0</v>
      </c>
      <c r="AD89" s="3">
        <f t="shared" si="9"/>
        <v>2.24</v>
      </c>
      <c r="AE89" s="3">
        <f t="shared" si="10"/>
        <v>-2</v>
      </c>
      <c r="AF89" s="3">
        <f t="shared" si="11"/>
        <v>-1</v>
      </c>
      <c r="AG89" s="3">
        <f t="shared" si="12"/>
        <v>-0.36</v>
      </c>
    </row>
    <row r="90">
      <c r="A90" s="1" t="s">
        <v>10</v>
      </c>
      <c r="B90" s="1" t="s">
        <v>274</v>
      </c>
      <c r="C90" s="1" t="s">
        <v>21</v>
      </c>
      <c r="D90" s="1" t="s">
        <v>99</v>
      </c>
      <c r="E90" s="1" t="s">
        <v>93</v>
      </c>
      <c r="F90" s="1" t="s">
        <v>613</v>
      </c>
      <c r="G90" s="1">
        <v>22.5</v>
      </c>
      <c r="H90" s="1" t="s">
        <v>60</v>
      </c>
      <c r="I90" s="1">
        <v>-111.0</v>
      </c>
      <c r="J90" s="1">
        <v>-0.118926799589396</v>
      </c>
      <c r="K90" s="1" t="s">
        <v>61</v>
      </c>
      <c r="L90" s="1" t="s">
        <v>61</v>
      </c>
      <c r="M90" s="1" t="s">
        <v>62</v>
      </c>
      <c r="N90" s="1">
        <v>-118.0</v>
      </c>
      <c r="O90" s="1">
        <v>0.0516130576227888</v>
      </c>
      <c r="P90" s="1" t="s">
        <v>61</v>
      </c>
      <c r="Q90" s="1" t="s">
        <v>61</v>
      </c>
      <c r="R90" s="1">
        <f t="shared" si="1"/>
        <v>0.05161305762</v>
      </c>
      <c r="S90" s="1">
        <f t="shared" si="2"/>
        <v>-118</v>
      </c>
      <c r="T90" s="1">
        <f t="shared" si="3"/>
        <v>1.847457627</v>
      </c>
      <c r="U90" s="1">
        <f t="shared" si="4"/>
        <v>0</v>
      </c>
      <c r="V90" s="3">
        <f t="shared" si="5"/>
        <v>2</v>
      </c>
      <c r="W90" s="3">
        <f t="shared" si="6"/>
        <v>3</v>
      </c>
      <c r="X90" s="3" t="str">
        <f>IFERROR(__xludf.DUMMYFUNCTION("split(B90,"" "")"),"C.")</f>
        <v>C.</v>
      </c>
      <c r="Y90" s="3" t="str">
        <f>IFERROR(__xludf.DUMMYFUNCTION("""COMPUTED_VALUE"""),"Williams")</f>
        <v>Williams</v>
      </c>
      <c r="AA90" s="3">
        <v>56.0</v>
      </c>
      <c r="AB90" s="3">
        <f t="shared" si="7"/>
        <v>1</v>
      </c>
      <c r="AC90" s="3">
        <f t="shared" si="8"/>
        <v>0</v>
      </c>
      <c r="AD90" s="3">
        <f t="shared" si="9"/>
        <v>1.694915254</v>
      </c>
      <c r="AE90" s="3">
        <f t="shared" si="10"/>
        <v>-2</v>
      </c>
      <c r="AF90" s="3">
        <f t="shared" si="11"/>
        <v>-3</v>
      </c>
      <c r="AG90" s="3">
        <f t="shared" si="12"/>
        <v>-1.488888889</v>
      </c>
    </row>
    <row r="91">
      <c r="A91" s="1" t="s">
        <v>11</v>
      </c>
      <c r="B91" s="1" t="s">
        <v>98</v>
      </c>
      <c r="C91" s="1" t="s">
        <v>19</v>
      </c>
      <c r="D91" s="1" t="s">
        <v>99</v>
      </c>
      <c r="E91" s="1" t="s">
        <v>93</v>
      </c>
      <c r="F91" s="1" t="s">
        <v>613</v>
      </c>
      <c r="G91" s="1">
        <v>17.5</v>
      </c>
      <c r="H91" s="1" t="s">
        <v>60</v>
      </c>
      <c r="I91" s="1">
        <v>-127.0</v>
      </c>
      <c r="J91" s="1">
        <v>-0.109097272519599</v>
      </c>
      <c r="K91" s="1" t="s">
        <v>61</v>
      </c>
      <c r="L91" s="1" t="s">
        <v>61</v>
      </c>
      <c r="M91" s="1" t="s">
        <v>62</v>
      </c>
      <c r="N91" s="1">
        <v>-104.0</v>
      </c>
      <c r="O91" s="1">
        <v>0.039873235766799</v>
      </c>
      <c r="P91" s="1" t="s">
        <v>61</v>
      </c>
      <c r="Q91" s="1" t="s">
        <v>61</v>
      </c>
      <c r="R91" s="1">
        <f t="shared" si="1"/>
        <v>0.03987323577</v>
      </c>
      <c r="S91" s="1">
        <f t="shared" si="2"/>
        <v>-104</v>
      </c>
      <c r="T91" s="1">
        <f t="shared" si="3"/>
        <v>1.961538462</v>
      </c>
      <c r="U91" s="1">
        <f t="shared" si="4"/>
        <v>0</v>
      </c>
      <c r="V91" s="3">
        <f t="shared" si="5"/>
        <v>1</v>
      </c>
      <c r="W91" s="3">
        <f t="shared" si="6"/>
        <v>2</v>
      </c>
      <c r="X91" s="3" t="str">
        <f>IFERROR(__xludf.DUMMYFUNCTION("split(B91,"" "")"),"D.")</f>
        <v>D.</v>
      </c>
      <c r="Y91" s="3" t="str">
        <f>IFERROR(__xludf.DUMMYFUNCTION("""COMPUTED_VALUE"""),"Swift")</f>
        <v>Swift</v>
      </c>
      <c r="AA91" s="3">
        <v>28.0</v>
      </c>
      <c r="AB91" s="3">
        <f t="shared" si="7"/>
        <v>1</v>
      </c>
      <c r="AC91" s="3">
        <f t="shared" si="8"/>
        <v>0</v>
      </c>
      <c r="AD91" s="3">
        <f t="shared" si="9"/>
        <v>0.9615384615</v>
      </c>
      <c r="AE91" s="3">
        <f t="shared" si="10"/>
        <v>-1</v>
      </c>
      <c r="AF91" s="3">
        <f t="shared" si="11"/>
        <v>-2</v>
      </c>
      <c r="AG91" s="3">
        <f t="shared" si="12"/>
        <v>-0.6</v>
      </c>
    </row>
    <row r="92">
      <c r="A92" s="1" t="s">
        <v>10</v>
      </c>
      <c r="B92" s="1" t="s">
        <v>578</v>
      </c>
      <c r="C92" s="1" t="s">
        <v>19</v>
      </c>
      <c r="D92" s="1" t="s">
        <v>99</v>
      </c>
      <c r="E92" s="1" t="s">
        <v>93</v>
      </c>
      <c r="F92" s="1" t="s">
        <v>613</v>
      </c>
      <c r="G92" s="1">
        <v>24.5</v>
      </c>
      <c r="H92" s="1" t="s">
        <v>60</v>
      </c>
      <c r="I92" s="1">
        <v>-115.0</v>
      </c>
      <c r="J92" s="1">
        <v>-0.0954087329065905</v>
      </c>
      <c r="K92" s="1" t="s">
        <v>61</v>
      </c>
      <c r="L92" s="1" t="s">
        <v>61</v>
      </c>
      <c r="M92" s="1" t="s">
        <v>62</v>
      </c>
      <c r="N92" s="1">
        <v>-110.0</v>
      </c>
      <c r="O92" s="1">
        <v>0.0367438825352792</v>
      </c>
      <c r="P92" s="1" t="s">
        <v>61</v>
      </c>
      <c r="Q92" s="1" t="s">
        <v>61</v>
      </c>
      <c r="R92" s="1">
        <f t="shared" si="1"/>
        <v>0.03674388254</v>
      </c>
      <c r="S92" s="1">
        <f t="shared" si="2"/>
        <v>-110</v>
      </c>
      <c r="T92" s="1">
        <f t="shared" si="3"/>
        <v>1.909090909</v>
      </c>
      <c r="U92" s="1">
        <f t="shared" si="4"/>
        <v>0</v>
      </c>
      <c r="V92" s="3">
        <f t="shared" si="5"/>
        <v>1</v>
      </c>
      <c r="W92" s="3">
        <f t="shared" si="6"/>
        <v>2</v>
      </c>
      <c r="X92" s="3" t="str">
        <f>IFERROR(__xludf.DUMMYFUNCTION("split(B92,"" "")"),"R.")</f>
        <v>R.</v>
      </c>
      <c r="Y92" s="3" t="str">
        <f>IFERROR(__xludf.DUMMYFUNCTION("""COMPUTED_VALUE"""),"Johnson")</f>
        <v>Johnson</v>
      </c>
      <c r="AA92" s="3">
        <v>28.0</v>
      </c>
      <c r="AB92" s="3">
        <f t="shared" si="7"/>
        <v>1</v>
      </c>
      <c r="AC92" s="3">
        <f t="shared" si="8"/>
        <v>0</v>
      </c>
      <c r="AD92" s="3">
        <f t="shared" si="9"/>
        <v>0.9090909091</v>
      </c>
      <c r="AE92" s="3">
        <f t="shared" si="10"/>
        <v>-1</v>
      </c>
      <c r="AF92" s="3">
        <f t="shared" si="11"/>
        <v>-2</v>
      </c>
      <c r="AG92" s="3">
        <f t="shared" si="12"/>
        <v>-0.1428571429</v>
      </c>
    </row>
    <row r="93">
      <c r="A93" s="1" t="s">
        <v>11</v>
      </c>
      <c r="B93" s="1" t="s">
        <v>268</v>
      </c>
      <c r="C93" s="1" t="s">
        <v>18</v>
      </c>
      <c r="D93" s="1" t="s">
        <v>99</v>
      </c>
      <c r="E93" s="1" t="s">
        <v>93</v>
      </c>
      <c r="F93" s="1" t="s">
        <v>613</v>
      </c>
      <c r="G93" s="1">
        <v>47.5</v>
      </c>
      <c r="H93" s="1" t="s">
        <v>60</v>
      </c>
      <c r="I93" s="1">
        <v>-112.0</v>
      </c>
      <c r="J93" s="1">
        <v>-0.101604685834434</v>
      </c>
      <c r="K93" s="1" t="s">
        <v>61</v>
      </c>
      <c r="L93" s="1" t="s">
        <v>61</v>
      </c>
      <c r="M93" s="1" t="s">
        <v>62</v>
      </c>
      <c r="N93" s="1">
        <v>-117.0</v>
      </c>
      <c r="O93" s="1">
        <v>0.0341318154069172</v>
      </c>
      <c r="P93" s="1" t="s">
        <v>61</v>
      </c>
      <c r="Q93" s="1" t="s">
        <v>61</v>
      </c>
      <c r="R93" s="1">
        <f t="shared" si="1"/>
        <v>0.03413181541</v>
      </c>
      <c r="S93" s="1">
        <f t="shared" si="2"/>
        <v>-117</v>
      </c>
      <c r="T93" s="1">
        <f t="shared" si="3"/>
        <v>1.854700855</v>
      </c>
      <c r="U93" s="1">
        <f t="shared" si="4"/>
        <v>0</v>
      </c>
      <c r="V93" s="3">
        <f t="shared" si="5"/>
        <v>1</v>
      </c>
      <c r="W93" s="3">
        <f t="shared" si="6"/>
        <v>2</v>
      </c>
      <c r="X93" s="3" t="str">
        <f>IFERROR(__xludf.DUMMYFUNCTION("split(B93,"" "")"),"K.")</f>
        <v>K.</v>
      </c>
      <c r="Y93" s="3" t="str">
        <f>IFERROR(__xludf.DUMMYFUNCTION("""COMPUTED_VALUE"""),"Allen")</f>
        <v>Allen</v>
      </c>
      <c r="AA93" s="3">
        <v>41.0</v>
      </c>
      <c r="AB93" s="3">
        <f t="shared" si="7"/>
        <v>0</v>
      </c>
      <c r="AC93" s="3">
        <f t="shared" si="8"/>
        <v>1</v>
      </c>
      <c r="AD93" s="3">
        <f t="shared" si="9"/>
        <v>0.8547008547</v>
      </c>
      <c r="AE93" s="3">
        <f t="shared" si="10"/>
        <v>0.8547008547</v>
      </c>
      <c r="AF93" s="3">
        <f t="shared" si="11"/>
        <v>1.709401709</v>
      </c>
      <c r="AG93" s="3">
        <f t="shared" si="12"/>
        <v>0.1368421053</v>
      </c>
    </row>
    <row r="94">
      <c r="A94" s="1" t="s">
        <v>12</v>
      </c>
      <c r="B94" s="1" t="s">
        <v>191</v>
      </c>
      <c r="C94" s="1" t="s">
        <v>18</v>
      </c>
      <c r="D94" s="1" t="s">
        <v>99</v>
      </c>
      <c r="E94" s="1" t="s">
        <v>93</v>
      </c>
      <c r="F94" s="1" t="s">
        <v>613</v>
      </c>
      <c r="G94" s="1">
        <v>3.5</v>
      </c>
      <c r="H94" s="1" t="s">
        <v>60</v>
      </c>
      <c r="I94" s="1">
        <v>108.0</v>
      </c>
      <c r="J94" s="1">
        <v>-0.0918730769230768</v>
      </c>
      <c r="K94" s="1" t="s">
        <v>61</v>
      </c>
      <c r="L94" s="1" t="s">
        <v>61</v>
      </c>
      <c r="M94" s="1" t="s">
        <v>62</v>
      </c>
      <c r="N94" s="1">
        <v>-141.0</v>
      </c>
      <c r="O94" s="1">
        <v>0.0260547717842324</v>
      </c>
      <c r="P94" s="1" t="s">
        <v>61</v>
      </c>
      <c r="Q94" s="1" t="s">
        <v>61</v>
      </c>
      <c r="R94" s="1">
        <f t="shared" si="1"/>
        <v>0.02605477178</v>
      </c>
      <c r="S94" s="1">
        <f t="shared" si="2"/>
        <v>-141</v>
      </c>
      <c r="T94" s="1">
        <f t="shared" si="3"/>
        <v>1.709219858</v>
      </c>
      <c r="U94" s="1">
        <f t="shared" si="4"/>
        <v>0</v>
      </c>
      <c r="V94" s="3">
        <f t="shared" si="5"/>
        <v>1</v>
      </c>
      <c r="W94" s="3">
        <f t="shared" si="6"/>
        <v>3</v>
      </c>
      <c r="X94" s="3" t="str">
        <f>IFERROR(__xludf.DUMMYFUNCTION("split(B94,"" "")"),"R.")</f>
        <v>R.</v>
      </c>
      <c r="Y94" s="3" t="str">
        <f>IFERROR(__xludf.DUMMYFUNCTION("""COMPUTED_VALUE"""),"Odunze")</f>
        <v>Odunze</v>
      </c>
      <c r="AA94" s="3">
        <v>2.0</v>
      </c>
      <c r="AB94" s="3">
        <f t="shared" si="7"/>
        <v>0</v>
      </c>
      <c r="AC94" s="3">
        <f t="shared" si="8"/>
        <v>1</v>
      </c>
      <c r="AD94" s="3">
        <f t="shared" si="9"/>
        <v>0.7092198582</v>
      </c>
      <c r="AE94" s="3">
        <f t="shared" si="10"/>
        <v>0.7092198582</v>
      </c>
      <c r="AF94" s="3">
        <f t="shared" si="11"/>
        <v>2.127659574</v>
      </c>
      <c r="AG94" s="3">
        <f t="shared" si="12"/>
        <v>0.4285714286</v>
      </c>
    </row>
    <row r="95">
      <c r="A95" s="1" t="s">
        <v>17</v>
      </c>
      <c r="B95" s="1" t="s">
        <v>274</v>
      </c>
      <c r="C95" s="1" t="s">
        <v>21</v>
      </c>
      <c r="D95" s="1" t="s">
        <v>99</v>
      </c>
      <c r="E95" s="1" t="s">
        <v>93</v>
      </c>
      <c r="F95" s="1" t="s">
        <v>613</v>
      </c>
      <c r="G95" s="1">
        <v>0.5</v>
      </c>
      <c r="H95" s="1" t="s">
        <v>60</v>
      </c>
      <c r="I95" s="1">
        <v>-125.0</v>
      </c>
      <c r="J95" s="1">
        <v>-0.0911999999999999</v>
      </c>
      <c r="K95" s="1" t="s">
        <v>61</v>
      </c>
      <c r="L95" s="1" t="s">
        <v>61</v>
      </c>
      <c r="M95" s="1" t="s">
        <v>62</v>
      </c>
      <c r="N95" s="1">
        <v>-104.0</v>
      </c>
      <c r="O95" s="1">
        <v>0.0258470588235294</v>
      </c>
      <c r="P95" s="1" t="s">
        <v>61</v>
      </c>
      <c r="Q95" s="1" t="s">
        <v>61</v>
      </c>
      <c r="R95" s="1">
        <f t="shared" si="1"/>
        <v>0.02584705882</v>
      </c>
      <c r="S95" s="1">
        <f t="shared" si="2"/>
        <v>-104</v>
      </c>
      <c r="T95" s="1">
        <f t="shared" si="3"/>
        <v>1.961538462</v>
      </c>
      <c r="U95" s="1">
        <f t="shared" si="4"/>
        <v>0</v>
      </c>
      <c r="V95" s="3">
        <f t="shared" si="5"/>
        <v>1</v>
      </c>
      <c r="W95" s="3">
        <f t="shared" si="6"/>
        <v>2</v>
      </c>
      <c r="X95" s="3" t="str">
        <f>IFERROR(__xludf.DUMMYFUNCTION("split(B95,"" "")"),"C.")</f>
        <v>C.</v>
      </c>
      <c r="Y95" s="3" t="str">
        <f>IFERROR(__xludf.DUMMYFUNCTION("""COMPUTED_VALUE"""),"Williams")</f>
        <v>Williams</v>
      </c>
      <c r="AA95" s="3">
        <v>1.0</v>
      </c>
      <c r="AB95" s="3">
        <f t="shared" si="7"/>
        <v>1</v>
      </c>
      <c r="AC95" s="3">
        <f t="shared" si="8"/>
        <v>0</v>
      </c>
      <c r="AD95" s="3">
        <f t="shared" si="9"/>
        <v>0.9615384615</v>
      </c>
      <c r="AE95" s="3">
        <f t="shared" si="10"/>
        <v>-1</v>
      </c>
      <c r="AF95" s="3">
        <f t="shared" si="11"/>
        <v>-2</v>
      </c>
      <c r="AG95" s="3">
        <f t="shared" si="12"/>
        <v>-1</v>
      </c>
    </row>
    <row r="96">
      <c r="A96" s="1" t="s">
        <v>12</v>
      </c>
      <c r="B96" s="1" t="s">
        <v>231</v>
      </c>
      <c r="C96" s="1" t="s">
        <v>20</v>
      </c>
      <c r="D96" s="1" t="s">
        <v>99</v>
      </c>
      <c r="E96" s="1" t="s">
        <v>93</v>
      </c>
      <c r="F96" s="1" t="s">
        <v>613</v>
      </c>
      <c r="G96" s="1">
        <v>3.5</v>
      </c>
      <c r="H96" s="1" t="s">
        <v>60</v>
      </c>
      <c r="I96" s="1">
        <v>110.0</v>
      </c>
      <c r="J96" s="1">
        <v>-0.086895238095238</v>
      </c>
      <c r="K96" s="1" t="s">
        <v>61</v>
      </c>
      <c r="L96" s="1" t="s">
        <v>61</v>
      </c>
      <c r="M96" s="1" t="s">
        <v>62</v>
      </c>
      <c r="N96" s="1">
        <v>-145.0</v>
      </c>
      <c r="O96" s="1">
        <v>0.0188816326530611</v>
      </c>
      <c r="P96" s="1" t="s">
        <v>61</v>
      </c>
      <c r="Q96" s="1" t="s">
        <v>61</v>
      </c>
      <c r="R96" s="1">
        <f t="shared" si="1"/>
        <v>0.01888163265</v>
      </c>
      <c r="S96" s="1">
        <f t="shared" si="2"/>
        <v>-145</v>
      </c>
      <c r="T96" s="1">
        <f t="shared" si="3"/>
        <v>1.689655172</v>
      </c>
      <c r="U96" s="1">
        <f t="shared" si="4"/>
        <v>0</v>
      </c>
      <c r="V96" s="3">
        <f t="shared" si="5"/>
        <v>1</v>
      </c>
      <c r="W96" s="3">
        <f t="shared" si="6"/>
        <v>3</v>
      </c>
      <c r="X96" s="3" t="str">
        <f>IFERROR(__xludf.DUMMYFUNCTION("split(B96,"" "")"),"C.")</f>
        <v>C.</v>
      </c>
      <c r="Y96" s="3" t="str">
        <f>IFERROR(__xludf.DUMMYFUNCTION("""COMPUTED_VALUE"""),"Kmet")</f>
        <v>Kmet</v>
      </c>
      <c r="AA96" s="3">
        <v>5.0</v>
      </c>
      <c r="AB96" s="3">
        <f t="shared" si="7"/>
        <v>1</v>
      </c>
      <c r="AC96" s="3">
        <f t="shared" si="8"/>
        <v>0</v>
      </c>
      <c r="AD96" s="3">
        <f t="shared" si="9"/>
        <v>0.6896551724</v>
      </c>
      <c r="AE96" s="3">
        <f t="shared" si="10"/>
        <v>-1</v>
      </c>
      <c r="AF96" s="3">
        <f t="shared" si="11"/>
        <v>-3</v>
      </c>
      <c r="AG96" s="3">
        <f t="shared" si="12"/>
        <v>-0.4285714286</v>
      </c>
    </row>
    <row r="97">
      <c r="A97" s="1" t="s">
        <v>9</v>
      </c>
      <c r="B97" s="1" t="s">
        <v>98</v>
      </c>
      <c r="C97" s="1" t="s">
        <v>19</v>
      </c>
      <c r="D97" s="1" t="s">
        <v>99</v>
      </c>
      <c r="E97" s="1" t="s">
        <v>93</v>
      </c>
      <c r="F97" s="1" t="s">
        <v>613</v>
      </c>
      <c r="G97" s="1">
        <v>73.5</v>
      </c>
      <c r="H97" s="1" t="s">
        <v>60</v>
      </c>
      <c r="I97" s="1">
        <v>-112.0</v>
      </c>
      <c r="J97" s="1">
        <v>-0.0915160127376003</v>
      </c>
      <c r="K97" s="1" t="s">
        <v>61</v>
      </c>
      <c r="L97" s="1" t="s">
        <v>61</v>
      </c>
      <c r="M97" s="1" t="s">
        <v>62</v>
      </c>
      <c r="N97" s="1">
        <v>-120.0</v>
      </c>
      <c r="O97" s="1">
        <v>0.017793062002025</v>
      </c>
      <c r="P97" s="1" t="s">
        <v>61</v>
      </c>
      <c r="Q97" s="1" t="s">
        <v>61</v>
      </c>
      <c r="R97" s="1">
        <f t="shared" si="1"/>
        <v>0.017793062</v>
      </c>
      <c r="S97" s="1">
        <f t="shared" si="2"/>
        <v>-120</v>
      </c>
      <c r="T97" s="1">
        <f t="shared" si="3"/>
        <v>1.833333333</v>
      </c>
      <c r="U97" s="1">
        <f t="shared" si="4"/>
        <v>0</v>
      </c>
      <c r="V97" s="3">
        <f t="shared" si="5"/>
        <v>1</v>
      </c>
      <c r="W97" s="3">
        <f t="shared" si="6"/>
        <v>3</v>
      </c>
      <c r="X97" s="3" t="str">
        <f>IFERROR(__xludf.DUMMYFUNCTION("split(B97,"" "")"),"D.")</f>
        <v>D.</v>
      </c>
      <c r="Y97" s="3" t="str">
        <f>IFERROR(__xludf.DUMMYFUNCTION("""COMPUTED_VALUE"""),"Swift")</f>
        <v>Swift</v>
      </c>
      <c r="AA97" s="3">
        <v>119.0</v>
      </c>
      <c r="AB97" s="3">
        <f t="shared" si="7"/>
        <v>1</v>
      </c>
      <c r="AC97" s="3">
        <f t="shared" si="8"/>
        <v>0</v>
      </c>
      <c r="AD97" s="3">
        <f t="shared" si="9"/>
        <v>0.8333333333</v>
      </c>
      <c r="AE97" s="3">
        <f t="shared" si="10"/>
        <v>-1</v>
      </c>
      <c r="AF97" s="3">
        <f t="shared" si="11"/>
        <v>-3</v>
      </c>
      <c r="AG97" s="3">
        <f t="shared" si="12"/>
        <v>-0.619047619</v>
      </c>
    </row>
    <row r="98">
      <c r="A98" s="1" t="s">
        <v>15</v>
      </c>
      <c r="B98" s="1" t="s">
        <v>274</v>
      </c>
      <c r="C98" s="1" t="s">
        <v>21</v>
      </c>
      <c r="D98" s="1" t="s">
        <v>99</v>
      </c>
      <c r="E98" s="1" t="s">
        <v>93</v>
      </c>
      <c r="F98" s="1" t="s">
        <v>613</v>
      </c>
      <c r="G98" s="1">
        <v>21.5</v>
      </c>
      <c r="H98" s="1" t="s">
        <v>60</v>
      </c>
      <c r="I98" s="1">
        <v>-124.0</v>
      </c>
      <c r="J98" s="1">
        <v>0.0157839285714284</v>
      </c>
      <c r="K98" s="1" t="s">
        <v>61</v>
      </c>
      <c r="L98" s="1" t="s">
        <v>61</v>
      </c>
      <c r="M98" s="1" t="s">
        <v>62</v>
      </c>
      <c r="N98" s="1">
        <v>-106.0</v>
      </c>
      <c r="O98" s="1">
        <v>-0.0839116504854368</v>
      </c>
      <c r="P98" s="1" t="s">
        <v>61</v>
      </c>
      <c r="Q98" s="1" t="s">
        <v>61</v>
      </c>
      <c r="R98" s="1">
        <f t="shared" si="1"/>
        <v>0.01578392857</v>
      </c>
      <c r="S98" s="1">
        <f t="shared" si="2"/>
        <v>-124</v>
      </c>
      <c r="T98" s="1">
        <f t="shared" si="3"/>
        <v>1.806451613</v>
      </c>
      <c r="U98" s="1">
        <f t="shared" si="4"/>
        <v>1</v>
      </c>
      <c r="V98" s="3">
        <f t="shared" si="5"/>
        <v>1</v>
      </c>
      <c r="W98" s="3">
        <f t="shared" si="6"/>
        <v>3</v>
      </c>
      <c r="X98" s="3" t="str">
        <f>IFERROR(__xludf.DUMMYFUNCTION("split(B98,"" "")"),"C.")</f>
        <v>C.</v>
      </c>
      <c r="Y98" s="3" t="str">
        <f>IFERROR(__xludf.DUMMYFUNCTION("""COMPUTED_VALUE"""),"Williams")</f>
        <v>Williams</v>
      </c>
      <c r="AA98" s="3">
        <v>23.0</v>
      </c>
      <c r="AB98" s="3">
        <f t="shared" si="7"/>
        <v>1</v>
      </c>
      <c r="AC98" s="3">
        <f t="shared" si="8"/>
        <v>1</v>
      </c>
      <c r="AD98" s="3">
        <f t="shared" si="9"/>
        <v>0.8064516129</v>
      </c>
      <c r="AE98" s="3">
        <f t="shared" si="10"/>
        <v>0.8064516129</v>
      </c>
      <c r="AF98" s="3">
        <f t="shared" si="11"/>
        <v>2.419354839</v>
      </c>
      <c r="AG98" s="3">
        <f t="shared" si="12"/>
        <v>0.06976744186</v>
      </c>
    </row>
    <row r="99">
      <c r="A99" s="1" t="s">
        <v>14</v>
      </c>
      <c r="B99" s="1" t="s">
        <v>274</v>
      </c>
      <c r="C99" s="1" t="s">
        <v>21</v>
      </c>
      <c r="D99" s="1" t="s">
        <v>99</v>
      </c>
      <c r="E99" s="1" t="s">
        <v>93</v>
      </c>
      <c r="F99" s="1" t="s">
        <v>613</v>
      </c>
      <c r="G99" s="1">
        <v>1.5</v>
      </c>
      <c r="H99" s="1" t="s">
        <v>60</v>
      </c>
      <c r="I99" s="1">
        <v>114.0</v>
      </c>
      <c r="J99" s="1">
        <v>-0.0821429906542057</v>
      </c>
      <c r="K99" s="1" t="s">
        <v>61</v>
      </c>
      <c r="L99" s="1" t="s">
        <v>61</v>
      </c>
      <c r="M99" s="1" t="s">
        <v>62</v>
      </c>
      <c r="N99" s="1">
        <v>-152.0</v>
      </c>
      <c r="O99" s="1">
        <v>0.0116857142857143</v>
      </c>
      <c r="P99" s="1" t="s">
        <v>61</v>
      </c>
      <c r="Q99" s="1" t="s">
        <v>61</v>
      </c>
      <c r="R99" s="1">
        <f t="shared" si="1"/>
        <v>0.01168571429</v>
      </c>
      <c r="S99" s="1">
        <f t="shared" si="2"/>
        <v>-152</v>
      </c>
      <c r="T99" s="1">
        <f t="shared" si="3"/>
        <v>1.657894737</v>
      </c>
      <c r="U99" s="1">
        <f t="shared" si="4"/>
        <v>0</v>
      </c>
      <c r="V99" s="3">
        <f t="shared" si="5"/>
        <v>1</v>
      </c>
      <c r="W99" s="3">
        <f t="shared" si="6"/>
        <v>3</v>
      </c>
      <c r="X99" s="3" t="str">
        <f>IFERROR(__xludf.DUMMYFUNCTION("split(B99,"" "")"),"C.")</f>
        <v>C.</v>
      </c>
      <c r="Y99" s="3" t="str">
        <f>IFERROR(__xludf.DUMMYFUNCTION("""COMPUTED_VALUE"""),"Williams")</f>
        <v>Williams</v>
      </c>
      <c r="AA99" s="3">
        <v>4.0</v>
      </c>
      <c r="AB99" s="3">
        <f t="shared" si="7"/>
        <v>1</v>
      </c>
      <c r="AC99" s="3">
        <f t="shared" si="8"/>
        <v>0</v>
      </c>
      <c r="AD99" s="3">
        <f t="shared" si="9"/>
        <v>0.6578947368</v>
      </c>
      <c r="AE99" s="3">
        <f t="shared" si="10"/>
        <v>-1</v>
      </c>
      <c r="AF99" s="3">
        <f t="shared" si="11"/>
        <v>-3</v>
      </c>
      <c r="AG99" s="3">
        <f t="shared" si="12"/>
        <v>-1.666666667</v>
      </c>
    </row>
    <row r="100">
      <c r="A100" s="1" t="s">
        <v>11</v>
      </c>
      <c r="B100" s="1" t="s">
        <v>191</v>
      </c>
      <c r="C100" s="1" t="s">
        <v>18</v>
      </c>
      <c r="D100" s="1" t="s">
        <v>99</v>
      </c>
      <c r="E100" s="1" t="s">
        <v>93</v>
      </c>
      <c r="F100" s="1" t="s">
        <v>613</v>
      </c>
      <c r="G100" s="1">
        <v>40.5</v>
      </c>
      <c r="H100" s="1" t="s">
        <v>60</v>
      </c>
      <c r="I100" s="1">
        <v>-110.0</v>
      </c>
      <c r="J100" s="1">
        <v>-0.0645692889695238</v>
      </c>
      <c r="K100" s="1" t="s">
        <v>61</v>
      </c>
      <c r="L100" s="1" t="s">
        <v>61</v>
      </c>
      <c r="M100" s="1" t="s">
        <v>62</v>
      </c>
      <c r="N100" s="1">
        <v>-113.0</v>
      </c>
      <c r="O100" s="1">
        <v>0.0102260224821174</v>
      </c>
      <c r="P100" s="1" t="s">
        <v>61</v>
      </c>
      <c r="Q100" s="1" t="s">
        <v>61</v>
      </c>
      <c r="R100" s="1">
        <f t="shared" si="1"/>
        <v>0.01022602248</v>
      </c>
      <c r="S100" s="1">
        <f t="shared" si="2"/>
        <v>-113</v>
      </c>
      <c r="T100" s="1">
        <f t="shared" si="3"/>
        <v>1.884955752</v>
      </c>
      <c r="U100" s="1">
        <f t="shared" si="4"/>
        <v>0</v>
      </c>
      <c r="V100" s="3">
        <f t="shared" si="5"/>
        <v>1</v>
      </c>
      <c r="W100" s="3">
        <f t="shared" si="6"/>
        <v>2</v>
      </c>
      <c r="X100" s="3" t="str">
        <f>IFERROR(__xludf.DUMMYFUNCTION("split(B100,"" "")"),"R.")</f>
        <v>R.</v>
      </c>
      <c r="Y100" s="3" t="str">
        <f>IFERROR(__xludf.DUMMYFUNCTION("""COMPUTED_VALUE"""),"Odunze")</f>
        <v>Odunze</v>
      </c>
      <c r="AA100" s="3">
        <v>40.0</v>
      </c>
      <c r="AB100" s="3">
        <f t="shared" si="7"/>
        <v>0</v>
      </c>
      <c r="AC100" s="3">
        <f t="shared" si="8"/>
        <v>1</v>
      </c>
      <c r="AD100" s="3">
        <f t="shared" si="9"/>
        <v>0.8849557522</v>
      </c>
      <c r="AE100" s="3">
        <f t="shared" si="10"/>
        <v>0.8849557522</v>
      </c>
      <c r="AF100" s="3">
        <f t="shared" si="11"/>
        <v>1.769911504</v>
      </c>
      <c r="AG100" s="3">
        <f t="shared" si="12"/>
        <v>0.01234567901</v>
      </c>
    </row>
    <row r="101">
      <c r="A101" s="1" t="s">
        <v>12</v>
      </c>
      <c r="B101" s="1" t="s">
        <v>268</v>
      </c>
      <c r="C101" s="1" t="s">
        <v>18</v>
      </c>
      <c r="D101" s="1" t="s">
        <v>99</v>
      </c>
      <c r="E101" s="1" t="s">
        <v>93</v>
      </c>
      <c r="F101" s="1" t="s">
        <v>613</v>
      </c>
      <c r="G101" s="1">
        <v>4.5</v>
      </c>
      <c r="H101" s="1" t="s">
        <v>60</v>
      </c>
      <c r="I101" s="1">
        <v>101.0</v>
      </c>
      <c r="J101" s="1">
        <v>-0.0699626865671643</v>
      </c>
      <c r="K101" s="1" t="s">
        <v>61</v>
      </c>
      <c r="L101" s="1" t="s">
        <v>61</v>
      </c>
      <c r="M101" s="1" t="s">
        <v>62</v>
      </c>
      <c r="N101" s="1">
        <v>-131.0</v>
      </c>
      <c r="O101" s="1">
        <v>0.00535714285714283</v>
      </c>
      <c r="P101" s="1" t="s">
        <v>61</v>
      </c>
      <c r="Q101" s="1" t="s">
        <v>61</v>
      </c>
      <c r="R101" s="1">
        <f t="shared" si="1"/>
        <v>0.005357142857</v>
      </c>
      <c r="S101" s="1">
        <f t="shared" si="2"/>
        <v>-131</v>
      </c>
      <c r="T101" s="1">
        <f t="shared" si="3"/>
        <v>1.763358779</v>
      </c>
      <c r="U101" s="1">
        <f t="shared" si="4"/>
        <v>0</v>
      </c>
      <c r="V101" s="3">
        <f t="shared" si="5"/>
        <v>1</v>
      </c>
      <c r="W101" s="3">
        <f t="shared" si="6"/>
        <v>3</v>
      </c>
      <c r="X101" s="3" t="str">
        <f>IFERROR(__xludf.DUMMYFUNCTION("split(B101,"" "")"),"K.")</f>
        <v>K.</v>
      </c>
      <c r="Y101" s="3" t="str">
        <f>IFERROR(__xludf.DUMMYFUNCTION("""COMPUTED_VALUE"""),"Allen")</f>
        <v>Allen</v>
      </c>
      <c r="AA101" s="3">
        <v>5.0</v>
      </c>
      <c r="AB101" s="3">
        <f t="shared" si="7"/>
        <v>1</v>
      </c>
      <c r="AC101" s="3">
        <f t="shared" si="8"/>
        <v>0</v>
      </c>
      <c r="AD101" s="3">
        <f t="shared" si="9"/>
        <v>0.7633587786</v>
      </c>
      <c r="AE101" s="3">
        <f t="shared" si="10"/>
        <v>-1</v>
      </c>
      <c r="AF101" s="3">
        <f t="shared" si="11"/>
        <v>-3</v>
      </c>
      <c r="AG101" s="3">
        <f t="shared" si="12"/>
        <v>-0.1111111111</v>
      </c>
    </row>
    <row r="102">
      <c r="A102" s="1" t="s">
        <v>11</v>
      </c>
      <c r="B102" s="1" t="s">
        <v>231</v>
      </c>
      <c r="C102" s="1" t="s">
        <v>20</v>
      </c>
      <c r="D102" s="1" t="s">
        <v>99</v>
      </c>
      <c r="E102" s="1" t="s">
        <v>93</v>
      </c>
      <c r="F102" s="1" t="s">
        <v>613</v>
      </c>
      <c r="G102" s="1">
        <v>29.5</v>
      </c>
      <c r="H102" s="1" t="s">
        <v>60</v>
      </c>
      <c r="I102" s="1">
        <v>-115.0</v>
      </c>
      <c r="J102" s="1">
        <v>-0.0771309059897675</v>
      </c>
      <c r="K102" s="1" t="s">
        <v>61</v>
      </c>
      <c r="L102" s="1" t="s">
        <v>61</v>
      </c>
      <c r="M102" s="1" t="s">
        <v>62</v>
      </c>
      <c r="N102" s="1">
        <v>-116.0</v>
      </c>
      <c r="O102" s="1">
        <v>0.00526277001003705</v>
      </c>
      <c r="P102" s="1" t="s">
        <v>61</v>
      </c>
      <c r="Q102" s="1" t="s">
        <v>61</v>
      </c>
      <c r="R102" s="1">
        <f t="shared" si="1"/>
        <v>0.00526277001</v>
      </c>
      <c r="S102" s="1">
        <f t="shared" si="2"/>
        <v>-116</v>
      </c>
      <c r="T102" s="1">
        <f t="shared" si="3"/>
        <v>1.862068966</v>
      </c>
      <c r="U102" s="1">
        <f t="shared" si="4"/>
        <v>0</v>
      </c>
      <c r="V102" s="3">
        <f t="shared" si="5"/>
        <v>1</v>
      </c>
      <c r="W102" s="3">
        <f t="shared" si="6"/>
        <v>2</v>
      </c>
      <c r="X102" s="3" t="str">
        <f>IFERROR(__xludf.DUMMYFUNCTION("split(B102,"" "")"),"C.")</f>
        <v>C.</v>
      </c>
      <c r="Y102" s="3" t="str">
        <f>IFERROR(__xludf.DUMMYFUNCTION("""COMPUTED_VALUE"""),"Kmet")</f>
        <v>Kmet</v>
      </c>
      <c r="AA102" s="3">
        <v>70.0</v>
      </c>
      <c r="AB102" s="3">
        <f t="shared" si="7"/>
        <v>1</v>
      </c>
      <c r="AC102" s="3">
        <f t="shared" si="8"/>
        <v>0</v>
      </c>
      <c r="AD102" s="3">
        <f t="shared" si="9"/>
        <v>0.8620689655</v>
      </c>
      <c r="AE102" s="3">
        <f t="shared" si="10"/>
        <v>-1</v>
      </c>
      <c r="AF102" s="3">
        <f t="shared" si="11"/>
        <v>-2</v>
      </c>
      <c r="AG102" s="3">
        <f t="shared" si="12"/>
        <v>-1.372881356</v>
      </c>
    </row>
    <row r="103">
      <c r="A103" s="1" t="s">
        <v>12</v>
      </c>
      <c r="B103" s="1" t="s">
        <v>579</v>
      </c>
      <c r="C103" s="1" t="s">
        <v>20</v>
      </c>
      <c r="D103" s="1" t="s">
        <v>67</v>
      </c>
      <c r="E103" s="1" t="s">
        <v>147</v>
      </c>
      <c r="F103" s="1" t="s">
        <v>614</v>
      </c>
      <c r="G103" s="1">
        <v>1.5</v>
      </c>
      <c r="H103" s="1" t="s">
        <v>60</v>
      </c>
      <c r="I103" s="1">
        <v>-207.0</v>
      </c>
      <c r="J103" s="1">
        <v>-0.260698593254071</v>
      </c>
      <c r="K103" s="1" t="s">
        <v>61</v>
      </c>
      <c r="L103" s="1" t="s">
        <v>61</v>
      </c>
      <c r="M103" s="1" t="s">
        <v>62</v>
      </c>
      <c r="N103" s="1">
        <v>155.0</v>
      </c>
      <c r="O103" s="1">
        <v>0.194281051486274</v>
      </c>
      <c r="P103" s="1" t="s">
        <v>61</v>
      </c>
      <c r="Q103" s="1" t="s">
        <v>61</v>
      </c>
      <c r="R103" s="1">
        <f t="shared" si="1"/>
        <v>0.1942810515</v>
      </c>
      <c r="S103" s="1">
        <f t="shared" si="2"/>
        <v>155</v>
      </c>
      <c r="T103" s="1">
        <f t="shared" si="3"/>
        <v>2.55</v>
      </c>
      <c r="U103" s="1">
        <f t="shared" si="4"/>
        <v>0</v>
      </c>
      <c r="V103" s="3">
        <f t="shared" si="5"/>
        <v>3</v>
      </c>
      <c r="W103" s="3">
        <f t="shared" si="6"/>
        <v>1</v>
      </c>
      <c r="X103" s="3" t="str">
        <f>IFERROR(__xludf.DUMMYFUNCTION("split(B103,"" "")"),"E.")</f>
        <v>E.</v>
      </c>
      <c r="Y103" s="3" t="str">
        <f>IFERROR(__xludf.DUMMYFUNCTION("""COMPUTED_VALUE"""),"All")</f>
        <v>All</v>
      </c>
      <c r="AA103" s="3">
        <v>2.0</v>
      </c>
      <c r="AB103" s="3">
        <f t="shared" si="7"/>
        <v>1</v>
      </c>
      <c r="AC103" s="3">
        <f t="shared" si="8"/>
        <v>0</v>
      </c>
      <c r="AD103" s="3">
        <f t="shared" si="9"/>
        <v>4.65</v>
      </c>
      <c r="AE103" s="3">
        <f t="shared" si="10"/>
        <v>-3</v>
      </c>
      <c r="AF103" s="3">
        <f t="shared" si="11"/>
        <v>-1</v>
      </c>
      <c r="AG103" s="3">
        <f t="shared" si="12"/>
        <v>-0.3333333333</v>
      </c>
    </row>
    <row r="104">
      <c r="A104" s="1" t="s">
        <v>12</v>
      </c>
      <c r="B104" s="1" t="s">
        <v>293</v>
      </c>
      <c r="C104" s="1" t="s">
        <v>19</v>
      </c>
      <c r="D104" s="1" t="s">
        <v>67</v>
      </c>
      <c r="E104" s="1" t="s">
        <v>147</v>
      </c>
      <c r="F104" s="1" t="s">
        <v>614</v>
      </c>
      <c r="G104" s="1">
        <v>1.5</v>
      </c>
      <c r="H104" s="1" t="s">
        <v>60</v>
      </c>
      <c r="I104" s="1">
        <v>-178.0</v>
      </c>
      <c r="J104" s="1">
        <v>-0.259222956233813</v>
      </c>
      <c r="K104" s="1" t="s">
        <v>61</v>
      </c>
      <c r="L104" s="1" t="s">
        <v>61</v>
      </c>
      <c r="M104" s="1" t="s">
        <v>62</v>
      </c>
      <c r="N104" s="1">
        <v>134.0</v>
      </c>
      <c r="O104" s="1">
        <v>0.1915913753547</v>
      </c>
      <c r="P104" s="1" t="s">
        <v>61</v>
      </c>
      <c r="Q104" s="1" t="s">
        <v>61</v>
      </c>
      <c r="R104" s="1">
        <f t="shared" si="1"/>
        <v>0.1915913754</v>
      </c>
      <c r="S104" s="1">
        <f t="shared" si="2"/>
        <v>134</v>
      </c>
      <c r="T104" s="1">
        <f t="shared" si="3"/>
        <v>2.34</v>
      </c>
      <c r="U104" s="1">
        <f t="shared" si="4"/>
        <v>0</v>
      </c>
      <c r="V104" s="3">
        <f t="shared" si="5"/>
        <v>3</v>
      </c>
      <c r="W104" s="3">
        <f t="shared" si="6"/>
        <v>1</v>
      </c>
      <c r="X104" s="3" t="str">
        <f>IFERROR(__xludf.DUMMYFUNCTION("split(B104,"" "")"),"C.")</f>
        <v>C.</v>
      </c>
      <c r="Y104" s="3" t="str">
        <f>IFERROR(__xludf.DUMMYFUNCTION("""COMPUTED_VALUE"""),"Brown")</f>
        <v>Brown</v>
      </c>
      <c r="AA104" s="3">
        <v>2.0</v>
      </c>
      <c r="AB104" s="3">
        <f t="shared" si="7"/>
        <v>1</v>
      </c>
      <c r="AC104" s="3">
        <f t="shared" si="8"/>
        <v>0</v>
      </c>
      <c r="AD104" s="3">
        <f t="shared" si="9"/>
        <v>4.02</v>
      </c>
      <c r="AE104" s="3">
        <f t="shared" si="10"/>
        <v>-3</v>
      </c>
      <c r="AF104" s="3">
        <f t="shared" si="11"/>
        <v>-1</v>
      </c>
      <c r="AG104" s="3">
        <f t="shared" si="12"/>
        <v>-0.3333333333</v>
      </c>
    </row>
    <row r="105">
      <c r="A105" s="1" t="s">
        <v>12</v>
      </c>
      <c r="B105" s="1" t="s">
        <v>168</v>
      </c>
      <c r="C105" s="1" t="s">
        <v>19</v>
      </c>
      <c r="D105" s="1" t="s">
        <v>67</v>
      </c>
      <c r="E105" s="1" t="s">
        <v>147</v>
      </c>
      <c r="F105" s="1" t="s">
        <v>614</v>
      </c>
      <c r="G105" s="1">
        <v>2.5</v>
      </c>
      <c r="H105" s="1" t="s">
        <v>60</v>
      </c>
      <c r="I105" s="1">
        <v>-132.0</v>
      </c>
      <c r="J105" s="1">
        <v>-0.252921256422413</v>
      </c>
      <c r="K105" s="1" t="s">
        <v>61</v>
      </c>
      <c r="L105" s="1" t="s">
        <v>61</v>
      </c>
      <c r="M105" s="1" t="s">
        <v>62</v>
      </c>
      <c r="N105" s="1">
        <v>100.0</v>
      </c>
      <c r="O105" s="1">
        <v>0.18394865745</v>
      </c>
      <c r="P105" s="1" t="s">
        <v>61</v>
      </c>
      <c r="Q105" s="1" t="s">
        <v>61</v>
      </c>
      <c r="R105" s="1">
        <f t="shared" si="1"/>
        <v>0.1839486575</v>
      </c>
      <c r="S105" s="1">
        <f t="shared" si="2"/>
        <v>100</v>
      </c>
      <c r="T105" s="1">
        <f t="shared" si="3"/>
        <v>2</v>
      </c>
      <c r="U105" s="1">
        <f t="shared" si="4"/>
        <v>0</v>
      </c>
      <c r="V105" s="3">
        <f t="shared" si="5"/>
        <v>3</v>
      </c>
      <c r="W105" s="3">
        <f t="shared" si="6"/>
        <v>2</v>
      </c>
      <c r="X105" s="3" t="str">
        <f>IFERROR(__xludf.DUMMYFUNCTION("split(B105,"" "")"),"Z.")</f>
        <v>Z.</v>
      </c>
      <c r="Y105" s="3" t="str">
        <f>IFERROR(__xludf.DUMMYFUNCTION("""COMPUTED_VALUE"""),"Moss")</f>
        <v>Moss</v>
      </c>
      <c r="AA105" s="3">
        <v>1.0</v>
      </c>
      <c r="AB105" s="3">
        <f t="shared" si="7"/>
        <v>0</v>
      </c>
      <c r="AC105" s="3">
        <f t="shared" si="8"/>
        <v>1</v>
      </c>
      <c r="AD105" s="3">
        <f t="shared" si="9"/>
        <v>3</v>
      </c>
      <c r="AE105" s="3">
        <f t="shared" si="10"/>
        <v>3</v>
      </c>
      <c r="AF105" s="3">
        <f t="shared" si="11"/>
        <v>2</v>
      </c>
      <c r="AG105" s="3">
        <f t="shared" si="12"/>
        <v>0.6</v>
      </c>
    </row>
    <row r="106">
      <c r="A106" s="1" t="s">
        <v>8</v>
      </c>
      <c r="B106" s="1" t="s">
        <v>293</v>
      </c>
      <c r="C106" s="1" t="s">
        <v>19</v>
      </c>
      <c r="D106" s="1" t="s">
        <v>67</v>
      </c>
      <c r="E106" s="1" t="s">
        <v>147</v>
      </c>
      <c r="F106" s="1" t="s">
        <v>614</v>
      </c>
      <c r="G106" s="1">
        <v>10.0</v>
      </c>
      <c r="H106" s="1" t="s">
        <v>60</v>
      </c>
      <c r="I106" s="1">
        <v>-119.0</v>
      </c>
      <c r="J106" s="1">
        <v>-0.197993538100319</v>
      </c>
      <c r="K106" s="1" t="s">
        <v>61</v>
      </c>
      <c r="L106" s="1" t="s">
        <v>61</v>
      </c>
      <c r="M106" s="1" t="s">
        <v>62</v>
      </c>
      <c r="N106" s="1">
        <v>-110.0</v>
      </c>
      <c r="O106" s="1">
        <v>0.134029587277938</v>
      </c>
      <c r="P106" s="1" t="s">
        <v>61</v>
      </c>
      <c r="Q106" s="1" t="s">
        <v>61</v>
      </c>
      <c r="R106" s="1">
        <f t="shared" si="1"/>
        <v>0.1340295873</v>
      </c>
      <c r="S106" s="1">
        <f t="shared" si="2"/>
        <v>-110</v>
      </c>
      <c r="T106" s="1">
        <f t="shared" si="3"/>
        <v>1.909090909</v>
      </c>
      <c r="U106" s="1">
        <f t="shared" si="4"/>
        <v>0</v>
      </c>
      <c r="V106" s="3">
        <f t="shared" si="5"/>
        <v>3</v>
      </c>
      <c r="W106" s="3">
        <f t="shared" si="6"/>
        <v>2</v>
      </c>
      <c r="X106" s="3" t="str">
        <f>IFERROR(__xludf.DUMMYFUNCTION("split(B106,"" "")"),"C.")</f>
        <v>C.</v>
      </c>
      <c r="Y106" s="3" t="str">
        <f>IFERROR(__xludf.DUMMYFUNCTION("""COMPUTED_VALUE"""),"Brown")</f>
        <v>Brown</v>
      </c>
      <c r="AA106" s="3">
        <v>10.0</v>
      </c>
      <c r="AB106" s="3">
        <f t="shared" si="7"/>
        <v>1</v>
      </c>
      <c r="AC106" s="3">
        <f t="shared" si="8"/>
        <v>0</v>
      </c>
      <c r="AD106" s="3">
        <f t="shared" si="9"/>
        <v>2.727272727</v>
      </c>
      <c r="AE106" s="3">
        <f t="shared" si="10"/>
        <v>-3</v>
      </c>
      <c r="AF106" s="3">
        <f t="shared" si="11"/>
        <v>-2</v>
      </c>
      <c r="AG106" s="3">
        <f t="shared" si="12"/>
        <v>0</v>
      </c>
    </row>
    <row r="107">
      <c r="A107" s="1" t="s">
        <v>8</v>
      </c>
      <c r="B107" s="1" t="s">
        <v>168</v>
      </c>
      <c r="C107" s="1" t="s">
        <v>19</v>
      </c>
      <c r="D107" s="1" t="s">
        <v>67</v>
      </c>
      <c r="E107" s="1" t="s">
        <v>147</v>
      </c>
      <c r="F107" s="1" t="s">
        <v>614</v>
      </c>
      <c r="G107" s="1">
        <v>10.5</v>
      </c>
      <c r="H107" s="1" t="s">
        <v>60</v>
      </c>
      <c r="I107" s="1">
        <v>-112.0</v>
      </c>
      <c r="J107" s="1">
        <v>-0.179801851260207</v>
      </c>
      <c r="K107" s="1" t="s">
        <v>61</v>
      </c>
      <c r="L107" s="1" t="s">
        <v>61</v>
      </c>
      <c r="M107" s="1" t="s">
        <v>62</v>
      </c>
      <c r="N107" s="1">
        <v>-119.0</v>
      </c>
      <c r="O107" s="1">
        <v>0.108120963634361</v>
      </c>
      <c r="P107" s="1" t="s">
        <v>61</v>
      </c>
      <c r="Q107" s="1" t="s">
        <v>61</v>
      </c>
      <c r="R107" s="1">
        <f t="shared" si="1"/>
        <v>0.1081209636</v>
      </c>
      <c r="S107" s="1">
        <f t="shared" si="2"/>
        <v>-119</v>
      </c>
      <c r="T107" s="1">
        <f t="shared" si="3"/>
        <v>1.840336134</v>
      </c>
      <c r="U107" s="1">
        <f t="shared" si="4"/>
        <v>0</v>
      </c>
      <c r="V107" s="3">
        <f t="shared" si="5"/>
        <v>3</v>
      </c>
      <c r="W107" s="3">
        <f t="shared" si="6"/>
        <v>3</v>
      </c>
      <c r="X107" s="3" t="str">
        <f>IFERROR(__xludf.DUMMYFUNCTION("split(B107,"" "")"),"Z.")</f>
        <v>Z.</v>
      </c>
      <c r="Y107" s="3" t="str">
        <f>IFERROR(__xludf.DUMMYFUNCTION("""COMPUTED_VALUE"""),"Moss")</f>
        <v>Moss</v>
      </c>
      <c r="AA107" s="3">
        <v>6.0</v>
      </c>
      <c r="AB107" s="3">
        <f t="shared" si="7"/>
        <v>0</v>
      </c>
      <c r="AC107" s="3">
        <f t="shared" si="8"/>
        <v>1</v>
      </c>
      <c r="AD107" s="3">
        <f t="shared" si="9"/>
        <v>2.521008403</v>
      </c>
      <c r="AE107" s="3">
        <f t="shared" si="10"/>
        <v>2.521008403</v>
      </c>
      <c r="AF107" s="3">
        <f t="shared" si="11"/>
        <v>2.521008403</v>
      </c>
      <c r="AG107" s="3">
        <f t="shared" si="12"/>
        <v>0.4285714286</v>
      </c>
    </row>
    <row r="108">
      <c r="A108" s="1" t="s">
        <v>14</v>
      </c>
      <c r="B108" s="1" t="s">
        <v>318</v>
      </c>
      <c r="C108" s="1" t="s">
        <v>21</v>
      </c>
      <c r="D108" s="1" t="s">
        <v>67</v>
      </c>
      <c r="E108" s="1" t="s">
        <v>147</v>
      </c>
      <c r="F108" s="1" t="s">
        <v>614</v>
      </c>
      <c r="G108" s="1">
        <v>1.5</v>
      </c>
      <c r="H108" s="1" t="s">
        <v>60</v>
      </c>
      <c r="I108" s="1">
        <v>-192.0</v>
      </c>
      <c r="J108" s="1">
        <v>-0.171868493150684</v>
      </c>
      <c r="K108" s="1" t="s">
        <v>61</v>
      </c>
      <c r="L108" s="1" t="s">
        <v>61</v>
      </c>
      <c r="M108" s="1" t="s">
        <v>62</v>
      </c>
      <c r="N108" s="1">
        <v>143.0</v>
      </c>
      <c r="O108" s="1">
        <v>0.102818518518518</v>
      </c>
      <c r="P108" s="1" t="s">
        <v>61</v>
      </c>
      <c r="Q108" s="1" t="s">
        <v>61</v>
      </c>
      <c r="R108" s="1">
        <f t="shared" si="1"/>
        <v>0.1028185185</v>
      </c>
      <c r="S108" s="1">
        <f t="shared" si="2"/>
        <v>143</v>
      </c>
      <c r="T108" s="1">
        <f t="shared" si="3"/>
        <v>2.43</v>
      </c>
      <c r="U108" s="1">
        <f t="shared" si="4"/>
        <v>0</v>
      </c>
      <c r="V108" s="3">
        <f t="shared" si="5"/>
        <v>3</v>
      </c>
      <c r="W108" s="3">
        <f t="shared" si="6"/>
        <v>1</v>
      </c>
      <c r="X108" s="3" t="str">
        <f>IFERROR(__xludf.DUMMYFUNCTION("split(B108,"" "")"),"J.")</f>
        <v>J.</v>
      </c>
      <c r="Y108" s="3" t="str">
        <f>IFERROR(__xludf.DUMMYFUNCTION("""COMPUTED_VALUE"""),"Burrow")</f>
        <v>Burrow</v>
      </c>
      <c r="AA108" s="3">
        <v>0.0</v>
      </c>
      <c r="AB108" s="3">
        <f t="shared" si="7"/>
        <v>0</v>
      </c>
      <c r="AC108" s="3">
        <f t="shared" si="8"/>
        <v>1</v>
      </c>
      <c r="AD108" s="3">
        <f t="shared" si="9"/>
        <v>4.29</v>
      </c>
      <c r="AE108" s="3">
        <f t="shared" si="10"/>
        <v>4.29</v>
      </c>
      <c r="AF108" s="3">
        <f t="shared" si="11"/>
        <v>1.43</v>
      </c>
      <c r="AG108" s="3">
        <f t="shared" si="12"/>
        <v>1</v>
      </c>
    </row>
    <row r="109">
      <c r="A109" s="1" t="s">
        <v>12</v>
      </c>
      <c r="B109" s="1" t="s">
        <v>527</v>
      </c>
      <c r="C109" s="1" t="s">
        <v>18</v>
      </c>
      <c r="D109" s="1" t="s">
        <v>67</v>
      </c>
      <c r="E109" s="1" t="s">
        <v>147</v>
      </c>
      <c r="F109" s="1" t="s">
        <v>614</v>
      </c>
      <c r="G109" s="1">
        <v>2.5</v>
      </c>
      <c r="H109" s="1" t="s">
        <v>60</v>
      </c>
      <c r="I109" s="1">
        <v>119.0</v>
      </c>
      <c r="J109" s="1">
        <v>-0.150369202120091</v>
      </c>
      <c r="K109" s="1" t="s">
        <v>61</v>
      </c>
      <c r="L109" s="1" t="s">
        <v>61</v>
      </c>
      <c r="M109" s="1" t="s">
        <v>62</v>
      </c>
      <c r="N109" s="1">
        <v>-157.0</v>
      </c>
      <c r="O109" s="1">
        <v>0.0828592445638132</v>
      </c>
      <c r="P109" s="1" t="s">
        <v>61</v>
      </c>
      <c r="Q109" s="1" t="s">
        <v>61</v>
      </c>
      <c r="R109" s="1">
        <f t="shared" si="1"/>
        <v>0.08285924456</v>
      </c>
      <c r="S109" s="1">
        <f t="shared" si="2"/>
        <v>-157</v>
      </c>
      <c r="T109" s="1">
        <f t="shared" si="3"/>
        <v>1.636942675</v>
      </c>
      <c r="U109" s="1">
        <f t="shared" si="4"/>
        <v>0</v>
      </c>
      <c r="V109" s="3">
        <f t="shared" si="5"/>
        <v>2</v>
      </c>
      <c r="W109" s="3">
        <f t="shared" si="6"/>
        <v>3</v>
      </c>
      <c r="X109" s="3" t="str">
        <f>IFERROR(__xludf.DUMMYFUNCTION("split(B109,"" "")"),"A.")</f>
        <v>A.</v>
      </c>
      <c r="Y109" s="3" t="str">
        <f>IFERROR(__xludf.DUMMYFUNCTION("""COMPUTED_VALUE"""),"Iosivas")</f>
        <v>Iosivas</v>
      </c>
      <c r="AA109" s="3">
        <v>2.0</v>
      </c>
      <c r="AB109" s="3">
        <f t="shared" si="7"/>
        <v>0</v>
      </c>
      <c r="AC109" s="3">
        <f t="shared" si="8"/>
        <v>1</v>
      </c>
      <c r="AD109" s="3">
        <f t="shared" si="9"/>
        <v>1.27388535</v>
      </c>
      <c r="AE109" s="3">
        <f t="shared" si="10"/>
        <v>1.27388535</v>
      </c>
      <c r="AF109" s="3">
        <f t="shared" si="11"/>
        <v>1.910828025</v>
      </c>
      <c r="AG109" s="3">
        <f t="shared" si="12"/>
        <v>0.2</v>
      </c>
    </row>
    <row r="110">
      <c r="A110" s="1" t="s">
        <v>12</v>
      </c>
      <c r="B110" s="1" t="s">
        <v>504</v>
      </c>
      <c r="C110" s="1" t="s">
        <v>20</v>
      </c>
      <c r="D110" s="1" t="s">
        <v>67</v>
      </c>
      <c r="E110" s="1" t="s">
        <v>147</v>
      </c>
      <c r="F110" s="1" t="s">
        <v>614</v>
      </c>
      <c r="G110" s="1">
        <v>2.5</v>
      </c>
      <c r="H110" s="1" t="s">
        <v>60</v>
      </c>
      <c r="I110" s="1">
        <v>116.0</v>
      </c>
      <c r="J110" s="1">
        <v>-0.131707541331481</v>
      </c>
      <c r="K110" s="1" t="s">
        <v>61</v>
      </c>
      <c r="L110" s="1" t="s">
        <v>61</v>
      </c>
      <c r="M110" s="1" t="s">
        <v>62</v>
      </c>
      <c r="N110" s="1">
        <v>-150.0</v>
      </c>
      <c r="O110" s="1">
        <v>0.0687380806599998</v>
      </c>
      <c r="P110" s="1" t="s">
        <v>61</v>
      </c>
      <c r="Q110" s="1" t="s">
        <v>61</v>
      </c>
      <c r="R110" s="1">
        <f t="shared" si="1"/>
        <v>0.06873808066</v>
      </c>
      <c r="S110" s="1">
        <f t="shared" si="2"/>
        <v>-150</v>
      </c>
      <c r="T110" s="1">
        <f t="shared" si="3"/>
        <v>1.666666667</v>
      </c>
      <c r="U110" s="1">
        <f t="shared" si="4"/>
        <v>0</v>
      </c>
      <c r="V110" s="3">
        <f t="shared" si="5"/>
        <v>2</v>
      </c>
      <c r="W110" s="3">
        <f t="shared" si="6"/>
        <v>3</v>
      </c>
      <c r="X110" s="3" t="str">
        <f>IFERROR(__xludf.DUMMYFUNCTION("split(B110,"" "")"),"M.")</f>
        <v>M.</v>
      </c>
      <c r="Y110" s="3" t="str">
        <f>IFERROR(__xludf.DUMMYFUNCTION("""COMPUTED_VALUE"""),"Gesicki")</f>
        <v>Gesicki</v>
      </c>
      <c r="AA110" s="3">
        <v>0.0</v>
      </c>
      <c r="AB110" s="3">
        <f t="shared" si="7"/>
        <v>0</v>
      </c>
      <c r="AC110" s="3">
        <f t="shared" si="8"/>
        <v>1</v>
      </c>
      <c r="AD110" s="3">
        <f t="shared" si="9"/>
        <v>1.333333333</v>
      </c>
      <c r="AE110" s="3">
        <f t="shared" si="10"/>
        <v>1.333333333</v>
      </c>
      <c r="AF110" s="3">
        <f t="shared" si="11"/>
        <v>2</v>
      </c>
      <c r="AG110" s="3">
        <f t="shared" si="12"/>
        <v>1</v>
      </c>
    </row>
    <row r="111">
      <c r="A111" s="1" t="s">
        <v>12</v>
      </c>
      <c r="B111" s="1" t="s">
        <v>529</v>
      </c>
      <c r="C111" s="1" t="s">
        <v>18</v>
      </c>
      <c r="D111" s="1" t="s">
        <v>67</v>
      </c>
      <c r="E111" s="1" t="s">
        <v>147</v>
      </c>
      <c r="F111" s="1" t="s">
        <v>614</v>
      </c>
      <c r="G111" s="1">
        <v>4.5</v>
      </c>
      <c r="H111" s="1" t="s">
        <v>60</v>
      </c>
      <c r="I111" s="1">
        <v>-134.0</v>
      </c>
      <c r="J111" s="1">
        <v>-0.133006837606837</v>
      </c>
      <c r="K111" s="1" t="s">
        <v>61</v>
      </c>
      <c r="L111" s="1" t="s">
        <v>61</v>
      </c>
      <c r="M111" s="1" t="s">
        <v>62</v>
      </c>
      <c r="N111" s="1">
        <v>102.0</v>
      </c>
      <c r="O111" s="1">
        <v>0.0653009900990099</v>
      </c>
      <c r="P111" s="1" t="s">
        <v>61</v>
      </c>
      <c r="Q111" s="1" t="s">
        <v>61</v>
      </c>
      <c r="R111" s="1">
        <f t="shared" si="1"/>
        <v>0.0653009901</v>
      </c>
      <c r="S111" s="1">
        <f t="shared" si="2"/>
        <v>102</v>
      </c>
      <c r="T111" s="1">
        <f t="shared" si="3"/>
        <v>2.02</v>
      </c>
      <c r="U111" s="1">
        <f t="shared" si="4"/>
        <v>0</v>
      </c>
      <c r="V111" s="3">
        <f t="shared" si="5"/>
        <v>2</v>
      </c>
      <c r="W111" s="3">
        <f t="shared" si="6"/>
        <v>2</v>
      </c>
      <c r="X111" s="3" t="str">
        <f>IFERROR(__xludf.DUMMYFUNCTION("split(B111,"" "")"),"T.")</f>
        <v>T.</v>
      </c>
      <c r="Y111" s="3" t="str">
        <f>IFERROR(__xludf.DUMMYFUNCTION("""COMPUTED_VALUE"""),"Higgins")</f>
        <v>Higgins</v>
      </c>
      <c r="AA111" s="3">
        <v>7.0</v>
      </c>
      <c r="AB111" s="3">
        <f t="shared" si="7"/>
        <v>1</v>
      </c>
      <c r="AC111" s="3">
        <f t="shared" si="8"/>
        <v>0</v>
      </c>
      <c r="AD111" s="3">
        <f t="shared" si="9"/>
        <v>2.04</v>
      </c>
      <c r="AE111" s="3">
        <f t="shared" si="10"/>
        <v>-2</v>
      </c>
      <c r="AF111" s="3">
        <f t="shared" si="11"/>
        <v>-2</v>
      </c>
      <c r="AG111" s="3">
        <f t="shared" si="12"/>
        <v>-0.5555555556</v>
      </c>
    </row>
    <row r="112">
      <c r="A112" s="1" t="s">
        <v>8</v>
      </c>
      <c r="B112" s="1" t="s">
        <v>318</v>
      </c>
      <c r="C112" s="1" t="s">
        <v>21</v>
      </c>
      <c r="D112" s="1" t="s">
        <v>67</v>
      </c>
      <c r="E112" s="1" t="s">
        <v>147</v>
      </c>
      <c r="F112" s="1" t="s">
        <v>614</v>
      </c>
      <c r="G112" s="1">
        <v>3.5</v>
      </c>
      <c r="H112" s="1" t="s">
        <v>60</v>
      </c>
      <c r="I112" s="1">
        <v>125.0</v>
      </c>
      <c r="J112" s="1">
        <v>-0.122193876122875</v>
      </c>
      <c r="K112" s="1" t="s">
        <v>61</v>
      </c>
      <c r="L112" s="1" t="s">
        <v>61</v>
      </c>
      <c r="M112" s="1" t="s">
        <v>62</v>
      </c>
      <c r="N112" s="1">
        <v>-165.0</v>
      </c>
      <c r="O112" s="1">
        <v>0.055113891352807</v>
      </c>
      <c r="P112" s="1" t="s">
        <v>61</v>
      </c>
      <c r="Q112" s="1" t="s">
        <v>61</v>
      </c>
      <c r="R112" s="1">
        <f t="shared" si="1"/>
        <v>0.05511389135</v>
      </c>
      <c r="S112" s="1">
        <f t="shared" si="2"/>
        <v>-165</v>
      </c>
      <c r="T112" s="1">
        <f t="shared" si="3"/>
        <v>1.606060606</v>
      </c>
      <c r="U112" s="1">
        <f t="shared" si="4"/>
        <v>0</v>
      </c>
      <c r="V112" s="3">
        <f t="shared" si="5"/>
        <v>2</v>
      </c>
      <c r="W112" s="3">
        <f t="shared" si="6"/>
        <v>3</v>
      </c>
      <c r="X112" s="3" t="str">
        <f>IFERROR(__xludf.DUMMYFUNCTION("split(B112,"" "")"),"J.")</f>
        <v>J.</v>
      </c>
      <c r="Y112" s="3" t="str">
        <f>IFERROR(__xludf.DUMMYFUNCTION("""COMPUTED_VALUE"""),"Burrow")</f>
        <v>Burrow</v>
      </c>
      <c r="AA112" s="3">
        <v>4.0</v>
      </c>
      <c r="AB112" s="3">
        <f t="shared" si="7"/>
        <v>1</v>
      </c>
      <c r="AC112" s="3">
        <f t="shared" si="8"/>
        <v>0</v>
      </c>
      <c r="AD112" s="3">
        <f t="shared" si="9"/>
        <v>1.212121212</v>
      </c>
      <c r="AE112" s="3">
        <f t="shared" si="10"/>
        <v>-2</v>
      </c>
      <c r="AF112" s="3">
        <f t="shared" si="11"/>
        <v>-3</v>
      </c>
      <c r="AG112" s="3">
        <f t="shared" si="12"/>
        <v>-0.1428571429</v>
      </c>
    </row>
    <row r="113">
      <c r="A113" s="1" t="s">
        <v>12</v>
      </c>
      <c r="B113" s="1" t="s">
        <v>389</v>
      </c>
      <c r="C113" s="1" t="s">
        <v>18</v>
      </c>
      <c r="D113" s="1" t="s">
        <v>67</v>
      </c>
      <c r="E113" s="1" t="s">
        <v>147</v>
      </c>
      <c r="F113" s="1" t="s">
        <v>614</v>
      </c>
      <c r="G113" s="1">
        <v>5.5</v>
      </c>
      <c r="H113" s="1" t="s">
        <v>60</v>
      </c>
      <c r="I113" s="1">
        <v>-154.0</v>
      </c>
      <c r="J113" s="1">
        <v>0.0515220472440943</v>
      </c>
      <c r="K113" s="1" t="s">
        <v>61</v>
      </c>
      <c r="L113" s="1" t="s">
        <v>61</v>
      </c>
      <c r="M113" s="1" t="s">
        <v>62</v>
      </c>
      <c r="N113" s="1">
        <v>121.0</v>
      </c>
      <c r="O113" s="1">
        <v>-0.110298190045248</v>
      </c>
      <c r="P113" s="1" t="s">
        <v>61</v>
      </c>
      <c r="Q113" s="1" t="s">
        <v>61</v>
      </c>
      <c r="R113" s="1">
        <f t="shared" si="1"/>
        <v>0.05152204724</v>
      </c>
      <c r="S113" s="1">
        <f t="shared" si="2"/>
        <v>-154</v>
      </c>
      <c r="T113" s="1">
        <f t="shared" si="3"/>
        <v>1.649350649</v>
      </c>
      <c r="U113" s="1">
        <f t="shared" si="4"/>
        <v>1</v>
      </c>
      <c r="V113" s="3">
        <f t="shared" si="5"/>
        <v>2</v>
      </c>
      <c r="W113" s="3">
        <f t="shared" si="6"/>
        <v>3</v>
      </c>
      <c r="X113" s="3" t="str">
        <f>IFERROR(__xludf.DUMMYFUNCTION("split(B113,"" "")"),"J.")</f>
        <v>J.</v>
      </c>
      <c r="Y113" s="3" t="str">
        <f>IFERROR(__xludf.DUMMYFUNCTION("""COMPUTED_VALUE"""),"Chase")</f>
        <v>Chase</v>
      </c>
      <c r="AA113" s="3">
        <v>5.0</v>
      </c>
      <c r="AB113" s="3">
        <f t="shared" si="7"/>
        <v>0</v>
      </c>
      <c r="AC113" s="3">
        <f t="shared" si="8"/>
        <v>0</v>
      </c>
      <c r="AD113" s="3">
        <f t="shared" si="9"/>
        <v>1.298701299</v>
      </c>
      <c r="AE113" s="3">
        <f t="shared" si="10"/>
        <v>-2</v>
      </c>
      <c r="AF113" s="3">
        <f t="shared" si="11"/>
        <v>-3</v>
      </c>
      <c r="AG113" s="3">
        <f t="shared" si="12"/>
        <v>-0.09090909091</v>
      </c>
    </row>
    <row r="114">
      <c r="A114" s="1" t="s">
        <v>10</v>
      </c>
      <c r="B114" s="1" t="s">
        <v>293</v>
      </c>
      <c r="C114" s="1" t="s">
        <v>19</v>
      </c>
      <c r="D114" s="1" t="s">
        <v>67</v>
      </c>
      <c r="E114" s="1" t="s">
        <v>147</v>
      </c>
      <c r="F114" s="1" t="s">
        <v>614</v>
      </c>
      <c r="G114" s="1">
        <v>43.5</v>
      </c>
      <c r="H114" s="1" t="s">
        <v>60</v>
      </c>
      <c r="I114" s="1">
        <v>-118.0</v>
      </c>
      <c r="J114" s="1">
        <v>-0.105874696916696</v>
      </c>
      <c r="K114" s="1" t="s">
        <v>61</v>
      </c>
      <c r="L114" s="1" t="s">
        <v>61</v>
      </c>
      <c r="M114" s="1" t="s">
        <v>62</v>
      </c>
      <c r="N114" s="1">
        <v>-111.0</v>
      </c>
      <c r="O114" s="1">
        <v>0.0385222182490251</v>
      </c>
      <c r="P114" s="1" t="s">
        <v>61</v>
      </c>
      <c r="Q114" s="1" t="s">
        <v>61</v>
      </c>
      <c r="R114" s="1">
        <f t="shared" si="1"/>
        <v>0.03852221825</v>
      </c>
      <c r="S114" s="1">
        <f t="shared" si="2"/>
        <v>-111</v>
      </c>
      <c r="T114" s="1">
        <f t="shared" si="3"/>
        <v>1.900900901</v>
      </c>
      <c r="U114" s="1">
        <f t="shared" si="4"/>
        <v>0</v>
      </c>
      <c r="V114" s="3">
        <f t="shared" si="5"/>
        <v>1</v>
      </c>
      <c r="W114" s="3">
        <f t="shared" si="6"/>
        <v>2</v>
      </c>
      <c r="X114" s="3" t="str">
        <f>IFERROR(__xludf.DUMMYFUNCTION("split(B114,"" "")"),"C.")</f>
        <v>C.</v>
      </c>
      <c r="Y114" s="3" t="str">
        <f>IFERROR(__xludf.DUMMYFUNCTION("""COMPUTED_VALUE"""),"Brown")</f>
        <v>Brown</v>
      </c>
      <c r="AA114" s="3">
        <v>53.0</v>
      </c>
      <c r="AB114" s="3">
        <f t="shared" si="7"/>
        <v>1</v>
      </c>
      <c r="AC114" s="3">
        <f t="shared" si="8"/>
        <v>0</v>
      </c>
      <c r="AD114" s="3">
        <f t="shared" si="9"/>
        <v>0.9009009009</v>
      </c>
      <c r="AE114" s="3">
        <f t="shared" si="10"/>
        <v>-1</v>
      </c>
      <c r="AF114" s="3">
        <f t="shared" si="11"/>
        <v>-2</v>
      </c>
      <c r="AG114" s="3">
        <f t="shared" si="12"/>
        <v>-0.2183908046</v>
      </c>
    </row>
    <row r="115">
      <c r="A115" s="1" t="s">
        <v>11</v>
      </c>
      <c r="B115" s="1" t="s">
        <v>529</v>
      </c>
      <c r="C115" s="1" t="s">
        <v>18</v>
      </c>
      <c r="D115" s="1" t="s">
        <v>67</v>
      </c>
      <c r="E115" s="1" t="s">
        <v>147</v>
      </c>
      <c r="F115" s="1" t="s">
        <v>614</v>
      </c>
      <c r="G115" s="1">
        <v>59.5</v>
      </c>
      <c r="H115" s="1" t="s">
        <v>60</v>
      </c>
      <c r="I115" s="1">
        <v>-122.0</v>
      </c>
      <c r="J115" s="1">
        <v>-0.103491458103063</v>
      </c>
      <c r="K115" s="1" t="s">
        <v>61</v>
      </c>
      <c r="L115" s="1" t="s">
        <v>61</v>
      </c>
      <c r="M115" s="1" t="s">
        <v>62</v>
      </c>
      <c r="N115" s="1">
        <v>-107.0</v>
      </c>
      <c r="O115" s="1">
        <v>0.0369795420460377</v>
      </c>
      <c r="P115" s="1" t="s">
        <v>61</v>
      </c>
      <c r="Q115" s="1" t="s">
        <v>61</v>
      </c>
      <c r="R115" s="1">
        <f t="shared" si="1"/>
        <v>0.03697954205</v>
      </c>
      <c r="S115" s="1">
        <f t="shared" si="2"/>
        <v>-107</v>
      </c>
      <c r="T115" s="1">
        <f t="shared" si="3"/>
        <v>1.934579439</v>
      </c>
      <c r="U115" s="1">
        <f t="shared" si="4"/>
        <v>0</v>
      </c>
      <c r="V115" s="3">
        <f t="shared" si="5"/>
        <v>1</v>
      </c>
      <c r="W115" s="3">
        <f t="shared" si="6"/>
        <v>2</v>
      </c>
      <c r="X115" s="3" t="str">
        <f>IFERROR(__xludf.DUMMYFUNCTION("split(B115,"" "")"),"T.")</f>
        <v>T.</v>
      </c>
      <c r="Y115" s="3" t="str">
        <f>IFERROR(__xludf.DUMMYFUNCTION("""COMPUTED_VALUE"""),"Higgins")</f>
        <v>Higgins</v>
      </c>
      <c r="AA115" s="3">
        <v>77.0</v>
      </c>
      <c r="AB115" s="3">
        <f t="shared" si="7"/>
        <v>1</v>
      </c>
      <c r="AC115" s="3">
        <f t="shared" si="8"/>
        <v>0</v>
      </c>
      <c r="AD115" s="3">
        <f t="shared" si="9"/>
        <v>0.9345794393</v>
      </c>
      <c r="AE115" s="3">
        <f t="shared" si="10"/>
        <v>-1</v>
      </c>
      <c r="AF115" s="3">
        <f t="shared" si="11"/>
        <v>-2</v>
      </c>
      <c r="AG115" s="3">
        <f t="shared" si="12"/>
        <v>-0.2941176471</v>
      </c>
    </row>
    <row r="116">
      <c r="A116" s="1" t="s">
        <v>15</v>
      </c>
      <c r="B116" s="1" t="s">
        <v>318</v>
      </c>
      <c r="C116" s="1" t="s">
        <v>21</v>
      </c>
      <c r="D116" s="1" t="s">
        <v>67</v>
      </c>
      <c r="E116" s="1" t="s">
        <v>147</v>
      </c>
      <c r="F116" s="1" t="s">
        <v>614</v>
      </c>
      <c r="G116" s="1">
        <v>24.5</v>
      </c>
      <c r="H116" s="1" t="s">
        <v>60</v>
      </c>
      <c r="I116" s="1">
        <v>-110.0</v>
      </c>
      <c r="J116" s="1">
        <v>0.0301380952380952</v>
      </c>
      <c r="K116" s="1" t="s">
        <v>61</v>
      </c>
      <c r="L116" s="1" t="s">
        <v>61</v>
      </c>
      <c r="M116" s="1" t="s">
        <v>62</v>
      </c>
      <c r="N116" s="1">
        <v>-119.0</v>
      </c>
      <c r="O116" s="1">
        <v>-0.0973333333333333</v>
      </c>
      <c r="P116" s="1" t="s">
        <v>61</v>
      </c>
      <c r="Q116" s="1" t="s">
        <v>61</v>
      </c>
      <c r="R116" s="1">
        <f t="shared" si="1"/>
        <v>0.03013809524</v>
      </c>
      <c r="S116" s="1">
        <f t="shared" si="2"/>
        <v>-110</v>
      </c>
      <c r="T116" s="1">
        <f t="shared" si="3"/>
        <v>1.909090909</v>
      </c>
      <c r="U116" s="1">
        <f t="shared" si="4"/>
        <v>1</v>
      </c>
      <c r="V116" s="3">
        <f t="shared" si="5"/>
        <v>1</v>
      </c>
      <c r="W116" s="3">
        <f t="shared" si="6"/>
        <v>2</v>
      </c>
      <c r="X116" s="3" t="str">
        <f>IFERROR(__xludf.DUMMYFUNCTION("split(B116,"" "")"),"J.")</f>
        <v>J.</v>
      </c>
      <c r="Y116" s="3" t="str">
        <f>IFERROR(__xludf.DUMMYFUNCTION("""COMPUTED_VALUE"""),"Burrow")</f>
        <v>Burrow</v>
      </c>
      <c r="AA116" s="3">
        <v>19.0</v>
      </c>
      <c r="AB116" s="3">
        <f t="shared" si="7"/>
        <v>0</v>
      </c>
      <c r="AC116" s="3">
        <f t="shared" si="8"/>
        <v>0</v>
      </c>
      <c r="AD116" s="3">
        <f t="shared" si="9"/>
        <v>0.9090909091</v>
      </c>
      <c r="AE116" s="3">
        <f t="shared" si="10"/>
        <v>-1</v>
      </c>
      <c r="AF116" s="3">
        <f t="shared" si="11"/>
        <v>-2</v>
      </c>
      <c r="AG116" s="3">
        <f t="shared" si="12"/>
        <v>-0.2244897959</v>
      </c>
    </row>
    <row r="117">
      <c r="A117" s="1" t="s">
        <v>10</v>
      </c>
      <c r="B117" s="1" t="s">
        <v>168</v>
      </c>
      <c r="C117" s="1" t="s">
        <v>19</v>
      </c>
      <c r="D117" s="1" t="s">
        <v>67</v>
      </c>
      <c r="E117" s="1" t="s">
        <v>147</v>
      </c>
      <c r="F117" s="1" t="s">
        <v>614</v>
      </c>
      <c r="G117" s="1">
        <v>42.5</v>
      </c>
      <c r="H117" s="1" t="s">
        <v>60</v>
      </c>
      <c r="I117" s="1">
        <v>-115.0</v>
      </c>
      <c r="J117" s="1">
        <v>-0.0969005988983578</v>
      </c>
      <c r="K117" s="1" t="s">
        <v>61</v>
      </c>
      <c r="L117" s="1" t="s">
        <v>61</v>
      </c>
      <c r="M117" s="1" t="s">
        <v>62</v>
      </c>
      <c r="N117" s="1">
        <v>-114.0</v>
      </c>
      <c r="O117" s="1">
        <v>0.0293522938224183</v>
      </c>
      <c r="P117" s="1" t="s">
        <v>61</v>
      </c>
      <c r="Q117" s="1" t="s">
        <v>61</v>
      </c>
      <c r="R117" s="1">
        <f t="shared" si="1"/>
        <v>0.02935229382</v>
      </c>
      <c r="S117" s="1">
        <f t="shared" si="2"/>
        <v>-114</v>
      </c>
      <c r="T117" s="1">
        <f t="shared" si="3"/>
        <v>1.877192982</v>
      </c>
      <c r="U117" s="1">
        <f t="shared" si="4"/>
        <v>0</v>
      </c>
      <c r="V117" s="3">
        <f t="shared" si="5"/>
        <v>1</v>
      </c>
      <c r="W117" s="3">
        <f t="shared" si="6"/>
        <v>2</v>
      </c>
      <c r="X117" s="3" t="str">
        <f>IFERROR(__xludf.DUMMYFUNCTION("split(B117,"" "")"),"Z.")</f>
        <v>Z.</v>
      </c>
      <c r="Y117" s="3" t="str">
        <f>IFERROR(__xludf.DUMMYFUNCTION("""COMPUTED_VALUE"""),"Moss")</f>
        <v>Moss</v>
      </c>
      <c r="AA117" s="3">
        <v>13.0</v>
      </c>
      <c r="AB117" s="3">
        <f t="shared" si="7"/>
        <v>0</v>
      </c>
      <c r="AC117" s="3">
        <f t="shared" si="8"/>
        <v>1</v>
      </c>
      <c r="AD117" s="3">
        <f t="shared" si="9"/>
        <v>0.8771929825</v>
      </c>
      <c r="AE117" s="3">
        <f t="shared" si="10"/>
        <v>0.8771929825</v>
      </c>
      <c r="AF117" s="3">
        <f t="shared" si="11"/>
        <v>1.754385965</v>
      </c>
      <c r="AG117" s="3">
        <f t="shared" si="12"/>
        <v>0.6941176471</v>
      </c>
    </row>
    <row r="118">
      <c r="A118" s="1" t="s">
        <v>9</v>
      </c>
      <c r="B118" s="1" t="s">
        <v>527</v>
      </c>
      <c r="C118" s="1" t="s">
        <v>18</v>
      </c>
      <c r="D118" s="1" t="s">
        <v>67</v>
      </c>
      <c r="E118" s="1" t="s">
        <v>147</v>
      </c>
      <c r="F118" s="1" t="s">
        <v>614</v>
      </c>
      <c r="G118" s="1">
        <v>24.5</v>
      </c>
      <c r="H118" s="1" t="s">
        <v>60</v>
      </c>
      <c r="I118" s="1">
        <v>-120.0</v>
      </c>
      <c r="J118" s="1">
        <v>0.0254054268578592</v>
      </c>
      <c r="K118" s="1" t="s">
        <v>61</v>
      </c>
      <c r="L118" s="1" t="s">
        <v>61</v>
      </c>
      <c r="M118" s="1" t="s">
        <v>62</v>
      </c>
      <c r="N118" s="1">
        <v>-110.0</v>
      </c>
      <c r="O118" s="1">
        <v>-0.0946329204742948</v>
      </c>
      <c r="P118" s="1" t="s">
        <v>61</v>
      </c>
      <c r="Q118" s="1" t="s">
        <v>61</v>
      </c>
      <c r="R118" s="1">
        <f t="shared" si="1"/>
        <v>0.02540542686</v>
      </c>
      <c r="S118" s="1">
        <f t="shared" si="2"/>
        <v>-120</v>
      </c>
      <c r="T118" s="1">
        <f t="shared" si="3"/>
        <v>1.833333333</v>
      </c>
      <c r="U118" s="1">
        <f t="shared" si="4"/>
        <v>1</v>
      </c>
      <c r="V118" s="3">
        <f t="shared" si="5"/>
        <v>1</v>
      </c>
      <c r="W118" s="3">
        <f t="shared" si="6"/>
        <v>3</v>
      </c>
      <c r="X118" s="3" t="str">
        <f>IFERROR(__xludf.DUMMYFUNCTION("split(B118,"" "")"),"A.")</f>
        <v>A.</v>
      </c>
      <c r="Y118" s="3" t="str">
        <f>IFERROR(__xludf.DUMMYFUNCTION("""COMPUTED_VALUE"""),"Iosivas")</f>
        <v>Iosivas</v>
      </c>
      <c r="AA118" s="3">
        <v>36.0</v>
      </c>
      <c r="AB118" s="3">
        <f t="shared" si="7"/>
        <v>1</v>
      </c>
      <c r="AC118" s="3">
        <f t="shared" si="8"/>
        <v>1</v>
      </c>
      <c r="AD118" s="3">
        <f t="shared" si="9"/>
        <v>0.8333333333</v>
      </c>
      <c r="AE118" s="3">
        <f t="shared" si="10"/>
        <v>0.8333333333</v>
      </c>
      <c r="AF118" s="3">
        <f t="shared" si="11"/>
        <v>2.5</v>
      </c>
      <c r="AG118" s="3">
        <f t="shared" si="12"/>
        <v>0.4693877551</v>
      </c>
    </row>
    <row r="119">
      <c r="A119" s="1" t="s">
        <v>17</v>
      </c>
      <c r="B119" s="1" t="s">
        <v>318</v>
      </c>
      <c r="C119" s="1" t="s">
        <v>21</v>
      </c>
      <c r="D119" s="1" t="s">
        <v>67</v>
      </c>
      <c r="E119" s="1" t="s">
        <v>147</v>
      </c>
      <c r="F119" s="1" t="s">
        <v>614</v>
      </c>
      <c r="G119" s="1">
        <v>0.5</v>
      </c>
      <c r="H119" s="1" t="s">
        <v>60</v>
      </c>
      <c r="I119" s="1">
        <v>-110.0</v>
      </c>
      <c r="J119" s="1">
        <v>-0.0806095238095238</v>
      </c>
      <c r="K119" s="1" t="s">
        <v>61</v>
      </c>
      <c r="L119" s="1" t="s">
        <v>61</v>
      </c>
      <c r="M119" s="1" t="s">
        <v>62</v>
      </c>
      <c r="N119" s="1">
        <v>-119.0</v>
      </c>
      <c r="O119" s="1">
        <v>0.01342100456621</v>
      </c>
      <c r="P119" s="1" t="s">
        <v>61</v>
      </c>
      <c r="Q119" s="1" t="s">
        <v>61</v>
      </c>
      <c r="R119" s="1">
        <f t="shared" si="1"/>
        <v>0.01342100457</v>
      </c>
      <c r="S119" s="1">
        <f t="shared" si="2"/>
        <v>-119</v>
      </c>
      <c r="T119" s="1">
        <f t="shared" si="3"/>
        <v>1.840336134</v>
      </c>
      <c r="U119" s="1">
        <f t="shared" si="4"/>
        <v>0</v>
      </c>
      <c r="V119" s="3">
        <f t="shared" si="5"/>
        <v>1</v>
      </c>
      <c r="W119" s="3">
        <f t="shared" si="6"/>
        <v>3</v>
      </c>
      <c r="X119" s="3" t="str">
        <f>IFERROR(__xludf.DUMMYFUNCTION("split(B119,"" "")"),"J.")</f>
        <v>J.</v>
      </c>
      <c r="Y119" s="3" t="str">
        <f>IFERROR(__xludf.DUMMYFUNCTION("""COMPUTED_VALUE"""),"Burrow")</f>
        <v>Burrow</v>
      </c>
      <c r="AA119" s="3">
        <v>0.0</v>
      </c>
      <c r="AB119" s="3">
        <f t="shared" si="7"/>
        <v>0</v>
      </c>
      <c r="AC119" s="3">
        <f t="shared" si="8"/>
        <v>1</v>
      </c>
      <c r="AD119" s="3">
        <f t="shared" si="9"/>
        <v>0.8403361345</v>
      </c>
      <c r="AE119" s="3">
        <f t="shared" si="10"/>
        <v>0.8403361345</v>
      </c>
      <c r="AF119" s="3">
        <f t="shared" si="11"/>
        <v>2.521008403</v>
      </c>
      <c r="AG119" s="3">
        <f t="shared" si="12"/>
        <v>1</v>
      </c>
    </row>
    <row r="120">
      <c r="A120" s="1" t="s">
        <v>11</v>
      </c>
      <c r="B120" s="1" t="s">
        <v>293</v>
      </c>
      <c r="C120" s="1" t="s">
        <v>19</v>
      </c>
      <c r="D120" s="1" t="s">
        <v>67</v>
      </c>
      <c r="E120" s="1" t="s">
        <v>147</v>
      </c>
      <c r="F120" s="1" t="s">
        <v>614</v>
      </c>
      <c r="G120" s="1">
        <v>11.5</v>
      </c>
      <c r="H120" s="1" t="s">
        <v>60</v>
      </c>
      <c r="I120" s="1">
        <v>-106.0</v>
      </c>
      <c r="J120" s="1">
        <v>0.0133800797084393</v>
      </c>
      <c r="K120" s="1" t="s">
        <v>61</v>
      </c>
      <c r="L120" s="1" t="s">
        <v>61</v>
      </c>
      <c r="M120" s="1" t="s">
        <v>62</v>
      </c>
      <c r="N120" s="1">
        <v>-124.0</v>
      </c>
      <c r="O120" s="1">
        <v>-0.0814926051818024</v>
      </c>
      <c r="P120" s="1" t="s">
        <v>61</v>
      </c>
      <c r="Q120" s="1" t="s">
        <v>61</v>
      </c>
      <c r="R120" s="1">
        <f t="shared" si="1"/>
        <v>0.01338007971</v>
      </c>
      <c r="S120" s="1">
        <f t="shared" si="2"/>
        <v>-106</v>
      </c>
      <c r="T120" s="1">
        <f t="shared" si="3"/>
        <v>1.943396226</v>
      </c>
      <c r="U120" s="1">
        <f t="shared" si="4"/>
        <v>1</v>
      </c>
      <c r="V120" s="3">
        <f t="shared" si="5"/>
        <v>1</v>
      </c>
      <c r="W120" s="3">
        <f t="shared" si="6"/>
        <v>2</v>
      </c>
      <c r="X120" s="3" t="str">
        <f>IFERROR(__xludf.DUMMYFUNCTION("split(B120,"" "")"),"C.")</f>
        <v>C.</v>
      </c>
      <c r="Y120" s="3" t="str">
        <f>IFERROR(__xludf.DUMMYFUNCTION("""COMPUTED_VALUE"""),"Brown")</f>
        <v>Brown</v>
      </c>
      <c r="AA120" s="3">
        <v>11.0</v>
      </c>
      <c r="AB120" s="3">
        <f t="shared" si="7"/>
        <v>0</v>
      </c>
      <c r="AC120" s="3">
        <f t="shared" si="8"/>
        <v>0</v>
      </c>
      <c r="AD120" s="3">
        <f t="shared" si="9"/>
        <v>0.9433962264</v>
      </c>
      <c r="AE120" s="3">
        <f t="shared" si="10"/>
        <v>-1</v>
      </c>
      <c r="AF120" s="3">
        <f t="shared" si="11"/>
        <v>-2</v>
      </c>
      <c r="AG120" s="3">
        <f t="shared" si="12"/>
        <v>-0.04347826087</v>
      </c>
    </row>
    <row r="121">
      <c r="A121" s="1" t="s">
        <v>11</v>
      </c>
      <c r="B121" s="1" t="s">
        <v>527</v>
      </c>
      <c r="C121" s="1" t="s">
        <v>18</v>
      </c>
      <c r="D121" s="1" t="s">
        <v>67</v>
      </c>
      <c r="E121" s="1" t="s">
        <v>147</v>
      </c>
      <c r="F121" s="1" t="s">
        <v>614</v>
      </c>
      <c r="G121" s="1">
        <v>24.5</v>
      </c>
      <c r="H121" s="1" t="s">
        <v>60</v>
      </c>
      <c r="I121" s="1">
        <v>-105.0</v>
      </c>
      <c r="J121" s="1">
        <v>-0.0789202668769074</v>
      </c>
      <c r="K121" s="1" t="s">
        <v>61</v>
      </c>
      <c r="L121" s="1" t="s">
        <v>61</v>
      </c>
      <c r="M121" s="1" t="s">
        <v>62</v>
      </c>
      <c r="N121" s="1">
        <v>-124.0</v>
      </c>
      <c r="O121" s="1">
        <v>0.0131840707147761</v>
      </c>
      <c r="P121" s="1" t="s">
        <v>61</v>
      </c>
      <c r="Q121" s="1" t="s">
        <v>61</v>
      </c>
      <c r="R121" s="1">
        <f t="shared" si="1"/>
        <v>0.01318407071</v>
      </c>
      <c r="S121" s="1">
        <f t="shared" si="2"/>
        <v>-124</v>
      </c>
      <c r="T121" s="1">
        <f t="shared" si="3"/>
        <v>1.806451613</v>
      </c>
      <c r="U121" s="1">
        <f t="shared" si="4"/>
        <v>0</v>
      </c>
      <c r="V121" s="3">
        <f t="shared" si="5"/>
        <v>1</v>
      </c>
      <c r="W121" s="3">
        <f t="shared" si="6"/>
        <v>3</v>
      </c>
      <c r="X121" s="3" t="str">
        <f>IFERROR(__xludf.DUMMYFUNCTION("split(B121,"" "")"),"A.")</f>
        <v>A.</v>
      </c>
      <c r="Y121" s="3" t="str">
        <f>IFERROR(__xludf.DUMMYFUNCTION("""COMPUTED_VALUE"""),"Iosivas")</f>
        <v>Iosivas</v>
      </c>
      <c r="AA121" s="3">
        <v>36.0</v>
      </c>
      <c r="AB121" s="3">
        <f t="shared" si="7"/>
        <v>1</v>
      </c>
      <c r="AC121" s="3">
        <f t="shared" si="8"/>
        <v>0</v>
      </c>
      <c r="AD121" s="3">
        <f t="shared" si="9"/>
        <v>0.8064516129</v>
      </c>
      <c r="AE121" s="3">
        <f t="shared" si="10"/>
        <v>-1</v>
      </c>
      <c r="AF121" s="3">
        <f t="shared" si="11"/>
        <v>-3</v>
      </c>
      <c r="AG121" s="3">
        <f t="shared" si="12"/>
        <v>-0.4693877551</v>
      </c>
    </row>
    <row r="122">
      <c r="A122" s="1" t="s">
        <v>11</v>
      </c>
      <c r="B122" s="1" t="s">
        <v>504</v>
      </c>
      <c r="C122" s="1" t="s">
        <v>20</v>
      </c>
      <c r="D122" s="1" t="s">
        <v>67</v>
      </c>
      <c r="E122" s="1" t="s">
        <v>147</v>
      </c>
      <c r="F122" s="1" t="s">
        <v>614</v>
      </c>
      <c r="G122" s="1">
        <v>20.5</v>
      </c>
      <c r="H122" s="1" t="s">
        <v>60</v>
      </c>
      <c r="I122" s="1">
        <v>-116.0</v>
      </c>
      <c r="J122" s="1">
        <v>-0.0699454039122687</v>
      </c>
      <c r="K122" s="1" t="s">
        <v>61</v>
      </c>
      <c r="L122" s="1" t="s">
        <v>61</v>
      </c>
      <c r="M122" s="1" t="s">
        <v>62</v>
      </c>
      <c r="N122" s="1">
        <v>-112.0</v>
      </c>
      <c r="O122" s="1">
        <v>0.00463588733233977</v>
      </c>
      <c r="P122" s="1" t="s">
        <v>61</v>
      </c>
      <c r="Q122" s="1" t="s">
        <v>61</v>
      </c>
      <c r="R122" s="1">
        <f t="shared" si="1"/>
        <v>0.004635887332</v>
      </c>
      <c r="S122" s="1">
        <f t="shared" si="2"/>
        <v>-112</v>
      </c>
      <c r="T122" s="1">
        <f t="shared" si="3"/>
        <v>1.892857143</v>
      </c>
      <c r="U122" s="1">
        <f t="shared" si="4"/>
        <v>0</v>
      </c>
      <c r="V122" s="3">
        <f t="shared" si="5"/>
        <v>1</v>
      </c>
      <c r="W122" s="3">
        <f t="shared" si="6"/>
        <v>2</v>
      </c>
      <c r="X122" s="3" t="str">
        <f>IFERROR(__xludf.DUMMYFUNCTION("split(B122,"" "")"),"M.")</f>
        <v>M.</v>
      </c>
      <c r="Y122" s="3" t="str">
        <f>IFERROR(__xludf.DUMMYFUNCTION("""COMPUTED_VALUE"""),"Gesicki")</f>
        <v>Gesicki</v>
      </c>
      <c r="AA122" s="3">
        <v>0.0</v>
      </c>
      <c r="AB122" s="3">
        <f t="shared" si="7"/>
        <v>0</v>
      </c>
      <c r="AC122" s="3">
        <f t="shared" si="8"/>
        <v>1</v>
      </c>
      <c r="AD122" s="3">
        <f t="shared" si="9"/>
        <v>0.8928571429</v>
      </c>
      <c r="AE122" s="3">
        <f t="shared" si="10"/>
        <v>0.8928571429</v>
      </c>
      <c r="AF122" s="3">
        <f t="shared" si="11"/>
        <v>1.785714286</v>
      </c>
      <c r="AG122" s="3">
        <f t="shared" si="12"/>
        <v>1</v>
      </c>
    </row>
    <row r="123">
      <c r="A123" s="1" t="s">
        <v>9</v>
      </c>
      <c r="B123" s="1" t="s">
        <v>168</v>
      </c>
      <c r="C123" s="1" t="s">
        <v>19</v>
      </c>
      <c r="D123" s="1" t="s">
        <v>67</v>
      </c>
      <c r="E123" s="1" t="s">
        <v>147</v>
      </c>
      <c r="F123" s="1" t="s">
        <v>614</v>
      </c>
      <c r="G123" s="1">
        <v>61.5</v>
      </c>
      <c r="H123" s="1" t="s">
        <v>60</v>
      </c>
      <c r="I123" s="1">
        <v>-113.0</v>
      </c>
      <c r="J123" s="1">
        <v>-0.0739469824379951</v>
      </c>
      <c r="K123" s="1" t="s">
        <v>61</v>
      </c>
      <c r="L123" s="1" t="s">
        <v>61</v>
      </c>
      <c r="M123" s="1" t="s">
        <v>62</v>
      </c>
      <c r="N123" s="1">
        <v>-118.0</v>
      </c>
      <c r="O123" s="1">
        <v>0.00215081910993442</v>
      </c>
      <c r="P123" s="1" t="s">
        <v>61</v>
      </c>
      <c r="Q123" s="1" t="s">
        <v>61</v>
      </c>
      <c r="R123" s="1">
        <f t="shared" si="1"/>
        <v>0.00215081911</v>
      </c>
      <c r="S123" s="1">
        <f t="shared" si="2"/>
        <v>-118</v>
      </c>
      <c r="T123" s="1">
        <f t="shared" si="3"/>
        <v>1.847457627</v>
      </c>
      <c r="U123" s="1">
        <f t="shared" si="4"/>
        <v>0</v>
      </c>
      <c r="V123" s="3">
        <f t="shared" si="5"/>
        <v>1</v>
      </c>
      <c r="W123" s="3">
        <f t="shared" si="6"/>
        <v>3</v>
      </c>
      <c r="X123" s="3" t="str">
        <f>IFERROR(__xludf.DUMMYFUNCTION("split(B123,"" "")"),"Z.")</f>
        <v>Z.</v>
      </c>
      <c r="Y123" s="3" t="str">
        <f>IFERROR(__xludf.DUMMYFUNCTION("""COMPUTED_VALUE"""),"Moss")</f>
        <v>Moss</v>
      </c>
      <c r="AA123" s="3">
        <v>15.0</v>
      </c>
      <c r="AB123" s="3">
        <f t="shared" si="7"/>
        <v>0</v>
      </c>
      <c r="AC123" s="3">
        <f t="shared" si="8"/>
        <v>1</v>
      </c>
      <c r="AD123" s="3">
        <f t="shared" si="9"/>
        <v>0.8474576271</v>
      </c>
      <c r="AE123" s="3">
        <f t="shared" si="10"/>
        <v>0.8474576271</v>
      </c>
      <c r="AF123" s="3">
        <f t="shared" si="11"/>
        <v>2.542372881</v>
      </c>
      <c r="AG123" s="3">
        <f t="shared" si="12"/>
        <v>0.756097561</v>
      </c>
    </row>
    <row r="124">
      <c r="A124" s="1" t="s">
        <v>12</v>
      </c>
      <c r="B124" s="1" t="s">
        <v>414</v>
      </c>
      <c r="C124" s="1" t="s">
        <v>18</v>
      </c>
      <c r="D124" s="1" t="s">
        <v>89</v>
      </c>
      <c r="E124" s="1" t="s">
        <v>156</v>
      </c>
      <c r="F124" s="1" t="s">
        <v>608</v>
      </c>
      <c r="G124" s="1">
        <v>2.5</v>
      </c>
      <c r="H124" s="1" t="s">
        <v>60</v>
      </c>
      <c r="I124" s="1">
        <v>-114.0</v>
      </c>
      <c r="J124" s="1">
        <v>-0.209008909252336</v>
      </c>
      <c r="K124" s="1" t="s">
        <v>61</v>
      </c>
      <c r="L124" s="1" t="s">
        <v>61</v>
      </c>
      <c r="M124" s="1" t="s">
        <v>62</v>
      </c>
      <c r="N124" s="1">
        <v>-118.0</v>
      </c>
      <c r="O124" s="1">
        <v>0.135014008093578</v>
      </c>
      <c r="P124" s="1" t="s">
        <v>61</v>
      </c>
      <c r="Q124" s="1" t="s">
        <v>61</v>
      </c>
      <c r="R124" s="1">
        <f t="shared" si="1"/>
        <v>0.1350140081</v>
      </c>
      <c r="S124" s="1">
        <f t="shared" si="2"/>
        <v>-118</v>
      </c>
      <c r="T124" s="1">
        <f t="shared" si="3"/>
        <v>1.847457627</v>
      </c>
      <c r="U124" s="1">
        <f t="shared" si="4"/>
        <v>0</v>
      </c>
      <c r="V124" s="3">
        <f t="shared" si="5"/>
        <v>3</v>
      </c>
      <c r="W124" s="3">
        <f t="shared" si="6"/>
        <v>3</v>
      </c>
      <c r="X124" s="3" t="str">
        <f>IFERROR(__xludf.DUMMYFUNCTION("split(B124,"" "")"),"E.")</f>
        <v>E.</v>
      </c>
      <c r="Y124" s="3" t="str">
        <f>IFERROR(__xludf.DUMMYFUNCTION("""COMPUTED_VALUE"""),"Moore")</f>
        <v>Moore</v>
      </c>
      <c r="AA124" s="3">
        <v>1.0</v>
      </c>
      <c r="AB124" s="3">
        <f t="shared" si="7"/>
        <v>0</v>
      </c>
      <c r="AC124" s="3">
        <f t="shared" si="8"/>
        <v>1</v>
      </c>
      <c r="AD124" s="3">
        <f t="shared" si="9"/>
        <v>2.542372881</v>
      </c>
      <c r="AE124" s="3">
        <f t="shared" si="10"/>
        <v>2.542372881</v>
      </c>
      <c r="AF124" s="3">
        <f t="shared" si="11"/>
        <v>2.542372881</v>
      </c>
      <c r="AG124" s="3">
        <f t="shared" si="12"/>
        <v>0.6</v>
      </c>
    </row>
    <row r="125">
      <c r="A125" s="1" t="s">
        <v>17</v>
      </c>
      <c r="B125" s="1" t="s">
        <v>462</v>
      </c>
      <c r="C125" s="1" t="s">
        <v>21</v>
      </c>
      <c r="D125" s="1" t="s">
        <v>89</v>
      </c>
      <c r="E125" s="1" t="s">
        <v>156</v>
      </c>
      <c r="F125" s="1" t="s">
        <v>608</v>
      </c>
      <c r="G125" s="1">
        <v>0.5</v>
      </c>
      <c r="H125" s="1" t="s">
        <v>60</v>
      </c>
      <c r="I125" s="1">
        <v>-159.0</v>
      </c>
      <c r="J125" s="1">
        <v>-0.172038223938224</v>
      </c>
      <c r="K125" s="1" t="s">
        <v>61</v>
      </c>
      <c r="L125" s="1" t="s">
        <v>61</v>
      </c>
      <c r="M125" s="1" t="s">
        <v>62</v>
      </c>
      <c r="N125" s="1">
        <v>123.0</v>
      </c>
      <c r="O125" s="1">
        <v>0.109714349775784</v>
      </c>
      <c r="P125" s="1" t="s">
        <v>61</v>
      </c>
      <c r="Q125" s="1" t="s">
        <v>61</v>
      </c>
      <c r="R125" s="1">
        <f t="shared" si="1"/>
        <v>0.1097143498</v>
      </c>
      <c r="S125" s="1">
        <f t="shared" si="2"/>
        <v>123</v>
      </c>
      <c r="T125" s="1">
        <f t="shared" si="3"/>
        <v>2.23</v>
      </c>
      <c r="U125" s="1">
        <f t="shared" si="4"/>
        <v>0</v>
      </c>
      <c r="V125" s="3">
        <f t="shared" si="5"/>
        <v>3</v>
      </c>
      <c r="W125" s="3">
        <f t="shared" si="6"/>
        <v>1</v>
      </c>
      <c r="X125" s="3" t="str">
        <f>IFERROR(__xludf.DUMMYFUNCTION("split(B125,"" "")"),"D.")</f>
        <v>D.</v>
      </c>
      <c r="Y125" s="3" t="str">
        <f>IFERROR(__xludf.DUMMYFUNCTION("""COMPUTED_VALUE"""),"Watson")</f>
        <v>Watson</v>
      </c>
      <c r="AA125" s="3">
        <v>0.0</v>
      </c>
      <c r="AB125" s="3">
        <f t="shared" si="7"/>
        <v>0</v>
      </c>
      <c r="AC125" s="3">
        <f t="shared" si="8"/>
        <v>1</v>
      </c>
      <c r="AD125" s="3">
        <f t="shared" si="9"/>
        <v>3.69</v>
      </c>
      <c r="AE125" s="3">
        <f t="shared" si="10"/>
        <v>3.69</v>
      </c>
      <c r="AF125" s="3">
        <f t="shared" si="11"/>
        <v>1.23</v>
      </c>
      <c r="AG125" s="3">
        <f t="shared" si="12"/>
        <v>1</v>
      </c>
    </row>
    <row r="126">
      <c r="A126" s="1" t="s">
        <v>14</v>
      </c>
      <c r="B126" s="1" t="s">
        <v>462</v>
      </c>
      <c r="C126" s="1" t="s">
        <v>21</v>
      </c>
      <c r="D126" s="1" t="s">
        <v>89</v>
      </c>
      <c r="E126" s="1" t="s">
        <v>156</v>
      </c>
      <c r="F126" s="1" t="s">
        <v>608</v>
      </c>
      <c r="G126" s="1">
        <v>0.5</v>
      </c>
      <c r="H126" s="1" t="s">
        <v>60</v>
      </c>
      <c r="I126" s="1">
        <v>-215.0</v>
      </c>
      <c r="J126" s="1">
        <v>-0.149239682539682</v>
      </c>
      <c r="K126" s="1" t="s">
        <v>61</v>
      </c>
      <c r="L126" s="1" t="s">
        <v>61</v>
      </c>
      <c r="M126" s="1" t="s">
        <v>62</v>
      </c>
      <c r="N126" s="1">
        <v>165.0</v>
      </c>
      <c r="O126" s="1">
        <v>0.0893415094339622</v>
      </c>
      <c r="P126" s="1" t="s">
        <v>61</v>
      </c>
      <c r="Q126" s="1" t="s">
        <v>61</v>
      </c>
      <c r="R126" s="1">
        <f t="shared" si="1"/>
        <v>0.08934150943</v>
      </c>
      <c r="S126" s="1">
        <f t="shared" si="2"/>
        <v>165</v>
      </c>
      <c r="T126" s="1">
        <f t="shared" si="3"/>
        <v>2.65</v>
      </c>
      <c r="U126" s="1">
        <f t="shared" si="4"/>
        <v>0</v>
      </c>
      <c r="V126" s="3">
        <f t="shared" si="5"/>
        <v>2</v>
      </c>
      <c r="W126" s="3">
        <f t="shared" si="6"/>
        <v>1</v>
      </c>
      <c r="X126" s="3" t="str">
        <f>IFERROR(__xludf.DUMMYFUNCTION("split(B126,"" "")"),"D.")</f>
        <v>D.</v>
      </c>
      <c r="Y126" s="3" t="str">
        <f>IFERROR(__xludf.DUMMYFUNCTION("""COMPUTED_VALUE"""),"Watson")</f>
        <v>Watson</v>
      </c>
      <c r="AA126" s="3">
        <v>0.0</v>
      </c>
      <c r="AB126" s="3">
        <f t="shared" si="7"/>
        <v>0</v>
      </c>
      <c r="AC126" s="3">
        <f t="shared" si="8"/>
        <v>1</v>
      </c>
      <c r="AD126" s="3">
        <f t="shared" si="9"/>
        <v>3.3</v>
      </c>
      <c r="AE126" s="3">
        <f t="shared" si="10"/>
        <v>3.3</v>
      </c>
      <c r="AF126" s="3">
        <f t="shared" si="11"/>
        <v>1.65</v>
      </c>
      <c r="AG126" s="3">
        <f t="shared" si="12"/>
        <v>1</v>
      </c>
    </row>
    <row r="127">
      <c r="A127" s="1" t="s">
        <v>12</v>
      </c>
      <c r="B127" s="1" t="s">
        <v>299</v>
      </c>
      <c r="C127" s="1" t="s">
        <v>18</v>
      </c>
      <c r="D127" s="1" t="s">
        <v>89</v>
      </c>
      <c r="E127" s="1" t="s">
        <v>156</v>
      </c>
      <c r="F127" s="1" t="s">
        <v>608</v>
      </c>
      <c r="G127" s="1">
        <v>3.5</v>
      </c>
      <c r="H127" s="1" t="s">
        <v>60</v>
      </c>
      <c r="I127" s="1">
        <v>-115.0</v>
      </c>
      <c r="J127" s="1">
        <v>-0.145076744186046</v>
      </c>
      <c r="K127" s="1" t="s">
        <v>61</v>
      </c>
      <c r="L127" s="1" t="s">
        <v>61</v>
      </c>
      <c r="M127" s="1" t="s">
        <v>62</v>
      </c>
      <c r="N127" s="1">
        <v>-115.0</v>
      </c>
      <c r="O127" s="1">
        <v>0.0753232558139533</v>
      </c>
      <c r="P127" s="1" t="s">
        <v>61</v>
      </c>
      <c r="Q127" s="1" t="s">
        <v>61</v>
      </c>
      <c r="R127" s="1">
        <f t="shared" si="1"/>
        <v>0.07532325581</v>
      </c>
      <c r="S127" s="1">
        <f t="shared" si="2"/>
        <v>-115</v>
      </c>
      <c r="T127" s="1">
        <f t="shared" si="3"/>
        <v>1.869565217</v>
      </c>
      <c r="U127" s="1">
        <f t="shared" si="4"/>
        <v>0</v>
      </c>
      <c r="V127" s="3">
        <f t="shared" si="5"/>
        <v>2</v>
      </c>
      <c r="W127" s="3">
        <f t="shared" si="6"/>
        <v>2</v>
      </c>
      <c r="X127" s="3" t="str">
        <f>IFERROR(__xludf.DUMMYFUNCTION("split(B127,"" "")"),"J.")</f>
        <v>J.</v>
      </c>
      <c r="Y127" s="3" t="str">
        <f>IFERROR(__xludf.DUMMYFUNCTION("""COMPUTED_VALUE"""),"Jeudy")</f>
        <v>Jeudy</v>
      </c>
      <c r="AA127" s="3">
        <v>1.0</v>
      </c>
      <c r="AB127" s="3">
        <f t="shared" si="7"/>
        <v>0</v>
      </c>
      <c r="AC127" s="3">
        <f t="shared" si="8"/>
        <v>1</v>
      </c>
      <c r="AD127" s="3">
        <f t="shared" si="9"/>
        <v>1.739130435</v>
      </c>
      <c r="AE127" s="3">
        <f t="shared" si="10"/>
        <v>1.739130435</v>
      </c>
      <c r="AF127" s="3">
        <f t="shared" si="11"/>
        <v>1.739130435</v>
      </c>
      <c r="AG127" s="3">
        <f t="shared" si="12"/>
        <v>0.7142857143</v>
      </c>
    </row>
    <row r="128">
      <c r="A128" s="1" t="s">
        <v>9</v>
      </c>
      <c r="B128" s="1" t="s">
        <v>414</v>
      </c>
      <c r="C128" s="1" t="s">
        <v>18</v>
      </c>
      <c r="D128" s="1" t="s">
        <v>89</v>
      </c>
      <c r="E128" s="1" t="s">
        <v>156</v>
      </c>
      <c r="F128" s="1" t="s">
        <v>608</v>
      </c>
      <c r="G128" s="1">
        <v>22.5</v>
      </c>
      <c r="H128" s="1" t="s">
        <v>60</v>
      </c>
      <c r="I128" s="1">
        <v>-115.0</v>
      </c>
      <c r="J128" s="1">
        <v>0.0714171335019762</v>
      </c>
      <c r="K128" s="1" t="s">
        <v>61</v>
      </c>
      <c r="L128" s="1" t="s">
        <v>61</v>
      </c>
      <c r="M128" s="1" t="s">
        <v>62</v>
      </c>
      <c r="N128" s="1">
        <v>-115.0</v>
      </c>
      <c r="O128" s="1">
        <v>-0.141154703527272</v>
      </c>
      <c r="P128" s="1" t="s">
        <v>61</v>
      </c>
      <c r="Q128" s="1" t="s">
        <v>61</v>
      </c>
      <c r="R128" s="1">
        <f t="shared" si="1"/>
        <v>0.0714171335</v>
      </c>
      <c r="S128" s="1">
        <f t="shared" si="2"/>
        <v>-115</v>
      </c>
      <c r="T128" s="1">
        <f t="shared" si="3"/>
        <v>1.869565217</v>
      </c>
      <c r="U128" s="1">
        <f t="shared" si="4"/>
        <v>1</v>
      </c>
      <c r="V128" s="3">
        <f t="shared" si="5"/>
        <v>2</v>
      </c>
      <c r="W128" s="3">
        <f t="shared" si="6"/>
        <v>2</v>
      </c>
      <c r="X128" s="3" t="str">
        <f>IFERROR(__xludf.DUMMYFUNCTION("split(B128,"" "")"),"E.")</f>
        <v>E.</v>
      </c>
      <c r="Y128" s="3" t="str">
        <f>IFERROR(__xludf.DUMMYFUNCTION("""COMPUTED_VALUE"""),"Moore")</f>
        <v>Moore</v>
      </c>
      <c r="AA128" s="3">
        <v>3.0</v>
      </c>
      <c r="AB128" s="3">
        <f t="shared" si="7"/>
        <v>0</v>
      </c>
      <c r="AC128" s="3">
        <f t="shared" si="8"/>
        <v>0</v>
      </c>
      <c r="AD128" s="3">
        <f t="shared" si="9"/>
        <v>1.739130435</v>
      </c>
      <c r="AE128" s="3">
        <f t="shared" si="10"/>
        <v>-2</v>
      </c>
      <c r="AF128" s="3">
        <f t="shared" si="11"/>
        <v>-2</v>
      </c>
      <c r="AG128" s="3">
        <f t="shared" si="12"/>
        <v>-0.8666666667</v>
      </c>
    </row>
    <row r="129">
      <c r="A129" s="1" t="s">
        <v>8</v>
      </c>
      <c r="B129" s="1" t="s">
        <v>324</v>
      </c>
      <c r="C129" s="1" t="s">
        <v>19</v>
      </c>
      <c r="D129" s="1" t="s">
        <v>89</v>
      </c>
      <c r="E129" s="1" t="s">
        <v>156</v>
      </c>
      <c r="F129" s="1" t="s">
        <v>608</v>
      </c>
      <c r="G129" s="1">
        <v>10.5</v>
      </c>
      <c r="H129" s="1" t="s">
        <v>60</v>
      </c>
      <c r="I129" s="1">
        <v>-118.0</v>
      </c>
      <c r="J129" s="1">
        <v>-0.136538450958665</v>
      </c>
      <c r="K129" s="1" t="s">
        <v>61</v>
      </c>
      <c r="L129" s="1" t="s">
        <v>61</v>
      </c>
      <c r="M129" s="1" t="s">
        <v>62</v>
      </c>
      <c r="N129" s="1">
        <v>-113.0</v>
      </c>
      <c r="O129" s="1">
        <v>0.0647304225782046</v>
      </c>
      <c r="P129" s="1" t="s">
        <v>61</v>
      </c>
      <c r="Q129" s="1" t="s">
        <v>61</v>
      </c>
      <c r="R129" s="1">
        <f t="shared" si="1"/>
        <v>0.06473042258</v>
      </c>
      <c r="S129" s="1">
        <f t="shared" si="2"/>
        <v>-113</v>
      </c>
      <c r="T129" s="1">
        <f t="shared" si="3"/>
        <v>1.884955752</v>
      </c>
      <c r="U129" s="1">
        <f t="shared" si="4"/>
        <v>0</v>
      </c>
      <c r="V129" s="3">
        <f t="shared" si="5"/>
        <v>2</v>
      </c>
      <c r="W129" s="3">
        <f t="shared" si="6"/>
        <v>2</v>
      </c>
      <c r="X129" s="3" t="str">
        <f>IFERROR(__xludf.DUMMYFUNCTION("split(B129,"" "")"),"J.")</f>
        <v>J.</v>
      </c>
      <c r="Y129" s="3" t="str">
        <f>IFERROR(__xludf.DUMMYFUNCTION("""COMPUTED_VALUE"""),"Ford")</f>
        <v>Ford</v>
      </c>
      <c r="AA129" s="3">
        <v>2.0</v>
      </c>
      <c r="AB129" s="3">
        <f t="shared" si="7"/>
        <v>0</v>
      </c>
      <c r="AC129" s="3">
        <f t="shared" si="8"/>
        <v>1</v>
      </c>
      <c r="AD129" s="3">
        <f t="shared" si="9"/>
        <v>1.769911504</v>
      </c>
      <c r="AE129" s="3">
        <f t="shared" si="10"/>
        <v>1.769911504</v>
      </c>
      <c r="AF129" s="3">
        <f t="shared" si="11"/>
        <v>1.769911504</v>
      </c>
      <c r="AG129" s="3">
        <f t="shared" si="12"/>
        <v>0.8095238095</v>
      </c>
    </row>
    <row r="130">
      <c r="A130" s="1" t="s">
        <v>8</v>
      </c>
      <c r="B130" s="1" t="s">
        <v>462</v>
      </c>
      <c r="C130" s="1" t="s">
        <v>21</v>
      </c>
      <c r="D130" s="1" t="s">
        <v>89</v>
      </c>
      <c r="E130" s="1" t="s">
        <v>156</v>
      </c>
      <c r="F130" s="1" t="s">
        <v>608</v>
      </c>
      <c r="G130" s="1">
        <v>4.5</v>
      </c>
      <c r="H130" s="1" t="s">
        <v>60</v>
      </c>
      <c r="I130" s="1">
        <v>107.0</v>
      </c>
      <c r="J130" s="1">
        <v>-0.131634314391165</v>
      </c>
      <c r="K130" s="1" t="s">
        <v>61</v>
      </c>
      <c r="L130" s="1" t="s">
        <v>61</v>
      </c>
      <c r="M130" s="1" t="s">
        <v>62</v>
      </c>
      <c r="N130" s="1">
        <v>-141.0</v>
      </c>
      <c r="O130" s="1">
        <v>0.0634858934399097</v>
      </c>
      <c r="P130" s="1" t="s">
        <v>61</v>
      </c>
      <c r="Q130" s="1" t="s">
        <v>61</v>
      </c>
      <c r="R130" s="1">
        <f t="shared" si="1"/>
        <v>0.06348589344</v>
      </c>
      <c r="S130" s="1">
        <f t="shared" si="2"/>
        <v>-141</v>
      </c>
      <c r="T130" s="1">
        <f t="shared" si="3"/>
        <v>1.709219858</v>
      </c>
      <c r="U130" s="1">
        <f t="shared" si="4"/>
        <v>0</v>
      </c>
      <c r="V130" s="3">
        <f t="shared" si="5"/>
        <v>2</v>
      </c>
      <c r="W130" s="3">
        <f t="shared" si="6"/>
        <v>3</v>
      </c>
      <c r="X130" s="3" t="str">
        <f>IFERROR(__xludf.DUMMYFUNCTION("split(B130,"" "")"),"D.")</f>
        <v>D.</v>
      </c>
      <c r="Y130" s="3" t="str">
        <f>IFERROR(__xludf.DUMMYFUNCTION("""COMPUTED_VALUE"""),"Watson")</f>
        <v>Watson</v>
      </c>
      <c r="AA130" s="3">
        <v>4.0</v>
      </c>
      <c r="AB130" s="3">
        <f t="shared" si="7"/>
        <v>0</v>
      </c>
      <c r="AC130" s="3">
        <f t="shared" si="8"/>
        <v>1</v>
      </c>
      <c r="AD130" s="3">
        <f t="shared" si="9"/>
        <v>1.418439716</v>
      </c>
      <c r="AE130" s="3">
        <f t="shared" si="10"/>
        <v>1.418439716</v>
      </c>
      <c r="AF130" s="3">
        <f t="shared" si="11"/>
        <v>2.127659574</v>
      </c>
      <c r="AG130" s="3">
        <f t="shared" si="12"/>
        <v>0.1111111111</v>
      </c>
    </row>
    <row r="131">
      <c r="A131" s="1" t="s">
        <v>13</v>
      </c>
      <c r="B131" s="1" t="s">
        <v>462</v>
      </c>
      <c r="C131" s="1" t="s">
        <v>21</v>
      </c>
      <c r="D131" s="1" t="s">
        <v>89</v>
      </c>
      <c r="E131" s="1" t="s">
        <v>156</v>
      </c>
      <c r="F131" s="1" t="s">
        <v>608</v>
      </c>
      <c r="G131" s="1">
        <v>188.5</v>
      </c>
      <c r="H131" s="1" t="s">
        <v>60</v>
      </c>
      <c r="I131" s="1">
        <v>-114.0</v>
      </c>
      <c r="J131" s="1">
        <v>0.0376230680373832</v>
      </c>
      <c r="K131" s="1" t="s">
        <v>61</v>
      </c>
      <c r="L131" s="1" t="s">
        <v>61</v>
      </c>
      <c r="M131" s="1" t="s">
        <v>62</v>
      </c>
      <c r="N131" s="1">
        <v>-114.0</v>
      </c>
      <c r="O131" s="1">
        <v>-0.102992297562616</v>
      </c>
      <c r="P131" s="1" t="s">
        <v>61</v>
      </c>
      <c r="Q131" s="1" t="s">
        <v>61</v>
      </c>
      <c r="R131" s="1">
        <f t="shared" si="1"/>
        <v>0.03762306804</v>
      </c>
      <c r="S131" s="1">
        <f t="shared" si="2"/>
        <v>-114</v>
      </c>
      <c r="T131" s="1">
        <f t="shared" si="3"/>
        <v>1.877192982</v>
      </c>
      <c r="U131" s="1">
        <f t="shared" si="4"/>
        <v>1</v>
      </c>
      <c r="V131" s="3">
        <f t="shared" si="5"/>
        <v>1</v>
      </c>
      <c r="W131" s="3">
        <f t="shared" si="6"/>
        <v>2</v>
      </c>
      <c r="X131" s="3" t="str">
        <f>IFERROR(__xludf.DUMMYFUNCTION("split(B131,"" "")"),"D.")</f>
        <v>D.</v>
      </c>
      <c r="Y131" s="3" t="str">
        <f>IFERROR(__xludf.DUMMYFUNCTION("""COMPUTED_VALUE"""),"Watson")</f>
        <v>Watson</v>
      </c>
      <c r="AA131" s="3">
        <v>168.0</v>
      </c>
      <c r="AB131" s="3">
        <f t="shared" si="7"/>
        <v>0</v>
      </c>
      <c r="AC131" s="3">
        <f t="shared" si="8"/>
        <v>0</v>
      </c>
      <c r="AD131" s="3">
        <f t="shared" si="9"/>
        <v>0.8771929825</v>
      </c>
      <c r="AE131" s="3">
        <f t="shared" si="10"/>
        <v>-1</v>
      </c>
      <c r="AF131" s="3">
        <f t="shared" si="11"/>
        <v>-2</v>
      </c>
      <c r="AG131" s="3">
        <f t="shared" si="12"/>
        <v>-0.1087533156</v>
      </c>
    </row>
    <row r="132">
      <c r="A132" s="1" t="s">
        <v>12</v>
      </c>
      <c r="B132" s="1" t="s">
        <v>324</v>
      </c>
      <c r="C132" s="1" t="s">
        <v>19</v>
      </c>
      <c r="D132" s="1" t="s">
        <v>89</v>
      </c>
      <c r="E132" s="1" t="s">
        <v>156</v>
      </c>
      <c r="F132" s="1" t="s">
        <v>608</v>
      </c>
      <c r="G132" s="1">
        <v>3.5</v>
      </c>
      <c r="H132" s="1" t="s">
        <v>60</v>
      </c>
      <c r="I132" s="1">
        <v>139.0</v>
      </c>
      <c r="J132" s="1">
        <v>-0.0897100418410042</v>
      </c>
      <c r="K132" s="1" t="s">
        <v>61</v>
      </c>
      <c r="L132" s="1" t="s">
        <v>61</v>
      </c>
      <c r="M132" s="1" t="s">
        <v>62</v>
      </c>
      <c r="N132" s="1">
        <v>-183.0</v>
      </c>
      <c r="O132" s="1">
        <v>0.024656890459364</v>
      </c>
      <c r="P132" s="1" t="s">
        <v>61</v>
      </c>
      <c r="Q132" s="1" t="s">
        <v>61</v>
      </c>
      <c r="R132" s="1">
        <f t="shared" si="1"/>
        <v>0.02465689046</v>
      </c>
      <c r="S132" s="1">
        <f t="shared" si="2"/>
        <v>-183</v>
      </c>
      <c r="T132" s="1">
        <f t="shared" si="3"/>
        <v>1.546448087</v>
      </c>
      <c r="U132" s="1">
        <f t="shared" si="4"/>
        <v>0</v>
      </c>
      <c r="V132" s="3">
        <f t="shared" si="5"/>
        <v>1</v>
      </c>
      <c r="W132" s="3">
        <f t="shared" si="6"/>
        <v>3</v>
      </c>
      <c r="X132" s="3" t="str">
        <f>IFERROR(__xludf.DUMMYFUNCTION("split(B132,"" "")"),"J.")</f>
        <v>J.</v>
      </c>
      <c r="Y132" s="3" t="str">
        <f>IFERROR(__xludf.DUMMYFUNCTION("""COMPUTED_VALUE"""),"Ford")</f>
        <v>Ford</v>
      </c>
      <c r="AA132" s="3">
        <v>0.0</v>
      </c>
      <c r="AB132" s="3">
        <f t="shared" si="7"/>
        <v>0</v>
      </c>
      <c r="AC132" s="3">
        <f t="shared" si="8"/>
        <v>1</v>
      </c>
      <c r="AD132" s="3">
        <f t="shared" si="9"/>
        <v>0.5464480874</v>
      </c>
      <c r="AE132" s="3">
        <f t="shared" si="10"/>
        <v>0.5464480874</v>
      </c>
      <c r="AF132" s="3">
        <f t="shared" si="11"/>
        <v>1.639344262</v>
      </c>
      <c r="AG132" s="3">
        <f t="shared" si="12"/>
        <v>1</v>
      </c>
    </row>
    <row r="133">
      <c r="A133" s="1" t="s">
        <v>11</v>
      </c>
      <c r="B133" s="1" t="s">
        <v>299</v>
      </c>
      <c r="C133" s="1" t="s">
        <v>18</v>
      </c>
      <c r="D133" s="1" t="s">
        <v>89</v>
      </c>
      <c r="E133" s="1" t="s">
        <v>156</v>
      </c>
      <c r="F133" s="1" t="s">
        <v>608</v>
      </c>
      <c r="G133" s="1">
        <v>41.5</v>
      </c>
      <c r="H133" s="1" t="s">
        <v>60</v>
      </c>
      <c r="I133" s="1">
        <v>-114.0</v>
      </c>
      <c r="J133" s="1">
        <v>-0.0774523681074766</v>
      </c>
      <c r="K133" s="1" t="s">
        <v>61</v>
      </c>
      <c r="L133" s="1" t="s">
        <v>61</v>
      </c>
      <c r="M133" s="1" t="s">
        <v>62</v>
      </c>
      <c r="N133" s="1">
        <v>-113.0</v>
      </c>
      <c r="O133" s="1">
        <v>0.014243477377432</v>
      </c>
      <c r="P133" s="1" t="s">
        <v>61</v>
      </c>
      <c r="Q133" s="1" t="s">
        <v>61</v>
      </c>
      <c r="R133" s="1">
        <f t="shared" si="1"/>
        <v>0.01424347738</v>
      </c>
      <c r="S133" s="1">
        <f t="shared" si="2"/>
        <v>-113</v>
      </c>
      <c r="T133" s="1">
        <f t="shared" si="3"/>
        <v>1.884955752</v>
      </c>
      <c r="U133" s="1">
        <f t="shared" si="4"/>
        <v>0</v>
      </c>
      <c r="V133" s="3">
        <f t="shared" si="5"/>
        <v>1</v>
      </c>
      <c r="W133" s="3">
        <f t="shared" si="6"/>
        <v>2</v>
      </c>
      <c r="X133" s="3" t="str">
        <f>IFERROR(__xludf.DUMMYFUNCTION("split(B133,"" "")"),"J.")</f>
        <v>J.</v>
      </c>
      <c r="Y133" s="3" t="str">
        <f>IFERROR(__xludf.DUMMYFUNCTION("""COMPUTED_VALUE"""),"Jeudy")</f>
        <v>Jeudy</v>
      </c>
      <c r="AA133" s="3">
        <v>35.0</v>
      </c>
      <c r="AB133" s="3">
        <f t="shared" si="7"/>
        <v>0</v>
      </c>
      <c r="AC133" s="3">
        <f t="shared" si="8"/>
        <v>1</v>
      </c>
      <c r="AD133" s="3">
        <f t="shared" si="9"/>
        <v>0.8849557522</v>
      </c>
      <c r="AE133" s="3">
        <f t="shared" si="10"/>
        <v>0.8849557522</v>
      </c>
      <c r="AF133" s="3">
        <f t="shared" si="11"/>
        <v>1.769911504</v>
      </c>
      <c r="AG133" s="3">
        <f t="shared" si="12"/>
        <v>0.156626506</v>
      </c>
    </row>
    <row r="134">
      <c r="A134" s="1" t="s">
        <v>10</v>
      </c>
      <c r="B134" s="1" t="s">
        <v>530</v>
      </c>
      <c r="C134" s="1" t="s">
        <v>19</v>
      </c>
      <c r="D134" s="1" t="s">
        <v>89</v>
      </c>
      <c r="E134" s="1" t="s">
        <v>156</v>
      </c>
      <c r="F134" s="1" t="s">
        <v>608</v>
      </c>
      <c r="G134" s="1">
        <v>23.5</v>
      </c>
      <c r="H134" s="1" t="s">
        <v>60</v>
      </c>
      <c r="I134" s="1">
        <v>-113.0</v>
      </c>
      <c r="J134" s="1">
        <v>-0.0770563230273587</v>
      </c>
      <c r="K134" s="1" t="s">
        <v>61</v>
      </c>
      <c r="L134" s="1" t="s">
        <v>61</v>
      </c>
      <c r="M134" s="1" t="s">
        <v>62</v>
      </c>
      <c r="N134" s="1">
        <v>-116.0</v>
      </c>
      <c r="O134" s="1">
        <v>0.00950859395185088</v>
      </c>
      <c r="P134" s="1" t="s">
        <v>61</v>
      </c>
      <c r="Q134" s="1" t="s">
        <v>61</v>
      </c>
      <c r="R134" s="1">
        <f t="shared" si="1"/>
        <v>0.009508593952</v>
      </c>
      <c r="S134" s="1">
        <f t="shared" si="2"/>
        <v>-116</v>
      </c>
      <c r="T134" s="1">
        <f t="shared" si="3"/>
        <v>1.862068966</v>
      </c>
      <c r="U134" s="1">
        <f t="shared" si="4"/>
        <v>0</v>
      </c>
      <c r="V134" s="3">
        <f t="shared" si="5"/>
        <v>1</v>
      </c>
      <c r="W134" s="3">
        <f t="shared" si="6"/>
        <v>2</v>
      </c>
      <c r="X134" s="3" t="str">
        <f>IFERROR(__xludf.DUMMYFUNCTION("split(B134,"" "")"),"D.")</f>
        <v>D.</v>
      </c>
      <c r="Y134" s="3" t="str">
        <f>IFERROR(__xludf.DUMMYFUNCTION("""COMPUTED_VALUE"""),"Foreman")</f>
        <v>Foreman</v>
      </c>
      <c r="AA134" s="3">
        <v>31.0</v>
      </c>
      <c r="AB134" s="3">
        <f t="shared" si="7"/>
        <v>1</v>
      </c>
      <c r="AC134" s="3">
        <f t="shared" si="8"/>
        <v>0</v>
      </c>
      <c r="AD134" s="3">
        <f t="shared" si="9"/>
        <v>0.8620689655</v>
      </c>
      <c r="AE134" s="3">
        <f t="shared" si="10"/>
        <v>-1</v>
      </c>
      <c r="AF134" s="3">
        <f t="shared" si="11"/>
        <v>-2</v>
      </c>
      <c r="AG134" s="3">
        <f t="shared" si="12"/>
        <v>-0.3191489362</v>
      </c>
    </row>
    <row r="135">
      <c r="A135" s="1" t="s">
        <v>10</v>
      </c>
      <c r="B135" s="1" t="s">
        <v>462</v>
      </c>
      <c r="C135" s="1" t="s">
        <v>21</v>
      </c>
      <c r="D135" s="1" t="s">
        <v>89</v>
      </c>
      <c r="E135" s="1" t="s">
        <v>156</v>
      </c>
      <c r="F135" s="1" t="s">
        <v>608</v>
      </c>
      <c r="G135" s="1">
        <v>21.5</v>
      </c>
      <c r="H135" s="1" t="s">
        <v>60</v>
      </c>
      <c r="I135" s="1">
        <v>-112.0</v>
      </c>
      <c r="J135" s="1">
        <v>-0.0726840901058532</v>
      </c>
      <c r="K135" s="1" t="s">
        <v>61</v>
      </c>
      <c r="L135" s="1" t="s">
        <v>61</v>
      </c>
      <c r="M135" s="1" t="s">
        <v>62</v>
      </c>
      <c r="N135" s="1">
        <v>-115.0</v>
      </c>
      <c r="O135" s="1">
        <v>0.00949609845491616</v>
      </c>
      <c r="P135" s="1" t="s">
        <v>61</v>
      </c>
      <c r="Q135" s="1" t="s">
        <v>61</v>
      </c>
      <c r="R135" s="1">
        <f t="shared" si="1"/>
        <v>0.009496098455</v>
      </c>
      <c r="S135" s="1">
        <f t="shared" si="2"/>
        <v>-115</v>
      </c>
      <c r="T135" s="1">
        <f t="shared" si="3"/>
        <v>1.869565217</v>
      </c>
      <c r="U135" s="1">
        <f t="shared" si="4"/>
        <v>0</v>
      </c>
      <c r="V135" s="3">
        <f t="shared" si="5"/>
        <v>1</v>
      </c>
      <c r="W135" s="3">
        <f t="shared" si="6"/>
        <v>2</v>
      </c>
      <c r="X135" s="3" t="str">
        <f>IFERROR(__xludf.DUMMYFUNCTION("split(B135,"" "")"),"D.")</f>
        <v>D.</v>
      </c>
      <c r="Y135" s="3" t="str">
        <f>IFERROR(__xludf.DUMMYFUNCTION("""COMPUTED_VALUE"""),"Watson")</f>
        <v>Watson</v>
      </c>
      <c r="AA135" s="3">
        <v>17.0</v>
      </c>
      <c r="AB135" s="3">
        <f t="shared" si="7"/>
        <v>0</v>
      </c>
      <c r="AC135" s="3">
        <f t="shared" si="8"/>
        <v>1</v>
      </c>
      <c r="AD135" s="3">
        <f t="shared" si="9"/>
        <v>0.8695652174</v>
      </c>
      <c r="AE135" s="3">
        <f t="shared" si="10"/>
        <v>0.8695652174</v>
      </c>
      <c r="AF135" s="3">
        <f t="shared" si="11"/>
        <v>1.739130435</v>
      </c>
      <c r="AG135" s="3">
        <f t="shared" si="12"/>
        <v>0.2093023256</v>
      </c>
    </row>
    <row r="136">
      <c r="A136" s="1" t="s">
        <v>9</v>
      </c>
      <c r="B136" s="1" t="s">
        <v>572</v>
      </c>
      <c r="C136" s="1" t="s">
        <v>18</v>
      </c>
      <c r="D136" s="1" t="s">
        <v>88</v>
      </c>
      <c r="E136" s="1" t="s">
        <v>197</v>
      </c>
      <c r="F136" s="1" t="s">
        <v>610</v>
      </c>
      <c r="G136" s="1">
        <v>14.5</v>
      </c>
      <c r="H136" s="1" t="s">
        <v>60</v>
      </c>
      <c r="I136" s="1">
        <v>-119.0</v>
      </c>
      <c r="J136" s="1">
        <v>0.150744029896502</v>
      </c>
      <c r="K136" s="1" t="s">
        <v>61</v>
      </c>
      <c r="L136" s="1" t="s">
        <v>61</v>
      </c>
      <c r="M136" s="1" t="s">
        <v>62</v>
      </c>
      <c r="N136" s="1">
        <v>-113.0</v>
      </c>
      <c r="O136" s="1">
        <v>-0.224529901776936</v>
      </c>
      <c r="P136" s="1" t="s">
        <v>61</v>
      </c>
      <c r="Q136" s="1" t="s">
        <v>61</v>
      </c>
      <c r="R136" s="1">
        <f t="shared" si="1"/>
        <v>0.1507440299</v>
      </c>
      <c r="S136" s="1">
        <f t="shared" si="2"/>
        <v>-119</v>
      </c>
      <c r="T136" s="1">
        <f t="shared" si="3"/>
        <v>1.840336134</v>
      </c>
      <c r="U136" s="1">
        <f t="shared" si="4"/>
        <v>1</v>
      </c>
      <c r="V136" s="3">
        <f t="shared" si="5"/>
        <v>3</v>
      </c>
      <c r="W136" s="3">
        <f t="shared" si="6"/>
        <v>3</v>
      </c>
      <c r="X136" s="3" t="str">
        <f>IFERROR(__xludf.DUMMYFUNCTION("split(B136,"" "")"),"J.")</f>
        <v>J.</v>
      </c>
      <c r="Y136" s="3" t="str">
        <f>IFERROR(__xludf.DUMMYFUNCTION("""COMPUTED_VALUE"""),"Brooks")</f>
        <v>Brooks</v>
      </c>
      <c r="AA136" s="3">
        <v>15.0</v>
      </c>
      <c r="AB136" s="3">
        <f t="shared" si="7"/>
        <v>1</v>
      </c>
      <c r="AC136" s="3">
        <f t="shared" si="8"/>
        <v>1</v>
      </c>
      <c r="AD136" s="3">
        <f t="shared" si="9"/>
        <v>2.521008403</v>
      </c>
      <c r="AE136" s="3">
        <f t="shared" si="10"/>
        <v>2.521008403</v>
      </c>
      <c r="AF136" s="3">
        <f t="shared" si="11"/>
        <v>2.521008403</v>
      </c>
      <c r="AG136" s="3">
        <f t="shared" si="12"/>
        <v>0.03448275862</v>
      </c>
    </row>
    <row r="137">
      <c r="A137" s="1" t="s">
        <v>12</v>
      </c>
      <c r="B137" s="1" t="s">
        <v>152</v>
      </c>
      <c r="C137" s="1" t="s">
        <v>19</v>
      </c>
      <c r="D137" s="1" t="s">
        <v>88</v>
      </c>
      <c r="E137" s="1" t="s">
        <v>197</v>
      </c>
      <c r="F137" s="1" t="s">
        <v>610</v>
      </c>
      <c r="G137" s="1">
        <v>2.5</v>
      </c>
      <c r="H137" s="1" t="s">
        <v>60</v>
      </c>
      <c r="I137" s="1">
        <v>109.0</v>
      </c>
      <c r="J137" s="1">
        <v>-0.204164960292823</v>
      </c>
      <c r="K137" s="1" t="s">
        <v>61</v>
      </c>
      <c r="L137" s="1" t="s">
        <v>61</v>
      </c>
      <c r="M137" s="1" t="s">
        <v>62</v>
      </c>
      <c r="N137" s="1">
        <v>-143.0</v>
      </c>
      <c r="O137" s="1">
        <v>0.137218188857613</v>
      </c>
      <c r="P137" s="1" t="s">
        <v>61</v>
      </c>
      <c r="Q137" s="1" t="s">
        <v>61</v>
      </c>
      <c r="R137" s="1">
        <f t="shared" si="1"/>
        <v>0.1372181889</v>
      </c>
      <c r="S137" s="1">
        <f t="shared" si="2"/>
        <v>-143</v>
      </c>
      <c r="T137" s="1">
        <f t="shared" si="3"/>
        <v>1.699300699</v>
      </c>
      <c r="U137" s="1">
        <f t="shared" si="4"/>
        <v>0</v>
      </c>
      <c r="V137" s="3">
        <f t="shared" si="5"/>
        <v>3</v>
      </c>
      <c r="W137" s="3">
        <f t="shared" si="6"/>
        <v>3</v>
      </c>
      <c r="X137" s="3" t="str">
        <f>IFERROR(__xludf.DUMMYFUNCTION("split(B137,"" "")"),"R.")</f>
        <v>R.</v>
      </c>
      <c r="Y137" s="3" t="str">
        <f>IFERROR(__xludf.DUMMYFUNCTION("""COMPUTED_VALUE"""),"Dowdle")</f>
        <v>Dowdle</v>
      </c>
      <c r="AA137" s="3">
        <v>5.0</v>
      </c>
      <c r="AB137" s="3">
        <f t="shared" si="7"/>
        <v>1</v>
      </c>
      <c r="AC137" s="3">
        <f t="shared" si="8"/>
        <v>0</v>
      </c>
      <c r="AD137" s="3">
        <f t="shared" si="9"/>
        <v>2.097902098</v>
      </c>
      <c r="AE137" s="3">
        <f t="shared" si="10"/>
        <v>-3</v>
      </c>
      <c r="AF137" s="3">
        <f t="shared" si="11"/>
        <v>-3</v>
      </c>
      <c r="AG137" s="3">
        <f t="shared" si="12"/>
        <v>-1</v>
      </c>
    </row>
    <row r="138">
      <c r="A138" s="1" t="s">
        <v>12</v>
      </c>
      <c r="B138" s="1" t="s">
        <v>87</v>
      </c>
      <c r="C138" s="1" t="s">
        <v>18</v>
      </c>
      <c r="D138" s="1" t="s">
        <v>88</v>
      </c>
      <c r="E138" s="1" t="s">
        <v>197</v>
      </c>
      <c r="F138" s="1" t="s">
        <v>610</v>
      </c>
      <c r="G138" s="1">
        <v>3.5</v>
      </c>
      <c r="H138" s="1" t="s">
        <v>60</v>
      </c>
      <c r="I138" s="1">
        <v>-164.0</v>
      </c>
      <c r="J138" s="1">
        <v>-0.19145</v>
      </c>
      <c r="K138" s="1" t="s">
        <v>61</v>
      </c>
      <c r="L138" s="1" t="s">
        <v>61</v>
      </c>
      <c r="M138" s="1" t="s">
        <v>62</v>
      </c>
      <c r="N138" s="1">
        <v>125.0</v>
      </c>
      <c r="O138" s="1">
        <v>0.1258</v>
      </c>
      <c r="P138" s="1" t="s">
        <v>61</v>
      </c>
      <c r="Q138" s="1" t="s">
        <v>61</v>
      </c>
      <c r="R138" s="1">
        <f t="shared" si="1"/>
        <v>0.1258</v>
      </c>
      <c r="S138" s="1">
        <f t="shared" si="2"/>
        <v>125</v>
      </c>
      <c r="T138" s="1">
        <f t="shared" si="3"/>
        <v>2.25</v>
      </c>
      <c r="U138" s="1">
        <f t="shared" si="4"/>
        <v>0</v>
      </c>
      <c r="V138" s="3">
        <f t="shared" si="5"/>
        <v>3</v>
      </c>
      <c r="W138" s="3">
        <f t="shared" si="6"/>
        <v>1</v>
      </c>
      <c r="X138" s="3" t="str">
        <f>IFERROR(__xludf.DUMMYFUNCTION("split(B138,"" "")"),"J.")</f>
        <v>J.</v>
      </c>
      <c r="Y138" s="3" t="str">
        <f>IFERROR(__xludf.DUMMYFUNCTION("""COMPUTED_VALUE"""),"Tolbert")</f>
        <v>Tolbert</v>
      </c>
      <c r="AA138" s="3">
        <v>4.0</v>
      </c>
      <c r="AB138" s="3">
        <f t="shared" si="7"/>
        <v>1</v>
      </c>
      <c r="AC138" s="3">
        <f t="shared" si="8"/>
        <v>0</v>
      </c>
      <c r="AD138" s="3">
        <f t="shared" si="9"/>
        <v>3.75</v>
      </c>
      <c r="AE138" s="3">
        <f t="shared" si="10"/>
        <v>-3</v>
      </c>
      <c r="AF138" s="3">
        <f t="shared" si="11"/>
        <v>-1</v>
      </c>
      <c r="AG138" s="3">
        <f t="shared" si="12"/>
        <v>-0.1428571429</v>
      </c>
    </row>
    <row r="139">
      <c r="A139" s="1" t="s">
        <v>10</v>
      </c>
      <c r="B139" s="1" t="s">
        <v>571</v>
      </c>
      <c r="C139" s="1" t="s">
        <v>18</v>
      </c>
      <c r="D139" s="1" t="s">
        <v>88</v>
      </c>
      <c r="E139" s="1" t="s">
        <v>197</v>
      </c>
      <c r="F139" s="1" t="s">
        <v>610</v>
      </c>
      <c r="G139" s="1">
        <v>0.5</v>
      </c>
      <c r="H139" s="1" t="s">
        <v>60</v>
      </c>
      <c r="I139" s="1">
        <v>-103.0</v>
      </c>
      <c r="J139" s="1">
        <v>0.121076082902118</v>
      </c>
      <c r="K139" s="1" t="s">
        <v>61</v>
      </c>
      <c r="L139" s="1" t="s">
        <v>61</v>
      </c>
      <c r="M139" s="1" t="s">
        <v>62</v>
      </c>
      <c r="N139" s="1">
        <v>-124.0</v>
      </c>
      <c r="O139" s="1">
        <v>-0.182007737740143</v>
      </c>
      <c r="P139" s="1" t="s">
        <v>61</v>
      </c>
      <c r="Q139" s="1" t="s">
        <v>61</v>
      </c>
      <c r="R139" s="1">
        <f t="shared" si="1"/>
        <v>0.1210760829</v>
      </c>
      <c r="S139" s="1">
        <f t="shared" si="2"/>
        <v>-103</v>
      </c>
      <c r="T139" s="1">
        <f t="shared" si="3"/>
        <v>1.970873786</v>
      </c>
      <c r="U139" s="1">
        <f t="shared" si="4"/>
        <v>1</v>
      </c>
      <c r="V139" s="3">
        <f t="shared" si="5"/>
        <v>3</v>
      </c>
      <c r="W139" s="3">
        <f t="shared" si="6"/>
        <v>2</v>
      </c>
      <c r="X139" s="3" t="str">
        <f>IFERROR(__xludf.DUMMYFUNCTION("split(B139,"" "")"),"K.")</f>
        <v>K.</v>
      </c>
      <c r="Y139" s="3" t="str">
        <f>IFERROR(__xludf.DUMMYFUNCTION("""COMPUTED_VALUE"""),"Turpin")</f>
        <v>Turpin</v>
      </c>
      <c r="AA139" s="3">
        <v>6.0</v>
      </c>
      <c r="AB139" s="3">
        <f t="shared" si="7"/>
        <v>1</v>
      </c>
      <c r="AC139" s="3">
        <f t="shared" si="8"/>
        <v>1</v>
      </c>
      <c r="AD139" s="3">
        <f t="shared" si="9"/>
        <v>2.912621359</v>
      </c>
      <c r="AE139" s="3">
        <f t="shared" si="10"/>
        <v>2.912621359</v>
      </c>
      <c r="AF139" s="3">
        <f t="shared" si="11"/>
        <v>1.941747573</v>
      </c>
      <c r="AG139" s="3">
        <f t="shared" si="12"/>
        <v>11</v>
      </c>
    </row>
    <row r="140">
      <c r="A140" s="1" t="s">
        <v>8</v>
      </c>
      <c r="B140" s="1" t="s">
        <v>152</v>
      </c>
      <c r="C140" s="1" t="s">
        <v>19</v>
      </c>
      <c r="D140" s="1" t="s">
        <v>88</v>
      </c>
      <c r="E140" s="1" t="s">
        <v>197</v>
      </c>
      <c r="F140" s="1" t="s">
        <v>610</v>
      </c>
      <c r="G140" s="1">
        <v>11.5</v>
      </c>
      <c r="H140" s="1" t="s">
        <v>60</v>
      </c>
      <c r="I140" s="1">
        <v>-121.0</v>
      </c>
      <c r="J140" s="1">
        <v>-0.189701686962624</v>
      </c>
      <c r="K140" s="1" t="s">
        <v>61</v>
      </c>
      <c r="L140" s="1" t="s">
        <v>61</v>
      </c>
      <c r="M140" s="1" t="s">
        <v>62</v>
      </c>
      <c r="N140" s="1">
        <v>-109.0</v>
      </c>
      <c r="O140" s="1">
        <v>0.120673063982902</v>
      </c>
      <c r="P140" s="1" t="s">
        <v>61</v>
      </c>
      <c r="Q140" s="1" t="s">
        <v>61</v>
      </c>
      <c r="R140" s="1">
        <f t="shared" si="1"/>
        <v>0.120673064</v>
      </c>
      <c r="S140" s="1">
        <f t="shared" si="2"/>
        <v>-109</v>
      </c>
      <c r="T140" s="1">
        <f t="shared" si="3"/>
        <v>1.917431193</v>
      </c>
      <c r="U140" s="1">
        <f t="shared" si="4"/>
        <v>0</v>
      </c>
      <c r="V140" s="3">
        <f t="shared" si="5"/>
        <v>3</v>
      </c>
      <c r="W140" s="3">
        <f t="shared" si="6"/>
        <v>2</v>
      </c>
      <c r="X140" s="3" t="str">
        <f>IFERROR(__xludf.DUMMYFUNCTION("split(B140,"" "")"),"R.")</f>
        <v>R.</v>
      </c>
      <c r="Y140" s="3" t="str">
        <f>IFERROR(__xludf.DUMMYFUNCTION("""COMPUTED_VALUE"""),"Dowdle")</f>
        <v>Dowdle</v>
      </c>
      <c r="AA140" s="3">
        <v>5.0</v>
      </c>
      <c r="AB140" s="3">
        <f t="shared" si="7"/>
        <v>0</v>
      </c>
      <c r="AC140" s="3">
        <f t="shared" si="8"/>
        <v>1</v>
      </c>
      <c r="AD140" s="3">
        <f t="shared" si="9"/>
        <v>2.752293578</v>
      </c>
      <c r="AE140" s="3">
        <f t="shared" si="10"/>
        <v>2.752293578</v>
      </c>
      <c r="AF140" s="3">
        <f t="shared" si="11"/>
        <v>1.834862385</v>
      </c>
      <c r="AG140" s="3">
        <f t="shared" si="12"/>
        <v>0.5652173913</v>
      </c>
    </row>
    <row r="141">
      <c r="A141" s="1" t="s">
        <v>11</v>
      </c>
      <c r="B141" s="1" t="s">
        <v>375</v>
      </c>
      <c r="C141" s="1" t="s">
        <v>19</v>
      </c>
      <c r="D141" s="1" t="s">
        <v>88</v>
      </c>
      <c r="E141" s="1" t="s">
        <v>197</v>
      </c>
      <c r="F141" s="1" t="s">
        <v>610</v>
      </c>
      <c r="G141" s="1">
        <v>2.5</v>
      </c>
      <c r="H141" s="1" t="s">
        <v>60</v>
      </c>
      <c r="I141" s="1">
        <v>-121.0</v>
      </c>
      <c r="J141" s="1">
        <v>0.114016904677808</v>
      </c>
      <c r="K141" s="1" t="s">
        <v>61</v>
      </c>
      <c r="L141" s="1" t="s">
        <v>61</v>
      </c>
      <c r="M141" s="1" t="s">
        <v>62</v>
      </c>
      <c r="N141" s="1">
        <v>-107.0</v>
      </c>
      <c r="O141" s="1">
        <v>-0.178397736469378</v>
      </c>
      <c r="P141" s="1" t="s">
        <v>61</v>
      </c>
      <c r="Q141" s="1" t="s">
        <v>61</v>
      </c>
      <c r="R141" s="1">
        <f t="shared" si="1"/>
        <v>0.1140169047</v>
      </c>
      <c r="S141" s="1">
        <f t="shared" si="2"/>
        <v>-121</v>
      </c>
      <c r="T141" s="1">
        <f t="shared" si="3"/>
        <v>1.826446281</v>
      </c>
      <c r="U141" s="1">
        <f t="shared" si="4"/>
        <v>1</v>
      </c>
      <c r="V141" s="3">
        <f t="shared" si="5"/>
        <v>3</v>
      </c>
      <c r="W141" s="3">
        <f t="shared" si="6"/>
        <v>3</v>
      </c>
      <c r="X141" s="3" t="str">
        <f>IFERROR(__xludf.DUMMYFUNCTION("split(B141,"" "")"),"E.")</f>
        <v>E.</v>
      </c>
      <c r="Y141" s="3" t="str">
        <f>IFERROR(__xludf.DUMMYFUNCTION("""COMPUTED_VALUE"""),"Elliott")</f>
        <v>Elliott</v>
      </c>
      <c r="AA141" s="3">
        <v>0.0</v>
      </c>
      <c r="AB141" s="3">
        <f t="shared" si="7"/>
        <v>0</v>
      </c>
      <c r="AC141" s="3">
        <f t="shared" si="8"/>
        <v>0</v>
      </c>
      <c r="AD141" s="3">
        <f t="shared" si="9"/>
        <v>2.479338843</v>
      </c>
      <c r="AE141" s="3">
        <f t="shared" si="10"/>
        <v>-3</v>
      </c>
      <c r="AF141" s="3">
        <f t="shared" si="11"/>
        <v>-3</v>
      </c>
      <c r="AG141" s="3">
        <f t="shared" si="12"/>
        <v>-1</v>
      </c>
    </row>
    <row r="142">
      <c r="A142" s="1" t="s">
        <v>12</v>
      </c>
      <c r="B142" s="1" t="s">
        <v>395</v>
      </c>
      <c r="C142" s="1" t="s">
        <v>18</v>
      </c>
      <c r="D142" s="1" t="s">
        <v>88</v>
      </c>
      <c r="E142" s="1" t="s">
        <v>197</v>
      </c>
      <c r="F142" s="1" t="s">
        <v>610</v>
      </c>
      <c r="G142" s="1">
        <v>6.5</v>
      </c>
      <c r="H142" s="1" t="s">
        <v>60</v>
      </c>
      <c r="I142" s="1">
        <v>-142.0</v>
      </c>
      <c r="J142" s="1">
        <v>0.109581818181818</v>
      </c>
      <c r="K142" s="1" t="s">
        <v>61</v>
      </c>
      <c r="L142" s="1" t="s">
        <v>61</v>
      </c>
      <c r="M142" s="1" t="s">
        <v>62</v>
      </c>
      <c r="N142" s="1">
        <v>108.0</v>
      </c>
      <c r="O142" s="1">
        <v>-0.177121153846153</v>
      </c>
      <c r="P142" s="1" t="s">
        <v>61</v>
      </c>
      <c r="Q142" s="1" t="s">
        <v>61</v>
      </c>
      <c r="R142" s="1">
        <f t="shared" si="1"/>
        <v>0.1095818182</v>
      </c>
      <c r="S142" s="1">
        <f t="shared" si="2"/>
        <v>-142</v>
      </c>
      <c r="T142" s="1">
        <f t="shared" si="3"/>
        <v>1.704225352</v>
      </c>
      <c r="U142" s="1">
        <f t="shared" si="4"/>
        <v>1</v>
      </c>
      <c r="V142" s="3">
        <f t="shared" si="5"/>
        <v>3</v>
      </c>
      <c r="W142" s="3">
        <f t="shared" si="6"/>
        <v>3</v>
      </c>
      <c r="X142" s="3" t="str">
        <f>IFERROR(__xludf.DUMMYFUNCTION("split(B142,"" "")"),"C.")</f>
        <v>C.</v>
      </c>
      <c r="Y142" s="3" t="str">
        <f>IFERROR(__xludf.DUMMYFUNCTION("""COMPUTED_VALUE"""),"Lamb")</f>
        <v>Lamb</v>
      </c>
      <c r="AA142" s="3">
        <v>7.0</v>
      </c>
      <c r="AB142" s="3">
        <f t="shared" si="7"/>
        <v>1</v>
      </c>
      <c r="AC142" s="3">
        <f t="shared" si="8"/>
        <v>1</v>
      </c>
      <c r="AD142" s="3">
        <f t="shared" si="9"/>
        <v>2.112676056</v>
      </c>
      <c r="AE142" s="3">
        <f t="shared" si="10"/>
        <v>2.112676056</v>
      </c>
      <c r="AF142" s="3">
        <f t="shared" si="11"/>
        <v>2.112676056</v>
      </c>
      <c r="AG142" s="3">
        <f t="shared" si="12"/>
        <v>0.07692307692</v>
      </c>
    </row>
    <row r="143">
      <c r="A143" s="1" t="s">
        <v>9</v>
      </c>
      <c r="B143" s="1" t="s">
        <v>375</v>
      </c>
      <c r="C143" s="1" t="s">
        <v>19</v>
      </c>
      <c r="D143" s="1" t="s">
        <v>88</v>
      </c>
      <c r="E143" s="1" t="s">
        <v>197</v>
      </c>
      <c r="F143" s="1" t="s">
        <v>610</v>
      </c>
      <c r="G143" s="1">
        <v>19.5</v>
      </c>
      <c r="H143" s="1" t="s">
        <v>60</v>
      </c>
      <c r="I143" s="1">
        <v>-120.0</v>
      </c>
      <c r="J143" s="1">
        <v>0.10192062353169</v>
      </c>
      <c r="K143" s="1" t="s">
        <v>61</v>
      </c>
      <c r="L143" s="1" t="s">
        <v>61</v>
      </c>
      <c r="M143" s="1" t="s">
        <v>62</v>
      </c>
      <c r="N143" s="1">
        <v>-113.0</v>
      </c>
      <c r="O143" s="1">
        <v>-0.177837309906001</v>
      </c>
      <c r="P143" s="1" t="s">
        <v>61</v>
      </c>
      <c r="Q143" s="1" t="s">
        <v>61</v>
      </c>
      <c r="R143" s="1">
        <f t="shared" si="1"/>
        <v>0.1019206235</v>
      </c>
      <c r="S143" s="1">
        <f t="shared" si="2"/>
        <v>-120</v>
      </c>
      <c r="T143" s="1">
        <f t="shared" si="3"/>
        <v>1.833333333</v>
      </c>
      <c r="U143" s="1">
        <f t="shared" si="4"/>
        <v>1</v>
      </c>
      <c r="V143" s="3">
        <f t="shared" si="5"/>
        <v>3</v>
      </c>
      <c r="W143" s="3">
        <f t="shared" si="6"/>
        <v>3</v>
      </c>
      <c r="X143" s="3" t="str">
        <f>IFERROR(__xludf.DUMMYFUNCTION("split(B143,"" "")"),"E.")</f>
        <v>E.</v>
      </c>
      <c r="Y143" s="3" t="str">
        <f>IFERROR(__xludf.DUMMYFUNCTION("""COMPUTED_VALUE"""),"Elliott")</f>
        <v>Elliott</v>
      </c>
      <c r="AA143" s="3">
        <v>17.0</v>
      </c>
      <c r="AB143" s="3">
        <f t="shared" si="7"/>
        <v>0</v>
      </c>
      <c r="AC143" s="3">
        <f t="shared" si="8"/>
        <v>0</v>
      </c>
      <c r="AD143" s="3">
        <f t="shared" si="9"/>
        <v>2.5</v>
      </c>
      <c r="AE143" s="3">
        <f t="shared" si="10"/>
        <v>-3</v>
      </c>
      <c r="AF143" s="3">
        <f t="shared" si="11"/>
        <v>-3</v>
      </c>
      <c r="AG143" s="3">
        <f t="shared" si="12"/>
        <v>-0.1282051282</v>
      </c>
    </row>
    <row r="144">
      <c r="A144" s="1" t="s">
        <v>17</v>
      </c>
      <c r="B144" s="1" t="s">
        <v>251</v>
      </c>
      <c r="C144" s="1" t="s">
        <v>21</v>
      </c>
      <c r="D144" s="1" t="s">
        <v>88</v>
      </c>
      <c r="E144" s="1" t="s">
        <v>197</v>
      </c>
      <c r="F144" s="1" t="s">
        <v>610</v>
      </c>
      <c r="G144" s="1">
        <v>0.5</v>
      </c>
      <c r="H144" s="1" t="s">
        <v>60</v>
      </c>
      <c r="I144" s="1">
        <v>-165.0</v>
      </c>
      <c r="J144" s="1">
        <v>-0.168079245283018</v>
      </c>
      <c r="K144" s="1" t="s">
        <v>61</v>
      </c>
      <c r="L144" s="1" t="s">
        <v>61</v>
      </c>
      <c r="M144" s="1" t="s">
        <v>62</v>
      </c>
      <c r="N144" s="1">
        <v>124.0</v>
      </c>
      <c r="O144" s="1">
        <v>0.0990160714285714</v>
      </c>
      <c r="P144" s="1" t="s">
        <v>61</v>
      </c>
      <c r="Q144" s="1" t="s">
        <v>61</v>
      </c>
      <c r="R144" s="1">
        <f t="shared" si="1"/>
        <v>0.09901607143</v>
      </c>
      <c r="S144" s="1">
        <f t="shared" si="2"/>
        <v>124</v>
      </c>
      <c r="T144" s="1">
        <f t="shared" si="3"/>
        <v>2.24</v>
      </c>
      <c r="U144" s="1">
        <f t="shared" si="4"/>
        <v>0</v>
      </c>
      <c r="V144" s="3">
        <f t="shared" si="5"/>
        <v>2</v>
      </c>
      <c r="W144" s="3">
        <f t="shared" si="6"/>
        <v>1</v>
      </c>
      <c r="X144" s="3" t="str">
        <f>IFERROR(__xludf.DUMMYFUNCTION("split(B144,"" "")"),"D.")</f>
        <v>D.</v>
      </c>
      <c r="Y144" s="3" t="str">
        <f>IFERROR(__xludf.DUMMYFUNCTION("""COMPUTED_VALUE"""),"Prescott")</f>
        <v>Prescott</v>
      </c>
      <c r="AA144" s="3">
        <v>2.0</v>
      </c>
      <c r="AB144" s="3">
        <f t="shared" si="7"/>
        <v>1</v>
      </c>
      <c r="AC144" s="3">
        <f t="shared" si="8"/>
        <v>0</v>
      </c>
      <c r="AD144" s="3">
        <f t="shared" si="9"/>
        <v>2.48</v>
      </c>
      <c r="AE144" s="3">
        <f t="shared" si="10"/>
        <v>-2</v>
      </c>
      <c r="AF144" s="3">
        <f t="shared" si="11"/>
        <v>-1</v>
      </c>
      <c r="AG144" s="3">
        <f t="shared" si="12"/>
        <v>-3</v>
      </c>
    </row>
    <row r="145">
      <c r="A145" s="1" t="s">
        <v>12</v>
      </c>
      <c r="B145" s="1" t="s">
        <v>571</v>
      </c>
      <c r="C145" s="1" t="s">
        <v>18</v>
      </c>
      <c r="D145" s="1" t="s">
        <v>88</v>
      </c>
      <c r="E145" s="1" t="s">
        <v>197</v>
      </c>
      <c r="F145" s="1" t="s">
        <v>610</v>
      </c>
      <c r="G145" s="1">
        <v>2.5</v>
      </c>
      <c r="H145" s="1" t="s">
        <v>60</v>
      </c>
      <c r="I145" s="1">
        <v>104.0</v>
      </c>
      <c r="J145" s="1">
        <v>-0.155743406764705</v>
      </c>
      <c r="K145" s="1" t="s">
        <v>61</v>
      </c>
      <c r="L145" s="1" t="s">
        <v>61</v>
      </c>
      <c r="M145" s="1" t="s">
        <v>62</v>
      </c>
      <c r="N145" s="1">
        <v>-137.0</v>
      </c>
      <c r="O145" s="1">
        <v>0.0874812046518987</v>
      </c>
      <c r="P145" s="1" t="s">
        <v>61</v>
      </c>
      <c r="Q145" s="1" t="s">
        <v>61</v>
      </c>
      <c r="R145" s="1">
        <f t="shared" si="1"/>
        <v>0.08748120465</v>
      </c>
      <c r="S145" s="1">
        <f t="shared" si="2"/>
        <v>-137</v>
      </c>
      <c r="T145" s="1">
        <f t="shared" si="3"/>
        <v>1.729927007</v>
      </c>
      <c r="U145" s="1">
        <f t="shared" si="4"/>
        <v>0</v>
      </c>
      <c r="V145" s="3">
        <f t="shared" si="5"/>
        <v>2</v>
      </c>
      <c r="W145" s="3">
        <f t="shared" si="6"/>
        <v>3</v>
      </c>
      <c r="X145" s="3" t="str">
        <f>IFERROR(__xludf.DUMMYFUNCTION("split(B145,"" "")"),"K.")</f>
        <v>K.</v>
      </c>
      <c r="Y145" s="3" t="str">
        <f>IFERROR(__xludf.DUMMYFUNCTION("""COMPUTED_VALUE"""),"Turpin")</f>
        <v>Turpin</v>
      </c>
      <c r="AA145" s="3">
        <v>4.0</v>
      </c>
      <c r="AB145" s="3">
        <f t="shared" si="7"/>
        <v>1</v>
      </c>
      <c r="AC145" s="3">
        <f t="shared" si="8"/>
        <v>0</v>
      </c>
      <c r="AD145" s="3">
        <f t="shared" si="9"/>
        <v>1.459854015</v>
      </c>
      <c r="AE145" s="3">
        <f t="shared" si="10"/>
        <v>-2</v>
      </c>
      <c r="AF145" s="3">
        <f t="shared" si="11"/>
        <v>-3</v>
      </c>
      <c r="AG145" s="3">
        <f t="shared" si="12"/>
        <v>-0.6</v>
      </c>
    </row>
    <row r="146">
      <c r="A146" s="1" t="s">
        <v>12</v>
      </c>
      <c r="B146" s="1" t="s">
        <v>572</v>
      </c>
      <c r="C146" s="1" t="s">
        <v>18</v>
      </c>
      <c r="D146" s="1" t="s">
        <v>88</v>
      </c>
      <c r="E146" s="1" t="s">
        <v>197</v>
      </c>
      <c r="F146" s="1" t="s">
        <v>610</v>
      </c>
      <c r="G146" s="1">
        <v>1.5</v>
      </c>
      <c r="H146" s="1" t="s">
        <v>60</v>
      </c>
      <c r="I146" s="1">
        <v>107.0</v>
      </c>
      <c r="J146" s="1">
        <v>-0.120333488668502</v>
      </c>
      <c r="K146" s="1" t="s">
        <v>61</v>
      </c>
      <c r="L146" s="1" t="s">
        <v>61</v>
      </c>
      <c r="M146" s="1" t="s">
        <v>62</v>
      </c>
      <c r="N146" s="1">
        <v>-140.0</v>
      </c>
      <c r="O146" s="1">
        <v>0.0539137266983335</v>
      </c>
      <c r="P146" s="1" t="s">
        <v>61</v>
      </c>
      <c r="Q146" s="1" t="s">
        <v>61</v>
      </c>
      <c r="R146" s="1">
        <f t="shared" si="1"/>
        <v>0.0539137267</v>
      </c>
      <c r="S146" s="1">
        <f t="shared" si="2"/>
        <v>-140</v>
      </c>
      <c r="T146" s="1">
        <f t="shared" si="3"/>
        <v>1.714285714</v>
      </c>
      <c r="U146" s="1">
        <f t="shared" si="4"/>
        <v>0</v>
      </c>
      <c r="V146" s="3">
        <f t="shared" si="5"/>
        <v>2</v>
      </c>
      <c r="W146" s="3">
        <f t="shared" si="6"/>
        <v>3</v>
      </c>
      <c r="X146" s="3" t="str">
        <f>IFERROR(__xludf.DUMMYFUNCTION("split(B146,"" "")"),"J.")</f>
        <v>J.</v>
      </c>
      <c r="Y146" s="3" t="str">
        <f>IFERROR(__xludf.DUMMYFUNCTION("""COMPUTED_VALUE"""),"Brooks")</f>
        <v>Brooks</v>
      </c>
      <c r="AA146" s="3">
        <v>1.0</v>
      </c>
      <c r="AB146" s="3">
        <f t="shared" si="7"/>
        <v>0</v>
      </c>
      <c r="AC146" s="3">
        <f t="shared" si="8"/>
        <v>1</v>
      </c>
      <c r="AD146" s="3">
        <f t="shared" si="9"/>
        <v>1.428571429</v>
      </c>
      <c r="AE146" s="3">
        <f t="shared" si="10"/>
        <v>1.428571429</v>
      </c>
      <c r="AF146" s="3">
        <f t="shared" si="11"/>
        <v>2.142857143</v>
      </c>
      <c r="AG146" s="3">
        <f t="shared" si="12"/>
        <v>0.3333333333</v>
      </c>
    </row>
    <row r="147">
      <c r="A147" s="1" t="s">
        <v>14</v>
      </c>
      <c r="B147" s="1" t="s">
        <v>251</v>
      </c>
      <c r="C147" s="1" t="s">
        <v>21</v>
      </c>
      <c r="D147" s="1" t="s">
        <v>88</v>
      </c>
      <c r="E147" s="1" t="s">
        <v>197</v>
      </c>
      <c r="F147" s="1" t="s">
        <v>610</v>
      </c>
      <c r="G147" s="1">
        <v>1.5</v>
      </c>
      <c r="H147" s="1" t="s">
        <v>60</v>
      </c>
      <c r="I147" s="1">
        <v>-154.0</v>
      </c>
      <c r="J147" s="1">
        <v>-0.103299212598425</v>
      </c>
      <c r="K147" s="1" t="s">
        <v>61</v>
      </c>
      <c r="L147" s="1" t="s">
        <v>61</v>
      </c>
      <c r="M147" s="1" t="s">
        <v>62</v>
      </c>
      <c r="N147" s="1">
        <v>120.0</v>
      </c>
      <c r="O147" s="1">
        <v>0.0424545454545454</v>
      </c>
      <c r="P147" s="1" t="s">
        <v>61</v>
      </c>
      <c r="Q147" s="1" t="s">
        <v>61</v>
      </c>
      <c r="R147" s="1">
        <f t="shared" si="1"/>
        <v>0.04245454545</v>
      </c>
      <c r="S147" s="1">
        <f t="shared" si="2"/>
        <v>120</v>
      </c>
      <c r="T147" s="1">
        <f t="shared" si="3"/>
        <v>2.2</v>
      </c>
      <c r="U147" s="1">
        <f t="shared" si="4"/>
        <v>0</v>
      </c>
      <c r="V147" s="3">
        <f t="shared" si="5"/>
        <v>1</v>
      </c>
      <c r="W147" s="3">
        <f t="shared" si="6"/>
        <v>1</v>
      </c>
      <c r="X147" s="3" t="str">
        <f>IFERROR(__xludf.DUMMYFUNCTION("split(B147,"" "")"),"D.")</f>
        <v>D.</v>
      </c>
      <c r="Y147" s="3" t="str">
        <f>IFERROR(__xludf.DUMMYFUNCTION("""COMPUTED_VALUE"""),"Prescott")</f>
        <v>Prescott</v>
      </c>
      <c r="AA147" s="3">
        <v>0.0</v>
      </c>
      <c r="AB147" s="3">
        <f t="shared" si="7"/>
        <v>0</v>
      </c>
      <c r="AC147" s="3">
        <f t="shared" si="8"/>
        <v>1</v>
      </c>
      <c r="AD147" s="3">
        <f t="shared" si="9"/>
        <v>1.2</v>
      </c>
      <c r="AE147" s="3">
        <f t="shared" si="10"/>
        <v>1.2</v>
      </c>
      <c r="AF147" s="3">
        <f t="shared" si="11"/>
        <v>1.2</v>
      </c>
      <c r="AG147" s="3">
        <f t="shared" si="12"/>
        <v>1</v>
      </c>
    </row>
    <row r="148">
      <c r="A148" s="1" t="s">
        <v>8</v>
      </c>
      <c r="B148" s="1" t="s">
        <v>251</v>
      </c>
      <c r="C148" s="1" t="s">
        <v>21</v>
      </c>
      <c r="D148" s="1" t="s">
        <v>88</v>
      </c>
      <c r="E148" s="1" t="s">
        <v>197</v>
      </c>
      <c r="F148" s="1" t="s">
        <v>610</v>
      </c>
      <c r="G148" s="1">
        <v>2.5</v>
      </c>
      <c r="H148" s="1" t="s">
        <v>60</v>
      </c>
      <c r="I148" s="1">
        <v>102.0</v>
      </c>
      <c r="J148" s="1">
        <v>-0.111142841180134</v>
      </c>
      <c r="K148" s="1" t="s">
        <v>61</v>
      </c>
      <c r="L148" s="1" t="s">
        <v>61</v>
      </c>
      <c r="M148" s="1" t="s">
        <v>62</v>
      </c>
      <c r="N148" s="1">
        <v>-135.0</v>
      </c>
      <c r="O148" s="1">
        <v>0.0416243337080631</v>
      </c>
      <c r="P148" s="1" t="s">
        <v>61</v>
      </c>
      <c r="Q148" s="1" t="s">
        <v>61</v>
      </c>
      <c r="R148" s="1">
        <f t="shared" si="1"/>
        <v>0.04162433371</v>
      </c>
      <c r="S148" s="1">
        <f t="shared" si="2"/>
        <v>-135</v>
      </c>
      <c r="T148" s="1">
        <f t="shared" si="3"/>
        <v>1.740740741</v>
      </c>
      <c r="U148" s="1">
        <f t="shared" si="4"/>
        <v>0</v>
      </c>
      <c r="V148" s="3">
        <f t="shared" si="5"/>
        <v>1</v>
      </c>
      <c r="W148" s="3">
        <f t="shared" si="6"/>
        <v>3</v>
      </c>
      <c r="X148" s="3" t="str">
        <f>IFERROR(__xludf.DUMMYFUNCTION("split(B148,"" "")"),"D.")</f>
        <v>D.</v>
      </c>
      <c r="Y148" s="3" t="str">
        <f>IFERROR(__xludf.DUMMYFUNCTION("""COMPUTED_VALUE"""),"Prescott")</f>
        <v>Prescott</v>
      </c>
      <c r="AA148" s="3">
        <v>1.0</v>
      </c>
      <c r="AB148" s="3">
        <f t="shared" si="7"/>
        <v>0</v>
      </c>
      <c r="AC148" s="3">
        <f t="shared" si="8"/>
        <v>1</v>
      </c>
      <c r="AD148" s="3">
        <f t="shared" si="9"/>
        <v>0.7407407407</v>
      </c>
      <c r="AE148" s="3">
        <f t="shared" si="10"/>
        <v>0.7407407407</v>
      </c>
      <c r="AF148" s="3">
        <f t="shared" si="11"/>
        <v>2.222222222</v>
      </c>
      <c r="AG148" s="3">
        <f t="shared" si="12"/>
        <v>0.6</v>
      </c>
    </row>
    <row r="149">
      <c r="A149" s="1" t="s">
        <v>12</v>
      </c>
      <c r="B149" s="1" t="s">
        <v>412</v>
      </c>
      <c r="C149" s="1" t="s">
        <v>20</v>
      </c>
      <c r="D149" s="1" t="s">
        <v>88</v>
      </c>
      <c r="E149" s="1" t="s">
        <v>197</v>
      </c>
      <c r="F149" s="1" t="s">
        <v>610</v>
      </c>
      <c r="G149" s="1">
        <v>5.5</v>
      </c>
      <c r="H149" s="1" t="s">
        <v>60</v>
      </c>
      <c r="I149" s="1">
        <v>117.0</v>
      </c>
      <c r="J149" s="1">
        <v>0.0358165898617511</v>
      </c>
      <c r="K149" s="1" t="s">
        <v>61</v>
      </c>
      <c r="L149" s="1" t="s">
        <v>61</v>
      </c>
      <c r="M149" s="1" t="s">
        <v>62</v>
      </c>
      <c r="N149" s="1">
        <v>-154.0</v>
      </c>
      <c r="O149" s="1">
        <v>-0.102938582677165</v>
      </c>
      <c r="P149" s="1" t="s">
        <v>61</v>
      </c>
      <c r="Q149" s="1" t="s">
        <v>61</v>
      </c>
      <c r="R149" s="1">
        <f t="shared" si="1"/>
        <v>0.03581658986</v>
      </c>
      <c r="S149" s="1">
        <f t="shared" si="2"/>
        <v>117</v>
      </c>
      <c r="T149" s="1">
        <f t="shared" si="3"/>
        <v>2.17</v>
      </c>
      <c r="U149" s="1">
        <f t="shared" si="4"/>
        <v>1</v>
      </c>
      <c r="V149" s="3">
        <f t="shared" si="5"/>
        <v>1</v>
      </c>
      <c r="W149" s="3">
        <f t="shared" si="6"/>
        <v>1</v>
      </c>
      <c r="X149" s="3" t="str">
        <f>IFERROR(__xludf.DUMMYFUNCTION("split(B149,"" "")"),"J.")</f>
        <v>J.</v>
      </c>
      <c r="Y149" s="3" t="str">
        <f>IFERROR(__xludf.DUMMYFUNCTION("""COMPUTED_VALUE"""),"Ferguson")</f>
        <v>Ferguson</v>
      </c>
      <c r="AA149" s="3">
        <v>3.0</v>
      </c>
      <c r="AB149" s="3">
        <f t="shared" si="7"/>
        <v>0</v>
      </c>
      <c r="AC149" s="3">
        <f t="shared" si="8"/>
        <v>0</v>
      </c>
      <c r="AD149" s="3">
        <f t="shared" si="9"/>
        <v>1.17</v>
      </c>
      <c r="AE149" s="3">
        <f t="shared" si="10"/>
        <v>-1</v>
      </c>
      <c r="AF149" s="3">
        <f t="shared" si="11"/>
        <v>-1</v>
      </c>
      <c r="AG149" s="3">
        <f t="shared" si="12"/>
        <v>-0.4545454545</v>
      </c>
    </row>
    <row r="150">
      <c r="A150" s="1" t="s">
        <v>9</v>
      </c>
      <c r="B150" s="1" t="s">
        <v>571</v>
      </c>
      <c r="C150" s="1" t="s">
        <v>18</v>
      </c>
      <c r="D150" s="1" t="s">
        <v>88</v>
      </c>
      <c r="E150" s="1" t="s">
        <v>197</v>
      </c>
      <c r="F150" s="1" t="s">
        <v>610</v>
      </c>
      <c r="G150" s="1">
        <v>30.5</v>
      </c>
      <c r="H150" s="1" t="s">
        <v>60</v>
      </c>
      <c r="I150" s="1">
        <v>-108.0</v>
      </c>
      <c r="J150" s="1">
        <v>0.0325247315369593</v>
      </c>
      <c r="K150" s="1" t="s">
        <v>61</v>
      </c>
      <c r="L150" s="1" t="s">
        <v>61</v>
      </c>
      <c r="M150" s="1" t="s">
        <v>62</v>
      </c>
      <c r="N150" s="1">
        <v>-125.0</v>
      </c>
      <c r="O150" s="1">
        <v>-0.107304134220486</v>
      </c>
      <c r="P150" s="1" t="s">
        <v>61</v>
      </c>
      <c r="Q150" s="1" t="s">
        <v>61</v>
      </c>
      <c r="R150" s="1">
        <f t="shared" si="1"/>
        <v>0.03252473154</v>
      </c>
      <c r="S150" s="1">
        <f t="shared" si="2"/>
        <v>-108</v>
      </c>
      <c r="T150" s="1">
        <f t="shared" si="3"/>
        <v>1.925925926</v>
      </c>
      <c r="U150" s="1">
        <f t="shared" si="4"/>
        <v>1</v>
      </c>
      <c r="V150" s="3">
        <f t="shared" si="5"/>
        <v>1</v>
      </c>
      <c r="W150" s="3">
        <f t="shared" si="6"/>
        <v>2</v>
      </c>
      <c r="X150" s="3" t="str">
        <f>IFERROR(__xludf.DUMMYFUNCTION("split(B150,"" "")"),"K.")</f>
        <v>K.</v>
      </c>
      <c r="Y150" s="3" t="str">
        <f>IFERROR(__xludf.DUMMYFUNCTION("""COMPUTED_VALUE"""),"Turpin")</f>
        <v>Turpin</v>
      </c>
      <c r="AA150" s="3">
        <v>30.0</v>
      </c>
      <c r="AB150" s="3">
        <f t="shared" si="7"/>
        <v>0</v>
      </c>
      <c r="AC150" s="3">
        <f t="shared" si="8"/>
        <v>0</v>
      </c>
      <c r="AD150" s="3">
        <f t="shared" si="9"/>
        <v>0.9259259259</v>
      </c>
      <c r="AE150" s="3">
        <f t="shared" si="10"/>
        <v>-1</v>
      </c>
      <c r="AF150" s="3">
        <f t="shared" si="11"/>
        <v>-2</v>
      </c>
      <c r="AG150" s="3">
        <f t="shared" si="12"/>
        <v>-0.01639344262</v>
      </c>
    </row>
    <row r="151">
      <c r="A151" s="1" t="s">
        <v>10</v>
      </c>
      <c r="B151" s="1" t="s">
        <v>375</v>
      </c>
      <c r="C151" s="1" t="s">
        <v>19</v>
      </c>
      <c r="D151" s="1" t="s">
        <v>88</v>
      </c>
      <c r="E151" s="1" t="s">
        <v>197</v>
      </c>
      <c r="F151" s="1" t="s">
        <v>610</v>
      </c>
      <c r="G151" s="1">
        <v>13.5</v>
      </c>
      <c r="H151" s="1" t="s">
        <v>60</v>
      </c>
      <c r="I151" s="1">
        <v>-122.0</v>
      </c>
      <c r="J151" s="1">
        <v>-0.0930964774220584</v>
      </c>
      <c r="K151" s="1" t="s">
        <v>61</v>
      </c>
      <c r="L151" s="1" t="s">
        <v>61</v>
      </c>
      <c r="M151" s="1" t="s">
        <v>62</v>
      </c>
      <c r="N151" s="1">
        <v>-107.0</v>
      </c>
      <c r="O151" s="1">
        <v>0.0266308852504141</v>
      </c>
      <c r="P151" s="1" t="s">
        <v>61</v>
      </c>
      <c r="Q151" s="1" t="s">
        <v>61</v>
      </c>
      <c r="R151" s="1">
        <f t="shared" si="1"/>
        <v>0.02663088525</v>
      </c>
      <c r="S151" s="1">
        <f t="shared" si="2"/>
        <v>-107</v>
      </c>
      <c r="T151" s="1">
        <f t="shared" si="3"/>
        <v>1.934579439</v>
      </c>
      <c r="U151" s="1">
        <f t="shared" si="4"/>
        <v>0</v>
      </c>
      <c r="V151" s="3">
        <f t="shared" si="5"/>
        <v>1</v>
      </c>
      <c r="W151" s="3">
        <f t="shared" si="6"/>
        <v>2</v>
      </c>
      <c r="X151" s="3" t="str">
        <f>IFERROR(__xludf.DUMMYFUNCTION("split(B151,"" "")"),"E.")</f>
        <v>E.</v>
      </c>
      <c r="Y151" s="3" t="str">
        <f>IFERROR(__xludf.DUMMYFUNCTION("""COMPUTED_VALUE"""),"Elliott")</f>
        <v>Elliott</v>
      </c>
      <c r="AA151" s="3">
        <v>17.0</v>
      </c>
      <c r="AB151" s="3">
        <f t="shared" si="7"/>
        <v>1</v>
      </c>
      <c r="AC151" s="3">
        <f t="shared" si="8"/>
        <v>0</v>
      </c>
      <c r="AD151" s="3">
        <f t="shared" si="9"/>
        <v>0.9345794393</v>
      </c>
      <c r="AE151" s="3">
        <f t="shared" si="10"/>
        <v>-1</v>
      </c>
      <c r="AF151" s="3">
        <f t="shared" si="11"/>
        <v>-2</v>
      </c>
      <c r="AG151" s="3">
        <f t="shared" si="12"/>
        <v>-0.2592592593</v>
      </c>
    </row>
    <row r="152">
      <c r="A152" s="1" t="s">
        <v>11</v>
      </c>
      <c r="B152" s="1" t="s">
        <v>412</v>
      </c>
      <c r="C152" s="1" t="s">
        <v>20</v>
      </c>
      <c r="D152" s="1" t="s">
        <v>88</v>
      </c>
      <c r="E152" s="1" t="s">
        <v>197</v>
      </c>
      <c r="F152" s="1" t="s">
        <v>610</v>
      </c>
      <c r="G152" s="1">
        <v>49.5</v>
      </c>
      <c r="H152" s="1" t="s">
        <v>60</v>
      </c>
      <c r="I152" s="1">
        <v>-115.0</v>
      </c>
      <c r="J152" s="1">
        <v>-0.0889383100079769</v>
      </c>
      <c r="K152" s="1" t="s">
        <v>61</v>
      </c>
      <c r="L152" s="1" t="s">
        <v>61</v>
      </c>
      <c r="M152" s="1" t="s">
        <v>62</v>
      </c>
      <c r="N152" s="1">
        <v>-113.0</v>
      </c>
      <c r="O152" s="1">
        <v>0.0235312850194461</v>
      </c>
      <c r="P152" s="1" t="s">
        <v>61</v>
      </c>
      <c r="Q152" s="1" t="s">
        <v>61</v>
      </c>
      <c r="R152" s="1">
        <f t="shared" si="1"/>
        <v>0.02353128502</v>
      </c>
      <c r="S152" s="1">
        <f t="shared" si="2"/>
        <v>-113</v>
      </c>
      <c r="T152" s="1">
        <f t="shared" si="3"/>
        <v>1.884955752</v>
      </c>
      <c r="U152" s="1">
        <f t="shared" si="4"/>
        <v>0</v>
      </c>
      <c r="V152" s="3">
        <f t="shared" si="5"/>
        <v>1</v>
      </c>
      <c r="W152" s="3">
        <f t="shared" si="6"/>
        <v>2</v>
      </c>
      <c r="X152" s="3" t="str">
        <f>IFERROR(__xludf.DUMMYFUNCTION("split(B152,"" "")"),"J.")</f>
        <v>J.</v>
      </c>
      <c r="Y152" s="3" t="str">
        <f>IFERROR(__xludf.DUMMYFUNCTION("""COMPUTED_VALUE"""),"Ferguson")</f>
        <v>Ferguson</v>
      </c>
      <c r="AA152" s="3">
        <v>11.0</v>
      </c>
      <c r="AB152" s="3">
        <f t="shared" si="7"/>
        <v>0</v>
      </c>
      <c r="AC152" s="3">
        <f t="shared" si="8"/>
        <v>1</v>
      </c>
      <c r="AD152" s="3">
        <f t="shared" si="9"/>
        <v>0.8849557522</v>
      </c>
      <c r="AE152" s="3">
        <f t="shared" si="10"/>
        <v>0.8849557522</v>
      </c>
      <c r="AF152" s="3">
        <f t="shared" si="11"/>
        <v>1.769911504</v>
      </c>
      <c r="AG152" s="3">
        <f t="shared" si="12"/>
        <v>0.7777777778</v>
      </c>
    </row>
    <row r="153">
      <c r="A153" s="1" t="s">
        <v>15</v>
      </c>
      <c r="B153" s="1" t="s">
        <v>251</v>
      </c>
      <c r="C153" s="1" t="s">
        <v>21</v>
      </c>
      <c r="D153" s="1" t="s">
        <v>88</v>
      </c>
      <c r="E153" s="1" t="s">
        <v>197</v>
      </c>
      <c r="F153" s="1" t="s">
        <v>610</v>
      </c>
      <c r="G153" s="1">
        <v>25.5</v>
      </c>
      <c r="H153" s="1" t="s">
        <v>60</v>
      </c>
      <c r="I153" s="1">
        <v>-118.0</v>
      </c>
      <c r="J153" s="1">
        <v>0.0232614678899082</v>
      </c>
      <c r="K153" s="1" t="s">
        <v>61</v>
      </c>
      <c r="L153" s="1" t="s">
        <v>61</v>
      </c>
      <c r="M153" s="1" t="s">
        <v>62</v>
      </c>
      <c r="N153" s="1">
        <v>-111.0</v>
      </c>
      <c r="O153" s="1">
        <v>-0.0906189573459716</v>
      </c>
      <c r="P153" s="1" t="s">
        <v>61</v>
      </c>
      <c r="Q153" s="1" t="s">
        <v>61</v>
      </c>
      <c r="R153" s="1">
        <f t="shared" si="1"/>
        <v>0.02326146789</v>
      </c>
      <c r="S153" s="1">
        <f t="shared" si="2"/>
        <v>-118</v>
      </c>
      <c r="T153" s="1">
        <f t="shared" si="3"/>
        <v>1.847457627</v>
      </c>
      <c r="U153" s="1">
        <f t="shared" si="4"/>
        <v>1</v>
      </c>
      <c r="V153" s="3">
        <f t="shared" si="5"/>
        <v>1</v>
      </c>
      <c r="W153" s="3">
        <f t="shared" si="6"/>
        <v>3</v>
      </c>
      <c r="X153" s="3" t="str">
        <f>IFERROR(__xludf.DUMMYFUNCTION("split(B153,"" "")"),"D.")</f>
        <v>D.</v>
      </c>
      <c r="Y153" s="3" t="str">
        <f>IFERROR(__xludf.DUMMYFUNCTION("""COMPUTED_VALUE"""),"Prescott")</f>
        <v>Prescott</v>
      </c>
      <c r="AA153" s="3">
        <v>17.0</v>
      </c>
      <c r="AB153" s="3">
        <f t="shared" si="7"/>
        <v>0</v>
      </c>
      <c r="AC153" s="3">
        <f t="shared" si="8"/>
        <v>0</v>
      </c>
      <c r="AD153" s="3">
        <f t="shared" si="9"/>
        <v>0.8474576271</v>
      </c>
      <c r="AE153" s="3">
        <f t="shared" si="10"/>
        <v>-1</v>
      </c>
      <c r="AF153" s="3">
        <f t="shared" si="11"/>
        <v>-3</v>
      </c>
      <c r="AG153" s="3">
        <f t="shared" si="12"/>
        <v>-0.3333333333</v>
      </c>
    </row>
    <row r="154">
      <c r="A154" s="1" t="s">
        <v>10</v>
      </c>
      <c r="B154" s="1" t="s">
        <v>251</v>
      </c>
      <c r="C154" s="1" t="s">
        <v>21</v>
      </c>
      <c r="D154" s="1" t="s">
        <v>88</v>
      </c>
      <c r="E154" s="1" t="s">
        <v>197</v>
      </c>
      <c r="F154" s="1" t="s">
        <v>610</v>
      </c>
      <c r="G154" s="1">
        <v>7.5</v>
      </c>
      <c r="H154" s="1" t="s">
        <v>60</v>
      </c>
      <c r="I154" s="1">
        <v>-117.0</v>
      </c>
      <c r="J154" s="1">
        <v>0.0204342746868182</v>
      </c>
      <c r="K154" s="1" t="s">
        <v>61</v>
      </c>
      <c r="L154" s="1" t="s">
        <v>61</v>
      </c>
      <c r="M154" s="1" t="s">
        <v>62</v>
      </c>
      <c r="N154" s="1">
        <v>-110.0</v>
      </c>
      <c r="O154" s="1">
        <v>-0.0834286255606833</v>
      </c>
      <c r="P154" s="1" t="s">
        <v>61</v>
      </c>
      <c r="Q154" s="1" t="s">
        <v>61</v>
      </c>
      <c r="R154" s="1">
        <f t="shared" si="1"/>
        <v>0.02043427469</v>
      </c>
      <c r="S154" s="1">
        <f t="shared" si="2"/>
        <v>-117</v>
      </c>
      <c r="T154" s="1">
        <f t="shared" si="3"/>
        <v>1.854700855</v>
      </c>
      <c r="U154" s="1">
        <f t="shared" si="4"/>
        <v>1</v>
      </c>
      <c r="V154" s="3">
        <f t="shared" si="5"/>
        <v>1</v>
      </c>
      <c r="W154" s="3">
        <f t="shared" si="6"/>
        <v>2</v>
      </c>
      <c r="X154" s="3" t="str">
        <f>IFERROR(__xludf.DUMMYFUNCTION("split(B154,"" "")"),"D.")</f>
        <v>D.</v>
      </c>
      <c r="Y154" s="3" t="str">
        <f>IFERROR(__xludf.DUMMYFUNCTION("""COMPUTED_VALUE"""),"Prescott")</f>
        <v>Prescott</v>
      </c>
      <c r="AA154" s="3">
        <v>1.0</v>
      </c>
      <c r="AB154" s="3">
        <f t="shared" si="7"/>
        <v>0</v>
      </c>
      <c r="AC154" s="3">
        <f t="shared" si="8"/>
        <v>0</v>
      </c>
      <c r="AD154" s="3">
        <f t="shared" si="9"/>
        <v>0.8547008547</v>
      </c>
      <c r="AE154" s="3">
        <f t="shared" si="10"/>
        <v>-1</v>
      </c>
      <c r="AF154" s="3">
        <f t="shared" si="11"/>
        <v>-2</v>
      </c>
      <c r="AG154" s="3">
        <f t="shared" si="12"/>
        <v>-0.8666666667</v>
      </c>
    </row>
    <row r="155">
      <c r="A155" s="1" t="s">
        <v>9</v>
      </c>
      <c r="B155" s="1" t="s">
        <v>152</v>
      </c>
      <c r="C155" s="1" t="s">
        <v>19</v>
      </c>
      <c r="D155" s="1" t="s">
        <v>88</v>
      </c>
      <c r="E155" s="1" t="s">
        <v>197</v>
      </c>
      <c r="F155" s="1" t="s">
        <v>610</v>
      </c>
      <c r="G155" s="1">
        <v>62.5</v>
      </c>
      <c r="H155" s="1" t="s">
        <v>60</v>
      </c>
      <c r="I155" s="1">
        <v>-119.0</v>
      </c>
      <c r="J155" s="1">
        <v>-0.0951716265419584</v>
      </c>
      <c r="K155" s="1" t="s">
        <v>61</v>
      </c>
      <c r="L155" s="1" t="s">
        <v>61</v>
      </c>
      <c r="M155" s="1" t="s">
        <v>62</v>
      </c>
      <c r="N155" s="1">
        <v>-114.0</v>
      </c>
      <c r="O155" s="1">
        <v>0.0190644592638571</v>
      </c>
      <c r="P155" s="1" t="s">
        <v>61</v>
      </c>
      <c r="Q155" s="1" t="s">
        <v>61</v>
      </c>
      <c r="R155" s="1">
        <f t="shared" si="1"/>
        <v>0.01906445926</v>
      </c>
      <c r="S155" s="1">
        <f t="shared" si="2"/>
        <v>-114</v>
      </c>
      <c r="T155" s="1">
        <f t="shared" si="3"/>
        <v>1.877192982</v>
      </c>
      <c r="U155" s="1">
        <f t="shared" si="4"/>
        <v>0</v>
      </c>
      <c r="V155" s="3">
        <f t="shared" si="5"/>
        <v>1</v>
      </c>
      <c r="W155" s="3">
        <f t="shared" si="6"/>
        <v>2</v>
      </c>
      <c r="X155" s="3" t="str">
        <f>IFERROR(__xludf.DUMMYFUNCTION("split(B155,"" "")"),"R.")</f>
        <v>R.</v>
      </c>
      <c r="Y155" s="3" t="str">
        <f>IFERROR(__xludf.DUMMYFUNCTION("""COMPUTED_VALUE"""),"Dowdle")</f>
        <v>Dowdle</v>
      </c>
      <c r="AA155" s="3">
        <v>55.0</v>
      </c>
      <c r="AB155" s="3">
        <f t="shared" si="7"/>
        <v>0</v>
      </c>
      <c r="AC155" s="3">
        <f t="shared" si="8"/>
        <v>1</v>
      </c>
      <c r="AD155" s="3">
        <f t="shared" si="9"/>
        <v>0.8771929825</v>
      </c>
      <c r="AE155" s="3">
        <f t="shared" si="10"/>
        <v>0.8771929825</v>
      </c>
      <c r="AF155" s="3">
        <f t="shared" si="11"/>
        <v>1.754385965</v>
      </c>
      <c r="AG155" s="3">
        <f t="shared" si="12"/>
        <v>0.12</v>
      </c>
    </row>
    <row r="156">
      <c r="A156" s="1" t="s">
        <v>11</v>
      </c>
      <c r="B156" s="1" t="s">
        <v>87</v>
      </c>
      <c r="C156" s="1" t="s">
        <v>18</v>
      </c>
      <c r="D156" s="1" t="s">
        <v>88</v>
      </c>
      <c r="E156" s="1" t="s">
        <v>197</v>
      </c>
      <c r="F156" s="1" t="s">
        <v>610</v>
      </c>
      <c r="G156" s="1">
        <v>44.5</v>
      </c>
      <c r="H156" s="1" t="s">
        <v>60</v>
      </c>
      <c r="I156" s="1">
        <v>-121.0</v>
      </c>
      <c r="J156" s="1">
        <v>-0.0826139138671042</v>
      </c>
      <c r="K156" s="1" t="s">
        <v>61</v>
      </c>
      <c r="L156" s="1" t="s">
        <v>61</v>
      </c>
      <c r="M156" s="1" t="s">
        <v>62</v>
      </c>
      <c r="N156" s="1">
        <v>-108.0</v>
      </c>
      <c r="O156" s="1">
        <v>0.015871390851327</v>
      </c>
      <c r="P156" s="1" t="s">
        <v>61</v>
      </c>
      <c r="Q156" s="1" t="s">
        <v>61</v>
      </c>
      <c r="R156" s="1">
        <f t="shared" si="1"/>
        <v>0.01587139085</v>
      </c>
      <c r="S156" s="1">
        <f t="shared" si="2"/>
        <v>-108</v>
      </c>
      <c r="T156" s="1">
        <f t="shared" si="3"/>
        <v>1.925925926</v>
      </c>
      <c r="U156" s="1">
        <f t="shared" si="4"/>
        <v>0</v>
      </c>
      <c r="V156" s="3">
        <f t="shared" si="5"/>
        <v>1</v>
      </c>
      <c r="W156" s="3">
        <f t="shared" si="6"/>
        <v>2</v>
      </c>
      <c r="X156" s="3" t="str">
        <f>IFERROR(__xludf.DUMMYFUNCTION("split(B156,"" "")"),"J.")</f>
        <v>J.</v>
      </c>
      <c r="Y156" s="3" t="str">
        <f>IFERROR(__xludf.DUMMYFUNCTION("""COMPUTED_VALUE"""),"Tolbert")</f>
        <v>Tolbert</v>
      </c>
      <c r="AA156" s="3">
        <v>43.0</v>
      </c>
      <c r="AB156" s="3">
        <f t="shared" si="7"/>
        <v>0</v>
      </c>
      <c r="AC156" s="3">
        <f t="shared" si="8"/>
        <v>1</v>
      </c>
      <c r="AD156" s="3">
        <f t="shared" si="9"/>
        <v>0.9259259259</v>
      </c>
      <c r="AE156" s="3">
        <f t="shared" si="10"/>
        <v>0.9259259259</v>
      </c>
      <c r="AF156" s="3">
        <f t="shared" si="11"/>
        <v>1.851851852</v>
      </c>
      <c r="AG156" s="3">
        <f t="shared" si="12"/>
        <v>0.03370786517</v>
      </c>
    </row>
    <row r="157">
      <c r="A157" s="1" t="s">
        <v>10</v>
      </c>
      <c r="B157" s="1" t="s">
        <v>152</v>
      </c>
      <c r="C157" s="1" t="s">
        <v>19</v>
      </c>
      <c r="D157" s="1" t="s">
        <v>88</v>
      </c>
      <c r="E157" s="1" t="s">
        <v>197</v>
      </c>
      <c r="F157" s="1" t="s">
        <v>610</v>
      </c>
      <c r="G157" s="1">
        <v>43.5</v>
      </c>
      <c r="H157" s="1" t="s">
        <v>60</v>
      </c>
      <c r="I157" s="1">
        <v>-111.0</v>
      </c>
      <c r="J157" s="1">
        <v>-0.081702632858829</v>
      </c>
      <c r="K157" s="1" t="s">
        <v>61</v>
      </c>
      <c r="L157" s="1" t="s">
        <v>61</v>
      </c>
      <c r="M157" s="1" t="s">
        <v>62</v>
      </c>
      <c r="N157" s="1">
        <v>-118.0</v>
      </c>
      <c r="O157" s="1">
        <v>0.0143567854470058</v>
      </c>
      <c r="P157" s="1" t="s">
        <v>61</v>
      </c>
      <c r="Q157" s="1" t="s">
        <v>61</v>
      </c>
      <c r="R157" s="1">
        <f t="shared" si="1"/>
        <v>0.01435678545</v>
      </c>
      <c r="S157" s="1">
        <f t="shared" si="2"/>
        <v>-118</v>
      </c>
      <c r="T157" s="1">
        <f t="shared" si="3"/>
        <v>1.847457627</v>
      </c>
      <c r="U157" s="1">
        <f t="shared" si="4"/>
        <v>0</v>
      </c>
      <c r="V157" s="3">
        <f t="shared" si="5"/>
        <v>1</v>
      </c>
      <c r="W157" s="3">
        <f t="shared" si="6"/>
        <v>3</v>
      </c>
      <c r="X157" s="3" t="str">
        <f>IFERROR(__xludf.DUMMYFUNCTION("split(B157,"" "")"),"R.")</f>
        <v>R.</v>
      </c>
      <c r="Y157" s="3" t="str">
        <f>IFERROR(__xludf.DUMMYFUNCTION("""COMPUTED_VALUE"""),"Dowdle")</f>
        <v>Dowdle</v>
      </c>
      <c r="AA157" s="3">
        <v>25.0</v>
      </c>
      <c r="AB157" s="3">
        <f t="shared" si="7"/>
        <v>0</v>
      </c>
      <c r="AC157" s="3">
        <f t="shared" si="8"/>
        <v>1</v>
      </c>
      <c r="AD157" s="3">
        <f t="shared" si="9"/>
        <v>0.8474576271</v>
      </c>
      <c r="AE157" s="3">
        <f t="shared" si="10"/>
        <v>0.8474576271</v>
      </c>
      <c r="AF157" s="3">
        <f t="shared" si="11"/>
        <v>2.542372881</v>
      </c>
      <c r="AG157" s="3">
        <f t="shared" si="12"/>
        <v>0.4252873563</v>
      </c>
    </row>
    <row r="158">
      <c r="A158" s="1" t="s">
        <v>11</v>
      </c>
      <c r="B158" s="1" t="s">
        <v>571</v>
      </c>
      <c r="C158" s="1" t="s">
        <v>18</v>
      </c>
      <c r="D158" s="1" t="s">
        <v>88</v>
      </c>
      <c r="E158" s="1" t="s">
        <v>197</v>
      </c>
      <c r="F158" s="1" t="s">
        <v>610</v>
      </c>
      <c r="G158" s="1">
        <v>25.5</v>
      </c>
      <c r="H158" s="1" t="s">
        <v>60</v>
      </c>
      <c r="I158" s="1">
        <v>-111.0</v>
      </c>
      <c r="J158" s="1">
        <v>-0.0753314504230378</v>
      </c>
      <c r="K158" s="1" t="s">
        <v>61</v>
      </c>
      <c r="L158" s="1" t="s">
        <v>61</v>
      </c>
      <c r="M158" s="1" t="s">
        <v>62</v>
      </c>
      <c r="N158" s="1">
        <v>-116.0</v>
      </c>
      <c r="O158" s="1">
        <v>0.0122500453960312</v>
      </c>
      <c r="P158" s="1" t="s">
        <v>61</v>
      </c>
      <c r="Q158" s="1" t="s">
        <v>61</v>
      </c>
      <c r="R158" s="1">
        <f t="shared" si="1"/>
        <v>0.0122500454</v>
      </c>
      <c r="S158" s="1">
        <f t="shared" si="2"/>
        <v>-116</v>
      </c>
      <c r="T158" s="1">
        <f t="shared" si="3"/>
        <v>1.862068966</v>
      </c>
      <c r="U158" s="1">
        <f t="shared" si="4"/>
        <v>0</v>
      </c>
      <c r="V158" s="3">
        <f t="shared" si="5"/>
        <v>1</v>
      </c>
      <c r="W158" s="3">
        <f t="shared" si="6"/>
        <v>2</v>
      </c>
      <c r="X158" s="3" t="str">
        <f>IFERROR(__xludf.DUMMYFUNCTION("split(B158,"" "")"),"K.")</f>
        <v>K.</v>
      </c>
      <c r="Y158" s="3" t="str">
        <f>IFERROR(__xludf.DUMMYFUNCTION("""COMPUTED_VALUE"""),"Turpin")</f>
        <v>Turpin</v>
      </c>
      <c r="AA158" s="3">
        <v>24.0</v>
      </c>
      <c r="AB158" s="3">
        <f t="shared" si="7"/>
        <v>0</v>
      </c>
      <c r="AC158" s="3">
        <f t="shared" si="8"/>
        <v>1</v>
      </c>
      <c r="AD158" s="3">
        <f t="shared" si="9"/>
        <v>0.8620689655</v>
      </c>
      <c r="AE158" s="3">
        <f t="shared" si="10"/>
        <v>0.8620689655</v>
      </c>
      <c r="AF158" s="3">
        <f t="shared" si="11"/>
        <v>1.724137931</v>
      </c>
      <c r="AG158" s="3">
        <f t="shared" si="12"/>
        <v>0.05882352941</v>
      </c>
    </row>
    <row r="159">
      <c r="A159" s="1" t="s">
        <v>9</v>
      </c>
      <c r="B159" s="1" t="s">
        <v>395</v>
      </c>
      <c r="C159" s="1" t="s">
        <v>18</v>
      </c>
      <c r="D159" s="1" t="s">
        <v>88</v>
      </c>
      <c r="E159" s="1" t="s">
        <v>197</v>
      </c>
      <c r="F159" s="1" t="s">
        <v>610</v>
      </c>
      <c r="G159" s="1">
        <v>91.5</v>
      </c>
      <c r="H159" s="1" t="s">
        <v>60</v>
      </c>
      <c r="I159" s="1">
        <v>-115.0</v>
      </c>
      <c r="J159" s="1">
        <v>-0.0748491437734626</v>
      </c>
      <c r="K159" s="1" t="s">
        <v>61</v>
      </c>
      <c r="L159" s="1" t="s">
        <v>61</v>
      </c>
      <c r="M159" s="1" t="s">
        <v>62</v>
      </c>
      <c r="N159" s="1">
        <v>-115.0</v>
      </c>
      <c r="O159" s="1">
        <v>0.00513591232448185</v>
      </c>
      <c r="P159" s="1" t="s">
        <v>61</v>
      </c>
      <c r="Q159" s="1" t="s">
        <v>61</v>
      </c>
      <c r="R159" s="1">
        <f t="shared" si="1"/>
        <v>0.005135912324</v>
      </c>
      <c r="S159" s="1">
        <f t="shared" si="2"/>
        <v>-115</v>
      </c>
      <c r="T159" s="1">
        <f t="shared" si="3"/>
        <v>1.869565217</v>
      </c>
      <c r="U159" s="1">
        <f t="shared" si="4"/>
        <v>0</v>
      </c>
      <c r="V159" s="3">
        <f t="shared" si="5"/>
        <v>1</v>
      </c>
      <c r="W159" s="3">
        <f t="shared" si="6"/>
        <v>2</v>
      </c>
      <c r="X159" s="3" t="str">
        <f>IFERROR(__xludf.DUMMYFUNCTION("split(B159,"" "")"),"C.")</f>
        <v>C.</v>
      </c>
      <c r="Y159" s="3" t="str">
        <f>IFERROR(__xludf.DUMMYFUNCTION("""COMPUTED_VALUE"""),"Lamb")</f>
        <v>Lamb</v>
      </c>
      <c r="AA159" s="3">
        <v>91.0</v>
      </c>
      <c r="AB159" s="3">
        <f t="shared" si="7"/>
        <v>0</v>
      </c>
      <c r="AC159" s="3">
        <f t="shared" si="8"/>
        <v>1</v>
      </c>
      <c r="AD159" s="3">
        <f t="shared" si="9"/>
        <v>0.8695652174</v>
      </c>
      <c r="AE159" s="3">
        <f t="shared" si="10"/>
        <v>0.8695652174</v>
      </c>
      <c r="AF159" s="3">
        <f t="shared" si="11"/>
        <v>1.739130435</v>
      </c>
      <c r="AG159" s="3">
        <f t="shared" si="12"/>
        <v>0.005464480874</v>
      </c>
    </row>
    <row r="160">
      <c r="A160" s="1" t="s">
        <v>9</v>
      </c>
      <c r="B160" s="1" t="s">
        <v>87</v>
      </c>
      <c r="C160" s="1" t="s">
        <v>18</v>
      </c>
      <c r="D160" s="1" t="s">
        <v>88</v>
      </c>
      <c r="E160" s="1" t="s">
        <v>197</v>
      </c>
      <c r="F160" s="1" t="s">
        <v>610</v>
      </c>
      <c r="G160" s="1">
        <v>45.5</v>
      </c>
      <c r="H160" s="1" t="s">
        <v>60</v>
      </c>
      <c r="I160" s="1">
        <v>-110.0</v>
      </c>
      <c r="J160" s="1">
        <v>0.00391005183116643</v>
      </c>
      <c r="K160" s="1" t="s">
        <v>61</v>
      </c>
      <c r="L160" s="1" t="s">
        <v>61</v>
      </c>
      <c r="M160" s="1" t="s">
        <v>62</v>
      </c>
      <c r="N160" s="1">
        <v>-120.0</v>
      </c>
      <c r="O160" s="1">
        <v>-0.0731769684611541</v>
      </c>
      <c r="P160" s="1" t="s">
        <v>61</v>
      </c>
      <c r="Q160" s="1" t="s">
        <v>61</v>
      </c>
      <c r="R160" s="1">
        <f t="shared" si="1"/>
        <v>0.003910051831</v>
      </c>
      <c r="S160" s="1">
        <f t="shared" si="2"/>
        <v>-110</v>
      </c>
      <c r="T160" s="1">
        <f t="shared" si="3"/>
        <v>1.909090909</v>
      </c>
      <c r="U160" s="1">
        <f t="shared" si="4"/>
        <v>1</v>
      </c>
      <c r="V160" s="3">
        <f t="shared" si="5"/>
        <v>1</v>
      </c>
      <c r="W160" s="3">
        <f t="shared" si="6"/>
        <v>2</v>
      </c>
      <c r="X160" s="3" t="str">
        <f>IFERROR(__xludf.DUMMYFUNCTION("split(B160,"" "")"),"J.")</f>
        <v>J.</v>
      </c>
      <c r="Y160" s="3" t="str">
        <f>IFERROR(__xludf.DUMMYFUNCTION("""COMPUTED_VALUE"""),"Tolbert")</f>
        <v>Tolbert</v>
      </c>
      <c r="AA160" s="3">
        <v>43.0</v>
      </c>
      <c r="AB160" s="3">
        <f t="shared" si="7"/>
        <v>0</v>
      </c>
      <c r="AC160" s="3">
        <f t="shared" si="8"/>
        <v>0</v>
      </c>
      <c r="AD160" s="3">
        <f t="shared" si="9"/>
        <v>0.9090909091</v>
      </c>
      <c r="AE160" s="3">
        <f t="shared" si="10"/>
        <v>-1</v>
      </c>
      <c r="AF160" s="3">
        <f t="shared" si="11"/>
        <v>-2</v>
      </c>
      <c r="AG160" s="3">
        <f t="shared" si="12"/>
        <v>-0.05494505495</v>
      </c>
    </row>
    <row r="161">
      <c r="A161" s="1" t="s">
        <v>16</v>
      </c>
      <c r="B161" s="1" t="s">
        <v>251</v>
      </c>
      <c r="C161" s="1" t="s">
        <v>21</v>
      </c>
      <c r="D161" s="1" t="s">
        <v>88</v>
      </c>
      <c r="E161" s="1" t="s">
        <v>197</v>
      </c>
      <c r="F161" s="1" t="s">
        <v>610</v>
      </c>
      <c r="G161" s="1">
        <v>38.5</v>
      </c>
      <c r="H161" s="1" t="s">
        <v>60</v>
      </c>
      <c r="I161" s="1">
        <v>-108.0</v>
      </c>
      <c r="J161" s="1">
        <v>6.92208192116794E-5</v>
      </c>
      <c r="K161" s="1" t="s">
        <v>61</v>
      </c>
      <c r="L161" s="1" t="s">
        <v>61</v>
      </c>
      <c r="M161" s="1" t="s">
        <v>62</v>
      </c>
      <c r="N161" s="1">
        <v>-122.0</v>
      </c>
      <c r="O161" s="1">
        <v>-0.0688495409175676</v>
      </c>
      <c r="P161" s="1" t="s">
        <v>61</v>
      </c>
      <c r="Q161" s="1" t="s">
        <v>61</v>
      </c>
      <c r="R161" s="1">
        <f t="shared" si="1"/>
        <v>0.00006922081921</v>
      </c>
      <c r="S161" s="1">
        <f t="shared" si="2"/>
        <v>-108</v>
      </c>
      <c r="T161" s="1">
        <f t="shared" si="3"/>
        <v>1.925925926</v>
      </c>
      <c r="U161" s="1">
        <f t="shared" si="4"/>
        <v>1</v>
      </c>
      <c r="V161" s="3">
        <f t="shared" si="5"/>
        <v>1</v>
      </c>
      <c r="W161" s="3">
        <f t="shared" si="6"/>
        <v>2</v>
      </c>
      <c r="X161" s="3" t="str">
        <f>IFERROR(__xludf.DUMMYFUNCTION("split(B161,"" "")"),"D.")</f>
        <v>D.</v>
      </c>
      <c r="Y161" s="3" t="str">
        <f>IFERROR(__xludf.DUMMYFUNCTION("""COMPUTED_VALUE"""),"Prescott")</f>
        <v>Prescott</v>
      </c>
      <c r="AA161" s="3">
        <v>33.0</v>
      </c>
      <c r="AB161" s="3">
        <f t="shared" si="7"/>
        <v>0</v>
      </c>
      <c r="AC161" s="3">
        <f t="shared" si="8"/>
        <v>0</v>
      </c>
      <c r="AD161" s="3">
        <f t="shared" si="9"/>
        <v>0.9259259259</v>
      </c>
      <c r="AE161" s="3">
        <f t="shared" si="10"/>
        <v>-1</v>
      </c>
      <c r="AF161" s="3">
        <f t="shared" si="11"/>
        <v>-2</v>
      </c>
      <c r="AG161" s="3">
        <f t="shared" si="12"/>
        <v>-0.1428571429</v>
      </c>
    </row>
    <row r="162">
      <c r="A162" s="1" t="s">
        <v>12</v>
      </c>
      <c r="B162" s="1" t="s">
        <v>127</v>
      </c>
      <c r="C162" s="1" t="s">
        <v>19</v>
      </c>
      <c r="D162" s="1" t="s">
        <v>83</v>
      </c>
      <c r="E162" s="1" t="s">
        <v>135</v>
      </c>
      <c r="F162" s="1" t="s">
        <v>615</v>
      </c>
      <c r="G162" s="1">
        <v>2.5</v>
      </c>
      <c r="H162" s="1" t="s">
        <v>60</v>
      </c>
      <c r="I162" s="1">
        <v>-160.0</v>
      </c>
      <c r="J162" s="1">
        <v>-0.225220762115384</v>
      </c>
      <c r="K162" s="1" t="s">
        <v>61</v>
      </c>
      <c r="L162" s="1" t="s">
        <v>61</v>
      </c>
      <c r="M162" s="1" t="s">
        <v>62</v>
      </c>
      <c r="N162" s="1">
        <v>122.0</v>
      </c>
      <c r="O162" s="1">
        <v>0.159391883558558</v>
      </c>
      <c r="P162" s="1" t="s">
        <v>61</v>
      </c>
      <c r="Q162" s="1" t="s">
        <v>61</v>
      </c>
      <c r="R162" s="1">
        <f t="shared" si="1"/>
        <v>0.1593918836</v>
      </c>
      <c r="S162" s="1">
        <f t="shared" si="2"/>
        <v>122</v>
      </c>
      <c r="T162" s="1">
        <f t="shared" si="3"/>
        <v>2.22</v>
      </c>
      <c r="U162" s="1">
        <f t="shared" si="4"/>
        <v>0</v>
      </c>
      <c r="V162" s="3">
        <f t="shared" si="5"/>
        <v>3</v>
      </c>
      <c r="W162" s="3">
        <f t="shared" si="6"/>
        <v>1</v>
      </c>
      <c r="X162" s="3" t="str">
        <f>IFERROR(__xludf.DUMMYFUNCTION("split(B162,"" "")"),"J.")</f>
        <v>J.</v>
      </c>
      <c r="Y162" s="3" t="str">
        <f>IFERROR(__xludf.DUMMYFUNCTION("""COMPUTED_VALUE"""),"Williams")</f>
        <v>Williams</v>
      </c>
      <c r="AA162" s="3">
        <v>3.0</v>
      </c>
      <c r="AB162" s="3">
        <f t="shared" si="7"/>
        <v>1</v>
      </c>
      <c r="AC162" s="3">
        <f t="shared" si="8"/>
        <v>0</v>
      </c>
      <c r="AD162" s="3">
        <f t="shared" si="9"/>
        <v>3.66</v>
      </c>
      <c r="AE162" s="3">
        <f t="shared" si="10"/>
        <v>-3</v>
      </c>
      <c r="AF162" s="3">
        <f t="shared" si="11"/>
        <v>-1</v>
      </c>
      <c r="AG162" s="3">
        <f t="shared" si="12"/>
        <v>-0.2</v>
      </c>
    </row>
    <row r="163">
      <c r="A163" s="1" t="s">
        <v>8</v>
      </c>
      <c r="B163" s="1" t="s">
        <v>464</v>
      </c>
      <c r="C163" s="1" t="s">
        <v>21</v>
      </c>
      <c r="D163" s="1" t="s">
        <v>83</v>
      </c>
      <c r="E163" s="1" t="s">
        <v>135</v>
      </c>
      <c r="F163" s="1" t="s">
        <v>615</v>
      </c>
      <c r="G163" s="1">
        <v>5.5</v>
      </c>
      <c r="H163" s="1" t="s">
        <v>60</v>
      </c>
      <c r="I163" s="1">
        <v>-118.0</v>
      </c>
      <c r="J163" s="1">
        <v>-0.205311344846045</v>
      </c>
      <c r="K163" s="1" t="s">
        <v>61</v>
      </c>
      <c r="L163" s="1" t="s">
        <v>61</v>
      </c>
      <c r="M163" s="1" t="s">
        <v>62</v>
      </c>
      <c r="N163" s="1">
        <v>-112.0</v>
      </c>
      <c r="O163" s="1">
        <v>0.135744311120803</v>
      </c>
      <c r="P163" s="1" t="s">
        <v>61</v>
      </c>
      <c r="Q163" s="1" t="s">
        <v>61</v>
      </c>
      <c r="R163" s="1">
        <f t="shared" si="1"/>
        <v>0.1357443111</v>
      </c>
      <c r="S163" s="1">
        <f t="shared" si="2"/>
        <v>-112</v>
      </c>
      <c r="T163" s="1">
        <f t="shared" si="3"/>
        <v>1.892857143</v>
      </c>
      <c r="U163" s="1">
        <f t="shared" si="4"/>
        <v>0</v>
      </c>
      <c r="V163" s="3">
        <f t="shared" si="5"/>
        <v>3</v>
      </c>
      <c r="W163" s="3">
        <f t="shared" si="6"/>
        <v>2</v>
      </c>
      <c r="X163" s="3" t="str">
        <f>IFERROR(__xludf.DUMMYFUNCTION("split(B163,"" "")"),"B.")</f>
        <v>B.</v>
      </c>
      <c r="Y163" s="3" t="str">
        <f>IFERROR(__xludf.DUMMYFUNCTION("""COMPUTED_VALUE"""),"Nix")</f>
        <v>Nix</v>
      </c>
      <c r="AA163" s="3">
        <v>6.0</v>
      </c>
      <c r="AB163" s="3">
        <f t="shared" si="7"/>
        <v>1</v>
      </c>
      <c r="AC163" s="3">
        <f t="shared" si="8"/>
        <v>0</v>
      </c>
      <c r="AD163" s="3">
        <f t="shared" si="9"/>
        <v>2.678571429</v>
      </c>
      <c r="AE163" s="3">
        <f t="shared" si="10"/>
        <v>-3</v>
      </c>
      <c r="AF163" s="3">
        <f t="shared" si="11"/>
        <v>-2</v>
      </c>
      <c r="AG163" s="3">
        <f t="shared" si="12"/>
        <v>-0.09090909091</v>
      </c>
    </row>
    <row r="164">
      <c r="A164" s="1" t="s">
        <v>14</v>
      </c>
      <c r="B164" s="1" t="s">
        <v>464</v>
      </c>
      <c r="C164" s="1" t="s">
        <v>21</v>
      </c>
      <c r="D164" s="1" t="s">
        <v>83</v>
      </c>
      <c r="E164" s="1" t="s">
        <v>135</v>
      </c>
      <c r="F164" s="1" t="s">
        <v>615</v>
      </c>
      <c r="G164" s="1">
        <v>0.5</v>
      </c>
      <c r="H164" s="1" t="s">
        <v>60</v>
      </c>
      <c r="I164" s="1">
        <v>-181.0</v>
      </c>
      <c r="J164" s="1">
        <v>-0.16292659163701</v>
      </c>
      <c r="K164" s="1" t="s">
        <v>61</v>
      </c>
      <c r="L164" s="1" t="s">
        <v>61</v>
      </c>
      <c r="M164" s="1" t="s">
        <v>62</v>
      </c>
      <c r="N164" s="1">
        <v>139.0</v>
      </c>
      <c r="O164" s="1">
        <v>0.100388168410041</v>
      </c>
      <c r="P164" s="1" t="s">
        <v>61</v>
      </c>
      <c r="Q164" s="1" t="s">
        <v>61</v>
      </c>
      <c r="R164" s="1">
        <f t="shared" si="1"/>
        <v>0.1003881684</v>
      </c>
      <c r="S164" s="1">
        <f t="shared" si="2"/>
        <v>139</v>
      </c>
      <c r="T164" s="1">
        <f t="shared" si="3"/>
        <v>2.39</v>
      </c>
      <c r="U164" s="1">
        <f t="shared" si="4"/>
        <v>0</v>
      </c>
      <c r="V164" s="3">
        <f t="shared" si="5"/>
        <v>3</v>
      </c>
      <c r="W164" s="3">
        <f t="shared" si="6"/>
        <v>1</v>
      </c>
      <c r="X164" s="3" t="str">
        <f>IFERROR(__xludf.DUMMYFUNCTION("split(B164,"" "")"),"B.")</f>
        <v>B.</v>
      </c>
      <c r="Y164" s="3" t="str">
        <f>IFERROR(__xludf.DUMMYFUNCTION("""COMPUTED_VALUE"""),"Nix")</f>
        <v>Nix</v>
      </c>
      <c r="AA164" s="3">
        <v>2.0</v>
      </c>
      <c r="AB164" s="3">
        <f t="shared" si="7"/>
        <v>1</v>
      </c>
      <c r="AC164" s="3">
        <f t="shared" si="8"/>
        <v>0</v>
      </c>
      <c r="AD164" s="3">
        <f t="shared" si="9"/>
        <v>4.17</v>
      </c>
      <c r="AE164" s="3">
        <f t="shared" si="10"/>
        <v>-3</v>
      </c>
      <c r="AF164" s="3">
        <f t="shared" si="11"/>
        <v>-1</v>
      </c>
      <c r="AG164" s="3">
        <f t="shared" si="12"/>
        <v>-3</v>
      </c>
    </row>
    <row r="165">
      <c r="A165" s="1" t="s">
        <v>12</v>
      </c>
      <c r="B165" s="1" t="s">
        <v>532</v>
      </c>
      <c r="C165" s="1" t="s">
        <v>18</v>
      </c>
      <c r="D165" s="1" t="s">
        <v>83</v>
      </c>
      <c r="E165" s="1" t="s">
        <v>135</v>
      </c>
      <c r="F165" s="1" t="s">
        <v>615</v>
      </c>
      <c r="G165" s="1">
        <v>2.5</v>
      </c>
      <c r="H165" s="1" t="s">
        <v>60</v>
      </c>
      <c r="I165" s="1">
        <v>109.0</v>
      </c>
      <c r="J165" s="1">
        <v>-0.15941529665933</v>
      </c>
      <c r="K165" s="1" t="s">
        <v>61</v>
      </c>
      <c r="L165" s="1" t="s">
        <v>61</v>
      </c>
      <c r="M165" s="1" t="s">
        <v>62</v>
      </c>
      <c r="N165" s="1">
        <v>-144.0</v>
      </c>
      <c r="O165" s="1">
        <v>0.090775408642623</v>
      </c>
      <c r="P165" s="1" t="s">
        <v>61</v>
      </c>
      <c r="Q165" s="1" t="s">
        <v>61</v>
      </c>
      <c r="R165" s="1">
        <f t="shared" si="1"/>
        <v>0.09077540864</v>
      </c>
      <c r="S165" s="1">
        <f t="shared" si="2"/>
        <v>-144</v>
      </c>
      <c r="T165" s="1">
        <f t="shared" si="3"/>
        <v>1.694444444</v>
      </c>
      <c r="U165" s="1">
        <f t="shared" si="4"/>
        <v>0</v>
      </c>
      <c r="V165" s="3">
        <f t="shared" si="5"/>
        <v>2</v>
      </c>
      <c r="W165" s="3">
        <f t="shared" si="6"/>
        <v>3</v>
      </c>
      <c r="X165" s="3" t="str">
        <f>IFERROR(__xludf.DUMMYFUNCTION("split(B165,"" "")"),"L.")</f>
        <v>L.</v>
      </c>
      <c r="Y165" s="3" t="str">
        <f>IFERROR(__xludf.DUMMYFUNCTION("""COMPUTED_VALUE"""),"Humphrey")</f>
        <v>Humphrey</v>
      </c>
      <c r="AA165" s="3">
        <v>1.0</v>
      </c>
      <c r="AB165" s="3">
        <f t="shared" si="7"/>
        <v>0</v>
      </c>
      <c r="AC165" s="3">
        <f t="shared" si="8"/>
        <v>1</v>
      </c>
      <c r="AD165" s="3">
        <f t="shared" si="9"/>
        <v>1.388888889</v>
      </c>
      <c r="AE165" s="3">
        <f t="shared" si="10"/>
        <v>1.388888889</v>
      </c>
      <c r="AF165" s="3">
        <f t="shared" si="11"/>
        <v>2.083333333</v>
      </c>
      <c r="AG165" s="3">
        <f t="shared" si="12"/>
        <v>0.6</v>
      </c>
    </row>
    <row r="166">
      <c r="A166" s="1" t="s">
        <v>9</v>
      </c>
      <c r="B166" s="1" t="s">
        <v>465</v>
      </c>
      <c r="C166" s="1" t="s">
        <v>19</v>
      </c>
      <c r="D166" s="1" t="s">
        <v>83</v>
      </c>
      <c r="E166" s="1" t="s">
        <v>135</v>
      </c>
      <c r="F166" s="1" t="s">
        <v>615</v>
      </c>
      <c r="G166" s="1">
        <v>32.5</v>
      </c>
      <c r="H166" s="1" t="s">
        <v>60</v>
      </c>
      <c r="I166" s="1">
        <v>-113.0</v>
      </c>
      <c r="J166" s="1">
        <v>0.0646851630857242</v>
      </c>
      <c r="K166" s="1" t="s">
        <v>61</v>
      </c>
      <c r="L166" s="1" t="s">
        <v>61</v>
      </c>
      <c r="M166" s="1" t="s">
        <v>62</v>
      </c>
      <c r="N166" s="1">
        <v>-120.0</v>
      </c>
      <c r="O166" s="1">
        <v>-0.140624034930505</v>
      </c>
      <c r="P166" s="1" t="s">
        <v>61</v>
      </c>
      <c r="Q166" s="1" t="s">
        <v>61</v>
      </c>
      <c r="R166" s="1">
        <f t="shared" si="1"/>
        <v>0.06468516309</v>
      </c>
      <c r="S166" s="1">
        <f t="shared" si="2"/>
        <v>-113</v>
      </c>
      <c r="T166" s="1">
        <f t="shared" si="3"/>
        <v>1.884955752</v>
      </c>
      <c r="U166" s="1">
        <f t="shared" si="4"/>
        <v>1</v>
      </c>
      <c r="V166" s="3">
        <f t="shared" si="5"/>
        <v>2</v>
      </c>
      <c r="W166" s="3">
        <f t="shared" si="6"/>
        <v>2</v>
      </c>
      <c r="X166" s="3" t="str">
        <f>IFERROR(__xludf.DUMMYFUNCTION("split(B166,"" "")"),"J.")</f>
        <v>J.</v>
      </c>
      <c r="Y166" s="3" t="str">
        <f>IFERROR(__xludf.DUMMYFUNCTION("""COMPUTED_VALUE"""),"McLaughlin")</f>
        <v>McLaughlin</v>
      </c>
      <c r="AA166" s="3">
        <v>25.0</v>
      </c>
      <c r="AB166" s="3">
        <f t="shared" si="7"/>
        <v>0</v>
      </c>
      <c r="AC166" s="3">
        <f t="shared" si="8"/>
        <v>0</v>
      </c>
      <c r="AD166" s="3">
        <f t="shared" si="9"/>
        <v>1.769911504</v>
      </c>
      <c r="AE166" s="3">
        <f t="shared" si="10"/>
        <v>-2</v>
      </c>
      <c r="AF166" s="3">
        <f t="shared" si="11"/>
        <v>-2</v>
      </c>
      <c r="AG166" s="3">
        <f t="shared" si="12"/>
        <v>-0.2307692308</v>
      </c>
    </row>
    <row r="167">
      <c r="A167" s="1" t="s">
        <v>10</v>
      </c>
      <c r="B167" s="1" t="s">
        <v>464</v>
      </c>
      <c r="C167" s="1" t="s">
        <v>21</v>
      </c>
      <c r="D167" s="1" t="s">
        <v>83</v>
      </c>
      <c r="E167" s="1" t="s">
        <v>135</v>
      </c>
      <c r="F167" s="1" t="s">
        <v>615</v>
      </c>
      <c r="G167" s="1">
        <v>21.5</v>
      </c>
      <c r="H167" s="1" t="s">
        <v>60</v>
      </c>
      <c r="I167" s="1">
        <v>-115.0</v>
      </c>
      <c r="J167" s="1">
        <v>-0.124251522607276</v>
      </c>
      <c r="K167" s="1" t="s">
        <v>61</v>
      </c>
      <c r="L167" s="1" t="s">
        <v>61</v>
      </c>
      <c r="M167" s="1" t="s">
        <v>62</v>
      </c>
      <c r="N167" s="1">
        <v>-113.0</v>
      </c>
      <c r="O167" s="1">
        <v>0.0588749644011166</v>
      </c>
      <c r="P167" s="1" t="s">
        <v>61</v>
      </c>
      <c r="Q167" s="1" t="s">
        <v>61</v>
      </c>
      <c r="R167" s="1">
        <f t="shared" si="1"/>
        <v>0.0588749644</v>
      </c>
      <c r="S167" s="1">
        <f t="shared" si="2"/>
        <v>-113</v>
      </c>
      <c r="T167" s="1">
        <f t="shared" si="3"/>
        <v>1.884955752</v>
      </c>
      <c r="U167" s="1">
        <f t="shared" si="4"/>
        <v>0</v>
      </c>
      <c r="V167" s="3">
        <f t="shared" si="5"/>
        <v>2</v>
      </c>
      <c r="W167" s="3">
        <f t="shared" si="6"/>
        <v>2</v>
      </c>
      <c r="X167" s="3" t="str">
        <f>IFERROR(__xludf.DUMMYFUNCTION("split(B167,"" "")"),"B.")</f>
        <v>B.</v>
      </c>
      <c r="Y167" s="3" t="str">
        <f>IFERROR(__xludf.DUMMYFUNCTION("""COMPUTED_VALUE"""),"Nix")</f>
        <v>Nix</v>
      </c>
      <c r="AA167" s="3">
        <v>61.0</v>
      </c>
      <c r="AB167" s="3">
        <f t="shared" si="7"/>
        <v>1</v>
      </c>
      <c r="AC167" s="3">
        <f t="shared" si="8"/>
        <v>0</v>
      </c>
      <c r="AD167" s="3">
        <f t="shared" si="9"/>
        <v>1.769911504</v>
      </c>
      <c r="AE167" s="3">
        <f t="shared" si="10"/>
        <v>-2</v>
      </c>
      <c r="AF167" s="3">
        <f t="shared" si="11"/>
        <v>-2</v>
      </c>
      <c r="AG167" s="3">
        <f t="shared" si="12"/>
        <v>-1.837209302</v>
      </c>
    </row>
    <row r="168">
      <c r="A168" s="1" t="s">
        <v>11</v>
      </c>
      <c r="B168" s="1" t="s">
        <v>465</v>
      </c>
      <c r="C168" s="1" t="s">
        <v>19</v>
      </c>
      <c r="D168" s="1" t="s">
        <v>83</v>
      </c>
      <c r="E168" s="1" t="s">
        <v>135</v>
      </c>
      <c r="F168" s="1" t="s">
        <v>615</v>
      </c>
      <c r="G168" s="1">
        <v>7.5</v>
      </c>
      <c r="H168" s="1" t="s">
        <v>60</v>
      </c>
      <c r="I168" s="1">
        <v>-120.0</v>
      </c>
      <c r="J168" s="1">
        <v>0.0556043967481086</v>
      </c>
      <c r="K168" s="1" t="s">
        <v>61</v>
      </c>
      <c r="L168" s="1" t="s">
        <v>61</v>
      </c>
      <c r="M168" s="1" t="s">
        <v>62</v>
      </c>
      <c r="N168" s="1">
        <v>-108.0</v>
      </c>
      <c r="O168" s="1">
        <v>-0.120241176285339</v>
      </c>
      <c r="P168" s="1" t="s">
        <v>61</v>
      </c>
      <c r="Q168" s="1" t="s">
        <v>61</v>
      </c>
      <c r="R168" s="1">
        <f t="shared" si="1"/>
        <v>0.05560439675</v>
      </c>
      <c r="S168" s="1">
        <f t="shared" si="2"/>
        <v>-120</v>
      </c>
      <c r="T168" s="1">
        <f t="shared" si="3"/>
        <v>1.833333333</v>
      </c>
      <c r="U168" s="1">
        <f t="shared" si="4"/>
        <v>1</v>
      </c>
      <c r="V168" s="3">
        <f t="shared" si="5"/>
        <v>2</v>
      </c>
      <c r="W168" s="3">
        <f t="shared" si="6"/>
        <v>3</v>
      </c>
      <c r="X168" s="3" t="str">
        <f>IFERROR(__xludf.DUMMYFUNCTION("split(B168,"" "")"),"J.")</f>
        <v>J.</v>
      </c>
      <c r="Y168" s="3" t="str">
        <f>IFERROR(__xludf.DUMMYFUNCTION("""COMPUTED_VALUE"""),"McLaughlin")</f>
        <v>McLaughlin</v>
      </c>
      <c r="AA168" s="3">
        <v>17.0</v>
      </c>
      <c r="AB168" s="3">
        <f t="shared" si="7"/>
        <v>1</v>
      </c>
      <c r="AC168" s="3">
        <f t="shared" si="8"/>
        <v>1</v>
      </c>
      <c r="AD168" s="3">
        <f t="shared" si="9"/>
        <v>1.666666667</v>
      </c>
      <c r="AE168" s="3">
        <f t="shared" si="10"/>
        <v>1.666666667</v>
      </c>
      <c r="AF168" s="3">
        <f t="shared" si="11"/>
        <v>2.5</v>
      </c>
      <c r="AG168" s="3">
        <f t="shared" si="12"/>
        <v>1.266666667</v>
      </c>
    </row>
    <row r="169">
      <c r="A169" s="1" t="s">
        <v>9</v>
      </c>
      <c r="B169" s="1" t="s">
        <v>532</v>
      </c>
      <c r="C169" s="1" t="s">
        <v>18</v>
      </c>
      <c r="D169" s="1" t="s">
        <v>83</v>
      </c>
      <c r="E169" s="1" t="s">
        <v>135</v>
      </c>
      <c r="F169" s="1" t="s">
        <v>615</v>
      </c>
      <c r="G169" s="1">
        <v>24.5</v>
      </c>
      <c r="H169" s="1" t="s">
        <v>60</v>
      </c>
      <c r="I169" s="1">
        <v>-112.0</v>
      </c>
      <c r="J169" s="1">
        <v>0.0454556999404109</v>
      </c>
      <c r="K169" s="1" t="s">
        <v>61</v>
      </c>
      <c r="L169" s="1" t="s">
        <v>61</v>
      </c>
      <c r="M169" s="1" t="s">
        <v>62</v>
      </c>
      <c r="N169" s="1">
        <v>-121.0</v>
      </c>
      <c r="O169" s="1">
        <v>-0.121213864926308</v>
      </c>
      <c r="P169" s="1" t="s">
        <v>61</v>
      </c>
      <c r="Q169" s="1" t="s">
        <v>61</v>
      </c>
      <c r="R169" s="1">
        <f t="shared" si="1"/>
        <v>0.04545569994</v>
      </c>
      <c r="S169" s="1">
        <f t="shared" si="2"/>
        <v>-112</v>
      </c>
      <c r="T169" s="1">
        <f t="shared" si="3"/>
        <v>1.892857143</v>
      </c>
      <c r="U169" s="1">
        <f t="shared" si="4"/>
        <v>1</v>
      </c>
      <c r="V169" s="3">
        <f t="shared" si="5"/>
        <v>1</v>
      </c>
      <c r="W169" s="3">
        <f t="shared" si="6"/>
        <v>2</v>
      </c>
      <c r="X169" s="3" t="str">
        <f>IFERROR(__xludf.DUMMYFUNCTION("split(B169,"" "")"),"L.")</f>
        <v>L.</v>
      </c>
      <c r="Y169" s="3" t="str">
        <f>IFERROR(__xludf.DUMMYFUNCTION("""COMPUTED_VALUE"""),"Humphrey")</f>
        <v>Humphrey</v>
      </c>
      <c r="AA169" s="3">
        <v>8.0</v>
      </c>
      <c r="AB169" s="3">
        <f t="shared" si="7"/>
        <v>0</v>
      </c>
      <c r="AC169" s="3">
        <f t="shared" si="8"/>
        <v>0</v>
      </c>
      <c r="AD169" s="3">
        <f t="shared" si="9"/>
        <v>0.8928571429</v>
      </c>
      <c r="AE169" s="3">
        <f t="shared" si="10"/>
        <v>-1</v>
      </c>
      <c r="AF169" s="3">
        <f t="shared" si="11"/>
        <v>-2</v>
      </c>
      <c r="AG169" s="3">
        <f t="shared" si="12"/>
        <v>-0.6734693878</v>
      </c>
    </row>
    <row r="170">
      <c r="A170" s="1" t="s">
        <v>8</v>
      </c>
      <c r="B170" s="1" t="s">
        <v>127</v>
      </c>
      <c r="C170" s="1" t="s">
        <v>19</v>
      </c>
      <c r="D170" s="1" t="s">
        <v>83</v>
      </c>
      <c r="E170" s="1" t="s">
        <v>135</v>
      </c>
      <c r="F170" s="1" t="s">
        <v>615</v>
      </c>
      <c r="G170" s="1">
        <v>13.5</v>
      </c>
      <c r="H170" s="1" t="s">
        <v>60</v>
      </c>
      <c r="I170" s="1">
        <v>101.0</v>
      </c>
      <c r="J170" s="1">
        <v>-0.110361477900671</v>
      </c>
      <c r="K170" s="1" t="s">
        <v>61</v>
      </c>
      <c r="L170" s="1" t="s">
        <v>61</v>
      </c>
      <c r="M170" s="1" t="s">
        <v>62</v>
      </c>
      <c r="N170" s="1">
        <v>-132.0</v>
      </c>
      <c r="O170" s="1">
        <v>0.043903240511293</v>
      </c>
      <c r="P170" s="1" t="s">
        <v>61</v>
      </c>
      <c r="Q170" s="1" t="s">
        <v>61</v>
      </c>
      <c r="R170" s="1">
        <f t="shared" si="1"/>
        <v>0.04390324051</v>
      </c>
      <c r="S170" s="1">
        <f t="shared" si="2"/>
        <v>-132</v>
      </c>
      <c r="T170" s="1">
        <f t="shared" si="3"/>
        <v>1.757575758</v>
      </c>
      <c r="U170" s="1">
        <f t="shared" si="4"/>
        <v>0</v>
      </c>
      <c r="V170" s="3">
        <f t="shared" si="5"/>
        <v>1</v>
      </c>
      <c r="W170" s="3">
        <f t="shared" si="6"/>
        <v>3</v>
      </c>
      <c r="X170" s="3" t="str">
        <f>IFERROR(__xludf.DUMMYFUNCTION("split(B170,"" "")"),"J.")</f>
        <v>J.</v>
      </c>
      <c r="Y170" s="3" t="str">
        <f>IFERROR(__xludf.DUMMYFUNCTION("""COMPUTED_VALUE"""),"Williams")</f>
        <v>Williams</v>
      </c>
      <c r="AA170" s="3">
        <v>6.0</v>
      </c>
      <c r="AB170" s="3">
        <f t="shared" si="7"/>
        <v>0</v>
      </c>
      <c r="AC170" s="3">
        <f t="shared" si="8"/>
        <v>1</v>
      </c>
      <c r="AD170" s="3">
        <f t="shared" si="9"/>
        <v>0.7575757576</v>
      </c>
      <c r="AE170" s="3">
        <f t="shared" si="10"/>
        <v>0.7575757576</v>
      </c>
      <c r="AF170" s="3">
        <f t="shared" si="11"/>
        <v>2.272727273</v>
      </c>
      <c r="AG170" s="3">
        <f t="shared" si="12"/>
        <v>0.5555555556</v>
      </c>
    </row>
    <row r="171">
      <c r="A171" s="1" t="s">
        <v>11</v>
      </c>
      <c r="B171" s="1" t="s">
        <v>532</v>
      </c>
      <c r="C171" s="1" t="s">
        <v>18</v>
      </c>
      <c r="D171" s="1" t="s">
        <v>83</v>
      </c>
      <c r="E171" s="1" t="s">
        <v>135</v>
      </c>
      <c r="F171" s="1" t="s">
        <v>615</v>
      </c>
      <c r="G171" s="1">
        <v>23.5</v>
      </c>
      <c r="H171" s="1" t="s">
        <v>60</v>
      </c>
      <c r="I171" s="1">
        <v>-117.0</v>
      </c>
      <c r="J171" s="1">
        <v>-0.0984154398740691</v>
      </c>
      <c r="K171" s="1" t="s">
        <v>61</v>
      </c>
      <c r="L171" s="1" t="s">
        <v>61</v>
      </c>
      <c r="M171" s="1" t="s">
        <v>62</v>
      </c>
      <c r="N171" s="1">
        <v>-112.0</v>
      </c>
      <c r="O171" s="1">
        <v>0.0309203420141216</v>
      </c>
      <c r="P171" s="1" t="s">
        <v>61</v>
      </c>
      <c r="Q171" s="1" t="s">
        <v>61</v>
      </c>
      <c r="R171" s="1">
        <f t="shared" si="1"/>
        <v>0.03092034201</v>
      </c>
      <c r="S171" s="1">
        <f t="shared" si="2"/>
        <v>-112</v>
      </c>
      <c r="T171" s="1">
        <f t="shared" si="3"/>
        <v>1.892857143</v>
      </c>
      <c r="U171" s="1">
        <f t="shared" si="4"/>
        <v>0</v>
      </c>
      <c r="V171" s="3">
        <f t="shared" si="5"/>
        <v>1</v>
      </c>
      <c r="W171" s="3">
        <f t="shared" si="6"/>
        <v>2</v>
      </c>
      <c r="X171" s="3" t="str">
        <f>IFERROR(__xludf.DUMMYFUNCTION("split(B171,"" "")"),"L.")</f>
        <v>L.</v>
      </c>
      <c r="Y171" s="3" t="str">
        <f>IFERROR(__xludf.DUMMYFUNCTION("""COMPUTED_VALUE"""),"Humphrey")</f>
        <v>Humphrey</v>
      </c>
      <c r="AA171" s="3">
        <v>8.0</v>
      </c>
      <c r="AB171" s="3">
        <f t="shared" si="7"/>
        <v>0</v>
      </c>
      <c r="AC171" s="3">
        <f t="shared" si="8"/>
        <v>1</v>
      </c>
      <c r="AD171" s="3">
        <f t="shared" si="9"/>
        <v>0.8928571429</v>
      </c>
      <c r="AE171" s="3">
        <f t="shared" si="10"/>
        <v>0.8928571429</v>
      </c>
      <c r="AF171" s="3">
        <f t="shared" si="11"/>
        <v>1.785714286</v>
      </c>
      <c r="AG171" s="3">
        <f t="shared" si="12"/>
        <v>0.6595744681</v>
      </c>
    </row>
    <row r="172">
      <c r="A172" s="1" t="s">
        <v>11</v>
      </c>
      <c r="B172" s="1" t="s">
        <v>616</v>
      </c>
      <c r="C172" s="1" t="s">
        <v>20</v>
      </c>
      <c r="D172" s="1" t="s">
        <v>83</v>
      </c>
      <c r="E172" s="1" t="s">
        <v>135</v>
      </c>
      <c r="F172" s="1" t="s">
        <v>615</v>
      </c>
      <c r="G172" s="1">
        <v>9.5</v>
      </c>
      <c r="H172" s="1" t="s">
        <v>60</v>
      </c>
      <c r="I172" s="1">
        <v>-102.0</v>
      </c>
      <c r="J172" s="1">
        <v>0.0259345732218231</v>
      </c>
      <c r="K172" s="1" t="s">
        <v>61</v>
      </c>
      <c r="L172" s="1" t="s">
        <v>61</v>
      </c>
      <c r="M172" s="1" t="s">
        <v>62</v>
      </c>
      <c r="N172" s="1">
        <v>-129.0</v>
      </c>
      <c r="O172" s="1">
        <v>-0.0941879960268239</v>
      </c>
      <c r="P172" s="1" t="s">
        <v>61</v>
      </c>
      <c r="Q172" s="1" t="s">
        <v>61</v>
      </c>
      <c r="R172" s="1">
        <f t="shared" si="1"/>
        <v>0.02593457322</v>
      </c>
      <c r="S172" s="1">
        <f t="shared" si="2"/>
        <v>-102</v>
      </c>
      <c r="T172" s="1">
        <f t="shared" si="3"/>
        <v>1.980392157</v>
      </c>
      <c r="U172" s="1">
        <f t="shared" si="4"/>
        <v>1</v>
      </c>
      <c r="V172" s="3">
        <f t="shared" si="5"/>
        <v>1</v>
      </c>
      <c r="W172" s="3">
        <f t="shared" si="6"/>
        <v>2</v>
      </c>
      <c r="X172" s="3" t="str">
        <f>IFERROR(__xludf.DUMMYFUNCTION("split(B172,"" "")"),"A.")</f>
        <v>A.</v>
      </c>
      <c r="Y172" s="3" t="str">
        <f>IFERROR(__xludf.DUMMYFUNCTION("""COMPUTED_VALUE"""),"Trautman")</f>
        <v>Trautman</v>
      </c>
      <c r="AA172" s="3">
        <v>0.0</v>
      </c>
      <c r="AB172" s="3">
        <f t="shared" si="7"/>
        <v>0</v>
      </c>
      <c r="AC172" s="3">
        <f t="shared" si="8"/>
        <v>0</v>
      </c>
      <c r="AD172" s="3">
        <f t="shared" si="9"/>
        <v>0.9803921569</v>
      </c>
      <c r="AE172" s="3">
        <f t="shared" si="10"/>
        <v>-1</v>
      </c>
      <c r="AF172" s="3">
        <f t="shared" si="11"/>
        <v>-2</v>
      </c>
      <c r="AG172" s="3">
        <f t="shared" si="12"/>
        <v>-1</v>
      </c>
    </row>
    <row r="173">
      <c r="A173" s="1" t="s">
        <v>11</v>
      </c>
      <c r="B173" s="1" t="s">
        <v>422</v>
      </c>
      <c r="C173" s="1" t="s">
        <v>18</v>
      </c>
      <c r="D173" s="1" t="s">
        <v>83</v>
      </c>
      <c r="E173" s="1" t="s">
        <v>135</v>
      </c>
      <c r="F173" s="1" t="s">
        <v>615</v>
      </c>
      <c r="G173" s="1">
        <v>23.5</v>
      </c>
      <c r="H173" s="1" t="s">
        <v>60</v>
      </c>
      <c r="I173" s="1">
        <v>-115.0</v>
      </c>
      <c r="J173" s="1">
        <v>-0.094173735938349</v>
      </c>
      <c r="K173" s="1" t="s">
        <v>61</v>
      </c>
      <c r="L173" s="1" t="s">
        <v>61</v>
      </c>
      <c r="M173" s="1" t="s">
        <v>62</v>
      </c>
      <c r="N173" s="1">
        <v>-115.0</v>
      </c>
      <c r="O173" s="1">
        <v>0.0243897963291011</v>
      </c>
      <c r="P173" s="1" t="s">
        <v>61</v>
      </c>
      <c r="Q173" s="1" t="s">
        <v>61</v>
      </c>
      <c r="R173" s="1">
        <f t="shared" si="1"/>
        <v>0.02438979633</v>
      </c>
      <c r="S173" s="1">
        <f t="shared" si="2"/>
        <v>-115</v>
      </c>
      <c r="T173" s="1">
        <f t="shared" si="3"/>
        <v>1.869565217</v>
      </c>
      <c r="U173" s="1">
        <f t="shared" si="4"/>
        <v>0</v>
      </c>
      <c r="V173" s="3">
        <f t="shared" si="5"/>
        <v>1</v>
      </c>
      <c r="W173" s="3">
        <f t="shared" si="6"/>
        <v>2</v>
      </c>
      <c r="X173" s="3" t="str">
        <f>IFERROR(__xludf.DUMMYFUNCTION("split(B173,"" "")"),"J.")</f>
        <v>J.</v>
      </c>
      <c r="Y173" s="3" t="str">
        <f>IFERROR(__xludf.DUMMYFUNCTION("""COMPUTED_VALUE"""),"Reynolds")</f>
        <v>Reynolds</v>
      </c>
      <c r="AA173" s="3">
        <v>0.0</v>
      </c>
      <c r="AB173" s="3">
        <f t="shared" si="7"/>
        <v>0</v>
      </c>
      <c r="AC173" s="3">
        <f t="shared" si="8"/>
        <v>1</v>
      </c>
      <c r="AD173" s="3">
        <f t="shared" si="9"/>
        <v>0.8695652174</v>
      </c>
      <c r="AE173" s="3">
        <f t="shared" si="10"/>
        <v>0.8695652174</v>
      </c>
      <c r="AF173" s="3">
        <f t="shared" si="11"/>
        <v>1.739130435</v>
      </c>
      <c r="AG173" s="3">
        <f t="shared" si="12"/>
        <v>1</v>
      </c>
    </row>
    <row r="174">
      <c r="A174" s="1" t="s">
        <v>17</v>
      </c>
      <c r="B174" s="1" t="s">
        <v>464</v>
      </c>
      <c r="C174" s="1" t="s">
        <v>21</v>
      </c>
      <c r="D174" s="1" t="s">
        <v>83</v>
      </c>
      <c r="E174" s="1" t="s">
        <v>135</v>
      </c>
      <c r="F174" s="1" t="s">
        <v>615</v>
      </c>
      <c r="G174" s="1">
        <v>0.5</v>
      </c>
      <c r="H174" s="1" t="s">
        <v>60</v>
      </c>
      <c r="I174" s="1">
        <v>-117.0</v>
      </c>
      <c r="J174" s="1">
        <v>-0.0893705069124423</v>
      </c>
      <c r="K174" s="1" t="s">
        <v>61</v>
      </c>
      <c r="L174" s="1" t="s">
        <v>61</v>
      </c>
      <c r="M174" s="1" t="s">
        <v>62</v>
      </c>
      <c r="N174" s="1">
        <v>-112.0</v>
      </c>
      <c r="O174" s="1">
        <v>0.0218981132075472</v>
      </c>
      <c r="P174" s="1" t="s">
        <v>61</v>
      </c>
      <c r="Q174" s="1" t="s">
        <v>61</v>
      </c>
      <c r="R174" s="1">
        <f t="shared" si="1"/>
        <v>0.02189811321</v>
      </c>
      <c r="S174" s="1">
        <f t="shared" si="2"/>
        <v>-112</v>
      </c>
      <c r="T174" s="1">
        <f t="shared" si="3"/>
        <v>1.892857143</v>
      </c>
      <c r="U174" s="1">
        <f t="shared" si="4"/>
        <v>0</v>
      </c>
      <c r="V174" s="3">
        <f t="shared" si="5"/>
        <v>1</v>
      </c>
      <c r="W174" s="3">
        <f t="shared" si="6"/>
        <v>2</v>
      </c>
      <c r="X174" s="3" t="str">
        <f>IFERROR(__xludf.DUMMYFUNCTION("split(B174,"" "")"),"B.")</f>
        <v>B.</v>
      </c>
      <c r="Y174" s="3" t="str">
        <f>IFERROR(__xludf.DUMMYFUNCTION("""COMPUTED_VALUE"""),"Nix")</f>
        <v>Nix</v>
      </c>
      <c r="AA174" s="3">
        <v>1.0</v>
      </c>
      <c r="AB174" s="3">
        <f t="shared" si="7"/>
        <v>1</v>
      </c>
      <c r="AC174" s="3">
        <f t="shared" si="8"/>
        <v>0</v>
      </c>
      <c r="AD174" s="3">
        <f t="shared" si="9"/>
        <v>0.8928571429</v>
      </c>
      <c r="AE174" s="3">
        <f t="shared" si="10"/>
        <v>-1</v>
      </c>
      <c r="AF174" s="3">
        <f t="shared" si="11"/>
        <v>-2</v>
      </c>
      <c r="AG174" s="3">
        <f t="shared" si="12"/>
        <v>-1</v>
      </c>
    </row>
    <row r="175">
      <c r="A175" s="1" t="s">
        <v>9</v>
      </c>
      <c r="B175" s="1" t="s">
        <v>127</v>
      </c>
      <c r="C175" s="1" t="s">
        <v>19</v>
      </c>
      <c r="D175" s="1" t="s">
        <v>83</v>
      </c>
      <c r="E175" s="1" t="s">
        <v>135</v>
      </c>
      <c r="F175" s="1" t="s">
        <v>615</v>
      </c>
      <c r="G175" s="1">
        <v>72.5</v>
      </c>
      <c r="H175" s="1" t="s">
        <v>60</v>
      </c>
      <c r="I175" s="1">
        <v>-116.0</v>
      </c>
      <c r="J175" s="1">
        <v>-0.0945178468810882</v>
      </c>
      <c r="K175" s="1" t="s">
        <v>61</v>
      </c>
      <c r="L175" s="1" t="s">
        <v>61</v>
      </c>
      <c r="M175" s="1" t="s">
        <v>62</v>
      </c>
      <c r="N175" s="1">
        <v>-116.0</v>
      </c>
      <c r="O175" s="1">
        <v>0.0204407023820621</v>
      </c>
      <c r="P175" s="1" t="s">
        <v>61</v>
      </c>
      <c r="Q175" s="1" t="s">
        <v>61</v>
      </c>
      <c r="R175" s="1">
        <f t="shared" si="1"/>
        <v>0.02044070238</v>
      </c>
      <c r="S175" s="1">
        <f t="shared" si="2"/>
        <v>-116</v>
      </c>
      <c r="T175" s="1">
        <f t="shared" si="3"/>
        <v>1.862068966</v>
      </c>
      <c r="U175" s="1">
        <f t="shared" si="4"/>
        <v>0</v>
      </c>
      <c r="V175" s="3">
        <f t="shared" si="5"/>
        <v>1</v>
      </c>
      <c r="W175" s="3">
        <f t="shared" si="6"/>
        <v>2</v>
      </c>
      <c r="X175" s="3" t="str">
        <f>IFERROR(__xludf.DUMMYFUNCTION("split(B175,"" "")"),"J.")</f>
        <v>J.</v>
      </c>
      <c r="Y175" s="3" t="str">
        <f>IFERROR(__xludf.DUMMYFUNCTION("""COMPUTED_VALUE"""),"Williams")</f>
        <v>Williams</v>
      </c>
      <c r="AA175" s="3">
        <v>36.0</v>
      </c>
      <c r="AB175" s="3">
        <f t="shared" si="7"/>
        <v>0</v>
      </c>
      <c r="AC175" s="3">
        <f t="shared" si="8"/>
        <v>1</v>
      </c>
      <c r="AD175" s="3">
        <f t="shared" si="9"/>
        <v>0.8620689655</v>
      </c>
      <c r="AE175" s="3">
        <f t="shared" si="10"/>
        <v>0.8620689655</v>
      </c>
      <c r="AF175" s="3">
        <f t="shared" si="11"/>
        <v>1.724137931</v>
      </c>
      <c r="AG175" s="3">
        <f t="shared" si="12"/>
        <v>0.5034482759</v>
      </c>
    </row>
    <row r="176">
      <c r="A176" s="1" t="s">
        <v>11</v>
      </c>
      <c r="B176" s="1" t="s">
        <v>401</v>
      </c>
      <c r="C176" s="1" t="s">
        <v>18</v>
      </c>
      <c r="D176" s="1" t="s">
        <v>83</v>
      </c>
      <c r="E176" s="1" t="s">
        <v>135</v>
      </c>
      <c r="F176" s="1" t="s">
        <v>615</v>
      </c>
      <c r="G176" s="1">
        <v>47.5</v>
      </c>
      <c r="H176" s="1" t="s">
        <v>60</v>
      </c>
      <c r="I176" s="1">
        <v>-115.0</v>
      </c>
      <c r="J176" s="1">
        <v>-0.0820040767272093</v>
      </c>
      <c r="K176" s="1" t="s">
        <v>61</v>
      </c>
      <c r="L176" s="1" t="s">
        <v>61</v>
      </c>
      <c r="M176" s="1" t="s">
        <v>62</v>
      </c>
      <c r="N176" s="1">
        <v>-112.0</v>
      </c>
      <c r="O176" s="1">
        <v>0.0188749769936981</v>
      </c>
      <c r="P176" s="1" t="s">
        <v>61</v>
      </c>
      <c r="Q176" s="1" t="s">
        <v>61</v>
      </c>
      <c r="R176" s="1">
        <f t="shared" si="1"/>
        <v>0.01887497699</v>
      </c>
      <c r="S176" s="1">
        <f t="shared" si="2"/>
        <v>-112</v>
      </c>
      <c r="T176" s="1">
        <f t="shared" si="3"/>
        <v>1.892857143</v>
      </c>
      <c r="U176" s="1">
        <f t="shared" si="4"/>
        <v>0</v>
      </c>
      <c r="V176" s="3">
        <f t="shared" si="5"/>
        <v>1</v>
      </c>
      <c r="W176" s="3">
        <f t="shared" si="6"/>
        <v>2</v>
      </c>
      <c r="X176" s="3" t="str">
        <f>IFERROR(__xludf.DUMMYFUNCTION("split(B176,"" "")"),"C.")</f>
        <v>C.</v>
      </c>
      <c r="Y176" s="3" t="str">
        <f>IFERROR(__xludf.DUMMYFUNCTION("""COMPUTED_VALUE"""),"Sutton")</f>
        <v>Sutton</v>
      </c>
      <c r="AA176" s="3">
        <v>53.0</v>
      </c>
      <c r="AB176" s="3">
        <f t="shared" si="7"/>
        <v>1</v>
      </c>
      <c r="AC176" s="3">
        <f t="shared" si="8"/>
        <v>0</v>
      </c>
      <c r="AD176" s="3">
        <f t="shared" si="9"/>
        <v>0.8928571429</v>
      </c>
      <c r="AE176" s="3">
        <f t="shared" si="10"/>
        <v>-1</v>
      </c>
      <c r="AF176" s="3">
        <f t="shared" si="11"/>
        <v>-2</v>
      </c>
      <c r="AG176" s="3">
        <f t="shared" si="12"/>
        <v>-0.1157894737</v>
      </c>
    </row>
    <row r="177">
      <c r="A177" s="1" t="s">
        <v>16</v>
      </c>
      <c r="B177" s="1" t="s">
        <v>464</v>
      </c>
      <c r="C177" s="1" t="s">
        <v>21</v>
      </c>
      <c r="D177" s="1" t="s">
        <v>83</v>
      </c>
      <c r="E177" s="1" t="s">
        <v>135</v>
      </c>
      <c r="F177" s="1" t="s">
        <v>615</v>
      </c>
      <c r="G177" s="1">
        <v>29.5</v>
      </c>
      <c r="H177" s="1" t="s">
        <v>60</v>
      </c>
      <c r="I177" s="1">
        <v>-117.0</v>
      </c>
      <c r="J177" s="1">
        <v>-0.0876763383410138</v>
      </c>
      <c r="K177" s="1" t="s">
        <v>61</v>
      </c>
      <c r="L177" s="1" t="s">
        <v>61</v>
      </c>
      <c r="M177" s="1" t="s">
        <v>62</v>
      </c>
      <c r="N177" s="1">
        <v>-113.0</v>
      </c>
      <c r="O177" s="1">
        <v>0.0179751592704225</v>
      </c>
      <c r="P177" s="1" t="s">
        <v>61</v>
      </c>
      <c r="Q177" s="1" t="s">
        <v>61</v>
      </c>
      <c r="R177" s="1">
        <f t="shared" si="1"/>
        <v>0.01797515927</v>
      </c>
      <c r="S177" s="1">
        <f t="shared" si="2"/>
        <v>-113</v>
      </c>
      <c r="T177" s="1">
        <f t="shared" si="3"/>
        <v>1.884955752</v>
      </c>
      <c r="U177" s="1">
        <f t="shared" si="4"/>
        <v>0</v>
      </c>
      <c r="V177" s="3">
        <f t="shared" si="5"/>
        <v>1</v>
      </c>
      <c r="W177" s="3">
        <f t="shared" si="6"/>
        <v>2</v>
      </c>
      <c r="X177" s="3" t="str">
        <f>IFERROR(__xludf.DUMMYFUNCTION("split(B177,"" "")"),"B.")</f>
        <v>B.</v>
      </c>
      <c r="Y177" s="3" t="str">
        <f>IFERROR(__xludf.DUMMYFUNCTION("""COMPUTED_VALUE"""),"Nix")</f>
        <v>Nix</v>
      </c>
      <c r="AA177" s="3">
        <v>33.0</v>
      </c>
      <c r="AB177" s="3">
        <f t="shared" si="7"/>
        <v>1</v>
      </c>
      <c r="AC177" s="3">
        <f t="shared" si="8"/>
        <v>0</v>
      </c>
      <c r="AD177" s="3">
        <f t="shared" si="9"/>
        <v>0.8849557522</v>
      </c>
      <c r="AE177" s="3">
        <f t="shared" si="10"/>
        <v>-1</v>
      </c>
      <c r="AF177" s="3">
        <f t="shared" si="11"/>
        <v>-2</v>
      </c>
      <c r="AG177" s="3">
        <f t="shared" si="12"/>
        <v>-0.1186440678</v>
      </c>
    </row>
    <row r="178">
      <c r="A178" s="1" t="s">
        <v>11</v>
      </c>
      <c r="B178" s="1" t="s">
        <v>127</v>
      </c>
      <c r="C178" s="1" t="s">
        <v>19</v>
      </c>
      <c r="D178" s="1" t="s">
        <v>83</v>
      </c>
      <c r="E178" s="1" t="s">
        <v>135</v>
      </c>
      <c r="F178" s="1" t="s">
        <v>615</v>
      </c>
      <c r="G178" s="1">
        <v>18.5</v>
      </c>
      <c r="H178" s="1" t="s">
        <v>60</v>
      </c>
      <c r="I178" s="1">
        <v>-118.0</v>
      </c>
      <c r="J178" s="1">
        <v>-0.0788220994205413</v>
      </c>
      <c r="K178" s="1" t="s">
        <v>61</v>
      </c>
      <c r="L178" s="1" t="s">
        <v>61</v>
      </c>
      <c r="M178" s="1" t="s">
        <v>62</v>
      </c>
      <c r="N178" s="1">
        <v>-111.0</v>
      </c>
      <c r="O178" s="1">
        <v>0.0114768797051307</v>
      </c>
      <c r="P178" s="1" t="s">
        <v>61</v>
      </c>
      <c r="Q178" s="1" t="s">
        <v>61</v>
      </c>
      <c r="R178" s="1">
        <f t="shared" si="1"/>
        <v>0.01147687971</v>
      </c>
      <c r="S178" s="1">
        <f t="shared" si="2"/>
        <v>-111</v>
      </c>
      <c r="T178" s="1">
        <f t="shared" si="3"/>
        <v>1.900900901</v>
      </c>
      <c r="U178" s="1">
        <f t="shared" si="4"/>
        <v>0</v>
      </c>
      <c r="V178" s="3">
        <f t="shared" si="5"/>
        <v>1</v>
      </c>
      <c r="W178" s="3">
        <f t="shared" si="6"/>
        <v>2</v>
      </c>
      <c r="X178" s="3" t="str">
        <f>IFERROR(__xludf.DUMMYFUNCTION("split(B178,"" "")"),"J.")</f>
        <v>J.</v>
      </c>
      <c r="Y178" s="3" t="str">
        <f>IFERROR(__xludf.DUMMYFUNCTION("""COMPUTED_VALUE"""),"Williams")</f>
        <v>Williams</v>
      </c>
      <c r="AA178" s="3">
        <v>13.0</v>
      </c>
      <c r="AB178" s="3">
        <f t="shared" si="7"/>
        <v>0</v>
      </c>
      <c r="AC178" s="3">
        <f t="shared" si="8"/>
        <v>1</v>
      </c>
      <c r="AD178" s="3">
        <f t="shared" si="9"/>
        <v>0.9009009009</v>
      </c>
      <c r="AE178" s="3">
        <f t="shared" si="10"/>
        <v>0.9009009009</v>
      </c>
      <c r="AF178" s="3">
        <f t="shared" si="11"/>
        <v>1.801801802</v>
      </c>
      <c r="AG178" s="3">
        <f t="shared" si="12"/>
        <v>0.2972972973</v>
      </c>
    </row>
    <row r="179">
      <c r="A179" s="1" t="s">
        <v>10</v>
      </c>
      <c r="B179" s="1" t="s">
        <v>127</v>
      </c>
      <c r="C179" s="1" t="s">
        <v>19</v>
      </c>
      <c r="D179" s="1" t="s">
        <v>83</v>
      </c>
      <c r="E179" s="1" t="s">
        <v>135</v>
      </c>
      <c r="F179" s="1" t="s">
        <v>615</v>
      </c>
      <c r="G179" s="1">
        <v>49.5</v>
      </c>
      <c r="H179" s="1" t="s">
        <v>60</v>
      </c>
      <c r="I179" s="1">
        <v>-114.0</v>
      </c>
      <c r="J179" s="1">
        <v>-0.0736777081094823</v>
      </c>
      <c r="K179" s="1" t="s">
        <v>61</v>
      </c>
      <c r="L179" s="1" t="s">
        <v>61</v>
      </c>
      <c r="M179" s="1" t="s">
        <v>62</v>
      </c>
      <c r="N179" s="1">
        <v>-115.0</v>
      </c>
      <c r="O179" s="1">
        <v>0.0061223457933982</v>
      </c>
      <c r="P179" s="1" t="s">
        <v>61</v>
      </c>
      <c r="Q179" s="1" t="s">
        <v>61</v>
      </c>
      <c r="R179" s="1">
        <f t="shared" si="1"/>
        <v>0.006122345793</v>
      </c>
      <c r="S179" s="1">
        <f t="shared" si="2"/>
        <v>-115</v>
      </c>
      <c r="T179" s="1">
        <f t="shared" si="3"/>
        <v>1.869565217</v>
      </c>
      <c r="U179" s="1">
        <f t="shared" si="4"/>
        <v>0</v>
      </c>
      <c r="V179" s="3">
        <f t="shared" si="5"/>
        <v>1</v>
      </c>
      <c r="W179" s="3">
        <f t="shared" si="6"/>
        <v>2</v>
      </c>
      <c r="X179" s="3" t="str">
        <f>IFERROR(__xludf.DUMMYFUNCTION("split(B179,"" "")"),"J.")</f>
        <v>J.</v>
      </c>
      <c r="Y179" s="3" t="str">
        <f>IFERROR(__xludf.DUMMYFUNCTION("""COMPUTED_VALUE"""),"Williams")</f>
        <v>Williams</v>
      </c>
      <c r="AA179" s="3">
        <v>23.0</v>
      </c>
      <c r="AB179" s="3">
        <f t="shared" si="7"/>
        <v>0</v>
      </c>
      <c r="AC179" s="3">
        <f t="shared" si="8"/>
        <v>1</v>
      </c>
      <c r="AD179" s="3">
        <f t="shared" si="9"/>
        <v>0.8695652174</v>
      </c>
      <c r="AE179" s="3">
        <f t="shared" si="10"/>
        <v>0.8695652174</v>
      </c>
      <c r="AF179" s="3">
        <f t="shared" si="11"/>
        <v>1.739130435</v>
      </c>
      <c r="AG179" s="3">
        <f t="shared" si="12"/>
        <v>0.5353535354</v>
      </c>
    </row>
    <row r="180">
      <c r="A180" s="1" t="s">
        <v>12</v>
      </c>
      <c r="B180" s="1" t="s">
        <v>401</v>
      </c>
      <c r="C180" s="1" t="s">
        <v>18</v>
      </c>
      <c r="D180" s="1" t="s">
        <v>83</v>
      </c>
      <c r="E180" s="1" t="s">
        <v>135</v>
      </c>
      <c r="F180" s="1" t="s">
        <v>615</v>
      </c>
      <c r="G180" s="1">
        <v>4.5</v>
      </c>
      <c r="H180" s="1" t="s">
        <v>60</v>
      </c>
      <c r="I180" s="1">
        <v>123.0</v>
      </c>
      <c r="J180" s="1">
        <v>0.00566950672645744</v>
      </c>
      <c r="K180" s="1" t="s">
        <v>61</v>
      </c>
      <c r="L180" s="1" t="s">
        <v>61</v>
      </c>
      <c r="M180" s="1" t="s">
        <v>62</v>
      </c>
      <c r="N180" s="1">
        <v>-162.0</v>
      </c>
      <c r="O180" s="1">
        <v>-0.0724206106870227</v>
      </c>
      <c r="P180" s="1" t="s">
        <v>61</v>
      </c>
      <c r="Q180" s="1" t="s">
        <v>61</v>
      </c>
      <c r="R180" s="1">
        <f t="shared" si="1"/>
        <v>0.005669506726</v>
      </c>
      <c r="S180" s="1">
        <f t="shared" si="2"/>
        <v>123</v>
      </c>
      <c r="T180" s="1">
        <f t="shared" si="3"/>
        <v>2.23</v>
      </c>
      <c r="U180" s="1">
        <f t="shared" si="4"/>
        <v>1</v>
      </c>
      <c r="V180" s="3">
        <f t="shared" si="5"/>
        <v>1</v>
      </c>
      <c r="W180" s="3">
        <f t="shared" si="6"/>
        <v>1</v>
      </c>
      <c r="X180" s="3" t="str">
        <f>IFERROR(__xludf.DUMMYFUNCTION("split(B180,"" "")"),"C.")</f>
        <v>C.</v>
      </c>
      <c r="Y180" s="3" t="str">
        <f>IFERROR(__xludf.DUMMYFUNCTION("""COMPUTED_VALUE"""),"Sutton")</f>
        <v>Sutton</v>
      </c>
      <c r="AA180" s="3">
        <v>4.0</v>
      </c>
      <c r="AB180" s="3">
        <f t="shared" si="7"/>
        <v>0</v>
      </c>
      <c r="AC180" s="3">
        <f t="shared" si="8"/>
        <v>0</v>
      </c>
      <c r="AD180" s="3">
        <f t="shared" si="9"/>
        <v>1.23</v>
      </c>
      <c r="AE180" s="3">
        <f t="shared" si="10"/>
        <v>-1</v>
      </c>
      <c r="AF180" s="3">
        <f t="shared" si="11"/>
        <v>-1</v>
      </c>
      <c r="AG180" s="3">
        <f t="shared" si="12"/>
        <v>-0.1111111111</v>
      </c>
    </row>
    <row r="181">
      <c r="A181" s="1" t="s">
        <v>15</v>
      </c>
      <c r="B181" s="1" t="s">
        <v>464</v>
      </c>
      <c r="C181" s="1" t="s">
        <v>21</v>
      </c>
      <c r="D181" s="1" t="s">
        <v>83</v>
      </c>
      <c r="E181" s="1" t="s">
        <v>135</v>
      </c>
      <c r="F181" s="1" t="s">
        <v>615</v>
      </c>
      <c r="G181" s="1">
        <v>18.5</v>
      </c>
      <c r="H181" s="1" t="s">
        <v>60</v>
      </c>
      <c r="I181" s="1">
        <v>-114.0</v>
      </c>
      <c r="J181" s="1">
        <v>-0.0727626238317756</v>
      </c>
      <c r="K181" s="1" t="s">
        <v>61</v>
      </c>
      <c r="L181" s="1" t="s">
        <v>61</v>
      </c>
      <c r="M181" s="1" t="s">
        <v>62</v>
      </c>
      <c r="N181" s="1">
        <v>-115.0</v>
      </c>
      <c r="O181" s="1">
        <v>0.0051617289534882</v>
      </c>
      <c r="P181" s="1" t="s">
        <v>61</v>
      </c>
      <c r="Q181" s="1" t="s">
        <v>61</v>
      </c>
      <c r="R181" s="1">
        <f t="shared" si="1"/>
        <v>0.005161728953</v>
      </c>
      <c r="S181" s="1">
        <f t="shared" si="2"/>
        <v>-115</v>
      </c>
      <c r="T181" s="1">
        <f t="shared" si="3"/>
        <v>1.869565217</v>
      </c>
      <c r="U181" s="1">
        <f t="shared" si="4"/>
        <v>0</v>
      </c>
      <c r="V181" s="3">
        <f t="shared" si="5"/>
        <v>1</v>
      </c>
      <c r="W181" s="3">
        <f t="shared" si="6"/>
        <v>2</v>
      </c>
      <c r="X181" s="3" t="str">
        <f>IFERROR(__xludf.DUMMYFUNCTION("split(B181,"" "")"),"B.")</f>
        <v>B.</v>
      </c>
      <c r="Y181" s="3" t="str">
        <f>IFERROR(__xludf.DUMMYFUNCTION("""COMPUTED_VALUE"""),"Nix")</f>
        <v>Nix</v>
      </c>
      <c r="AA181" s="3">
        <v>19.0</v>
      </c>
      <c r="AB181" s="3">
        <f t="shared" si="7"/>
        <v>1</v>
      </c>
      <c r="AC181" s="3">
        <f t="shared" si="8"/>
        <v>0</v>
      </c>
      <c r="AD181" s="3">
        <f t="shared" si="9"/>
        <v>0.8695652174</v>
      </c>
      <c r="AE181" s="3">
        <f t="shared" si="10"/>
        <v>-1</v>
      </c>
      <c r="AF181" s="3">
        <f t="shared" si="11"/>
        <v>-2</v>
      </c>
      <c r="AG181" s="3">
        <f t="shared" si="12"/>
        <v>-0.02702702703</v>
      </c>
    </row>
    <row r="182">
      <c r="A182" s="1" t="s">
        <v>12</v>
      </c>
      <c r="B182" s="1" t="s">
        <v>385</v>
      </c>
      <c r="C182" s="1" t="s">
        <v>18</v>
      </c>
      <c r="D182" s="1" t="s">
        <v>197</v>
      </c>
      <c r="E182" s="1" t="s">
        <v>88</v>
      </c>
      <c r="F182" s="1" t="s">
        <v>610</v>
      </c>
      <c r="G182" s="1">
        <v>7.5</v>
      </c>
      <c r="H182" s="1" t="s">
        <v>60</v>
      </c>
      <c r="I182" s="1">
        <v>118.0</v>
      </c>
      <c r="J182" s="1">
        <v>0.252038532110091</v>
      </c>
      <c r="K182" s="1" t="s">
        <v>61</v>
      </c>
      <c r="L182" s="1" t="s">
        <v>61</v>
      </c>
      <c r="M182" s="1" t="s">
        <v>62</v>
      </c>
      <c r="N182" s="1">
        <v>-152.0</v>
      </c>
      <c r="O182" s="1">
        <v>-0.31393492063492</v>
      </c>
      <c r="P182" s="1" t="s">
        <v>61</v>
      </c>
      <c r="Q182" s="1" t="s">
        <v>61</v>
      </c>
      <c r="R182" s="1">
        <f t="shared" si="1"/>
        <v>0.2520385321</v>
      </c>
      <c r="S182" s="1">
        <f t="shared" si="2"/>
        <v>118</v>
      </c>
      <c r="T182" s="1">
        <f t="shared" si="3"/>
        <v>2.18</v>
      </c>
      <c r="U182" s="1">
        <f t="shared" si="4"/>
        <v>1</v>
      </c>
      <c r="V182" s="3">
        <f t="shared" si="5"/>
        <v>3</v>
      </c>
      <c r="W182" s="3">
        <f t="shared" si="6"/>
        <v>1</v>
      </c>
      <c r="X182" s="3" t="str">
        <f>IFERROR(__xludf.DUMMYFUNCTION("split(B182,"" "")"),"A.")</f>
        <v>A.</v>
      </c>
      <c r="Y182" s="3" t="str">
        <f>IFERROR(__xludf.DUMMYFUNCTION("""COMPUTED_VALUE"""),"St.")</f>
        <v>St.</v>
      </c>
      <c r="Z182" s="3" t="str">
        <f>IFERROR(__xludf.DUMMYFUNCTION("""COMPUTED_VALUE"""),"Brown")</f>
        <v>Brown</v>
      </c>
      <c r="AA182" s="3">
        <v>4.0</v>
      </c>
      <c r="AB182" s="3">
        <f t="shared" si="7"/>
        <v>0</v>
      </c>
      <c r="AC182" s="3">
        <f t="shared" si="8"/>
        <v>0</v>
      </c>
      <c r="AD182" s="3">
        <f t="shared" si="9"/>
        <v>3.54</v>
      </c>
      <c r="AE182" s="3">
        <f t="shared" si="10"/>
        <v>-3</v>
      </c>
      <c r="AF182" s="3">
        <f t="shared" si="11"/>
        <v>-1</v>
      </c>
      <c r="AG182" s="3">
        <f t="shared" si="12"/>
        <v>-0.4666666667</v>
      </c>
    </row>
    <row r="183">
      <c r="A183" s="1" t="s">
        <v>12</v>
      </c>
      <c r="B183" s="1" t="s">
        <v>534</v>
      </c>
      <c r="C183" s="1" t="s">
        <v>18</v>
      </c>
      <c r="D183" s="1" t="s">
        <v>197</v>
      </c>
      <c r="E183" s="1" t="s">
        <v>88</v>
      </c>
      <c r="F183" s="1" t="s">
        <v>610</v>
      </c>
      <c r="G183" s="1">
        <v>1.5</v>
      </c>
      <c r="H183" s="1" t="s">
        <v>60</v>
      </c>
      <c r="I183" s="1">
        <v>-121.0</v>
      </c>
      <c r="J183" s="1">
        <v>-0.223752776135746</v>
      </c>
      <c r="K183" s="1" t="s">
        <v>61</v>
      </c>
      <c r="L183" s="1" t="s">
        <v>61</v>
      </c>
      <c r="M183" s="1" t="s">
        <v>62</v>
      </c>
      <c r="N183" s="1">
        <v>-109.0</v>
      </c>
      <c r="O183" s="1">
        <v>0.154701431786316</v>
      </c>
      <c r="P183" s="1" t="s">
        <v>61</v>
      </c>
      <c r="Q183" s="1" t="s">
        <v>61</v>
      </c>
      <c r="R183" s="1">
        <f t="shared" si="1"/>
        <v>0.1547014318</v>
      </c>
      <c r="S183" s="1">
        <f t="shared" si="2"/>
        <v>-109</v>
      </c>
      <c r="T183" s="1">
        <f t="shared" si="3"/>
        <v>1.917431193</v>
      </c>
      <c r="U183" s="1">
        <f t="shared" si="4"/>
        <v>0</v>
      </c>
      <c r="V183" s="3">
        <f t="shared" si="5"/>
        <v>3</v>
      </c>
      <c r="W183" s="3">
        <f t="shared" si="6"/>
        <v>2</v>
      </c>
      <c r="X183" s="3" t="str">
        <f>IFERROR(__xludf.DUMMYFUNCTION("split(B183,"" "")"),"T.")</f>
        <v>T.</v>
      </c>
      <c r="Y183" s="3" t="str">
        <f>IFERROR(__xludf.DUMMYFUNCTION("""COMPUTED_VALUE"""),"Patrick")</f>
        <v>Patrick</v>
      </c>
      <c r="AA183" s="3">
        <v>3.0</v>
      </c>
      <c r="AB183" s="3">
        <f t="shared" si="7"/>
        <v>1</v>
      </c>
      <c r="AC183" s="3">
        <f t="shared" si="8"/>
        <v>0</v>
      </c>
      <c r="AD183" s="3">
        <f t="shared" si="9"/>
        <v>2.752293578</v>
      </c>
      <c r="AE183" s="3">
        <f t="shared" si="10"/>
        <v>-3</v>
      </c>
      <c r="AF183" s="3">
        <f t="shared" si="11"/>
        <v>-2</v>
      </c>
      <c r="AG183" s="3">
        <f t="shared" si="12"/>
        <v>-1</v>
      </c>
    </row>
    <row r="184">
      <c r="A184" s="1" t="s">
        <v>10</v>
      </c>
      <c r="B184" s="1" t="s">
        <v>241</v>
      </c>
      <c r="C184" s="1" t="s">
        <v>21</v>
      </c>
      <c r="D184" s="1" t="s">
        <v>197</v>
      </c>
      <c r="E184" s="1" t="s">
        <v>88</v>
      </c>
      <c r="F184" s="1" t="s">
        <v>610</v>
      </c>
      <c r="G184" s="1">
        <v>0.5</v>
      </c>
      <c r="H184" s="1" t="s">
        <v>60</v>
      </c>
      <c r="I184" s="1">
        <v>-109.0</v>
      </c>
      <c r="J184" s="1">
        <v>0.134820115319616</v>
      </c>
      <c r="K184" s="1" t="s">
        <v>61</v>
      </c>
      <c r="L184" s="1" t="s">
        <v>61</v>
      </c>
      <c r="M184" s="1" t="s">
        <v>62</v>
      </c>
      <c r="N184" s="1">
        <v>-121.0</v>
      </c>
      <c r="O184" s="1">
        <v>-0.203841058656975</v>
      </c>
      <c r="P184" s="1" t="s">
        <v>61</v>
      </c>
      <c r="Q184" s="1" t="s">
        <v>61</v>
      </c>
      <c r="R184" s="1">
        <f t="shared" si="1"/>
        <v>0.1348201153</v>
      </c>
      <c r="S184" s="1">
        <f t="shared" si="2"/>
        <v>-109</v>
      </c>
      <c r="T184" s="1">
        <f t="shared" si="3"/>
        <v>1.917431193</v>
      </c>
      <c r="U184" s="1">
        <f t="shared" si="4"/>
        <v>1</v>
      </c>
      <c r="V184" s="3">
        <f t="shared" si="5"/>
        <v>3</v>
      </c>
      <c r="W184" s="3">
        <f t="shared" si="6"/>
        <v>2</v>
      </c>
      <c r="X184" s="3" t="str">
        <f>IFERROR(__xludf.DUMMYFUNCTION("split(B184,"" "")"),"J.")</f>
        <v>J.</v>
      </c>
      <c r="Y184" s="3" t="str">
        <f>IFERROR(__xludf.DUMMYFUNCTION("""COMPUTED_VALUE"""),"Goff")</f>
        <v>Goff</v>
      </c>
      <c r="AA184" s="3">
        <v>5.0</v>
      </c>
      <c r="AB184" s="3">
        <f t="shared" si="7"/>
        <v>1</v>
      </c>
      <c r="AC184" s="3">
        <f t="shared" si="8"/>
        <v>1</v>
      </c>
      <c r="AD184" s="3">
        <f t="shared" si="9"/>
        <v>2.752293578</v>
      </c>
      <c r="AE184" s="3">
        <f t="shared" si="10"/>
        <v>2.752293578</v>
      </c>
      <c r="AF184" s="3">
        <f t="shared" si="11"/>
        <v>1.834862385</v>
      </c>
      <c r="AG184" s="3">
        <f t="shared" si="12"/>
        <v>9</v>
      </c>
    </row>
    <row r="185">
      <c r="A185" s="1" t="s">
        <v>9</v>
      </c>
      <c r="B185" s="1" t="s">
        <v>534</v>
      </c>
      <c r="C185" s="1" t="s">
        <v>18</v>
      </c>
      <c r="D185" s="1" t="s">
        <v>197</v>
      </c>
      <c r="E185" s="1" t="s">
        <v>88</v>
      </c>
      <c r="F185" s="1" t="s">
        <v>610</v>
      </c>
      <c r="G185" s="1">
        <v>17.5</v>
      </c>
      <c r="H185" s="1" t="s">
        <v>60</v>
      </c>
      <c r="I185" s="1">
        <v>-115.0</v>
      </c>
      <c r="J185" s="1">
        <v>0.123895329222425</v>
      </c>
      <c r="K185" s="1" t="s">
        <v>61</v>
      </c>
      <c r="L185" s="1" t="s">
        <v>61</v>
      </c>
      <c r="M185" s="1" t="s">
        <v>62</v>
      </c>
      <c r="N185" s="1">
        <v>-118.0</v>
      </c>
      <c r="O185" s="1">
        <v>-0.200010894604263</v>
      </c>
      <c r="P185" s="1" t="s">
        <v>61</v>
      </c>
      <c r="Q185" s="1" t="s">
        <v>61</v>
      </c>
      <c r="R185" s="1">
        <f t="shared" si="1"/>
        <v>0.1238953292</v>
      </c>
      <c r="S185" s="1">
        <f t="shared" si="2"/>
        <v>-115</v>
      </c>
      <c r="T185" s="1">
        <f t="shared" si="3"/>
        <v>1.869565217</v>
      </c>
      <c r="U185" s="1">
        <f t="shared" si="4"/>
        <v>1</v>
      </c>
      <c r="V185" s="3">
        <f t="shared" si="5"/>
        <v>3</v>
      </c>
      <c r="W185" s="3">
        <f t="shared" si="6"/>
        <v>2</v>
      </c>
      <c r="X185" s="3" t="str">
        <f>IFERROR(__xludf.DUMMYFUNCTION("split(B185,"" "")"),"T.")</f>
        <v>T.</v>
      </c>
      <c r="Y185" s="3" t="str">
        <f>IFERROR(__xludf.DUMMYFUNCTION("""COMPUTED_VALUE"""),"Patrick")</f>
        <v>Patrick</v>
      </c>
      <c r="AA185" s="3">
        <v>68.0</v>
      </c>
      <c r="AB185" s="3">
        <f t="shared" si="7"/>
        <v>1</v>
      </c>
      <c r="AC185" s="3">
        <f t="shared" si="8"/>
        <v>1</v>
      </c>
      <c r="AD185" s="3">
        <f t="shared" si="9"/>
        <v>2.608695652</v>
      </c>
      <c r="AE185" s="3">
        <f t="shared" si="10"/>
        <v>2.608695652</v>
      </c>
      <c r="AF185" s="3">
        <f t="shared" si="11"/>
        <v>1.739130435</v>
      </c>
      <c r="AG185" s="3">
        <f t="shared" si="12"/>
        <v>2.885714286</v>
      </c>
    </row>
    <row r="186">
      <c r="A186" s="1" t="s">
        <v>12</v>
      </c>
      <c r="B186" s="1" t="s">
        <v>446</v>
      </c>
      <c r="C186" s="1" t="s">
        <v>19</v>
      </c>
      <c r="D186" s="1" t="s">
        <v>197</v>
      </c>
      <c r="E186" s="1" t="s">
        <v>88</v>
      </c>
      <c r="F186" s="1" t="s">
        <v>610</v>
      </c>
      <c r="G186" s="1">
        <v>1.5</v>
      </c>
      <c r="H186" s="1" t="s">
        <v>60</v>
      </c>
      <c r="I186" s="1">
        <v>-114.0</v>
      </c>
      <c r="J186" s="1">
        <v>-0.168547820186915</v>
      </c>
      <c r="K186" s="1" t="s">
        <v>61</v>
      </c>
      <c r="L186" s="1" t="s">
        <v>61</v>
      </c>
      <c r="M186" s="1" t="s">
        <v>62</v>
      </c>
      <c r="N186" s="1">
        <v>-115.0</v>
      </c>
      <c r="O186" s="1">
        <v>0.100959249060465</v>
      </c>
      <c r="P186" s="1" t="s">
        <v>61</v>
      </c>
      <c r="Q186" s="1" t="s">
        <v>61</v>
      </c>
      <c r="R186" s="1">
        <f t="shared" si="1"/>
        <v>0.1009592491</v>
      </c>
      <c r="S186" s="1">
        <f t="shared" si="2"/>
        <v>-115</v>
      </c>
      <c r="T186" s="1">
        <f t="shared" si="3"/>
        <v>1.869565217</v>
      </c>
      <c r="U186" s="1">
        <f t="shared" si="4"/>
        <v>0</v>
      </c>
      <c r="V186" s="3">
        <f t="shared" si="5"/>
        <v>3</v>
      </c>
      <c r="W186" s="3">
        <f t="shared" si="6"/>
        <v>2</v>
      </c>
      <c r="X186" s="3" t="str">
        <f>IFERROR(__xludf.DUMMYFUNCTION("split(B186,"" "")"),"D.")</f>
        <v>D.</v>
      </c>
      <c r="Y186" s="3" t="str">
        <f>IFERROR(__xludf.DUMMYFUNCTION("""COMPUTED_VALUE"""),"Montgomery")</f>
        <v>Montgomery</v>
      </c>
      <c r="AA186" s="3">
        <v>1.0</v>
      </c>
      <c r="AB186" s="3">
        <f t="shared" si="7"/>
        <v>0</v>
      </c>
      <c r="AC186" s="3">
        <f t="shared" si="8"/>
        <v>1</v>
      </c>
      <c r="AD186" s="3">
        <f t="shared" si="9"/>
        <v>2.608695652</v>
      </c>
      <c r="AE186" s="3">
        <f t="shared" si="10"/>
        <v>2.608695652</v>
      </c>
      <c r="AF186" s="3">
        <f t="shared" si="11"/>
        <v>1.739130435</v>
      </c>
      <c r="AG186" s="3">
        <f t="shared" si="12"/>
        <v>0.3333333333</v>
      </c>
    </row>
    <row r="187">
      <c r="A187" s="1" t="s">
        <v>8</v>
      </c>
      <c r="B187" s="1" t="s">
        <v>393</v>
      </c>
      <c r="C187" s="1" t="s">
        <v>19</v>
      </c>
      <c r="D187" s="1" t="s">
        <v>197</v>
      </c>
      <c r="E187" s="1" t="s">
        <v>88</v>
      </c>
      <c r="F187" s="1" t="s">
        <v>610</v>
      </c>
      <c r="G187" s="1">
        <v>12.5</v>
      </c>
      <c r="H187" s="1" t="s">
        <v>60</v>
      </c>
      <c r="I187" s="1">
        <v>-119.0</v>
      </c>
      <c r="J187" s="1">
        <v>-0.156504490394429</v>
      </c>
      <c r="K187" s="1" t="s">
        <v>61</v>
      </c>
      <c r="L187" s="1" t="s">
        <v>61</v>
      </c>
      <c r="M187" s="1" t="s">
        <v>62</v>
      </c>
      <c r="N187" s="1">
        <v>-111.0</v>
      </c>
      <c r="O187" s="1">
        <v>0.0870173960662645</v>
      </c>
      <c r="P187" s="1" t="s">
        <v>61</v>
      </c>
      <c r="Q187" s="1" t="s">
        <v>61</v>
      </c>
      <c r="R187" s="1">
        <f t="shared" si="1"/>
        <v>0.08701739607</v>
      </c>
      <c r="S187" s="1">
        <f t="shared" si="2"/>
        <v>-111</v>
      </c>
      <c r="T187" s="1">
        <f t="shared" si="3"/>
        <v>1.900900901</v>
      </c>
      <c r="U187" s="1">
        <f t="shared" si="4"/>
        <v>0</v>
      </c>
      <c r="V187" s="3">
        <f t="shared" si="5"/>
        <v>2</v>
      </c>
      <c r="W187" s="3">
        <f t="shared" si="6"/>
        <v>2</v>
      </c>
      <c r="X187" s="3" t="str">
        <f>IFERROR(__xludf.DUMMYFUNCTION("split(B187,"" "")"),"J.")</f>
        <v>J.</v>
      </c>
      <c r="Y187" s="3" t="str">
        <f>IFERROR(__xludf.DUMMYFUNCTION("""COMPUTED_VALUE"""),"Gibbs")</f>
        <v>Gibbs</v>
      </c>
      <c r="AA187" s="3">
        <v>12.0</v>
      </c>
      <c r="AB187" s="3">
        <f t="shared" si="7"/>
        <v>0</v>
      </c>
      <c r="AC187" s="3">
        <f t="shared" si="8"/>
        <v>1</v>
      </c>
      <c r="AD187" s="3">
        <f t="shared" si="9"/>
        <v>1.801801802</v>
      </c>
      <c r="AE187" s="3">
        <f t="shared" si="10"/>
        <v>1.801801802</v>
      </c>
      <c r="AF187" s="3">
        <f t="shared" si="11"/>
        <v>1.801801802</v>
      </c>
      <c r="AG187" s="3">
        <f t="shared" si="12"/>
        <v>0.04</v>
      </c>
    </row>
    <row r="188">
      <c r="A188" s="1" t="s">
        <v>15</v>
      </c>
      <c r="B188" s="1" t="s">
        <v>241</v>
      </c>
      <c r="C188" s="1" t="s">
        <v>21</v>
      </c>
      <c r="D188" s="1" t="s">
        <v>197</v>
      </c>
      <c r="E188" s="1" t="s">
        <v>88</v>
      </c>
      <c r="F188" s="1" t="s">
        <v>610</v>
      </c>
      <c r="G188" s="1">
        <v>23.5</v>
      </c>
      <c r="H188" s="1" t="s">
        <v>60</v>
      </c>
      <c r="I188" s="1">
        <v>-101.0</v>
      </c>
      <c r="J188" s="1">
        <v>0.0828626865671642</v>
      </c>
      <c r="K188" s="1" t="s">
        <v>61</v>
      </c>
      <c r="L188" s="1" t="s">
        <v>61</v>
      </c>
      <c r="M188" s="1" t="s">
        <v>62</v>
      </c>
      <c r="N188" s="1">
        <v>-130.0</v>
      </c>
      <c r="O188" s="1">
        <v>-0.150560869565217</v>
      </c>
      <c r="P188" s="1" t="s">
        <v>61</v>
      </c>
      <c r="Q188" s="1" t="s">
        <v>61</v>
      </c>
      <c r="R188" s="1">
        <f t="shared" si="1"/>
        <v>0.08286268657</v>
      </c>
      <c r="S188" s="1">
        <f t="shared" si="2"/>
        <v>-101</v>
      </c>
      <c r="T188" s="1">
        <f t="shared" si="3"/>
        <v>1.99009901</v>
      </c>
      <c r="U188" s="1">
        <f t="shared" si="4"/>
        <v>1</v>
      </c>
      <c r="V188" s="3">
        <f t="shared" si="5"/>
        <v>2</v>
      </c>
      <c r="W188" s="3">
        <f t="shared" si="6"/>
        <v>2</v>
      </c>
      <c r="X188" s="3" t="str">
        <f>IFERROR(__xludf.DUMMYFUNCTION("split(B188,"" "")"),"J.")</f>
        <v>J.</v>
      </c>
      <c r="Y188" s="3" t="str">
        <f>IFERROR(__xludf.DUMMYFUNCTION("""COMPUTED_VALUE"""),"Goff")</f>
        <v>Goff</v>
      </c>
      <c r="AA188" s="3">
        <v>18.0</v>
      </c>
      <c r="AB188" s="3">
        <f t="shared" si="7"/>
        <v>0</v>
      </c>
      <c r="AC188" s="3">
        <f t="shared" si="8"/>
        <v>0</v>
      </c>
      <c r="AD188" s="3">
        <f t="shared" si="9"/>
        <v>1.98019802</v>
      </c>
      <c r="AE188" s="3">
        <f t="shared" si="10"/>
        <v>-2</v>
      </c>
      <c r="AF188" s="3">
        <f t="shared" si="11"/>
        <v>-2</v>
      </c>
      <c r="AG188" s="3">
        <f t="shared" si="12"/>
        <v>-0.2340425532</v>
      </c>
    </row>
    <row r="189">
      <c r="A189" s="1" t="s">
        <v>12</v>
      </c>
      <c r="B189" s="1" t="s">
        <v>498</v>
      </c>
      <c r="C189" s="1" t="s">
        <v>20</v>
      </c>
      <c r="D189" s="1" t="s">
        <v>197</v>
      </c>
      <c r="E189" s="1" t="s">
        <v>88</v>
      </c>
      <c r="F189" s="1" t="s">
        <v>610</v>
      </c>
      <c r="G189" s="1">
        <v>4.5</v>
      </c>
      <c r="H189" s="1" t="s">
        <v>60</v>
      </c>
      <c r="I189" s="1">
        <v>120.0</v>
      </c>
      <c r="J189" s="1">
        <v>0.0679090909090909</v>
      </c>
      <c r="K189" s="1" t="s">
        <v>61</v>
      </c>
      <c r="L189" s="1" t="s">
        <v>61</v>
      </c>
      <c r="M189" s="1" t="s">
        <v>62</v>
      </c>
      <c r="N189" s="1">
        <v>-156.0</v>
      </c>
      <c r="O189" s="1">
        <v>-0.1318359375</v>
      </c>
      <c r="P189" s="1" t="s">
        <v>61</v>
      </c>
      <c r="Q189" s="1" t="s">
        <v>61</v>
      </c>
      <c r="R189" s="1">
        <f t="shared" si="1"/>
        <v>0.06790909091</v>
      </c>
      <c r="S189" s="1">
        <f t="shared" si="2"/>
        <v>120</v>
      </c>
      <c r="T189" s="1">
        <f t="shared" si="3"/>
        <v>2.2</v>
      </c>
      <c r="U189" s="1">
        <f t="shared" si="4"/>
        <v>1</v>
      </c>
      <c r="V189" s="3">
        <f t="shared" si="5"/>
        <v>2</v>
      </c>
      <c r="W189" s="3">
        <f t="shared" si="6"/>
        <v>1</v>
      </c>
      <c r="X189" s="3" t="str">
        <f>IFERROR(__xludf.DUMMYFUNCTION("split(B189,"" "")"),"S.")</f>
        <v>S.</v>
      </c>
      <c r="Y189" s="3" t="str">
        <f>IFERROR(__xludf.DUMMYFUNCTION("""COMPUTED_VALUE"""),"LaPorta")</f>
        <v>LaPorta</v>
      </c>
      <c r="AA189" s="3">
        <v>1.0</v>
      </c>
      <c r="AB189" s="3">
        <f t="shared" si="7"/>
        <v>0</v>
      </c>
      <c r="AC189" s="3">
        <f t="shared" si="8"/>
        <v>0</v>
      </c>
      <c r="AD189" s="3">
        <f t="shared" si="9"/>
        <v>2.4</v>
      </c>
      <c r="AE189" s="3">
        <f t="shared" si="10"/>
        <v>-2</v>
      </c>
      <c r="AF189" s="3">
        <f t="shared" si="11"/>
        <v>-1</v>
      </c>
      <c r="AG189" s="3">
        <f t="shared" si="12"/>
        <v>-0.7777777778</v>
      </c>
    </row>
    <row r="190">
      <c r="A190" s="1" t="s">
        <v>17</v>
      </c>
      <c r="B190" s="1" t="s">
        <v>241</v>
      </c>
      <c r="C190" s="1" t="s">
        <v>21</v>
      </c>
      <c r="D190" s="1" t="s">
        <v>197</v>
      </c>
      <c r="E190" s="1" t="s">
        <v>88</v>
      </c>
      <c r="F190" s="1" t="s">
        <v>610</v>
      </c>
      <c r="G190" s="1">
        <v>0.5</v>
      </c>
      <c r="H190" s="1" t="s">
        <v>60</v>
      </c>
      <c r="I190" s="1">
        <v>-141.0</v>
      </c>
      <c r="J190" s="1">
        <v>-0.1335622406639</v>
      </c>
      <c r="K190" s="1" t="s">
        <v>61</v>
      </c>
      <c r="L190" s="1" t="s">
        <v>61</v>
      </c>
      <c r="M190" s="1" t="s">
        <v>62</v>
      </c>
      <c r="N190" s="1">
        <v>107.0</v>
      </c>
      <c r="O190" s="1">
        <v>0.0654082125603865</v>
      </c>
      <c r="P190" s="1" t="s">
        <v>61</v>
      </c>
      <c r="Q190" s="1" t="s">
        <v>61</v>
      </c>
      <c r="R190" s="1">
        <f t="shared" si="1"/>
        <v>0.06540821256</v>
      </c>
      <c r="S190" s="1">
        <f t="shared" si="2"/>
        <v>107</v>
      </c>
      <c r="T190" s="1">
        <f t="shared" si="3"/>
        <v>2.07</v>
      </c>
      <c r="U190" s="1">
        <f t="shared" si="4"/>
        <v>0</v>
      </c>
      <c r="V190" s="3">
        <f t="shared" si="5"/>
        <v>2</v>
      </c>
      <c r="W190" s="3">
        <f t="shared" si="6"/>
        <v>2</v>
      </c>
      <c r="X190" s="3" t="str">
        <f>IFERROR(__xludf.DUMMYFUNCTION("split(B190,"" "")"),"J.")</f>
        <v>J.</v>
      </c>
      <c r="Y190" s="3" t="str">
        <f>IFERROR(__xludf.DUMMYFUNCTION("""COMPUTED_VALUE"""),"Goff")</f>
        <v>Goff</v>
      </c>
      <c r="AA190" s="3">
        <v>0.0</v>
      </c>
      <c r="AB190" s="3">
        <f t="shared" si="7"/>
        <v>0</v>
      </c>
      <c r="AC190" s="3">
        <f t="shared" si="8"/>
        <v>1</v>
      </c>
      <c r="AD190" s="3">
        <f t="shared" si="9"/>
        <v>2.14</v>
      </c>
      <c r="AE190" s="3">
        <f t="shared" si="10"/>
        <v>2.14</v>
      </c>
      <c r="AF190" s="3">
        <f t="shared" si="11"/>
        <v>2.14</v>
      </c>
      <c r="AG190" s="3">
        <f t="shared" si="12"/>
        <v>1</v>
      </c>
    </row>
    <row r="191">
      <c r="A191" s="1" t="s">
        <v>11</v>
      </c>
      <c r="B191" s="1" t="s">
        <v>617</v>
      </c>
      <c r="C191" s="1" t="s">
        <v>20</v>
      </c>
      <c r="D191" s="1" t="s">
        <v>197</v>
      </c>
      <c r="E191" s="1" t="s">
        <v>88</v>
      </c>
      <c r="F191" s="1" t="s">
        <v>610</v>
      </c>
      <c r="G191" s="1">
        <v>6.5</v>
      </c>
      <c r="H191" s="1" t="s">
        <v>60</v>
      </c>
      <c r="I191" s="1">
        <v>-116.0</v>
      </c>
      <c r="J191" s="1">
        <v>0.0575964440689032</v>
      </c>
      <c r="K191" s="1" t="s">
        <v>61</v>
      </c>
      <c r="L191" s="1" t="s">
        <v>61</v>
      </c>
      <c r="M191" s="1" t="s">
        <v>62</v>
      </c>
      <c r="N191" s="1">
        <v>-112.0</v>
      </c>
      <c r="O191" s="1">
        <v>-0.122925979948816</v>
      </c>
      <c r="P191" s="1" t="s">
        <v>61</v>
      </c>
      <c r="Q191" s="1" t="s">
        <v>61</v>
      </c>
      <c r="R191" s="1">
        <f t="shared" si="1"/>
        <v>0.05759644407</v>
      </c>
      <c r="S191" s="1">
        <f t="shared" si="2"/>
        <v>-116</v>
      </c>
      <c r="T191" s="1">
        <f t="shared" si="3"/>
        <v>1.862068966</v>
      </c>
      <c r="U191" s="1">
        <f t="shared" si="4"/>
        <v>1</v>
      </c>
      <c r="V191" s="3">
        <f t="shared" si="5"/>
        <v>2</v>
      </c>
      <c r="W191" s="3">
        <f t="shared" si="6"/>
        <v>2</v>
      </c>
      <c r="X191" s="3" t="str">
        <f>IFERROR(__xludf.DUMMYFUNCTION("split(B191,"" "")"),"B.")</f>
        <v>B.</v>
      </c>
      <c r="Y191" s="3" t="str">
        <f>IFERROR(__xludf.DUMMYFUNCTION("""COMPUTED_VALUE"""),"Wright")</f>
        <v>Wright</v>
      </c>
      <c r="AA191" s="3">
        <v>0.0</v>
      </c>
      <c r="AB191" s="3">
        <f t="shared" si="7"/>
        <v>0</v>
      </c>
      <c r="AC191" s="3">
        <f t="shared" si="8"/>
        <v>0</v>
      </c>
      <c r="AD191" s="3">
        <f t="shared" si="9"/>
        <v>1.724137931</v>
      </c>
      <c r="AE191" s="3">
        <f t="shared" si="10"/>
        <v>-2</v>
      </c>
      <c r="AF191" s="3">
        <f t="shared" si="11"/>
        <v>-2</v>
      </c>
      <c r="AG191" s="3">
        <f t="shared" si="12"/>
        <v>-1</v>
      </c>
    </row>
    <row r="192">
      <c r="A192" s="1" t="s">
        <v>10</v>
      </c>
      <c r="B192" s="1" t="s">
        <v>446</v>
      </c>
      <c r="C192" s="1" t="s">
        <v>19</v>
      </c>
      <c r="D192" s="1" t="s">
        <v>197</v>
      </c>
      <c r="E192" s="1" t="s">
        <v>88</v>
      </c>
      <c r="F192" s="1" t="s">
        <v>610</v>
      </c>
      <c r="G192" s="1">
        <v>57.5</v>
      </c>
      <c r="H192" s="1" t="s">
        <v>60</v>
      </c>
      <c r="I192" s="1">
        <v>-125.0</v>
      </c>
      <c r="J192" s="1">
        <v>-0.101254306497436</v>
      </c>
      <c r="K192" s="1" t="s">
        <v>61</v>
      </c>
      <c r="L192" s="1" t="s">
        <v>61</v>
      </c>
      <c r="M192" s="1" t="s">
        <v>62</v>
      </c>
      <c r="N192" s="1">
        <v>-104.0</v>
      </c>
      <c r="O192" s="1">
        <v>0.0358934758388245</v>
      </c>
      <c r="P192" s="1" t="s">
        <v>61</v>
      </c>
      <c r="Q192" s="1" t="s">
        <v>61</v>
      </c>
      <c r="R192" s="1">
        <f t="shared" si="1"/>
        <v>0.03589347584</v>
      </c>
      <c r="S192" s="1">
        <f t="shared" si="2"/>
        <v>-104</v>
      </c>
      <c r="T192" s="1">
        <f t="shared" si="3"/>
        <v>1.961538462</v>
      </c>
      <c r="U192" s="1">
        <f t="shared" si="4"/>
        <v>0</v>
      </c>
      <c r="V192" s="3">
        <f t="shared" si="5"/>
        <v>1</v>
      </c>
      <c r="W192" s="3">
        <f t="shared" si="6"/>
        <v>2</v>
      </c>
      <c r="X192" s="3" t="str">
        <f>IFERROR(__xludf.DUMMYFUNCTION("split(B192,"" "")"),"D.")</f>
        <v>D.</v>
      </c>
      <c r="Y192" s="3" t="str">
        <f>IFERROR(__xludf.DUMMYFUNCTION("""COMPUTED_VALUE"""),"Montgomery")</f>
        <v>Montgomery</v>
      </c>
      <c r="AA192" s="3">
        <v>80.0</v>
      </c>
      <c r="AB192" s="3">
        <f t="shared" si="7"/>
        <v>1</v>
      </c>
      <c r="AC192" s="3">
        <f t="shared" si="8"/>
        <v>0</v>
      </c>
      <c r="AD192" s="3">
        <f t="shared" si="9"/>
        <v>0.9615384615</v>
      </c>
      <c r="AE192" s="3">
        <f t="shared" si="10"/>
        <v>-1</v>
      </c>
      <c r="AF192" s="3">
        <f t="shared" si="11"/>
        <v>-2</v>
      </c>
      <c r="AG192" s="3">
        <f t="shared" si="12"/>
        <v>-0.3913043478</v>
      </c>
    </row>
    <row r="193">
      <c r="A193" s="1" t="s">
        <v>9</v>
      </c>
      <c r="B193" s="1" t="s">
        <v>393</v>
      </c>
      <c r="C193" s="1" t="s">
        <v>19</v>
      </c>
      <c r="D193" s="1" t="s">
        <v>197</v>
      </c>
      <c r="E193" s="1" t="s">
        <v>88</v>
      </c>
      <c r="F193" s="1" t="s">
        <v>610</v>
      </c>
      <c r="G193" s="1">
        <v>85.5</v>
      </c>
      <c r="H193" s="1" t="s">
        <v>60</v>
      </c>
      <c r="I193" s="1">
        <v>-117.0</v>
      </c>
      <c r="J193" s="1">
        <v>-0.109505856387092</v>
      </c>
      <c r="K193" s="1" t="s">
        <v>61</v>
      </c>
      <c r="L193" s="1" t="s">
        <v>61</v>
      </c>
      <c r="M193" s="1" t="s">
        <v>62</v>
      </c>
      <c r="N193" s="1">
        <v>-115.0</v>
      </c>
      <c r="O193" s="1">
        <v>0.0354573091227861</v>
      </c>
      <c r="P193" s="1" t="s">
        <v>61</v>
      </c>
      <c r="Q193" s="1" t="s">
        <v>61</v>
      </c>
      <c r="R193" s="1">
        <f t="shared" si="1"/>
        <v>0.03545730912</v>
      </c>
      <c r="S193" s="1">
        <f t="shared" si="2"/>
        <v>-115</v>
      </c>
      <c r="T193" s="1">
        <f t="shared" si="3"/>
        <v>1.869565217</v>
      </c>
      <c r="U193" s="1">
        <f t="shared" si="4"/>
        <v>0</v>
      </c>
      <c r="V193" s="3">
        <f t="shared" si="5"/>
        <v>1</v>
      </c>
      <c r="W193" s="3">
        <f t="shared" si="6"/>
        <v>2</v>
      </c>
      <c r="X193" s="3" t="str">
        <f>IFERROR(__xludf.DUMMYFUNCTION("split(B193,"" "")"),"J.")</f>
        <v>J.</v>
      </c>
      <c r="Y193" s="3" t="str">
        <f>IFERROR(__xludf.DUMMYFUNCTION("""COMPUTED_VALUE"""),"Gibbs")</f>
        <v>Gibbs</v>
      </c>
      <c r="AA193" s="3">
        <v>91.0</v>
      </c>
      <c r="AB193" s="3">
        <f t="shared" si="7"/>
        <v>1</v>
      </c>
      <c r="AC193" s="3">
        <f t="shared" si="8"/>
        <v>0</v>
      </c>
      <c r="AD193" s="3">
        <f t="shared" si="9"/>
        <v>0.8695652174</v>
      </c>
      <c r="AE193" s="3">
        <f t="shared" si="10"/>
        <v>-1</v>
      </c>
      <c r="AF193" s="3">
        <f t="shared" si="11"/>
        <v>-2</v>
      </c>
      <c r="AG193" s="3">
        <f t="shared" si="12"/>
        <v>-0.06432748538</v>
      </c>
    </row>
    <row r="194">
      <c r="A194" s="1" t="s">
        <v>11</v>
      </c>
      <c r="B194" s="1" t="s">
        <v>446</v>
      </c>
      <c r="C194" s="1" t="s">
        <v>19</v>
      </c>
      <c r="D194" s="1" t="s">
        <v>197</v>
      </c>
      <c r="E194" s="1" t="s">
        <v>88</v>
      </c>
      <c r="F194" s="1" t="s">
        <v>610</v>
      </c>
      <c r="G194" s="1">
        <v>8.5</v>
      </c>
      <c r="H194" s="1" t="s">
        <v>60</v>
      </c>
      <c r="I194" s="1">
        <v>-119.0</v>
      </c>
      <c r="J194" s="1">
        <v>0.0295276662582018</v>
      </c>
      <c r="K194" s="1" t="s">
        <v>61</v>
      </c>
      <c r="L194" s="1" t="s">
        <v>61</v>
      </c>
      <c r="M194" s="1" t="s">
        <v>62</v>
      </c>
      <c r="N194" s="1">
        <v>-109.0</v>
      </c>
      <c r="O194" s="1">
        <v>-0.094396063217681</v>
      </c>
      <c r="P194" s="1" t="s">
        <v>61</v>
      </c>
      <c r="Q194" s="1" t="s">
        <v>61</v>
      </c>
      <c r="R194" s="1">
        <f t="shared" si="1"/>
        <v>0.02952766626</v>
      </c>
      <c r="S194" s="1">
        <f t="shared" si="2"/>
        <v>-119</v>
      </c>
      <c r="T194" s="1">
        <f t="shared" si="3"/>
        <v>1.840336134</v>
      </c>
      <c r="U194" s="1">
        <f t="shared" si="4"/>
        <v>1</v>
      </c>
      <c r="V194" s="3">
        <f t="shared" si="5"/>
        <v>1</v>
      </c>
      <c r="W194" s="3">
        <f t="shared" si="6"/>
        <v>3</v>
      </c>
      <c r="X194" s="3" t="str">
        <f>IFERROR(__xludf.DUMMYFUNCTION("split(B194,"" "")"),"D.")</f>
        <v>D.</v>
      </c>
      <c r="Y194" s="3" t="str">
        <f>IFERROR(__xludf.DUMMYFUNCTION("""COMPUTED_VALUE"""),"Montgomery")</f>
        <v>Montgomery</v>
      </c>
      <c r="AA194" s="3">
        <v>0.0</v>
      </c>
      <c r="AB194" s="3">
        <f t="shared" si="7"/>
        <v>0</v>
      </c>
      <c r="AC194" s="3">
        <f t="shared" si="8"/>
        <v>0</v>
      </c>
      <c r="AD194" s="3">
        <f t="shared" si="9"/>
        <v>0.8403361345</v>
      </c>
      <c r="AE194" s="3">
        <f t="shared" si="10"/>
        <v>-1</v>
      </c>
      <c r="AF194" s="3">
        <f t="shared" si="11"/>
        <v>-3</v>
      </c>
      <c r="AG194" s="3">
        <f t="shared" si="12"/>
        <v>-1</v>
      </c>
    </row>
    <row r="195">
      <c r="A195" s="1" t="s">
        <v>16</v>
      </c>
      <c r="B195" s="1" t="s">
        <v>241</v>
      </c>
      <c r="C195" s="1" t="s">
        <v>21</v>
      </c>
      <c r="D195" s="1" t="s">
        <v>197</v>
      </c>
      <c r="E195" s="1" t="s">
        <v>88</v>
      </c>
      <c r="F195" s="1" t="s">
        <v>610</v>
      </c>
      <c r="G195" s="1">
        <v>33.5</v>
      </c>
      <c r="H195" s="1" t="s">
        <v>60</v>
      </c>
      <c r="I195" s="1">
        <v>-111.0</v>
      </c>
      <c r="J195" s="1">
        <v>0.0283330855037915</v>
      </c>
      <c r="K195" s="1" t="s">
        <v>61</v>
      </c>
      <c r="L195" s="1" t="s">
        <v>61</v>
      </c>
      <c r="M195" s="1" t="s">
        <v>62</v>
      </c>
      <c r="N195" s="1">
        <v>-118.0</v>
      </c>
      <c r="O195" s="1">
        <v>-0.0956839120642202</v>
      </c>
      <c r="P195" s="1" t="s">
        <v>61</v>
      </c>
      <c r="Q195" s="1" t="s">
        <v>61</v>
      </c>
      <c r="R195" s="1">
        <f t="shared" si="1"/>
        <v>0.0283330855</v>
      </c>
      <c r="S195" s="1">
        <f t="shared" si="2"/>
        <v>-111</v>
      </c>
      <c r="T195" s="1">
        <f t="shared" si="3"/>
        <v>1.900900901</v>
      </c>
      <c r="U195" s="1">
        <f t="shared" si="4"/>
        <v>1</v>
      </c>
      <c r="V195" s="3">
        <f t="shared" si="5"/>
        <v>1</v>
      </c>
      <c r="W195" s="3">
        <f t="shared" si="6"/>
        <v>2</v>
      </c>
      <c r="X195" s="3" t="str">
        <f>IFERROR(__xludf.DUMMYFUNCTION("split(B195,"" "")"),"J.")</f>
        <v>J.</v>
      </c>
      <c r="Y195" s="3" t="str">
        <f>IFERROR(__xludf.DUMMYFUNCTION("""COMPUTED_VALUE"""),"Goff")</f>
        <v>Goff</v>
      </c>
      <c r="AA195" s="3">
        <v>25.0</v>
      </c>
      <c r="AB195" s="3">
        <f t="shared" si="7"/>
        <v>0</v>
      </c>
      <c r="AC195" s="3">
        <f t="shared" si="8"/>
        <v>0</v>
      </c>
      <c r="AD195" s="3">
        <f t="shared" si="9"/>
        <v>0.9009009009</v>
      </c>
      <c r="AE195" s="3">
        <f t="shared" si="10"/>
        <v>-1</v>
      </c>
      <c r="AF195" s="3">
        <f t="shared" si="11"/>
        <v>-2</v>
      </c>
      <c r="AG195" s="3">
        <f t="shared" si="12"/>
        <v>-0.2537313433</v>
      </c>
    </row>
    <row r="196">
      <c r="A196" s="1" t="s">
        <v>8</v>
      </c>
      <c r="B196" s="1" t="s">
        <v>446</v>
      </c>
      <c r="C196" s="1" t="s">
        <v>19</v>
      </c>
      <c r="D196" s="1" t="s">
        <v>197</v>
      </c>
      <c r="E196" s="1" t="s">
        <v>88</v>
      </c>
      <c r="F196" s="1" t="s">
        <v>610</v>
      </c>
      <c r="G196" s="1">
        <v>14.5</v>
      </c>
      <c r="H196" s="1" t="s">
        <v>60</v>
      </c>
      <c r="I196" s="1">
        <v>109.0</v>
      </c>
      <c r="J196" s="1">
        <v>-0.0929651066866029</v>
      </c>
      <c r="K196" s="1" t="s">
        <v>61</v>
      </c>
      <c r="L196" s="1" t="s">
        <v>61</v>
      </c>
      <c r="M196" s="1" t="s">
        <v>62</v>
      </c>
      <c r="N196" s="1">
        <v>-143.0</v>
      </c>
      <c r="O196" s="1">
        <v>0.0260183540432097</v>
      </c>
      <c r="P196" s="1" t="s">
        <v>61</v>
      </c>
      <c r="Q196" s="1" t="s">
        <v>61</v>
      </c>
      <c r="R196" s="1">
        <f t="shared" si="1"/>
        <v>0.02601835404</v>
      </c>
      <c r="S196" s="1">
        <f t="shared" si="2"/>
        <v>-143</v>
      </c>
      <c r="T196" s="1">
        <f t="shared" si="3"/>
        <v>1.699300699</v>
      </c>
      <c r="U196" s="1">
        <f t="shared" si="4"/>
        <v>0</v>
      </c>
      <c r="V196" s="3">
        <f t="shared" si="5"/>
        <v>1</v>
      </c>
      <c r="W196" s="3">
        <f t="shared" si="6"/>
        <v>3</v>
      </c>
      <c r="X196" s="3" t="str">
        <f>IFERROR(__xludf.DUMMYFUNCTION("split(B196,"" "")"),"D.")</f>
        <v>D.</v>
      </c>
      <c r="Y196" s="3" t="str">
        <f>IFERROR(__xludf.DUMMYFUNCTION("""COMPUTED_VALUE"""),"Montgomery")</f>
        <v>Montgomery</v>
      </c>
      <c r="AA196" s="3">
        <v>12.0</v>
      </c>
      <c r="AB196" s="3">
        <f t="shared" si="7"/>
        <v>0</v>
      </c>
      <c r="AC196" s="3">
        <f t="shared" si="8"/>
        <v>1</v>
      </c>
      <c r="AD196" s="3">
        <f t="shared" si="9"/>
        <v>0.6993006993</v>
      </c>
      <c r="AE196" s="3">
        <f t="shared" si="10"/>
        <v>0.6993006993</v>
      </c>
      <c r="AF196" s="3">
        <f t="shared" si="11"/>
        <v>2.097902098</v>
      </c>
      <c r="AG196" s="3">
        <f t="shared" si="12"/>
        <v>0.1724137931</v>
      </c>
    </row>
    <row r="197">
      <c r="A197" s="1" t="s">
        <v>11</v>
      </c>
      <c r="B197" s="1" t="s">
        <v>534</v>
      </c>
      <c r="C197" s="1" t="s">
        <v>18</v>
      </c>
      <c r="D197" s="1" t="s">
        <v>197</v>
      </c>
      <c r="E197" s="1" t="s">
        <v>88</v>
      </c>
      <c r="F197" s="1" t="s">
        <v>610</v>
      </c>
      <c r="G197" s="1">
        <v>17.5</v>
      </c>
      <c r="H197" s="1" t="s">
        <v>60</v>
      </c>
      <c r="I197" s="1">
        <v>-122.0</v>
      </c>
      <c r="J197" s="1">
        <v>-0.0971409052150945</v>
      </c>
      <c r="K197" s="1" t="s">
        <v>61</v>
      </c>
      <c r="L197" s="1" t="s">
        <v>61</v>
      </c>
      <c r="M197" s="1" t="s">
        <v>62</v>
      </c>
      <c r="N197" s="1">
        <v>-111.0</v>
      </c>
      <c r="O197" s="1">
        <v>0.0215739140431451</v>
      </c>
      <c r="P197" s="1" t="s">
        <v>61</v>
      </c>
      <c r="Q197" s="1" t="s">
        <v>61</v>
      </c>
      <c r="R197" s="1">
        <f t="shared" si="1"/>
        <v>0.02157391404</v>
      </c>
      <c r="S197" s="1">
        <f t="shared" si="2"/>
        <v>-111</v>
      </c>
      <c r="T197" s="1">
        <f t="shared" si="3"/>
        <v>1.900900901</v>
      </c>
      <c r="U197" s="1">
        <f t="shared" si="4"/>
        <v>0</v>
      </c>
      <c r="V197" s="3">
        <f t="shared" si="5"/>
        <v>1</v>
      </c>
      <c r="W197" s="3">
        <f t="shared" si="6"/>
        <v>2</v>
      </c>
      <c r="X197" s="3" t="str">
        <f>IFERROR(__xludf.DUMMYFUNCTION("split(B197,"" "")"),"T.")</f>
        <v>T.</v>
      </c>
      <c r="Y197" s="3" t="str">
        <f>IFERROR(__xludf.DUMMYFUNCTION("""COMPUTED_VALUE"""),"Patrick")</f>
        <v>Patrick</v>
      </c>
      <c r="AA197" s="3">
        <v>68.0</v>
      </c>
      <c r="AB197" s="3">
        <f t="shared" si="7"/>
        <v>1</v>
      </c>
      <c r="AC197" s="3">
        <f t="shared" si="8"/>
        <v>0</v>
      </c>
      <c r="AD197" s="3">
        <f t="shared" si="9"/>
        <v>0.9009009009</v>
      </c>
      <c r="AE197" s="3">
        <f t="shared" si="10"/>
        <v>-1</v>
      </c>
      <c r="AF197" s="3">
        <f t="shared" si="11"/>
        <v>-2</v>
      </c>
      <c r="AG197" s="3">
        <f t="shared" si="12"/>
        <v>-2.885714286</v>
      </c>
    </row>
    <row r="198">
      <c r="A198" s="1" t="s">
        <v>10</v>
      </c>
      <c r="B198" s="1" t="s">
        <v>393</v>
      </c>
      <c r="C198" s="1" t="s">
        <v>19</v>
      </c>
      <c r="D198" s="1" t="s">
        <v>197</v>
      </c>
      <c r="E198" s="1" t="s">
        <v>88</v>
      </c>
      <c r="F198" s="1" t="s">
        <v>610</v>
      </c>
      <c r="G198" s="1">
        <v>59.5</v>
      </c>
      <c r="H198" s="1" t="s">
        <v>60</v>
      </c>
      <c r="I198" s="1">
        <v>-114.0</v>
      </c>
      <c r="J198" s="1">
        <v>-0.0882733974247235</v>
      </c>
      <c r="K198" s="1" t="s">
        <v>61</v>
      </c>
      <c r="L198" s="1" t="s">
        <v>61</v>
      </c>
      <c r="M198" s="1" t="s">
        <v>62</v>
      </c>
      <c r="N198" s="1">
        <v>-115.0</v>
      </c>
      <c r="O198" s="1">
        <v>0.0206441620737299</v>
      </c>
      <c r="P198" s="1" t="s">
        <v>61</v>
      </c>
      <c r="Q198" s="1" t="s">
        <v>61</v>
      </c>
      <c r="R198" s="1">
        <f t="shared" si="1"/>
        <v>0.02064416207</v>
      </c>
      <c r="S198" s="1">
        <f t="shared" si="2"/>
        <v>-115</v>
      </c>
      <c r="T198" s="1">
        <f t="shared" si="3"/>
        <v>1.869565217</v>
      </c>
      <c r="U198" s="1">
        <f t="shared" si="4"/>
        <v>0</v>
      </c>
      <c r="V198" s="3">
        <f t="shared" si="5"/>
        <v>1</v>
      </c>
      <c r="W198" s="3">
        <f t="shared" si="6"/>
        <v>2</v>
      </c>
      <c r="X198" s="3" t="str">
        <f>IFERROR(__xludf.DUMMYFUNCTION("split(B198,"" "")"),"J.")</f>
        <v>J.</v>
      </c>
      <c r="Y198" s="3" t="str">
        <f>IFERROR(__xludf.DUMMYFUNCTION("""COMPUTED_VALUE"""),"Gibbs")</f>
        <v>Gibbs</v>
      </c>
      <c r="AA198" s="3">
        <v>63.0</v>
      </c>
      <c r="AB198" s="3">
        <f t="shared" si="7"/>
        <v>1</v>
      </c>
      <c r="AC198" s="3">
        <f t="shared" si="8"/>
        <v>0</v>
      </c>
      <c r="AD198" s="3">
        <f t="shared" si="9"/>
        <v>0.8695652174</v>
      </c>
      <c r="AE198" s="3">
        <f t="shared" si="10"/>
        <v>-1</v>
      </c>
      <c r="AF198" s="3">
        <f t="shared" si="11"/>
        <v>-2</v>
      </c>
      <c r="AG198" s="3">
        <f t="shared" si="12"/>
        <v>-0.05882352941</v>
      </c>
    </row>
    <row r="199">
      <c r="A199" s="1" t="s">
        <v>9</v>
      </c>
      <c r="B199" s="1" t="s">
        <v>385</v>
      </c>
      <c r="C199" s="1" t="s">
        <v>18</v>
      </c>
      <c r="D199" s="1" t="s">
        <v>197</v>
      </c>
      <c r="E199" s="1" t="s">
        <v>88</v>
      </c>
      <c r="F199" s="1" t="s">
        <v>610</v>
      </c>
      <c r="G199" s="1">
        <v>78.5</v>
      </c>
      <c r="H199" s="1" t="s">
        <v>60</v>
      </c>
      <c r="I199" s="1">
        <v>-120.0</v>
      </c>
      <c r="J199" s="1">
        <v>-0.0946237848394625</v>
      </c>
      <c r="K199" s="1" t="s">
        <v>61</v>
      </c>
      <c r="L199" s="1" t="s">
        <v>61</v>
      </c>
      <c r="M199" s="1" t="s">
        <v>62</v>
      </c>
      <c r="N199" s="1">
        <v>-115.0</v>
      </c>
      <c r="O199" s="1">
        <v>0.0142977561134139</v>
      </c>
      <c r="P199" s="1" t="s">
        <v>61</v>
      </c>
      <c r="Q199" s="1" t="s">
        <v>61</v>
      </c>
      <c r="R199" s="1">
        <f t="shared" si="1"/>
        <v>0.01429775611</v>
      </c>
      <c r="S199" s="1">
        <f t="shared" si="2"/>
        <v>-115</v>
      </c>
      <c r="T199" s="1">
        <f t="shared" si="3"/>
        <v>1.869565217</v>
      </c>
      <c r="U199" s="1">
        <f t="shared" si="4"/>
        <v>0</v>
      </c>
      <c r="V199" s="3">
        <f t="shared" si="5"/>
        <v>1</v>
      </c>
      <c r="W199" s="3">
        <f t="shared" si="6"/>
        <v>2</v>
      </c>
      <c r="X199" s="3" t="str">
        <f>IFERROR(__xludf.DUMMYFUNCTION("split(B199,"" "")"),"A.")</f>
        <v>A.</v>
      </c>
      <c r="Y199" s="3" t="str">
        <f>IFERROR(__xludf.DUMMYFUNCTION("""COMPUTED_VALUE"""),"St.")</f>
        <v>St.</v>
      </c>
      <c r="Z199" s="3" t="str">
        <f>IFERROR(__xludf.DUMMYFUNCTION("""COMPUTED_VALUE"""),"Brown")</f>
        <v>Brown</v>
      </c>
      <c r="AA199" s="3">
        <v>37.0</v>
      </c>
      <c r="AB199" s="3">
        <f t="shared" si="7"/>
        <v>0</v>
      </c>
      <c r="AC199" s="3">
        <f t="shared" si="8"/>
        <v>1</v>
      </c>
      <c r="AD199" s="3">
        <f t="shared" si="9"/>
        <v>0.8695652174</v>
      </c>
      <c r="AE199" s="3">
        <f t="shared" si="10"/>
        <v>0.8695652174</v>
      </c>
      <c r="AF199" s="3">
        <f t="shared" si="11"/>
        <v>1.739130435</v>
      </c>
      <c r="AG199" s="3">
        <f t="shared" si="12"/>
        <v>0.5286624204</v>
      </c>
    </row>
    <row r="200">
      <c r="A200" s="1" t="s">
        <v>9</v>
      </c>
      <c r="B200" s="1" t="s">
        <v>446</v>
      </c>
      <c r="C200" s="1" t="s">
        <v>19</v>
      </c>
      <c r="D200" s="1" t="s">
        <v>197</v>
      </c>
      <c r="E200" s="1" t="s">
        <v>88</v>
      </c>
      <c r="F200" s="1" t="s">
        <v>610</v>
      </c>
      <c r="G200" s="1">
        <v>70.5</v>
      </c>
      <c r="H200" s="1" t="s">
        <v>60</v>
      </c>
      <c r="I200" s="1">
        <v>-115.0</v>
      </c>
      <c r="J200" s="1">
        <v>-0.086641725630824</v>
      </c>
      <c r="K200" s="1" t="s">
        <v>61</v>
      </c>
      <c r="L200" s="1" t="s">
        <v>61</v>
      </c>
      <c r="M200" s="1" t="s">
        <v>62</v>
      </c>
      <c r="N200" s="1">
        <v>-117.0</v>
      </c>
      <c r="O200" s="1">
        <v>0.0126126547577593</v>
      </c>
      <c r="P200" s="1" t="s">
        <v>61</v>
      </c>
      <c r="Q200" s="1" t="s">
        <v>61</v>
      </c>
      <c r="R200" s="1">
        <f t="shared" si="1"/>
        <v>0.01261265476</v>
      </c>
      <c r="S200" s="1">
        <f t="shared" si="2"/>
        <v>-117</v>
      </c>
      <c r="T200" s="1">
        <f t="shared" si="3"/>
        <v>1.854700855</v>
      </c>
      <c r="U200" s="1">
        <f t="shared" si="4"/>
        <v>0</v>
      </c>
      <c r="V200" s="3">
        <f t="shared" si="5"/>
        <v>1</v>
      </c>
      <c r="W200" s="3">
        <f t="shared" si="6"/>
        <v>2</v>
      </c>
      <c r="X200" s="3" t="str">
        <f>IFERROR(__xludf.DUMMYFUNCTION("split(B200,"" "")"),"D.")</f>
        <v>D.</v>
      </c>
      <c r="Y200" s="3" t="str">
        <f>IFERROR(__xludf.DUMMYFUNCTION("""COMPUTED_VALUE"""),"Montgomery")</f>
        <v>Montgomery</v>
      </c>
      <c r="AA200" s="3">
        <v>80.0</v>
      </c>
      <c r="AB200" s="3">
        <f t="shared" si="7"/>
        <v>1</v>
      </c>
      <c r="AC200" s="3">
        <f t="shared" si="8"/>
        <v>0</v>
      </c>
      <c r="AD200" s="3">
        <f t="shared" si="9"/>
        <v>0.8547008547</v>
      </c>
      <c r="AE200" s="3">
        <f t="shared" si="10"/>
        <v>-1</v>
      </c>
      <c r="AF200" s="3">
        <f t="shared" si="11"/>
        <v>-2</v>
      </c>
      <c r="AG200" s="3">
        <f t="shared" si="12"/>
        <v>-0.134751773</v>
      </c>
    </row>
    <row r="201">
      <c r="A201" s="1" t="s">
        <v>14</v>
      </c>
      <c r="B201" s="1" t="s">
        <v>241</v>
      </c>
      <c r="C201" s="1" t="s">
        <v>21</v>
      </c>
      <c r="D201" s="1" t="s">
        <v>197</v>
      </c>
      <c r="E201" s="1" t="s">
        <v>88</v>
      </c>
      <c r="F201" s="1" t="s">
        <v>610</v>
      </c>
      <c r="G201" s="1">
        <v>1.5</v>
      </c>
      <c r="H201" s="1" t="s">
        <v>60</v>
      </c>
      <c r="I201" s="1">
        <v>-115.0</v>
      </c>
      <c r="J201" s="1">
        <v>-0.0771837209302326</v>
      </c>
      <c r="K201" s="1" t="s">
        <v>61</v>
      </c>
      <c r="L201" s="1" t="s">
        <v>61</v>
      </c>
      <c r="M201" s="1" t="s">
        <v>62</v>
      </c>
      <c r="N201" s="1">
        <v>-113.0</v>
      </c>
      <c r="O201" s="1">
        <v>0.0117835680751173</v>
      </c>
      <c r="P201" s="1" t="s">
        <v>61</v>
      </c>
      <c r="Q201" s="1" t="s">
        <v>61</v>
      </c>
      <c r="R201" s="1">
        <f t="shared" si="1"/>
        <v>0.01178356808</v>
      </c>
      <c r="S201" s="1">
        <f t="shared" si="2"/>
        <v>-113</v>
      </c>
      <c r="T201" s="1">
        <f t="shared" si="3"/>
        <v>1.884955752</v>
      </c>
      <c r="U201" s="1">
        <f t="shared" si="4"/>
        <v>0</v>
      </c>
      <c r="V201" s="3">
        <f t="shared" si="5"/>
        <v>1</v>
      </c>
      <c r="W201" s="3">
        <f t="shared" si="6"/>
        <v>2</v>
      </c>
      <c r="X201" s="3" t="str">
        <f>IFERROR(__xludf.DUMMYFUNCTION("split(B201,"" "")"),"J.")</f>
        <v>J.</v>
      </c>
      <c r="Y201" s="3" t="str">
        <f>IFERROR(__xludf.DUMMYFUNCTION("""COMPUTED_VALUE"""),"Goff")</f>
        <v>Goff</v>
      </c>
      <c r="AA201" s="3">
        <v>3.0</v>
      </c>
      <c r="AB201" s="3">
        <f t="shared" si="7"/>
        <v>1</v>
      </c>
      <c r="AC201" s="3">
        <f t="shared" si="8"/>
        <v>0</v>
      </c>
      <c r="AD201" s="3">
        <f t="shared" si="9"/>
        <v>0.8849557522</v>
      </c>
      <c r="AE201" s="3">
        <f t="shared" si="10"/>
        <v>-1</v>
      </c>
      <c r="AF201" s="3">
        <f t="shared" si="11"/>
        <v>-2</v>
      </c>
      <c r="AG201" s="3">
        <f t="shared" si="12"/>
        <v>-1</v>
      </c>
    </row>
    <row r="202">
      <c r="A202" s="1" t="s">
        <v>9</v>
      </c>
      <c r="B202" s="1" t="s">
        <v>127</v>
      </c>
      <c r="C202" s="1" t="s">
        <v>18</v>
      </c>
      <c r="D202" s="1" t="s">
        <v>197</v>
      </c>
      <c r="E202" s="1" t="s">
        <v>88</v>
      </c>
      <c r="F202" s="1" t="s">
        <v>610</v>
      </c>
      <c r="G202" s="1">
        <v>53.5</v>
      </c>
      <c r="H202" s="1" t="s">
        <v>60</v>
      </c>
      <c r="I202" s="1">
        <v>-115.0</v>
      </c>
      <c r="J202" s="1">
        <v>0.0052298686909834</v>
      </c>
      <c r="K202" s="1" t="s">
        <v>61</v>
      </c>
      <c r="L202" s="1" t="s">
        <v>61</v>
      </c>
      <c r="M202" s="1" t="s">
        <v>62</v>
      </c>
      <c r="N202" s="1">
        <v>-117.0</v>
      </c>
      <c r="O202" s="1">
        <v>-0.079302181885792</v>
      </c>
      <c r="P202" s="1" t="s">
        <v>61</v>
      </c>
      <c r="Q202" s="1" t="s">
        <v>61</v>
      </c>
      <c r="R202" s="1">
        <f t="shared" si="1"/>
        <v>0.005229868691</v>
      </c>
      <c r="S202" s="1">
        <f t="shared" si="2"/>
        <v>-115</v>
      </c>
      <c r="T202" s="1">
        <f t="shared" si="3"/>
        <v>1.869565217</v>
      </c>
      <c r="U202" s="1">
        <f t="shared" si="4"/>
        <v>1</v>
      </c>
      <c r="V202" s="3">
        <f t="shared" si="5"/>
        <v>1</v>
      </c>
      <c r="W202" s="3">
        <f t="shared" si="6"/>
        <v>2</v>
      </c>
      <c r="X202" s="3" t="str">
        <f>IFERROR(__xludf.DUMMYFUNCTION("split(B202,"" "")"),"J.")</f>
        <v>J.</v>
      </c>
      <c r="Y202" s="3" t="str">
        <f>IFERROR(__xludf.DUMMYFUNCTION("""COMPUTED_VALUE"""),"Williams")</f>
        <v>Williams</v>
      </c>
      <c r="AA202" s="3">
        <v>87.0</v>
      </c>
      <c r="AB202" s="3">
        <f t="shared" si="7"/>
        <v>1</v>
      </c>
      <c r="AC202" s="3">
        <f t="shared" si="8"/>
        <v>1</v>
      </c>
      <c r="AD202" s="3">
        <f t="shared" si="9"/>
        <v>0.8695652174</v>
      </c>
      <c r="AE202" s="3">
        <f t="shared" si="10"/>
        <v>0.8695652174</v>
      </c>
      <c r="AF202" s="3">
        <f t="shared" si="11"/>
        <v>1.739130435</v>
      </c>
      <c r="AG202" s="3">
        <f t="shared" si="12"/>
        <v>0.6261682243</v>
      </c>
    </row>
    <row r="203">
      <c r="A203" s="1" t="s">
        <v>12</v>
      </c>
      <c r="B203" s="1" t="s">
        <v>127</v>
      </c>
      <c r="C203" s="1" t="s">
        <v>18</v>
      </c>
      <c r="D203" s="1" t="s">
        <v>197</v>
      </c>
      <c r="E203" s="1" t="s">
        <v>88</v>
      </c>
      <c r="F203" s="1" t="s">
        <v>610</v>
      </c>
      <c r="G203" s="1">
        <v>3.5</v>
      </c>
      <c r="H203" s="1" t="s">
        <v>60</v>
      </c>
      <c r="I203" s="1">
        <v>-101.0</v>
      </c>
      <c r="J203" s="1">
        <v>-0.0737373134328359</v>
      </c>
      <c r="K203" s="1" t="s">
        <v>61</v>
      </c>
      <c r="L203" s="1" t="s">
        <v>61</v>
      </c>
      <c r="M203" s="1" t="s">
        <v>62</v>
      </c>
      <c r="N203" s="1">
        <v>-131.0</v>
      </c>
      <c r="O203" s="1">
        <v>0.00415714285714285</v>
      </c>
      <c r="P203" s="1" t="s">
        <v>61</v>
      </c>
      <c r="Q203" s="1" t="s">
        <v>61</v>
      </c>
      <c r="R203" s="1">
        <f t="shared" si="1"/>
        <v>0.004157142857</v>
      </c>
      <c r="S203" s="1">
        <f t="shared" si="2"/>
        <v>-131</v>
      </c>
      <c r="T203" s="1">
        <f t="shared" si="3"/>
        <v>1.763358779</v>
      </c>
      <c r="U203" s="1">
        <f t="shared" si="4"/>
        <v>0</v>
      </c>
      <c r="V203" s="3">
        <f t="shared" si="5"/>
        <v>1</v>
      </c>
      <c r="W203" s="3">
        <f t="shared" si="6"/>
        <v>3</v>
      </c>
      <c r="X203" s="3" t="str">
        <f>IFERROR(__xludf.DUMMYFUNCTION("split(B203,"" "")"),"J.")</f>
        <v>J.</v>
      </c>
      <c r="Y203" s="3" t="str">
        <f>IFERROR(__xludf.DUMMYFUNCTION("""COMPUTED_VALUE"""),"Williams")</f>
        <v>Williams</v>
      </c>
      <c r="AA203" s="3">
        <v>3.0</v>
      </c>
      <c r="AB203" s="3">
        <f t="shared" si="7"/>
        <v>0</v>
      </c>
      <c r="AC203" s="3">
        <f t="shared" si="8"/>
        <v>1</v>
      </c>
      <c r="AD203" s="3">
        <f t="shared" si="9"/>
        <v>0.7633587786</v>
      </c>
      <c r="AE203" s="3">
        <f t="shared" si="10"/>
        <v>0.7633587786</v>
      </c>
      <c r="AF203" s="3">
        <f t="shared" si="11"/>
        <v>2.290076336</v>
      </c>
      <c r="AG203" s="3">
        <f t="shared" si="12"/>
        <v>0.1428571429</v>
      </c>
    </row>
    <row r="204">
      <c r="A204" s="1" t="s">
        <v>11</v>
      </c>
      <c r="B204" s="1" t="s">
        <v>618</v>
      </c>
      <c r="C204" s="1" t="s">
        <v>20</v>
      </c>
      <c r="D204" s="1" t="s">
        <v>157</v>
      </c>
      <c r="E204" s="1" t="s">
        <v>105</v>
      </c>
      <c r="F204" s="1" t="s">
        <v>608</v>
      </c>
      <c r="G204" s="1">
        <v>0.5</v>
      </c>
      <c r="H204" s="1" t="s">
        <v>60</v>
      </c>
      <c r="I204" s="1">
        <v>-114.0</v>
      </c>
      <c r="J204" s="1">
        <v>0.192374245725952</v>
      </c>
      <c r="K204" s="1" t="s">
        <v>61</v>
      </c>
      <c r="L204" s="1" t="s">
        <v>61</v>
      </c>
      <c r="M204" s="1" t="s">
        <v>62</v>
      </c>
      <c r="N204" s="1">
        <v>-111.0</v>
      </c>
      <c r="O204" s="1">
        <v>-0.251123774074609</v>
      </c>
      <c r="P204" s="1" t="s">
        <v>61</v>
      </c>
      <c r="Q204" s="1" t="s">
        <v>61</v>
      </c>
      <c r="R204" s="1">
        <f t="shared" si="1"/>
        <v>0.1923742457</v>
      </c>
      <c r="S204" s="1">
        <f t="shared" si="2"/>
        <v>-114</v>
      </c>
      <c r="T204" s="1">
        <f t="shared" si="3"/>
        <v>1.877192982</v>
      </c>
      <c r="U204" s="1">
        <f t="shared" si="4"/>
        <v>1</v>
      </c>
      <c r="V204" s="3">
        <f t="shared" si="5"/>
        <v>3</v>
      </c>
      <c r="W204" s="3">
        <f t="shared" si="6"/>
        <v>2</v>
      </c>
      <c r="X204" s="3" t="str">
        <f>IFERROR(__xludf.DUMMYFUNCTION("split(B204,"" "")"),"B.")</f>
        <v>B.</v>
      </c>
      <c r="Y204" s="3" t="str">
        <f>IFERROR(__xludf.DUMMYFUNCTION("""COMPUTED_VALUE"""),"Sims")</f>
        <v>Sims</v>
      </c>
      <c r="AA204" s="3">
        <v>38.0</v>
      </c>
      <c r="AB204" s="3">
        <f t="shared" si="7"/>
        <v>1</v>
      </c>
      <c r="AC204" s="3">
        <f t="shared" si="8"/>
        <v>1</v>
      </c>
      <c r="AD204" s="3">
        <f t="shared" si="9"/>
        <v>2.631578947</v>
      </c>
      <c r="AE204" s="3">
        <f t="shared" si="10"/>
        <v>2.631578947</v>
      </c>
      <c r="AF204" s="3">
        <f t="shared" si="11"/>
        <v>1.754385965</v>
      </c>
      <c r="AG204" s="3">
        <f t="shared" si="12"/>
        <v>75</v>
      </c>
    </row>
    <row r="205">
      <c r="A205" s="1" t="s">
        <v>12</v>
      </c>
      <c r="B205" s="1" t="s">
        <v>245</v>
      </c>
      <c r="C205" s="1" t="s">
        <v>18</v>
      </c>
      <c r="D205" s="1" t="s">
        <v>157</v>
      </c>
      <c r="E205" s="1" t="s">
        <v>105</v>
      </c>
      <c r="F205" s="1" t="s">
        <v>608</v>
      </c>
      <c r="G205" s="1">
        <v>3.0</v>
      </c>
      <c r="H205" s="1" t="s">
        <v>60</v>
      </c>
      <c r="I205" s="1">
        <v>-112.0</v>
      </c>
      <c r="J205" s="1">
        <v>-0.214397003962264</v>
      </c>
      <c r="K205" s="1" t="s">
        <v>61</v>
      </c>
      <c r="L205" s="1" t="s">
        <v>61</v>
      </c>
      <c r="M205" s="1" t="s">
        <v>62</v>
      </c>
      <c r="N205" s="1">
        <v>-131.0</v>
      </c>
      <c r="O205" s="1">
        <v>0.135518475932467</v>
      </c>
      <c r="P205" s="1" t="s">
        <v>61</v>
      </c>
      <c r="Q205" s="1" t="s">
        <v>61</v>
      </c>
      <c r="R205" s="1">
        <f t="shared" si="1"/>
        <v>0.1355184759</v>
      </c>
      <c r="S205" s="1">
        <f t="shared" si="2"/>
        <v>-131</v>
      </c>
      <c r="T205" s="1">
        <f t="shared" si="3"/>
        <v>1.763358779</v>
      </c>
      <c r="U205" s="1">
        <f t="shared" si="4"/>
        <v>0</v>
      </c>
      <c r="V205" s="3">
        <f t="shared" si="5"/>
        <v>3</v>
      </c>
      <c r="W205" s="3">
        <f t="shared" si="6"/>
        <v>3</v>
      </c>
      <c r="X205" s="3" t="str">
        <f>IFERROR(__xludf.DUMMYFUNCTION("split(B205,"" "")"),"D.")</f>
        <v>D.</v>
      </c>
      <c r="Y205" s="3" t="str">
        <f>IFERROR(__xludf.DUMMYFUNCTION("""COMPUTED_VALUE"""),"Wicks")</f>
        <v>Wicks</v>
      </c>
      <c r="AA205" s="3">
        <v>1.0</v>
      </c>
      <c r="AB205" s="3">
        <f t="shared" si="7"/>
        <v>0</v>
      </c>
      <c r="AC205" s="3">
        <f t="shared" si="8"/>
        <v>1</v>
      </c>
      <c r="AD205" s="3">
        <f t="shared" si="9"/>
        <v>2.290076336</v>
      </c>
      <c r="AE205" s="3">
        <f t="shared" si="10"/>
        <v>2.290076336</v>
      </c>
      <c r="AF205" s="3">
        <f t="shared" si="11"/>
        <v>2.290076336</v>
      </c>
      <c r="AG205" s="3">
        <f t="shared" si="12"/>
        <v>0.6666666667</v>
      </c>
    </row>
    <row r="206">
      <c r="A206" s="1" t="s">
        <v>8</v>
      </c>
      <c r="B206" s="1" t="s">
        <v>536</v>
      </c>
      <c r="C206" s="1" t="s">
        <v>19</v>
      </c>
      <c r="D206" s="1" t="s">
        <v>157</v>
      </c>
      <c r="E206" s="1" t="s">
        <v>105</v>
      </c>
      <c r="F206" s="1" t="s">
        <v>608</v>
      </c>
      <c r="G206" s="1">
        <v>7.5</v>
      </c>
      <c r="H206" s="1" t="s">
        <v>60</v>
      </c>
      <c r="I206" s="1">
        <v>-108.0</v>
      </c>
      <c r="J206" s="1">
        <v>-0.198172909390036</v>
      </c>
      <c r="K206" s="1" t="s">
        <v>61</v>
      </c>
      <c r="L206" s="1" t="s">
        <v>61</v>
      </c>
      <c r="M206" s="1" t="s">
        <v>62</v>
      </c>
      <c r="N206" s="1">
        <v>-123.0</v>
      </c>
      <c r="O206" s="1">
        <v>0.127349386270614</v>
      </c>
      <c r="P206" s="1" t="s">
        <v>61</v>
      </c>
      <c r="Q206" s="1" t="s">
        <v>61</v>
      </c>
      <c r="R206" s="1">
        <f t="shared" si="1"/>
        <v>0.1273493863</v>
      </c>
      <c r="S206" s="1">
        <f t="shared" si="2"/>
        <v>-123</v>
      </c>
      <c r="T206" s="1">
        <f t="shared" si="3"/>
        <v>1.81300813</v>
      </c>
      <c r="U206" s="1">
        <f t="shared" si="4"/>
        <v>0</v>
      </c>
      <c r="V206" s="3">
        <f t="shared" si="5"/>
        <v>3</v>
      </c>
      <c r="W206" s="3">
        <f t="shared" si="6"/>
        <v>3</v>
      </c>
      <c r="X206" s="3" t="str">
        <f>IFERROR(__xludf.DUMMYFUNCTION("split(B206,"" "")"),"E.")</f>
        <v>E.</v>
      </c>
      <c r="Y206" s="3" t="str">
        <f>IFERROR(__xludf.DUMMYFUNCTION("""COMPUTED_VALUE"""),"Wilson")</f>
        <v>Wilson</v>
      </c>
      <c r="AA206" s="3">
        <v>0.0</v>
      </c>
      <c r="AB206" s="3">
        <f t="shared" si="7"/>
        <v>0</v>
      </c>
      <c r="AC206" s="3">
        <f t="shared" si="8"/>
        <v>1</v>
      </c>
      <c r="AD206" s="3">
        <f t="shared" si="9"/>
        <v>2.43902439</v>
      </c>
      <c r="AE206" s="3">
        <f t="shared" si="10"/>
        <v>2.43902439</v>
      </c>
      <c r="AF206" s="3">
        <f t="shared" si="11"/>
        <v>2.43902439</v>
      </c>
      <c r="AG206" s="3">
        <f t="shared" si="12"/>
        <v>1</v>
      </c>
    </row>
    <row r="207">
      <c r="A207" s="1" t="s">
        <v>11</v>
      </c>
      <c r="B207" s="1" t="s">
        <v>536</v>
      </c>
      <c r="C207" s="1" t="s">
        <v>19</v>
      </c>
      <c r="D207" s="1" t="s">
        <v>157</v>
      </c>
      <c r="E207" s="1" t="s">
        <v>105</v>
      </c>
      <c r="F207" s="1" t="s">
        <v>608</v>
      </c>
      <c r="G207" s="1">
        <v>4.5</v>
      </c>
      <c r="H207" s="1" t="s">
        <v>60</v>
      </c>
      <c r="I207" s="1">
        <v>-113.0</v>
      </c>
      <c r="J207" s="1">
        <v>0.117656161605933</v>
      </c>
      <c r="K207" s="1" t="s">
        <v>61</v>
      </c>
      <c r="L207" s="1" t="s">
        <v>61</v>
      </c>
      <c r="M207" s="1" t="s">
        <v>62</v>
      </c>
      <c r="N207" s="1">
        <v>-118.0</v>
      </c>
      <c r="O207" s="1">
        <v>-0.189468099348786</v>
      </c>
      <c r="P207" s="1" t="s">
        <v>61</v>
      </c>
      <c r="Q207" s="1" t="s">
        <v>61</v>
      </c>
      <c r="R207" s="1">
        <f t="shared" si="1"/>
        <v>0.1176561616</v>
      </c>
      <c r="S207" s="1">
        <f t="shared" si="2"/>
        <v>-113</v>
      </c>
      <c r="T207" s="1">
        <f t="shared" si="3"/>
        <v>1.884955752</v>
      </c>
      <c r="U207" s="1">
        <f t="shared" si="4"/>
        <v>1</v>
      </c>
      <c r="V207" s="3">
        <f t="shared" si="5"/>
        <v>3</v>
      </c>
      <c r="W207" s="3">
        <f t="shared" si="6"/>
        <v>2</v>
      </c>
      <c r="X207" s="3" t="str">
        <f>IFERROR(__xludf.DUMMYFUNCTION("split(B207,"" "")"),"E.")</f>
        <v>E.</v>
      </c>
      <c r="Y207" s="3" t="str">
        <f>IFERROR(__xludf.DUMMYFUNCTION("""COMPUTED_VALUE"""),"Wilson")</f>
        <v>Wilson</v>
      </c>
      <c r="AA207" s="3">
        <v>21.0</v>
      </c>
      <c r="AB207" s="3">
        <f t="shared" si="7"/>
        <v>1</v>
      </c>
      <c r="AC207" s="3">
        <f t="shared" si="8"/>
        <v>1</v>
      </c>
      <c r="AD207" s="3">
        <f t="shared" si="9"/>
        <v>2.654867257</v>
      </c>
      <c r="AE207" s="3">
        <f t="shared" si="10"/>
        <v>2.654867257</v>
      </c>
      <c r="AF207" s="3">
        <f t="shared" si="11"/>
        <v>1.769911504</v>
      </c>
      <c r="AG207" s="3">
        <f t="shared" si="12"/>
        <v>3.666666667</v>
      </c>
    </row>
    <row r="208">
      <c r="A208" s="1" t="s">
        <v>14</v>
      </c>
      <c r="B208" s="1" t="s">
        <v>297</v>
      </c>
      <c r="C208" s="1" t="s">
        <v>21</v>
      </c>
      <c r="D208" s="1" t="s">
        <v>157</v>
      </c>
      <c r="E208" s="1" t="s">
        <v>105</v>
      </c>
      <c r="F208" s="1" t="s">
        <v>608</v>
      </c>
      <c r="G208" s="1">
        <v>1.5</v>
      </c>
      <c r="H208" s="1" t="s">
        <v>60</v>
      </c>
      <c r="I208" s="1">
        <v>-181.0</v>
      </c>
      <c r="J208" s="1">
        <v>-0.158928113879003</v>
      </c>
      <c r="K208" s="1" t="s">
        <v>61</v>
      </c>
      <c r="L208" s="1" t="s">
        <v>61</v>
      </c>
      <c r="M208" s="1" t="s">
        <v>62</v>
      </c>
      <c r="N208" s="1">
        <v>140.0</v>
      </c>
      <c r="O208" s="1">
        <v>0.0981333333333333</v>
      </c>
      <c r="P208" s="1" t="s">
        <v>61</v>
      </c>
      <c r="Q208" s="1" t="s">
        <v>61</v>
      </c>
      <c r="R208" s="1">
        <f t="shared" si="1"/>
        <v>0.09813333333</v>
      </c>
      <c r="S208" s="1">
        <f t="shared" si="2"/>
        <v>140</v>
      </c>
      <c r="T208" s="1">
        <f t="shared" si="3"/>
        <v>2.4</v>
      </c>
      <c r="U208" s="1">
        <f t="shared" si="4"/>
        <v>0</v>
      </c>
      <c r="V208" s="3">
        <f t="shared" si="5"/>
        <v>2</v>
      </c>
      <c r="W208" s="3">
        <f t="shared" si="6"/>
        <v>1</v>
      </c>
      <c r="X208" s="3" t="str">
        <f>IFERROR(__xludf.DUMMYFUNCTION("split(B208,"" "")"),"J.")</f>
        <v>J.</v>
      </c>
      <c r="Y208" s="3" t="str">
        <f>IFERROR(__xludf.DUMMYFUNCTION("""COMPUTED_VALUE"""),"Love")</f>
        <v>Love</v>
      </c>
      <c r="AA208" s="3">
        <v>4.0</v>
      </c>
      <c r="AB208" s="3">
        <f t="shared" si="7"/>
        <v>1</v>
      </c>
      <c r="AC208" s="3">
        <f t="shared" si="8"/>
        <v>0</v>
      </c>
      <c r="AD208" s="3">
        <f t="shared" si="9"/>
        <v>2.8</v>
      </c>
      <c r="AE208" s="3">
        <f t="shared" si="10"/>
        <v>-2</v>
      </c>
      <c r="AF208" s="3">
        <f t="shared" si="11"/>
        <v>-1</v>
      </c>
      <c r="AG208" s="3">
        <f t="shared" si="12"/>
        <v>-1.666666667</v>
      </c>
    </row>
    <row r="209">
      <c r="A209" s="1" t="s">
        <v>12</v>
      </c>
      <c r="B209" s="1" t="s">
        <v>535</v>
      </c>
      <c r="C209" s="1" t="s">
        <v>20</v>
      </c>
      <c r="D209" s="1" t="s">
        <v>157</v>
      </c>
      <c r="E209" s="1" t="s">
        <v>105</v>
      </c>
      <c r="F209" s="1" t="s">
        <v>608</v>
      </c>
      <c r="G209" s="1">
        <v>3.5</v>
      </c>
      <c r="H209" s="1" t="s">
        <v>60</v>
      </c>
      <c r="I209" s="1">
        <v>-145.0</v>
      </c>
      <c r="J209" s="1">
        <v>-0.161736734693877</v>
      </c>
      <c r="K209" s="1" t="s">
        <v>61</v>
      </c>
      <c r="L209" s="1" t="s">
        <v>61</v>
      </c>
      <c r="M209" s="1" t="s">
        <v>62</v>
      </c>
      <c r="N209" s="1">
        <v>110.0</v>
      </c>
      <c r="O209" s="1">
        <v>0.0937095238095238</v>
      </c>
      <c r="P209" s="1" t="s">
        <v>61</v>
      </c>
      <c r="Q209" s="1" t="s">
        <v>61</v>
      </c>
      <c r="R209" s="1">
        <f t="shared" si="1"/>
        <v>0.09370952381</v>
      </c>
      <c r="S209" s="1">
        <f t="shared" si="2"/>
        <v>110</v>
      </c>
      <c r="T209" s="1">
        <f t="shared" si="3"/>
        <v>2.1</v>
      </c>
      <c r="U209" s="1">
        <f t="shared" si="4"/>
        <v>0</v>
      </c>
      <c r="V209" s="3">
        <f t="shared" si="5"/>
        <v>2</v>
      </c>
      <c r="W209" s="3">
        <f t="shared" si="6"/>
        <v>2</v>
      </c>
      <c r="X209" s="3" t="str">
        <f>IFERROR(__xludf.DUMMYFUNCTION("split(B209,"" "")"),"T.")</f>
        <v>T.</v>
      </c>
      <c r="Y209" s="3" t="str">
        <f>IFERROR(__xludf.DUMMYFUNCTION("""COMPUTED_VALUE"""),"Kraft")</f>
        <v>Kraft</v>
      </c>
      <c r="AA209" s="3">
        <v>2.0</v>
      </c>
      <c r="AB209" s="3">
        <f t="shared" si="7"/>
        <v>0</v>
      </c>
      <c r="AC209" s="3">
        <f t="shared" si="8"/>
        <v>1</v>
      </c>
      <c r="AD209" s="3">
        <f t="shared" si="9"/>
        <v>2.2</v>
      </c>
      <c r="AE209" s="3">
        <f t="shared" si="10"/>
        <v>2.2</v>
      </c>
      <c r="AF209" s="3">
        <f t="shared" si="11"/>
        <v>2.2</v>
      </c>
      <c r="AG209" s="3">
        <f t="shared" si="12"/>
        <v>0.4285714286</v>
      </c>
    </row>
    <row r="210">
      <c r="A210" s="1" t="s">
        <v>8</v>
      </c>
      <c r="B210" s="1" t="s">
        <v>297</v>
      </c>
      <c r="C210" s="1" t="s">
        <v>21</v>
      </c>
      <c r="D210" s="1" t="s">
        <v>157</v>
      </c>
      <c r="E210" s="1" t="s">
        <v>105</v>
      </c>
      <c r="F210" s="1" t="s">
        <v>608</v>
      </c>
      <c r="G210" s="1">
        <v>2.5</v>
      </c>
      <c r="H210" s="1" t="s">
        <v>60</v>
      </c>
      <c r="I210" s="1">
        <v>-118.0</v>
      </c>
      <c r="J210" s="1">
        <v>-0.164920474635709</v>
      </c>
      <c r="K210" s="1" t="s">
        <v>61</v>
      </c>
      <c r="L210" s="1" t="s">
        <v>61</v>
      </c>
      <c r="M210" s="1" t="s">
        <v>62</v>
      </c>
      <c r="N210" s="1">
        <v>-113.0</v>
      </c>
      <c r="O210" s="1">
        <v>0.0931252850786886</v>
      </c>
      <c r="P210" s="1" t="s">
        <v>61</v>
      </c>
      <c r="Q210" s="1" t="s">
        <v>61</v>
      </c>
      <c r="R210" s="1">
        <f t="shared" si="1"/>
        <v>0.09312528508</v>
      </c>
      <c r="S210" s="1">
        <f t="shared" si="2"/>
        <v>-113</v>
      </c>
      <c r="T210" s="1">
        <f t="shared" si="3"/>
        <v>1.884955752</v>
      </c>
      <c r="U210" s="1">
        <f t="shared" si="4"/>
        <v>0</v>
      </c>
      <c r="V210" s="3">
        <f t="shared" si="5"/>
        <v>2</v>
      </c>
      <c r="W210" s="3">
        <f t="shared" si="6"/>
        <v>2</v>
      </c>
      <c r="X210" s="3" t="str">
        <f>IFERROR(__xludf.DUMMYFUNCTION("split(B210,"" "")"),"J.")</f>
        <v>J.</v>
      </c>
      <c r="Y210" s="3" t="str">
        <f>IFERROR(__xludf.DUMMYFUNCTION("""COMPUTED_VALUE"""),"Love")</f>
        <v>Love</v>
      </c>
      <c r="AA210" s="3">
        <v>5.0</v>
      </c>
      <c r="AB210" s="3">
        <f t="shared" si="7"/>
        <v>1</v>
      </c>
      <c r="AC210" s="3">
        <f t="shared" si="8"/>
        <v>0</v>
      </c>
      <c r="AD210" s="3">
        <f t="shared" si="9"/>
        <v>1.769911504</v>
      </c>
      <c r="AE210" s="3">
        <f t="shared" si="10"/>
        <v>-2</v>
      </c>
      <c r="AF210" s="3">
        <f t="shared" si="11"/>
        <v>-2</v>
      </c>
      <c r="AG210" s="3">
        <f t="shared" si="12"/>
        <v>-1</v>
      </c>
    </row>
    <row r="211">
      <c r="A211" s="1" t="s">
        <v>12</v>
      </c>
      <c r="B211" s="1" t="s">
        <v>482</v>
      </c>
      <c r="C211" s="1" t="s">
        <v>18</v>
      </c>
      <c r="D211" s="1" t="s">
        <v>157</v>
      </c>
      <c r="E211" s="1" t="s">
        <v>105</v>
      </c>
      <c r="F211" s="1" t="s">
        <v>608</v>
      </c>
      <c r="G211" s="1">
        <v>3.5</v>
      </c>
      <c r="H211" s="1" t="s">
        <v>60</v>
      </c>
      <c r="I211" s="1">
        <v>-103.0</v>
      </c>
      <c r="J211" s="1">
        <v>-0.154387684729064</v>
      </c>
      <c r="K211" s="1" t="s">
        <v>61</v>
      </c>
      <c r="L211" s="1" t="s">
        <v>61</v>
      </c>
      <c r="M211" s="1" t="s">
        <v>62</v>
      </c>
      <c r="N211" s="1">
        <v>-128.0</v>
      </c>
      <c r="O211" s="1">
        <v>0.0856087719298246</v>
      </c>
      <c r="P211" s="1" t="s">
        <v>61</v>
      </c>
      <c r="Q211" s="1" t="s">
        <v>61</v>
      </c>
      <c r="R211" s="1">
        <f t="shared" si="1"/>
        <v>0.08560877193</v>
      </c>
      <c r="S211" s="1">
        <f t="shared" si="2"/>
        <v>-128</v>
      </c>
      <c r="T211" s="1">
        <f t="shared" si="3"/>
        <v>1.78125</v>
      </c>
      <c r="U211" s="1">
        <f t="shared" si="4"/>
        <v>0</v>
      </c>
      <c r="V211" s="3">
        <f t="shared" si="5"/>
        <v>2</v>
      </c>
      <c r="W211" s="3">
        <f t="shared" si="6"/>
        <v>3</v>
      </c>
      <c r="X211" s="3" t="str">
        <f>IFERROR(__xludf.DUMMYFUNCTION("split(B211,"" "")"),"R.")</f>
        <v>R.</v>
      </c>
      <c r="Y211" s="3" t="str">
        <f>IFERROR(__xludf.DUMMYFUNCTION("""COMPUTED_VALUE"""),"Doubs")</f>
        <v>Doubs</v>
      </c>
      <c r="AA211" s="3">
        <v>3.0</v>
      </c>
      <c r="AB211" s="3">
        <f t="shared" si="7"/>
        <v>0</v>
      </c>
      <c r="AC211" s="3">
        <f t="shared" si="8"/>
        <v>1</v>
      </c>
      <c r="AD211" s="3">
        <f t="shared" si="9"/>
        <v>1.5625</v>
      </c>
      <c r="AE211" s="3">
        <f t="shared" si="10"/>
        <v>1.5625</v>
      </c>
      <c r="AF211" s="3">
        <f t="shared" si="11"/>
        <v>2.34375</v>
      </c>
      <c r="AG211" s="3">
        <f t="shared" si="12"/>
        <v>0.1428571429</v>
      </c>
    </row>
    <row r="212">
      <c r="A212" s="1" t="s">
        <v>12</v>
      </c>
      <c r="B212" s="1" t="s">
        <v>536</v>
      </c>
      <c r="C212" s="1" t="s">
        <v>19</v>
      </c>
      <c r="D212" s="1" t="s">
        <v>157</v>
      </c>
      <c r="E212" s="1" t="s">
        <v>105</v>
      </c>
      <c r="F212" s="1" t="s">
        <v>608</v>
      </c>
      <c r="G212" s="1">
        <v>0.5</v>
      </c>
      <c r="H212" s="1" t="s">
        <v>60</v>
      </c>
      <c r="I212" s="1">
        <v>-240.0</v>
      </c>
      <c r="J212" s="1">
        <v>-0.145609489626176</v>
      </c>
      <c r="K212" s="1" t="s">
        <v>61</v>
      </c>
      <c r="L212" s="1" t="s">
        <v>61</v>
      </c>
      <c r="M212" s="1" t="s">
        <v>62</v>
      </c>
      <c r="N212" s="1">
        <v>178.0</v>
      </c>
      <c r="O212" s="1">
        <v>0.0800209585356114</v>
      </c>
      <c r="P212" s="1" t="s">
        <v>61</v>
      </c>
      <c r="Q212" s="1" t="s">
        <v>61</v>
      </c>
      <c r="R212" s="1">
        <f t="shared" si="1"/>
        <v>0.08002095854</v>
      </c>
      <c r="S212" s="1">
        <f t="shared" si="2"/>
        <v>178</v>
      </c>
      <c r="T212" s="1">
        <f t="shared" si="3"/>
        <v>2.78</v>
      </c>
      <c r="U212" s="1">
        <f t="shared" si="4"/>
        <v>0</v>
      </c>
      <c r="V212" s="3">
        <f t="shared" si="5"/>
        <v>2</v>
      </c>
      <c r="W212" s="3">
        <f t="shared" si="6"/>
        <v>1</v>
      </c>
      <c r="X212" s="3" t="str">
        <f>IFERROR(__xludf.DUMMYFUNCTION("split(B212,"" "")"),"E.")</f>
        <v>E.</v>
      </c>
      <c r="Y212" s="3" t="str">
        <f>IFERROR(__xludf.DUMMYFUNCTION("""COMPUTED_VALUE"""),"Wilson")</f>
        <v>Wilson</v>
      </c>
      <c r="AA212" s="3">
        <v>2.0</v>
      </c>
      <c r="AB212" s="3">
        <f t="shared" si="7"/>
        <v>1</v>
      </c>
      <c r="AC212" s="3">
        <f t="shared" si="8"/>
        <v>0</v>
      </c>
      <c r="AD212" s="3">
        <f t="shared" si="9"/>
        <v>3.56</v>
      </c>
      <c r="AE212" s="3">
        <f t="shared" si="10"/>
        <v>-2</v>
      </c>
      <c r="AF212" s="3">
        <f t="shared" si="11"/>
        <v>-1</v>
      </c>
      <c r="AG212" s="3">
        <f t="shared" si="12"/>
        <v>-3</v>
      </c>
    </row>
    <row r="213">
      <c r="A213" s="1" t="s">
        <v>11</v>
      </c>
      <c r="B213" s="1" t="s">
        <v>245</v>
      </c>
      <c r="C213" s="1" t="s">
        <v>18</v>
      </c>
      <c r="D213" s="1" t="s">
        <v>157</v>
      </c>
      <c r="E213" s="1" t="s">
        <v>105</v>
      </c>
      <c r="F213" s="1" t="s">
        <v>608</v>
      </c>
      <c r="G213" s="1">
        <v>36.5</v>
      </c>
      <c r="H213" s="1" t="s">
        <v>60</v>
      </c>
      <c r="I213" s="1">
        <v>-110.0</v>
      </c>
      <c r="J213" s="1">
        <v>-0.115795843547333</v>
      </c>
      <c r="K213" s="1" t="s">
        <v>61</v>
      </c>
      <c r="L213" s="1" t="s">
        <v>61</v>
      </c>
      <c r="M213" s="1" t="s">
        <v>62</v>
      </c>
      <c r="N213" s="1">
        <v>-110.0</v>
      </c>
      <c r="O213" s="1">
        <v>0.0681842462120666</v>
      </c>
      <c r="P213" s="1" t="s">
        <v>61</v>
      </c>
      <c r="Q213" s="1" t="s">
        <v>61</v>
      </c>
      <c r="R213" s="1">
        <f t="shared" si="1"/>
        <v>0.06818424621</v>
      </c>
      <c r="S213" s="1">
        <f t="shared" si="2"/>
        <v>-110</v>
      </c>
      <c r="T213" s="1">
        <f t="shared" si="3"/>
        <v>1.909090909</v>
      </c>
      <c r="U213" s="1">
        <f t="shared" si="4"/>
        <v>0</v>
      </c>
      <c r="V213" s="3">
        <f t="shared" si="5"/>
        <v>2</v>
      </c>
      <c r="W213" s="3">
        <f t="shared" si="6"/>
        <v>2</v>
      </c>
      <c r="X213" s="3" t="str">
        <f>IFERROR(__xludf.DUMMYFUNCTION("split(B213,"" "")"),"D.")</f>
        <v>D.</v>
      </c>
      <c r="Y213" s="3" t="str">
        <f>IFERROR(__xludf.DUMMYFUNCTION("""COMPUTED_VALUE"""),"Wicks")</f>
        <v>Wicks</v>
      </c>
      <c r="AA213" s="3">
        <v>9.0</v>
      </c>
      <c r="AB213" s="3">
        <f t="shared" si="7"/>
        <v>0</v>
      </c>
      <c r="AC213" s="3">
        <f t="shared" si="8"/>
        <v>1</v>
      </c>
      <c r="AD213" s="3">
        <f t="shared" si="9"/>
        <v>1.818181818</v>
      </c>
      <c r="AE213" s="3">
        <f t="shared" si="10"/>
        <v>1.818181818</v>
      </c>
      <c r="AF213" s="3">
        <f t="shared" si="11"/>
        <v>1.818181818</v>
      </c>
      <c r="AG213" s="3">
        <f t="shared" si="12"/>
        <v>0.7534246575</v>
      </c>
    </row>
    <row r="214">
      <c r="A214" s="1" t="s">
        <v>12</v>
      </c>
      <c r="B214" s="1" t="s">
        <v>344</v>
      </c>
      <c r="C214" s="1" t="s">
        <v>18</v>
      </c>
      <c r="D214" s="1" t="s">
        <v>157</v>
      </c>
      <c r="E214" s="1" t="s">
        <v>105</v>
      </c>
      <c r="F214" s="1" t="s">
        <v>608</v>
      </c>
      <c r="G214" s="1">
        <v>2.5</v>
      </c>
      <c r="H214" s="1" t="s">
        <v>60</v>
      </c>
      <c r="I214" s="1">
        <v>123.0</v>
      </c>
      <c r="J214" s="1">
        <v>-0.131473840245739</v>
      </c>
      <c r="K214" s="1" t="s">
        <v>61</v>
      </c>
      <c r="L214" s="1" t="s">
        <v>61</v>
      </c>
      <c r="M214" s="1" t="s">
        <v>62</v>
      </c>
      <c r="N214" s="1">
        <v>-163.0</v>
      </c>
      <c r="O214" s="1">
        <v>0.0632644786266161</v>
      </c>
      <c r="P214" s="1" t="s">
        <v>61</v>
      </c>
      <c r="Q214" s="1" t="s">
        <v>61</v>
      </c>
      <c r="R214" s="1">
        <f t="shared" si="1"/>
        <v>0.06326447863</v>
      </c>
      <c r="S214" s="1">
        <f t="shared" si="2"/>
        <v>-163</v>
      </c>
      <c r="T214" s="1">
        <f t="shared" si="3"/>
        <v>1.613496933</v>
      </c>
      <c r="U214" s="1">
        <f t="shared" si="4"/>
        <v>0</v>
      </c>
      <c r="V214" s="3">
        <f t="shared" si="5"/>
        <v>2</v>
      </c>
      <c r="W214" s="3">
        <f t="shared" si="6"/>
        <v>3</v>
      </c>
      <c r="X214" s="3" t="str">
        <f>IFERROR(__xludf.DUMMYFUNCTION("split(B214,"" "")"),"C.")</f>
        <v>C.</v>
      </c>
      <c r="Y214" s="3" t="str">
        <f>IFERROR(__xludf.DUMMYFUNCTION("""COMPUTED_VALUE"""),"Watson")</f>
        <v>Watson</v>
      </c>
      <c r="AA214" s="3">
        <v>3.0</v>
      </c>
      <c r="AB214" s="3">
        <f t="shared" si="7"/>
        <v>1</v>
      </c>
      <c r="AC214" s="3">
        <f t="shared" si="8"/>
        <v>0</v>
      </c>
      <c r="AD214" s="3">
        <f t="shared" si="9"/>
        <v>1.226993865</v>
      </c>
      <c r="AE214" s="3">
        <f t="shared" si="10"/>
        <v>-2</v>
      </c>
      <c r="AF214" s="3">
        <f t="shared" si="11"/>
        <v>-3</v>
      </c>
      <c r="AG214" s="3">
        <f t="shared" si="12"/>
        <v>-0.2</v>
      </c>
    </row>
    <row r="215">
      <c r="A215" s="1" t="s">
        <v>15</v>
      </c>
      <c r="B215" s="1" t="s">
        <v>297</v>
      </c>
      <c r="C215" s="1" t="s">
        <v>21</v>
      </c>
      <c r="D215" s="1" t="s">
        <v>157</v>
      </c>
      <c r="E215" s="1" t="s">
        <v>105</v>
      </c>
      <c r="F215" s="1" t="s">
        <v>608</v>
      </c>
      <c r="G215" s="1">
        <v>22.5</v>
      </c>
      <c r="H215" s="1" t="s">
        <v>60</v>
      </c>
      <c r="I215" s="1">
        <v>-101.0</v>
      </c>
      <c r="J215" s="1">
        <v>0.0432119402985073</v>
      </c>
      <c r="K215" s="1" t="s">
        <v>61</v>
      </c>
      <c r="L215" s="1" t="s">
        <v>61</v>
      </c>
      <c r="M215" s="1" t="s">
        <v>62</v>
      </c>
      <c r="N215" s="1">
        <v>-129.0</v>
      </c>
      <c r="O215" s="1">
        <v>-0.109031441048034</v>
      </c>
      <c r="P215" s="1" t="s">
        <v>61</v>
      </c>
      <c r="Q215" s="1" t="s">
        <v>61</v>
      </c>
      <c r="R215" s="1">
        <f t="shared" si="1"/>
        <v>0.0432119403</v>
      </c>
      <c r="S215" s="1">
        <f t="shared" si="2"/>
        <v>-101</v>
      </c>
      <c r="T215" s="1">
        <f t="shared" si="3"/>
        <v>1.99009901</v>
      </c>
      <c r="U215" s="1">
        <f t="shared" si="4"/>
        <v>1</v>
      </c>
      <c r="V215" s="3">
        <f t="shared" si="5"/>
        <v>1</v>
      </c>
      <c r="W215" s="3">
        <f t="shared" si="6"/>
        <v>2</v>
      </c>
      <c r="X215" s="3" t="str">
        <f>IFERROR(__xludf.DUMMYFUNCTION("split(B215,"" "")"),"J.")</f>
        <v>J.</v>
      </c>
      <c r="Y215" s="3" t="str">
        <f>IFERROR(__xludf.DUMMYFUNCTION("""COMPUTED_VALUE"""),"Love")</f>
        <v>Love</v>
      </c>
      <c r="AA215" s="3">
        <v>22.0</v>
      </c>
      <c r="AB215" s="3">
        <f t="shared" si="7"/>
        <v>0</v>
      </c>
      <c r="AC215" s="3">
        <f t="shared" si="8"/>
        <v>0</v>
      </c>
      <c r="AD215" s="3">
        <f t="shared" si="9"/>
        <v>0.9900990099</v>
      </c>
      <c r="AE215" s="3">
        <f t="shared" si="10"/>
        <v>-1</v>
      </c>
      <c r="AF215" s="3">
        <f t="shared" si="11"/>
        <v>-2</v>
      </c>
      <c r="AG215" s="3">
        <f t="shared" si="12"/>
        <v>-0.02222222222</v>
      </c>
    </row>
    <row r="216">
      <c r="A216" s="1" t="s">
        <v>17</v>
      </c>
      <c r="B216" s="1" t="s">
        <v>297</v>
      </c>
      <c r="C216" s="1" t="s">
        <v>21</v>
      </c>
      <c r="D216" s="1" t="s">
        <v>157</v>
      </c>
      <c r="E216" s="1" t="s">
        <v>105</v>
      </c>
      <c r="F216" s="1" t="s">
        <v>608</v>
      </c>
      <c r="G216" s="1">
        <v>0.5</v>
      </c>
      <c r="H216" s="1" t="s">
        <v>60</v>
      </c>
      <c r="I216" s="1">
        <v>-130.0</v>
      </c>
      <c r="J216" s="1">
        <v>-0.108817391304347</v>
      </c>
      <c r="K216" s="1" t="s">
        <v>61</v>
      </c>
      <c r="L216" s="1" t="s">
        <v>61</v>
      </c>
      <c r="M216" s="1" t="s">
        <v>62</v>
      </c>
      <c r="N216" s="1">
        <v>-101.0</v>
      </c>
      <c r="O216" s="1">
        <v>0.0411124378109453</v>
      </c>
      <c r="P216" s="1" t="s">
        <v>61</v>
      </c>
      <c r="Q216" s="1" t="s">
        <v>61</v>
      </c>
      <c r="R216" s="1">
        <f t="shared" si="1"/>
        <v>0.04111243781</v>
      </c>
      <c r="S216" s="1">
        <f t="shared" si="2"/>
        <v>-101</v>
      </c>
      <c r="T216" s="1">
        <f t="shared" si="3"/>
        <v>1.99009901</v>
      </c>
      <c r="U216" s="1">
        <f t="shared" si="4"/>
        <v>0</v>
      </c>
      <c r="V216" s="3">
        <f t="shared" si="5"/>
        <v>1</v>
      </c>
      <c r="W216" s="3">
        <f t="shared" si="6"/>
        <v>2</v>
      </c>
      <c r="X216" s="3" t="str">
        <f>IFERROR(__xludf.DUMMYFUNCTION("split(B216,"" "")"),"J.")</f>
        <v>J.</v>
      </c>
      <c r="Y216" s="3" t="str">
        <f>IFERROR(__xludf.DUMMYFUNCTION("""COMPUTED_VALUE"""),"Love")</f>
        <v>Love</v>
      </c>
      <c r="AA216" s="3">
        <v>1.0</v>
      </c>
      <c r="AB216" s="3">
        <f t="shared" si="7"/>
        <v>1</v>
      </c>
      <c r="AC216" s="3">
        <f t="shared" si="8"/>
        <v>0</v>
      </c>
      <c r="AD216" s="3">
        <f t="shared" si="9"/>
        <v>0.9900990099</v>
      </c>
      <c r="AE216" s="3">
        <f t="shared" si="10"/>
        <v>-1</v>
      </c>
      <c r="AF216" s="3">
        <f t="shared" si="11"/>
        <v>-2</v>
      </c>
      <c r="AG216" s="3">
        <f t="shared" si="12"/>
        <v>-1</v>
      </c>
    </row>
    <row r="217">
      <c r="A217" s="1" t="s">
        <v>12</v>
      </c>
      <c r="B217" s="1" t="s">
        <v>187</v>
      </c>
      <c r="C217" s="1" t="s">
        <v>19</v>
      </c>
      <c r="D217" s="1" t="s">
        <v>157</v>
      </c>
      <c r="E217" s="1" t="s">
        <v>105</v>
      </c>
      <c r="F217" s="1" t="s">
        <v>608</v>
      </c>
      <c r="G217" s="1">
        <v>2.5</v>
      </c>
      <c r="H217" s="1" t="s">
        <v>60</v>
      </c>
      <c r="I217" s="1">
        <v>125.0</v>
      </c>
      <c r="J217" s="1">
        <v>-0.108587015944444</v>
      </c>
      <c r="K217" s="1" t="s">
        <v>61</v>
      </c>
      <c r="L217" s="1" t="s">
        <v>61</v>
      </c>
      <c r="M217" s="1" t="s">
        <v>62</v>
      </c>
      <c r="N217" s="1">
        <v>-166.0</v>
      </c>
      <c r="O217" s="1">
        <v>0.0400753397150375</v>
      </c>
      <c r="P217" s="1" t="s">
        <v>61</v>
      </c>
      <c r="Q217" s="1" t="s">
        <v>61</v>
      </c>
      <c r="R217" s="1">
        <f t="shared" si="1"/>
        <v>0.04007533972</v>
      </c>
      <c r="S217" s="1">
        <f t="shared" si="2"/>
        <v>-166</v>
      </c>
      <c r="T217" s="1">
        <f t="shared" si="3"/>
        <v>1.602409639</v>
      </c>
      <c r="U217" s="1">
        <f t="shared" si="4"/>
        <v>0</v>
      </c>
      <c r="V217" s="3">
        <f t="shared" si="5"/>
        <v>1</v>
      </c>
      <c r="W217" s="3">
        <f t="shared" si="6"/>
        <v>3</v>
      </c>
      <c r="X217" s="3" t="str">
        <f>IFERROR(__xludf.DUMMYFUNCTION("split(B217,"" "")"),"J.")</f>
        <v>J.</v>
      </c>
      <c r="Y217" s="3" t="str">
        <f>IFERROR(__xludf.DUMMYFUNCTION("""COMPUTED_VALUE"""),"Jacobs")</f>
        <v>Jacobs</v>
      </c>
      <c r="AA217" s="3">
        <v>3.0</v>
      </c>
      <c r="AB217" s="3">
        <f t="shared" si="7"/>
        <v>1</v>
      </c>
      <c r="AC217" s="3">
        <f t="shared" si="8"/>
        <v>0</v>
      </c>
      <c r="AD217" s="3">
        <f t="shared" si="9"/>
        <v>0.6024096386</v>
      </c>
      <c r="AE217" s="3">
        <f t="shared" si="10"/>
        <v>-1</v>
      </c>
      <c r="AF217" s="3">
        <f t="shared" si="11"/>
        <v>-3</v>
      </c>
      <c r="AG217" s="3">
        <f t="shared" si="12"/>
        <v>-0.2</v>
      </c>
    </row>
    <row r="218">
      <c r="A218" s="1" t="s">
        <v>11</v>
      </c>
      <c r="B218" s="1" t="s">
        <v>482</v>
      </c>
      <c r="C218" s="1" t="s">
        <v>18</v>
      </c>
      <c r="D218" s="1" t="s">
        <v>157</v>
      </c>
      <c r="E218" s="1" t="s">
        <v>105</v>
      </c>
      <c r="F218" s="1" t="s">
        <v>608</v>
      </c>
      <c r="G218" s="1">
        <v>42.5</v>
      </c>
      <c r="H218" s="1" t="s">
        <v>60</v>
      </c>
      <c r="I218" s="1">
        <v>-109.0</v>
      </c>
      <c r="J218" s="1">
        <v>-0.0886337767461243</v>
      </c>
      <c r="K218" s="1" t="s">
        <v>61</v>
      </c>
      <c r="L218" s="1" t="s">
        <v>61</v>
      </c>
      <c r="M218" s="1" t="s">
        <v>62</v>
      </c>
      <c r="N218" s="1">
        <v>-112.0</v>
      </c>
      <c r="O218" s="1">
        <v>0.0387998570646792</v>
      </c>
      <c r="P218" s="1" t="s">
        <v>61</v>
      </c>
      <c r="Q218" s="1" t="s">
        <v>61</v>
      </c>
      <c r="R218" s="1">
        <f t="shared" si="1"/>
        <v>0.03879985706</v>
      </c>
      <c r="S218" s="1">
        <f t="shared" si="2"/>
        <v>-112</v>
      </c>
      <c r="T218" s="1">
        <f t="shared" si="3"/>
        <v>1.892857143</v>
      </c>
      <c r="U218" s="1">
        <f t="shared" si="4"/>
        <v>0</v>
      </c>
      <c r="V218" s="3">
        <f t="shared" si="5"/>
        <v>1</v>
      </c>
      <c r="W218" s="3">
        <f t="shared" si="6"/>
        <v>2</v>
      </c>
      <c r="X218" s="3" t="str">
        <f>IFERROR(__xludf.DUMMYFUNCTION("split(B218,"" "")"),"R.")</f>
        <v>R.</v>
      </c>
      <c r="Y218" s="3" t="str">
        <f>IFERROR(__xludf.DUMMYFUNCTION("""COMPUTED_VALUE"""),"Doubs")</f>
        <v>Doubs</v>
      </c>
      <c r="AA218" s="3">
        <v>49.0</v>
      </c>
      <c r="AB218" s="3">
        <f t="shared" si="7"/>
        <v>1</v>
      </c>
      <c r="AC218" s="3">
        <f t="shared" si="8"/>
        <v>0</v>
      </c>
      <c r="AD218" s="3">
        <f t="shared" si="9"/>
        <v>0.8928571429</v>
      </c>
      <c r="AE218" s="3">
        <f t="shared" si="10"/>
        <v>-1</v>
      </c>
      <c r="AF218" s="3">
        <f t="shared" si="11"/>
        <v>-2</v>
      </c>
      <c r="AG218" s="3">
        <f t="shared" si="12"/>
        <v>-0.1529411765</v>
      </c>
    </row>
    <row r="219">
      <c r="A219" s="1" t="s">
        <v>11</v>
      </c>
      <c r="B219" s="1" t="s">
        <v>535</v>
      </c>
      <c r="C219" s="1" t="s">
        <v>20</v>
      </c>
      <c r="D219" s="1" t="s">
        <v>157</v>
      </c>
      <c r="E219" s="1" t="s">
        <v>105</v>
      </c>
      <c r="F219" s="1" t="s">
        <v>608</v>
      </c>
      <c r="G219" s="1">
        <v>40.5</v>
      </c>
      <c r="H219" s="1" t="s">
        <v>60</v>
      </c>
      <c r="I219" s="1">
        <v>-112.0</v>
      </c>
      <c r="J219" s="1">
        <v>-0.092304152794151</v>
      </c>
      <c r="K219" s="1" t="s">
        <v>61</v>
      </c>
      <c r="L219" s="1" t="s">
        <v>61</v>
      </c>
      <c r="M219" s="1" t="s">
        <v>62</v>
      </c>
      <c r="N219" s="1">
        <v>-115.0</v>
      </c>
      <c r="O219" s="1">
        <v>0.0290916021720466</v>
      </c>
      <c r="P219" s="1" t="s">
        <v>61</v>
      </c>
      <c r="Q219" s="1" t="s">
        <v>61</v>
      </c>
      <c r="R219" s="1">
        <f t="shared" si="1"/>
        <v>0.02909160217</v>
      </c>
      <c r="S219" s="1">
        <f t="shared" si="2"/>
        <v>-115</v>
      </c>
      <c r="T219" s="1">
        <f t="shared" si="3"/>
        <v>1.869565217</v>
      </c>
      <c r="U219" s="1">
        <f t="shared" si="4"/>
        <v>0</v>
      </c>
      <c r="V219" s="3">
        <f t="shared" si="5"/>
        <v>1</v>
      </c>
      <c r="W219" s="3">
        <f t="shared" si="6"/>
        <v>2</v>
      </c>
      <c r="X219" s="3" t="str">
        <f>IFERROR(__xludf.DUMMYFUNCTION("split(B219,"" "")"),"T.")</f>
        <v>T.</v>
      </c>
      <c r="Y219" s="3" t="str">
        <f>IFERROR(__xludf.DUMMYFUNCTION("""COMPUTED_VALUE"""),"Kraft")</f>
        <v>Kraft</v>
      </c>
      <c r="AA219" s="3">
        <v>13.0</v>
      </c>
      <c r="AB219" s="3">
        <f t="shared" si="7"/>
        <v>0</v>
      </c>
      <c r="AC219" s="3">
        <f t="shared" si="8"/>
        <v>1</v>
      </c>
      <c r="AD219" s="3">
        <f t="shared" si="9"/>
        <v>0.8695652174</v>
      </c>
      <c r="AE219" s="3">
        <f t="shared" si="10"/>
        <v>0.8695652174</v>
      </c>
      <c r="AF219" s="3">
        <f t="shared" si="11"/>
        <v>1.739130435</v>
      </c>
      <c r="AG219" s="3">
        <f t="shared" si="12"/>
        <v>0.6790123457</v>
      </c>
    </row>
    <row r="220">
      <c r="A220" s="1" t="s">
        <v>12</v>
      </c>
      <c r="B220" s="1" t="s">
        <v>487</v>
      </c>
      <c r="C220" s="1" t="s">
        <v>18</v>
      </c>
      <c r="D220" s="1" t="s">
        <v>157</v>
      </c>
      <c r="E220" s="1" t="s">
        <v>105</v>
      </c>
      <c r="F220" s="1" t="s">
        <v>608</v>
      </c>
      <c r="G220" s="1">
        <v>4.5</v>
      </c>
      <c r="H220" s="1" t="s">
        <v>60</v>
      </c>
      <c r="I220" s="1">
        <v>-127.0</v>
      </c>
      <c r="J220" s="1">
        <v>-0.0912154185022026</v>
      </c>
      <c r="K220" s="1" t="s">
        <v>61</v>
      </c>
      <c r="L220" s="1" t="s">
        <v>61</v>
      </c>
      <c r="M220" s="1" t="s">
        <v>62</v>
      </c>
      <c r="N220" s="1">
        <v>-104.0</v>
      </c>
      <c r="O220" s="1">
        <v>0.0219470588235295</v>
      </c>
      <c r="P220" s="1" t="s">
        <v>61</v>
      </c>
      <c r="Q220" s="1" t="s">
        <v>61</v>
      </c>
      <c r="R220" s="1">
        <f t="shared" si="1"/>
        <v>0.02194705882</v>
      </c>
      <c r="S220" s="1">
        <f t="shared" si="2"/>
        <v>-104</v>
      </c>
      <c r="T220" s="1">
        <f t="shared" si="3"/>
        <v>1.961538462</v>
      </c>
      <c r="U220" s="1">
        <f t="shared" si="4"/>
        <v>0</v>
      </c>
      <c r="V220" s="3">
        <f t="shared" si="5"/>
        <v>1</v>
      </c>
      <c r="W220" s="3">
        <f t="shared" si="6"/>
        <v>2</v>
      </c>
      <c r="X220" s="3" t="str">
        <f>IFERROR(__xludf.DUMMYFUNCTION("split(B220,"" "")"),"J.")</f>
        <v>J.</v>
      </c>
      <c r="Y220" s="3" t="str">
        <f>IFERROR(__xludf.DUMMYFUNCTION("""COMPUTED_VALUE"""),"Reed")</f>
        <v>Reed</v>
      </c>
      <c r="AA220" s="3">
        <v>6.0</v>
      </c>
      <c r="AB220" s="3">
        <f t="shared" si="7"/>
        <v>1</v>
      </c>
      <c r="AC220" s="3">
        <f t="shared" si="8"/>
        <v>0</v>
      </c>
      <c r="AD220" s="3">
        <f t="shared" si="9"/>
        <v>0.9615384615</v>
      </c>
      <c r="AE220" s="3">
        <f t="shared" si="10"/>
        <v>-1</v>
      </c>
      <c r="AF220" s="3">
        <f t="shared" si="11"/>
        <v>-2</v>
      </c>
      <c r="AG220" s="3">
        <f t="shared" si="12"/>
        <v>-0.3333333333</v>
      </c>
    </row>
    <row r="221">
      <c r="A221" s="1" t="s">
        <v>10</v>
      </c>
      <c r="B221" s="1" t="s">
        <v>187</v>
      </c>
      <c r="C221" s="1" t="s">
        <v>19</v>
      </c>
      <c r="D221" s="1" t="s">
        <v>157</v>
      </c>
      <c r="E221" s="1" t="s">
        <v>105</v>
      </c>
      <c r="F221" s="1" t="s">
        <v>608</v>
      </c>
      <c r="G221" s="1">
        <v>67.5</v>
      </c>
      <c r="H221" s="1" t="s">
        <v>60</v>
      </c>
      <c r="I221" s="1">
        <v>-117.0</v>
      </c>
      <c r="J221" s="1">
        <v>-0.0813689358904015</v>
      </c>
      <c r="K221" s="1" t="s">
        <v>61</v>
      </c>
      <c r="L221" s="1" t="s">
        <v>61</v>
      </c>
      <c r="M221" s="1" t="s">
        <v>62</v>
      </c>
      <c r="N221" s="1">
        <v>-109.0</v>
      </c>
      <c r="O221" s="1">
        <v>0.0206659027544399</v>
      </c>
      <c r="P221" s="1" t="s">
        <v>61</v>
      </c>
      <c r="Q221" s="1" t="s">
        <v>61</v>
      </c>
      <c r="R221" s="1">
        <f t="shared" si="1"/>
        <v>0.02066590275</v>
      </c>
      <c r="S221" s="1">
        <f t="shared" si="2"/>
        <v>-109</v>
      </c>
      <c r="T221" s="1">
        <f t="shared" si="3"/>
        <v>1.917431193</v>
      </c>
      <c r="U221" s="1">
        <f t="shared" si="4"/>
        <v>0</v>
      </c>
      <c r="V221" s="3">
        <f t="shared" si="5"/>
        <v>1</v>
      </c>
      <c r="W221" s="3">
        <f t="shared" si="6"/>
        <v>2</v>
      </c>
      <c r="X221" s="3" t="str">
        <f>IFERROR(__xludf.DUMMYFUNCTION("split(B221,"" "")"),"J.")</f>
        <v>J.</v>
      </c>
      <c r="Y221" s="3" t="str">
        <f>IFERROR(__xludf.DUMMYFUNCTION("""COMPUTED_VALUE"""),"Jacobs")</f>
        <v>Jacobs</v>
      </c>
      <c r="AA221" s="3">
        <v>62.0</v>
      </c>
      <c r="AB221" s="3">
        <f t="shared" si="7"/>
        <v>0</v>
      </c>
      <c r="AC221" s="3">
        <f t="shared" si="8"/>
        <v>1</v>
      </c>
      <c r="AD221" s="3">
        <f t="shared" si="9"/>
        <v>0.9174311927</v>
      </c>
      <c r="AE221" s="3">
        <f t="shared" si="10"/>
        <v>0.9174311927</v>
      </c>
      <c r="AF221" s="3">
        <f t="shared" si="11"/>
        <v>1.834862385</v>
      </c>
      <c r="AG221" s="3">
        <f t="shared" si="12"/>
        <v>0.08148148148</v>
      </c>
    </row>
    <row r="222">
      <c r="A222" s="1" t="s">
        <v>11</v>
      </c>
      <c r="B222" s="1" t="s">
        <v>487</v>
      </c>
      <c r="C222" s="1" t="s">
        <v>18</v>
      </c>
      <c r="D222" s="1" t="s">
        <v>157</v>
      </c>
      <c r="E222" s="1" t="s">
        <v>105</v>
      </c>
      <c r="F222" s="1" t="s">
        <v>608</v>
      </c>
      <c r="G222" s="1">
        <v>60.5</v>
      </c>
      <c r="H222" s="1" t="s">
        <v>60</v>
      </c>
      <c r="I222" s="1">
        <v>-123.0</v>
      </c>
      <c r="J222" s="1">
        <v>-0.0848450756622911</v>
      </c>
      <c r="K222" s="1" t="s">
        <v>61</v>
      </c>
      <c r="L222" s="1" t="s">
        <v>61</v>
      </c>
      <c r="M222" s="1" t="s">
        <v>62</v>
      </c>
      <c r="N222" s="1">
        <v>-106.0</v>
      </c>
      <c r="O222" s="1">
        <v>0.0186784061662111</v>
      </c>
      <c r="P222" s="1" t="s">
        <v>61</v>
      </c>
      <c r="Q222" s="1" t="s">
        <v>61</v>
      </c>
      <c r="R222" s="1">
        <f t="shared" si="1"/>
        <v>0.01867840617</v>
      </c>
      <c r="S222" s="1">
        <f t="shared" si="2"/>
        <v>-106</v>
      </c>
      <c r="T222" s="1">
        <f t="shared" si="3"/>
        <v>1.943396226</v>
      </c>
      <c r="U222" s="1">
        <f t="shared" si="4"/>
        <v>0</v>
      </c>
      <c r="V222" s="3">
        <f t="shared" si="5"/>
        <v>1</v>
      </c>
      <c r="W222" s="3">
        <f t="shared" si="6"/>
        <v>2</v>
      </c>
      <c r="X222" s="3" t="str">
        <f>IFERROR(__xludf.DUMMYFUNCTION("split(B222,"" "")"),"J.")</f>
        <v>J.</v>
      </c>
      <c r="Y222" s="3" t="str">
        <f>IFERROR(__xludf.DUMMYFUNCTION("""COMPUTED_VALUE"""),"Reed")</f>
        <v>Reed</v>
      </c>
      <c r="AA222" s="3">
        <v>28.0</v>
      </c>
      <c r="AB222" s="3">
        <f t="shared" si="7"/>
        <v>0</v>
      </c>
      <c r="AC222" s="3">
        <f t="shared" si="8"/>
        <v>1</v>
      </c>
      <c r="AD222" s="3">
        <f t="shared" si="9"/>
        <v>0.9433962264</v>
      </c>
      <c r="AE222" s="3">
        <f t="shared" si="10"/>
        <v>0.9433962264</v>
      </c>
      <c r="AF222" s="3">
        <f t="shared" si="11"/>
        <v>1.886792453</v>
      </c>
      <c r="AG222" s="3">
        <f t="shared" si="12"/>
        <v>0.5371900826</v>
      </c>
    </row>
    <row r="223">
      <c r="A223" s="1" t="s">
        <v>9</v>
      </c>
      <c r="B223" s="1" t="s">
        <v>187</v>
      </c>
      <c r="C223" s="1" t="s">
        <v>19</v>
      </c>
      <c r="D223" s="1" t="s">
        <v>157</v>
      </c>
      <c r="E223" s="1" t="s">
        <v>105</v>
      </c>
      <c r="F223" s="1" t="s">
        <v>608</v>
      </c>
      <c r="G223" s="1">
        <v>83.5</v>
      </c>
      <c r="H223" s="1" t="s">
        <v>60</v>
      </c>
      <c r="I223" s="1">
        <v>-118.0</v>
      </c>
      <c r="J223" s="1">
        <v>-0.0901646097045046</v>
      </c>
      <c r="K223" s="1" t="s">
        <v>61</v>
      </c>
      <c r="L223" s="1" t="s">
        <v>61</v>
      </c>
      <c r="M223" s="1" t="s">
        <v>62</v>
      </c>
      <c r="N223" s="1">
        <v>-113.0</v>
      </c>
      <c r="O223" s="1">
        <v>0.018376328425388</v>
      </c>
      <c r="P223" s="1" t="s">
        <v>61</v>
      </c>
      <c r="Q223" s="1" t="s">
        <v>61</v>
      </c>
      <c r="R223" s="1">
        <f t="shared" si="1"/>
        <v>0.01837632843</v>
      </c>
      <c r="S223" s="1">
        <f t="shared" si="2"/>
        <v>-113</v>
      </c>
      <c r="T223" s="1">
        <f t="shared" si="3"/>
        <v>1.884955752</v>
      </c>
      <c r="U223" s="1">
        <f t="shared" si="4"/>
        <v>0</v>
      </c>
      <c r="V223" s="3">
        <f t="shared" si="5"/>
        <v>1</v>
      </c>
      <c r="W223" s="3">
        <f t="shared" si="6"/>
        <v>2</v>
      </c>
      <c r="X223" s="3" t="str">
        <f>IFERROR(__xludf.DUMMYFUNCTION("split(B223,"" "")"),"J.")</f>
        <v>J.</v>
      </c>
      <c r="Y223" s="3" t="str">
        <f>IFERROR(__xludf.DUMMYFUNCTION("""COMPUTED_VALUE"""),"Jacobs")</f>
        <v>Jacobs</v>
      </c>
      <c r="AA223" s="3">
        <v>90.0</v>
      </c>
      <c r="AB223" s="3">
        <f t="shared" si="7"/>
        <v>1</v>
      </c>
      <c r="AC223" s="3">
        <f t="shared" si="8"/>
        <v>0</v>
      </c>
      <c r="AD223" s="3">
        <f t="shared" si="9"/>
        <v>0.8849557522</v>
      </c>
      <c r="AE223" s="3">
        <f t="shared" si="10"/>
        <v>-1</v>
      </c>
      <c r="AF223" s="3">
        <f t="shared" si="11"/>
        <v>-2</v>
      </c>
      <c r="AG223" s="3">
        <f t="shared" si="12"/>
        <v>-0.07784431138</v>
      </c>
    </row>
    <row r="224">
      <c r="A224" s="1" t="s">
        <v>10</v>
      </c>
      <c r="B224" s="1" t="s">
        <v>536</v>
      </c>
      <c r="C224" s="1" t="s">
        <v>19</v>
      </c>
      <c r="D224" s="1" t="s">
        <v>157</v>
      </c>
      <c r="E224" s="1" t="s">
        <v>105</v>
      </c>
      <c r="F224" s="1" t="s">
        <v>608</v>
      </c>
      <c r="G224" s="1">
        <v>30.5</v>
      </c>
      <c r="H224" s="1" t="s">
        <v>60</v>
      </c>
      <c r="I224" s="1">
        <v>-113.0</v>
      </c>
      <c r="J224" s="1">
        <v>-0.0843194732366914</v>
      </c>
      <c r="K224" s="1" t="s">
        <v>61</v>
      </c>
      <c r="L224" s="1" t="s">
        <v>61</v>
      </c>
      <c r="M224" s="1" t="s">
        <v>62</v>
      </c>
      <c r="N224" s="1">
        <v>-116.0</v>
      </c>
      <c r="O224" s="1">
        <v>0.0167664418857486</v>
      </c>
      <c r="P224" s="1" t="s">
        <v>61</v>
      </c>
      <c r="Q224" s="1" t="s">
        <v>61</v>
      </c>
      <c r="R224" s="1">
        <f t="shared" si="1"/>
        <v>0.01676644189</v>
      </c>
      <c r="S224" s="1">
        <f t="shared" si="2"/>
        <v>-116</v>
      </c>
      <c r="T224" s="1">
        <f t="shared" si="3"/>
        <v>1.862068966</v>
      </c>
      <c r="U224" s="1">
        <f t="shared" si="4"/>
        <v>0</v>
      </c>
      <c r="V224" s="3">
        <f t="shared" si="5"/>
        <v>1</v>
      </c>
      <c r="W224" s="3">
        <f t="shared" si="6"/>
        <v>2</v>
      </c>
      <c r="X224" s="3" t="str">
        <f>IFERROR(__xludf.DUMMYFUNCTION("split(B224,"" "")"),"E.")</f>
        <v>E.</v>
      </c>
      <c r="Y224" s="3" t="str">
        <f>IFERROR(__xludf.DUMMYFUNCTION("""COMPUTED_VALUE"""),"Wilson")</f>
        <v>Wilson</v>
      </c>
      <c r="AA224" s="3">
        <v>0.0</v>
      </c>
      <c r="AB224" s="3">
        <f t="shared" si="7"/>
        <v>0</v>
      </c>
      <c r="AC224" s="3">
        <f t="shared" si="8"/>
        <v>1</v>
      </c>
      <c r="AD224" s="3">
        <f t="shared" si="9"/>
        <v>0.8620689655</v>
      </c>
      <c r="AE224" s="3">
        <f t="shared" si="10"/>
        <v>0.8620689655</v>
      </c>
      <c r="AF224" s="3">
        <f t="shared" si="11"/>
        <v>1.724137931</v>
      </c>
      <c r="AG224" s="3">
        <f t="shared" si="12"/>
        <v>1</v>
      </c>
    </row>
    <row r="225">
      <c r="A225" s="1" t="s">
        <v>10</v>
      </c>
      <c r="B225" s="1" t="s">
        <v>297</v>
      </c>
      <c r="C225" s="1" t="s">
        <v>21</v>
      </c>
      <c r="D225" s="1" t="s">
        <v>157</v>
      </c>
      <c r="E225" s="1" t="s">
        <v>105</v>
      </c>
      <c r="F225" s="1" t="s">
        <v>608</v>
      </c>
      <c r="G225" s="1">
        <v>6.5</v>
      </c>
      <c r="H225" s="1" t="s">
        <v>60</v>
      </c>
      <c r="I225" s="1">
        <v>-112.0</v>
      </c>
      <c r="J225" s="1">
        <v>0.016229744176979</v>
      </c>
      <c r="K225" s="1" t="s">
        <v>61</v>
      </c>
      <c r="L225" s="1" t="s">
        <v>61</v>
      </c>
      <c r="M225" s="1" t="s">
        <v>62</v>
      </c>
      <c r="N225" s="1">
        <v>-116.0</v>
      </c>
      <c r="O225" s="1">
        <v>-0.0815176420740865</v>
      </c>
      <c r="P225" s="1" t="s">
        <v>61</v>
      </c>
      <c r="Q225" s="1" t="s">
        <v>61</v>
      </c>
      <c r="R225" s="1">
        <f t="shared" si="1"/>
        <v>0.01622974418</v>
      </c>
      <c r="S225" s="1">
        <f t="shared" si="2"/>
        <v>-112</v>
      </c>
      <c r="T225" s="1">
        <f t="shared" si="3"/>
        <v>1.892857143</v>
      </c>
      <c r="U225" s="1">
        <f t="shared" si="4"/>
        <v>1</v>
      </c>
      <c r="V225" s="3">
        <f t="shared" si="5"/>
        <v>1</v>
      </c>
      <c r="W225" s="3">
        <f t="shared" si="6"/>
        <v>2</v>
      </c>
      <c r="X225" s="3" t="str">
        <f>IFERROR(__xludf.DUMMYFUNCTION("split(B225,"" "")"),"J.")</f>
        <v>J.</v>
      </c>
      <c r="Y225" s="3" t="str">
        <f>IFERROR(__xludf.DUMMYFUNCTION("""COMPUTED_VALUE"""),"Love")</f>
        <v>Love</v>
      </c>
      <c r="AA225" s="3">
        <v>13.0</v>
      </c>
      <c r="AB225" s="3">
        <f t="shared" si="7"/>
        <v>1</v>
      </c>
      <c r="AC225" s="3">
        <f t="shared" si="8"/>
        <v>1</v>
      </c>
      <c r="AD225" s="3">
        <f t="shared" si="9"/>
        <v>0.8928571429</v>
      </c>
      <c r="AE225" s="3">
        <f t="shared" si="10"/>
        <v>0.8928571429</v>
      </c>
      <c r="AF225" s="3">
        <f t="shared" si="11"/>
        <v>1.785714286</v>
      </c>
      <c r="AG225" s="3">
        <f t="shared" si="12"/>
        <v>1</v>
      </c>
    </row>
    <row r="226">
      <c r="A226" s="1" t="s">
        <v>9</v>
      </c>
      <c r="B226" s="1" t="s">
        <v>487</v>
      </c>
      <c r="C226" s="1" t="s">
        <v>18</v>
      </c>
      <c r="D226" s="1" t="s">
        <v>157</v>
      </c>
      <c r="E226" s="1" t="s">
        <v>105</v>
      </c>
      <c r="F226" s="1" t="s">
        <v>608</v>
      </c>
      <c r="G226" s="1">
        <v>69.5</v>
      </c>
      <c r="H226" s="1" t="s">
        <v>60</v>
      </c>
      <c r="I226" s="1">
        <v>-115.0</v>
      </c>
      <c r="J226" s="1">
        <v>-0.0878272888349191</v>
      </c>
      <c r="K226" s="1" t="s">
        <v>61</v>
      </c>
      <c r="L226" s="1" t="s">
        <v>61</v>
      </c>
      <c r="M226" s="1" t="s">
        <v>62</v>
      </c>
      <c r="N226" s="1">
        <v>-117.0</v>
      </c>
      <c r="O226" s="1">
        <v>0.0138277627024142</v>
      </c>
      <c r="P226" s="1" t="s">
        <v>61</v>
      </c>
      <c r="Q226" s="1" t="s">
        <v>61</v>
      </c>
      <c r="R226" s="1">
        <f t="shared" si="1"/>
        <v>0.0138277627</v>
      </c>
      <c r="S226" s="1">
        <f t="shared" si="2"/>
        <v>-117</v>
      </c>
      <c r="T226" s="1">
        <f t="shared" si="3"/>
        <v>1.854700855</v>
      </c>
      <c r="U226" s="1">
        <f t="shared" si="4"/>
        <v>0</v>
      </c>
      <c r="V226" s="3">
        <f t="shared" si="5"/>
        <v>1</v>
      </c>
      <c r="W226" s="3">
        <f t="shared" si="6"/>
        <v>2</v>
      </c>
      <c r="X226" s="3" t="str">
        <f>IFERROR(__xludf.DUMMYFUNCTION("split(B226,"" "")"),"J.")</f>
        <v>J.</v>
      </c>
      <c r="Y226" s="3" t="str">
        <f>IFERROR(__xludf.DUMMYFUNCTION("""COMPUTED_VALUE"""),"Reed")</f>
        <v>Reed</v>
      </c>
      <c r="AA226" s="3">
        <v>28.0</v>
      </c>
      <c r="AB226" s="3">
        <f t="shared" si="7"/>
        <v>0</v>
      </c>
      <c r="AC226" s="3">
        <f t="shared" si="8"/>
        <v>1</v>
      </c>
      <c r="AD226" s="3">
        <f t="shared" si="9"/>
        <v>0.8547008547</v>
      </c>
      <c r="AE226" s="3">
        <f t="shared" si="10"/>
        <v>0.8547008547</v>
      </c>
      <c r="AF226" s="3">
        <f t="shared" si="11"/>
        <v>1.709401709</v>
      </c>
      <c r="AG226" s="3">
        <f t="shared" si="12"/>
        <v>0.5971223022</v>
      </c>
    </row>
    <row r="227">
      <c r="A227" s="1" t="s">
        <v>9</v>
      </c>
      <c r="B227" s="1" t="s">
        <v>536</v>
      </c>
      <c r="C227" s="1" t="s">
        <v>19</v>
      </c>
      <c r="D227" s="1" t="s">
        <v>157</v>
      </c>
      <c r="E227" s="1" t="s">
        <v>105</v>
      </c>
      <c r="F227" s="1" t="s">
        <v>608</v>
      </c>
      <c r="G227" s="1">
        <v>38.5</v>
      </c>
      <c r="H227" s="1" t="s">
        <v>60</v>
      </c>
      <c r="I227" s="1">
        <v>-115.0</v>
      </c>
      <c r="J227" s="1">
        <v>0.0116338758805111</v>
      </c>
      <c r="K227" s="1" t="s">
        <v>61</v>
      </c>
      <c r="L227" s="1" t="s">
        <v>61</v>
      </c>
      <c r="M227" s="1" t="s">
        <v>62</v>
      </c>
      <c r="N227" s="1">
        <v>-117.0</v>
      </c>
      <c r="O227" s="1">
        <v>-0.0857227487453574</v>
      </c>
      <c r="P227" s="1" t="s">
        <v>61</v>
      </c>
      <c r="Q227" s="1" t="s">
        <v>61</v>
      </c>
      <c r="R227" s="1">
        <f t="shared" si="1"/>
        <v>0.01163387588</v>
      </c>
      <c r="S227" s="1">
        <f t="shared" si="2"/>
        <v>-115</v>
      </c>
      <c r="T227" s="1">
        <f t="shared" si="3"/>
        <v>1.869565217</v>
      </c>
      <c r="U227" s="1">
        <f t="shared" si="4"/>
        <v>1</v>
      </c>
      <c r="V227" s="3">
        <f t="shared" si="5"/>
        <v>1</v>
      </c>
      <c r="W227" s="3">
        <f t="shared" si="6"/>
        <v>2</v>
      </c>
      <c r="X227" s="3" t="str">
        <f>IFERROR(__xludf.DUMMYFUNCTION("split(B227,"" "")"),"E.")</f>
        <v>E.</v>
      </c>
      <c r="Y227" s="3" t="str">
        <f>IFERROR(__xludf.DUMMYFUNCTION("""COMPUTED_VALUE"""),"Wilson")</f>
        <v>Wilson</v>
      </c>
      <c r="AA227" s="3">
        <v>21.0</v>
      </c>
      <c r="AB227" s="3">
        <f t="shared" si="7"/>
        <v>0</v>
      </c>
      <c r="AC227" s="3">
        <f t="shared" si="8"/>
        <v>0</v>
      </c>
      <c r="AD227" s="3">
        <f t="shared" si="9"/>
        <v>0.8695652174</v>
      </c>
      <c r="AE227" s="3">
        <f t="shared" si="10"/>
        <v>-1</v>
      </c>
      <c r="AF227" s="3">
        <f t="shared" si="11"/>
        <v>-2</v>
      </c>
      <c r="AG227" s="3">
        <f t="shared" si="12"/>
        <v>-0.4545454545</v>
      </c>
    </row>
    <row r="228">
      <c r="A228" s="1" t="s">
        <v>12</v>
      </c>
      <c r="B228" s="1" t="s">
        <v>618</v>
      </c>
      <c r="C228" s="1" t="s">
        <v>20</v>
      </c>
      <c r="D228" s="1" t="s">
        <v>157</v>
      </c>
      <c r="E228" s="1" t="s">
        <v>105</v>
      </c>
      <c r="F228" s="1" t="s">
        <v>608</v>
      </c>
      <c r="G228" s="1">
        <v>0.5</v>
      </c>
      <c r="H228" s="1" t="s">
        <v>60</v>
      </c>
      <c r="I228" s="1">
        <v>-125.0</v>
      </c>
      <c r="J228" s="1">
        <v>0.010492676324</v>
      </c>
      <c r="K228" s="1" t="s">
        <v>61</v>
      </c>
      <c r="L228" s="1" t="s">
        <v>61</v>
      </c>
      <c r="M228" s="1" t="s">
        <v>62</v>
      </c>
      <c r="N228" s="1">
        <v>-104.0</v>
      </c>
      <c r="O228" s="1">
        <v>-0.075859246371647</v>
      </c>
      <c r="P228" s="1" t="s">
        <v>61</v>
      </c>
      <c r="Q228" s="1" t="s">
        <v>61</v>
      </c>
      <c r="R228" s="1">
        <f t="shared" si="1"/>
        <v>0.01049267632</v>
      </c>
      <c r="S228" s="1">
        <f t="shared" si="2"/>
        <v>-125</v>
      </c>
      <c r="T228" s="1">
        <f t="shared" si="3"/>
        <v>1.8</v>
      </c>
      <c r="U228" s="1">
        <f t="shared" si="4"/>
        <v>1</v>
      </c>
      <c r="V228" s="3">
        <f t="shared" si="5"/>
        <v>1</v>
      </c>
      <c r="W228" s="3">
        <f t="shared" si="6"/>
        <v>3</v>
      </c>
      <c r="X228" s="3" t="str">
        <f>IFERROR(__xludf.DUMMYFUNCTION("split(B228,"" "")"),"B.")</f>
        <v>B.</v>
      </c>
      <c r="Y228" s="3" t="str">
        <f>IFERROR(__xludf.DUMMYFUNCTION("""COMPUTED_VALUE"""),"Sims")</f>
        <v>Sims</v>
      </c>
      <c r="AA228" s="3">
        <v>2.0</v>
      </c>
      <c r="AB228" s="3">
        <f t="shared" si="7"/>
        <v>1</v>
      </c>
      <c r="AC228" s="3">
        <f t="shared" si="8"/>
        <v>1</v>
      </c>
      <c r="AD228" s="3">
        <f t="shared" si="9"/>
        <v>0.8</v>
      </c>
      <c r="AE228" s="3">
        <f t="shared" si="10"/>
        <v>0.8</v>
      </c>
      <c r="AF228" s="3">
        <f t="shared" si="11"/>
        <v>2.4</v>
      </c>
      <c r="AG228" s="3">
        <f t="shared" si="12"/>
        <v>3</v>
      </c>
    </row>
    <row r="229">
      <c r="A229" s="1" t="s">
        <v>8</v>
      </c>
      <c r="B229" s="1" t="s">
        <v>369</v>
      </c>
      <c r="C229" s="1" t="s">
        <v>21</v>
      </c>
      <c r="D229" s="1" t="s">
        <v>72</v>
      </c>
      <c r="E229" s="1" t="s">
        <v>66</v>
      </c>
      <c r="F229" s="1" t="s">
        <v>608</v>
      </c>
      <c r="G229" s="1">
        <v>2.5</v>
      </c>
      <c r="H229" s="1" t="s">
        <v>60</v>
      </c>
      <c r="I229" s="1">
        <v>-150.0</v>
      </c>
      <c r="J229" s="1">
        <v>-0.219411007763054</v>
      </c>
      <c r="K229" s="1" t="s">
        <v>61</v>
      </c>
      <c r="L229" s="1" t="s">
        <v>61</v>
      </c>
      <c r="M229" s="1" t="s">
        <v>62</v>
      </c>
      <c r="N229" s="1">
        <v>117.0</v>
      </c>
      <c r="O229" s="1">
        <v>0.158598396040385</v>
      </c>
      <c r="P229" s="1" t="s">
        <v>61</v>
      </c>
      <c r="Q229" s="1" t="s">
        <v>61</v>
      </c>
      <c r="R229" s="1">
        <f t="shared" si="1"/>
        <v>0.158598396</v>
      </c>
      <c r="S229" s="1">
        <f t="shared" si="2"/>
        <v>117</v>
      </c>
      <c r="T229" s="1">
        <f t="shared" si="3"/>
        <v>2.17</v>
      </c>
      <c r="U229" s="1">
        <f t="shared" si="4"/>
        <v>0</v>
      </c>
      <c r="V229" s="3">
        <f t="shared" si="5"/>
        <v>3</v>
      </c>
      <c r="W229" s="3">
        <f t="shared" si="6"/>
        <v>1</v>
      </c>
      <c r="X229" s="3" t="str">
        <f>IFERROR(__xludf.DUMMYFUNCTION("split(B229,"" "")"),"C.")</f>
        <v>C.</v>
      </c>
      <c r="Y229" s="3" t="str">
        <f>IFERROR(__xludf.DUMMYFUNCTION("""COMPUTED_VALUE"""),"Stroud")</f>
        <v>Stroud</v>
      </c>
      <c r="AA229" s="3">
        <v>3.0</v>
      </c>
      <c r="AB229" s="3">
        <f t="shared" si="7"/>
        <v>1</v>
      </c>
      <c r="AC229" s="3">
        <f t="shared" si="8"/>
        <v>0</v>
      </c>
      <c r="AD229" s="3">
        <f t="shared" si="9"/>
        <v>3.51</v>
      </c>
      <c r="AE229" s="3">
        <f t="shared" si="10"/>
        <v>-3</v>
      </c>
      <c r="AF229" s="3">
        <f t="shared" si="11"/>
        <v>-1</v>
      </c>
      <c r="AG229" s="3">
        <f t="shared" si="12"/>
        <v>-0.2</v>
      </c>
    </row>
    <row r="230">
      <c r="A230" s="1" t="s">
        <v>9</v>
      </c>
      <c r="B230" s="1" t="s">
        <v>619</v>
      </c>
      <c r="C230" s="1" t="s">
        <v>18</v>
      </c>
      <c r="D230" s="1" t="s">
        <v>72</v>
      </c>
      <c r="E230" s="1" t="s">
        <v>66</v>
      </c>
      <c r="F230" s="1" t="s">
        <v>608</v>
      </c>
      <c r="G230" s="1">
        <v>19.5</v>
      </c>
      <c r="H230" s="1" t="s">
        <v>60</v>
      </c>
      <c r="I230" s="1">
        <v>-115.0</v>
      </c>
      <c r="J230" s="1">
        <v>0.144615836598253</v>
      </c>
      <c r="K230" s="1" t="s">
        <v>61</v>
      </c>
      <c r="L230" s="1" t="s">
        <v>61</v>
      </c>
      <c r="M230" s="1" t="s">
        <v>62</v>
      </c>
      <c r="N230" s="1">
        <v>-115.0</v>
      </c>
      <c r="O230" s="1">
        <v>-0.214353212087991</v>
      </c>
      <c r="P230" s="1" t="s">
        <v>61</v>
      </c>
      <c r="Q230" s="1" t="s">
        <v>61</v>
      </c>
      <c r="R230" s="1">
        <f t="shared" si="1"/>
        <v>0.1446158366</v>
      </c>
      <c r="S230" s="1">
        <f t="shared" si="2"/>
        <v>-115</v>
      </c>
      <c r="T230" s="1">
        <f t="shared" si="3"/>
        <v>1.869565217</v>
      </c>
      <c r="U230" s="1">
        <f t="shared" si="4"/>
        <v>1</v>
      </c>
      <c r="V230" s="3">
        <f t="shared" si="5"/>
        <v>3</v>
      </c>
      <c r="W230" s="3">
        <f t="shared" si="6"/>
        <v>2</v>
      </c>
      <c r="X230" s="3" t="str">
        <f>IFERROR(__xludf.DUMMYFUNCTION("split(B230,"" "")"),"X.")</f>
        <v>X.</v>
      </c>
      <c r="Y230" s="3" t="str">
        <f>IFERROR(__xludf.DUMMYFUNCTION("""COMPUTED_VALUE"""),"Hutchinson")</f>
        <v>Hutchinson</v>
      </c>
      <c r="AA230" s="3">
        <v>0.0</v>
      </c>
      <c r="AB230" s="3">
        <f t="shared" si="7"/>
        <v>0</v>
      </c>
      <c r="AC230" s="3">
        <f t="shared" si="8"/>
        <v>0</v>
      </c>
      <c r="AD230" s="3">
        <f t="shared" si="9"/>
        <v>2.608695652</v>
      </c>
      <c r="AE230" s="3">
        <f t="shared" si="10"/>
        <v>-3</v>
      </c>
      <c r="AF230" s="3">
        <f t="shared" si="11"/>
        <v>-2</v>
      </c>
      <c r="AG230" s="3">
        <f t="shared" si="12"/>
        <v>-1</v>
      </c>
    </row>
    <row r="231">
      <c r="A231" s="1" t="s">
        <v>12</v>
      </c>
      <c r="B231" s="1" t="s">
        <v>410</v>
      </c>
      <c r="C231" s="1" t="s">
        <v>20</v>
      </c>
      <c r="D231" s="1" t="s">
        <v>72</v>
      </c>
      <c r="E231" s="1" t="s">
        <v>66</v>
      </c>
      <c r="F231" s="1" t="s">
        <v>608</v>
      </c>
      <c r="G231" s="1">
        <v>3.5</v>
      </c>
      <c r="H231" s="1" t="s">
        <v>60</v>
      </c>
      <c r="I231" s="1">
        <v>-107.0</v>
      </c>
      <c r="J231" s="1">
        <v>-0.189059903381642</v>
      </c>
      <c r="K231" s="1" t="s">
        <v>61</v>
      </c>
      <c r="L231" s="1" t="s">
        <v>61</v>
      </c>
      <c r="M231" s="1" t="s">
        <v>62</v>
      </c>
      <c r="N231" s="1">
        <v>-124.0</v>
      </c>
      <c r="O231" s="1">
        <v>0.118573214285714</v>
      </c>
      <c r="P231" s="1" t="s">
        <v>61</v>
      </c>
      <c r="Q231" s="1" t="s">
        <v>61</v>
      </c>
      <c r="R231" s="1">
        <f t="shared" si="1"/>
        <v>0.1185732143</v>
      </c>
      <c r="S231" s="1">
        <f t="shared" si="2"/>
        <v>-124</v>
      </c>
      <c r="T231" s="1">
        <f t="shared" si="3"/>
        <v>1.806451613</v>
      </c>
      <c r="U231" s="1">
        <f t="shared" si="4"/>
        <v>0</v>
      </c>
      <c r="V231" s="3">
        <f t="shared" si="5"/>
        <v>3</v>
      </c>
      <c r="W231" s="3">
        <f t="shared" si="6"/>
        <v>3</v>
      </c>
      <c r="X231" s="3" t="str">
        <f>IFERROR(__xludf.DUMMYFUNCTION("split(B231,"" "")"),"D.")</f>
        <v>D.</v>
      </c>
      <c r="Y231" s="3" t="str">
        <f>IFERROR(__xludf.DUMMYFUNCTION("""COMPUTED_VALUE"""),"Schultz")</f>
        <v>Schultz</v>
      </c>
      <c r="AA231" s="3">
        <v>4.0</v>
      </c>
      <c r="AB231" s="3">
        <f t="shared" si="7"/>
        <v>1</v>
      </c>
      <c r="AC231" s="3">
        <f t="shared" si="8"/>
        <v>0</v>
      </c>
      <c r="AD231" s="3">
        <f t="shared" si="9"/>
        <v>2.419354839</v>
      </c>
      <c r="AE231" s="3">
        <f t="shared" si="10"/>
        <v>-3</v>
      </c>
      <c r="AF231" s="3">
        <f t="shared" si="11"/>
        <v>-3</v>
      </c>
      <c r="AG231" s="3">
        <f t="shared" si="12"/>
        <v>-0.1428571429</v>
      </c>
    </row>
    <row r="232">
      <c r="A232" s="1" t="s">
        <v>12</v>
      </c>
      <c r="B232" s="1" t="s">
        <v>619</v>
      </c>
      <c r="C232" s="1" t="s">
        <v>18</v>
      </c>
      <c r="D232" s="1" t="s">
        <v>72</v>
      </c>
      <c r="E232" s="1" t="s">
        <v>66</v>
      </c>
      <c r="F232" s="1" t="s">
        <v>608</v>
      </c>
      <c r="G232" s="1">
        <v>1.5</v>
      </c>
      <c r="H232" s="1" t="s">
        <v>60</v>
      </c>
      <c r="I232" s="1">
        <v>-169.0</v>
      </c>
      <c r="J232" s="1">
        <v>-0.177250839144981</v>
      </c>
      <c r="K232" s="1" t="s">
        <v>61</v>
      </c>
      <c r="L232" s="1" t="s">
        <v>61</v>
      </c>
      <c r="M232" s="1" t="s">
        <v>62</v>
      </c>
      <c r="N232" s="1">
        <v>128.0</v>
      </c>
      <c r="O232" s="1">
        <v>0.110401209342105</v>
      </c>
      <c r="P232" s="1" t="s">
        <v>61</v>
      </c>
      <c r="Q232" s="1" t="s">
        <v>61</v>
      </c>
      <c r="R232" s="1">
        <f t="shared" si="1"/>
        <v>0.1104012093</v>
      </c>
      <c r="S232" s="1">
        <f t="shared" si="2"/>
        <v>128</v>
      </c>
      <c r="T232" s="1">
        <f t="shared" si="3"/>
        <v>2.28</v>
      </c>
      <c r="U232" s="1">
        <f t="shared" si="4"/>
        <v>0</v>
      </c>
      <c r="V232" s="3">
        <f t="shared" si="5"/>
        <v>3</v>
      </c>
      <c r="W232" s="3">
        <f t="shared" si="6"/>
        <v>1</v>
      </c>
      <c r="X232" s="3" t="str">
        <f>IFERROR(__xludf.DUMMYFUNCTION("split(B232,"" "")"),"X.")</f>
        <v>X.</v>
      </c>
      <c r="Y232" s="3" t="str">
        <f>IFERROR(__xludf.DUMMYFUNCTION("""COMPUTED_VALUE"""),"Hutchinson")</f>
        <v>Hutchinson</v>
      </c>
      <c r="AA232" s="3">
        <v>0.0</v>
      </c>
      <c r="AB232" s="3">
        <f t="shared" si="7"/>
        <v>0</v>
      </c>
      <c r="AC232" s="3">
        <f t="shared" si="8"/>
        <v>1</v>
      </c>
      <c r="AD232" s="3">
        <f t="shared" si="9"/>
        <v>3.84</v>
      </c>
      <c r="AE232" s="3">
        <f t="shared" si="10"/>
        <v>3.84</v>
      </c>
      <c r="AF232" s="3">
        <f t="shared" si="11"/>
        <v>1.28</v>
      </c>
      <c r="AG232" s="3">
        <f t="shared" si="12"/>
        <v>1</v>
      </c>
    </row>
    <row r="233">
      <c r="A233" s="1" t="s">
        <v>12</v>
      </c>
      <c r="B233" s="1" t="s">
        <v>359</v>
      </c>
      <c r="C233" s="1" t="s">
        <v>19</v>
      </c>
      <c r="D233" s="1" t="s">
        <v>72</v>
      </c>
      <c r="E233" s="1" t="s">
        <v>66</v>
      </c>
      <c r="F233" s="1" t="s">
        <v>608</v>
      </c>
      <c r="G233" s="1">
        <v>2.5</v>
      </c>
      <c r="H233" s="1" t="s">
        <v>60</v>
      </c>
      <c r="I233" s="1">
        <v>105.0</v>
      </c>
      <c r="J233" s="1">
        <v>-0.1683010079</v>
      </c>
      <c r="K233" s="1" t="s">
        <v>61</v>
      </c>
      <c r="L233" s="1" t="s">
        <v>61</v>
      </c>
      <c r="M233" s="1" t="s">
        <v>62</v>
      </c>
      <c r="N233" s="1">
        <v>-138.0</v>
      </c>
      <c r="O233" s="1">
        <v>0.100650480731932</v>
      </c>
      <c r="P233" s="1" t="s">
        <v>61</v>
      </c>
      <c r="Q233" s="1" t="s">
        <v>61</v>
      </c>
      <c r="R233" s="1">
        <f t="shared" si="1"/>
        <v>0.1006504807</v>
      </c>
      <c r="S233" s="1">
        <f t="shared" si="2"/>
        <v>-138</v>
      </c>
      <c r="T233" s="1">
        <f t="shared" si="3"/>
        <v>1.724637681</v>
      </c>
      <c r="U233" s="1">
        <f t="shared" si="4"/>
        <v>0</v>
      </c>
      <c r="V233" s="3">
        <f t="shared" si="5"/>
        <v>3</v>
      </c>
      <c r="W233" s="3">
        <f t="shared" si="6"/>
        <v>3</v>
      </c>
      <c r="X233" s="3" t="str">
        <f>IFERROR(__xludf.DUMMYFUNCTION("split(B233,"" "")"),"J.")</f>
        <v>J.</v>
      </c>
      <c r="Y233" s="3" t="str">
        <f>IFERROR(__xludf.DUMMYFUNCTION("""COMPUTED_VALUE"""),"Mixon")</f>
        <v>Mixon</v>
      </c>
      <c r="AA233" s="3">
        <v>2.0</v>
      </c>
      <c r="AB233" s="3">
        <f t="shared" si="7"/>
        <v>0</v>
      </c>
      <c r="AC233" s="3">
        <f t="shared" si="8"/>
        <v>1</v>
      </c>
      <c r="AD233" s="3">
        <f t="shared" si="9"/>
        <v>2.173913043</v>
      </c>
      <c r="AE233" s="3">
        <f t="shared" si="10"/>
        <v>2.173913043</v>
      </c>
      <c r="AF233" s="3">
        <f t="shared" si="11"/>
        <v>2.173913043</v>
      </c>
      <c r="AG233" s="3">
        <f t="shared" si="12"/>
        <v>0.2</v>
      </c>
    </row>
    <row r="234">
      <c r="A234" s="1" t="s">
        <v>11</v>
      </c>
      <c r="B234" s="1" t="s">
        <v>410</v>
      </c>
      <c r="C234" s="1" t="s">
        <v>20</v>
      </c>
      <c r="D234" s="1" t="s">
        <v>72</v>
      </c>
      <c r="E234" s="1" t="s">
        <v>66</v>
      </c>
      <c r="F234" s="1" t="s">
        <v>608</v>
      </c>
      <c r="G234" s="1">
        <v>33.5</v>
      </c>
      <c r="H234" s="1" t="s">
        <v>60</v>
      </c>
      <c r="I234" s="1">
        <v>-115.0</v>
      </c>
      <c r="J234" s="1">
        <v>-0.122493116178465</v>
      </c>
      <c r="K234" s="1" t="s">
        <v>61</v>
      </c>
      <c r="L234" s="1" t="s">
        <v>61</v>
      </c>
      <c r="M234" s="1" t="s">
        <v>62</v>
      </c>
      <c r="N234" s="1">
        <v>-110.0</v>
      </c>
      <c r="O234" s="1">
        <v>0.0638255585383668</v>
      </c>
      <c r="P234" s="1" t="s">
        <v>61</v>
      </c>
      <c r="Q234" s="1" t="s">
        <v>61</v>
      </c>
      <c r="R234" s="1">
        <f t="shared" si="1"/>
        <v>0.06382555854</v>
      </c>
      <c r="S234" s="1">
        <f t="shared" si="2"/>
        <v>-110</v>
      </c>
      <c r="T234" s="1">
        <f t="shared" si="3"/>
        <v>1.909090909</v>
      </c>
      <c r="U234" s="1">
        <f t="shared" si="4"/>
        <v>0</v>
      </c>
      <c r="V234" s="3">
        <f t="shared" si="5"/>
        <v>2</v>
      </c>
      <c r="W234" s="3">
        <f t="shared" si="6"/>
        <v>2</v>
      </c>
      <c r="X234" s="3" t="str">
        <f>IFERROR(__xludf.DUMMYFUNCTION("split(B234,"" "")"),"D.")</f>
        <v>D.</v>
      </c>
      <c r="Y234" s="3" t="str">
        <f>IFERROR(__xludf.DUMMYFUNCTION("""COMPUTED_VALUE"""),"Schultz")</f>
        <v>Schultz</v>
      </c>
      <c r="AA234" s="3">
        <v>27.0</v>
      </c>
      <c r="AB234" s="3">
        <f t="shared" si="7"/>
        <v>0</v>
      </c>
      <c r="AC234" s="3">
        <f t="shared" si="8"/>
        <v>1</v>
      </c>
      <c r="AD234" s="3">
        <f t="shared" si="9"/>
        <v>1.818181818</v>
      </c>
      <c r="AE234" s="3">
        <f t="shared" si="10"/>
        <v>1.818181818</v>
      </c>
      <c r="AF234" s="3">
        <f t="shared" si="11"/>
        <v>1.818181818</v>
      </c>
      <c r="AG234" s="3">
        <f t="shared" si="12"/>
        <v>0.1940298507</v>
      </c>
    </row>
    <row r="235">
      <c r="A235" s="1" t="s">
        <v>12</v>
      </c>
      <c r="B235" s="1" t="s">
        <v>129</v>
      </c>
      <c r="C235" s="1" t="s">
        <v>18</v>
      </c>
      <c r="D235" s="1" t="s">
        <v>72</v>
      </c>
      <c r="E235" s="1" t="s">
        <v>66</v>
      </c>
      <c r="F235" s="1" t="s">
        <v>608</v>
      </c>
      <c r="G235" s="1">
        <v>4.5</v>
      </c>
      <c r="H235" s="1" t="s">
        <v>60</v>
      </c>
      <c r="I235" s="1">
        <v>108.0</v>
      </c>
      <c r="J235" s="1">
        <v>0.0173346153846153</v>
      </c>
      <c r="K235" s="1" t="s">
        <v>61</v>
      </c>
      <c r="L235" s="1" t="s">
        <v>61</v>
      </c>
      <c r="M235" s="1" t="s">
        <v>62</v>
      </c>
      <c r="N235" s="1">
        <v>-141.0</v>
      </c>
      <c r="O235" s="1">
        <v>-0.0831792531120331</v>
      </c>
      <c r="P235" s="1" t="s">
        <v>61</v>
      </c>
      <c r="Q235" s="1" t="s">
        <v>61</v>
      </c>
      <c r="R235" s="1">
        <f t="shared" si="1"/>
        <v>0.01733461538</v>
      </c>
      <c r="S235" s="1">
        <f t="shared" si="2"/>
        <v>108</v>
      </c>
      <c r="T235" s="1">
        <f t="shared" si="3"/>
        <v>2.08</v>
      </c>
      <c r="U235" s="1">
        <f t="shared" si="4"/>
        <v>1</v>
      </c>
      <c r="V235" s="3">
        <f t="shared" si="5"/>
        <v>1</v>
      </c>
      <c r="W235" s="3">
        <f t="shared" si="6"/>
        <v>2</v>
      </c>
      <c r="X235" s="3" t="str">
        <f>IFERROR(__xludf.DUMMYFUNCTION("split(B235,"" "")"),"T.")</f>
        <v>T.</v>
      </c>
      <c r="Y235" s="3" t="str">
        <f>IFERROR(__xludf.DUMMYFUNCTION("""COMPUTED_VALUE"""),"Dell")</f>
        <v>Dell</v>
      </c>
      <c r="AA235" s="3">
        <v>7.0</v>
      </c>
      <c r="AB235" s="3">
        <f t="shared" si="7"/>
        <v>1</v>
      </c>
      <c r="AC235" s="3">
        <f t="shared" si="8"/>
        <v>1</v>
      </c>
      <c r="AD235" s="3">
        <f t="shared" si="9"/>
        <v>1.08</v>
      </c>
      <c r="AE235" s="3">
        <f t="shared" si="10"/>
        <v>1.08</v>
      </c>
      <c r="AF235" s="3">
        <f t="shared" si="11"/>
        <v>2.16</v>
      </c>
      <c r="AG235" s="3">
        <f t="shared" si="12"/>
        <v>0.5555555556</v>
      </c>
    </row>
    <row r="236">
      <c r="A236" s="1" t="s">
        <v>12</v>
      </c>
      <c r="B236" s="1" t="s">
        <v>310</v>
      </c>
      <c r="C236" s="1" t="s">
        <v>18</v>
      </c>
      <c r="D236" s="1" t="s">
        <v>72</v>
      </c>
      <c r="E236" s="1" t="s">
        <v>66</v>
      </c>
      <c r="F236" s="1" t="s">
        <v>608</v>
      </c>
      <c r="G236" s="1">
        <v>5.5</v>
      </c>
      <c r="H236" s="1" t="s">
        <v>60</v>
      </c>
      <c r="I236" s="1">
        <v>-126.0</v>
      </c>
      <c r="J236" s="1">
        <v>0.0155451327433626</v>
      </c>
      <c r="K236" s="1" t="s">
        <v>61</v>
      </c>
      <c r="L236" s="1" t="s">
        <v>61</v>
      </c>
      <c r="M236" s="1" t="s">
        <v>62</v>
      </c>
      <c r="N236" s="1">
        <v>-104.0</v>
      </c>
      <c r="O236" s="1">
        <v>-0.0828509803921568</v>
      </c>
      <c r="P236" s="1" t="s">
        <v>61</v>
      </c>
      <c r="Q236" s="1" t="s">
        <v>61</v>
      </c>
      <c r="R236" s="1">
        <f t="shared" si="1"/>
        <v>0.01554513274</v>
      </c>
      <c r="S236" s="1">
        <f t="shared" si="2"/>
        <v>-126</v>
      </c>
      <c r="T236" s="1">
        <f t="shared" si="3"/>
        <v>1.793650794</v>
      </c>
      <c r="U236" s="1">
        <f t="shared" si="4"/>
        <v>1</v>
      </c>
      <c r="V236" s="3">
        <f t="shared" si="5"/>
        <v>1</v>
      </c>
      <c r="W236" s="3">
        <f t="shared" si="6"/>
        <v>3</v>
      </c>
      <c r="X236" s="3" t="str">
        <f>IFERROR(__xludf.DUMMYFUNCTION("split(B236,"" "")"),"S.")</f>
        <v>S.</v>
      </c>
      <c r="Y236" s="3" t="str">
        <f>IFERROR(__xludf.DUMMYFUNCTION("""COMPUTED_VALUE"""),"Diggs")</f>
        <v>Diggs</v>
      </c>
      <c r="AA236" s="3">
        <v>6.0</v>
      </c>
      <c r="AB236" s="3">
        <f t="shared" si="7"/>
        <v>1</v>
      </c>
      <c r="AC236" s="3">
        <f t="shared" si="8"/>
        <v>1</v>
      </c>
      <c r="AD236" s="3">
        <f t="shared" si="9"/>
        <v>0.7936507937</v>
      </c>
      <c r="AE236" s="3">
        <f t="shared" si="10"/>
        <v>0.7936507937</v>
      </c>
      <c r="AF236" s="3">
        <f t="shared" si="11"/>
        <v>2.380952381</v>
      </c>
      <c r="AG236" s="3">
        <f t="shared" si="12"/>
        <v>0.09090909091</v>
      </c>
    </row>
    <row r="237">
      <c r="A237" s="1" t="s">
        <v>12</v>
      </c>
      <c r="B237" s="1" t="s">
        <v>217</v>
      </c>
      <c r="C237" s="1" t="s">
        <v>18</v>
      </c>
      <c r="D237" s="1" t="s">
        <v>71</v>
      </c>
      <c r="E237" s="1" t="s">
        <v>100</v>
      </c>
      <c r="F237" s="1" t="s">
        <v>608</v>
      </c>
      <c r="G237" s="1">
        <v>2.5</v>
      </c>
      <c r="H237" s="1" t="s">
        <v>60</v>
      </c>
      <c r="I237" s="1">
        <v>-130.0</v>
      </c>
      <c r="J237" s="1">
        <v>-0.228272429608695</v>
      </c>
      <c r="K237" s="1" t="s">
        <v>61</v>
      </c>
      <c r="L237" s="1" t="s">
        <v>61</v>
      </c>
      <c r="M237" s="1" t="s">
        <v>62</v>
      </c>
      <c r="N237" s="1">
        <v>-101.0</v>
      </c>
      <c r="O237" s="1">
        <v>0.160560474617412</v>
      </c>
      <c r="P237" s="1" t="s">
        <v>61</v>
      </c>
      <c r="Q237" s="1" t="s">
        <v>61</v>
      </c>
      <c r="R237" s="1">
        <f t="shared" si="1"/>
        <v>0.1605604746</v>
      </c>
      <c r="S237" s="1">
        <f t="shared" si="2"/>
        <v>-101</v>
      </c>
      <c r="T237" s="1">
        <f t="shared" si="3"/>
        <v>1.99009901</v>
      </c>
      <c r="U237" s="1">
        <f t="shared" si="4"/>
        <v>0</v>
      </c>
      <c r="V237" s="3">
        <f t="shared" si="5"/>
        <v>3</v>
      </c>
      <c r="W237" s="3">
        <f t="shared" si="6"/>
        <v>2</v>
      </c>
      <c r="X237" s="3" t="str">
        <f>IFERROR(__xludf.DUMMYFUNCTION("split(B237,"" "")"),"A.")</f>
        <v>A.</v>
      </c>
      <c r="Y237" s="3" t="str">
        <f>IFERROR(__xludf.DUMMYFUNCTION("""COMPUTED_VALUE"""),"Pierce")</f>
        <v>Pierce</v>
      </c>
      <c r="AA237" s="3">
        <v>0.0</v>
      </c>
      <c r="AB237" s="3">
        <f t="shared" si="7"/>
        <v>0</v>
      </c>
      <c r="AC237" s="3">
        <f t="shared" si="8"/>
        <v>1</v>
      </c>
      <c r="AD237" s="3">
        <f t="shared" si="9"/>
        <v>2.97029703</v>
      </c>
      <c r="AE237" s="3">
        <f t="shared" si="10"/>
        <v>2.97029703</v>
      </c>
      <c r="AF237" s="3">
        <f t="shared" si="11"/>
        <v>1.98019802</v>
      </c>
      <c r="AG237" s="3">
        <f t="shared" si="12"/>
        <v>1</v>
      </c>
    </row>
    <row r="238">
      <c r="A238" s="1" t="s">
        <v>14</v>
      </c>
      <c r="B238" s="1" t="s">
        <v>200</v>
      </c>
      <c r="C238" s="1" t="s">
        <v>21</v>
      </c>
      <c r="D238" s="1" t="s">
        <v>71</v>
      </c>
      <c r="E238" s="1" t="s">
        <v>100</v>
      </c>
      <c r="F238" s="1" t="s">
        <v>608</v>
      </c>
      <c r="G238" s="1">
        <v>0.5</v>
      </c>
      <c r="H238" s="1" t="s">
        <v>60</v>
      </c>
      <c r="I238" s="1">
        <v>-234.0</v>
      </c>
      <c r="J238" s="1">
        <v>-0.21332731766467</v>
      </c>
      <c r="K238" s="1" t="s">
        <v>61</v>
      </c>
      <c r="L238" s="1" t="s">
        <v>61</v>
      </c>
      <c r="M238" s="1" t="s">
        <v>62</v>
      </c>
      <c r="N238" s="1">
        <v>175.0</v>
      </c>
      <c r="O238" s="1">
        <v>0.149098269454545</v>
      </c>
      <c r="P238" s="1" t="s">
        <v>61</v>
      </c>
      <c r="Q238" s="1" t="s">
        <v>61</v>
      </c>
      <c r="R238" s="1">
        <f t="shared" si="1"/>
        <v>0.1490982695</v>
      </c>
      <c r="S238" s="1">
        <f t="shared" si="2"/>
        <v>175</v>
      </c>
      <c r="T238" s="1">
        <f t="shared" si="3"/>
        <v>2.75</v>
      </c>
      <c r="U238" s="1">
        <f t="shared" si="4"/>
        <v>0</v>
      </c>
      <c r="V238" s="3">
        <f t="shared" si="5"/>
        <v>3</v>
      </c>
      <c r="W238" s="3">
        <f t="shared" si="6"/>
        <v>1</v>
      </c>
      <c r="X238" s="3" t="str">
        <f>IFERROR(__xludf.DUMMYFUNCTION("split(B238,"" "")"),"A.")</f>
        <v>A.</v>
      </c>
      <c r="Y238" s="3" t="str">
        <f>IFERROR(__xludf.DUMMYFUNCTION("""COMPUTED_VALUE"""),"Richardson")</f>
        <v>Richardson</v>
      </c>
      <c r="AA238" s="3">
        <v>0.0</v>
      </c>
      <c r="AB238" s="3">
        <f t="shared" si="7"/>
        <v>0</v>
      </c>
      <c r="AC238" s="3">
        <f t="shared" si="8"/>
        <v>1</v>
      </c>
      <c r="AD238" s="3">
        <f t="shared" si="9"/>
        <v>5.25</v>
      </c>
      <c r="AE238" s="3">
        <f t="shared" si="10"/>
        <v>5.25</v>
      </c>
      <c r="AF238" s="3">
        <f t="shared" si="11"/>
        <v>1.75</v>
      </c>
      <c r="AG238" s="3">
        <f t="shared" si="12"/>
        <v>1</v>
      </c>
    </row>
    <row r="239">
      <c r="A239" s="1" t="s">
        <v>12</v>
      </c>
      <c r="B239" s="1" t="s">
        <v>584</v>
      </c>
      <c r="C239" s="1" t="s">
        <v>19</v>
      </c>
      <c r="D239" s="1" t="s">
        <v>71</v>
      </c>
      <c r="E239" s="1" t="s">
        <v>100</v>
      </c>
      <c r="F239" s="1" t="s">
        <v>608</v>
      </c>
      <c r="G239" s="1">
        <v>2.5</v>
      </c>
      <c r="H239" s="1" t="s">
        <v>60</v>
      </c>
      <c r="I239" s="1">
        <v>132.0</v>
      </c>
      <c r="J239" s="1">
        <v>-0.19908901492862</v>
      </c>
      <c r="K239" s="1" t="s">
        <v>61</v>
      </c>
      <c r="L239" s="1" t="s">
        <v>61</v>
      </c>
      <c r="M239" s="1" t="s">
        <v>62</v>
      </c>
      <c r="N239" s="1">
        <v>-173.0</v>
      </c>
      <c r="O239" s="1">
        <v>0.134361102874212</v>
      </c>
      <c r="P239" s="1" t="s">
        <v>61</v>
      </c>
      <c r="Q239" s="1" t="s">
        <v>61</v>
      </c>
      <c r="R239" s="1">
        <f t="shared" si="1"/>
        <v>0.1343611029</v>
      </c>
      <c r="S239" s="1">
        <f t="shared" si="2"/>
        <v>-173</v>
      </c>
      <c r="T239" s="1">
        <f t="shared" si="3"/>
        <v>1.578034682</v>
      </c>
      <c r="U239" s="1">
        <f t="shared" si="4"/>
        <v>0</v>
      </c>
      <c r="V239" s="3">
        <f t="shared" si="5"/>
        <v>3</v>
      </c>
      <c r="W239" s="3">
        <f t="shared" si="6"/>
        <v>3</v>
      </c>
      <c r="X239" s="3" t="str">
        <f>IFERROR(__xludf.DUMMYFUNCTION("split(B239,"" "")"),"T.")</f>
        <v>T.</v>
      </c>
      <c r="Y239" s="3" t="str">
        <f>IFERROR(__xludf.DUMMYFUNCTION("""COMPUTED_VALUE"""),"Goodson")</f>
        <v>Goodson</v>
      </c>
      <c r="AA239" s="3">
        <v>4.0</v>
      </c>
      <c r="AB239" s="3">
        <f t="shared" si="7"/>
        <v>1</v>
      </c>
      <c r="AC239" s="3">
        <f t="shared" si="8"/>
        <v>0</v>
      </c>
      <c r="AD239" s="3">
        <f t="shared" si="9"/>
        <v>1.734104046</v>
      </c>
      <c r="AE239" s="3">
        <f t="shared" si="10"/>
        <v>-3</v>
      </c>
      <c r="AF239" s="3">
        <f t="shared" si="11"/>
        <v>-3</v>
      </c>
      <c r="AG239" s="3">
        <f t="shared" si="12"/>
        <v>-0.6</v>
      </c>
    </row>
    <row r="240">
      <c r="A240" s="1" t="s">
        <v>17</v>
      </c>
      <c r="B240" s="1" t="s">
        <v>586</v>
      </c>
      <c r="C240" s="1" t="s">
        <v>21</v>
      </c>
      <c r="D240" s="1" t="s">
        <v>71</v>
      </c>
      <c r="E240" s="1" t="s">
        <v>100</v>
      </c>
      <c r="F240" s="1" t="s">
        <v>608</v>
      </c>
      <c r="G240" s="1">
        <v>0.5</v>
      </c>
      <c r="H240" s="1" t="s">
        <v>60</v>
      </c>
      <c r="I240" s="1">
        <v>-142.0</v>
      </c>
      <c r="J240" s="1">
        <v>-0.132376859504132</v>
      </c>
      <c r="K240" s="1" t="s">
        <v>61</v>
      </c>
      <c r="L240" s="1" t="s">
        <v>61</v>
      </c>
      <c r="M240" s="1" t="s">
        <v>62</v>
      </c>
      <c r="N240" s="1">
        <v>109.0</v>
      </c>
      <c r="O240" s="1">
        <v>0.0671311004784688</v>
      </c>
      <c r="P240" s="1" t="s">
        <v>61</v>
      </c>
      <c r="Q240" s="1" t="s">
        <v>61</v>
      </c>
      <c r="R240" s="1">
        <f t="shared" si="1"/>
        <v>0.06713110048</v>
      </c>
      <c r="S240" s="1">
        <f t="shared" si="2"/>
        <v>109</v>
      </c>
      <c r="T240" s="1">
        <f t="shared" si="3"/>
        <v>2.09</v>
      </c>
      <c r="U240" s="1">
        <f t="shared" si="4"/>
        <v>0</v>
      </c>
      <c r="V240" s="3">
        <f t="shared" si="5"/>
        <v>2</v>
      </c>
      <c r="W240" s="3">
        <f t="shared" si="6"/>
        <v>2</v>
      </c>
      <c r="X240" s="3" t="str">
        <f>IFERROR(__xludf.DUMMYFUNCTION("split(B240,"" "")"),"J.")</f>
        <v>J.</v>
      </c>
      <c r="Y240" s="3" t="str">
        <f>IFERROR(__xludf.DUMMYFUNCTION("""COMPUTED_VALUE"""),"Flacco")</f>
        <v>Flacco</v>
      </c>
      <c r="AA240" s="3">
        <v>1.0</v>
      </c>
      <c r="AB240" s="3">
        <f t="shared" si="7"/>
        <v>1</v>
      </c>
      <c r="AC240" s="3">
        <f t="shared" si="8"/>
        <v>0</v>
      </c>
      <c r="AD240" s="3">
        <f t="shared" si="9"/>
        <v>2.18</v>
      </c>
      <c r="AE240" s="3">
        <f t="shared" si="10"/>
        <v>-2</v>
      </c>
      <c r="AF240" s="3">
        <f t="shared" si="11"/>
        <v>-2</v>
      </c>
      <c r="AG240" s="3">
        <f t="shared" si="12"/>
        <v>-1</v>
      </c>
    </row>
    <row r="241">
      <c r="A241" s="1" t="s">
        <v>12</v>
      </c>
      <c r="B241" s="1" t="s">
        <v>391</v>
      </c>
      <c r="C241" s="1" t="s">
        <v>18</v>
      </c>
      <c r="D241" s="1" t="s">
        <v>71</v>
      </c>
      <c r="E241" s="1" t="s">
        <v>100</v>
      </c>
      <c r="F241" s="1" t="s">
        <v>608</v>
      </c>
      <c r="G241" s="1">
        <v>4.5</v>
      </c>
      <c r="H241" s="1" t="s">
        <v>60</v>
      </c>
      <c r="I241" s="1">
        <v>-133.0</v>
      </c>
      <c r="J241" s="1">
        <v>0.0529416309012875</v>
      </c>
      <c r="K241" s="1" t="s">
        <v>61</v>
      </c>
      <c r="L241" s="1" t="s">
        <v>61</v>
      </c>
      <c r="M241" s="1" t="s">
        <v>62</v>
      </c>
      <c r="N241" s="1">
        <v>101.0</v>
      </c>
      <c r="O241" s="1">
        <v>-0.121262686567164</v>
      </c>
      <c r="P241" s="1" t="s">
        <v>61</v>
      </c>
      <c r="Q241" s="1" t="s">
        <v>61</v>
      </c>
      <c r="R241" s="1">
        <f t="shared" si="1"/>
        <v>0.0529416309</v>
      </c>
      <c r="S241" s="1">
        <f t="shared" si="2"/>
        <v>-133</v>
      </c>
      <c r="T241" s="1">
        <f t="shared" si="3"/>
        <v>1.751879699</v>
      </c>
      <c r="U241" s="1">
        <f t="shared" si="4"/>
        <v>1</v>
      </c>
      <c r="V241" s="3">
        <f t="shared" si="5"/>
        <v>2</v>
      </c>
      <c r="W241" s="3">
        <f t="shared" si="6"/>
        <v>3</v>
      </c>
      <c r="X241" s="3" t="str">
        <f>IFERROR(__xludf.DUMMYFUNCTION("split(B241,"" "")"),"M.")</f>
        <v>M.</v>
      </c>
      <c r="Y241" s="3" t="str">
        <f>IFERROR(__xludf.DUMMYFUNCTION("""COMPUTED_VALUE"""),"Pittman")</f>
        <v>Pittman</v>
      </c>
      <c r="Z241" s="3" t="str">
        <f>IFERROR(__xludf.DUMMYFUNCTION("""COMPUTED_VALUE"""),"Jr.")</f>
        <v>Jr.</v>
      </c>
      <c r="AA241" s="3">
        <v>3.0</v>
      </c>
      <c r="AB241" s="3">
        <f t="shared" si="7"/>
        <v>0</v>
      </c>
      <c r="AC241" s="3">
        <f t="shared" si="8"/>
        <v>0</v>
      </c>
      <c r="AD241" s="3">
        <f t="shared" si="9"/>
        <v>1.503759398</v>
      </c>
      <c r="AE241" s="3">
        <f t="shared" si="10"/>
        <v>-2</v>
      </c>
      <c r="AF241" s="3">
        <f t="shared" si="11"/>
        <v>-3</v>
      </c>
      <c r="AG241" s="3">
        <f t="shared" si="12"/>
        <v>-0.3333333333</v>
      </c>
    </row>
    <row r="242">
      <c r="A242" s="1" t="s">
        <v>17</v>
      </c>
      <c r="B242" s="1" t="s">
        <v>200</v>
      </c>
      <c r="C242" s="1" t="s">
        <v>21</v>
      </c>
      <c r="D242" s="1" t="s">
        <v>71</v>
      </c>
      <c r="E242" s="1" t="s">
        <v>100</v>
      </c>
      <c r="F242" s="1" t="s">
        <v>608</v>
      </c>
      <c r="G242" s="1">
        <v>0.5</v>
      </c>
      <c r="H242" s="1" t="s">
        <v>60</v>
      </c>
      <c r="I242" s="1">
        <v>-132.0</v>
      </c>
      <c r="J242" s="1">
        <v>-0.109122413793103</v>
      </c>
      <c r="K242" s="1" t="s">
        <v>61</v>
      </c>
      <c r="L242" s="1" t="s">
        <v>61</v>
      </c>
      <c r="M242" s="1" t="s">
        <v>62</v>
      </c>
      <c r="N242" s="1">
        <v>102.0</v>
      </c>
      <c r="O242" s="1">
        <v>0.0451009900990099</v>
      </c>
      <c r="P242" s="1" t="s">
        <v>61</v>
      </c>
      <c r="Q242" s="1" t="s">
        <v>61</v>
      </c>
      <c r="R242" s="1">
        <f t="shared" si="1"/>
        <v>0.0451009901</v>
      </c>
      <c r="S242" s="1">
        <f t="shared" si="2"/>
        <v>102</v>
      </c>
      <c r="T242" s="1">
        <f t="shared" si="3"/>
        <v>2.02</v>
      </c>
      <c r="U242" s="1">
        <f t="shared" si="4"/>
        <v>0</v>
      </c>
      <c r="V242" s="3">
        <f t="shared" si="5"/>
        <v>1</v>
      </c>
      <c r="W242" s="3">
        <f t="shared" si="6"/>
        <v>2</v>
      </c>
      <c r="X242" s="3" t="str">
        <f>IFERROR(__xludf.DUMMYFUNCTION("split(B242,"" "")"),"A.")</f>
        <v>A.</v>
      </c>
      <c r="Y242" s="3" t="str">
        <f>IFERROR(__xludf.DUMMYFUNCTION("""COMPUTED_VALUE"""),"Richardson")</f>
        <v>Richardson</v>
      </c>
      <c r="AA242" s="3">
        <v>0.0</v>
      </c>
      <c r="AB242" s="3">
        <f t="shared" si="7"/>
        <v>0</v>
      </c>
      <c r="AC242" s="3">
        <f t="shared" si="8"/>
        <v>1</v>
      </c>
      <c r="AD242" s="3">
        <f t="shared" si="9"/>
        <v>1.02</v>
      </c>
      <c r="AE242" s="3">
        <f t="shared" si="10"/>
        <v>1.02</v>
      </c>
      <c r="AF242" s="3">
        <f t="shared" si="11"/>
        <v>2.04</v>
      </c>
      <c r="AG242" s="3">
        <f t="shared" si="12"/>
        <v>1</v>
      </c>
    </row>
    <row r="243">
      <c r="A243" s="1" t="s">
        <v>15</v>
      </c>
      <c r="B243" s="1" t="s">
        <v>200</v>
      </c>
      <c r="C243" s="1" t="s">
        <v>21</v>
      </c>
      <c r="D243" s="1" t="s">
        <v>71</v>
      </c>
      <c r="E243" s="1" t="s">
        <v>100</v>
      </c>
      <c r="F243" s="1" t="s">
        <v>608</v>
      </c>
      <c r="G243" s="1">
        <v>16.5</v>
      </c>
      <c r="H243" s="1" t="s">
        <v>60</v>
      </c>
      <c r="I243" s="1">
        <v>-115.0</v>
      </c>
      <c r="J243" s="1">
        <v>-0.101580127958139</v>
      </c>
      <c r="K243" s="1" t="s">
        <v>61</v>
      </c>
      <c r="L243" s="1" t="s">
        <v>61</v>
      </c>
      <c r="M243" s="1" t="s">
        <v>62</v>
      </c>
      <c r="N243" s="1">
        <v>-114.0</v>
      </c>
      <c r="O243" s="1">
        <v>0.0339856044978506</v>
      </c>
      <c r="P243" s="1" t="s">
        <v>61</v>
      </c>
      <c r="Q243" s="1" t="s">
        <v>61</v>
      </c>
      <c r="R243" s="1">
        <f t="shared" si="1"/>
        <v>0.0339856045</v>
      </c>
      <c r="S243" s="1">
        <f t="shared" si="2"/>
        <v>-114</v>
      </c>
      <c r="T243" s="1">
        <f t="shared" si="3"/>
        <v>1.877192982</v>
      </c>
      <c r="U243" s="1">
        <f t="shared" si="4"/>
        <v>0</v>
      </c>
      <c r="V243" s="3">
        <f t="shared" si="5"/>
        <v>1</v>
      </c>
      <c r="W243" s="3">
        <f t="shared" si="6"/>
        <v>2</v>
      </c>
      <c r="X243" s="3" t="str">
        <f>IFERROR(__xludf.DUMMYFUNCTION("split(B243,"" "")"),"A.")</f>
        <v>A.</v>
      </c>
      <c r="Y243" s="3" t="str">
        <f>IFERROR(__xludf.DUMMYFUNCTION("""COMPUTED_VALUE"""),"Richardson")</f>
        <v>Richardson</v>
      </c>
      <c r="AA243" s="3">
        <v>0.0</v>
      </c>
      <c r="AB243" s="3">
        <f t="shared" si="7"/>
        <v>0</v>
      </c>
      <c r="AC243" s="3">
        <f t="shared" si="8"/>
        <v>1</v>
      </c>
      <c r="AD243" s="3">
        <f t="shared" si="9"/>
        <v>0.8771929825</v>
      </c>
      <c r="AE243" s="3">
        <f t="shared" si="10"/>
        <v>0.8771929825</v>
      </c>
      <c r="AF243" s="3">
        <f t="shared" si="11"/>
        <v>1.754385965</v>
      </c>
      <c r="AG243" s="3">
        <f t="shared" si="12"/>
        <v>1</v>
      </c>
    </row>
    <row r="244">
      <c r="A244" s="1" t="s">
        <v>10</v>
      </c>
      <c r="B244" s="1" t="s">
        <v>584</v>
      </c>
      <c r="C244" s="1" t="s">
        <v>19</v>
      </c>
      <c r="D244" s="1" t="s">
        <v>71</v>
      </c>
      <c r="E244" s="1" t="s">
        <v>100</v>
      </c>
      <c r="F244" s="1" t="s">
        <v>608</v>
      </c>
      <c r="G244" s="1">
        <v>23.5</v>
      </c>
      <c r="H244" s="1" t="s">
        <v>60</v>
      </c>
      <c r="I244" s="1">
        <v>-124.0</v>
      </c>
      <c r="J244" s="1">
        <v>-0.105451738523786</v>
      </c>
      <c r="K244" s="1" t="s">
        <v>61</v>
      </c>
      <c r="L244" s="1" t="s">
        <v>61</v>
      </c>
      <c r="M244" s="1" t="s">
        <v>62</v>
      </c>
      <c r="N244" s="1">
        <v>-109.0</v>
      </c>
      <c r="O244" s="1">
        <v>0.0303627199902759</v>
      </c>
      <c r="P244" s="1" t="s">
        <v>61</v>
      </c>
      <c r="Q244" s="1" t="s">
        <v>61</v>
      </c>
      <c r="R244" s="1">
        <f t="shared" si="1"/>
        <v>0.03036271999</v>
      </c>
      <c r="S244" s="1">
        <f t="shared" si="2"/>
        <v>-109</v>
      </c>
      <c r="T244" s="1">
        <f t="shared" si="3"/>
        <v>1.917431193</v>
      </c>
      <c r="U244" s="1">
        <f t="shared" si="4"/>
        <v>0</v>
      </c>
      <c r="V244" s="3">
        <f t="shared" si="5"/>
        <v>1</v>
      </c>
      <c r="W244" s="3">
        <f t="shared" si="6"/>
        <v>2</v>
      </c>
      <c r="X244" s="3" t="str">
        <f>IFERROR(__xludf.DUMMYFUNCTION("split(B244,"" "")"),"T.")</f>
        <v>T.</v>
      </c>
      <c r="Y244" s="3" t="str">
        <f>IFERROR(__xludf.DUMMYFUNCTION("""COMPUTED_VALUE"""),"Goodson")</f>
        <v>Goodson</v>
      </c>
      <c r="AA244" s="3">
        <v>51.0</v>
      </c>
      <c r="AB244" s="3">
        <f t="shared" si="7"/>
        <v>1</v>
      </c>
      <c r="AC244" s="3">
        <f t="shared" si="8"/>
        <v>0</v>
      </c>
      <c r="AD244" s="3">
        <f t="shared" si="9"/>
        <v>0.9174311927</v>
      </c>
      <c r="AE244" s="3">
        <f t="shared" si="10"/>
        <v>-1</v>
      </c>
      <c r="AF244" s="3">
        <f t="shared" si="11"/>
        <v>-2</v>
      </c>
      <c r="AG244" s="3">
        <f t="shared" si="12"/>
        <v>-1.170212766</v>
      </c>
    </row>
    <row r="245">
      <c r="A245" s="1" t="s">
        <v>9</v>
      </c>
      <c r="B245" s="1" t="s">
        <v>391</v>
      </c>
      <c r="C245" s="1" t="s">
        <v>18</v>
      </c>
      <c r="D245" s="1" t="s">
        <v>71</v>
      </c>
      <c r="E245" s="1" t="s">
        <v>100</v>
      </c>
      <c r="F245" s="1" t="s">
        <v>608</v>
      </c>
      <c r="G245" s="1">
        <v>50.5</v>
      </c>
      <c r="H245" s="1" t="s">
        <v>60</v>
      </c>
      <c r="I245" s="1">
        <v>-115.0</v>
      </c>
      <c r="J245" s="1">
        <v>0.0298964417355034</v>
      </c>
      <c r="K245" s="1" t="s">
        <v>61</v>
      </c>
      <c r="L245" s="1" t="s">
        <v>61</v>
      </c>
      <c r="M245" s="1" t="s">
        <v>62</v>
      </c>
      <c r="N245" s="1">
        <v>-120.0</v>
      </c>
      <c r="O245" s="1">
        <v>-0.110214008944363</v>
      </c>
      <c r="P245" s="1" t="s">
        <v>61</v>
      </c>
      <c r="Q245" s="1" t="s">
        <v>61</v>
      </c>
      <c r="R245" s="1">
        <f t="shared" si="1"/>
        <v>0.02989644174</v>
      </c>
      <c r="S245" s="1">
        <f t="shared" si="2"/>
        <v>-115</v>
      </c>
      <c r="T245" s="1">
        <f t="shared" si="3"/>
        <v>1.869565217</v>
      </c>
      <c r="U245" s="1">
        <f t="shared" si="4"/>
        <v>1</v>
      </c>
      <c r="V245" s="3">
        <f t="shared" si="5"/>
        <v>1</v>
      </c>
      <c r="W245" s="3">
        <f t="shared" si="6"/>
        <v>2</v>
      </c>
      <c r="X245" s="3" t="str">
        <f>IFERROR(__xludf.DUMMYFUNCTION("split(B245,"" "")"),"M.")</f>
        <v>M.</v>
      </c>
      <c r="Y245" s="3" t="str">
        <f>IFERROR(__xludf.DUMMYFUNCTION("""COMPUTED_VALUE"""),"Pittman")</f>
        <v>Pittman</v>
      </c>
      <c r="Z245" s="3" t="str">
        <f>IFERROR(__xludf.DUMMYFUNCTION("""COMPUTED_VALUE"""),"Jr.")</f>
        <v>Jr.</v>
      </c>
      <c r="AA245" s="3">
        <v>35.0</v>
      </c>
      <c r="AB245" s="3">
        <f t="shared" si="7"/>
        <v>0</v>
      </c>
      <c r="AC245" s="3">
        <f t="shared" si="8"/>
        <v>0</v>
      </c>
      <c r="AD245" s="3">
        <f t="shared" si="9"/>
        <v>0.8695652174</v>
      </c>
      <c r="AE245" s="3">
        <f t="shared" si="10"/>
        <v>-1</v>
      </c>
      <c r="AF245" s="3">
        <f t="shared" si="11"/>
        <v>-2</v>
      </c>
      <c r="AG245" s="3">
        <f t="shared" si="12"/>
        <v>-0.3069306931</v>
      </c>
    </row>
    <row r="246">
      <c r="A246" s="1" t="s">
        <v>16</v>
      </c>
      <c r="B246" s="1" t="s">
        <v>200</v>
      </c>
      <c r="C246" s="1" t="s">
        <v>21</v>
      </c>
      <c r="D246" s="1" t="s">
        <v>71</v>
      </c>
      <c r="E246" s="1" t="s">
        <v>100</v>
      </c>
      <c r="F246" s="1" t="s">
        <v>608</v>
      </c>
      <c r="G246" s="1">
        <v>28.5</v>
      </c>
      <c r="H246" s="1" t="s">
        <v>60</v>
      </c>
      <c r="I246" s="1">
        <v>-110.0</v>
      </c>
      <c r="J246" s="1">
        <v>-0.0968562</v>
      </c>
      <c r="K246" s="1" t="s">
        <v>61</v>
      </c>
      <c r="L246" s="1" t="s">
        <v>61</v>
      </c>
      <c r="M246" s="1" t="s">
        <v>62</v>
      </c>
      <c r="N246" s="1">
        <v>-119.0</v>
      </c>
      <c r="O246" s="1">
        <v>0.0296742665753425</v>
      </c>
      <c r="P246" s="1" t="s">
        <v>61</v>
      </c>
      <c r="Q246" s="1" t="s">
        <v>61</v>
      </c>
      <c r="R246" s="1">
        <f t="shared" si="1"/>
        <v>0.02967426658</v>
      </c>
      <c r="S246" s="1">
        <f t="shared" si="2"/>
        <v>-119</v>
      </c>
      <c r="T246" s="1">
        <f t="shared" si="3"/>
        <v>1.840336134</v>
      </c>
      <c r="U246" s="1">
        <f t="shared" si="4"/>
        <v>0</v>
      </c>
      <c r="V246" s="3">
        <f t="shared" si="5"/>
        <v>1</v>
      </c>
      <c r="W246" s="3">
        <f t="shared" si="6"/>
        <v>3</v>
      </c>
      <c r="X246" s="3" t="str">
        <f>IFERROR(__xludf.DUMMYFUNCTION("split(B246,"" "")"),"A.")</f>
        <v>A.</v>
      </c>
      <c r="Y246" s="3" t="str">
        <f>IFERROR(__xludf.DUMMYFUNCTION("""COMPUTED_VALUE"""),"Richardson")</f>
        <v>Richardson</v>
      </c>
      <c r="AA246" s="3">
        <v>0.0</v>
      </c>
      <c r="AB246" s="3">
        <f t="shared" si="7"/>
        <v>0</v>
      </c>
      <c r="AC246" s="3">
        <f t="shared" si="8"/>
        <v>1</v>
      </c>
      <c r="AD246" s="3">
        <f t="shared" si="9"/>
        <v>0.8403361345</v>
      </c>
      <c r="AE246" s="3">
        <f t="shared" si="10"/>
        <v>0.8403361345</v>
      </c>
      <c r="AF246" s="3">
        <f t="shared" si="11"/>
        <v>2.521008403</v>
      </c>
      <c r="AG246" s="3">
        <f t="shared" si="12"/>
        <v>1</v>
      </c>
    </row>
    <row r="247">
      <c r="A247" s="1" t="s">
        <v>11</v>
      </c>
      <c r="B247" s="1" t="s">
        <v>217</v>
      </c>
      <c r="C247" s="1" t="s">
        <v>18</v>
      </c>
      <c r="D247" s="1" t="s">
        <v>71</v>
      </c>
      <c r="E247" s="1" t="s">
        <v>100</v>
      </c>
      <c r="F247" s="1" t="s">
        <v>608</v>
      </c>
      <c r="G247" s="1">
        <v>34.5</v>
      </c>
      <c r="H247" s="1" t="s">
        <v>60</v>
      </c>
      <c r="I247" s="1">
        <v>-111.0</v>
      </c>
      <c r="J247" s="1">
        <v>-0.0869829174482465</v>
      </c>
      <c r="K247" s="1" t="s">
        <v>61</v>
      </c>
      <c r="L247" s="1" t="s">
        <v>61</v>
      </c>
      <c r="M247" s="1" t="s">
        <v>62</v>
      </c>
      <c r="N247" s="1">
        <v>-115.0</v>
      </c>
      <c r="O247" s="1">
        <v>0.0260850086943581</v>
      </c>
      <c r="P247" s="1" t="s">
        <v>61</v>
      </c>
      <c r="Q247" s="1" t="s">
        <v>61</v>
      </c>
      <c r="R247" s="1">
        <f t="shared" si="1"/>
        <v>0.02608500869</v>
      </c>
      <c r="S247" s="1">
        <f t="shared" si="2"/>
        <v>-115</v>
      </c>
      <c r="T247" s="1">
        <f t="shared" si="3"/>
        <v>1.869565217</v>
      </c>
      <c r="U247" s="1">
        <f t="shared" si="4"/>
        <v>0</v>
      </c>
      <c r="V247" s="3">
        <f t="shared" si="5"/>
        <v>1</v>
      </c>
      <c r="W247" s="3">
        <f t="shared" si="6"/>
        <v>2</v>
      </c>
      <c r="X247" s="3" t="str">
        <f>IFERROR(__xludf.DUMMYFUNCTION("split(B247,"" "")"),"A.")</f>
        <v>A.</v>
      </c>
      <c r="Y247" s="3" t="str">
        <f>IFERROR(__xludf.DUMMYFUNCTION("""COMPUTED_VALUE"""),"Pierce")</f>
        <v>Pierce</v>
      </c>
      <c r="AA247" s="3">
        <v>0.0</v>
      </c>
      <c r="AB247" s="3">
        <f t="shared" si="7"/>
        <v>0</v>
      </c>
      <c r="AC247" s="3">
        <f t="shared" si="8"/>
        <v>1</v>
      </c>
      <c r="AD247" s="3">
        <f t="shared" si="9"/>
        <v>0.8695652174</v>
      </c>
      <c r="AE247" s="3">
        <f t="shared" si="10"/>
        <v>0.8695652174</v>
      </c>
      <c r="AF247" s="3">
        <f t="shared" si="11"/>
        <v>1.739130435</v>
      </c>
      <c r="AG247" s="3">
        <f t="shared" si="12"/>
        <v>1</v>
      </c>
    </row>
    <row r="248">
      <c r="A248" s="1" t="s">
        <v>12</v>
      </c>
      <c r="B248" s="1" t="s">
        <v>540</v>
      </c>
      <c r="C248" s="1" t="s">
        <v>19</v>
      </c>
      <c r="D248" s="1" t="s">
        <v>71</v>
      </c>
      <c r="E248" s="1" t="s">
        <v>100</v>
      </c>
      <c r="F248" s="1" t="s">
        <v>608</v>
      </c>
      <c r="G248" s="1">
        <v>2.5</v>
      </c>
      <c r="H248" s="1" t="s">
        <v>60</v>
      </c>
      <c r="I248" s="1">
        <v>121.0</v>
      </c>
      <c r="J248" s="1">
        <v>-0.0910862439113122</v>
      </c>
      <c r="K248" s="1" t="s">
        <v>61</v>
      </c>
      <c r="L248" s="1" t="s">
        <v>61</v>
      </c>
      <c r="M248" s="1" t="s">
        <v>62</v>
      </c>
      <c r="N248" s="1">
        <v>-159.0</v>
      </c>
      <c r="O248" s="1">
        <v>0.0246976458980694</v>
      </c>
      <c r="P248" s="1" t="s">
        <v>61</v>
      </c>
      <c r="Q248" s="1" t="s">
        <v>61</v>
      </c>
      <c r="R248" s="1">
        <f t="shared" si="1"/>
        <v>0.0246976459</v>
      </c>
      <c r="S248" s="1">
        <f t="shared" si="2"/>
        <v>-159</v>
      </c>
      <c r="T248" s="1">
        <f t="shared" si="3"/>
        <v>1.628930818</v>
      </c>
      <c r="U248" s="1">
        <f t="shared" si="4"/>
        <v>0</v>
      </c>
      <c r="V248" s="3">
        <f t="shared" si="5"/>
        <v>1</v>
      </c>
      <c r="W248" s="3">
        <f t="shared" si="6"/>
        <v>3</v>
      </c>
      <c r="X248" s="3" t="str">
        <f>IFERROR(__xludf.DUMMYFUNCTION("split(B248,"" "")"),"T.")</f>
        <v>T.</v>
      </c>
      <c r="Y248" s="3" t="str">
        <f>IFERROR(__xludf.DUMMYFUNCTION("""COMPUTED_VALUE"""),"Sermon")</f>
        <v>Sermon</v>
      </c>
      <c r="AA248" s="3">
        <v>0.0</v>
      </c>
      <c r="AB248" s="3">
        <f t="shared" si="7"/>
        <v>0</v>
      </c>
      <c r="AC248" s="3">
        <f t="shared" si="8"/>
        <v>1</v>
      </c>
      <c r="AD248" s="3">
        <f t="shared" si="9"/>
        <v>0.6289308176</v>
      </c>
      <c r="AE248" s="3">
        <f t="shared" si="10"/>
        <v>0.6289308176</v>
      </c>
      <c r="AF248" s="3">
        <f t="shared" si="11"/>
        <v>1.886792453</v>
      </c>
      <c r="AG248" s="3">
        <f t="shared" si="12"/>
        <v>1</v>
      </c>
    </row>
    <row r="249">
      <c r="A249" s="1" t="s">
        <v>8</v>
      </c>
      <c r="B249" s="1" t="s">
        <v>540</v>
      </c>
      <c r="C249" s="1" t="s">
        <v>19</v>
      </c>
      <c r="D249" s="1" t="s">
        <v>71</v>
      </c>
      <c r="E249" s="1" t="s">
        <v>100</v>
      </c>
      <c r="F249" s="1" t="s">
        <v>608</v>
      </c>
      <c r="G249" s="1">
        <v>13.5</v>
      </c>
      <c r="H249" s="1" t="s">
        <v>60</v>
      </c>
      <c r="I249" s="1">
        <v>100.0</v>
      </c>
      <c r="J249" s="1">
        <v>-0.0846476216619999</v>
      </c>
      <c r="K249" s="1" t="s">
        <v>61</v>
      </c>
      <c r="L249" s="1" t="s">
        <v>61</v>
      </c>
      <c r="M249" s="1" t="s">
        <v>62</v>
      </c>
      <c r="N249" s="1">
        <v>-133.0</v>
      </c>
      <c r="O249" s="1">
        <v>0.013838915717133</v>
      </c>
      <c r="P249" s="1" t="s">
        <v>61</v>
      </c>
      <c r="Q249" s="1" t="s">
        <v>61</v>
      </c>
      <c r="R249" s="1">
        <f t="shared" si="1"/>
        <v>0.01383891572</v>
      </c>
      <c r="S249" s="1">
        <f t="shared" si="2"/>
        <v>-133</v>
      </c>
      <c r="T249" s="1">
        <f t="shared" si="3"/>
        <v>1.751879699</v>
      </c>
      <c r="U249" s="1">
        <f t="shared" si="4"/>
        <v>0</v>
      </c>
      <c r="V249" s="3">
        <f t="shared" si="5"/>
        <v>1</v>
      </c>
      <c r="W249" s="3">
        <f t="shared" si="6"/>
        <v>3</v>
      </c>
      <c r="X249" s="3" t="str">
        <f>IFERROR(__xludf.DUMMYFUNCTION("split(B249,"" "")"),"T.")</f>
        <v>T.</v>
      </c>
      <c r="Y249" s="3" t="str">
        <f>IFERROR(__xludf.DUMMYFUNCTION("""COMPUTED_VALUE"""),"Sermon")</f>
        <v>Sermon</v>
      </c>
      <c r="AA249" s="3">
        <v>18.0</v>
      </c>
      <c r="AB249" s="3">
        <f t="shared" si="7"/>
        <v>1</v>
      </c>
      <c r="AC249" s="3">
        <f t="shared" si="8"/>
        <v>0</v>
      </c>
      <c r="AD249" s="3">
        <f t="shared" si="9"/>
        <v>0.7518796992</v>
      </c>
      <c r="AE249" s="3">
        <f t="shared" si="10"/>
        <v>-1</v>
      </c>
      <c r="AF249" s="3">
        <f t="shared" si="11"/>
        <v>-3</v>
      </c>
      <c r="AG249" s="3">
        <f t="shared" si="12"/>
        <v>-0.3333333333</v>
      </c>
    </row>
    <row r="250">
      <c r="A250" s="1" t="s">
        <v>11</v>
      </c>
      <c r="B250" s="1" t="s">
        <v>585</v>
      </c>
      <c r="C250" s="1" t="s">
        <v>20</v>
      </c>
      <c r="D250" s="1" t="s">
        <v>71</v>
      </c>
      <c r="E250" s="1" t="s">
        <v>100</v>
      </c>
      <c r="F250" s="1" t="s">
        <v>608</v>
      </c>
      <c r="G250" s="1">
        <v>9.5</v>
      </c>
      <c r="H250" s="1" t="s">
        <v>60</v>
      </c>
      <c r="I250" s="1">
        <v>-109.0</v>
      </c>
      <c r="J250" s="1">
        <v>0.0103587938581999</v>
      </c>
      <c r="K250" s="1" t="s">
        <v>61</v>
      </c>
      <c r="L250" s="1" t="s">
        <v>61</v>
      </c>
      <c r="M250" s="1" t="s">
        <v>62</v>
      </c>
      <c r="N250" s="1">
        <v>-117.0</v>
      </c>
      <c r="O250" s="1">
        <v>-0.0710464325444498</v>
      </c>
      <c r="P250" s="1" t="s">
        <v>61</v>
      </c>
      <c r="Q250" s="1" t="s">
        <v>61</v>
      </c>
      <c r="R250" s="1">
        <f t="shared" si="1"/>
        <v>0.01035879386</v>
      </c>
      <c r="S250" s="1">
        <f t="shared" si="2"/>
        <v>-109</v>
      </c>
      <c r="T250" s="1">
        <f t="shared" si="3"/>
        <v>1.917431193</v>
      </c>
      <c r="U250" s="1">
        <f t="shared" si="4"/>
        <v>1</v>
      </c>
      <c r="V250" s="3">
        <f t="shared" si="5"/>
        <v>1</v>
      </c>
      <c r="W250" s="3">
        <f t="shared" si="6"/>
        <v>2</v>
      </c>
      <c r="X250" s="3" t="str">
        <f>IFERROR(__xludf.DUMMYFUNCTION("split(B250,"" "")"),"M.")</f>
        <v>M.</v>
      </c>
      <c r="Y250" s="3" t="str">
        <f>IFERROR(__xludf.DUMMYFUNCTION("""COMPUTED_VALUE"""),"Alie-Cox")</f>
        <v>Alie-Cox</v>
      </c>
      <c r="AA250" s="3">
        <v>41.0</v>
      </c>
      <c r="AB250" s="3">
        <f t="shared" si="7"/>
        <v>1</v>
      </c>
      <c r="AC250" s="3">
        <f t="shared" si="8"/>
        <v>1</v>
      </c>
      <c r="AD250" s="3">
        <f t="shared" si="9"/>
        <v>0.9174311927</v>
      </c>
      <c r="AE250" s="3">
        <f t="shared" si="10"/>
        <v>0.9174311927</v>
      </c>
      <c r="AF250" s="3">
        <f t="shared" si="11"/>
        <v>1.834862385</v>
      </c>
      <c r="AG250" s="3">
        <f t="shared" si="12"/>
        <v>3.315789474</v>
      </c>
    </row>
    <row r="251">
      <c r="A251" s="1" t="s">
        <v>13</v>
      </c>
      <c r="B251" s="1" t="s">
        <v>586</v>
      </c>
      <c r="C251" s="1" t="s">
        <v>21</v>
      </c>
      <c r="D251" s="1" t="s">
        <v>71</v>
      </c>
      <c r="E251" s="1" t="s">
        <v>100</v>
      </c>
      <c r="F251" s="1" t="s">
        <v>608</v>
      </c>
      <c r="G251" s="1">
        <v>244.5</v>
      </c>
      <c r="H251" s="1" t="s">
        <v>60</v>
      </c>
      <c r="I251" s="1">
        <v>-114.0</v>
      </c>
      <c r="J251" s="1">
        <v>-0.0793037383177567</v>
      </c>
      <c r="K251" s="1" t="s">
        <v>61</v>
      </c>
      <c r="L251" s="1" t="s">
        <v>61</v>
      </c>
      <c r="M251" s="1" t="s">
        <v>62</v>
      </c>
      <c r="N251" s="1">
        <v>-116.0</v>
      </c>
      <c r="O251" s="1">
        <v>0.00957037037037011</v>
      </c>
      <c r="P251" s="1" t="s">
        <v>61</v>
      </c>
      <c r="Q251" s="1" t="s">
        <v>61</v>
      </c>
      <c r="R251" s="1">
        <f t="shared" si="1"/>
        <v>0.00957037037</v>
      </c>
      <c r="S251" s="1">
        <f t="shared" si="2"/>
        <v>-116</v>
      </c>
      <c r="T251" s="1">
        <f t="shared" si="3"/>
        <v>1.862068966</v>
      </c>
      <c r="U251" s="1">
        <f t="shared" si="4"/>
        <v>0</v>
      </c>
      <c r="V251" s="3">
        <f t="shared" si="5"/>
        <v>1</v>
      </c>
      <c r="W251" s="3">
        <f t="shared" si="6"/>
        <v>2</v>
      </c>
      <c r="X251" s="3" t="str">
        <f>IFERROR(__xludf.DUMMYFUNCTION("split(B251,"" "")"),"J.")</f>
        <v>J.</v>
      </c>
      <c r="Y251" s="3" t="str">
        <f>IFERROR(__xludf.DUMMYFUNCTION("""COMPUTED_VALUE"""),"Flacco")</f>
        <v>Flacco</v>
      </c>
      <c r="AA251" s="3">
        <v>189.0</v>
      </c>
      <c r="AB251" s="3">
        <f t="shared" si="7"/>
        <v>0</v>
      </c>
      <c r="AC251" s="3">
        <f t="shared" si="8"/>
        <v>1</v>
      </c>
      <c r="AD251" s="3">
        <f t="shared" si="9"/>
        <v>0.8620689655</v>
      </c>
      <c r="AE251" s="3">
        <f t="shared" si="10"/>
        <v>0.8620689655</v>
      </c>
      <c r="AF251" s="3">
        <f t="shared" si="11"/>
        <v>1.724137931</v>
      </c>
      <c r="AG251" s="3">
        <f t="shared" si="12"/>
        <v>0.226993865</v>
      </c>
    </row>
    <row r="252">
      <c r="A252" s="1" t="s">
        <v>9</v>
      </c>
      <c r="B252" s="1" t="s">
        <v>217</v>
      </c>
      <c r="C252" s="1" t="s">
        <v>18</v>
      </c>
      <c r="D252" s="1" t="s">
        <v>71</v>
      </c>
      <c r="E252" s="1" t="s">
        <v>100</v>
      </c>
      <c r="F252" s="1" t="s">
        <v>608</v>
      </c>
      <c r="G252" s="1">
        <v>34.5</v>
      </c>
      <c r="H252" s="1" t="s">
        <v>60</v>
      </c>
      <c r="I252" s="1">
        <v>-116.0</v>
      </c>
      <c r="J252" s="1">
        <v>0.00880223164856242</v>
      </c>
      <c r="K252" s="1" t="s">
        <v>61</v>
      </c>
      <c r="L252" s="1" t="s">
        <v>61</v>
      </c>
      <c r="M252" s="1" t="s">
        <v>62</v>
      </c>
      <c r="N252" s="1">
        <v>-116.0</v>
      </c>
      <c r="O252" s="1">
        <v>-0.0828985887123324</v>
      </c>
      <c r="P252" s="1" t="s">
        <v>61</v>
      </c>
      <c r="Q252" s="1" t="s">
        <v>61</v>
      </c>
      <c r="R252" s="1">
        <f t="shared" si="1"/>
        <v>0.008802231649</v>
      </c>
      <c r="S252" s="1">
        <f t="shared" si="2"/>
        <v>-116</v>
      </c>
      <c r="T252" s="1">
        <f t="shared" si="3"/>
        <v>1.862068966</v>
      </c>
      <c r="U252" s="1">
        <f t="shared" si="4"/>
        <v>1</v>
      </c>
      <c r="V252" s="3">
        <f t="shared" si="5"/>
        <v>1</v>
      </c>
      <c r="W252" s="3">
        <f t="shared" si="6"/>
        <v>2</v>
      </c>
      <c r="X252" s="3" t="str">
        <f>IFERROR(__xludf.DUMMYFUNCTION("split(B252,"" "")"),"A.")</f>
        <v>A.</v>
      </c>
      <c r="Y252" s="3" t="str">
        <f>IFERROR(__xludf.DUMMYFUNCTION("""COMPUTED_VALUE"""),"Pierce")</f>
        <v>Pierce</v>
      </c>
      <c r="AA252" s="3">
        <v>0.0</v>
      </c>
      <c r="AB252" s="3">
        <f t="shared" si="7"/>
        <v>0</v>
      </c>
      <c r="AC252" s="3">
        <f t="shared" si="8"/>
        <v>0</v>
      </c>
      <c r="AD252" s="3">
        <f t="shared" si="9"/>
        <v>0.8620689655</v>
      </c>
      <c r="AE252" s="3">
        <f t="shared" si="10"/>
        <v>-1</v>
      </c>
      <c r="AF252" s="3">
        <f t="shared" si="11"/>
        <v>-2</v>
      </c>
      <c r="AG252" s="3">
        <f t="shared" si="12"/>
        <v>-1</v>
      </c>
    </row>
    <row r="253">
      <c r="A253" s="1" t="s">
        <v>11</v>
      </c>
      <c r="B253" s="1" t="s">
        <v>539</v>
      </c>
      <c r="C253" s="1" t="s">
        <v>18</v>
      </c>
      <c r="D253" s="1" t="s">
        <v>71</v>
      </c>
      <c r="E253" s="1" t="s">
        <v>100</v>
      </c>
      <c r="F253" s="1" t="s">
        <v>608</v>
      </c>
      <c r="G253" s="1">
        <v>49.5</v>
      </c>
      <c r="H253" s="1" t="s">
        <v>60</v>
      </c>
      <c r="I253" s="1">
        <v>-115.0</v>
      </c>
      <c r="J253" s="1">
        <v>-0.0710702975971861</v>
      </c>
      <c r="K253" s="1" t="s">
        <v>61</v>
      </c>
      <c r="L253" s="1" t="s">
        <v>61</v>
      </c>
      <c r="M253" s="1" t="s">
        <v>62</v>
      </c>
      <c r="N253" s="1">
        <v>-112.0</v>
      </c>
      <c r="O253" s="1">
        <v>0.00790966389692449</v>
      </c>
      <c r="P253" s="1" t="s">
        <v>61</v>
      </c>
      <c r="Q253" s="1" t="s">
        <v>61</v>
      </c>
      <c r="R253" s="1">
        <f t="shared" si="1"/>
        <v>0.007909663897</v>
      </c>
      <c r="S253" s="1">
        <f t="shared" si="2"/>
        <v>-112</v>
      </c>
      <c r="T253" s="1">
        <f t="shared" si="3"/>
        <v>1.892857143</v>
      </c>
      <c r="U253" s="1">
        <f t="shared" si="4"/>
        <v>0</v>
      </c>
      <c r="V253" s="3">
        <f t="shared" si="5"/>
        <v>1</v>
      </c>
      <c r="W253" s="3">
        <f t="shared" si="6"/>
        <v>2</v>
      </c>
      <c r="X253" s="3" t="str">
        <f>IFERROR(__xludf.DUMMYFUNCTION("split(B253,"" "")"),"J.")</f>
        <v>J.</v>
      </c>
      <c r="Y253" s="3" t="str">
        <f>IFERROR(__xludf.DUMMYFUNCTION("""COMPUTED_VALUE"""),"Downs")</f>
        <v>Downs</v>
      </c>
      <c r="AA253" s="3">
        <v>66.0</v>
      </c>
      <c r="AB253" s="3">
        <f t="shared" si="7"/>
        <v>1</v>
      </c>
      <c r="AC253" s="3">
        <f t="shared" si="8"/>
        <v>0</v>
      </c>
      <c r="AD253" s="3">
        <f t="shared" si="9"/>
        <v>0.8928571429</v>
      </c>
      <c r="AE253" s="3">
        <f t="shared" si="10"/>
        <v>-1</v>
      </c>
      <c r="AF253" s="3">
        <f t="shared" si="11"/>
        <v>-2</v>
      </c>
      <c r="AG253" s="3">
        <f t="shared" si="12"/>
        <v>-0.3333333333</v>
      </c>
    </row>
    <row r="254">
      <c r="A254" s="1" t="s">
        <v>15</v>
      </c>
      <c r="B254" s="1" t="s">
        <v>586</v>
      </c>
      <c r="C254" s="1" t="s">
        <v>21</v>
      </c>
      <c r="D254" s="1" t="s">
        <v>71</v>
      </c>
      <c r="E254" s="1" t="s">
        <v>100</v>
      </c>
      <c r="F254" s="1" t="s">
        <v>608</v>
      </c>
      <c r="G254" s="1">
        <v>22.5</v>
      </c>
      <c r="H254" s="1" t="s">
        <v>60</v>
      </c>
      <c r="I254" s="1">
        <v>-117.0</v>
      </c>
      <c r="J254" s="1">
        <v>0.00423732718893998</v>
      </c>
      <c r="K254" s="1" t="s">
        <v>61</v>
      </c>
      <c r="L254" s="1" t="s">
        <v>61</v>
      </c>
      <c r="M254" s="1" t="s">
        <v>62</v>
      </c>
      <c r="N254" s="1">
        <v>-112.0</v>
      </c>
      <c r="O254" s="1">
        <v>-0.0716962264150942</v>
      </c>
      <c r="P254" s="1" t="s">
        <v>61</v>
      </c>
      <c r="Q254" s="1" t="s">
        <v>61</v>
      </c>
      <c r="R254" s="1">
        <f t="shared" si="1"/>
        <v>0.004237327189</v>
      </c>
      <c r="S254" s="1">
        <f t="shared" si="2"/>
        <v>-117</v>
      </c>
      <c r="T254" s="1">
        <f t="shared" si="3"/>
        <v>1.854700855</v>
      </c>
      <c r="U254" s="1">
        <f t="shared" si="4"/>
        <v>1</v>
      </c>
      <c r="V254" s="3">
        <f t="shared" si="5"/>
        <v>1</v>
      </c>
      <c r="W254" s="3">
        <f t="shared" si="6"/>
        <v>2</v>
      </c>
      <c r="X254" s="3" t="str">
        <f>IFERROR(__xludf.DUMMYFUNCTION("split(B254,"" "")"),"J.")</f>
        <v>J.</v>
      </c>
      <c r="Y254" s="3" t="str">
        <f>IFERROR(__xludf.DUMMYFUNCTION("""COMPUTED_VALUE"""),"Flacco")</f>
        <v>Flacco</v>
      </c>
      <c r="AA254" s="3">
        <v>22.0</v>
      </c>
      <c r="AB254" s="3">
        <f t="shared" si="7"/>
        <v>0</v>
      </c>
      <c r="AC254" s="3">
        <f t="shared" si="8"/>
        <v>0</v>
      </c>
      <c r="AD254" s="3">
        <f t="shared" si="9"/>
        <v>0.8547008547</v>
      </c>
      <c r="AE254" s="3">
        <f t="shared" si="10"/>
        <v>-1</v>
      </c>
      <c r="AF254" s="3">
        <f t="shared" si="11"/>
        <v>-2</v>
      </c>
      <c r="AG254" s="3">
        <f t="shared" si="12"/>
        <v>-0.02222222222</v>
      </c>
    </row>
    <row r="255">
      <c r="A255" s="1" t="s">
        <v>10</v>
      </c>
      <c r="B255" s="1" t="s">
        <v>200</v>
      </c>
      <c r="C255" s="1" t="s">
        <v>21</v>
      </c>
      <c r="D255" s="1" t="s">
        <v>71</v>
      </c>
      <c r="E255" s="1" t="s">
        <v>100</v>
      </c>
      <c r="F255" s="1" t="s">
        <v>608</v>
      </c>
      <c r="G255" s="1">
        <v>29.5</v>
      </c>
      <c r="H255" s="1" t="s">
        <v>60</v>
      </c>
      <c r="I255" s="1">
        <v>-114.0</v>
      </c>
      <c r="J255" s="1">
        <v>-0.0636090934157355</v>
      </c>
      <c r="K255" s="1" t="s">
        <v>61</v>
      </c>
      <c r="L255" s="1" t="s">
        <v>61</v>
      </c>
      <c r="M255" s="1" t="s">
        <v>62</v>
      </c>
      <c r="N255" s="1">
        <v>-113.0</v>
      </c>
      <c r="O255" s="1">
        <v>3.95751031892821E-4</v>
      </c>
      <c r="P255" s="1" t="s">
        <v>61</v>
      </c>
      <c r="Q255" s="1" t="s">
        <v>61</v>
      </c>
      <c r="R255" s="1">
        <f t="shared" si="1"/>
        <v>0.0003957510319</v>
      </c>
      <c r="S255" s="1">
        <f t="shared" si="2"/>
        <v>-113</v>
      </c>
      <c r="T255" s="1">
        <f t="shared" si="3"/>
        <v>1.884955752</v>
      </c>
      <c r="U255" s="1">
        <f t="shared" si="4"/>
        <v>0</v>
      </c>
      <c r="V255" s="3">
        <f t="shared" si="5"/>
        <v>1</v>
      </c>
      <c r="W255" s="3">
        <f t="shared" si="6"/>
        <v>2</v>
      </c>
      <c r="X255" s="3" t="str">
        <f>IFERROR(__xludf.DUMMYFUNCTION("split(B255,"" "")"),"A.")</f>
        <v>A.</v>
      </c>
      <c r="Y255" s="3" t="str">
        <f>IFERROR(__xludf.DUMMYFUNCTION("""COMPUTED_VALUE"""),"Richardson")</f>
        <v>Richardson</v>
      </c>
      <c r="AA255" s="3">
        <v>0.0</v>
      </c>
      <c r="AB255" s="3">
        <f t="shared" si="7"/>
        <v>0</v>
      </c>
      <c r="AC255" s="3">
        <f t="shared" si="8"/>
        <v>1</v>
      </c>
      <c r="AD255" s="3">
        <f t="shared" si="9"/>
        <v>0.8849557522</v>
      </c>
      <c r="AE255" s="3">
        <f t="shared" si="10"/>
        <v>0.8849557522</v>
      </c>
      <c r="AF255" s="3">
        <f t="shared" si="11"/>
        <v>1.769911504</v>
      </c>
      <c r="AG255" s="3">
        <f t="shared" si="12"/>
        <v>1</v>
      </c>
    </row>
    <row r="256">
      <c r="A256" s="1" t="s">
        <v>8</v>
      </c>
      <c r="B256" s="1" t="s">
        <v>588</v>
      </c>
      <c r="C256" s="1" t="s">
        <v>19</v>
      </c>
      <c r="D256" s="1" t="s">
        <v>93</v>
      </c>
      <c r="E256" s="1" t="s">
        <v>99</v>
      </c>
      <c r="F256" s="1" t="s">
        <v>613</v>
      </c>
      <c r="G256" s="1">
        <v>8.5</v>
      </c>
      <c r="H256" s="1" t="s">
        <v>60</v>
      </c>
      <c r="I256" s="1">
        <v>-145.0</v>
      </c>
      <c r="J256" s="1">
        <v>-0.318231641471002</v>
      </c>
      <c r="K256" s="1" t="s">
        <v>61</v>
      </c>
      <c r="L256" s="1" t="s">
        <v>61</v>
      </c>
      <c r="M256" s="1" t="s">
        <v>62</v>
      </c>
      <c r="N256" s="1">
        <v>111.0</v>
      </c>
      <c r="O256" s="1">
        <v>0.252460436779125</v>
      </c>
      <c r="P256" s="1" t="s">
        <v>61</v>
      </c>
      <c r="Q256" s="1" t="s">
        <v>61</v>
      </c>
      <c r="R256" s="1">
        <f t="shared" si="1"/>
        <v>0.2524604368</v>
      </c>
      <c r="S256" s="1">
        <f t="shared" si="2"/>
        <v>111</v>
      </c>
      <c r="T256" s="1">
        <f t="shared" si="3"/>
        <v>2.11</v>
      </c>
      <c r="U256" s="1">
        <f t="shared" si="4"/>
        <v>0</v>
      </c>
      <c r="V256" s="3">
        <f t="shared" si="5"/>
        <v>3</v>
      </c>
      <c r="W256" s="3">
        <f t="shared" si="6"/>
        <v>1</v>
      </c>
      <c r="X256" s="3" t="str">
        <f>IFERROR(__xludf.DUMMYFUNCTION("split(B256,"" "")"),"T.")</f>
        <v>T.</v>
      </c>
      <c r="Y256" s="3" t="str">
        <f>IFERROR(__xludf.DUMMYFUNCTION("""COMPUTED_VALUE"""),"Bigsby")</f>
        <v>Bigsby</v>
      </c>
      <c r="AA256" s="3">
        <v>7.0</v>
      </c>
      <c r="AB256" s="3">
        <f t="shared" si="7"/>
        <v>0</v>
      </c>
      <c r="AC256" s="3">
        <f t="shared" si="8"/>
        <v>1</v>
      </c>
      <c r="AD256" s="3">
        <f t="shared" si="9"/>
        <v>3.33</v>
      </c>
      <c r="AE256" s="3">
        <f t="shared" si="10"/>
        <v>3.33</v>
      </c>
      <c r="AF256" s="3">
        <f t="shared" si="11"/>
        <v>1.11</v>
      </c>
      <c r="AG256" s="3">
        <f t="shared" si="12"/>
        <v>0.1764705882</v>
      </c>
    </row>
    <row r="257">
      <c r="A257" s="1" t="s">
        <v>12</v>
      </c>
      <c r="B257" s="1" t="s">
        <v>92</v>
      </c>
      <c r="C257" s="1" t="s">
        <v>19</v>
      </c>
      <c r="D257" s="1" t="s">
        <v>93</v>
      </c>
      <c r="E257" s="1" t="s">
        <v>99</v>
      </c>
      <c r="F257" s="1" t="s">
        <v>613</v>
      </c>
      <c r="G257" s="1">
        <v>2.5</v>
      </c>
      <c r="H257" s="1" t="s">
        <v>60</v>
      </c>
      <c r="I257" s="1">
        <v>-142.0</v>
      </c>
      <c r="J257" s="1">
        <v>-0.252375489090909</v>
      </c>
      <c r="K257" s="1" t="s">
        <v>61</v>
      </c>
      <c r="L257" s="1" t="s">
        <v>61</v>
      </c>
      <c r="M257" s="1" t="s">
        <v>62</v>
      </c>
      <c r="N257" s="1">
        <v>108.0</v>
      </c>
      <c r="O257" s="1">
        <v>0.184829174807692</v>
      </c>
      <c r="P257" s="1" t="s">
        <v>61</v>
      </c>
      <c r="Q257" s="1" t="s">
        <v>61</v>
      </c>
      <c r="R257" s="1">
        <f t="shared" si="1"/>
        <v>0.1848291748</v>
      </c>
      <c r="S257" s="1">
        <f t="shared" si="2"/>
        <v>108</v>
      </c>
      <c r="T257" s="1">
        <f t="shared" si="3"/>
        <v>2.08</v>
      </c>
      <c r="U257" s="1">
        <f t="shared" si="4"/>
        <v>0</v>
      </c>
      <c r="V257" s="3">
        <f t="shared" si="5"/>
        <v>3</v>
      </c>
      <c r="W257" s="3">
        <f t="shared" si="6"/>
        <v>2</v>
      </c>
      <c r="X257" s="3" t="str">
        <f>IFERROR(__xludf.DUMMYFUNCTION("split(B257,"" "")"),"T.")</f>
        <v>T.</v>
      </c>
      <c r="Y257" s="3" t="str">
        <f>IFERROR(__xludf.DUMMYFUNCTION("""COMPUTED_VALUE"""),"Etienne")</f>
        <v>Etienne</v>
      </c>
      <c r="Z257" s="3" t="str">
        <f>IFERROR(__xludf.DUMMYFUNCTION("""COMPUTED_VALUE"""),"Jr.")</f>
        <v>Jr.</v>
      </c>
      <c r="AA257" s="3">
        <v>0.0</v>
      </c>
      <c r="AB257" s="3">
        <f t="shared" si="7"/>
        <v>0</v>
      </c>
      <c r="AC257" s="3">
        <f t="shared" si="8"/>
        <v>1</v>
      </c>
      <c r="AD257" s="3">
        <f t="shared" si="9"/>
        <v>3.24</v>
      </c>
      <c r="AE257" s="3">
        <f t="shared" si="10"/>
        <v>3.24</v>
      </c>
      <c r="AF257" s="3">
        <f t="shared" si="11"/>
        <v>2.16</v>
      </c>
      <c r="AG257" s="3">
        <f t="shared" si="12"/>
        <v>1</v>
      </c>
    </row>
    <row r="258">
      <c r="A258" s="1" t="s">
        <v>8</v>
      </c>
      <c r="B258" s="1" t="s">
        <v>119</v>
      </c>
      <c r="C258" s="1" t="s">
        <v>21</v>
      </c>
      <c r="D258" s="1" t="s">
        <v>93</v>
      </c>
      <c r="E258" s="1" t="s">
        <v>99</v>
      </c>
      <c r="F258" s="1" t="s">
        <v>613</v>
      </c>
      <c r="G258" s="1">
        <v>3.5</v>
      </c>
      <c r="H258" s="1" t="s">
        <v>60</v>
      </c>
      <c r="I258" s="1">
        <v>-108.0</v>
      </c>
      <c r="J258" s="1">
        <v>-0.207126141782253</v>
      </c>
      <c r="K258" s="1" t="s">
        <v>61</v>
      </c>
      <c r="L258" s="1" t="s">
        <v>61</v>
      </c>
      <c r="M258" s="1" t="s">
        <v>62</v>
      </c>
      <c r="N258" s="1">
        <v>-125.0</v>
      </c>
      <c r="O258" s="1">
        <v>0.132339097170604</v>
      </c>
      <c r="P258" s="1" t="s">
        <v>61</v>
      </c>
      <c r="Q258" s="1" t="s">
        <v>61</v>
      </c>
      <c r="R258" s="1">
        <f t="shared" si="1"/>
        <v>0.1323390972</v>
      </c>
      <c r="S258" s="1">
        <f t="shared" si="2"/>
        <v>-125</v>
      </c>
      <c r="T258" s="1">
        <f t="shared" si="3"/>
        <v>1.8</v>
      </c>
      <c r="U258" s="1">
        <f t="shared" si="4"/>
        <v>0</v>
      </c>
      <c r="V258" s="3">
        <f t="shared" si="5"/>
        <v>3</v>
      </c>
      <c r="W258" s="3">
        <f t="shared" si="6"/>
        <v>3</v>
      </c>
      <c r="X258" s="3" t="str">
        <f>IFERROR(__xludf.DUMMYFUNCTION("split(B258,"" "")"),"T.")</f>
        <v>T.</v>
      </c>
      <c r="Y258" s="3" t="str">
        <f>IFERROR(__xludf.DUMMYFUNCTION("""COMPUTED_VALUE"""),"Lawrence")</f>
        <v>Lawrence</v>
      </c>
      <c r="AA258" s="3">
        <v>4.0</v>
      </c>
      <c r="AB258" s="3">
        <f t="shared" si="7"/>
        <v>1</v>
      </c>
      <c r="AC258" s="3">
        <f t="shared" si="8"/>
        <v>0</v>
      </c>
      <c r="AD258" s="3">
        <f t="shared" si="9"/>
        <v>2.4</v>
      </c>
      <c r="AE258" s="3">
        <f t="shared" si="10"/>
        <v>-3</v>
      </c>
      <c r="AF258" s="3">
        <f t="shared" si="11"/>
        <v>-3</v>
      </c>
      <c r="AG258" s="3">
        <f t="shared" si="12"/>
        <v>-0.1428571429</v>
      </c>
    </row>
    <row r="259">
      <c r="A259" s="1" t="s">
        <v>12</v>
      </c>
      <c r="B259" s="1" t="s">
        <v>363</v>
      </c>
      <c r="C259" s="1" t="s">
        <v>20</v>
      </c>
      <c r="D259" s="1" t="s">
        <v>93</v>
      </c>
      <c r="E259" s="1" t="s">
        <v>99</v>
      </c>
      <c r="F259" s="1" t="s">
        <v>613</v>
      </c>
      <c r="G259" s="1">
        <v>3.5</v>
      </c>
      <c r="H259" s="1" t="s">
        <v>60</v>
      </c>
      <c r="I259" s="1">
        <v>-161.0</v>
      </c>
      <c r="J259" s="1">
        <v>-0.146858237547892</v>
      </c>
      <c r="K259" s="1" t="s">
        <v>61</v>
      </c>
      <c r="L259" s="1" t="s">
        <v>61</v>
      </c>
      <c r="M259" s="1" t="s">
        <v>62</v>
      </c>
      <c r="N259" s="1">
        <v>122.0</v>
      </c>
      <c r="O259" s="1">
        <v>0.0795495495495495</v>
      </c>
      <c r="P259" s="1" t="s">
        <v>61</v>
      </c>
      <c r="Q259" s="1" t="s">
        <v>61</v>
      </c>
      <c r="R259" s="1">
        <f t="shared" si="1"/>
        <v>0.07954954955</v>
      </c>
      <c r="S259" s="1">
        <f t="shared" si="2"/>
        <v>122</v>
      </c>
      <c r="T259" s="1">
        <f t="shared" si="3"/>
        <v>2.22</v>
      </c>
      <c r="U259" s="1">
        <f t="shared" si="4"/>
        <v>0</v>
      </c>
      <c r="V259" s="3">
        <f t="shared" si="5"/>
        <v>2</v>
      </c>
      <c r="W259" s="3">
        <f t="shared" si="6"/>
        <v>1</v>
      </c>
      <c r="X259" s="3" t="str">
        <f>IFERROR(__xludf.DUMMYFUNCTION("split(B259,"" "")"),"E.")</f>
        <v>E.</v>
      </c>
      <c r="Y259" s="3" t="str">
        <f>IFERROR(__xludf.DUMMYFUNCTION("""COMPUTED_VALUE"""),"Engram")</f>
        <v>Engram</v>
      </c>
      <c r="AA259" s="3">
        <v>10.0</v>
      </c>
      <c r="AB259" s="3">
        <f t="shared" si="7"/>
        <v>1</v>
      </c>
      <c r="AC259" s="3">
        <f t="shared" si="8"/>
        <v>0</v>
      </c>
      <c r="AD259" s="3">
        <f t="shared" si="9"/>
        <v>2.44</v>
      </c>
      <c r="AE259" s="3">
        <f t="shared" si="10"/>
        <v>-2</v>
      </c>
      <c r="AF259" s="3">
        <f t="shared" si="11"/>
        <v>-1</v>
      </c>
      <c r="AG259" s="3">
        <f t="shared" si="12"/>
        <v>-1.857142857</v>
      </c>
    </row>
    <row r="260">
      <c r="A260" s="1" t="s">
        <v>10</v>
      </c>
      <c r="B260" s="1" t="s">
        <v>588</v>
      </c>
      <c r="C260" s="1" t="s">
        <v>19</v>
      </c>
      <c r="D260" s="1" t="s">
        <v>93</v>
      </c>
      <c r="E260" s="1" t="s">
        <v>99</v>
      </c>
      <c r="F260" s="1" t="s">
        <v>613</v>
      </c>
      <c r="G260" s="1">
        <v>40.5</v>
      </c>
      <c r="H260" s="1" t="s">
        <v>60</v>
      </c>
      <c r="I260" s="1">
        <v>-119.0</v>
      </c>
      <c r="J260" s="1">
        <v>-0.139801511407946</v>
      </c>
      <c r="K260" s="1" t="s">
        <v>61</v>
      </c>
      <c r="L260" s="1" t="s">
        <v>61</v>
      </c>
      <c r="M260" s="1" t="s">
        <v>62</v>
      </c>
      <c r="N260" s="1">
        <v>-110.0</v>
      </c>
      <c r="O260" s="1">
        <v>0.0726154080552586</v>
      </c>
      <c r="P260" s="1" t="s">
        <v>61</v>
      </c>
      <c r="Q260" s="1" t="s">
        <v>61</v>
      </c>
      <c r="R260" s="1">
        <f t="shared" si="1"/>
        <v>0.07261540806</v>
      </c>
      <c r="S260" s="1">
        <f t="shared" si="2"/>
        <v>-110</v>
      </c>
      <c r="T260" s="1">
        <f t="shared" si="3"/>
        <v>1.909090909</v>
      </c>
      <c r="U260" s="1">
        <f t="shared" si="4"/>
        <v>0</v>
      </c>
      <c r="V260" s="3">
        <f t="shared" si="5"/>
        <v>2</v>
      </c>
      <c r="W260" s="3">
        <f t="shared" si="6"/>
        <v>2</v>
      </c>
      <c r="X260" s="3" t="str">
        <f>IFERROR(__xludf.DUMMYFUNCTION("split(B260,"" "")"),"T.")</f>
        <v>T.</v>
      </c>
      <c r="Y260" s="3" t="str">
        <f>IFERROR(__xludf.DUMMYFUNCTION("""COMPUTED_VALUE"""),"Bigsby")</f>
        <v>Bigsby</v>
      </c>
      <c r="AA260" s="3">
        <v>24.0</v>
      </c>
      <c r="AB260" s="3">
        <f t="shared" si="7"/>
        <v>0</v>
      </c>
      <c r="AC260" s="3">
        <f t="shared" si="8"/>
        <v>1</v>
      </c>
      <c r="AD260" s="3">
        <f t="shared" si="9"/>
        <v>1.818181818</v>
      </c>
      <c r="AE260" s="3">
        <f t="shared" si="10"/>
        <v>1.818181818</v>
      </c>
      <c r="AF260" s="3">
        <f t="shared" si="11"/>
        <v>1.818181818</v>
      </c>
      <c r="AG260" s="3">
        <f t="shared" si="12"/>
        <v>0.4074074074</v>
      </c>
    </row>
    <row r="261">
      <c r="A261" s="1" t="s">
        <v>12</v>
      </c>
      <c r="B261" s="1" t="s">
        <v>467</v>
      </c>
      <c r="C261" s="1" t="s">
        <v>18</v>
      </c>
      <c r="D261" s="1" t="s">
        <v>93</v>
      </c>
      <c r="E261" s="1" t="s">
        <v>99</v>
      </c>
      <c r="F261" s="1" t="s">
        <v>613</v>
      </c>
      <c r="G261" s="1">
        <v>2.5</v>
      </c>
      <c r="H261" s="1" t="s">
        <v>60</v>
      </c>
      <c r="I261" s="1">
        <v>106.0</v>
      </c>
      <c r="J261" s="1">
        <v>-0.122583105562135</v>
      </c>
      <c r="K261" s="1" t="s">
        <v>61</v>
      </c>
      <c r="L261" s="1" t="s">
        <v>61</v>
      </c>
      <c r="M261" s="1" t="s">
        <v>62</v>
      </c>
      <c r="N261" s="1">
        <v>-139.0</v>
      </c>
      <c r="O261" s="1">
        <v>0.0555492478355648</v>
      </c>
      <c r="P261" s="1" t="s">
        <v>61</v>
      </c>
      <c r="Q261" s="1" t="s">
        <v>61</v>
      </c>
      <c r="R261" s="1">
        <f t="shared" si="1"/>
        <v>0.05554924784</v>
      </c>
      <c r="S261" s="1">
        <f t="shared" si="2"/>
        <v>-139</v>
      </c>
      <c r="T261" s="1">
        <f t="shared" si="3"/>
        <v>1.71942446</v>
      </c>
      <c r="U261" s="1">
        <f t="shared" si="4"/>
        <v>0</v>
      </c>
      <c r="V261" s="3">
        <f t="shared" si="5"/>
        <v>2</v>
      </c>
      <c r="W261" s="3">
        <f t="shared" si="6"/>
        <v>3</v>
      </c>
      <c r="X261" s="3" t="str">
        <f>IFERROR(__xludf.DUMMYFUNCTION("split(B261,"" "")"),"G.")</f>
        <v>G.</v>
      </c>
      <c r="Y261" s="3" t="str">
        <f>IFERROR(__xludf.DUMMYFUNCTION("""COMPUTED_VALUE"""),"Davis")</f>
        <v>Davis</v>
      </c>
      <c r="AA261" s="3">
        <v>5.0</v>
      </c>
      <c r="AB261" s="3">
        <f t="shared" si="7"/>
        <v>1</v>
      </c>
      <c r="AC261" s="3">
        <f t="shared" si="8"/>
        <v>0</v>
      </c>
      <c r="AD261" s="3">
        <f t="shared" si="9"/>
        <v>1.438848921</v>
      </c>
      <c r="AE261" s="3">
        <f t="shared" si="10"/>
        <v>-2</v>
      </c>
      <c r="AF261" s="3">
        <f t="shared" si="11"/>
        <v>-3</v>
      </c>
      <c r="AG261" s="3">
        <f t="shared" si="12"/>
        <v>-1</v>
      </c>
    </row>
    <row r="262">
      <c r="A262" s="1" t="s">
        <v>17</v>
      </c>
      <c r="B262" s="1" t="s">
        <v>119</v>
      </c>
      <c r="C262" s="1" t="s">
        <v>21</v>
      </c>
      <c r="D262" s="1" t="s">
        <v>93</v>
      </c>
      <c r="E262" s="1" t="s">
        <v>99</v>
      </c>
      <c r="F262" s="1" t="s">
        <v>613</v>
      </c>
      <c r="G262" s="1">
        <v>0.5</v>
      </c>
      <c r="H262" s="1" t="s">
        <v>60</v>
      </c>
      <c r="I262" s="1">
        <v>-133.0</v>
      </c>
      <c r="J262" s="1">
        <v>-0.120815450643776</v>
      </c>
      <c r="K262" s="1" t="s">
        <v>61</v>
      </c>
      <c r="L262" s="1" t="s">
        <v>61</v>
      </c>
      <c r="M262" s="1" t="s">
        <v>62</v>
      </c>
      <c r="N262" s="1">
        <v>102.0</v>
      </c>
      <c r="O262" s="1">
        <v>0.054950495049505</v>
      </c>
      <c r="P262" s="1" t="s">
        <v>61</v>
      </c>
      <c r="Q262" s="1" t="s">
        <v>61</v>
      </c>
      <c r="R262" s="1">
        <f t="shared" si="1"/>
        <v>0.05495049505</v>
      </c>
      <c r="S262" s="1">
        <f t="shared" si="2"/>
        <v>102</v>
      </c>
      <c r="T262" s="1">
        <f t="shared" si="3"/>
        <v>2.02</v>
      </c>
      <c r="U262" s="1">
        <f t="shared" si="4"/>
        <v>0</v>
      </c>
      <c r="V262" s="3">
        <f t="shared" si="5"/>
        <v>2</v>
      </c>
      <c r="W262" s="3">
        <f t="shared" si="6"/>
        <v>2</v>
      </c>
      <c r="X262" s="3" t="str">
        <f>IFERROR(__xludf.DUMMYFUNCTION("split(B262,"" "")"),"T.")</f>
        <v>T.</v>
      </c>
      <c r="Y262" s="3" t="str">
        <f>IFERROR(__xludf.DUMMYFUNCTION("""COMPUTED_VALUE"""),"Lawrence")</f>
        <v>Lawrence</v>
      </c>
      <c r="AA262" s="3">
        <v>1.0</v>
      </c>
      <c r="AB262" s="3">
        <f t="shared" si="7"/>
        <v>1</v>
      </c>
      <c r="AC262" s="3">
        <f t="shared" si="8"/>
        <v>0</v>
      </c>
      <c r="AD262" s="3">
        <f t="shared" si="9"/>
        <v>2.04</v>
      </c>
      <c r="AE262" s="3">
        <f t="shared" si="10"/>
        <v>-2</v>
      </c>
      <c r="AF262" s="3">
        <f t="shared" si="11"/>
        <v>-2</v>
      </c>
      <c r="AG262" s="3">
        <f t="shared" si="12"/>
        <v>-1</v>
      </c>
    </row>
    <row r="263">
      <c r="A263" s="1" t="s">
        <v>9</v>
      </c>
      <c r="B263" s="1" t="s">
        <v>467</v>
      </c>
      <c r="C263" s="1" t="s">
        <v>18</v>
      </c>
      <c r="D263" s="1" t="s">
        <v>93</v>
      </c>
      <c r="E263" s="1" t="s">
        <v>99</v>
      </c>
      <c r="F263" s="1" t="s">
        <v>613</v>
      </c>
      <c r="G263" s="1">
        <v>28.5</v>
      </c>
      <c r="H263" s="1" t="s">
        <v>60</v>
      </c>
      <c r="I263" s="1">
        <v>-114.0</v>
      </c>
      <c r="J263" s="1">
        <v>0.0536851566290152</v>
      </c>
      <c r="K263" s="1" t="s">
        <v>61</v>
      </c>
      <c r="L263" s="1" t="s">
        <v>61</v>
      </c>
      <c r="M263" s="1" t="s">
        <v>62</v>
      </c>
      <c r="N263" s="1">
        <v>-119.0</v>
      </c>
      <c r="O263" s="1">
        <v>-0.129806255649063</v>
      </c>
      <c r="P263" s="1" t="s">
        <v>61</v>
      </c>
      <c r="Q263" s="1" t="s">
        <v>61</v>
      </c>
      <c r="R263" s="1">
        <f t="shared" si="1"/>
        <v>0.05368515663</v>
      </c>
      <c r="S263" s="1">
        <f t="shared" si="2"/>
        <v>-114</v>
      </c>
      <c r="T263" s="1">
        <f t="shared" si="3"/>
        <v>1.877192982</v>
      </c>
      <c r="U263" s="1">
        <f t="shared" si="4"/>
        <v>1</v>
      </c>
      <c r="V263" s="3">
        <f t="shared" si="5"/>
        <v>2</v>
      </c>
      <c r="W263" s="3">
        <f t="shared" si="6"/>
        <v>2</v>
      </c>
      <c r="X263" s="3" t="str">
        <f>IFERROR(__xludf.DUMMYFUNCTION("split(B263,"" "")"),"G.")</f>
        <v>G.</v>
      </c>
      <c r="Y263" s="3" t="str">
        <f>IFERROR(__xludf.DUMMYFUNCTION("""COMPUTED_VALUE"""),"Davis")</f>
        <v>Davis</v>
      </c>
      <c r="AA263" s="3">
        <v>45.0</v>
      </c>
      <c r="AB263" s="3">
        <f t="shared" si="7"/>
        <v>1</v>
      </c>
      <c r="AC263" s="3">
        <f t="shared" si="8"/>
        <v>1</v>
      </c>
      <c r="AD263" s="3">
        <f t="shared" si="9"/>
        <v>1.754385965</v>
      </c>
      <c r="AE263" s="3">
        <f t="shared" si="10"/>
        <v>1.754385965</v>
      </c>
      <c r="AF263" s="3">
        <f t="shared" si="11"/>
        <v>1.754385965</v>
      </c>
      <c r="AG263" s="3">
        <f t="shared" si="12"/>
        <v>0.5789473684</v>
      </c>
    </row>
    <row r="264">
      <c r="A264" s="1" t="s">
        <v>8</v>
      </c>
      <c r="B264" s="1" t="s">
        <v>92</v>
      </c>
      <c r="C264" s="1" t="s">
        <v>19</v>
      </c>
      <c r="D264" s="1" t="s">
        <v>93</v>
      </c>
      <c r="E264" s="1" t="s">
        <v>99</v>
      </c>
      <c r="F264" s="1" t="s">
        <v>613</v>
      </c>
      <c r="G264" s="1">
        <v>10.5</v>
      </c>
      <c r="H264" s="1" t="s">
        <v>60</v>
      </c>
      <c r="I264" s="1">
        <v>-120.0</v>
      </c>
      <c r="J264" s="1">
        <v>-0.100445310959045</v>
      </c>
      <c r="K264" s="1" t="s">
        <v>61</v>
      </c>
      <c r="L264" s="1" t="s">
        <v>61</v>
      </c>
      <c r="M264" s="1" t="s">
        <v>62</v>
      </c>
      <c r="N264" s="1">
        <v>-110.0</v>
      </c>
      <c r="O264" s="1">
        <v>0.0311950726289952</v>
      </c>
      <c r="P264" s="1" t="s">
        <v>61</v>
      </c>
      <c r="Q264" s="1" t="s">
        <v>61</v>
      </c>
      <c r="R264" s="1">
        <f t="shared" si="1"/>
        <v>0.03119507263</v>
      </c>
      <c r="S264" s="1">
        <f t="shared" si="2"/>
        <v>-110</v>
      </c>
      <c r="T264" s="1">
        <f t="shared" si="3"/>
        <v>1.909090909</v>
      </c>
      <c r="U264" s="1">
        <f t="shared" si="4"/>
        <v>0</v>
      </c>
      <c r="V264" s="3">
        <f t="shared" si="5"/>
        <v>1</v>
      </c>
      <c r="W264" s="3">
        <f t="shared" si="6"/>
        <v>2</v>
      </c>
      <c r="X264" s="3" t="str">
        <f>IFERROR(__xludf.DUMMYFUNCTION("split(B264,"" "")"),"T.")</f>
        <v>T.</v>
      </c>
      <c r="Y264" s="3" t="str">
        <f>IFERROR(__xludf.DUMMYFUNCTION("""COMPUTED_VALUE"""),"Etienne")</f>
        <v>Etienne</v>
      </c>
      <c r="Z264" s="3" t="str">
        <f>IFERROR(__xludf.DUMMYFUNCTION("""COMPUTED_VALUE"""),"Jr.")</f>
        <v>Jr.</v>
      </c>
      <c r="AA264" s="3">
        <v>3.0</v>
      </c>
      <c r="AB264" s="3">
        <f t="shared" si="7"/>
        <v>0</v>
      </c>
      <c r="AC264" s="3">
        <f t="shared" si="8"/>
        <v>1</v>
      </c>
      <c r="AD264" s="3">
        <f t="shared" si="9"/>
        <v>0.9090909091</v>
      </c>
      <c r="AE264" s="3">
        <f t="shared" si="10"/>
        <v>0.9090909091</v>
      </c>
      <c r="AF264" s="3">
        <f t="shared" si="11"/>
        <v>1.818181818</v>
      </c>
      <c r="AG264" s="3">
        <f t="shared" si="12"/>
        <v>0.7142857143</v>
      </c>
    </row>
    <row r="265">
      <c r="A265" s="1" t="s">
        <v>11</v>
      </c>
      <c r="B265" s="1" t="s">
        <v>363</v>
      </c>
      <c r="C265" s="1" t="s">
        <v>20</v>
      </c>
      <c r="D265" s="1" t="s">
        <v>93</v>
      </c>
      <c r="E265" s="1" t="s">
        <v>99</v>
      </c>
      <c r="F265" s="1" t="s">
        <v>613</v>
      </c>
      <c r="G265" s="1">
        <v>36.5</v>
      </c>
      <c r="H265" s="1" t="s">
        <v>60</v>
      </c>
      <c r="I265" s="1">
        <v>-115.0</v>
      </c>
      <c r="J265" s="1">
        <v>-0.0778810925979537</v>
      </c>
      <c r="K265" s="1" t="s">
        <v>61</v>
      </c>
      <c r="L265" s="1" t="s">
        <v>61</v>
      </c>
      <c r="M265" s="1" t="s">
        <v>62</v>
      </c>
      <c r="N265" s="1">
        <v>-113.0</v>
      </c>
      <c r="O265" s="1">
        <v>0.0124657236056471</v>
      </c>
      <c r="P265" s="1" t="s">
        <v>61</v>
      </c>
      <c r="Q265" s="1" t="s">
        <v>61</v>
      </c>
      <c r="R265" s="1">
        <f t="shared" si="1"/>
        <v>0.01246572361</v>
      </c>
      <c r="S265" s="1">
        <f t="shared" si="2"/>
        <v>-113</v>
      </c>
      <c r="T265" s="1">
        <f t="shared" si="3"/>
        <v>1.884955752</v>
      </c>
      <c r="U265" s="1">
        <f t="shared" si="4"/>
        <v>0</v>
      </c>
      <c r="V265" s="3">
        <f t="shared" si="5"/>
        <v>1</v>
      </c>
      <c r="W265" s="3">
        <f t="shared" si="6"/>
        <v>2</v>
      </c>
      <c r="X265" s="3" t="str">
        <f>IFERROR(__xludf.DUMMYFUNCTION("split(B265,"" "")"),"E.")</f>
        <v>E.</v>
      </c>
      <c r="Y265" s="3" t="str">
        <f>IFERROR(__xludf.DUMMYFUNCTION("""COMPUTED_VALUE"""),"Engram")</f>
        <v>Engram</v>
      </c>
      <c r="AA265" s="3">
        <v>102.0</v>
      </c>
      <c r="AB265" s="3">
        <f t="shared" si="7"/>
        <v>1</v>
      </c>
      <c r="AC265" s="3">
        <f t="shared" si="8"/>
        <v>0</v>
      </c>
      <c r="AD265" s="3">
        <f t="shared" si="9"/>
        <v>0.8849557522</v>
      </c>
      <c r="AE265" s="3">
        <f t="shared" si="10"/>
        <v>-1</v>
      </c>
      <c r="AF265" s="3">
        <f t="shared" si="11"/>
        <v>-2</v>
      </c>
      <c r="AG265" s="3">
        <f t="shared" si="12"/>
        <v>-1.794520548</v>
      </c>
    </row>
    <row r="266">
      <c r="A266" s="1" t="s">
        <v>11</v>
      </c>
      <c r="B266" s="1" t="s">
        <v>121</v>
      </c>
      <c r="C266" s="1" t="s">
        <v>18</v>
      </c>
      <c r="D266" s="1" t="s">
        <v>93</v>
      </c>
      <c r="E266" s="1" t="s">
        <v>99</v>
      </c>
      <c r="F266" s="1" t="s">
        <v>613</v>
      </c>
      <c r="G266" s="1">
        <v>45.5</v>
      </c>
      <c r="H266" s="1" t="s">
        <v>60</v>
      </c>
      <c r="I266" s="1">
        <v>100.0</v>
      </c>
      <c r="J266" s="1">
        <v>-0.07344933083</v>
      </c>
      <c r="K266" s="1" t="s">
        <v>61</v>
      </c>
      <c r="L266" s="1" t="s">
        <v>61</v>
      </c>
      <c r="M266" s="1" t="s">
        <v>62</v>
      </c>
      <c r="N266" s="1">
        <v>-128.0</v>
      </c>
      <c r="O266" s="1">
        <v>0.0120508858850878</v>
      </c>
      <c r="P266" s="1" t="s">
        <v>61</v>
      </c>
      <c r="Q266" s="1" t="s">
        <v>61</v>
      </c>
      <c r="R266" s="1">
        <f t="shared" si="1"/>
        <v>0.01205088589</v>
      </c>
      <c r="S266" s="1">
        <f t="shared" si="2"/>
        <v>-128</v>
      </c>
      <c r="T266" s="1">
        <f t="shared" si="3"/>
        <v>1.78125</v>
      </c>
      <c r="U266" s="1">
        <f t="shared" si="4"/>
        <v>0</v>
      </c>
      <c r="V266" s="3">
        <f t="shared" si="5"/>
        <v>1</v>
      </c>
      <c r="W266" s="3">
        <f t="shared" si="6"/>
        <v>3</v>
      </c>
      <c r="X266" s="3" t="str">
        <f>IFERROR(__xludf.DUMMYFUNCTION("split(B266,"" "")"),"C.")</f>
        <v>C.</v>
      </c>
      <c r="Y266" s="3" t="str">
        <f>IFERROR(__xludf.DUMMYFUNCTION("""COMPUTED_VALUE"""),"Kirk")</f>
        <v>Kirk</v>
      </c>
      <c r="AA266" s="3">
        <v>39.0</v>
      </c>
      <c r="AB266" s="3">
        <f t="shared" si="7"/>
        <v>0</v>
      </c>
      <c r="AC266" s="3">
        <f t="shared" si="8"/>
        <v>1</v>
      </c>
      <c r="AD266" s="3">
        <f t="shared" si="9"/>
        <v>0.78125</v>
      </c>
      <c r="AE266" s="3">
        <f t="shared" si="10"/>
        <v>0.78125</v>
      </c>
      <c r="AF266" s="3">
        <f t="shared" si="11"/>
        <v>2.34375</v>
      </c>
      <c r="AG266" s="3">
        <f t="shared" si="12"/>
        <v>0.1428571429</v>
      </c>
    </row>
    <row r="267">
      <c r="A267" s="1" t="s">
        <v>11</v>
      </c>
      <c r="B267" s="1" t="s">
        <v>92</v>
      </c>
      <c r="C267" s="1" t="s">
        <v>19</v>
      </c>
      <c r="D267" s="1" t="s">
        <v>93</v>
      </c>
      <c r="E267" s="1" t="s">
        <v>99</v>
      </c>
      <c r="F267" s="1" t="s">
        <v>613</v>
      </c>
      <c r="G267" s="1">
        <v>17.5</v>
      </c>
      <c r="H267" s="1" t="s">
        <v>60</v>
      </c>
      <c r="I267" s="1">
        <v>-115.0</v>
      </c>
      <c r="J267" s="1">
        <v>-0.0745379743766839</v>
      </c>
      <c r="K267" s="1" t="s">
        <v>61</v>
      </c>
      <c r="L267" s="1" t="s">
        <v>61</v>
      </c>
      <c r="M267" s="1" t="s">
        <v>62</v>
      </c>
      <c r="N267" s="1">
        <v>-113.0</v>
      </c>
      <c r="O267" s="1">
        <v>0.00917357218223158</v>
      </c>
      <c r="P267" s="1" t="s">
        <v>61</v>
      </c>
      <c r="Q267" s="1" t="s">
        <v>61</v>
      </c>
      <c r="R267" s="1">
        <f t="shared" si="1"/>
        <v>0.009173572182</v>
      </c>
      <c r="S267" s="1">
        <f t="shared" si="2"/>
        <v>-113</v>
      </c>
      <c r="T267" s="1">
        <f t="shared" si="3"/>
        <v>1.884955752</v>
      </c>
      <c r="U267" s="1">
        <f t="shared" si="4"/>
        <v>0</v>
      </c>
      <c r="V267" s="3">
        <f t="shared" si="5"/>
        <v>1</v>
      </c>
      <c r="W267" s="3">
        <f t="shared" si="6"/>
        <v>2</v>
      </c>
      <c r="X267" s="3" t="str">
        <f>IFERROR(__xludf.DUMMYFUNCTION("split(B267,"" "")"),"T.")</f>
        <v>T.</v>
      </c>
      <c r="Y267" s="3" t="str">
        <f>IFERROR(__xludf.DUMMYFUNCTION("""COMPUTED_VALUE"""),"Etienne")</f>
        <v>Etienne</v>
      </c>
      <c r="Z267" s="3" t="str">
        <f>IFERROR(__xludf.DUMMYFUNCTION("""COMPUTED_VALUE"""),"Jr.")</f>
        <v>Jr.</v>
      </c>
      <c r="AA267" s="3">
        <v>0.0</v>
      </c>
      <c r="AB267" s="3">
        <f t="shared" si="7"/>
        <v>0</v>
      </c>
      <c r="AC267" s="3">
        <f t="shared" si="8"/>
        <v>1</v>
      </c>
      <c r="AD267" s="3">
        <f t="shared" si="9"/>
        <v>0.8849557522</v>
      </c>
      <c r="AE267" s="3">
        <f t="shared" si="10"/>
        <v>0.8849557522</v>
      </c>
      <c r="AF267" s="3">
        <f t="shared" si="11"/>
        <v>1.769911504</v>
      </c>
      <c r="AG267" s="3">
        <f t="shared" si="12"/>
        <v>1</v>
      </c>
    </row>
    <row r="268">
      <c r="A268" s="1" t="s">
        <v>11</v>
      </c>
      <c r="B268" s="1" t="s">
        <v>466</v>
      </c>
      <c r="C268" s="1" t="s">
        <v>18</v>
      </c>
      <c r="D268" s="1" t="s">
        <v>93</v>
      </c>
      <c r="E268" s="1" t="s">
        <v>99</v>
      </c>
      <c r="F268" s="1" t="s">
        <v>613</v>
      </c>
      <c r="G268" s="1">
        <v>55.5</v>
      </c>
      <c r="H268" s="1" t="s">
        <v>60</v>
      </c>
      <c r="I268" s="1">
        <v>-114.0</v>
      </c>
      <c r="J268" s="1">
        <v>-0.0759957873526443</v>
      </c>
      <c r="K268" s="1" t="s">
        <v>61</v>
      </c>
      <c r="L268" s="1" t="s">
        <v>61</v>
      </c>
      <c r="M268" s="1" t="s">
        <v>62</v>
      </c>
      <c r="N268" s="1">
        <v>-115.0</v>
      </c>
      <c r="O268" s="1">
        <v>0.00842845075604592</v>
      </c>
      <c r="P268" s="1" t="s">
        <v>61</v>
      </c>
      <c r="Q268" s="1" t="s">
        <v>61</v>
      </c>
      <c r="R268" s="1">
        <f t="shared" si="1"/>
        <v>0.008428450756</v>
      </c>
      <c r="S268" s="1">
        <f t="shared" si="2"/>
        <v>-115</v>
      </c>
      <c r="T268" s="1">
        <f t="shared" si="3"/>
        <v>1.869565217</v>
      </c>
      <c r="U268" s="1">
        <f t="shared" si="4"/>
        <v>0</v>
      </c>
      <c r="V268" s="3">
        <f t="shared" si="5"/>
        <v>1</v>
      </c>
      <c r="W268" s="3">
        <f t="shared" si="6"/>
        <v>2</v>
      </c>
      <c r="X268" s="3" t="str">
        <f>IFERROR(__xludf.DUMMYFUNCTION("split(B268,"" "")"),"B.")</f>
        <v>B.</v>
      </c>
      <c r="Y268" s="3" t="str">
        <f>IFERROR(__xludf.DUMMYFUNCTION("""COMPUTED_VALUE"""),"Thomas")</f>
        <v>Thomas</v>
      </c>
      <c r="Z268" s="3" t="str">
        <f>IFERROR(__xludf.DUMMYFUNCTION("""COMPUTED_VALUE"""),"Jr.")</f>
        <v>Jr.</v>
      </c>
      <c r="AA268" s="3">
        <v>27.0</v>
      </c>
      <c r="AB268" s="3">
        <f t="shared" si="7"/>
        <v>0</v>
      </c>
      <c r="AC268" s="3">
        <f t="shared" si="8"/>
        <v>1</v>
      </c>
      <c r="AD268" s="3">
        <f t="shared" si="9"/>
        <v>0.8695652174</v>
      </c>
      <c r="AE268" s="3">
        <f t="shared" si="10"/>
        <v>0.8695652174</v>
      </c>
      <c r="AF268" s="3">
        <f t="shared" si="11"/>
        <v>1.739130435</v>
      </c>
      <c r="AG268" s="3">
        <f t="shared" si="12"/>
        <v>0.5135135135</v>
      </c>
    </row>
    <row r="269">
      <c r="A269" s="1" t="s">
        <v>15</v>
      </c>
      <c r="B269" s="1" t="s">
        <v>119</v>
      </c>
      <c r="C269" s="1" t="s">
        <v>21</v>
      </c>
      <c r="D269" s="1" t="s">
        <v>93</v>
      </c>
      <c r="E269" s="1" t="s">
        <v>99</v>
      </c>
      <c r="F269" s="1" t="s">
        <v>613</v>
      </c>
      <c r="G269" s="1">
        <v>20.5</v>
      </c>
      <c r="H269" s="1" t="s">
        <v>60</v>
      </c>
      <c r="I269" s="1">
        <v>-120.0</v>
      </c>
      <c r="J269" s="1">
        <v>0.00379090909090906</v>
      </c>
      <c r="K269" s="1" t="s">
        <v>61</v>
      </c>
      <c r="L269" s="1" t="s">
        <v>61</v>
      </c>
      <c r="M269" s="1" t="s">
        <v>62</v>
      </c>
      <c r="N269" s="1">
        <v>-109.0</v>
      </c>
      <c r="O269" s="1">
        <v>-0.0707832535885166</v>
      </c>
      <c r="P269" s="1" t="s">
        <v>61</v>
      </c>
      <c r="Q269" s="1" t="s">
        <v>61</v>
      </c>
      <c r="R269" s="1">
        <f t="shared" si="1"/>
        <v>0.003790909091</v>
      </c>
      <c r="S269" s="1">
        <f t="shared" si="2"/>
        <v>-120</v>
      </c>
      <c r="T269" s="1">
        <f t="shared" si="3"/>
        <v>1.833333333</v>
      </c>
      <c r="U269" s="1">
        <f t="shared" si="4"/>
        <v>1</v>
      </c>
      <c r="V269" s="3">
        <f t="shared" si="5"/>
        <v>1</v>
      </c>
      <c r="W269" s="3">
        <f t="shared" si="6"/>
        <v>3</v>
      </c>
      <c r="X269" s="3" t="str">
        <f>IFERROR(__xludf.DUMMYFUNCTION("split(B269,"" "")"),"T.")</f>
        <v>T.</v>
      </c>
      <c r="Y269" s="3" t="str">
        <f>IFERROR(__xludf.DUMMYFUNCTION("""COMPUTED_VALUE"""),"Lawrence")</f>
        <v>Lawrence</v>
      </c>
      <c r="AA269" s="3">
        <v>23.0</v>
      </c>
      <c r="AB269" s="3">
        <f t="shared" si="7"/>
        <v>1</v>
      </c>
      <c r="AC269" s="3">
        <f t="shared" si="8"/>
        <v>1</v>
      </c>
      <c r="AD269" s="3">
        <f t="shared" si="9"/>
        <v>0.8333333333</v>
      </c>
      <c r="AE269" s="3">
        <f t="shared" si="10"/>
        <v>0.8333333333</v>
      </c>
      <c r="AF269" s="3">
        <f t="shared" si="11"/>
        <v>2.5</v>
      </c>
      <c r="AG269" s="3">
        <f t="shared" si="12"/>
        <v>0.1219512195</v>
      </c>
    </row>
    <row r="270">
      <c r="A270" s="1" t="s">
        <v>12</v>
      </c>
      <c r="B270" s="1" t="s">
        <v>506</v>
      </c>
      <c r="C270" s="1" t="s">
        <v>18</v>
      </c>
      <c r="D270" s="1" t="s">
        <v>135</v>
      </c>
      <c r="E270" s="1" t="s">
        <v>83</v>
      </c>
      <c r="F270" s="1" t="s">
        <v>615</v>
      </c>
      <c r="G270" s="1">
        <v>2.5</v>
      </c>
      <c r="H270" s="1" t="s">
        <v>60</v>
      </c>
      <c r="I270" s="1">
        <v>-153.0</v>
      </c>
      <c r="J270" s="1">
        <v>-0.257420621027668</v>
      </c>
      <c r="K270" s="1" t="s">
        <v>61</v>
      </c>
      <c r="L270" s="1" t="s">
        <v>61</v>
      </c>
      <c r="M270" s="1" t="s">
        <v>62</v>
      </c>
      <c r="N270" s="1">
        <v>117.0</v>
      </c>
      <c r="O270" s="1">
        <v>0.191860908387096</v>
      </c>
      <c r="P270" s="1" t="s">
        <v>61</v>
      </c>
      <c r="Q270" s="1" t="s">
        <v>61</v>
      </c>
      <c r="R270" s="1">
        <f t="shared" si="1"/>
        <v>0.1918609084</v>
      </c>
      <c r="S270" s="1">
        <f t="shared" si="2"/>
        <v>117</v>
      </c>
      <c r="T270" s="1">
        <f t="shared" si="3"/>
        <v>2.17</v>
      </c>
      <c r="U270" s="1">
        <f t="shared" si="4"/>
        <v>0</v>
      </c>
      <c r="V270" s="3">
        <f t="shared" si="5"/>
        <v>3</v>
      </c>
      <c r="W270" s="3">
        <f t="shared" si="6"/>
        <v>1</v>
      </c>
      <c r="X270" s="3" t="str">
        <f>IFERROR(__xludf.DUMMYFUNCTION("split(B270,"" "")"),"Q.")</f>
        <v>Q.</v>
      </c>
      <c r="Y270" s="3" t="str">
        <f>IFERROR(__xludf.DUMMYFUNCTION("""COMPUTED_VALUE"""),"Johnston")</f>
        <v>Johnston</v>
      </c>
      <c r="AA270" s="3">
        <v>3.0</v>
      </c>
      <c r="AB270" s="3">
        <f t="shared" si="7"/>
        <v>1</v>
      </c>
      <c r="AC270" s="3">
        <f t="shared" si="8"/>
        <v>0</v>
      </c>
      <c r="AD270" s="3">
        <f t="shared" si="9"/>
        <v>3.51</v>
      </c>
      <c r="AE270" s="3">
        <f t="shared" si="10"/>
        <v>-3</v>
      </c>
      <c r="AF270" s="3">
        <f t="shared" si="11"/>
        <v>-1</v>
      </c>
      <c r="AG270" s="3">
        <f t="shared" si="12"/>
        <v>-0.2</v>
      </c>
    </row>
    <row r="271">
      <c r="A271" s="1" t="s">
        <v>12</v>
      </c>
      <c r="B271" s="1" t="s">
        <v>381</v>
      </c>
      <c r="C271" s="1" t="s">
        <v>18</v>
      </c>
      <c r="D271" s="1" t="s">
        <v>135</v>
      </c>
      <c r="E271" s="1" t="s">
        <v>83</v>
      </c>
      <c r="F271" s="1" t="s">
        <v>615</v>
      </c>
      <c r="G271" s="1">
        <v>2.5</v>
      </c>
      <c r="H271" s="1" t="s">
        <v>60</v>
      </c>
      <c r="I271" s="1">
        <v>-154.0</v>
      </c>
      <c r="J271" s="1">
        <v>-0.250558190708661</v>
      </c>
      <c r="K271" s="1" t="s">
        <v>61</v>
      </c>
      <c r="L271" s="1" t="s">
        <v>61</v>
      </c>
      <c r="M271" s="1" t="s">
        <v>62</v>
      </c>
      <c r="N271" s="1">
        <v>117.0</v>
      </c>
      <c r="O271" s="1">
        <v>0.183422490506912</v>
      </c>
      <c r="P271" s="1" t="s">
        <v>61</v>
      </c>
      <c r="Q271" s="1" t="s">
        <v>61</v>
      </c>
      <c r="R271" s="1">
        <f t="shared" si="1"/>
        <v>0.1834224905</v>
      </c>
      <c r="S271" s="1">
        <f t="shared" si="2"/>
        <v>117</v>
      </c>
      <c r="T271" s="1">
        <f t="shared" si="3"/>
        <v>2.17</v>
      </c>
      <c r="U271" s="1">
        <f t="shared" si="4"/>
        <v>0</v>
      </c>
      <c r="V271" s="3">
        <f t="shared" si="5"/>
        <v>3</v>
      </c>
      <c r="W271" s="3">
        <f t="shared" si="6"/>
        <v>1</v>
      </c>
      <c r="X271" s="3" t="str">
        <f>IFERROR(__xludf.DUMMYFUNCTION("split(B271,"" "")"),"J.")</f>
        <v>J.</v>
      </c>
      <c r="Y271" s="3" t="str">
        <f>IFERROR(__xludf.DUMMYFUNCTION("""COMPUTED_VALUE"""),"Palmer")</f>
        <v>Palmer</v>
      </c>
      <c r="AA271" s="3">
        <v>2.0</v>
      </c>
      <c r="AB271" s="3">
        <f t="shared" si="7"/>
        <v>0</v>
      </c>
      <c r="AC271" s="3">
        <f t="shared" si="8"/>
        <v>1</v>
      </c>
      <c r="AD271" s="3">
        <f t="shared" si="9"/>
        <v>3.51</v>
      </c>
      <c r="AE271" s="3">
        <f t="shared" si="10"/>
        <v>3.51</v>
      </c>
      <c r="AF271" s="3">
        <f t="shared" si="11"/>
        <v>1.17</v>
      </c>
      <c r="AG271" s="3">
        <f t="shared" si="12"/>
        <v>0.2</v>
      </c>
    </row>
    <row r="272">
      <c r="A272" s="1" t="s">
        <v>16</v>
      </c>
      <c r="B272" s="1" t="s">
        <v>405</v>
      </c>
      <c r="C272" s="1" t="s">
        <v>21</v>
      </c>
      <c r="D272" s="1" t="s">
        <v>135</v>
      </c>
      <c r="E272" s="1" t="s">
        <v>83</v>
      </c>
      <c r="F272" s="1" t="s">
        <v>615</v>
      </c>
      <c r="G272" s="1">
        <v>28.5</v>
      </c>
      <c r="H272" s="1" t="s">
        <v>60</v>
      </c>
      <c r="I272" s="1">
        <v>-111.0</v>
      </c>
      <c r="J272" s="1">
        <v>-0.200018692156398</v>
      </c>
      <c r="K272" s="1" t="s">
        <v>61</v>
      </c>
      <c r="L272" s="1" t="s">
        <v>61</v>
      </c>
      <c r="M272" s="1" t="s">
        <v>62</v>
      </c>
      <c r="N272" s="1">
        <v>-119.0</v>
      </c>
      <c r="O272" s="1">
        <v>0.130566362618949</v>
      </c>
      <c r="P272" s="1" t="s">
        <v>61</v>
      </c>
      <c r="Q272" s="1" t="s">
        <v>61</v>
      </c>
      <c r="R272" s="1">
        <f t="shared" si="1"/>
        <v>0.1305663626</v>
      </c>
      <c r="S272" s="1">
        <f t="shared" si="2"/>
        <v>-119</v>
      </c>
      <c r="T272" s="1">
        <f t="shared" si="3"/>
        <v>1.840336134</v>
      </c>
      <c r="U272" s="1">
        <f t="shared" si="4"/>
        <v>0</v>
      </c>
      <c r="V272" s="3">
        <f t="shared" si="5"/>
        <v>3</v>
      </c>
      <c r="W272" s="3">
        <f t="shared" si="6"/>
        <v>3</v>
      </c>
      <c r="X272" s="3" t="str">
        <f>IFERROR(__xludf.DUMMYFUNCTION("split(B272,"" "")"),"J.")</f>
        <v>J.</v>
      </c>
      <c r="Y272" s="3" t="str">
        <f>IFERROR(__xludf.DUMMYFUNCTION("""COMPUTED_VALUE"""),"Herbert")</f>
        <v>Herbert</v>
      </c>
      <c r="AA272" s="3">
        <v>34.0</v>
      </c>
      <c r="AB272" s="3">
        <f t="shared" si="7"/>
        <v>1</v>
      </c>
      <c r="AC272" s="3">
        <f t="shared" si="8"/>
        <v>0</v>
      </c>
      <c r="AD272" s="3">
        <f t="shared" si="9"/>
        <v>2.521008403</v>
      </c>
      <c r="AE272" s="3">
        <f t="shared" si="10"/>
        <v>-3</v>
      </c>
      <c r="AF272" s="3">
        <f t="shared" si="11"/>
        <v>-3</v>
      </c>
      <c r="AG272" s="3">
        <f t="shared" si="12"/>
        <v>-0.1929824561</v>
      </c>
    </row>
    <row r="273">
      <c r="A273" s="1" t="s">
        <v>15</v>
      </c>
      <c r="B273" s="1" t="s">
        <v>405</v>
      </c>
      <c r="C273" s="1" t="s">
        <v>21</v>
      </c>
      <c r="D273" s="1" t="s">
        <v>135</v>
      </c>
      <c r="E273" s="1" t="s">
        <v>83</v>
      </c>
      <c r="F273" s="1" t="s">
        <v>615</v>
      </c>
      <c r="G273" s="1">
        <v>18.5</v>
      </c>
      <c r="H273" s="1" t="s">
        <v>60</v>
      </c>
      <c r="I273" s="1">
        <v>-106.0</v>
      </c>
      <c r="J273" s="1">
        <v>-0.181062830213592</v>
      </c>
      <c r="K273" s="1" t="s">
        <v>61</v>
      </c>
      <c r="L273" s="1" t="s">
        <v>61</v>
      </c>
      <c r="M273" s="1" t="s">
        <v>62</v>
      </c>
      <c r="N273" s="1">
        <v>-126.0</v>
      </c>
      <c r="O273" s="1">
        <v>0.108977558452389</v>
      </c>
      <c r="P273" s="1" t="s">
        <v>61</v>
      </c>
      <c r="Q273" s="1" t="s">
        <v>61</v>
      </c>
      <c r="R273" s="1">
        <f t="shared" si="1"/>
        <v>0.1089775585</v>
      </c>
      <c r="S273" s="1">
        <f t="shared" si="2"/>
        <v>-126</v>
      </c>
      <c r="T273" s="1">
        <f t="shared" si="3"/>
        <v>1.793650794</v>
      </c>
      <c r="U273" s="1">
        <f t="shared" si="4"/>
        <v>0</v>
      </c>
      <c r="V273" s="3">
        <f t="shared" si="5"/>
        <v>3</v>
      </c>
      <c r="W273" s="3">
        <f t="shared" si="6"/>
        <v>3</v>
      </c>
      <c r="X273" s="3" t="str">
        <f>IFERROR(__xludf.DUMMYFUNCTION("split(B273,"" "")"),"J.")</f>
        <v>J.</v>
      </c>
      <c r="Y273" s="3" t="str">
        <f>IFERROR(__xludf.DUMMYFUNCTION("""COMPUTED_VALUE"""),"Herbert")</f>
        <v>Herbert</v>
      </c>
      <c r="AA273" s="3">
        <v>21.0</v>
      </c>
      <c r="AB273" s="3">
        <f t="shared" si="7"/>
        <v>1</v>
      </c>
      <c r="AC273" s="3">
        <f t="shared" si="8"/>
        <v>0</v>
      </c>
      <c r="AD273" s="3">
        <f t="shared" si="9"/>
        <v>2.380952381</v>
      </c>
      <c r="AE273" s="3">
        <f t="shared" si="10"/>
        <v>-3</v>
      </c>
      <c r="AF273" s="3">
        <f t="shared" si="11"/>
        <v>-3</v>
      </c>
      <c r="AG273" s="3">
        <f t="shared" si="12"/>
        <v>-0.1351351351</v>
      </c>
    </row>
    <row r="274">
      <c r="A274" s="1" t="s">
        <v>12</v>
      </c>
      <c r="B274" s="1" t="s">
        <v>485</v>
      </c>
      <c r="C274" s="1" t="s">
        <v>19</v>
      </c>
      <c r="D274" s="1" t="s">
        <v>135</v>
      </c>
      <c r="E274" s="1" t="s">
        <v>83</v>
      </c>
      <c r="F274" s="1" t="s">
        <v>615</v>
      </c>
      <c r="G274" s="1">
        <v>2.5</v>
      </c>
      <c r="H274" s="1" t="s">
        <v>60</v>
      </c>
      <c r="I274" s="1">
        <v>-102.0</v>
      </c>
      <c r="J274" s="1">
        <v>-0.171648873861386</v>
      </c>
      <c r="K274" s="1" t="s">
        <v>61</v>
      </c>
      <c r="L274" s="1" t="s">
        <v>61</v>
      </c>
      <c r="M274" s="1" t="s">
        <v>62</v>
      </c>
      <c r="N274" s="1">
        <v>-128.0</v>
      </c>
      <c r="O274" s="1">
        <v>0.105294652743859</v>
      </c>
      <c r="P274" s="1" t="s">
        <v>61</v>
      </c>
      <c r="Q274" s="1" t="s">
        <v>61</v>
      </c>
      <c r="R274" s="1">
        <f t="shared" si="1"/>
        <v>0.1052946527</v>
      </c>
      <c r="S274" s="1">
        <f t="shared" si="2"/>
        <v>-128</v>
      </c>
      <c r="T274" s="1">
        <f t="shared" si="3"/>
        <v>1.78125</v>
      </c>
      <c r="U274" s="1">
        <f t="shared" si="4"/>
        <v>0</v>
      </c>
      <c r="V274" s="3">
        <f t="shared" si="5"/>
        <v>3</v>
      </c>
      <c r="W274" s="3">
        <f t="shared" si="6"/>
        <v>3</v>
      </c>
      <c r="X274" s="3" t="str">
        <f>IFERROR(__xludf.DUMMYFUNCTION("split(B274,"" "")"),"J.")</f>
        <v>J.</v>
      </c>
      <c r="Y274" s="3" t="str">
        <f>IFERROR(__xludf.DUMMYFUNCTION("""COMPUTED_VALUE"""),"Dobbins")</f>
        <v>Dobbins</v>
      </c>
      <c r="AA274" s="3">
        <v>2.0</v>
      </c>
      <c r="AB274" s="3">
        <f t="shared" si="7"/>
        <v>0</v>
      </c>
      <c r="AC274" s="3">
        <f t="shared" si="8"/>
        <v>1</v>
      </c>
      <c r="AD274" s="3">
        <f t="shared" si="9"/>
        <v>2.34375</v>
      </c>
      <c r="AE274" s="3">
        <f t="shared" si="10"/>
        <v>2.34375</v>
      </c>
      <c r="AF274" s="3">
        <f t="shared" si="11"/>
        <v>2.34375</v>
      </c>
      <c r="AG274" s="3">
        <f t="shared" si="12"/>
        <v>0.2</v>
      </c>
    </row>
    <row r="275">
      <c r="A275" s="1" t="s">
        <v>14</v>
      </c>
      <c r="B275" s="1" t="s">
        <v>405</v>
      </c>
      <c r="C275" s="1" t="s">
        <v>21</v>
      </c>
      <c r="D275" s="1" t="s">
        <v>135</v>
      </c>
      <c r="E275" s="1" t="s">
        <v>83</v>
      </c>
      <c r="F275" s="1" t="s">
        <v>615</v>
      </c>
      <c r="G275" s="1">
        <v>1.5</v>
      </c>
      <c r="H275" s="1" t="s">
        <v>60</v>
      </c>
      <c r="I275" s="1">
        <v>206.0</v>
      </c>
      <c r="J275" s="1">
        <v>0.0578026143790849</v>
      </c>
      <c r="K275" s="1" t="s">
        <v>61</v>
      </c>
      <c r="L275" s="1" t="s">
        <v>61</v>
      </c>
      <c r="M275" s="1" t="s">
        <v>62</v>
      </c>
      <c r="N275" s="1">
        <v>-276.0</v>
      </c>
      <c r="O275" s="1">
        <v>-0.118642553191489</v>
      </c>
      <c r="P275" s="1" t="s">
        <v>61</v>
      </c>
      <c r="Q275" s="1" t="s">
        <v>61</v>
      </c>
      <c r="R275" s="1">
        <f t="shared" si="1"/>
        <v>0.05780261438</v>
      </c>
      <c r="S275" s="1">
        <f t="shared" si="2"/>
        <v>206</v>
      </c>
      <c r="T275" s="1">
        <f t="shared" si="3"/>
        <v>3.06</v>
      </c>
      <c r="U275" s="1">
        <f t="shared" si="4"/>
        <v>1</v>
      </c>
      <c r="V275" s="3">
        <f t="shared" si="5"/>
        <v>2</v>
      </c>
      <c r="W275" s="3">
        <f t="shared" si="6"/>
        <v>1</v>
      </c>
      <c r="X275" s="3" t="str">
        <f>IFERROR(__xludf.DUMMYFUNCTION("split(B275,"" "")"),"J.")</f>
        <v>J.</v>
      </c>
      <c r="Y275" s="3" t="str">
        <f>IFERROR(__xludf.DUMMYFUNCTION("""COMPUTED_VALUE"""),"Herbert")</f>
        <v>Herbert</v>
      </c>
      <c r="AA275" s="3">
        <v>1.0</v>
      </c>
      <c r="AB275" s="3">
        <f t="shared" si="7"/>
        <v>0</v>
      </c>
      <c r="AC275" s="3">
        <f t="shared" si="8"/>
        <v>0</v>
      </c>
      <c r="AD275" s="3">
        <f t="shared" si="9"/>
        <v>4.12</v>
      </c>
      <c r="AE275" s="3">
        <f t="shared" si="10"/>
        <v>-2</v>
      </c>
      <c r="AF275" s="3">
        <f t="shared" si="11"/>
        <v>-1</v>
      </c>
      <c r="AG275" s="3">
        <f t="shared" si="12"/>
        <v>-0.3333333333</v>
      </c>
    </row>
    <row r="276">
      <c r="A276" s="1" t="s">
        <v>11</v>
      </c>
      <c r="B276" s="1" t="s">
        <v>432</v>
      </c>
      <c r="C276" s="1" t="s">
        <v>18</v>
      </c>
      <c r="D276" s="1" t="s">
        <v>135</v>
      </c>
      <c r="E276" s="1" t="s">
        <v>83</v>
      </c>
      <c r="F276" s="1" t="s">
        <v>615</v>
      </c>
      <c r="G276" s="1">
        <v>46.5</v>
      </c>
      <c r="H276" s="1" t="s">
        <v>60</v>
      </c>
      <c r="I276" s="1">
        <v>-115.0</v>
      </c>
      <c r="J276" s="1">
        <v>-0.123016363392558</v>
      </c>
      <c r="K276" s="1" t="s">
        <v>61</v>
      </c>
      <c r="L276" s="1" t="s">
        <v>61</v>
      </c>
      <c r="M276" s="1" t="s">
        <v>62</v>
      </c>
      <c r="N276" s="1">
        <v>-113.0</v>
      </c>
      <c r="O276" s="1">
        <v>0.0576477630343146</v>
      </c>
      <c r="P276" s="1" t="s">
        <v>61</v>
      </c>
      <c r="Q276" s="1" t="s">
        <v>61</v>
      </c>
      <c r="R276" s="1">
        <f t="shared" si="1"/>
        <v>0.05764776303</v>
      </c>
      <c r="S276" s="1">
        <f t="shared" si="2"/>
        <v>-113</v>
      </c>
      <c r="T276" s="1">
        <f t="shared" si="3"/>
        <v>1.884955752</v>
      </c>
      <c r="U276" s="1">
        <f t="shared" si="4"/>
        <v>0</v>
      </c>
      <c r="V276" s="3">
        <f t="shared" si="5"/>
        <v>2</v>
      </c>
      <c r="W276" s="3">
        <f t="shared" si="6"/>
        <v>2</v>
      </c>
      <c r="X276" s="3" t="str">
        <f>IFERROR(__xludf.DUMMYFUNCTION("split(B276,"" "")"),"L.")</f>
        <v>L.</v>
      </c>
      <c r="Y276" s="3" t="str">
        <f>IFERROR(__xludf.DUMMYFUNCTION("""COMPUTED_VALUE"""),"McConkey")</f>
        <v>McConkey</v>
      </c>
      <c r="AA276" s="3">
        <v>43.0</v>
      </c>
      <c r="AB276" s="3">
        <f t="shared" si="7"/>
        <v>0</v>
      </c>
      <c r="AC276" s="3">
        <f t="shared" si="8"/>
        <v>1</v>
      </c>
      <c r="AD276" s="3">
        <f t="shared" si="9"/>
        <v>1.769911504</v>
      </c>
      <c r="AE276" s="3">
        <f t="shared" si="10"/>
        <v>1.769911504</v>
      </c>
      <c r="AF276" s="3">
        <f t="shared" si="11"/>
        <v>1.769911504</v>
      </c>
      <c r="AG276" s="3">
        <f t="shared" si="12"/>
        <v>0.0752688172</v>
      </c>
    </row>
    <row r="277">
      <c r="A277" s="1" t="s">
        <v>12</v>
      </c>
      <c r="B277" s="1" t="s">
        <v>432</v>
      </c>
      <c r="C277" s="1" t="s">
        <v>18</v>
      </c>
      <c r="D277" s="1" t="s">
        <v>135</v>
      </c>
      <c r="E277" s="1" t="s">
        <v>83</v>
      </c>
      <c r="F277" s="1" t="s">
        <v>615</v>
      </c>
      <c r="G277" s="1">
        <v>4.5</v>
      </c>
      <c r="H277" s="1" t="s">
        <v>60</v>
      </c>
      <c r="I277" s="1">
        <v>-105.0</v>
      </c>
      <c r="J277" s="1">
        <v>-0.128695121951219</v>
      </c>
      <c r="K277" s="1" t="s">
        <v>61</v>
      </c>
      <c r="L277" s="1" t="s">
        <v>61</v>
      </c>
      <c r="M277" s="1" t="s">
        <v>62</v>
      </c>
      <c r="N277" s="1">
        <v>-127.0</v>
      </c>
      <c r="O277" s="1">
        <v>0.0570286343612335</v>
      </c>
      <c r="P277" s="1" t="s">
        <v>61</v>
      </c>
      <c r="Q277" s="1" t="s">
        <v>61</v>
      </c>
      <c r="R277" s="1">
        <f t="shared" si="1"/>
        <v>0.05702863436</v>
      </c>
      <c r="S277" s="1">
        <f t="shared" si="2"/>
        <v>-127</v>
      </c>
      <c r="T277" s="1">
        <f t="shared" si="3"/>
        <v>1.787401575</v>
      </c>
      <c r="U277" s="1">
        <f t="shared" si="4"/>
        <v>0</v>
      </c>
      <c r="V277" s="3">
        <f t="shared" si="5"/>
        <v>2</v>
      </c>
      <c r="W277" s="3">
        <f t="shared" si="6"/>
        <v>3</v>
      </c>
      <c r="X277" s="3" t="str">
        <f>IFERROR(__xludf.DUMMYFUNCTION("split(B277,"" "")"),"L.")</f>
        <v>L.</v>
      </c>
      <c r="Y277" s="3" t="str">
        <f>IFERROR(__xludf.DUMMYFUNCTION("""COMPUTED_VALUE"""),"McConkey")</f>
        <v>McConkey</v>
      </c>
      <c r="AA277" s="3">
        <v>4.0</v>
      </c>
      <c r="AB277" s="3">
        <f t="shared" si="7"/>
        <v>0</v>
      </c>
      <c r="AC277" s="3">
        <f t="shared" si="8"/>
        <v>1</v>
      </c>
      <c r="AD277" s="3">
        <f t="shared" si="9"/>
        <v>1.57480315</v>
      </c>
      <c r="AE277" s="3">
        <f t="shared" si="10"/>
        <v>1.57480315</v>
      </c>
      <c r="AF277" s="3">
        <f t="shared" si="11"/>
        <v>2.362204724</v>
      </c>
      <c r="AG277" s="3">
        <f t="shared" si="12"/>
        <v>0.1111111111</v>
      </c>
    </row>
    <row r="278">
      <c r="A278" s="1" t="s">
        <v>12</v>
      </c>
      <c r="B278" s="1" t="s">
        <v>471</v>
      </c>
      <c r="C278" s="1" t="s">
        <v>20</v>
      </c>
      <c r="D278" s="1" t="s">
        <v>135</v>
      </c>
      <c r="E278" s="1" t="s">
        <v>83</v>
      </c>
      <c r="F278" s="1" t="s">
        <v>615</v>
      </c>
      <c r="G278" s="1">
        <v>1.5</v>
      </c>
      <c r="H278" s="1" t="s">
        <v>60</v>
      </c>
      <c r="I278" s="1">
        <v>102.0</v>
      </c>
      <c r="J278" s="1">
        <v>-0.122794110297821</v>
      </c>
      <c r="K278" s="1" t="s">
        <v>61</v>
      </c>
      <c r="L278" s="1" t="s">
        <v>61</v>
      </c>
      <c r="M278" s="1" t="s">
        <v>62</v>
      </c>
      <c r="N278" s="1">
        <v>-133.0</v>
      </c>
      <c r="O278" s="1">
        <v>0.0569349729555364</v>
      </c>
      <c r="P278" s="1" t="s">
        <v>61</v>
      </c>
      <c r="Q278" s="1" t="s">
        <v>61</v>
      </c>
      <c r="R278" s="1">
        <f t="shared" si="1"/>
        <v>0.05693497296</v>
      </c>
      <c r="S278" s="1">
        <f t="shared" si="2"/>
        <v>-133</v>
      </c>
      <c r="T278" s="1">
        <f t="shared" si="3"/>
        <v>1.751879699</v>
      </c>
      <c r="U278" s="1">
        <f t="shared" si="4"/>
        <v>0</v>
      </c>
      <c r="V278" s="3">
        <f t="shared" si="5"/>
        <v>2</v>
      </c>
      <c r="W278" s="3">
        <f t="shared" si="6"/>
        <v>3</v>
      </c>
      <c r="X278" s="3" t="str">
        <f>IFERROR(__xludf.DUMMYFUNCTION("split(B278,"" "")"),"W.")</f>
        <v>W.</v>
      </c>
      <c r="Y278" s="3" t="str">
        <f>IFERROR(__xludf.DUMMYFUNCTION("""COMPUTED_VALUE"""),"Dissly")</f>
        <v>Dissly</v>
      </c>
      <c r="AA278" s="3">
        <v>4.0</v>
      </c>
      <c r="AB278" s="3">
        <f t="shared" si="7"/>
        <v>1</v>
      </c>
      <c r="AC278" s="3">
        <f t="shared" si="8"/>
        <v>0</v>
      </c>
      <c r="AD278" s="3">
        <f t="shared" si="9"/>
        <v>1.503759398</v>
      </c>
      <c r="AE278" s="3">
        <f t="shared" si="10"/>
        <v>-2</v>
      </c>
      <c r="AF278" s="3">
        <f t="shared" si="11"/>
        <v>-3</v>
      </c>
      <c r="AG278" s="3">
        <f t="shared" si="12"/>
        <v>-1.666666667</v>
      </c>
    </row>
    <row r="279">
      <c r="A279" s="1" t="s">
        <v>8</v>
      </c>
      <c r="B279" s="1" t="s">
        <v>485</v>
      </c>
      <c r="C279" s="1" t="s">
        <v>19</v>
      </c>
      <c r="D279" s="1" t="s">
        <v>135</v>
      </c>
      <c r="E279" s="1" t="s">
        <v>83</v>
      </c>
      <c r="F279" s="1" t="s">
        <v>615</v>
      </c>
      <c r="G279" s="1">
        <v>16.5</v>
      </c>
      <c r="H279" s="1" t="s">
        <v>60</v>
      </c>
      <c r="I279" s="1">
        <v>-116.0</v>
      </c>
      <c r="J279" s="1">
        <v>-0.126529156759259</v>
      </c>
      <c r="K279" s="1" t="s">
        <v>61</v>
      </c>
      <c r="L279" s="1" t="s">
        <v>61</v>
      </c>
      <c r="M279" s="1" t="s">
        <v>62</v>
      </c>
      <c r="N279" s="1">
        <v>-114.0</v>
      </c>
      <c r="O279" s="1">
        <v>0.0567957175719626</v>
      </c>
      <c r="P279" s="1" t="s">
        <v>61</v>
      </c>
      <c r="Q279" s="1" t="s">
        <v>61</v>
      </c>
      <c r="R279" s="1">
        <f t="shared" si="1"/>
        <v>0.05679571757</v>
      </c>
      <c r="S279" s="1">
        <f t="shared" si="2"/>
        <v>-114</v>
      </c>
      <c r="T279" s="1">
        <f t="shared" si="3"/>
        <v>1.877192982</v>
      </c>
      <c r="U279" s="1">
        <f t="shared" si="4"/>
        <v>0</v>
      </c>
      <c r="V279" s="3">
        <f t="shared" si="5"/>
        <v>2</v>
      </c>
      <c r="W279" s="3">
        <f t="shared" si="6"/>
        <v>2</v>
      </c>
      <c r="X279" s="3" t="str">
        <f>IFERROR(__xludf.DUMMYFUNCTION("split(B279,"" "")"),"J.")</f>
        <v>J.</v>
      </c>
      <c r="Y279" s="3" t="str">
        <f>IFERROR(__xludf.DUMMYFUNCTION("""COMPUTED_VALUE"""),"Dobbins")</f>
        <v>Dobbins</v>
      </c>
      <c r="AA279" s="3">
        <v>25.0</v>
      </c>
      <c r="AB279" s="3">
        <f t="shared" si="7"/>
        <v>1</v>
      </c>
      <c r="AC279" s="3">
        <f t="shared" si="8"/>
        <v>0</v>
      </c>
      <c r="AD279" s="3">
        <f t="shared" si="9"/>
        <v>1.754385965</v>
      </c>
      <c r="AE279" s="3">
        <f t="shared" si="10"/>
        <v>-2</v>
      </c>
      <c r="AF279" s="3">
        <f t="shared" si="11"/>
        <v>-2</v>
      </c>
      <c r="AG279" s="3">
        <f t="shared" si="12"/>
        <v>-0.5151515152</v>
      </c>
    </row>
    <row r="280">
      <c r="A280" s="1" t="s">
        <v>10</v>
      </c>
      <c r="B280" s="1" t="s">
        <v>485</v>
      </c>
      <c r="C280" s="1" t="s">
        <v>19</v>
      </c>
      <c r="D280" s="1" t="s">
        <v>135</v>
      </c>
      <c r="E280" s="1" t="s">
        <v>83</v>
      </c>
      <c r="F280" s="1" t="s">
        <v>615</v>
      </c>
      <c r="G280" s="1">
        <v>66.5</v>
      </c>
      <c r="H280" s="1" t="s">
        <v>60</v>
      </c>
      <c r="I280" s="1">
        <v>-116.0</v>
      </c>
      <c r="J280" s="1">
        <v>-0.11703054782516</v>
      </c>
      <c r="K280" s="1" t="s">
        <v>61</v>
      </c>
      <c r="L280" s="1" t="s">
        <v>61</v>
      </c>
      <c r="M280" s="1" t="s">
        <v>62</v>
      </c>
      <c r="N280" s="1">
        <v>-114.0</v>
      </c>
      <c r="O280" s="1">
        <v>0.047281885140983</v>
      </c>
      <c r="P280" s="1" t="s">
        <v>61</v>
      </c>
      <c r="Q280" s="1" t="s">
        <v>61</v>
      </c>
      <c r="R280" s="1">
        <f t="shared" si="1"/>
        <v>0.04728188514</v>
      </c>
      <c r="S280" s="1">
        <f t="shared" si="2"/>
        <v>-114</v>
      </c>
      <c r="T280" s="1">
        <f t="shared" si="3"/>
        <v>1.877192982</v>
      </c>
      <c r="U280" s="1">
        <f t="shared" si="4"/>
        <v>0</v>
      </c>
      <c r="V280" s="3">
        <f t="shared" si="5"/>
        <v>1</v>
      </c>
      <c r="W280" s="3">
        <f t="shared" si="6"/>
        <v>2</v>
      </c>
      <c r="X280" s="3" t="str">
        <f>IFERROR(__xludf.DUMMYFUNCTION("split(B280,"" "")"),"J.")</f>
        <v>J.</v>
      </c>
      <c r="Y280" s="3" t="str">
        <f>IFERROR(__xludf.DUMMYFUNCTION("""COMPUTED_VALUE"""),"Dobbins")</f>
        <v>Dobbins</v>
      </c>
      <c r="AA280" s="3">
        <v>96.0</v>
      </c>
      <c r="AB280" s="3">
        <f t="shared" si="7"/>
        <v>1</v>
      </c>
      <c r="AC280" s="3">
        <f t="shared" si="8"/>
        <v>0</v>
      </c>
      <c r="AD280" s="3">
        <f t="shared" si="9"/>
        <v>0.8771929825</v>
      </c>
      <c r="AE280" s="3">
        <f t="shared" si="10"/>
        <v>-1</v>
      </c>
      <c r="AF280" s="3">
        <f t="shared" si="11"/>
        <v>-2</v>
      </c>
      <c r="AG280" s="3">
        <f t="shared" si="12"/>
        <v>-0.4436090226</v>
      </c>
    </row>
    <row r="281">
      <c r="A281" s="1" t="s">
        <v>9</v>
      </c>
      <c r="B281" s="1" t="s">
        <v>485</v>
      </c>
      <c r="C281" s="1" t="s">
        <v>19</v>
      </c>
      <c r="D281" s="1" t="s">
        <v>135</v>
      </c>
      <c r="E281" s="1" t="s">
        <v>83</v>
      </c>
      <c r="F281" s="1" t="s">
        <v>615</v>
      </c>
      <c r="G281" s="1">
        <v>84.5</v>
      </c>
      <c r="H281" s="1" t="s">
        <v>60</v>
      </c>
      <c r="I281" s="1">
        <v>-112.0</v>
      </c>
      <c r="J281" s="1">
        <v>-0.117730574388588</v>
      </c>
      <c r="K281" s="1" t="s">
        <v>61</v>
      </c>
      <c r="L281" s="1" t="s">
        <v>61</v>
      </c>
      <c r="M281" s="1" t="s">
        <v>62</v>
      </c>
      <c r="N281" s="1">
        <v>-121.0</v>
      </c>
      <c r="O281" s="1">
        <v>0.0419380585618136</v>
      </c>
      <c r="P281" s="1" t="s">
        <v>61</v>
      </c>
      <c r="Q281" s="1" t="s">
        <v>61</v>
      </c>
      <c r="R281" s="1">
        <f t="shared" si="1"/>
        <v>0.04193805856</v>
      </c>
      <c r="S281" s="1">
        <f t="shared" si="2"/>
        <v>-121</v>
      </c>
      <c r="T281" s="1">
        <f t="shared" si="3"/>
        <v>1.826446281</v>
      </c>
      <c r="U281" s="1">
        <f t="shared" si="4"/>
        <v>0</v>
      </c>
      <c r="V281" s="3">
        <f t="shared" si="5"/>
        <v>1</v>
      </c>
      <c r="W281" s="3">
        <f t="shared" si="6"/>
        <v>3</v>
      </c>
      <c r="X281" s="3" t="str">
        <f>IFERROR(__xludf.DUMMYFUNCTION("split(B281,"" "")"),"J.")</f>
        <v>J.</v>
      </c>
      <c r="Y281" s="3" t="str">
        <f>IFERROR(__xludf.DUMMYFUNCTION("""COMPUTED_VALUE"""),"Dobbins")</f>
        <v>Dobbins</v>
      </c>
      <c r="AA281" s="3">
        <v>102.0</v>
      </c>
      <c r="AB281" s="3">
        <f t="shared" si="7"/>
        <v>1</v>
      </c>
      <c r="AC281" s="3">
        <f t="shared" si="8"/>
        <v>0</v>
      </c>
      <c r="AD281" s="3">
        <f t="shared" si="9"/>
        <v>0.826446281</v>
      </c>
      <c r="AE281" s="3">
        <f t="shared" si="10"/>
        <v>-1</v>
      </c>
      <c r="AF281" s="3">
        <f t="shared" si="11"/>
        <v>-3</v>
      </c>
      <c r="AG281" s="3">
        <f t="shared" si="12"/>
        <v>-0.2071005917</v>
      </c>
    </row>
    <row r="282">
      <c r="A282" s="1" t="s">
        <v>11</v>
      </c>
      <c r="B282" s="1" t="s">
        <v>471</v>
      </c>
      <c r="C282" s="1" t="s">
        <v>20</v>
      </c>
      <c r="D282" s="1" t="s">
        <v>135</v>
      </c>
      <c r="E282" s="1" t="s">
        <v>83</v>
      </c>
      <c r="F282" s="1" t="s">
        <v>615</v>
      </c>
      <c r="G282" s="1">
        <v>10.5</v>
      </c>
      <c r="H282" s="1" t="s">
        <v>60</v>
      </c>
      <c r="I282" s="1">
        <v>-113.0</v>
      </c>
      <c r="J282" s="1">
        <v>0.0238454779717474</v>
      </c>
      <c r="K282" s="1" t="s">
        <v>61</v>
      </c>
      <c r="L282" s="1" t="s">
        <v>61</v>
      </c>
      <c r="M282" s="1" t="s">
        <v>62</v>
      </c>
      <c r="N282" s="1">
        <v>-116.0</v>
      </c>
      <c r="O282" s="1">
        <v>-0.0913502995243488</v>
      </c>
      <c r="P282" s="1" t="s">
        <v>61</v>
      </c>
      <c r="Q282" s="1" t="s">
        <v>61</v>
      </c>
      <c r="R282" s="1">
        <f t="shared" si="1"/>
        <v>0.02384547797</v>
      </c>
      <c r="S282" s="1">
        <f t="shared" si="2"/>
        <v>-113</v>
      </c>
      <c r="T282" s="1">
        <f t="shared" si="3"/>
        <v>1.884955752</v>
      </c>
      <c r="U282" s="1">
        <f t="shared" si="4"/>
        <v>1</v>
      </c>
      <c r="V282" s="3">
        <f t="shared" si="5"/>
        <v>1</v>
      </c>
      <c r="W282" s="3">
        <f t="shared" si="6"/>
        <v>2</v>
      </c>
      <c r="X282" s="3" t="str">
        <f>IFERROR(__xludf.DUMMYFUNCTION("split(B282,"" "")"),"W.")</f>
        <v>W.</v>
      </c>
      <c r="Y282" s="3" t="str">
        <f>IFERROR(__xludf.DUMMYFUNCTION("""COMPUTED_VALUE"""),"Dissly")</f>
        <v>Dissly</v>
      </c>
      <c r="AA282" s="3">
        <v>26.0</v>
      </c>
      <c r="AB282" s="3">
        <f t="shared" si="7"/>
        <v>1</v>
      </c>
      <c r="AC282" s="3">
        <f t="shared" si="8"/>
        <v>1</v>
      </c>
      <c r="AD282" s="3">
        <f t="shared" si="9"/>
        <v>0.8849557522</v>
      </c>
      <c r="AE282" s="3">
        <f t="shared" si="10"/>
        <v>0.8849557522</v>
      </c>
      <c r="AF282" s="3">
        <f t="shared" si="11"/>
        <v>1.769911504</v>
      </c>
      <c r="AG282" s="3">
        <f t="shared" si="12"/>
        <v>1.476190476</v>
      </c>
    </row>
    <row r="283">
      <c r="A283" s="1" t="s">
        <v>11</v>
      </c>
      <c r="B283" s="1" t="s">
        <v>381</v>
      </c>
      <c r="C283" s="1" t="s">
        <v>18</v>
      </c>
      <c r="D283" s="1" t="s">
        <v>135</v>
      </c>
      <c r="E283" s="1" t="s">
        <v>83</v>
      </c>
      <c r="F283" s="1" t="s">
        <v>615</v>
      </c>
      <c r="G283" s="1">
        <v>30.5</v>
      </c>
      <c r="H283" s="1" t="s">
        <v>60</v>
      </c>
      <c r="I283" s="1">
        <v>-110.0</v>
      </c>
      <c r="J283" s="1">
        <v>-0.0905158655724763</v>
      </c>
      <c r="K283" s="1" t="s">
        <v>61</v>
      </c>
      <c r="L283" s="1" t="s">
        <v>61</v>
      </c>
      <c r="M283" s="1" t="s">
        <v>62</v>
      </c>
      <c r="N283" s="1">
        <v>-120.0</v>
      </c>
      <c r="O283" s="1">
        <v>0.0212806294957456</v>
      </c>
      <c r="P283" s="1" t="s">
        <v>61</v>
      </c>
      <c r="Q283" s="1" t="s">
        <v>61</v>
      </c>
      <c r="R283" s="1">
        <f t="shared" si="1"/>
        <v>0.0212806295</v>
      </c>
      <c r="S283" s="1">
        <f t="shared" si="2"/>
        <v>-120</v>
      </c>
      <c r="T283" s="1">
        <f t="shared" si="3"/>
        <v>1.833333333</v>
      </c>
      <c r="U283" s="1">
        <f t="shared" si="4"/>
        <v>0</v>
      </c>
      <c r="V283" s="3">
        <f t="shared" si="5"/>
        <v>1</v>
      </c>
      <c r="W283" s="3">
        <f t="shared" si="6"/>
        <v>3</v>
      </c>
      <c r="X283" s="3" t="str">
        <f>IFERROR(__xludf.DUMMYFUNCTION("split(B283,"" "")"),"J.")</f>
        <v>J.</v>
      </c>
      <c r="Y283" s="3" t="str">
        <f>IFERROR(__xludf.DUMMYFUNCTION("""COMPUTED_VALUE"""),"Palmer")</f>
        <v>Palmer</v>
      </c>
      <c r="AA283" s="3">
        <v>38.0</v>
      </c>
      <c r="AB283" s="3">
        <f t="shared" si="7"/>
        <v>1</v>
      </c>
      <c r="AC283" s="3">
        <f t="shared" si="8"/>
        <v>0</v>
      </c>
      <c r="AD283" s="3">
        <f t="shared" si="9"/>
        <v>0.8333333333</v>
      </c>
      <c r="AE283" s="3">
        <f t="shared" si="10"/>
        <v>-1</v>
      </c>
      <c r="AF283" s="3">
        <f t="shared" si="11"/>
        <v>-3</v>
      </c>
      <c r="AG283" s="3">
        <f t="shared" si="12"/>
        <v>-0.2459016393</v>
      </c>
    </row>
    <row r="284">
      <c r="A284" s="1" t="s">
        <v>12</v>
      </c>
      <c r="B284" s="1" t="s">
        <v>545</v>
      </c>
      <c r="C284" s="1" t="s">
        <v>20</v>
      </c>
      <c r="D284" s="1" t="s">
        <v>135</v>
      </c>
      <c r="E284" s="1" t="s">
        <v>83</v>
      </c>
      <c r="F284" s="1" t="s">
        <v>615</v>
      </c>
      <c r="G284" s="1">
        <v>2.5</v>
      </c>
      <c r="H284" s="1" t="s">
        <v>60</v>
      </c>
      <c r="I284" s="1">
        <v>148.0</v>
      </c>
      <c r="J284" s="1">
        <v>-0.0896781182451613</v>
      </c>
      <c r="K284" s="1" t="s">
        <v>61</v>
      </c>
      <c r="L284" s="1" t="s">
        <v>61</v>
      </c>
      <c r="M284" s="1" t="s">
        <v>62</v>
      </c>
      <c r="N284" s="1">
        <v>-199.0</v>
      </c>
      <c r="O284" s="1">
        <v>0.0209065012120401</v>
      </c>
      <c r="P284" s="1" t="s">
        <v>61</v>
      </c>
      <c r="Q284" s="1" t="s">
        <v>61</v>
      </c>
      <c r="R284" s="1">
        <f t="shared" si="1"/>
        <v>0.02090650121</v>
      </c>
      <c r="S284" s="1">
        <f t="shared" si="2"/>
        <v>-199</v>
      </c>
      <c r="T284" s="1">
        <f t="shared" si="3"/>
        <v>1.502512563</v>
      </c>
      <c r="U284" s="1">
        <f t="shared" si="4"/>
        <v>0</v>
      </c>
      <c r="V284" s="3">
        <f t="shared" si="5"/>
        <v>1</v>
      </c>
      <c r="W284" s="3">
        <f t="shared" si="6"/>
        <v>3</v>
      </c>
      <c r="X284" s="3" t="str">
        <f>IFERROR(__xludf.DUMMYFUNCTION("split(B284,"" "")"),"H.")</f>
        <v>H.</v>
      </c>
      <c r="Y284" s="3" t="str">
        <f>IFERROR(__xludf.DUMMYFUNCTION("""COMPUTED_VALUE"""),"Hurst")</f>
        <v>Hurst</v>
      </c>
      <c r="AA284" s="3">
        <v>0.0</v>
      </c>
      <c r="AB284" s="3">
        <f t="shared" si="7"/>
        <v>0</v>
      </c>
      <c r="AC284" s="3">
        <f t="shared" si="8"/>
        <v>1</v>
      </c>
      <c r="AD284" s="3">
        <f t="shared" si="9"/>
        <v>0.5025125628</v>
      </c>
      <c r="AE284" s="3">
        <f t="shared" si="10"/>
        <v>0.5025125628</v>
      </c>
      <c r="AF284" s="3">
        <f t="shared" si="11"/>
        <v>1.507537688</v>
      </c>
      <c r="AG284" s="3">
        <f t="shared" si="12"/>
        <v>1</v>
      </c>
    </row>
    <row r="285">
      <c r="A285" s="1" t="s">
        <v>17</v>
      </c>
      <c r="B285" s="1" t="s">
        <v>405</v>
      </c>
      <c r="C285" s="1" t="s">
        <v>21</v>
      </c>
      <c r="D285" s="1" t="s">
        <v>135</v>
      </c>
      <c r="E285" s="1" t="s">
        <v>83</v>
      </c>
      <c r="F285" s="1" t="s">
        <v>615</v>
      </c>
      <c r="G285" s="1">
        <v>0.5</v>
      </c>
      <c r="H285" s="1" t="s">
        <v>60</v>
      </c>
      <c r="I285" s="1">
        <v>-104.0</v>
      </c>
      <c r="J285" s="1">
        <v>-0.0848549019607843</v>
      </c>
      <c r="K285" s="1" t="s">
        <v>61</v>
      </c>
      <c r="L285" s="1" t="s">
        <v>61</v>
      </c>
      <c r="M285" s="1" t="s">
        <v>62</v>
      </c>
      <c r="N285" s="1">
        <v>-125.0</v>
      </c>
      <c r="O285" s="1">
        <v>0.0194888888888887</v>
      </c>
      <c r="P285" s="1" t="s">
        <v>61</v>
      </c>
      <c r="Q285" s="1" t="s">
        <v>61</v>
      </c>
      <c r="R285" s="1">
        <f t="shared" si="1"/>
        <v>0.01948888889</v>
      </c>
      <c r="S285" s="1">
        <f t="shared" si="2"/>
        <v>-125</v>
      </c>
      <c r="T285" s="1">
        <f t="shared" si="3"/>
        <v>1.8</v>
      </c>
      <c r="U285" s="1">
        <f t="shared" si="4"/>
        <v>0</v>
      </c>
      <c r="V285" s="3">
        <f t="shared" si="5"/>
        <v>1</v>
      </c>
      <c r="W285" s="3">
        <f t="shared" si="6"/>
        <v>3</v>
      </c>
      <c r="X285" s="3" t="str">
        <f>IFERROR(__xludf.DUMMYFUNCTION("split(B285,"" "")"),"J.")</f>
        <v>J.</v>
      </c>
      <c r="Y285" s="3" t="str">
        <f>IFERROR(__xludf.DUMMYFUNCTION("""COMPUTED_VALUE"""),"Herbert")</f>
        <v>Herbert</v>
      </c>
      <c r="AA285" s="3">
        <v>0.0</v>
      </c>
      <c r="AB285" s="3">
        <f t="shared" si="7"/>
        <v>0</v>
      </c>
      <c r="AC285" s="3">
        <f t="shared" si="8"/>
        <v>1</v>
      </c>
      <c r="AD285" s="3">
        <f t="shared" si="9"/>
        <v>0.8</v>
      </c>
      <c r="AE285" s="3">
        <f t="shared" si="10"/>
        <v>0.8</v>
      </c>
      <c r="AF285" s="3">
        <f t="shared" si="11"/>
        <v>2.4</v>
      </c>
      <c r="AG285" s="3">
        <f t="shared" si="12"/>
        <v>1</v>
      </c>
    </row>
    <row r="286">
      <c r="A286" s="1" t="s">
        <v>11</v>
      </c>
      <c r="B286" s="1" t="s">
        <v>506</v>
      </c>
      <c r="C286" s="1" t="s">
        <v>18</v>
      </c>
      <c r="D286" s="1" t="s">
        <v>135</v>
      </c>
      <c r="E286" s="1" t="s">
        <v>83</v>
      </c>
      <c r="F286" s="1" t="s">
        <v>615</v>
      </c>
      <c r="G286" s="1">
        <v>30.5</v>
      </c>
      <c r="H286" s="1" t="s">
        <v>60</v>
      </c>
      <c r="I286" s="1">
        <v>-114.0</v>
      </c>
      <c r="J286" s="1">
        <v>-0.0870113547576635</v>
      </c>
      <c r="K286" s="1" t="s">
        <v>61</v>
      </c>
      <c r="L286" s="1" t="s">
        <v>61</v>
      </c>
      <c r="M286" s="1" t="s">
        <v>62</v>
      </c>
      <c r="N286" s="1">
        <v>-116.0</v>
      </c>
      <c r="O286" s="1">
        <v>0.017308001300974</v>
      </c>
      <c r="P286" s="1" t="s">
        <v>61</v>
      </c>
      <c r="Q286" s="1" t="s">
        <v>61</v>
      </c>
      <c r="R286" s="1">
        <f t="shared" si="1"/>
        <v>0.0173080013</v>
      </c>
      <c r="S286" s="1">
        <f t="shared" si="2"/>
        <v>-116</v>
      </c>
      <c r="T286" s="1">
        <f t="shared" si="3"/>
        <v>1.862068966</v>
      </c>
      <c r="U286" s="1">
        <f t="shared" si="4"/>
        <v>0</v>
      </c>
      <c r="V286" s="3">
        <f t="shared" si="5"/>
        <v>1</v>
      </c>
      <c r="W286" s="3">
        <f t="shared" si="6"/>
        <v>2</v>
      </c>
      <c r="X286" s="3" t="str">
        <f>IFERROR(__xludf.DUMMYFUNCTION("split(B286,"" "")"),"Q.")</f>
        <v>Q.</v>
      </c>
      <c r="Y286" s="3" t="str">
        <f>IFERROR(__xludf.DUMMYFUNCTION("""COMPUTED_VALUE"""),"Johnston")</f>
        <v>Johnston</v>
      </c>
      <c r="AA286" s="3">
        <v>22.0</v>
      </c>
      <c r="AB286" s="3">
        <f t="shared" si="7"/>
        <v>0</v>
      </c>
      <c r="AC286" s="3">
        <f t="shared" si="8"/>
        <v>1</v>
      </c>
      <c r="AD286" s="3">
        <f t="shared" si="9"/>
        <v>0.8620689655</v>
      </c>
      <c r="AE286" s="3">
        <f t="shared" si="10"/>
        <v>0.8620689655</v>
      </c>
      <c r="AF286" s="3">
        <f t="shared" si="11"/>
        <v>1.724137931</v>
      </c>
      <c r="AG286" s="3">
        <f t="shared" si="12"/>
        <v>0.2786885246</v>
      </c>
    </row>
    <row r="287">
      <c r="A287" s="1" t="s">
        <v>9</v>
      </c>
      <c r="B287" s="1" t="s">
        <v>381</v>
      </c>
      <c r="C287" s="1" t="s">
        <v>18</v>
      </c>
      <c r="D287" s="1" t="s">
        <v>135</v>
      </c>
      <c r="E287" s="1" t="s">
        <v>83</v>
      </c>
      <c r="F287" s="1" t="s">
        <v>615</v>
      </c>
      <c r="G287" s="1">
        <v>33.5</v>
      </c>
      <c r="H287" s="1" t="s">
        <v>60</v>
      </c>
      <c r="I287" s="1">
        <v>-115.0</v>
      </c>
      <c r="J287" s="1">
        <v>0.00961231439751653</v>
      </c>
      <c r="K287" s="1" t="s">
        <v>61</v>
      </c>
      <c r="L287" s="1" t="s">
        <v>61</v>
      </c>
      <c r="M287" s="1" t="s">
        <v>62</v>
      </c>
      <c r="N287" s="1">
        <v>-115.0</v>
      </c>
      <c r="O287" s="1">
        <v>-0.0793941615571441</v>
      </c>
      <c r="P287" s="1" t="s">
        <v>61</v>
      </c>
      <c r="Q287" s="1" t="s">
        <v>61</v>
      </c>
      <c r="R287" s="1">
        <f t="shared" si="1"/>
        <v>0.009612314398</v>
      </c>
      <c r="S287" s="1">
        <f t="shared" si="2"/>
        <v>-115</v>
      </c>
      <c r="T287" s="1">
        <f t="shared" si="3"/>
        <v>1.869565217</v>
      </c>
      <c r="U287" s="1">
        <f t="shared" si="4"/>
        <v>1</v>
      </c>
      <c r="V287" s="3">
        <f t="shared" si="5"/>
        <v>1</v>
      </c>
      <c r="W287" s="3">
        <f t="shared" si="6"/>
        <v>2</v>
      </c>
      <c r="X287" s="3" t="str">
        <f>IFERROR(__xludf.DUMMYFUNCTION("split(B287,"" "")"),"J.")</f>
        <v>J.</v>
      </c>
      <c r="Y287" s="3" t="str">
        <f>IFERROR(__xludf.DUMMYFUNCTION("""COMPUTED_VALUE"""),"Palmer")</f>
        <v>Palmer</v>
      </c>
      <c r="AA287" s="3">
        <v>38.0</v>
      </c>
      <c r="AB287" s="3">
        <f t="shared" si="7"/>
        <v>1</v>
      </c>
      <c r="AC287" s="3">
        <f t="shared" si="8"/>
        <v>1</v>
      </c>
      <c r="AD287" s="3">
        <f t="shared" si="9"/>
        <v>0.8695652174</v>
      </c>
      <c r="AE287" s="3">
        <f t="shared" si="10"/>
        <v>0.8695652174</v>
      </c>
      <c r="AF287" s="3">
        <f t="shared" si="11"/>
        <v>1.739130435</v>
      </c>
      <c r="AG287" s="3">
        <f t="shared" si="12"/>
        <v>0.1343283582</v>
      </c>
    </row>
    <row r="288">
      <c r="A288" s="1" t="s">
        <v>9</v>
      </c>
      <c r="B288" s="1" t="s">
        <v>506</v>
      </c>
      <c r="C288" s="1" t="s">
        <v>18</v>
      </c>
      <c r="D288" s="1" t="s">
        <v>135</v>
      </c>
      <c r="E288" s="1" t="s">
        <v>83</v>
      </c>
      <c r="F288" s="1" t="s">
        <v>615</v>
      </c>
      <c r="G288" s="1">
        <v>34.5</v>
      </c>
      <c r="H288" s="1" t="s">
        <v>60</v>
      </c>
      <c r="I288" s="1">
        <v>-117.0</v>
      </c>
      <c r="J288" s="1">
        <v>6.47388794369541E-4</v>
      </c>
      <c r="K288" s="1" t="s">
        <v>61</v>
      </c>
      <c r="L288" s="1" t="s">
        <v>61</v>
      </c>
      <c r="M288" s="1" t="s">
        <v>62</v>
      </c>
      <c r="N288" s="1">
        <v>-115.0</v>
      </c>
      <c r="O288" s="1">
        <v>-0.0746723529006276</v>
      </c>
      <c r="P288" s="1" t="s">
        <v>61</v>
      </c>
      <c r="Q288" s="1" t="s">
        <v>61</v>
      </c>
      <c r="R288" s="1">
        <f t="shared" si="1"/>
        <v>0.0006473887944</v>
      </c>
      <c r="S288" s="1">
        <f t="shared" si="2"/>
        <v>-117</v>
      </c>
      <c r="T288" s="1">
        <f t="shared" si="3"/>
        <v>1.854700855</v>
      </c>
      <c r="U288" s="1">
        <f t="shared" si="4"/>
        <v>1</v>
      </c>
      <c r="V288" s="3">
        <f t="shared" si="5"/>
        <v>1</v>
      </c>
      <c r="W288" s="3">
        <f t="shared" si="6"/>
        <v>2</v>
      </c>
      <c r="X288" s="3" t="str">
        <f>IFERROR(__xludf.DUMMYFUNCTION("split(B288,"" "")"),"Q.")</f>
        <v>Q.</v>
      </c>
      <c r="Y288" s="3" t="str">
        <f>IFERROR(__xludf.DUMMYFUNCTION("""COMPUTED_VALUE"""),"Johnston")</f>
        <v>Johnston</v>
      </c>
      <c r="AA288" s="3">
        <v>22.0</v>
      </c>
      <c r="AB288" s="3">
        <f t="shared" si="7"/>
        <v>0</v>
      </c>
      <c r="AC288" s="3">
        <f t="shared" si="8"/>
        <v>0</v>
      </c>
      <c r="AD288" s="3">
        <f t="shared" si="9"/>
        <v>0.8547008547</v>
      </c>
      <c r="AE288" s="3">
        <f t="shared" si="10"/>
        <v>-1</v>
      </c>
      <c r="AF288" s="3">
        <f t="shared" si="11"/>
        <v>-2</v>
      </c>
      <c r="AG288" s="3">
        <f t="shared" si="12"/>
        <v>-0.3623188406</v>
      </c>
    </row>
    <row r="289">
      <c r="A289" s="1" t="s">
        <v>14</v>
      </c>
      <c r="B289" s="1" t="s">
        <v>620</v>
      </c>
      <c r="C289" s="1" t="s">
        <v>21</v>
      </c>
      <c r="D289" s="1" t="s">
        <v>134</v>
      </c>
      <c r="E289" s="1" t="s">
        <v>110</v>
      </c>
      <c r="F289" s="1" t="s">
        <v>615</v>
      </c>
      <c r="G289" s="1">
        <v>0.5</v>
      </c>
      <c r="H289" s="1" t="s">
        <v>60</v>
      </c>
      <c r="I289" s="1">
        <v>-168.0</v>
      </c>
      <c r="J289" s="1">
        <v>-0.137501142686567</v>
      </c>
      <c r="K289" s="1" t="s">
        <v>61</v>
      </c>
      <c r="L289" s="1" t="s">
        <v>61</v>
      </c>
      <c r="M289" s="1" t="s">
        <v>62</v>
      </c>
      <c r="N289" s="1">
        <v>131.0</v>
      </c>
      <c r="O289" s="1">
        <v>0.0777407196536796</v>
      </c>
      <c r="P289" s="1" t="s">
        <v>61</v>
      </c>
      <c r="Q289" s="1" t="s">
        <v>61</v>
      </c>
      <c r="R289" s="1">
        <f t="shared" si="1"/>
        <v>0.07774071965</v>
      </c>
      <c r="S289" s="1">
        <f t="shared" si="2"/>
        <v>131</v>
      </c>
      <c r="T289" s="1">
        <f t="shared" si="3"/>
        <v>2.31</v>
      </c>
      <c r="U289" s="1">
        <f t="shared" si="4"/>
        <v>0</v>
      </c>
      <c r="V289" s="3">
        <f t="shared" si="5"/>
        <v>2</v>
      </c>
      <c r="W289" s="3">
        <f t="shared" si="6"/>
        <v>1</v>
      </c>
      <c r="X289" s="3" t="str">
        <f>IFERROR(__xludf.DUMMYFUNCTION("split(B289,"" "")"),"A.")</f>
        <v>A.</v>
      </c>
      <c r="Y289" s="3" t="str">
        <f>IFERROR(__xludf.DUMMYFUNCTION("""COMPUTED_VALUE"""),"O'Connell")</f>
        <v>O'Connell</v>
      </c>
      <c r="AA289" s="3">
        <v>1.0</v>
      </c>
      <c r="AB289" s="3">
        <f t="shared" si="7"/>
        <v>1</v>
      </c>
      <c r="AC289" s="3">
        <f t="shared" si="8"/>
        <v>0</v>
      </c>
      <c r="AD289" s="3">
        <f t="shared" si="9"/>
        <v>2.62</v>
      </c>
      <c r="AE289" s="3">
        <f t="shared" si="10"/>
        <v>-2</v>
      </c>
      <c r="AF289" s="3">
        <f t="shared" si="11"/>
        <v>-1</v>
      </c>
      <c r="AG289" s="3">
        <f t="shared" si="12"/>
        <v>-1</v>
      </c>
    </row>
    <row r="290">
      <c r="A290" s="1" t="s">
        <v>11</v>
      </c>
      <c r="B290" s="1" t="s">
        <v>494</v>
      </c>
      <c r="C290" s="1" t="s">
        <v>20</v>
      </c>
      <c r="D290" s="1" t="s">
        <v>134</v>
      </c>
      <c r="E290" s="1" t="s">
        <v>110</v>
      </c>
      <c r="F290" s="1" t="s">
        <v>615</v>
      </c>
      <c r="G290" s="1">
        <v>57.5</v>
      </c>
      <c r="H290" s="1" t="s">
        <v>60</v>
      </c>
      <c r="I290" s="1">
        <v>-110.0</v>
      </c>
      <c r="J290" s="1">
        <v>-0.135409600323999</v>
      </c>
      <c r="K290" s="1" t="s">
        <v>61</v>
      </c>
      <c r="L290" s="1" t="s">
        <v>61</v>
      </c>
      <c r="M290" s="1" t="s">
        <v>62</v>
      </c>
      <c r="N290" s="1">
        <v>-116.0</v>
      </c>
      <c r="O290" s="1">
        <v>0.0745627556638887</v>
      </c>
      <c r="P290" s="1" t="s">
        <v>61</v>
      </c>
      <c r="Q290" s="1" t="s">
        <v>61</v>
      </c>
      <c r="R290" s="1">
        <f t="shared" si="1"/>
        <v>0.07456275566</v>
      </c>
      <c r="S290" s="1">
        <f t="shared" si="2"/>
        <v>-116</v>
      </c>
      <c r="T290" s="1">
        <f t="shared" si="3"/>
        <v>1.862068966</v>
      </c>
      <c r="U290" s="1">
        <f t="shared" si="4"/>
        <v>0</v>
      </c>
      <c r="V290" s="3">
        <f t="shared" si="5"/>
        <v>2</v>
      </c>
      <c r="W290" s="3">
        <f t="shared" si="6"/>
        <v>2</v>
      </c>
      <c r="X290" s="3" t="str">
        <f>IFERROR(__xludf.DUMMYFUNCTION("split(B290,"" "")"),"B.")</f>
        <v>B.</v>
      </c>
      <c r="Y290" s="3" t="str">
        <f>IFERROR(__xludf.DUMMYFUNCTION("""COMPUTED_VALUE"""),"Bowers")</f>
        <v>Bowers</v>
      </c>
      <c r="AA290" s="3">
        <v>71.0</v>
      </c>
      <c r="AB290" s="3">
        <f t="shared" si="7"/>
        <v>1</v>
      </c>
      <c r="AC290" s="3">
        <f t="shared" si="8"/>
        <v>0</v>
      </c>
      <c r="AD290" s="3">
        <f t="shared" si="9"/>
        <v>1.724137931</v>
      </c>
      <c r="AE290" s="3">
        <f t="shared" si="10"/>
        <v>-2</v>
      </c>
      <c r="AF290" s="3">
        <f t="shared" si="11"/>
        <v>-2</v>
      </c>
      <c r="AG290" s="3">
        <f t="shared" si="12"/>
        <v>-0.2347826087</v>
      </c>
    </row>
    <row r="291">
      <c r="A291" s="1" t="s">
        <v>10</v>
      </c>
      <c r="B291" s="1" t="s">
        <v>620</v>
      </c>
      <c r="C291" s="1" t="s">
        <v>21</v>
      </c>
      <c r="D291" s="1" t="s">
        <v>134</v>
      </c>
      <c r="E291" s="1" t="s">
        <v>110</v>
      </c>
      <c r="F291" s="1" t="s">
        <v>615</v>
      </c>
      <c r="G291" s="1">
        <v>2.5</v>
      </c>
      <c r="H291" s="1" t="s">
        <v>60</v>
      </c>
      <c r="I291" s="1">
        <v>-108.0</v>
      </c>
      <c r="J291" s="1">
        <v>0.0550592803286503</v>
      </c>
      <c r="K291" s="1" t="s">
        <v>61</v>
      </c>
      <c r="L291" s="1" t="s">
        <v>61</v>
      </c>
      <c r="M291" s="1" t="s">
        <v>62</v>
      </c>
      <c r="N291" s="1">
        <v>-123.0</v>
      </c>
      <c r="O291" s="1">
        <v>-0.125872817396108</v>
      </c>
      <c r="P291" s="1" t="s">
        <v>61</v>
      </c>
      <c r="Q291" s="1" t="s">
        <v>61</v>
      </c>
      <c r="R291" s="1">
        <f t="shared" si="1"/>
        <v>0.05505928033</v>
      </c>
      <c r="S291" s="1">
        <f t="shared" si="2"/>
        <v>-108</v>
      </c>
      <c r="T291" s="1">
        <f t="shared" si="3"/>
        <v>1.925925926</v>
      </c>
      <c r="U291" s="1">
        <f t="shared" si="4"/>
        <v>1</v>
      </c>
      <c r="V291" s="3">
        <f t="shared" si="5"/>
        <v>2</v>
      </c>
      <c r="W291" s="3">
        <f t="shared" si="6"/>
        <v>2</v>
      </c>
      <c r="X291" s="3" t="str">
        <f>IFERROR(__xludf.DUMMYFUNCTION("split(B291,"" "")"),"A.")</f>
        <v>A.</v>
      </c>
      <c r="Y291" s="3" t="str">
        <f>IFERROR(__xludf.DUMMYFUNCTION("""COMPUTED_VALUE"""),"O'Connell")</f>
        <v>O'Connell</v>
      </c>
      <c r="AA291" s="3">
        <v>0.0</v>
      </c>
      <c r="AB291" s="3">
        <f t="shared" si="7"/>
        <v>0</v>
      </c>
      <c r="AC291" s="3">
        <f t="shared" si="8"/>
        <v>0</v>
      </c>
      <c r="AD291" s="3">
        <f t="shared" si="9"/>
        <v>1.851851852</v>
      </c>
      <c r="AE291" s="3">
        <f t="shared" si="10"/>
        <v>-2</v>
      </c>
      <c r="AF291" s="3">
        <f t="shared" si="11"/>
        <v>-2</v>
      </c>
      <c r="AG291" s="3">
        <f t="shared" si="12"/>
        <v>-1</v>
      </c>
    </row>
    <row r="292">
      <c r="A292" s="1" t="s">
        <v>17</v>
      </c>
      <c r="B292" s="1" t="s">
        <v>620</v>
      </c>
      <c r="C292" s="1" t="s">
        <v>21</v>
      </c>
      <c r="D292" s="1" t="s">
        <v>134</v>
      </c>
      <c r="E292" s="1" t="s">
        <v>110</v>
      </c>
      <c r="F292" s="1" t="s">
        <v>615</v>
      </c>
      <c r="G292" s="1">
        <v>0.5</v>
      </c>
      <c r="H292" s="1" t="s">
        <v>60</v>
      </c>
      <c r="I292" s="1">
        <v>-126.0</v>
      </c>
      <c r="J292" s="1">
        <v>-0.107522123893805</v>
      </c>
      <c r="K292" s="1" t="s">
        <v>61</v>
      </c>
      <c r="L292" s="1" t="s">
        <v>61</v>
      </c>
      <c r="M292" s="1" t="s">
        <v>62</v>
      </c>
      <c r="N292" s="1">
        <v>-105.0</v>
      </c>
      <c r="O292" s="1">
        <v>0.0378048780487805</v>
      </c>
      <c r="P292" s="1" t="s">
        <v>61</v>
      </c>
      <c r="Q292" s="1" t="s">
        <v>61</v>
      </c>
      <c r="R292" s="1">
        <f t="shared" si="1"/>
        <v>0.03780487805</v>
      </c>
      <c r="S292" s="1">
        <f t="shared" si="2"/>
        <v>-105</v>
      </c>
      <c r="T292" s="1">
        <f t="shared" si="3"/>
        <v>1.952380952</v>
      </c>
      <c r="U292" s="1">
        <f t="shared" si="4"/>
        <v>0</v>
      </c>
      <c r="V292" s="3">
        <f t="shared" si="5"/>
        <v>1</v>
      </c>
      <c r="W292" s="3">
        <f t="shared" si="6"/>
        <v>2</v>
      </c>
      <c r="X292" s="3" t="str">
        <f>IFERROR(__xludf.DUMMYFUNCTION("split(B292,"" "")"),"A.")</f>
        <v>A.</v>
      </c>
      <c r="Y292" s="3" t="str">
        <f>IFERROR(__xludf.DUMMYFUNCTION("""COMPUTED_VALUE"""),"O'Connell")</f>
        <v>O'Connell</v>
      </c>
      <c r="AA292" s="3">
        <v>1.0</v>
      </c>
      <c r="AB292" s="3">
        <f t="shared" si="7"/>
        <v>1</v>
      </c>
      <c r="AC292" s="3">
        <f t="shared" si="8"/>
        <v>0</v>
      </c>
      <c r="AD292" s="3">
        <f t="shared" si="9"/>
        <v>0.9523809524</v>
      </c>
      <c r="AE292" s="3">
        <f t="shared" si="10"/>
        <v>-1</v>
      </c>
      <c r="AF292" s="3">
        <f t="shared" si="11"/>
        <v>-2</v>
      </c>
      <c r="AG292" s="3">
        <f t="shared" si="12"/>
        <v>-1</v>
      </c>
    </row>
    <row r="293">
      <c r="A293" s="1" t="s">
        <v>12</v>
      </c>
      <c r="B293" s="1" t="s">
        <v>494</v>
      </c>
      <c r="C293" s="1" t="s">
        <v>20</v>
      </c>
      <c r="D293" s="1" t="s">
        <v>134</v>
      </c>
      <c r="E293" s="1" t="s">
        <v>110</v>
      </c>
      <c r="F293" s="1" t="s">
        <v>615</v>
      </c>
      <c r="G293" s="1">
        <v>5.5</v>
      </c>
      <c r="H293" s="1" t="s">
        <v>60</v>
      </c>
      <c r="I293" s="1">
        <v>-117.0</v>
      </c>
      <c r="J293" s="1">
        <v>-0.0966165898617512</v>
      </c>
      <c r="K293" s="1" t="s">
        <v>61</v>
      </c>
      <c r="L293" s="1" t="s">
        <v>61</v>
      </c>
      <c r="M293" s="1" t="s">
        <v>62</v>
      </c>
      <c r="N293" s="1">
        <v>-113.0</v>
      </c>
      <c r="O293" s="1">
        <v>0.0269366197183099</v>
      </c>
      <c r="P293" s="1" t="s">
        <v>61</v>
      </c>
      <c r="Q293" s="1" t="s">
        <v>61</v>
      </c>
      <c r="R293" s="1">
        <f t="shared" si="1"/>
        <v>0.02693661972</v>
      </c>
      <c r="S293" s="1">
        <f t="shared" si="2"/>
        <v>-113</v>
      </c>
      <c r="T293" s="1">
        <f t="shared" si="3"/>
        <v>1.884955752</v>
      </c>
      <c r="U293" s="1">
        <f t="shared" si="4"/>
        <v>0</v>
      </c>
      <c r="V293" s="3">
        <f t="shared" si="5"/>
        <v>1</v>
      </c>
      <c r="W293" s="3">
        <f t="shared" si="6"/>
        <v>2</v>
      </c>
      <c r="X293" s="3" t="str">
        <f>IFERROR(__xludf.DUMMYFUNCTION("split(B293,"" "")"),"B.")</f>
        <v>B.</v>
      </c>
      <c r="Y293" s="3" t="str">
        <f>IFERROR(__xludf.DUMMYFUNCTION("""COMPUTED_VALUE"""),"Bowers")</f>
        <v>Bowers</v>
      </c>
      <c r="AA293" s="3">
        <v>9.0</v>
      </c>
      <c r="AB293" s="3">
        <f t="shared" si="7"/>
        <v>1</v>
      </c>
      <c r="AC293" s="3">
        <f t="shared" si="8"/>
        <v>0</v>
      </c>
      <c r="AD293" s="3">
        <f t="shared" si="9"/>
        <v>0.8849557522</v>
      </c>
      <c r="AE293" s="3">
        <f t="shared" si="10"/>
        <v>-1</v>
      </c>
      <c r="AF293" s="3">
        <f t="shared" si="11"/>
        <v>-2</v>
      </c>
      <c r="AG293" s="3">
        <f t="shared" si="12"/>
        <v>-0.6363636364</v>
      </c>
    </row>
    <row r="294">
      <c r="A294" s="1" t="s">
        <v>13</v>
      </c>
      <c r="B294" s="1" t="s">
        <v>620</v>
      </c>
      <c r="C294" s="1" t="s">
        <v>21</v>
      </c>
      <c r="D294" s="1" t="s">
        <v>134</v>
      </c>
      <c r="E294" s="1" t="s">
        <v>110</v>
      </c>
      <c r="F294" s="1" t="s">
        <v>615</v>
      </c>
      <c r="G294" s="1">
        <v>188.5</v>
      </c>
      <c r="H294" s="1" t="s">
        <v>60</v>
      </c>
      <c r="I294" s="1">
        <v>-108.0</v>
      </c>
      <c r="J294" s="1">
        <v>0.0238270916346154</v>
      </c>
      <c r="K294" s="1" t="s">
        <v>61</v>
      </c>
      <c r="L294" s="1" t="s">
        <v>61</v>
      </c>
      <c r="M294" s="1" t="s">
        <v>62</v>
      </c>
      <c r="N294" s="1">
        <v>-118.0</v>
      </c>
      <c r="O294" s="1">
        <v>-0.0842740246366973</v>
      </c>
      <c r="P294" s="1" t="s">
        <v>61</v>
      </c>
      <c r="Q294" s="1" t="s">
        <v>61</v>
      </c>
      <c r="R294" s="1">
        <f t="shared" si="1"/>
        <v>0.02382709163</v>
      </c>
      <c r="S294" s="1">
        <f t="shared" si="2"/>
        <v>-108</v>
      </c>
      <c r="T294" s="1">
        <f t="shared" si="3"/>
        <v>1.925925926</v>
      </c>
      <c r="U294" s="1">
        <f t="shared" si="4"/>
        <v>1</v>
      </c>
      <c r="V294" s="3">
        <f t="shared" si="5"/>
        <v>1</v>
      </c>
      <c r="W294" s="3">
        <f t="shared" si="6"/>
        <v>2</v>
      </c>
      <c r="X294" s="3" t="str">
        <f>IFERROR(__xludf.DUMMYFUNCTION("split(B294,"" "")"),"A.")</f>
        <v>A.</v>
      </c>
      <c r="Y294" s="3" t="str">
        <f>IFERROR(__xludf.DUMMYFUNCTION("""COMPUTED_VALUE"""),"O'Connell")</f>
        <v>O'Connell</v>
      </c>
      <c r="AA294" s="3">
        <v>227.0</v>
      </c>
      <c r="AB294" s="3">
        <f t="shared" si="7"/>
        <v>1</v>
      </c>
      <c r="AC294" s="3">
        <f t="shared" si="8"/>
        <v>1</v>
      </c>
      <c r="AD294" s="3">
        <f t="shared" si="9"/>
        <v>0.9259259259</v>
      </c>
      <c r="AE294" s="3">
        <f t="shared" si="10"/>
        <v>0.9259259259</v>
      </c>
      <c r="AF294" s="3">
        <f t="shared" si="11"/>
        <v>1.851851852</v>
      </c>
      <c r="AG294" s="3">
        <f t="shared" si="12"/>
        <v>0.2042440318</v>
      </c>
    </row>
    <row r="295">
      <c r="A295" s="1" t="s">
        <v>8</v>
      </c>
      <c r="B295" s="1" t="s">
        <v>620</v>
      </c>
      <c r="C295" s="1" t="s">
        <v>21</v>
      </c>
      <c r="D295" s="1" t="s">
        <v>134</v>
      </c>
      <c r="E295" s="1" t="s">
        <v>110</v>
      </c>
      <c r="F295" s="1" t="s">
        <v>615</v>
      </c>
      <c r="G295" s="1">
        <v>2.5</v>
      </c>
      <c r="H295" s="1" t="s">
        <v>60</v>
      </c>
      <c r="I295" s="1">
        <v>135.0</v>
      </c>
      <c r="J295" s="1">
        <v>-0.0958344956023622</v>
      </c>
      <c r="K295" s="1" t="s">
        <v>61</v>
      </c>
      <c r="L295" s="1" t="s">
        <v>61</v>
      </c>
      <c r="M295" s="1" t="s">
        <v>62</v>
      </c>
      <c r="N295" s="1">
        <v>-185.0</v>
      </c>
      <c r="O295" s="1">
        <v>0.021193104517549</v>
      </c>
      <c r="P295" s="1" t="s">
        <v>61</v>
      </c>
      <c r="Q295" s="1" t="s">
        <v>61</v>
      </c>
      <c r="R295" s="1">
        <f t="shared" si="1"/>
        <v>0.02119310452</v>
      </c>
      <c r="S295" s="1">
        <f t="shared" si="2"/>
        <v>-185</v>
      </c>
      <c r="T295" s="1">
        <f t="shared" si="3"/>
        <v>1.540540541</v>
      </c>
      <c r="U295" s="1">
        <f t="shared" si="4"/>
        <v>0</v>
      </c>
      <c r="V295" s="3">
        <f t="shared" si="5"/>
        <v>1</v>
      </c>
      <c r="W295" s="3">
        <f t="shared" si="6"/>
        <v>3</v>
      </c>
      <c r="X295" s="3" t="str">
        <f>IFERROR(__xludf.DUMMYFUNCTION("split(B295,"" "")"),"A.")</f>
        <v>A.</v>
      </c>
      <c r="Y295" s="3" t="str">
        <f>IFERROR(__xludf.DUMMYFUNCTION("""COMPUTED_VALUE"""),"O'Connell")</f>
        <v>O'Connell</v>
      </c>
      <c r="AA295" s="3">
        <v>0.0</v>
      </c>
      <c r="AB295" s="3">
        <f t="shared" si="7"/>
        <v>0</v>
      </c>
      <c r="AC295" s="3">
        <f t="shared" si="8"/>
        <v>1</v>
      </c>
      <c r="AD295" s="3">
        <f t="shared" si="9"/>
        <v>0.5405405405</v>
      </c>
      <c r="AE295" s="3">
        <f t="shared" si="10"/>
        <v>0.5405405405</v>
      </c>
      <c r="AF295" s="3">
        <f t="shared" si="11"/>
        <v>1.621621622</v>
      </c>
      <c r="AG295" s="3">
        <f t="shared" si="12"/>
        <v>1</v>
      </c>
    </row>
    <row r="296">
      <c r="A296" s="1" t="s">
        <v>16</v>
      </c>
      <c r="B296" s="1" t="s">
        <v>620</v>
      </c>
      <c r="C296" s="1" t="s">
        <v>21</v>
      </c>
      <c r="D296" s="1" t="s">
        <v>134</v>
      </c>
      <c r="E296" s="1" t="s">
        <v>110</v>
      </c>
      <c r="F296" s="1" t="s">
        <v>615</v>
      </c>
      <c r="G296" s="1">
        <v>28.5</v>
      </c>
      <c r="H296" s="1" t="s">
        <v>60</v>
      </c>
      <c r="I296" s="1">
        <v>-118.0</v>
      </c>
      <c r="J296" s="1">
        <v>-0.0870749060550459</v>
      </c>
      <c r="K296" s="1" t="s">
        <v>61</v>
      </c>
      <c r="L296" s="1" t="s">
        <v>61</v>
      </c>
      <c r="M296" s="1" t="s">
        <v>62</v>
      </c>
      <c r="N296" s="1">
        <v>-111.0</v>
      </c>
      <c r="O296" s="1">
        <v>0.0197374396549764</v>
      </c>
      <c r="P296" s="1" t="s">
        <v>61</v>
      </c>
      <c r="Q296" s="1" t="s">
        <v>61</v>
      </c>
      <c r="R296" s="1">
        <f t="shared" si="1"/>
        <v>0.01973743965</v>
      </c>
      <c r="S296" s="1">
        <f t="shared" si="2"/>
        <v>-111</v>
      </c>
      <c r="T296" s="1">
        <f t="shared" si="3"/>
        <v>1.900900901</v>
      </c>
      <c r="U296" s="1">
        <f t="shared" si="4"/>
        <v>0</v>
      </c>
      <c r="V296" s="3">
        <f t="shared" si="5"/>
        <v>1</v>
      </c>
      <c r="W296" s="3">
        <f t="shared" si="6"/>
        <v>2</v>
      </c>
      <c r="X296" s="3" t="str">
        <f>IFERROR(__xludf.DUMMYFUNCTION("split(B296,"" "")"),"A.")</f>
        <v>A.</v>
      </c>
      <c r="Y296" s="3" t="str">
        <f>IFERROR(__xludf.DUMMYFUNCTION("""COMPUTED_VALUE"""),"O'Connell")</f>
        <v>O'Connell</v>
      </c>
      <c r="AA296" s="3">
        <v>40.0</v>
      </c>
      <c r="AB296" s="3">
        <f t="shared" si="7"/>
        <v>1</v>
      </c>
      <c r="AC296" s="3">
        <f t="shared" si="8"/>
        <v>0</v>
      </c>
      <c r="AD296" s="3">
        <f t="shared" si="9"/>
        <v>0.9009009009</v>
      </c>
      <c r="AE296" s="3">
        <f t="shared" si="10"/>
        <v>-1</v>
      </c>
      <c r="AF296" s="3">
        <f t="shared" si="11"/>
        <v>-2</v>
      </c>
      <c r="AG296" s="3">
        <f t="shared" si="12"/>
        <v>-0.4035087719</v>
      </c>
    </row>
    <row r="297">
      <c r="A297" s="1" t="s">
        <v>15</v>
      </c>
      <c r="B297" s="1" t="s">
        <v>620</v>
      </c>
      <c r="C297" s="1" t="s">
        <v>21</v>
      </c>
      <c r="D297" s="1" t="s">
        <v>134</v>
      </c>
      <c r="E297" s="1" t="s">
        <v>110</v>
      </c>
      <c r="F297" s="1" t="s">
        <v>615</v>
      </c>
      <c r="G297" s="1">
        <v>18.5</v>
      </c>
      <c r="H297" s="1" t="s">
        <v>60</v>
      </c>
      <c r="I297" s="1">
        <v>-110.0</v>
      </c>
      <c r="J297" s="1">
        <v>-0.0779658393809523</v>
      </c>
      <c r="K297" s="1" t="s">
        <v>61</v>
      </c>
      <c r="L297" s="1" t="s">
        <v>61</v>
      </c>
      <c r="M297" s="1" t="s">
        <v>62</v>
      </c>
      <c r="N297" s="1">
        <v>-120.0</v>
      </c>
      <c r="O297" s="1">
        <v>0.00868087056363642</v>
      </c>
      <c r="P297" s="1" t="s">
        <v>61</v>
      </c>
      <c r="Q297" s="1" t="s">
        <v>61</v>
      </c>
      <c r="R297" s="1">
        <f t="shared" si="1"/>
        <v>0.008680870564</v>
      </c>
      <c r="S297" s="1">
        <f t="shared" si="2"/>
        <v>-120</v>
      </c>
      <c r="T297" s="1">
        <f t="shared" si="3"/>
        <v>1.833333333</v>
      </c>
      <c r="U297" s="1">
        <f t="shared" si="4"/>
        <v>0</v>
      </c>
      <c r="V297" s="3">
        <f t="shared" si="5"/>
        <v>1</v>
      </c>
      <c r="W297" s="3">
        <f t="shared" si="6"/>
        <v>3</v>
      </c>
      <c r="X297" s="3" t="str">
        <f>IFERROR(__xludf.DUMMYFUNCTION("split(B297,"" "")"),"A.")</f>
        <v>A.</v>
      </c>
      <c r="Y297" s="3" t="str">
        <f>IFERROR(__xludf.DUMMYFUNCTION("""COMPUTED_VALUE"""),"O'Connell")</f>
        <v>O'Connell</v>
      </c>
      <c r="AA297" s="3">
        <v>27.0</v>
      </c>
      <c r="AB297" s="3">
        <f t="shared" si="7"/>
        <v>1</v>
      </c>
      <c r="AC297" s="3">
        <f t="shared" si="8"/>
        <v>0</v>
      </c>
      <c r="AD297" s="3">
        <f t="shared" si="9"/>
        <v>0.8333333333</v>
      </c>
      <c r="AE297" s="3">
        <f t="shared" si="10"/>
        <v>-1</v>
      </c>
      <c r="AF297" s="3">
        <f t="shared" si="11"/>
        <v>-3</v>
      </c>
      <c r="AG297" s="3">
        <f t="shared" si="12"/>
        <v>-0.4594594595</v>
      </c>
    </row>
    <row r="298">
      <c r="A298" s="1" t="s">
        <v>12</v>
      </c>
      <c r="B298" s="1" t="s">
        <v>140</v>
      </c>
      <c r="C298" s="1" t="s">
        <v>20</v>
      </c>
      <c r="D298" s="1" t="s">
        <v>66</v>
      </c>
      <c r="E298" s="1" t="s">
        <v>72</v>
      </c>
      <c r="F298" s="1" t="s">
        <v>608</v>
      </c>
      <c r="G298" s="1">
        <v>2.5</v>
      </c>
      <c r="H298" s="1" t="s">
        <v>60</v>
      </c>
      <c r="I298" s="1">
        <v>-141.0</v>
      </c>
      <c r="J298" s="1">
        <v>-0.238902164356846</v>
      </c>
      <c r="K298" s="1" t="s">
        <v>61</v>
      </c>
      <c r="L298" s="1" t="s">
        <v>61</v>
      </c>
      <c r="M298" s="1" t="s">
        <v>62</v>
      </c>
      <c r="N298" s="1">
        <v>107.0</v>
      </c>
      <c r="O298" s="1">
        <v>0.170754693768115</v>
      </c>
      <c r="P298" s="1" t="s">
        <v>61</v>
      </c>
      <c r="Q298" s="1" t="s">
        <v>61</v>
      </c>
      <c r="R298" s="1">
        <f t="shared" si="1"/>
        <v>0.1707546938</v>
      </c>
      <c r="S298" s="1">
        <f t="shared" si="2"/>
        <v>107</v>
      </c>
      <c r="T298" s="1">
        <f t="shared" si="3"/>
        <v>2.07</v>
      </c>
      <c r="U298" s="1">
        <f t="shared" si="4"/>
        <v>0</v>
      </c>
      <c r="V298" s="3">
        <f t="shared" si="5"/>
        <v>3</v>
      </c>
      <c r="W298" s="3">
        <f t="shared" si="6"/>
        <v>2</v>
      </c>
      <c r="X298" s="3" t="str">
        <f>IFERROR(__xludf.DUMMYFUNCTION("split(B298,"" "")"),"H.")</f>
        <v>H.</v>
      </c>
      <c r="Y298" s="3" t="str">
        <f>IFERROR(__xludf.DUMMYFUNCTION("""COMPUTED_VALUE"""),"Henry")</f>
        <v>Henry</v>
      </c>
      <c r="AA298" s="3">
        <v>3.0</v>
      </c>
      <c r="AB298" s="3">
        <f t="shared" si="7"/>
        <v>1</v>
      </c>
      <c r="AC298" s="3">
        <f t="shared" si="8"/>
        <v>0</v>
      </c>
      <c r="AD298" s="3">
        <f t="shared" si="9"/>
        <v>3.21</v>
      </c>
      <c r="AE298" s="3">
        <f t="shared" si="10"/>
        <v>-3</v>
      </c>
      <c r="AF298" s="3">
        <f t="shared" si="11"/>
        <v>-2</v>
      </c>
      <c r="AG298" s="3">
        <f t="shared" si="12"/>
        <v>-0.2</v>
      </c>
    </row>
    <row r="299">
      <c r="A299" s="1" t="s">
        <v>12</v>
      </c>
      <c r="B299" s="1" t="s">
        <v>597</v>
      </c>
      <c r="C299" s="1" t="s">
        <v>18</v>
      </c>
      <c r="D299" s="1" t="s">
        <v>66</v>
      </c>
      <c r="E299" s="1" t="s">
        <v>72</v>
      </c>
      <c r="F299" s="1" t="s">
        <v>608</v>
      </c>
      <c r="G299" s="1">
        <v>1.5</v>
      </c>
      <c r="H299" s="1" t="s">
        <v>60</v>
      </c>
      <c r="I299" s="1">
        <v>-139.0</v>
      </c>
      <c r="J299" s="1">
        <v>-0.19088892041841</v>
      </c>
      <c r="K299" s="1" t="s">
        <v>61</v>
      </c>
      <c r="L299" s="1" t="s">
        <v>61</v>
      </c>
      <c r="M299" s="1" t="s">
        <v>62</v>
      </c>
      <c r="N299" s="1">
        <v>102.0</v>
      </c>
      <c r="O299" s="1">
        <v>0.114249267227722</v>
      </c>
      <c r="P299" s="1" t="s">
        <v>61</v>
      </c>
      <c r="Q299" s="1" t="s">
        <v>61</v>
      </c>
      <c r="R299" s="1">
        <f t="shared" si="1"/>
        <v>0.1142492672</v>
      </c>
      <c r="S299" s="1">
        <f t="shared" si="2"/>
        <v>102</v>
      </c>
      <c r="T299" s="1">
        <f t="shared" si="3"/>
        <v>2.02</v>
      </c>
      <c r="U299" s="1">
        <f t="shared" si="4"/>
        <v>0</v>
      </c>
      <c r="V299" s="3">
        <f t="shared" si="5"/>
        <v>3</v>
      </c>
      <c r="W299" s="3">
        <f t="shared" si="6"/>
        <v>2</v>
      </c>
      <c r="X299" s="3" t="str">
        <f>IFERROR(__xludf.DUMMYFUNCTION("split(B299,"" "")"),"K.")</f>
        <v>K.</v>
      </c>
      <c r="Y299" s="3" t="str">
        <f>IFERROR(__xludf.DUMMYFUNCTION("""COMPUTED_VALUE"""),"Bourne")</f>
        <v>Bourne</v>
      </c>
      <c r="AA299" s="3">
        <v>2.0</v>
      </c>
      <c r="AB299" s="3">
        <f t="shared" si="7"/>
        <v>1</v>
      </c>
      <c r="AC299" s="3">
        <f t="shared" si="8"/>
        <v>0</v>
      </c>
      <c r="AD299" s="3">
        <f t="shared" si="9"/>
        <v>3.06</v>
      </c>
      <c r="AE299" s="3">
        <f t="shared" si="10"/>
        <v>-3</v>
      </c>
      <c r="AF299" s="3">
        <f t="shared" si="11"/>
        <v>-2</v>
      </c>
      <c r="AG299" s="3">
        <f t="shared" si="12"/>
        <v>-0.3333333333</v>
      </c>
    </row>
    <row r="300">
      <c r="A300" s="1" t="s">
        <v>8</v>
      </c>
      <c r="B300" s="1" t="s">
        <v>621</v>
      </c>
      <c r="C300" s="1" t="s">
        <v>21</v>
      </c>
      <c r="D300" s="1" t="s">
        <v>66</v>
      </c>
      <c r="E300" s="1" t="s">
        <v>72</v>
      </c>
      <c r="F300" s="1" t="s">
        <v>608</v>
      </c>
      <c r="G300" s="1">
        <v>5.5</v>
      </c>
      <c r="H300" s="1" t="s">
        <v>60</v>
      </c>
      <c r="I300" s="1">
        <v>100.0</v>
      </c>
      <c r="J300" s="1">
        <v>-0.185787253404038</v>
      </c>
      <c r="K300" s="1" t="s">
        <v>61</v>
      </c>
      <c r="L300" s="1" t="s">
        <v>61</v>
      </c>
      <c r="M300" s="1" t="s">
        <v>62</v>
      </c>
      <c r="N300" s="1">
        <v>-135.0</v>
      </c>
      <c r="O300" s="1">
        <v>0.111332163485491</v>
      </c>
      <c r="P300" s="1" t="s">
        <v>61</v>
      </c>
      <c r="Q300" s="1" t="s">
        <v>61</v>
      </c>
      <c r="R300" s="1">
        <f t="shared" si="1"/>
        <v>0.1113321635</v>
      </c>
      <c r="S300" s="1">
        <f t="shared" si="2"/>
        <v>-135</v>
      </c>
      <c r="T300" s="1">
        <f t="shared" si="3"/>
        <v>1.740740741</v>
      </c>
      <c r="U300" s="1">
        <f t="shared" si="4"/>
        <v>0</v>
      </c>
      <c r="V300" s="3">
        <f t="shared" si="5"/>
        <v>3</v>
      </c>
      <c r="W300" s="3">
        <f t="shared" si="6"/>
        <v>3</v>
      </c>
      <c r="X300" s="3" t="str">
        <f>IFERROR(__xludf.DUMMYFUNCTION("split(B300,"" "")"),"D.")</f>
        <v>D.</v>
      </c>
      <c r="Y300" s="3" t="str">
        <f>IFERROR(__xludf.DUMMYFUNCTION("""COMPUTED_VALUE"""),"Maye")</f>
        <v>Maye</v>
      </c>
      <c r="AA300" s="3">
        <v>5.0</v>
      </c>
      <c r="AB300" s="3">
        <f t="shared" si="7"/>
        <v>0</v>
      </c>
      <c r="AC300" s="3">
        <f t="shared" si="8"/>
        <v>1</v>
      </c>
      <c r="AD300" s="3">
        <f t="shared" si="9"/>
        <v>2.222222222</v>
      </c>
      <c r="AE300" s="3">
        <f t="shared" si="10"/>
        <v>2.222222222</v>
      </c>
      <c r="AF300" s="3">
        <f t="shared" si="11"/>
        <v>2.222222222</v>
      </c>
      <c r="AG300" s="3">
        <f t="shared" si="12"/>
        <v>0.09090909091</v>
      </c>
    </row>
    <row r="301">
      <c r="A301" s="1" t="s">
        <v>15</v>
      </c>
      <c r="B301" s="1" t="s">
        <v>621</v>
      </c>
      <c r="C301" s="1" t="s">
        <v>21</v>
      </c>
      <c r="D301" s="1" t="s">
        <v>66</v>
      </c>
      <c r="E301" s="1" t="s">
        <v>72</v>
      </c>
      <c r="F301" s="1" t="s">
        <v>608</v>
      </c>
      <c r="G301" s="1">
        <v>17.5</v>
      </c>
      <c r="H301" s="1" t="s">
        <v>60</v>
      </c>
      <c r="I301" s="1">
        <v>101.0</v>
      </c>
      <c r="J301" s="1">
        <v>-0.143362453714427</v>
      </c>
      <c r="K301" s="1" t="s">
        <v>61</v>
      </c>
      <c r="L301" s="1" t="s">
        <v>61</v>
      </c>
      <c r="M301" s="1" t="s">
        <v>62</v>
      </c>
      <c r="N301" s="1">
        <v>-132.0</v>
      </c>
      <c r="O301" s="1">
        <v>0.0768911156517241</v>
      </c>
      <c r="P301" s="1" t="s">
        <v>61</v>
      </c>
      <c r="Q301" s="1" t="s">
        <v>61</v>
      </c>
      <c r="R301" s="1">
        <f t="shared" si="1"/>
        <v>0.07689111565</v>
      </c>
      <c r="S301" s="1">
        <f t="shared" si="2"/>
        <v>-132</v>
      </c>
      <c r="T301" s="1">
        <f t="shared" si="3"/>
        <v>1.757575758</v>
      </c>
      <c r="U301" s="1">
        <f t="shared" si="4"/>
        <v>0</v>
      </c>
      <c r="V301" s="3">
        <f t="shared" si="5"/>
        <v>2</v>
      </c>
      <c r="W301" s="3">
        <f t="shared" si="6"/>
        <v>3</v>
      </c>
      <c r="X301" s="3" t="str">
        <f>IFERROR(__xludf.DUMMYFUNCTION("split(B301,"" "")"),"D.")</f>
        <v>D.</v>
      </c>
      <c r="Y301" s="3" t="str">
        <f>IFERROR(__xludf.DUMMYFUNCTION("""COMPUTED_VALUE"""),"Maye")</f>
        <v>Maye</v>
      </c>
      <c r="AA301" s="3">
        <v>20.0</v>
      </c>
      <c r="AB301" s="3">
        <f t="shared" si="7"/>
        <v>1</v>
      </c>
      <c r="AC301" s="3">
        <f t="shared" si="8"/>
        <v>0</v>
      </c>
      <c r="AD301" s="3">
        <f t="shared" si="9"/>
        <v>1.515151515</v>
      </c>
      <c r="AE301" s="3">
        <f t="shared" si="10"/>
        <v>-2</v>
      </c>
      <c r="AF301" s="3">
        <f t="shared" si="11"/>
        <v>-3</v>
      </c>
      <c r="AG301" s="3">
        <f t="shared" si="12"/>
        <v>-0.1428571429</v>
      </c>
    </row>
    <row r="302">
      <c r="A302" s="1" t="s">
        <v>9</v>
      </c>
      <c r="B302" s="1" t="s">
        <v>170</v>
      </c>
      <c r="C302" s="1" t="s">
        <v>18</v>
      </c>
      <c r="D302" s="1" t="s">
        <v>66</v>
      </c>
      <c r="E302" s="1" t="s">
        <v>72</v>
      </c>
      <c r="F302" s="1" t="s">
        <v>608</v>
      </c>
      <c r="G302" s="1">
        <v>24.5</v>
      </c>
      <c r="H302" s="1" t="s">
        <v>60</v>
      </c>
      <c r="I302" s="1">
        <v>-120.0</v>
      </c>
      <c r="J302" s="1">
        <v>0.07523934560334</v>
      </c>
      <c r="K302" s="1" t="s">
        <v>61</v>
      </c>
      <c r="L302" s="1" t="s">
        <v>61</v>
      </c>
      <c r="M302" s="1" t="s">
        <v>62</v>
      </c>
      <c r="N302" s="1">
        <v>-110.0</v>
      </c>
      <c r="O302" s="1">
        <v>-0.144441531600039</v>
      </c>
      <c r="P302" s="1" t="s">
        <v>61</v>
      </c>
      <c r="Q302" s="1" t="s">
        <v>61</v>
      </c>
      <c r="R302" s="1">
        <f t="shared" si="1"/>
        <v>0.0752393456</v>
      </c>
      <c r="S302" s="1">
        <f t="shared" si="2"/>
        <v>-120</v>
      </c>
      <c r="T302" s="1">
        <f t="shared" si="3"/>
        <v>1.833333333</v>
      </c>
      <c r="U302" s="1">
        <f t="shared" si="4"/>
        <v>1</v>
      </c>
      <c r="V302" s="3">
        <f t="shared" si="5"/>
        <v>2</v>
      </c>
      <c r="W302" s="3">
        <f t="shared" si="6"/>
        <v>3</v>
      </c>
      <c r="X302" s="3" t="str">
        <f>IFERROR(__xludf.DUMMYFUNCTION("split(B302,"" "")"),"J.")</f>
        <v>J.</v>
      </c>
      <c r="Y302" s="3" t="str">
        <f>IFERROR(__xludf.DUMMYFUNCTION("""COMPUTED_VALUE"""),"Polk")</f>
        <v>Polk</v>
      </c>
      <c r="AA302" s="3">
        <v>4.0</v>
      </c>
      <c r="AB302" s="3">
        <f t="shared" si="7"/>
        <v>0</v>
      </c>
      <c r="AC302" s="3">
        <f t="shared" si="8"/>
        <v>0</v>
      </c>
      <c r="AD302" s="3">
        <f t="shared" si="9"/>
        <v>1.666666667</v>
      </c>
      <c r="AE302" s="3">
        <f t="shared" si="10"/>
        <v>-2</v>
      </c>
      <c r="AF302" s="3">
        <f t="shared" si="11"/>
        <v>-3</v>
      </c>
      <c r="AG302" s="3">
        <f t="shared" si="12"/>
        <v>-0.8367346939</v>
      </c>
    </row>
    <row r="303">
      <c r="A303" s="1" t="s">
        <v>16</v>
      </c>
      <c r="B303" s="1" t="s">
        <v>621</v>
      </c>
      <c r="C303" s="1" t="s">
        <v>21</v>
      </c>
      <c r="D303" s="1" t="s">
        <v>66</v>
      </c>
      <c r="E303" s="1" t="s">
        <v>72</v>
      </c>
      <c r="F303" s="1" t="s">
        <v>608</v>
      </c>
      <c r="G303" s="1">
        <v>28.5</v>
      </c>
      <c r="H303" s="1" t="s">
        <v>60</v>
      </c>
      <c r="I303" s="1">
        <v>-115.0</v>
      </c>
      <c r="J303" s="1">
        <v>-0.138029587860465</v>
      </c>
      <c r="K303" s="1" t="s">
        <v>61</v>
      </c>
      <c r="L303" s="1" t="s">
        <v>61</v>
      </c>
      <c r="M303" s="1" t="s">
        <v>62</v>
      </c>
      <c r="N303" s="1">
        <v>-114.0</v>
      </c>
      <c r="O303" s="1">
        <v>0.070442252264486</v>
      </c>
      <c r="P303" s="1" t="s">
        <v>61</v>
      </c>
      <c r="Q303" s="1" t="s">
        <v>61</v>
      </c>
      <c r="R303" s="1">
        <f t="shared" si="1"/>
        <v>0.07044225226</v>
      </c>
      <c r="S303" s="1">
        <f t="shared" si="2"/>
        <v>-114</v>
      </c>
      <c r="T303" s="1">
        <f t="shared" si="3"/>
        <v>1.877192982</v>
      </c>
      <c r="U303" s="1">
        <f t="shared" si="4"/>
        <v>0</v>
      </c>
      <c r="V303" s="3">
        <f t="shared" si="5"/>
        <v>2</v>
      </c>
      <c r="W303" s="3">
        <f t="shared" si="6"/>
        <v>2</v>
      </c>
      <c r="X303" s="3" t="str">
        <f>IFERROR(__xludf.DUMMYFUNCTION("split(B303,"" "")"),"D.")</f>
        <v>D.</v>
      </c>
      <c r="Y303" s="3" t="str">
        <f>IFERROR(__xludf.DUMMYFUNCTION("""COMPUTED_VALUE"""),"Maye")</f>
        <v>Maye</v>
      </c>
      <c r="AA303" s="3">
        <v>33.0</v>
      </c>
      <c r="AB303" s="3">
        <f t="shared" si="7"/>
        <v>1</v>
      </c>
      <c r="AC303" s="3">
        <f t="shared" si="8"/>
        <v>0</v>
      </c>
      <c r="AD303" s="3">
        <f t="shared" si="9"/>
        <v>1.754385965</v>
      </c>
      <c r="AE303" s="3">
        <f t="shared" si="10"/>
        <v>-2</v>
      </c>
      <c r="AF303" s="3">
        <f t="shared" si="11"/>
        <v>-2</v>
      </c>
      <c r="AG303" s="3">
        <f t="shared" si="12"/>
        <v>-0.1578947368</v>
      </c>
    </row>
    <row r="304">
      <c r="A304" s="1" t="s">
        <v>17</v>
      </c>
      <c r="B304" s="1" t="s">
        <v>621</v>
      </c>
      <c r="C304" s="1" t="s">
        <v>21</v>
      </c>
      <c r="D304" s="1" t="s">
        <v>66</v>
      </c>
      <c r="E304" s="1" t="s">
        <v>72</v>
      </c>
      <c r="F304" s="1" t="s">
        <v>608</v>
      </c>
      <c r="G304" s="1">
        <v>0.5</v>
      </c>
      <c r="H304" s="1" t="s">
        <v>60</v>
      </c>
      <c r="I304" s="1">
        <v>-135.0</v>
      </c>
      <c r="J304" s="1">
        <v>-0.124568085106383</v>
      </c>
      <c r="K304" s="1" t="s">
        <v>61</v>
      </c>
      <c r="L304" s="1" t="s">
        <v>61</v>
      </c>
      <c r="M304" s="1" t="s">
        <v>62</v>
      </c>
      <c r="N304" s="1">
        <v>105.0</v>
      </c>
      <c r="O304" s="1">
        <v>0.0622951219512195</v>
      </c>
      <c r="P304" s="1" t="s">
        <v>61</v>
      </c>
      <c r="Q304" s="1" t="s">
        <v>61</v>
      </c>
      <c r="R304" s="1">
        <f t="shared" si="1"/>
        <v>0.06229512195</v>
      </c>
      <c r="S304" s="1">
        <f t="shared" si="2"/>
        <v>105</v>
      </c>
      <c r="T304" s="1">
        <f t="shared" si="3"/>
        <v>2.05</v>
      </c>
      <c r="U304" s="1">
        <f t="shared" si="4"/>
        <v>0</v>
      </c>
      <c r="V304" s="3">
        <f t="shared" si="5"/>
        <v>2</v>
      </c>
      <c r="W304" s="3">
        <f t="shared" si="6"/>
        <v>2</v>
      </c>
      <c r="X304" s="3" t="str">
        <f>IFERROR(__xludf.DUMMYFUNCTION("split(B304,"" "")"),"D.")</f>
        <v>D.</v>
      </c>
      <c r="Y304" s="3" t="str">
        <f>IFERROR(__xludf.DUMMYFUNCTION("""COMPUTED_VALUE"""),"Maye")</f>
        <v>Maye</v>
      </c>
      <c r="AA304" s="3">
        <v>2.0</v>
      </c>
      <c r="AB304" s="3">
        <f t="shared" si="7"/>
        <v>1</v>
      </c>
      <c r="AC304" s="3">
        <f t="shared" si="8"/>
        <v>0</v>
      </c>
      <c r="AD304" s="3">
        <f t="shared" si="9"/>
        <v>2.1</v>
      </c>
      <c r="AE304" s="3">
        <f t="shared" si="10"/>
        <v>-2</v>
      </c>
      <c r="AF304" s="3">
        <f t="shared" si="11"/>
        <v>-2</v>
      </c>
      <c r="AG304" s="3">
        <f t="shared" si="12"/>
        <v>-3</v>
      </c>
    </row>
    <row r="305">
      <c r="A305" s="1" t="s">
        <v>9</v>
      </c>
      <c r="B305" s="1" t="s">
        <v>622</v>
      </c>
      <c r="C305" s="1" t="s">
        <v>19</v>
      </c>
      <c r="D305" s="1" t="s">
        <v>66</v>
      </c>
      <c r="E305" s="1" t="s">
        <v>72</v>
      </c>
      <c r="F305" s="1" t="s">
        <v>608</v>
      </c>
      <c r="G305" s="1">
        <v>24.5</v>
      </c>
      <c r="H305" s="1" t="s">
        <v>60</v>
      </c>
      <c r="I305" s="1">
        <v>-114.0</v>
      </c>
      <c r="J305" s="1">
        <v>0.0578788327890709</v>
      </c>
      <c r="K305" s="1" t="s">
        <v>61</v>
      </c>
      <c r="L305" s="1" t="s">
        <v>61</v>
      </c>
      <c r="M305" s="1" t="s">
        <v>62</v>
      </c>
      <c r="N305" s="1">
        <v>-118.0</v>
      </c>
      <c r="O305" s="1">
        <v>-0.131871792916955</v>
      </c>
      <c r="P305" s="1" t="s">
        <v>61</v>
      </c>
      <c r="Q305" s="1" t="s">
        <v>61</v>
      </c>
      <c r="R305" s="1">
        <f t="shared" si="1"/>
        <v>0.05787883279</v>
      </c>
      <c r="S305" s="1">
        <f t="shared" si="2"/>
        <v>-114</v>
      </c>
      <c r="T305" s="1">
        <f t="shared" si="3"/>
        <v>1.877192982</v>
      </c>
      <c r="U305" s="1">
        <f t="shared" si="4"/>
        <v>1</v>
      </c>
      <c r="V305" s="3">
        <f t="shared" si="5"/>
        <v>2</v>
      </c>
      <c r="W305" s="3">
        <f t="shared" si="6"/>
        <v>2</v>
      </c>
      <c r="X305" s="3" t="str">
        <f>IFERROR(__xludf.DUMMYFUNCTION("split(B305,"" "")"),"J.")</f>
        <v>J.</v>
      </c>
      <c r="Y305" s="3" t="str">
        <f>IFERROR(__xludf.DUMMYFUNCTION("""COMPUTED_VALUE"""),"Hasty")</f>
        <v>Hasty</v>
      </c>
      <c r="AA305" s="3">
        <v>21.0</v>
      </c>
      <c r="AB305" s="3">
        <f t="shared" si="7"/>
        <v>0</v>
      </c>
      <c r="AC305" s="3">
        <f t="shared" si="8"/>
        <v>0</v>
      </c>
      <c r="AD305" s="3">
        <f t="shared" si="9"/>
        <v>1.754385965</v>
      </c>
      <c r="AE305" s="3">
        <f t="shared" si="10"/>
        <v>-2</v>
      </c>
      <c r="AF305" s="3">
        <f t="shared" si="11"/>
        <v>-2</v>
      </c>
      <c r="AG305" s="3">
        <f t="shared" si="12"/>
        <v>-0.1428571429</v>
      </c>
    </row>
    <row r="306">
      <c r="A306" s="1" t="s">
        <v>12</v>
      </c>
      <c r="B306" s="1" t="s">
        <v>552</v>
      </c>
      <c r="C306" s="1" t="s">
        <v>20</v>
      </c>
      <c r="D306" s="1" t="s">
        <v>66</v>
      </c>
      <c r="E306" s="1" t="s">
        <v>72</v>
      </c>
      <c r="F306" s="1" t="s">
        <v>608</v>
      </c>
      <c r="G306" s="1">
        <v>1.5</v>
      </c>
      <c r="H306" s="1" t="s">
        <v>60</v>
      </c>
      <c r="I306" s="1">
        <v>106.0</v>
      </c>
      <c r="J306" s="1">
        <v>-0.125427289521553</v>
      </c>
      <c r="K306" s="1" t="s">
        <v>61</v>
      </c>
      <c r="L306" s="1" t="s">
        <v>61</v>
      </c>
      <c r="M306" s="1" t="s">
        <v>62</v>
      </c>
      <c r="N306" s="1">
        <v>-141.0</v>
      </c>
      <c r="O306" s="1">
        <v>0.0549268398748549</v>
      </c>
      <c r="P306" s="1" t="s">
        <v>61</v>
      </c>
      <c r="Q306" s="1" t="s">
        <v>61</v>
      </c>
      <c r="R306" s="1">
        <f t="shared" si="1"/>
        <v>0.05492683987</v>
      </c>
      <c r="S306" s="1">
        <f t="shared" si="2"/>
        <v>-141</v>
      </c>
      <c r="T306" s="1">
        <f t="shared" si="3"/>
        <v>1.709219858</v>
      </c>
      <c r="U306" s="1">
        <f t="shared" si="4"/>
        <v>0</v>
      </c>
      <c r="V306" s="3">
        <f t="shared" si="5"/>
        <v>2</v>
      </c>
      <c r="W306" s="3">
        <f t="shared" si="6"/>
        <v>3</v>
      </c>
      <c r="X306" s="3" t="str">
        <f>IFERROR(__xludf.DUMMYFUNCTION("split(B306,"" "")"),"A.")</f>
        <v>A.</v>
      </c>
      <c r="Y306" s="3" t="str">
        <f>IFERROR(__xludf.DUMMYFUNCTION("""COMPUTED_VALUE"""),"Hooper")</f>
        <v>Hooper</v>
      </c>
      <c r="AA306" s="3">
        <v>1.0</v>
      </c>
      <c r="AB306" s="3">
        <f t="shared" si="7"/>
        <v>0</v>
      </c>
      <c r="AC306" s="3">
        <f t="shared" si="8"/>
        <v>1</v>
      </c>
      <c r="AD306" s="3">
        <f t="shared" si="9"/>
        <v>1.418439716</v>
      </c>
      <c r="AE306" s="3">
        <f t="shared" si="10"/>
        <v>1.418439716</v>
      </c>
      <c r="AF306" s="3">
        <f t="shared" si="11"/>
        <v>2.127659574</v>
      </c>
      <c r="AG306" s="3">
        <f t="shared" si="12"/>
        <v>0.3333333333</v>
      </c>
    </row>
    <row r="307">
      <c r="A307" s="1" t="s">
        <v>12</v>
      </c>
      <c r="B307" s="1" t="s">
        <v>383</v>
      </c>
      <c r="C307" s="1" t="s">
        <v>19</v>
      </c>
      <c r="D307" s="1" t="s">
        <v>66</v>
      </c>
      <c r="E307" s="1" t="s">
        <v>72</v>
      </c>
      <c r="F307" s="1" t="s">
        <v>608</v>
      </c>
      <c r="G307" s="1">
        <v>3.5</v>
      </c>
      <c r="H307" s="1" t="s">
        <v>60</v>
      </c>
      <c r="I307" s="1">
        <v>140.0</v>
      </c>
      <c r="J307" s="1">
        <v>-0.108583333333333</v>
      </c>
      <c r="K307" s="1" t="s">
        <v>61</v>
      </c>
      <c r="L307" s="1" t="s">
        <v>61</v>
      </c>
      <c r="M307" s="1" t="s">
        <v>62</v>
      </c>
      <c r="N307" s="1">
        <v>-186.0</v>
      </c>
      <c r="O307" s="1">
        <v>0.0415804195804195</v>
      </c>
      <c r="P307" s="1" t="s">
        <v>61</v>
      </c>
      <c r="Q307" s="1" t="s">
        <v>61</v>
      </c>
      <c r="R307" s="1">
        <f t="shared" si="1"/>
        <v>0.04158041958</v>
      </c>
      <c r="S307" s="1">
        <f t="shared" si="2"/>
        <v>-186</v>
      </c>
      <c r="T307" s="1">
        <f t="shared" si="3"/>
        <v>1.537634409</v>
      </c>
      <c r="U307" s="1">
        <f t="shared" si="4"/>
        <v>0</v>
      </c>
      <c r="V307" s="3">
        <f t="shared" si="5"/>
        <v>1</v>
      </c>
      <c r="W307" s="3">
        <f t="shared" si="6"/>
        <v>3</v>
      </c>
      <c r="X307" s="3" t="str">
        <f>IFERROR(__xludf.DUMMYFUNCTION("split(B307,"" "")"),"A.")</f>
        <v>A.</v>
      </c>
      <c r="Y307" s="3" t="str">
        <f>IFERROR(__xludf.DUMMYFUNCTION("""COMPUTED_VALUE"""),"Gibson")</f>
        <v>Gibson</v>
      </c>
      <c r="AA307" s="3">
        <v>3.0</v>
      </c>
      <c r="AB307" s="3">
        <f t="shared" si="7"/>
        <v>0</v>
      </c>
      <c r="AC307" s="3">
        <f t="shared" si="8"/>
        <v>1</v>
      </c>
      <c r="AD307" s="3">
        <f t="shared" si="9"/>
        <v>0.5376344086</v>
      </c>
      <c r="AE307" s="3">
        <f t="shared" si="10"/>
        <v>0.5376344086</v>
      </c>
      <c r="AF307" s="3">
        <f t="shared" si="11"/>
        <v>1.612903226</v>
      </c>
      <c r="AG307" s="3">
        <f t="shared" si="12"/>
        <v>0.1428571429</v>
      </c>
    </row>
    <row r="308">
      <c r="A308" s="1" t="s">
        <v>14</v>
      </c>
      <c r="B308" s="1" t="s">
        <v>621</v>
      </c>
      <c r="C308" s="1" t="s">
        <v>21</v>
      </c>
      <c r="D308" s="1" t="s">
        <v>66</v>
      </c>
      <c r="E308" s="1" t="s">
        <v>72</v>
      </c>
      <c r="F308" s="1" t="s">
        <v>608</v>
      </c>
      <c r="G308" s="1">
        <v>0.5</v>
      </c>
      <c r="H308" s="1" t="s">
        <v>60</v>
      </c>
      <c r="I308" s="1">
        <v>-143.0</v>
      </c>
      <c r="J308" s="1">
        <v>-0.108275635432098</v>
      </c>
      <c r="K308" s="1" t="s">
        <v>61</v>
      </c>
      <c r="L308" s="1" t="s">
        <v>61</v>
      </c>
      <c r="M308" s="1" t="s">
        <v>62</v>
      </c>
      <c r="N308" s="1">
        <v>109.0</v>
      </c>
      <c r="O308" s="1">
        <v>0.0413290880861243</v>
      </c>
      <c r="P308" s="1" t="s">
        <v>61</v>
      </c>
      <c r="Q308" s="1" t="s">
        <v>61</v>
      </c>
      <c r="R308" s="1">
        <f t="shared" si="1"/>
        <v>0.04132908809</v>
      </c>
      <c r="S308" s="1">
        <f t="shared" si="2"/>
        <v>109</v>
      </c>
      <c r="T308" s="1">
        <f t="shared" si="3"/>
        <v>2.09</v>
      </c>
      <c r="U308" s="1">
        <f t="shared" si="4"/>
        <v>0</v>
      </c>
      <c r="V308" s="3">
        <f t="shared" si="5"/>
        <v>1</v>
      </c>
      <c r="W308" s="3">
        <f t="shared" si="6"/>
        <v>2</v>
      </c>
      <c r="X308" s="3" t="str">
        <f>IFERROR(__xludf.DUMMYFUNCTION("split(B308,"" "")"),"D.")</f>
        <v>D.</v>
      </c>
      <c r="Y308" s="3" t="str">
        <f>IFERROR(__xludf.DUMMYFUNCTION("""COMPUTED_VALUE"""),"Maye")</f>
        <v>Maye</v>
      </c>
      <c r="AA308" s="3">
        <v>3.0</v>
      </c>
      <c r="AB308" s="3">
        <f t="shared" si="7"/>
        <v>1</v>
      </c>
      <c r="AC308" s="3">
        <f t="shared" si="8"/>
        <v>0</v>
      </c>
      <c r="AD308" s="3">
        <f t="shared" si="9"/>
        <v>1.09</v>
      </c>
      <c r="AE308" s="3">
        <f t="shared" si="10"/>
        <v>-1</v>
      </c>
      <c r="AF308" s="3">
        <f t="shared" si="11"/>
        <v>-2</v>
      </c>
      <c r="AG308" s="3">
        <f t="shared" si="12"/>
        <v>-5</v>
      </c>
    </row>
    <row r="309">
      <c r="A309" s="1" t="s">
        <v>10</v>
      </c>
      <c r="B309" s="1" t="s">
        <v>621</v>
      </c>
      <c r="C309" s="1" t="s">
        <v>21</v>
      </c>
      <c r="D309" s="1" t="s">
        <v>66</v>
      </c>
      <c r="E309" s="1" t="s">
        <v>72</v>
      </c>
      <c r="F309" s="1" t="s">
        <v>608</v>
      </c>
      <c r="G309" s="1">
        <v>28.5</v>
      </c>
      <c r="H309" s="1" t="s">
        <v>60</v>
      </c>
      <c r="I309" s="1">
        <v>-114.0</v>
      </c>
      <c r="J309" s="1">
        <v>-0.107453268103351</v>
      </c>
      <c r="K309" s="1" t="s">
        <v>61</v>
      </c>
      <c r="L309" s="1" t="s">
        <v>61</v>
      </c>
      <c r="M309" s="1" t="s">
        <v>62</v>
      </c>
      <c r="N309" s="1">
        <v>-115.0</v>
      </c>
      <c r="O309" s="1">
        <v>0.0398654850243482</v>
      </c>
      <c r="P309" s="1" t="s">
        <v>61</v>
      </c>
      <c r="Q309" s="1" t="s">
        <v>61</v>
      </c>
      <c r="R309" s="1">
        <f t="shared" si="1"/>
        <v>0.03986548502</v>
      </c>
      <c r="S309" s="1">
        <f t="shared" si="2"/>
        <v>-115</v>
      </c>
      <c r="T309" s="1">
        <f t="shared" si="3"/>
        <v>1.869565217</v>
      </c>
      <c r="U309" s="1">
        <f t="shared" si="4"/>
        <v>0</v>
      </c>
      <c r="V309" s="3">
        <f t="shared" si="5"/>
        <v>1</v>
      </c>
      <c r="W309" s="3">
        <f t="shared" si="6"/>
        <v>2</v>
      </c>
      <c r="X309" s="3" t="str">
        <f>IFERROR(__xludf.DUMMYFUNCTION("split(B309,"" "")"),"D.")</f>
        <v>D.</v>
      </c>
      <c r="Y309" s="3" t="str">
        <f>IFERROR(__xludf.DUMMYFUNCTION("""COMPUTED_VALUE"""),"Maye")</f>
        <v>Maye</v>
      </c>
      <c r="AA309" s="3">
        <v>38.0</v>
      </c>
      <c r="AB309" s="3">
        <f t="shared" si="7"/>
        <v>1</v>
      </c>
      <c r="AC309" s="3">
        <f t="shared" si="8"/>
        <v>0</v>
      </c>
      <c r="AD309" s="3">
        <f t="shared" si="9"/>
        <v>0.8695652174</v>
      </c>
      <c r="AE309" s="3">
        <f t="shared" si="10"/>
        <v>-1</v>
      </c>
      <c r="AF309" s="3">
        <f t="shared" si="11"/>
        <v>-2</v>
      </c>
      <c r="AG309" s="3">
        <f t="shared" si="12"/>
        <v>-0.3333333333</v>
      </c>
    </row>
    <row r="310">
      <c r="A310" s="1" t="s">
        <v>12</v>
      </c>
      <c r="B310" s="1" t="s">
        <v>170</v>
      </c>
      <c r="C310" s="1" t="s">
        <v>18</v>
      </c>
      <c r="D310" s="1" t="s">
        <v>66</v>
      </c>
      <c r="E310" s="1" t="s">
        <v>72</v>
      </c>
      <c r="F310" s="1" t="s">
        <v>608</v>
      </c>
      <c r="G310" s="1">
        <v>2.5</v>
      </c>
      <c r="H310" s="1" t="s">
        <v>60</v>
      </c>
      <c r="I310" s="1">
        <v>107.0</v>
      </c>
      <c r="J310" s="1">
        <v>-0.0913403175739129</v>
      </c>
      <c r="K310" s="1" t="s">
        <v>61</v>
      </c>
      <c r="L310" s="1" t="s">
        <v>61</v>
      </c>
      <c r="M310" s="1" t="s">
        <v>62</v>
      </c>
      <c r="N310" s="1">
        <v>-140.0</v>
      </c>
      <c r="O310" s="1">
        <v>0.02492143315</v>
      </c>
      <c r="P310" s="1" t="s">
        <v>61</v>
      </c>
      <c r="Q310" s="1" t="s">
        <v>61</v>
      </c>
      <c r="R310" s="1">
        <f t="shared" si="1"/>
        <v>0.02492143315</v>
      </c>
      <c r="S310" s="1">
        <f t="shared" si="2"/>
        <v>-140</v>
      </c>
      <c r="T310" s="1">
        <f t="shared" si="3"/>
        <v>1.714285714</v>
      </c>
      <c r="U310" s="1">
        <f t="shared" si="4"/>
        <v>0</v>
      </c>
      <c r="V310" s="3">
        <f t="shared" si="5"/>
        <v>1</v>
      </c>
      <c r="W310" s="3">
        <f t="shared" si="6"/>
        <v>3</v>
      </c>
      <c r="X310" s="3" t="str">
        <f>IFERROR(__xludf.DUMMYFUNCTION("split(B310,"" "")"),"J.")</f>
        <v>J.</v>
      </c>
      <c r="Y310" s="3" t="str">
        <f>IFERROR(__xludf.DUMMYFUNCTION("""COMPUTED_VALUE"""),"Polk")</f>
        <v>Polk</v>
      </c>
      <c r="AA310" s="3">
        <v>1.0</v>
      </c>
      <c r="AB310" s="3">
        <f t="shared" si="7"/>
        <v>0</v>
      </c>
      <c r="AC310" s="3">
        <f t="shared" si="8"/>
        <v>1</v>
      </c>
      <c r="AD310" s="3">
        <f t="shared" si="9"/>
        <v>0.7142857143</v>
      </c>
      <c r="AE310" s="3">
        <f t="shared" si="10"/>
        <v>0.7142857143</v>
      </c>
      <c r="AF310" s="3">
        <f t="shared" si="11"/>
        <v>2.142857143</v>
      </c>
      <c r="AG310" s="3">
        <f t="shared" si="12"/>
        <v>0.6</v>
      </c>
    </row>
    <row r="311">
      <c r="A311" s="1" t="s">
        <v>9</v>
      </c>
      <c r="B311" s="1" t="s">
        <v>131</v>
      </c>
      <c r="C311" s="1" t="s">
        <v>18</v>
      </c>
      <c r="D311" s="1" t="s">
        <v>66</v>
      </c>
      <c r="E311" s="1" t="s">
        <v>72</v>
      </c>
      <c r="F311" s="1" t="s">
        <v>608</v>
      </c>
      <c r="G311" s="1">
        <v>31.5</v>
      </c>
      <c r="H311" s="1" t="s">
        <v>60</v>
      </c>
      <c r="I311" s="1">
        <v>-121.0</v>
      </c>
      <c r="J311" s="1">
        <v>0.0237191665937595</v>
      </c>
      <c r="K311" s="1" t="s">
        <v>61</v>
      </c>
      <c r="L311" s="1" t="s">
        <v>61</v>
      </c>
      <c r="M311" s="1" t="s">
        <v>62</v>
      </c>
      <c r="N311" s="1">
        <v>-112.0</v>
      </c>
      <c r="O311" s="1">
        <v>-0.0994872080909781</v>
      </c>
      <c r="P311" s="1" t="s">
        <v>61</v>
      </c>
      <c r="Q311" s="1" t="s">
        <v>61</v>
      </c>
      <c r="R311" s="1">
        <f t="shared" si="1"/>
        <v>0.02371916659</v>
      </c>
      <c r="S311" s="1">
        <f t="shared" si="2"/>
        <v>-121</v>
      </c>
      <c r="T311" s="1">
        <f t="shared" si="3"/>
        <v>1.826446281</v>
      </c>
      <c r="U311" s="1">
        <f t="shared" si="4"/>
        <v>1</v>
      </c>
      <c r="V311" s="3">
        <f t="shared" si="5"/>
        <v>1</v>
      </c>
      <c r="W311" s="3">
        <f t="shared" si="6"/>
        <v>3</v>
      </c>
      <c r="X311" s="3" t="str">
        <f>IFERROR(__xludf.DUMMYFUNCTION("split(B311,"" "")"),"D.")</f>
        <v>D.</v>
      </c>
      <c r="Y311" s="3" t="str">
        <f>IFERROR(__xludf.DUMMYFUNCTION("""COMPUTED_VALUE"""),"Douglas")</f>
        <v>Douglas</v>
      </c>
      <c r="AA311" s="3">
        <v>92.0</v>
      </c>
      <c r="AB311" s="3">
        <f t="shared" si="7"/>
        <v>1</v>
      </c>
      <c r="AC311" s="3">
        <f t="shared" si="8"/>
        <v>1</v>
      </c>
      <c r="AD311" s="3">
        <f t="shared" si="9"/>
        <v>0.826446281</v>
      </c>
      <c r="AE311" s="3">
        <f t="shared" si="10"/>
        <v>0.826446281</v>
      </c>
      <c r="AF311" s="3">
        <f t="shared" si="11"/>
        <v>2.479338843</v>
      </c>
      <c r="AG311" s="3">
        <f t="shared" si="12"/>
        <v>1.920634921</v>
      </c>
    </row>
    <row r="312">
      <c r="A312" s="1" t="s">
        <v>10</v>
      </c>
      <c r="B312" s="1" t="s">
        <v>622</v>
      </c>
      <c r="C312" s="1" t="s">
        <v>19</v>
      </c>
      <c r="D312" s="1" t="s">
        <v>66</v>
      </c>
      <c r="E312" s="1" t="s">
        <v>72</v>
      </c>
      <c r="F312" s="1" t="s">
        <v>608</v>
      </c>
      <c r="G312" s="1">
        <v>18.5</v>
      </c>
      <c r="H312" s="1" t="s">
        <v>60</v>
      </c>
      <c r="I312" s="1">
        <v>-113.0</v>
      </c>
      <c r="J312" s="1">
        <v>-0.0824864277220188</v>
      </c>
      <c r="K312" s="1" t="s">
        <v>61</v>
      </c>
      <c r="L312" s="1" t="s">
        <v>61</v>
      </c>
      <c r="M312" s="1" t="s">
        <v>62</v>
      </c>
      <c r="N312" s="1">
        <v>-115.0</v>
      </c>
      <c r="O312" s="1">
        <v>0.0171238859093418</v>
      </c>
      <c r="P312" s="1" t="s">
        <v>61</v>
      </c>
      <c r="Q312" s="1" t="s">
        <v>61</v>
      </c>
      <c r="R312" s="1">
        <f t="shared" si="1"/>
        <v>0.01712388591</v>
      </c>
      <c r="S312" s="1">
        <f t="shared" si="2"/>
        <v>-115</v>
      </c>
      <c r="T312" s="1">
        <f t="shared" si="3"/>
        <v>1.869565217</v>
      </c>
      <c r="U312" s="1">
        <f t="shared" si="4"/>
        <v>0</v>
      </c>
      <c r="V312" s="3">
        <f t="shared" si="5"/>
        <v>1</v>
      </c>
      <c r="W312" s="3">
        <f t="shared" si="6"/>
        <v>2</v>
      </c>
      <c r="X312" s="3" t="str">
        <f>IFERROR(__xludf.DUMMYFUNCTION("split(B312,"" "")"),"J.")</f>
        <v>J.</v>
      </c>
      <c r="Y312" s="3" t="str">
        <f>IFERROR(__xludf.DUMMYFUNCTION("""COMPUTED_VALUE"""),"Hasty")</f>
        <v>Hasty</v>
      </c>
      <c r="AA312" s="3">
        <v>12.0</v>
      </c>
      <c r="AB312" s="3">
        <f t="shared" si="7"/>
        <v>0</v>
      </c>
      <c r="AC312" s="3">
        <f t="shared" si="8"/>
        <v>1</v>
      </c>
      <c r="AD312" s="3">
        <f t="shared" si="9"/>
        <v>0.8695652174</v>
      </c>
      <c r="AE312" s="3">
        <f t="shared" si="10"/>
        <v>0.8695652174</v>
      </c>
      <c r="AF312" s="3">
        <f t="shared" si="11"/>
        <v>1.739130435</v>
      </c>
      <c r="AG312" s="3">
        <f t="shared" si="12"/>
        <v>0.3513513514</v>
      </c>
    </row>
    <row r="313">
      <c r="A313" s="1" t="s">
        <v>11</v>
      </c>
      <c r="B313" s="1" t="s">
        <v>140</v>
      </c>
      <c r="C313" s="1" t="s">
        <v>20</v>
      </c>
      <c r="D313" s="1" t="s">
        <v>66</v>
      </c>
      <c r="E313" s="1" t="s">
        <v>72</v>
      </c>
      <c r="F313" s="1" t="s">
        <v>608</v>
      </c>
      <c r="G313" s="1">
        <v>25.5</v>
      </c>
      <c r="H313" s="1" t="s">
        <v>60</v>
      </c>
      <c r="I313" s="1">
        <v>-112.0</v>
      </c>
      <c r="J313" s="1">
        <v>-0.0814557010947406</v>
      </c>
      <c r="K313" s="1" t="s">
        <v>61</v>
      </c>
      <c r="L313" s="1" t="s">
        <v>61</v>
      </c>
      <c r="M313" s="1" t="s">
        <v>62</v>
      </c>
      <c r="N313" s="1">
        <v>-117.0</v>
      </c>
      <c r="O313" s="1">
        <v>0.0140339175093985</v>
      </c>
      <c r="P313" s="1" t="s">
        <v>61</v>
      </c>
      <c r="Q313" s="1" t="s">
        <v>61</v>
      </c>
      <c r="R313" s="1">
        <f t="shared" si="1"/>
        <v>0.01403391751</v>
      </c>
      <c r="S313" s="1">
        <f t="shared" si="2"/>
        <v>-117</v>
      </c>
      <c r="T313" s="1">
        <f t="shared" si="3"/>
        <v>1.854700855</v>
      </c>
      <c r="U313" s="1">
        <f t="shared" si="4"/>
        <v>0</v>
      </c>
      <c r="V313" s="3">
        <f t="shared" si="5"/>
        <v>1</v>
      </c>
      <c r="W313" s="3">
        <f t="shared" si="6"/>
        <v>2</v>
      </c>
      <c r="X313" s="3" t="str">
        <f>IFERROR(__xludf.DUMMYFUNCTION("split(B313,"" "")"),"H.")</f>
        <v>H.</v>
      </c>
      <c r="Y313" s="3" t="str">
        <f>IFERROR(__xludf.DUMMYFUNCTION("""COMPUTED_VALUE"""),"Henry")</f>
        <v>Henry</v>
      </c>
      <c r="AA313" s="3">
        <v>41.0</v>
      </c>
      <c r="AB313" s="3">
        <f t="shared" si="7"/>
        <v>1</v>
      </c>
      <c r="AC313" s="3">
        <f t="shared" si="8"/>
        <v>0</v>
      </c>
      <c r="AD313" s="3">
        <f t="shared" si="9"/>
        <v>0.8547008547</v>
      </c>
      <c r="AE313" s="3">
        <f t="shared" si="10"/>
        <v>-1</v>
      </c>
      <c r="AF313" s="3">
        <f t="shared" si="11"/>
        <v>-2</v>
      </c>
      <c r="AG313" s="3">
        <f t="shared" si="12"/>
        <v>-0.6078431373</v>
      </c>
    </row>
    <row r="314">
      <c r="A314" s="1" t="s">
        <v>8</v>
      </c>
      <c r="B314" s="1" t="s">
        <v>383</v>
      </c>
      <c r="C314" s="1" t="s">
        <v>19</v>
      </c>
      <c r="D314" s="1" t="s">
        <v>66</v>
      </c>
      <c r="E314" s="1" t="s">
        <v>72</v>
      </c>
      <c r="F314" s="1" t="s">
        <v>608</v>
      </c>
      <c r="G314" s="1">
        <v>13.5</v>
      </c>
      <c r="H314" s="1" t="s">
        <v>60</v>
      </c>
      <c r="I314" s="1">
        <v>-127.0</v>
      </c>
      <c r="J314" s="1">
        <v>-0.0799991708942731</v>
      </c>
      <c r="K314" s="1" t="s">
        <v>61</v>
      </c>
      <c r="L314" s="1" t="s">
        <v>61</v>
      </c>
      <c r="M314" s="1" t="s">
        <v>62</v>
      </c>
      <c r="N314" s="1">
        <v>-104.0</v>
      </c>
      <c r="O314" s="1">
        <v>0.0107439816898039</v>
      </c>
      <c r="P314" s="1" t="s">
        <v>61</v>
      </c>
      <c r="Q314" s="1" t="s">
        <v>61</v>
      </c>
      <c r="R314" s="1">
        <f t="shared" si="1"/>
        <v>0.01074398169</v>
      </c>
      <c r="S314" s="1">
        <f t="shared" si="2"/>
        <v>-104</v>
      </c>
      <c r="T314" s="1">
        <f t="shared" si="3"/>
        <v>1.961538462</v>
      </c>
      <c r="U314" s="1">
        <f t="shared" si="4"/>
        <v>0</v>
      </c>
      <c r="V314" s="3">
        <f t="shared" si="5"/>
        <v>1</v>
      </c>
      <c r="W314" s="3">
        <f t="shared" si="6"/>
        <v>2</v>
      </c>
      <c r="X314" s="3" t="str">
        <f>IFERROR(__xludf.DUMMYFUNCTION("split(B314,"" "")"),"A.")</f>
        <v>A.</v>
      </c>
      <c r="Y314" s="3" t="str">
        <f>IFERROR(__xludf.DUMMYFUNCTION("""COMPUTED_VALUE"""),"Gibson")</f>
        <v>Gibson</v>
      </c>
      <c r="AA314" s="3">
        <v>13.0</v>
      </c>
      <c r="AB314" s="3">
        <f t="shared" si="7"/>
        <v>0</v>
      </c>
      <c r="AC314" s="3">
        <f t="shared" si="8"/>
        <v>1</v>
      </c>
      <c r="AD314" s="3">
        <f t="shared" si="9"/>
        <v>0.9615384615</v>
      </c>
      <c r="AE314" s="3">
        <f t="shared" si="10"/>
        <v>0.9615384615</v>
      </c>
      <c r="AF314" s="3">
        <f t="shared" si="11"/>
        <v>1.923076923</v>
      </c>
      <c r="AG314" s="3">
        <f t="shared" si="12"/>
        <v>0.03703703704</v>
      </c>
    </row>
    <row r="315">
      <c r="A315" s="1" t="s">
        <v>13</v>
      </c>
      <c r="B315" s="1" t="s">
        <v>621</v>
      </c>
      <c r="C315" s="1" t="s">
        <v>21</v>
      </c>
      <c r="D315" s="1" t="s">
        <v>66</v>
      </c>
      <c r="E315" s="1" t="s">
        <v>72</v>
      </c>
      <c r="F315" s="1" t="s">
        <v>608</v>
      </c>
      <c r="G315" s="1">
        <v>164.5</v>
      </c>
      <c r="H315" s="1" t="s">
        <v>60</v>
      </c>
      <c r="I315" s="1">
        <v>-122.0</v>
      </c>
      <c r="J315" s="1">
        <v>0.00983683226126119</v>
      </c>
      <c r="K315" s="1" t="s">
        <v>61</v>
      </c>
      <c r="L315" s="1" t="s">
        <v>61</v>
      </c>
      <c r="M315" s="1" t="s">
        <v>62</v>
      </c>
      <c r="N315" s="1">
        <v>-105.0</v>
      </c>
      <c r="O315" s="1">
        <v>-0.0715385151224389</v>
      </c>
      <c r="P315" s="1" t="s">
        <v>61</v>
      </c>
      <c r="Q315" s="1" t="s">
        <v>61</v>
      </c>
      <c r="R315" s="1">
        <f t="shared" si="1"/>
        <v>0.009836832261</v>
      </c>
      <c r="S315" s="1">
        <f t="shared" si="2"/>
        <v>-122</v>
      </c>
      <c r="T315" s="1">
        <f t="shared" si="3"/>
        <v>1.819672131</v>
      </c>
      <c r="U315" s="1">
        <f t="shared" si="4"/>
        <v>1</v>
      </c>
      <c r="V315" s="3">
        <f t="shared" si="5"/>
        <v>1</v>
      </c>
      <c r="W315" s="3">
        <f t="shared" si="6"/>
        <v>3</v>
      </c>
      <c r="X315" s="3" t="str">
        <f>IFERROR(__xludf.DUMMYFUNCTION("split(B315,"" "")"),"D.")</f>
        <v>D.</v>
      </c>
      <c r="Y315" s="3" t="str">
        <f>IFERROR(__xludf.DUMMYFUNCTION("""COMPUTED_VALUE"""),"Maye")</f>
        <v>Maye</v>
      </c>
      <c r="AA315" s="3">
        <v>243.0</v>
      </c>
      <c r="AB315" s="3">
        <f t="shared" si="7"/>
        <v>1</v>
      </c>
      <c r="AC315" s="3">
        <f t="shared" si="8"/>
        <v>1</v>
      </c>
      <c r="AD315" s="3">
        <f t="shared" si="9"/>
        <v>0.8196721311</v>
      </c>
      <c r="AE315" s="3">
        <f t="shared" si="10"/>
        <v>0.8196721311</v>
      </c>
      <c r="AF315" s="3">
        <f t="shared" si="11"/>
        <v>2.459016393</v>
      </c>
      <c r="AG315" s="3">
        <f t="shared" si="12"/>
        <v>0.4772036474</v>
      </c>
    </row>
    <row r="316">
      <c r="A316" s="1" t="s">
        <v>11</v>
      </c>
      <c r="B316" s="1" t="s">
        <v>131</v>
      </c>
      <c r="C316" s="1" t="s">
        <v>18</v>
      </c>
      <c r="D316" s="1" t="s">
        <v>66</v>
      </c>
      <c r="E316" s="1" t="s">
        <v>72</v>
      </c>
      <c r="F316" s="1" t="s">
        <v>608</v>
      </c>
      <c r="G316" s="1">
        <v>30.5</v>
      </c>
      <c r="H316" s="1" t="s">
        <v>60</v>
      </c>
      <c r="I316" s="1">
        <v>-118.0</v>
      </c>
      <c r="J316" s="1">
        <v>-0.0790764879947707</v>
      </c>
      <c r="K316" s="1" t="s">
        <v>61</v>
      </c>
      <c r="L316" s="1" t="s">
        <v>61</v>
      </c>
      <c r="M316" s="1" t="s">
        <v>62</v>
      </c>
      <c r="N316" s="1">
        <v>-113.0</v>
      </c>
      <c r="O316" s="1">
        <v>0.00733624783843112</v>
      </c>
      <c r="P316" s="1" t="s">
        <v>61</v>
      </c>
      <c r="Q316" s="1" t="s">
        <v>61</v>
      </c>
      <c r="R316" s="1">
        <f t="shared" si="1"/>
        <v>0.007336247838</v>
      </c>
      <c r="S316" s="1">
        <f t="shared" si="2"/>
        <v>-113</v>
      </c>
      <c r="T316" s="1">
        <f t="shared" si="3"/>
        <v>1.884955752</v>
      </c>
      <c r="U316" s="1">
        <f t="shared" si="4"/>
        <v>0</v>
      </c>
      <c r="V316" s="3">
        <f t="shared" si="5"/>
        <v>1</v>
      </c>
      <c r="W316" s="3">
        <f t="shared" si="6"/>
        <v>2</v>
      </c>
      <c r="X316" s="3" t="str">
        <f>IFERROR(__xludf.DUMMYFUNCTION("split(B316,"" "")"),"D.")</f>
        <v>D.</v>
      </c>
      <c r="Y316" s="3" t="str">
        <f>IFERROR(__xludf.DUMMYFUNCTION("""COMPUTED_VALUE"""),"Douglas")</f>
        <v>Douglas</v>
      </c>
      <c r="AA316" s="3">
        <v>92.0</v>
      </c>
      <c r="AB316" s="3">
        <f t="shared" si="7"/>
        <v>1</v>
      </c>
      <c r="AC316" s="3">
        <f t="shared" si="8"/>
        <v>0</v>
      </c>
      <c r="AD316" s="3">
        <f t="shared" si="9"/>
        <v>0.8849557522</v>
      </c>
      <c r="AE316" s="3">
        <f t="shared" si="10"/>
        <v>-1</v>
      </c>
      <c r="AF316" s="3">
        <f t="shared" si="11"/>
        <v>-2</v>
      </c>
      <c r="AG316" s="3">
        <f t="shared" si="12"/>
        <v>-2.016393443</v>
      </c>
    </row>
    <row r="317">
      <c r="A317" s="1" t="s">
        <v>11</v>
      </c>
      <c r="B317" s="1" t="s">
        <v>383</v>
      </c>
      <c r="C317" s="1" t="s">
        <v>19</v>
      </c>
      <c r="D317" s="1" t="s">
        <v>66</v>
      </c>
      <c r="E317" s="1" t="s">
        <v>72</v>
      </c>
      <c r="F317" s="1" t="s">
        <v>608</v>
      </c>
      <c r="G317" s="1">
        <v>17.5</v>
      </c>
      <c r="H317" s="1" t="s">
        <v>60</v>
      </c>
      <c r="I317" s="1">
        <v>-112.0</v>
      </c>
      <c r="J317" s="1">
        <v>-0.0663643981491416</v>
      </c>
      <c r="K317" s="1" t="s">
        <v>61</v>
      </c>
      <c r="L317" s="1" t="s">
        <v>61</v>
      </c>
      <c r="M317" s="1" t="s">
        <v>62</v>
      </c>
      <c r="N317" s="1">
        <v>-114.0</v>
      </c>
      <c r="O317" s="1">
        <v>0.00537325114338571</v>
      </c>
      <c r="P317" s="1" t="s">
        <v>61</v>
      </c>
      <c r="Q317" s="1" t="s">
        <v>61</v>
      </c>
      <c r="R317" s="1">
        <f t="shared" si="1"/>
        <v>0.005373251143</v>
      </c>
      <c r="S317" s="1">
        <f t="shared" si="2"/>
        <v>-114</v>
      </c>
      <c r="T317" s="1">
        <f t="shared" si="3"/>
        <v>1.877192982</v>
      </c>
      <c r="U317" s="1">
        <f t="shared" si="4"/>
        <v>0</v>
      </c>
      <c r="V317" s="3">
        <f t="shared" si="5"/>
        <v>1</v>
      </c>
      <c r="W317" s="3">
        <f t="shared" si="6"/>
        <v>2</v>
      </c>
      <c r="X317" s="3" t="str">
        <f>IFERROR(__xludf.DUMMYFUNCTION("split(B317,"" "")"),"A.")</f>
        <v>A.</v>
      </c>
      <c r="Y317" s="3" t="str">
        <f>IFERROR(__xludf.DUMMYFUNCTION("""COMPUTED_VALUE"""),"Gibson")</f>
        <v>Gibson</v>
      </c>
      <c r="AA317" s="3">
        <v>24.0</v>
      </c>
      <c r="AB317" s="3">
        <f t="shared" si="7"/>
        <v>1</v>
      </c>
      <c r="AC317" s="3">
        <f t="shared" si="8"/>
        <v>0</v>
      </c>
      <c r="AD317" s="3">
        <f t="shared" si="9"/>
        <v>0.8771929825</v>
      </c>
      <c r="AE317" s="3">
        <f t="shared" si="10"/>
        <v>-1</v>
      </c>
      <c r="AF317" s="3">
        <f t="shared" si="11"/>
        <v>-2</v>
      </c>
      <c r="AG317" s="3">
        <f t="shared" si="12"/>
        <v>-0.3714285714</v>
      </c>
    </row>
    <row r="318">
      <c r="A318" s="1" t="s">
        <v>9</v>
      </c>
      <c r="B318" s="1" t="s">
        <v>598</v>
      </c>
      <c r="C318" s="1" t="s">
        <v>18</v>
      </c>
      <c r="D318" s="1" t="s">
        <v>58</v>
      </c>
      <c r="E318" s="1" t="s">
        <v>113</v>
      </c>
      <c r="F318" s="1" t="s">
        <v>608</v>
      </c>
      <c r="G318" s="1">
        <v>7.5</v>
      </c>
      <c r="H318" s="1" t="s">
        <v>60</v>
      </c>
      <c r="I318" s="1">
        <v>-120.0</v>
      </c>
      <c r="J318" s="1">
        <v>0.207314231626753</v>
      </c>
      <c r="K318" s="1" t="s">
        <v>61</v>
      </c>
      <c r="L318" s="1" t="s">
        <v>61</v>
      </c>
      <c r="M318" s="1" t="s">
        <v>62</v>
      </c>
      <c r="N318" s="1">
        <v>-110.0</v>
      </c>
      <c r="O318" s="1">
        <v>-0.276573543112735</v>
      </c>
      <c r="P318" s="1" t="s">
        <v>61</v>
      </c>
      <c r="Q318" s="1" t="s">
        <v>61</v>
      </c>
      <c r="R318" s="1">
        <f t="shared" si="1"/>
        <v>0.2073142316</v>
      </c>
      <c r="S318" s="1">
        <f t="shared" si="2"/>
        <v>-120</v>
      </c>
      <c r="T318" s="1">
        <f t="shared" si="3"/>
        <v>1.833333333</v>
      </c>
      <c r="U318" s="1">
        <f t="shared" si="4"/>
        <v>1</v>
      </c>
      <c r="V318" s="3">
        <f t="shared" si="5"/>
        <v>3</v>
      </c>
      <c r="W318" s="3">
        <f t="shared" si="6"/>
        <v>3</v>
      </c>
      <c r="X318" s="3" t="str">
        <f>IFERROR(__xludf.DUMMYFUNCTION("split(B318,"" "")"),"M.")</f>
        <v>M.</v>
      </c>
      <c r="Y318" s="3" t="str">
        <f>IFERROR(__xludf.DUMMYFUNCTION("""COMPUTED_VALUE"""),"Tipton")</f>
        <v>Tipton</v>
      </c>
      <c r="AA318" s="3">
        <v>15.0</v>
      </c>
      <c r="AB318" s="3">
        <f t="shared" si="7"/>
        <v>1</v>
      </c>
      <c r="AC318" s="3">
        <f t="shared" si="8"/>
        <v>1</v>
      </c>
      <c r="AD318" s="3">
        <f t="shared" si="9"/>
        <v>2.5</v>
      </c>
      <c r="AE318" s="3">
        <f t="shared" si="10"/>
        <v>2.5</v>
      </c>
      <c r="AF318" s="3">
        <f t="shared" si="11"/>
        <v>2.5</v>
      </c>
      <c r="AG318" s="3">
        <f t="shared" si="12"/>
        <v>1</v>
      </c>
    </row>
    <row r="319">
      <c r="A319" s="1" t="s">
        <v>8</v>
      </c>
      <c r="B319" s="1" t="s">
        <v>623</v>
      </c>
      <c r="C319" s="1" t="s">
        <v>21</v>
      </c>
      <c r="D319" s="1" t="s">
        <v>58</v>
      </c>
      <c r="E319" s="1" t="s">
        <v>113</v>
      </c>
      <c r="F319" s="1" t="s">
        <v>608</v>
      </c>
      <c r="G319" s="1">
        <v>3.5</v>
      </c>
      <c r="H319" s="1" t="s">
        <v>60</v>
      </c>
      <c r="I319" s="1">
        <v>-110.0</v>
      </c>
      <c r="J319" s="1">
        <v>-0.227558219721955</v>
      </c>
      <c r="K319" s="1" t="s">
        <v>61</v>
      </c>
      <c r="L319" s="1" t="s">
        <v>61</v>
      </c>
      <c r="M319" s="1" t="s">
        <v>62</v>
      </c>
      <c r="N319" s="1">
        <v>-120.0</v>
      </c>
      <c r="O319" s="1">
        <v>0.158286688045148</v>
      </c>
      <c r="P319" s="1" t="s">
        <v>61</v>
      </c>
      <c r="Q319" s="1" t="s">
        <v>61</v>
      </c>
      <c r="R319" s="1">
        <f t="shared" si="1"/>
        <v>0.158286688</v>
      </c>
      <c r="S319" s="1">
        <f t="shared" si="2"/>
        <v>-120</v>
      </c>
      <c r="T319" s="1">
        <f t="shared" si="3"/>
        <v>1.833333333</v>
      </c>
      <c r="U319" s="1">
        <f t="shared" si="4"/>
        <v>0</v>
      </c>
      <c r="V319" s="3">
        <f t="shared" si="5"/>
        <v>3</v>
      </c>
      <c r="W319" s="3">
        <f t="shared" si="6"/>
        <v>3</v>
      </c>
      <c r="X319" s="3" t="str">
        <f>IFERROR(__xludf.DUMMYFUNCTION("split(B319,"" "")"),"S.")</f>
        <v>S.</v>
      </c>
      <c r="Y319" s="3" t="str">
        <f>IFERROR(__xludf.DUMMYFUNCTION("""COMPUTED_VALUE"""),"Rattler")</f>
        <v>Rattler</v>
      </c>
      <c r="AA319" s="3">
        <v>4.0</v>
      </c>
      <c r="AB319" s="3">
        <f t="shared" si="7"/>
        <v>1</v>
      </c>
      <c r="AC319" s="3">
        <f t="shared" si="8"/>
        <v>0</v>
      </c>
      <c r="AD319" s="3">
        <f t="shared" si="9"/>
        <v>2.5</v>
      </c>
      <c r="AE319" s="3">
        <f t="shared" si="10"/>
        <v>-3</v>
      </c>
      <c r="AF319" s="3">
        <f t="shared" si="11"/>
        <v>-3</v>
      </c>
      <c r="AG319" s="3">
        <f t="shared" si="12"/>
        <v>-0.1428571429</v>
      </c>
    </row>
    <row r="320">
      <c r="A320" s="1" t="s">
        <v>11</v>
      </c>
      <c r="B320" s="1" t="s">
        <v>127</v>
      </c>
      <c r="C320" s="1" t="s">
        <v>19</v>
      </c>
      <c r="D320" s="1" t="s">
        <v>58</v>
      </c>
      <c r="E320" s="1" t="s">
        <v>113</v>
      </c>
      <c r="F320" s="1" t="s">
        <v>608</v>
      </c>
      <c r="G320" s="1">
        <v>1.5</v>
      </c>
      <c r="H320" s="1" t="s">
        <v>60</v>
      </c>
      <c r="I320" s="1">
        <v>-118.0</v>
      </c>
      <c r="J320" s="1">
        <v>0.155319914301933</v>
      </c>
      <c r="K320" s="1" t="s">
        <v>61</v>
      </c>
      <c r="L320" s="1" t="s">
        <v>61</v>
      </c>
      <c r="M320" s="1" t="s">
        <v>62</v>
      </c>
      <c r="N320" s="1">
        <v>-108.0</v>
      </c>
      <c r="O320" s="1">
        <v>-0.215822464534842</v>
      </c>
      <c r="P320" s="1" t="s">
        <v>61</v>
      </c>
      <c r="Q320" s="1" t="s">
        <v>61</v>
      </c>
      <c r="R320" s="1">
        <f t="shared" si="1"/>
        <v>0.1553199143</v>
      </c>
      <c r="S320" s="1">
        <f t="shared" si="2"/>
        <v>-118</v>
      </c>
      <c r="T320" s="1">
        <f t="shared" si="3"/>
        <v>1.847457627</v>
      </c>
      <c r="U320" s="1">
        <f t="shared" si="4"/>
        <v>1</v>
      </c>
      <c r="V320" s="3">
        <f t="shared" si="5"/>
        <v>3</v>
      </c>
      <c r="W320" s="3">
        <f t="shared" si="6"/>
        <v>3</v>
      </c>
      <c r="X320" s="3" t="str">
        <f>IFERROR(__xludf.DUMMYFUNCTION("split(B320,"" "")"),"J.")</f>
        <v>J.</v>
      </c>
      <c r="Y320" s="3" t="str">
        <f>IFERROR(__xludf.DUMMYFUNCTION("""COMPUTED_VALUE"""),"Williams")</f>
        <v>Williams</v>
      </c>
      <c r="AA320" s="3">
        <v>0.0</v>
      </c>
      <c r="AB320" s="3">
        <f t="shared" si="7"/>
        <v>0</v>
      </c>
      <c r="AC320" s="3">
        <f t="shared" si="8"/>
        <v>0</v>
      </c>
      <c r="AD320" s="3">
        <f t="shared" si="9"/>
        <v>2.542372881</v>
      </c>
      <c r="AE320" s="3">
        <f t="shared" si="10"/>
        <v>-3</v>
      </c>
      <c r="AF320" s="3">
        <f t="shared" si="11"/>
        <v>-3</v>
      </c>
      <c r="AG320" s="3">
        <f t="shared" si="12"/>
        <v>-1</v>
      </c>
    </row>
    <row r="321">
      <c r="A321" s="1" t="s">
        <v>14</v>
      </c>
      <c r="B321" s="1" t="s">
        <v>623</v>
      </c>
      <c r="C321" s="1" t="s">
        <v>21</v>
      </c>
      <c r="D321" s="1" t="s">
        <v>58</v>
      </c>
      <c r="E321" s="1" t="s">
        <v>113</v>
      </c>
      <c r="F321" s="1" t="s">
        <v>608</v>
      </c>
      <c r="G321" s="1">
        <v>0.5</v>
      </c>
      <c r="H321" s="1" t="s">
        <v>60</v>
      </c>
      <c r="I321" s="1">
        <v>-210.0</v>
      </c>
      <c r="J321" s="1">
        <v>-0.155484322645161</v>
      </c>
      <c r="K321" s="1" t="s">
        <v>61</v>
      </c>
      <c r="L321" s="1" t="s">
        <v>61</v>
      </c>
      <c r="M321" s="1" t="s">
        <v>62</v>
      </c>
      <c r="N321" s="1">
        <v>162.0</v>
      </c>
      <c r="O321" s="1">
        <v>0.0963791603816794</v>
      </c>
      <c r="P321" s="1" t="s">
        <v>61</v>
      </c>
      <c r="Q321" s="1" t="s">
        <v>61</v>
      </c>
      <c r="R321" s="1">
        <f t="shared" si="1"/>
        <v>0.09637916038</v>
      </c>
      <c r="S321" s="1">
        <f t="shared" si="2"/>
        <v>162</v>
      </c>
      <c r="T321" s="1">
        <f t="shared" si="3"/>
        <v>2.62</v>
      </c>
      <c r="U321" s="1">
        <f t="shared" si="4"/>
        <v>0</v>
      </c>
      <c r="V321" s="3">
        <f t="shared" si="5"/>
        <v>2</v>
      </c>
      <c r="W321" s="3">
        <f t="shared" si="6"/>
        <v>1</v>
      </c>
      <c r="X321" s="3" t="str">
        <f>IFERROR(__xludf.DUMMYFUNCTION("split(B321,"" "")"),"S.")</f>
        <v>S.</v>
      </c>
      <c r="Y321" s="3" t="str">
        <f>IFERROR(__xludf.DUMMYFUNCTION("""COMPUTED_VALUE"""),"Rattler")</f>
        <v>Rattler</v>
      </c>
      <c r="AA321" s="3">
        <v>1.0</v>
      </c>
      <c r="AB321" s="3">
        <f t="shared" si="7"/>
        <v>1</v>
      </c>
      <c r="AC321" s="3">
        <f t="shared" si="8"/>
        <v>0</v>
      </c>
      <c r="AD321" s="3">
        <f t="shared" si="9"/>
        <v>3.24</v>
      </c>
      <c r="AE321" s="3">
        <f t="shared" si="10"/>
        <v>-2</v>
      </c>
      <c r="AF321" s="3">
        <f t="shared" si="11"/>
        <v>-1</v>
      </c>
      <c r="AG321" s="3">
        <f t="shared" si="12"/>
        <v>-1</v>
      </c>
    </row>
    <row r="322">
      <c r="A322" s="1" t="s">
        <v>17</v>
      </c>
      <c r="B322" s="1" t="s">
        <v>623</v>
      </c>
      <c r="C322" s="1" t="s">
        <v>21</v>
      </c>
      <c r="D322" s="1" t="s">
        <v>58</v>
      </c>
      <c r="E322" s="1" t="s">
        <v>113</v>
      </c>
      <c r="F322" s="1" t="s">
        <v>608</v>
      </c>
      <c r="G322" s="1">
        <v>0.5</v>
      </c>
      <c r="H322" s="1" t="s">
        <v>60</v>
      </c>
      <c r="I322" s="1">
        <v>-154.0</v>
      </c>
      <c r="J322" s="1">
        <v>-0.160899212598425</v>
      </c>
      <c r="K322" s="1" t="s">
        <v>61</v>
      </c>
      <c r="L322" s="1" t="s">
        <v>61</v>
      </c>
      <c r="M322" s="1" t="s">
        <v>62</v>
      </c>
      <c r="N322" s="1">
        <v>118.0</v>
      </c>
      <c r="O322" s="1">
        <v>0.0958844036697246</v>
      </c>
      <c r="P322" s="1" t="s">
        <v>61</v>
      </c>
      <c r="Q322" s="1" t="s">
        <v>61</v>
      </c>
      <c r="R322" s="1">
        <f t="shared" si="1"/>
        <v>0.09588440367</v>
      </c>
      <c r="S322" s="1">
        <f t="shared" si="2"/>
        <v>118</v>
      </c>
      <c r="T322" s="1">
        <f t="shared" si="3"/>
        <v>2.18</v>
      </c>
      <c r="U322" s="1">
        <f t="shared" si="4"/>
        <v>0</v>
      </c>
      <c r="V322" s="3">
        <f t="shared" si="5"/>
        <v>2</v>
      </c>
      <c r="W322" s="3">
        <f t="shared" si="6"/>
        <v>1</v>
      </c>
      <c r="X322" s="3" t="str">
        <f>IFERROR(__xludf.DUMMYFUNCTION("split(B322,"" "")"),"S.")</f>
        <v>S.</v>
      </c>
      <c r="Y322" s="3" t="str">
        <f>IFERROR(__xludf.DUMMYFUNCTION("""COMPUTED_VALUE"""),"Rattler")</f>
        <v>Rattler</v>
      </c>
      <c r="AA322" s="3">
        <v>2.0</v>
      </c>
      <c r="AB322" s="3">
        <f t="shared" si="7"/>
        <v>1</v>
      </c>
      <c r="AC322" s="3">
        <f t="shared" si="8"/>
        <v>0</v>
      </c>
      <c r="AD322" s="3">
        <f t="shared" si="9"/>
        <v>2.36</v>
      </c>
      <c r="AE322" s="3">
        <f t="shared" si="10"/>
        <v>-2</v>
      </c>
      <c r="AF322" s="3">
        <f t="shared" si="11"/>
        <v>-1</v>
      </c>
      <c r="AG322" s="3">
        <f t="shared" si="12"/>
        <v>-3</v>
      </c>
    </row>
    <row r="323">
      <c r="A323" s="1" t="s">
        <v>12</v>
      </c>
      <c r="B323" s="1" t="s">
        <v>282</v>
      </c>
      <c r="C323" s="1" t="s">
        <v>19</v>
      </c>
      <c r="D323" s="1" t="s">
        <v>58</v>
      </c>
      <c r="E323" s="1" t="s">
        <v>113</v>
      </c>
      <c r="F323" s="1" t="s">
        <v>608</v>
      </c>
      <c r="G323" s="1">
        <v>4.5</v>
      </c>
      <c r="H323" s="1" t="s">
        <v>60</v>
      </c>
      <c r="I323" s="1">
        <v>-117.0</v>
      </c>
      <c r="J323" s="1">
        <v>-0.158132258064516</v>
      </c>
      <c r="K323" s="1" t="s">
        <v>61</v>
      </c>
      <c r="L323" s="1" t="s">
        <v>61</v>
      </c>
      <c r="M323" s="1" t="s">
        <v>62</v>
      </c>
      <c r="N323" s="1">
        <v>-113.0</v>
      </c>
      <c r="O323" s="1">
        <v>0.0884244131455398</v>
      </c>
      <c r="P323" s="1" t="s">
        <v>61</v>
      </c>
      <c r="Q323" s="1" t="s">
        <v>61</v>
      </c>
      <c r="R323" s="1">
        <f t="shared" si="1"/>
        <v>0.08842441315</v>
      </c>
      <c r="S323" s="1">
        <f t="shared" si="2"/>
        <v>-113</v>
      </c>
      <c r="T323" s="1">
        <f t="shared" si="3"/>
        <v>1.884955752</v>
      </c>
      <c r="U323" s="1">
        <f t="shared" si="4"/>
        <v>0</v>
      </c>
      <c r="V323" s="3">
        <f t="shared" si="5"/>
        <v>2</v>
      </c>
      <c r="W323" s="3">
        <f t="shared" si="6"/>
        <v>2</v>
      </c>
      <c r="X323" s="3" t="str">
        <f>IFERROR(__xludf.DUMMYFUNCTION("split(B323,"" "")"),"A.")</f>
        <v>A.</v>
      </c>
      <c r="Y323" s="3" t="str">
        <f>IFERROR(__xludf.DUMMYFUNCTION("""COMPUTED_VALUE"""),"Kamara")</f>
        <v>Kamara</v>
      </c>
      <c r="AA323" s="3">
        <v>5.0</v>
      </c>
      <c r="AB323" s="3">
        <f t="shared" si="7"/>
        <v>1</v>
      </c>
      <c r="AC323" s="3">
        <f t="shared" si="8"/>
        <v>0</v>
      </c>
      <c r="AD323" s="3">
        <f t="shared" si="9"/>
        <v>1.769911504</v>
      </c>
      <c r="AE323" s="3">
        <f t="shared" si="10"/>
        <v>-2</v>
      </c>
      <c r="AF323" s="3">
        <f t="shared" si="11"/>
        <v>-2</v>
      </c>
      <c r="AG323" s="3">
        <f t="shared" si="12"/>
        <v>-0.1111111111</v>
      </c>
    </row>
    <row r="324">
      <c r="A324" s="1" t="s">
        <v>12</v>
      </c>
      <c r="B324" s="1" t="s">
        <v>193</v>
      </c>
      <c r="C324" s="1" t="s">
        <v>20</v>
      </c>
      <c r="D324" s="1" t="s">
        <v>58</v>
      </c>
      <c r="E324" s="1" t="s">
        <v>113</v>
      </c>
      <c r="F324" s="1" t="s">
        <v>608</v>
      </c>
      <c r="G324" s="1">
        <v>2.5</v>
      </c>
      <c r="H324" s="1" t="s">
        <v>60</v>
      </c>
      <c r="I324" s="1">
        <v>101.0</v>
      </c>
      <c r="J324" s="1">
        <v>-0.1505110156199</v>
      </c>
      <c r="K324" s="1" t="s">
        <v>61</v>
      </c>
      <c r="L324" s="1" t="s">
        <v>61</v>
      </c>
      <c r="M324" s="1" t="s">
        <v>62</v>
      </c>
      <c r="N324" s="1">
        <v>-133.0</v>
      </c>
      <c r="O324" s="1">
        <v>0.0821965317030043</v>
      </c>
      <c r="P324" s="1" t="s">
        <v>61</v>
      </c>
      <c r="Q324" s="1" t="s">
        <v>61</v>
      </c>
      <c r="R324" s="1">
        <f t="shared" si="1"/>
        <v>0.0821965317</v>
      </c>
      <c r="S324" s="1">
        <f t="shared" si="2"/>
        <v>-133</v>
      </c>
      <c r="T324" s="1">
        <f t="shared" si="3"/>
        <v>1.751879699</v>
      </c>
      <c r="U324" s="1">
        <f t="shared" si="4"/>
        <v>0</v>
      </c>
      <c r="V324" s="3">
        <f t="shared" si="5"/>
        <v>2</v>
      </c>
      <c r="W324" s="3">
        <f t="shared" si="6"/>
        <v>3</v>
      </c>
      <c r="X324" s="3" t="str">
        <f>IFERROR(__xludf.DUMMYFUNCTION("split(B324,"" "")"),"J.")</f>
        <v>J.</v>
      </c>
      <c r="Y324" s="3" t="str">
        <f>IFERROR(__xludf.DUMMYFUNCTION("""COMPUTED_VALUE"""),"Johnson")</f>
        <v>Johnson</v>
      </c>
      <c r="AA324" s="3">
        <v>3.0</v>
      </c>
      <c r="AB324" s="3">
        <f t="shared" si="7"/>
        <v>1</v>
      </c>
      <c r="AC324" s="3">
        <f t="shared" si="8"/>
        <v>0</v>
      </c>
      <c r="AD324" s="3">
        <f t="shared" si="9"/>
        <v>1.503759398</v>
      </c>
      <c r="AE324" s="3">
        <f t="shared" si="10"/>
        <v>-2</v>
      </c>
      <c r="AF324" s="3">
        <f t="shared" si="11"/>
        <v>-3</v>
      </c>
      <c r="AG324" s="3">
        <f t="shared" si="12"/>
        <v>-0.2</v>
      </c>
    </row>
    <row r="325">
      <c r="A325" s="1" t="s">
        <v>13</v>
      </c>
      <c r="B325" s="1" t="s">
        <v>623</v>
      </c>
      <c r="C325" s="1" t="s">
        <v>21</v>
      </c>
      <c r="D325" s="1" t="s">
        <v>58</v>
      </c>
      <c r="E325" s="1" t="s">
        <v>113</v>
      </c>
      <c r="F325" s="1" t="s">
        <v>608</v>
      </c>
      <c r="G325" s="1">
        <v>180.5</v>
      </c>
      <c r="H325" s="1" t="s">
        <v>60</v>
      </c>
      <c r="I325" s="1">
        <v>-108.0</v>
      </c>
      <c r="J325" s="1">
        <v>0.0654347514903846</v>
      </c>
      <c r="K325" s="1" t="s">
        <v>61</v>
      </c>
      <c r="L325" s="1" t="s">
        <v>61</v>
      </c>
      <c r="M325" s="1" t="s">
        <v>62</v>
      </c>
      <c r="N325" s="1">
        <v>-124.0</v>
      </c>
      <c r="O325" s="1">
        <v>-0.138095442430357</v>
      </c>
      <c r="P325" s="1" t="s">
        <v>61</v>
      </c>
      <c r="Q325" s="1" t="s">
        <v>61</v>
      </c>
      <c r="R325" s="1">
        <f t="shared" si="1"/>
        <v>0.06543475149</v>
      </c>
      <c r="S325" s="1">
        <f t="shared" si="2"/>
        <v>-108</v>
      </c>
      <c r="T325" s="1">
        <f t="shared" si="3"/>
        <v>1.925925926</v>
      </c>
      <c r="U325" s="1">
        <f t="shared" si="4"/>
        <v>1</v>
      </c>
      <c r="V325" s="3">
        <f t="shared" si="5"/>
        <v>2</v>
      </c>
      <c r="W325" s="3">
        <f t="shared" si="6"/>
        <v>2</v>
      </c>
      <c r="X325" s="3" t="str">
        <f>IFERROR(__xludf.DUMMYFUNCTION("split(B325,"" "")"),"S.")</f>
        <v>S.</v>
      </c>
      <c r="Y325" s="3" t="str">
        <f>IFERROR(__xludf.DUMMYFUNCTION("""COMPUTED_VALUE"""),"Rattler")</f>
        <v>Rattler</v>
      </c>
      <c r="AA325" s="3">
        <v>243.0</v>
      </c>
      <c r="AB325" s="3">
        <f t="shared" si="7"/>
        <v>1</v>
      </c>
      <c r="AC325" s="3">
        <f t="shared" si="8"/>
        <v>1</v>
      </c>
      <c r="AD325" s="3">
        <f t="shared" si="9"/>
        <v>1.851851852</v>
      </c>
      <c r="AE325" s="3">
        <f t="shared" si="10"/>
        <v>1.851851852</v>
      </c>
      <c r="AF325" s="3">
        <f t="shared" si="11"/>
        <v>1.851851852</v>
      </c>
      <c r="AG325" s="3">
        <f t="shared" si="12"/>
        <v>0.3462603878</v>
      </c>
    </row>
    <row r="326">
      <c r="A326" s="1" t="s">
        <v>11</v>
      </c>
      <c r="B326" s="1" t="s">
        <v>553</v>
      </c>
      <c r="C326" s="1" t="s">
        <v>20</v>
      </c>
      <c r="D326" s="1" t="s">
        <v>58</v>
      </c>
      <c r="E326" s="1" t="s">
        <v>113</v>
      </c>
      <c r="F326" s="1" t="s">
        <v>608</v>
      </c>
      <c r="G326" s="1">
        <v>8.5</v>
      </c>
      <c r="H326" s="1" t="s">
        <v>60</v>
      </c>
      <c r="I326" s="1">
        <v>-118.0</v>
      </c>
      <c r="J326" s="1">
        <v>0.0627401915887108</v>
      </c>
      <c r="K326" s="1" t="s">
        <v>61</v>
      </c>
      <c r="L326" s="1" t="s">
        <v>61</v>
      </c>
      <c r="M326" s="1" t="s">
        <v>62</v>
      </c>
      <c r="N326" s="1">
        <v>-109.0</v>
      </c>
      <c r="O326" s="1">
        <v>-0.125504288637844</v>
      </c>
      <c r="P326" s="1" t="s">
        <v>61</v>
      </c>
      <c r="Q326" s="1" t="s">
        <v>61</v>
      </c>
      <c r="R326" s="1">
        <f t="shared" si="1"/>
        <v>0.06274019159</v>
      </c>
      <c r="S326" s="1">
        <f t="shared" si="2"/>
        <v>-118</v>
      </c>
      <c r="T326" s="1">
        <f t="shared" si="3"/>
        <v>1.847457627</v>
      </c>
      <c r="U326" s="1">
        <f t="shared" si="4"/>
        <v>1</v>
      </c>
      <c r="V326" s="3">
        <f t="shared" si="5"/>
        <v>2</v>
      </c>
      <c r="W326" s="3">
        <f t="shared" si="6"/>
        <v>3</v>
      </c>
      <c r="X326" s="3" t="str">
        <f>IFERROR(__xludf.DUMMYFUNCTION("split(B326,"" "")"),"F.")</f>
        <v>F.</v>
      </c>
      <c r="Y326" s="3" t="str">
        <f>IFERROR(__xludf.DUMMYFUNCTION("""COMPUTED_VALUE"""),"Moreau")</f>
        <v>Moreau</v>
      </c>
      <c r="AA326" s="3">
        <v>54.0</v>
      </c>
      <c r="AB326" s="3">
        <f t="shared" si="7"/>
        <v>1</v>
      </c>
      <c r="AC326" s="3">
        <f t="shared" si="8"/>
        <v>1</v>
      </c>
      <c r="AD326" s="3">
        <f t="shared" si="9"/>
        <v>1.694915254</v>
      </c>
      <c r="AE326" s="3">
        <f t="shared" si="10"/>
        <v>1.694915254</v>
      </c>
      <c r="AF326" s="3">
        <f t="shared" si="11"/>
        <v>2.542372881</v>
      </c>
      <c r="AG326" s="3">
        <f t="shared" si="12"/>
        <v>5.352941176</v>
      </c>
    </row>
    <row r="327">
      <c r="A327" s="1" t="s">
        <v>11</v>
      </c>
      <c r="B327" s="1" t="s">
        <v>598</v>
      </c>
      <c r="C327" s="1" t="s">
        <v>18</v>
      </c>
      <c r="D327" s="1" t="s">
        <v>58</v>
      </c>
      <c r="E327" s="1" t="s">
        <v>113</v>
      </c>
      <c r="F327" s="1" t="s">
        <v>608</v>
      </c>
      <c r="G327" s="1">
        <v>7.5</v>
      </c>
      <c r="H327" s="1" t="s">
        <v>60</v>
      </c>
      <c r="I327" s="1">
        <v>-118.0</v>
      </c>
      <c r="J327" s="1">
        <v>0.0543728457508012</v>
      </c>
      <c r="K327" s="1" t="s">
        <v>61</v>
      </c>
      <c r="L327" s="1" t="s">
        <v>61</v>
      </c>
      <c r="M327" s="1" t="s">
        <v>62</v>
      </c>
      <c r="N327" s="1">
        <v>-108.0</v>
      </c>
      <c r="O327" s="1">
        <v>-0.114855994247926</v>
      </c>
      <c r="P327" s="1" t="s">
        <v>61</v>
      </c>
      <c r="Q327" s="1" t="s">
        <v>61</v>
      </c>
      <c r="R327" s="1">
        <f t="shared" si="1"/>
        <v>0.05437284575</v>
      </c>
      <c r="S327" s="1">
        <f t="shared" si="2"/>
        <v>-118</v>
      </c>
      <c r="T327" s="1">
        <f t="shared" si="3"/>
        <v>1.847457627</v>
      </c>
      <c r="U327" s="1">
        <f t="shared" si="4"/>
        <v>1</v>
      </c>
      <c r="V327" s="3">
        <f t="shared" si="5"/>
        <v>2</v>
      </c>
      <c r="W327" s="3">
        <f t="shared" si="6"/>
        <v>3</v>
      </c>
      <c r="X327" s="3" t="str">
        <f>IFERROR(__xludf.DUMMYFUNCTION("split(B327,"" "")"),"M.")</f>
        <v>M.</v>
      </c>
      <c r="Y327" s="3" t="str">
        <f>IFERROR(__xludf.DUMMYFUNCTION("""COMPUTED_VALUE"""),"Tipton")</f>
        <v>Tipton</v>
      </c>
      <c r="AA327" s="3">
        <v>15.0</v>
      </c>
      <c r="AB327" s="3">
        <f t="shared" si="7"/>
        <v>1</v>
      </c>
      <c r="AC327" s="3">
        <f t="shared" si="8"/>
        <v>1</v>
      </c>
      <c r="AD327" s="3">
        <f t="shared" si="9"/>
        <v>1.694915254</v>
      </c>
      <c r="AE327" s="3">
        <f t="shared" si="10"/>
        <v>1.694915254</v>
      </c>
      <c r="AF327" s="3">
        <f t="shared" si="11"/>
        <v>2.542372881</v>
      </c>
      <c r="AG327" s="3">
        <f t="shared" si="12"/>
        <v>1</v>
      </c>
    </row>
    <row r="328">
      <c r="A328" s="1" t="s">
        <v>11</v>
      </c>
      <c r="B328" s="1" t="s">
        <v>282</v>
      </c>
      <c r="C328" s="1" t="s">
        <v>19</v>
      </c>
      <c r="D328" s="1" t="s">
        <v>58</v>
      </c>
      <c r="E328" s="1" t="s">
        <v>113</v>
      </c>
      <c r="F328" s="1" t="s">
        <v>608</v>
      </c>
      <c r="G328" s="1">
        <v>33.5</v>
      </c>
      <c r="H328" s="1" t="s">
        <v>60</v>
      </c>
      <c r="I328" s="1">
        <v>-109.0</v>
      </c>
      <c r="J328" s="1">
        <v>-0.118640047812487</v>
      </c>
      <c r="K328" s="1" t="s">
        <v>61</v>
      </c>
      <c r="L328" s="1" t="s">
        <v>61</v>
      </c>
      <c r="M328" s="1" t="s">
        <v>62</v>
      </c>
      <c r="N328" s="1">
        <v>-120.0</v>
      </c>
      <c r="O328" s="1">
        <v>0.0516967001122363</v>
      </c>
      <c r="P328" s="1" t="s">
        <v>61</v>
      </c>
      <c r="Q328" s="1" t="s">
        <v>61</v>
      </c>
      <c r="R328" s="1">
        <f t="shared" si="1"/>
        <v>0.05169670011</v>
      </c>
      <c r="S328" s="1">
        <f t="shared" si="2"/>
        <v>-120</v>
      </c>
      <c r="T328" s="1">
        <f t="shared" si="3"/>
        <v>1.833333333</v>
      </c>
      <c r="U328" s="1">
        <f t="shared" si="4"/>
        <v>0</v>
      </c>
      <c r="V328" s="3">
        <f t="shared" si="5"/>
        <v>2</v>
      </c>
      <c r="W328" s="3">
        <f t="shared" si="6"/>
        <v>3</v>
      </c>
      <c r="X328" s="3" t="str">
        <f>IFERROR(__xludf.DUMMYFUNCTION("split(B328,"" "")"),"A.")</f>
        <v>A.</v>
      </c>
      <c r="Y328" s="3" t="str">
        <f>IFERROR(__xludf.DUMMYFUNCTION("""COMPUTED_VALUE"""),"Kamara")</f>
        <v>Kamara</v>
      </c>
      <c r="AA328" s="3">
        <v>24.0</v>
      </c>
      <c r="AB328" s="3">
        <f t="shared" si="7"/>
        <v>0</v>
      </c>
      <c r="AC328" s="3">
        <f t="shared" si="8"/>
        <v>1</v>
      </c>
      <c r="AD328" s="3">
        <f t="shared" si="9"/>
        <v>1.666666667</v>
      </c>
      <c r="AE328" s="3">
        <f t="shared" si="10"/>
        <v>1.666666667</v>
      </c>
      <c r="AF328" s="3">
        <f t="shared" si="11"/>
        <v>2.5</v>
      </c>
      <c r="AG328" s="3">
        <f t="shared" si="12"/>
        <v>0.2835820896</v>
      </c>
    </row>
    <row r="329">
      <c r="A329" s="1" t="s">
        <v>9</v>
      </c>
      <c r="B329" s="1" t="s">
        <v>491</v>
      </c>
      <c r="C329" s="1" t="s">
        <v>18</v>
      </c>
      <c r="D329" s="1" t="s">
        <v>58</v>
      </c>
      <c r="E329" s="1" t="s">
        <v>113</v>
      </c>
      <c r="F329" s="1" t="s">
        <v>608</v>
      </c>
      <c r="G329" s="1">
        <v>47.5</v>
      </c>
      <c r="H329" s="1" t="s">
        <v>60</v>
      </c>
      <c r="I329" s="1">
        <v>-110.0</v>
      </c>
      <c r="J329" s="1">
        <v>0.0485805620770554</v>
      </c>
      <c r="K329" s="1" t="s">
        <v>61</v>
      </c>
      <c r="L329" s="1" t="s">
        <v>61</v>
      </c>
      <c r="M329" s="1" t="s">
        <v>62</v>
      </c>
      <c r="N329" s="1">
        <v>-120.0</v>
      </c>
      <c r="O329" s="1">
        <v>-0.117785007470081</v>
      </c>
      <c r="P329" s="1" t="s">
        <v>61</v>
      </c>
      <c r="Q329" s="1" t="s">
        <v>61</v>
      </c>
      <c r="R329" s="1">
        <f t="shared" si="1"/>
        <v>0.04858056208</v>
      </c>
      <c r="S329" s="1">
        <f t="shared" si="2"/>
        <v>-110</v>
      </c>
      <c r="T329" s="1">
        <f t="shared" si="3"/>
        <v>1.909090909</v>
      </c>
      <c r="U329" s="1">
        <f t="shared" si="4"/>
        <v>1</v>
      </c>
      <c r="V329" s="3">
        <f t="shared" si="5"/>
        <v>1</v>
      </c>
      <c r="W329" s="3">
        <f t="shared" si="6"/>
        <v>2</v>
      </c>
      <c r="X329" s="3" t="str">
        <f>IFERROR(__xludf.DUMMYFUNCTION("split(B329,"" "")"),"C.")</f>
        <v>C.</v>
      </c>
      <c r="Y329" s="3" t="str">
        <f>IFERROR(__xludf.DUMMYFUNCTION("""COMPUTED_VALUE"""),"Olave")</f>
        <v>Olave</v>
      </c>
      <c r="AA329" s="3">
        <v>5.0</v>
      </c>
      <c r="AB329" s="3">
        <f t="shared" si="7"/>
        <v>0</v>
      </c>
      <c r="AC329" s="3">
        <f t="shared" si="8"/>
        <v>0</v>
      </c>
      <c r="AD329" s="3">
        <f t="shared" si="9"/>
        <v>0.9090909091</v>
      </c>
      <c r="AE329" s="3">
        <f t="shared" si="10"/>
        <v>-1</v>
      </c>
      <c r="AF329" s="3">
        <f t="shared" si="11"/>
        <v>-2</v>
      </c>
      <c r="AG329" s="3">
        <f t="shared" si="12"/>
        <v>-0.8947368421</v>
      </c>
    </row>
    <row r="330">
      <c r="A330" s="1" t="s">
        <v>10</v>
      </c>
      <c r="B330" s="1" t="s">
        <v>623</v>
      </c>
      <c r="C330" s="1" t="s">
        <v>21</v>
      </c>
      <c r="D330" s="1" t="s">
        <v>58</v>
      </c>
      <c r="E330" s="1" t="s">
        <v>113</v>
      </c>
      <c r="F330" s="1" t="s">
        <v>608</v>
      </c>
      <c r="G330" s="1">
        <v>15.5</v>
      </c>
      <c r="H330" s="1" t="s">
        <v>60</v>
      </c>
      <c r="I330" s="1">
        <v>-118.0</v>
      </c>
      <c r="J330" s="1">
        <v>-0.110171455425981</v>
      </c>
      <c r="K330" s="1" t="s">
        <v>61</v>
      </c>
      <c r="L330" s="1" t="s">
        <v>61</v>
      </c>
      <c r="M330" s="1" t="s">
        <v>62</v>
      </c>
      <c r="N330" s="1">
        <v>-111.0</v>
      </c>
      <c r="O330" s="1">
        <v>0.0428334823885259</v>
      </c>
      <c r="P330" s="1" t="s">
        <v>61</v>
      </c>
      <c r="Q330" s="1" t="s">
        <v>61</v>
      </c>
      <c r="R330" s="1">
        <f t="shared" si="1"/>
        <v>0.04283348239</v>
      </c>
      <c r="S330" s="1">
        <f t="shared" si="2"/>
        <v>-111</v>
      </c>
      <c r="T330" s="1">
        <f t="shared" si="3"/>
        <v>1.900900901</v>
      </c>
      <c r="U330" s="1">
        <f t="shared" si="4"/>
        <v>0</v>
      </c>
      <c r="V330" s="3">
        <f t="shared" si="5"/>
        <v>1</v>
      </c>
      <c r="W330" s="3">
        <f t="shared" si="6"/>
        <v>2</v>
      </c>
      <c r="X330" s="3" t="str">
        <f>IFERROR(__xludf.DUMMYFUNCTION("split(B330,"" "")"),"S.")</f>
        <v>S.</v>
      </c>
      <c r="Y330" s="3" t="str">
        <f>IFERROR(__xludf.DUMMYFUNCTION("""COMPUTED_VALUE"""),"Rattler")</f>
        <v>Rattler</v>
      </c>
      <c r="AA330" s="3">
        <v>27.0</v>
      </c>
      <c r="AB330" s="3">
        <f t="shared" si="7"/>
        <v>1</v>
      </c>
      <c r="AC330" s="3">
        <f t="shared" si="8"/>
        <v>0</v>
      </c>
      <c r="AD330" s="3">
        <f t="shared" si="9"/>
        <v>0.9009009009</v>
      </c>
      <c r="AE330" s="3">
        <f t="shared" si="10"/>
        <v>-1</v>
      </c>
      <c r="AF330" s="3">
        <f t="shared" si="11"/>
        <v>-2</v>
      </c>
      <c r="AG330" s="3">
        <f t="shared" si="12"/>
        <v>-0.7419354839</v>
      </c>
    </row>
    <row r="331">
      <c r="A331" s="1" t="s">
        <v>9</v>
      </c>
      <c r="B331" s="1" t="s">
        <v>282</v>
      </c>
      <c r="C331" s="1" t="s">
        <v>19</v>
      </c>
      <c r="D331" s="1" t="s">
        <v>58</v>
      </c>
      <c r="E331" s="1" t="s">
        <v>113</v>
      </c>
      <c r="F331" s="1" t="s">
        <v>608</v>
      </c>
      <c r="G331" s="1">
        <v>105.5</v>
      </c>
      <c r="H331" s="1" t="s">
        <v>60</v>
      </c>
      <c r="I331" s="1">
        <v>-117.0</v>
      </c>
      <c r="J331" s="1">
        <v>-0.105353129581665</v>
      </c>
      <c r="K331" s="1" t="s">
        <v>61</v>
      </c>
      <c r="L331" s="1" t="s">
        <v>61</v>
      </c>
      <c r="M331" s="1" t="s">
        <v>62</v>
      </c>
      <c r="N331" s="1">
        <v>-118.0</v>
      </c>
      <c r="O331" s="1">
        <v>0.0249298680664642</v>
      </c>
      <c r="P331" s="1" t="s">
        <v>61</v>
      </c>
      <c r="Q331" s="1" t="s">
        <v>61</v>
      </c>
      <c r="R331" s="1">
        <f t="shared" si="1"/>
        <v>0.02492986807</v>
      </c>
      <c r="S331" s="1">
        <f t="shared" si="2"/>
        <v>-118</v>
      </c>
      <c r="T331" s="1">
        <f t="shared" si="3"/>
        <v>1.847457627</v>
      </c>
      <c r="U331" s="1">
        <f t="shared" si="4"/>
        <v>0</v>
      </c>
      <c r="V331" s="3">
        <f t="shared" si="5"/>
        <v>1</v>
      </c>
      <c r="W331" s="3">
        <f t="shared" si="6"/>
        <v>3</v>
      </c>
      <c r="X331" s="3" t="str">
        <f>IFERROR(__xludf.DUMMYFUNCTION("split(B331,"" "")"),"A.")</f>
        <v>A.</v>
      </c>
      <c r="Y331" s="3" t="str">
        <f>IFERROR(__xludf.DUMMYFUNCTION("""COMPUTED_VALUE"""),"Kamara")</f>
        <v>Kamara</v>
      </c>
      <c r="AA331" s="3">
        <v>64.0</v>
      </c>
      <c r="AB331" s="3">
        <f t="shared" si="7"/>
        <v>0</v>
      </c>
      <c r="AC331" s="3">
        <f t="shared" si="8"/>
        <v>1</v>
      </c>
      <c r="AD331" s="3">
        <f t="shared" si="9"/>
        <v>0.8474576271</v>
      </c>
      <c r="AE331" s="3">
        <f t="shared" si="10"/>
        <v>0.8474576271</v>
      </c>
      <c r="AF331" s="3">
        <f t="shared" si="11"/>
        <v>2.542372881</v>
      </c>
      <c r="AG331" s="3">
        <f t="shared" si="12"/>
        <v>0.3933649289</v>
      </c>
    </row>
    <row r="332">
      <c r="A332" s="1" t="s">
        <v>12</v>
      </c>
      <c r="B332" s="1" t="s">
        <v>428</v>
      </c>
      <c r="C332" s="1" t="s">
        <v>18</v>
      </c>
      <c r="D332" s="1" t="s">
        <v>58</v>
      </c>
      <c r="E332" s="1" t="s">
        <v>113</v>
      </c>
      <c r="F332" s="1" t="s">
        <v>608</v>
      </c>
      <c r="G332" s="1">
        <v>3.5</v>
      </c>
      <c r="H332" s="1" t="s">
        <v>60</v>
      </c>
      <c r="I332" s="1">
        <v>-104.0</v>
      </c>
      <c r="J332" s="1">
        <v>-0.0916529411764704</v>
      </c>
      <c r="K332" s="1" t="s">
        <v>61</v>
      </c>
      <c r="L332" s="1" t="s">
        <v>61</v>
      </c>
      <c r="M332" s="1" t="s">
        <v>62</v>
      </c>
      <c r="N332" s="1">
        <v>-127.0</v>
      </c>
      <c r="O332" s="1">
        <v>0.0223845814977973</v>
      </c>
      <c r="P332" s="1" t="s">
        <v>61</v>
      </c>
      <c r="Q332" s="1" t="s">
        <v>61</v>
      </c>
      <c r="R332" s="1">
        <f t="shared" si="1"/>
        <v>0.0223845815</v>
      </c>
      <c r="S332" s="1">
        <f t="shared" si="2"/>
        <v>-127</v>
      </c>
      <c r="T332" s="1">
        <f t="shared" si="3"/>
        <v>1.787401575</v>
      </c>
      <c r="U332" s="1">
        <f t="shared" si="4"/>
        <v>0</v>
      </c>
      <c r="V332" s="3">
        <f t="shared" si="5"/>
        <v>1</v>
      </c>
      <c r="W332" s="3">
        <f t="shared" si="6"/>
        <v>3</v>
      </c>
      <c r="X332" s="3" t="str">
        <f>IFERROR(__xludf.DUMMYFUNCTION("split(B332,"" "")"),"R.")</f>
        <v>R.</v>
      </c>
      <c r="Y332" s="3" t="str">
        <f>IFERROR(__xludf.DUMMYFUNCTION("""COMPUTED_VALUE"""),"Shaheed")</f>
        <v>Shaheed</v>
      </c>
      <c r="AA332" s="3">
        <v>1.0</v>
      </c>
      <c r="AB332" s="3">
        <f t="shared" si="7"/>
        <v>0</v>
      </c>
      <c r="AC332" s="3">
        <f t="shared" si="8"/>
        <v>1</v>
      </c>
      <c r="AD332" s="3">
        <f t="shared" si="9"/>
        <v>0.7874015748</v>
      </c>
      <c r="AE332" s="3">
        <f t="shared" si="10"/>
        <v>0.7874015748</v>
      </c>
      <c r="AF332" s="3">
        <f t="shared" si="11"/>
        <v>2.362204724</v>
      </c>
      <c r="AG332" s="3">
        <f t="shared" si="12"/>
        <v>0.7142857143</v>
      </c>
    </row>
    <row r="333">
      <c r="A333" s="1" t="s">
        <v>10</v>
      </c>
      <c r="B333" s="1" t="s">
        <v>282</v>
      </c>
      <c r="C333" s="1" t="s">
        <v>19</v>
      </c>
      <c r="D333" s="1" t="s">
        <v>58</v>
      </c>
      <c r="E333" s="1" t="s">
        <v>113</v>
      </c>
      <c r="F333" s="1" t="s">
        <v>608</v>
      </c>
      <c r="G333" s="1">
        <v>66.5</v>
      </c>
      <c r="H333" s="1" t="s">
        <v>60</v>
      </c>
      <c r="I333" s="1">
        <v>-113.0</v>
      </c>
      <c r="J333" s="1">
        <v>-0.0893593402624338</v>
      </c>
      <c r="K333" s="1" t="s">
        <v>61</v>
      </c>
      <c r="L333" s="1" t="s">
        <v>61</v>
      </c>
      <c r="M333" s="1" t="s">
        <v>62</v>
      </c>
      <c r="N333" s="1">
        <v>-116.0</v>
      </c>
      <c r="O333" s="1">
        <v>0.0218117892889918</v>
      </c>
      <c r="P333" s="1" t="s">
        <v>61</v>
      </c>
      <c r="Q333" s="1" t="s">
        <v>61</v>
      </c>
      <c r="R333" s="1">
        <f t="shared" si="1"/>
        <v>0.02181178929</v>
      </c>
      <c r="S333" s="1">
        <f t="shared" si="2"/>
        <v>-116</v>
      </c>
      <c r="T333" s="1">
        <f t="shared" si="3"/>
        <v>1.862068966</v>
      </c>
      <c r="U333" s="1">
        <f t="shared" si="4"/>
        <v>0</v>
      </c>
      <c r="V333" s="3">
        <f t="shared" si="5"/>
        <v>1</v>
      </c>
      <c r="W333" s="3">
        <f t="shared" si="6"/>
        <v>2</v>
      </c>
      <c r="X333" s="3" t="str">
        <f>IFERROR(__xludf.DUMMYFUNCTION("split(B333,"" "")"),"A.")</f>
        <v>A.</v>
      </c>
      <c r="Y333" s="3" t="str">
        <f>IFERROR(__xludf.DUMMYFUNCTION("""COMPUTED_VALUE"""),"Kamara")</f>
        <v>Kamara</v>
      </c>
      <c r="AA333" s="3">
        <v>40.0</v>
      </c>
      <c r="AB333" s="3">
        <f t="shared" si="7"/>
        <v>0</v>
      </c>
      <c r="AC333" s="3">
        <f t="shared" si="8"/>
        <v>1</v>
      </c>
      <c r="AD333" s="3">
        <f t="shared" si="9"/>
        <v>0.8620689655</v>
      </c>
      <c r="AE333" s="3">
        <f t="shared" si="10"/>
        <v>0.8620689655</v>
      </c>
      <c r="AF333" s="3">
        <f t="shared" si="11"/>
        <v>1.724137931</v>
      </c>
      <c r="AG333" s="3">
        <f t="shared" si="12"/>
        <v>0.3984962406</v>
      </c>
    </row>
    <row r="334">
      <c r="A334" s="1" t="s">
        <v>12</v>
      </c>
      <c r="B334" s="1" t="s">
        <v>491</v>
      </c>
      <c r="C334" s="1" t="s">
        <v>18</v>
      </c>
      <c r="D334" s="1" t="s">
        <v>58</v>
      </c>
      <c r="E334" s="1" t="s">
        <v>113</v>
      </c>
      <c r="F334" s="1" t="s">
        <v>608</v>
      </c>
      <c r="G334" s="1">
        <v>4.5</v>
      </c>
      <c r="H334" s="1" t="s">
        <v>60</v>
      </c>
      <c r="I334" s="1">
        <v>102.0</v>
      </c>
      <c r="J334" s="1">
        <v>0.0184514851485149</v>
      </c>
      <c r="K334" s="1" t="s">
        <v>61</v>
      </c>
      <c r="L334" s="1" t="s">
        <v>61</v>
      </c>
      <c r="M334" s="1" t="s">
        <v>62</v>
      </c>
      <c r="N334" s="1">
        <v>-135.0</v>
      </c>
      <c r="O334" s="1">
        <v>-0.0879829787234042</v>
      </c>
      <c r="P334" s="1" t="s">
        <v>61</v>
      </c>
      <c r="Q334" s="1" t="s">
        <v>61</v>
      </c>
      <c r="R334" s="1">
        <f t="shared" si="1"/>
        <v>0.01845148515</v>
      </c>
      <c r="S334" s="1">
        <f t="shared" si="2"/>
        <v>102</v>
      </c>
      <c r="T334" s="1">
        <f t="shared" si="3"/>
        <v>2.02</v>
      </c>
      <c r="U334" s="1">
        <f t="shared" si="4"/>
        <v>1</v>
      </c>
      <c r="V334" s="3">
        <f t="shared" si="5"/>
        <v>1</v>
      </c>
      <c r="W334" s="3">
        <f t="shared" si="6"/>
        <v>2</v>
      </c>
      <c r="X334" s="3" t="str">
        <f>IFERROR(__xludf.DUMMYFUNCTION("split(B334,"" "")"),"C.")</f>
        <v>C.</v>
      </c>
      <c r="Y334" s="3" t="str">
        <f>IFERROR(__xludf.DUMMYFUNCTION("""COMPUTED_VALUE"""),"Olave")</f>
        <v>Olave</v>
      </c>
      <c r="AA334" s="3">
        <v>1.0</v>
      </c>
      <c r="AB334" s="3">
        <f t="shared" si="7"/>
        <v>0</v>
      </c>
      <c r="AC334" s="3">
        <f t="shared" si="8"/>
        <v>0</v>
      </c>
      <c r="AD334" s="3">
        <f t="shared" si="9"/>
        <v>1.02</v>
      </c>
      <c r="AE334" s="3">
        <f t="shared" si="10"/>
        <v>-1</v>
      </c>
      <c r="AF334" s="3">
        <f t="shared" si="11"/>
        <v>-2</v>
      </c>
      <c r="AG334" s="3">
        <f t="shared" si="12"/>
        <v>-0.7777777778</v>
      </c>
    </row>
    <row r="335">
      <c r="A335" s="1" t="s">
        <v>9</v>
      </c>
      <c r="B335" s="1" t="s">
        <v>428</v>
      </c>
      <c r="C335" s="1" t="s">
        <v>18</v>
      </c>
      <c r="D335" s="1" t="s">
        <v>58</v>
      </c>
      <c r="E335" s="1" t="s">
        <v>113</v>
      </c>
      <c r="F335" s="1" t="s">
        <v>608</v>
      </c>
      <c r="G335" s="1">
        <v>43.5</v>
      </c>
      <c r="H335" s="1" t="s">
        <v>60</v>
      </c>
      <c r="I335" s="1">
        <v>-118.0</v>
      </c>
      <c r="J335" s="1">
        <v>0.0142229705666799</v>
      </c>
      <c r="K335" s="1" t="s">
        <v>61</v>
      </c>
      <c r="L335" s="1" t="s">
        <v>61</v>
      </c>
      <c r="M335" s="1" t="s">
        <v>62</v>
      </c>
      <c r="N335" s="1">
        <v>-114.0</v>
      </c>
      <c r="O335" s="1">
        <v>-0.0881543207721088</v>
      </c>
      <c r="P335" s="1" t="s">
        <v>61</v>
      </c>
      <c r="Q335" s="1" t="s">
        <v>61</v>
      </c>
      <c r="R335" s="1">
        <f t="shared" si="1"/>
        <v>0.01422297057</v>
      </c>
      <c r="S335" s="1">
        <f t="shared" si="2"/>
        <v>-118</v>
      </c>
      <c r="T335" s="1">
        <f t="shared" si="3"/>
        <v>1.847457627</v>
      </c>
      <c r="U335" s="1">
        <f t="shared" si="4"/>
        <v>1</v>
      </c>
      <c r="V335" s="3">
        <f t="shared" si="5"/>
        <v>1</v>
      </c>
      <c r="W335" s="3">
        <f t="shared" si="6"/>
        <v>3</v>
      </c>
      <c r="X335" s="3" t="str">
        <f>IFERROR(__xludf.DUMMYFUNCTION("split(B335,"" "")"),"R.")</f>
        <v>R.</v>
      </c>
      <c r="Y335" s="3" t="str">
        <f>IFERROR(__xludf.DUMMYFUNCTION("""COMPUTED_VALUE"""),"Shaheed")</f>
        <v>Shaheed</v>
      </c>
      <c r="AA335" s="3">
        <v>13.0</v>
      </c>
      <c r="AB335" s="3">
        <f t="shared" si="7"/>
        <v>0</v>
      </c>
      <c r="AC335" s="3">
        <f t="shared" si="8"/>
        <v>0</v>
      </c>
      <c r="AD335" s="3">
        <f t="shared" si="9"/>
        <v>0.8474576271</v>
      </c>
      <c r="AE335" s="3">
        <f t="shared" si="10"/>
        <v>-1</v>
      </c>
      <c r="AF335" s="3">
        <f t="shared" si="11"/>
        <v>-3</v>
      </c>
      <c r="AG335" s="3">
        <f t="shared" si="12"/>
        <v>-0.7011494253</v>
      </c>
    </row>
    <row r="336">
      <c r="A336" s="1" t="s">
        <v>8</v>
      </c>
      <c r="B336" s="1" t="s">
        <v>282</v>
      </c>
      <c r="C336" s="1" t="s">
        <v>19</v>
      </c>
      <c r="D336" s="1" t="s">
        <v>58</v>
      </c>
      <c r="E336" s="1" t="s">
        <v>113</v>
      </c>
      <c r="F336" s="1" t="s">
        <v>608</v>
      </c>
      <c r="G336" s="1">
        <v>16.5</v>
      </c>
      <c r="H336" s="1" t="s">
        <v>60</v>
      </c>
      <c r="I336" s="1">
        <v>-119.0</v>
      </c>
      <c r="J336" s="1">
        <v>-0.0793324053424656</v>
      </c>
      <c r="K336" s="1" t="s">
        <v>61</v>
      </c>
      <c r="L336" s="1" t="s">
        <v>61</v>
      </c>
      <c r="M336" s="1" t="s">
        <v>62</v>
      </c>
      <c r="N336" s="1">
        <v>-111.0</v>
      </c>
      <c r="O336" s="1">
        <v>0.00987997352938385</v>
      </c>
      <c r="P336" s="1" t="s">
        <v>61</v>
      </c>
      <c r="Q336" s="1" t="s">
        <v>61</v>
      </c>
      <c r="R336" s="1">
        <f t="shared" si="1"/>
        <v>0.009879973529</v>
      </c>
      <c r="S336" s="1">
        <f t="shared" si="2"/>
        <v>-111</v>
      </c>
      <c r="T336" s="1">
        <f t="shared" si="3"/>
        <v>1.900900901</v>
      </c>
      <c r="U336" s="1">
        <f t="shared" si="4"/>
        <v>0</v>
      </c>
      <c r="V336" s="3">
        <f t="shared" si="5"/>
        <v>1</v>
      </c>
      <c r="W336" s="3">
        <f t="shared" si="6"/>
        <v>2</v>
      </c>
      <c r="X336" s="3" t="str">
        <f>IFERROR(__xludf.DUMMYFUNCTION("split(B336,"" "")"),"A.")</f>
        <v>A.</v>
      </c>
      <c r="Y336" s="3" t="str">
        <f>IFERROR(__xludf.DUMMYFUNCTION("""COMPUTED_VALUE"""),"Kamara")</f>
        <v>Kamara</v>
      </c>
      <c r="AA336" s="3">
        <v>13.0</v>
      </c>
      <c r="AB336" s="3">
        <f t="shared" si="7"/>
        <v>0</v>
      </c>
      <c r="AC336" s="3">
        <f t="shared" si="8"/>
        <v>1</v>
      </c>
      <c r="AD336" s="3">
        <f t="shared" si="9"/>
        <v>0.9009009009</v>
      </c>
      <c r="AE336" s="3">
        <f t="shared" si="10"/>
        <v>0.9009009009</v>
      </c>
      <c r="AF336" s="3">
        <f t="shared" si="11"/>
        <v>1.801801802</v>
      </c>
      <c r="AG336" s="3">
        <f t="shared" si="12"/>
        <v>0.2121212121</v>
      </c>
    </row>
    <row r="337">
      <c r="A337" s="1" t="s">
        <v>16</v>
      </c>
      <c r="B337" s="1" t="s">
        <v>623</v>
      </c>
      <c r="C337" s="1" t="s">
        <v>21</v>
      </c>
      <c r="D337" s="1" t="s">
        <v>58</v>
      </c>
      <c r="E337" s="1" t="s">
        <v>113</v>
      </c>
      <c r="F337" s="1" t="s">
        <v>608</v>
      </c>
      <c r="G337" s="1">
        <v>29.5</v>
      </c>
      <c r="H337" s="1" t="s">
        <v>60</v>
      </c>
      <c r="I337" s="1">
        <v>-113.0</v>
      </c>
      <c r="J337" s="1">
        <v>-0.0693672340375586</v>
      </c>
      <c r="K337" s="1" t="s">
        <v>61</v>
      </c>
      <c r="L337" s="1" t="s">
        <v>61</v>
      </c>
      <c r="M337" s="1" t="s">
        <v>62</v>
      </c>
      <c r="N337" s="1">
        <v>-116.0</v>
      </c>
      <c r="O337" s="1">
        <v>0.00180668604629619</v>
      </c>
      <c r="P337" s="1" t="s">
        <v>61</v>
      </c>
      <c r="Q337" s="1" t="s">
        <v>61</v>
      </c>
      <c r="R337" s="1">
        <f t="shared" si="1"/>
        <v>0.001806686046</v>
      </c>
      <c r="S337" s="1">
        <f t="shared" si="2"/>
        <v>-116</v>
      </c>
      <c r="T337" s="1">
        <f t="shared" si="3"/>
        <v>1.862068966</v>
      </c>
      <c r="U337" s="1">
        <f t="shared" si="4"/>
        <v>0</v>
      </c>
      <c r="V337" s="3">
        <f t="shared" si="5"/>
        <v>1</v>
      </c>
      <c r="W337" s="3">
        <f t="shared" si="6"/>
        <v>2</v>
      </c>
      <c r="X337" s="3" t="str">
        <f>IFERROR(__xludf.DUMMYFUNCTION("split(B337,"" "")"),"S.")</f>
        <v>S.</v>
      </c>
      <c r="Y337" s="3" t="str">
        <f>IFERROR(__xludf.DUMMYFUNCTION("""COMPUTED_VALUE"""),"Rattler")</f>
        <v>Rattler</v>
      </c>
      <c r="AA337" s="3">
        <v>40.0</v>
      </c>
      <c r="AB337" s="3">
        <f t="shared" si="7"/>
        <v>1</v>
      </c>
      <c r="AC337" s="3">
        <f t="shared" si="8"/>
        <v>0</v>
      </c>
      <c r="AD337" s="3">
        <f t="shared" si="9"/>
        <v>0.8620689655</v>
      </c>
      <c r="AE337" s="3">
        <f t="shared" si="10"/>
        <v>-1</v>
      </c>
      <c r="AF337" s="3">
        <f t="shared" si="11"/>
        <v>-2</v>
      </c>
      <c r="AG337" s="3">
        <f t="shared" si="12"/>
        <v>-0.3559322034</v>
      </c>
    </row>
    <row r="338">
      <c r="A338" s="1" t="s">
        <v>9</v>
      </c>
      <c r="B338" s="1" t="s">
        <v>150</v>
      </c>
      <c r="C338" s="1" t="s">
        <v>18</v>
      </c>
      <c r="D338" s="1" t="s">
        <v>147</v>
      </c>
      <c r="E338" s="1" t="s">
        <v>67</v>
      </c>
      <c r="F338" s="1" t="s">
        <v>614</v>
      </c>
      <c r="G338" s="1">
        <v>19.5</v>
      </c>
      <c r="H338" s="1" t="s">
        <v>60</v>
      </c>
      <c r="I338" s="1">
        <v>-117.0</v>
      </c>
      <c r="J338" s="1">
        <v>0.138546004065132</v>
      </c>
      <c r="K338" s="1" t="s">
        <v>61</v>
      </c>
      <c r="L338" s="1" t="s">
        <v>61</v>
      </c>
      <c r="M338" s="1" t="s">
        <v>62</v>
      </c>
      <c r="N338" s="1">
        <v>-116.0</v>
      </c>
      <c r="O338" s="1">
        <v>-0.21469013029294</v>
      </c>
      <c r="P338" s="1" t="s">
        <v>61</v>
      </c>
      <c r="Q338" s="1" t="s">
        <v>61</v>
      </c>
      <c r="R338" s="1">
        <f t="shared" si="1"/>
        <v>0.1385460041</v>
      </c>
      <c r="S338" s="1">
        <f t="shared" si="2"/>
        <v>-117</v>
      </c>
      <c r="T338" s="1">
        <f t="shared" si="3"/>
        <v>1.854700855</v>
      </c>
      <c r="U338" s="1">
        <f t="shared" si="4"/>
        <v>1</v>
      </c>
      <c r="V338" s="3">
        <f t="shared" si="5"/>
        <v>3</v>
      </c>
      <c r="W338" s="3">
        <f t="shared" si="6"/>
        <v>2</v>
      </c>
      <c r="X338" s="3" t="str">
        <f>IFERROR(__xludf.DUMMYFUNCTION("split(B338,"" "")"),"J.")</f>
        <v>J.</v>
      </c>
      <c r="Y338" s="3" t="str">
        <f>IFERROR(__xludf.DUMMYFUNCTION("""COMPUTED_VALUE"""),"Hyatt")</f>
        <v>Hyatt</v>
      </c>
      <c r="AA338" s="3">
        <v>6.0</v>
      </c>
      <c r="AB338" s="3">
        <f t="shared" si="7"/>
        <v>0</v>
      </c>
      <c r="AC338" s="3">
        <f t="shared" si="8"/>
        <v>0</v>
      </c>
      <c r="AD338" s="3">
        <f t="shared" si="9"/>
        <v>2.564102564</v>
      </c>
      <c r="AE338" s="3">
        <f t="shared" si="10"/>
        <v>-3</v>
      </c>
      <c r="AF338" s="3">
        <f t="shared" si="11"/>
        <v>-2</v>
      </c>
      <c r="AG338" s="3">
        <f t="shared" si="12"/>
        <v>-0.6923076923</v>
      </c>
    </row>
    <row r="339">
      <c r="A339" s="1" t="s">
        <v>8</v>
      </c>
      <c r="B339" s="1" t="s">
        <v>260</v>
      </c>
      <c r="C339" s="1" t="s">
        <v>21</v>
      </c>
      <c r="D339" s="1" t="s">
        <v>147</v>
      </c>
      <c r="E339" s="1" t="s">
        <v>67</v>
      </c>
      <c r="F339" s="1" t="s">
        <v>614</v>
      </c>
      <c r="G339" s="1">
        <v>7.0</v>
      </c>
      <c r="H339" s="1" t="s">
        <v>60</v>
      </c>
      <c r="I339" s="1">
        <v>-108.0</v>
      </c>
      <c r="J339" s="1">
        <v>-0.203292323469935</v>
      </c>
      <c r="K339" s="1" t="s">
        <v>61</v>
      </c>
      <c r="L339" s="1" t="s">
        <v>61</v>
      </c>
      <c r="M339" s="1" t="s">
        <v>62</v>
      </c>
      <c r="N339" s="1">
        <v>-130.0</v>
      </c>
      <c r="O339" s="1">
        <v>0.125529757679436</v>
      </c>
      <c r="P339" s="1" t="s">
        <v>61</v>
      </c>
      <c r="Q339" s="1" t="s">
        <v>61</v>
      </c>
      <c r="R339" s="1">
        <f t="shared" si="1"/>
        <v>0.1255297577</v>
      </c>
      <c r="S339" s="1">
        <f t="shared" si="2"/>
        <v>-130</v>
      </c>
      <c r="T339" s="1">
        <f t="shared" si="3"/>
        <v>1.769230769</v>
      </c>
      <c r="U339" s="1">
        <f t="shared" si="4"/>
        <v>0</v>
      </c>
      <c r="V339" s="3">
        <f t="shared" si="5"/>
        <v>3</v>
      </c>
      <c r="W339" s="3">
        <f t="shared" si="6"/>
        <v>3</v>
      </c>
      <c r="X339" s="3" t="str">
        <f>IFERROR(__xludf.DUMMYFUNCTION("split(B339,"" "")"),"D.")</f>
        <v>D.</v>
      </c>
      <c r="Y339" s="3" t="str">
        <f>IFERROR(__xludf.DUMMYFUNCTION("""COMPUTED_VALUE"""),"Jones")</f>
        <v>Jones</v>
      </c>
      <c r="AA339" s="3">
        <v>11.0</v>
      </c>
      <c r="AB339" s="3">
        <f t="shared" si="7"/>
        <v>1</v>
      </c>
      <c r="AC339" s="3">
        <f t="shared" si="8"/>
        <v>0</v>
      </c>
      <c r="AD339" s="3">
        <f t="shared" si="9"/>
        <v>2.307692308</v>
      </c>
      <c r="AE339" s="3">
        <f t="shared" si="10"/>
        <v>-3</v>
      </c>
      <c r="AF339" s="3">
        <f t="shared" si="11"/>
        <v>-3</v>
      </c>
      <c r="AG339" s="3">
        <f t="shared" si="12"/>
        <v>-0.5714285714</v>
      </c>
    </row>
    <row r="340">
      <c r="A340" s="1" t="s">
        <v>12</v>
      </c>
      <c r="B340" s="1" t="s">
        <v>150</v>
      </c>
      <c r="C340" s="1" t="s">
        <v>18</v>
      </c>
      <c r="D340" s="1" t="s">
        <v>147</v>
      </c>
      <c r="E340" s="1" t="s">
        <v>67</v>
      </c>
      <c r="F340" s="1" t="s">
        <v>614</v>
      </c>
      <c r="G340" s="1">
        <v>1.5</v>
      </c>
      <c r="H340" s="1" t="s">
        <v>60</v>
      </c>
      <c r="I340" s="1">
        <v>-141.0</v>
      </c>
      <c r="J340" s="1">
        <v>-0.18876113406224</v>
      </c>
      <c r="K340" s="1" t="s">
        <v>61</v>
      </c>
      <c r="L340" s="1" t="s">
        <v>61</v>
      </c>
      <c r="M340" s="1" t="s">
        <v>62</v>
      </c>
      <c r="N340" s="1">
        <v>107.0</v>
      </c>
      <c r="O340" s="1">
        <v>0.120606924198067</v>
      </c>
      <c r="P340" s="1" t="s">
        <v>61</v>
      </c>
      <c r="Q340" s="1" t="s">
        <v>61</v>
      </c>
      <c r="R340" s="1">
        <f t="shared" si="1"/>
        <v>0.1206069242</v>
      </c>
      <c r="S340" s="1">
        <f t="shared" si="2"/>
        <v>107</v>
      </c>
      <c r="T340" s="1">
        <f t="shared" si="3"/>
        <v>2.07</v>
      </c>
      <c r="U340" s="1">
        <f t="shared" si="4"/>
        <v>0</v>
      </c>
      <c r="V340" s="3">
        <f t="shared" si="5"/>
        <v>3</v>
      </c>
      <c r="W340" s="3">
        <f t="shared" si="6"/>
        <v>2</v>
      </c>
      <c r="X340" s="3" t="str">
        <f>IFERROR(__xludf.DUMMYFUNCTION("split(B340,"" "")"),"J.")</f>
        <v>J.</v>
      </c>
      <c r="Y340" s="3" t="str">
        <f>IFERROR(__xludf.DUMMYFUNCTION("""COMPUTED_VALUE"""),"Hyatt")</f>
        <v>Hyatt</v>
      </c>
      <c r="AA340" s="3">
        <v>1.0</v>
      </c>
      <c r="AB340" s="3">
        <f t="shared" si="7"/>
        <v>0</v>
      </c>
      <c r="AC340" s="3">
        <f t="shared" si="8"/>
        <v>1</v>
      </c>
      <c r="AD340" s="3">
        <f t="shared" si="9"/>
        <v>3.21</v>
      </c>
      <c r="AE340" s="3">
        <f t="shared" si="10"/>
        <v>3.21</v>
      </c>
      <c r="AF340" s="3">
        <f t="shared" si="11"/>
        <v>2.14</v>
      </c>
      <c r="AG340" s="3">
        <f t="shared" si="12"/>
        <v>0.3333333333</v>
      </c>
    </row>
    <row r="341">
      <c r="A341" s="1" t="s">
        <v>12</v>
      </c>
      <c r="B341" s="1" t="s">
        <v>568</v>
      </c>
      <c r="C341" s="1" t="s">
        <v>19</v>
      </c>
      <c r="D341" s="1" t="s">
        <v>147</v>
      </c>
      <c r="E341" s="1" t="s">
        <v>67</v>
      </c>
      <c r="F341" s="1" t="s">
        <v>614</v>
      </c>
      <c r="G341" s="1">
        <v>2.5</v>
      </c>
      <c r="H341" s="1" t="s">
        <v>60</v>
      </c>
      <c r="I341" s="1">
        <v>109.0</v>
      </c>
      <c r="J341" s="1">
        <v>-0.17401528319378</v>
      </c>
      <c r="K341" s="1" t="s">
        <v>61</v>
      </c>
      <c r="L341" s="1" t="s">
        <v>61</v>
      </c>
      <c r="M341" s="1" t="s">
        <v>62</v>
      </c>
      <c r="N341" s="1">
        <v>-142.0</v>
      </c>
      <c r="O341" s="1">
        <v>0.108775326962809</v>
      </c>
      <c r="P341" s="1" t="s">
        <v>61</v>
      </c>
      <c r="Q341" s="1" t="s">
        <v>61</v>
      </c>
      <c r="R341" s="1">
        <f t="shared" si="1"/>
        <v>0.108775327</v>
      </c>
      <c r="S341" s="1">
        <f t="shared" si="2"/>
        <v>-142</v>
      </c>
      <c r="T341" s="1">
        <f t="shared" si="3"/>
        <v>1.704225352</v>
      </c>
      <c r="U341" s="1">
        <f t="shared" si="4"/>
        <v>0</v>
      </c>
      <c r="V341" s="3">
        <f t="shared" si="5"/>
        <v>3</v>
      </c>
      <c r="W341" s="3">
        <f t="shared" si="6"/>
        <v>3</v>
      </c>
      <c r="X341" s="3" t="str">
        <f>IFERROR(__xludf.DUMMYFUNCTION("split(B341,"" "")"),"T.")</f>
        <v>T.</v>
      </c>
      <c r="Y341" s="3" t="str">
        <f>IFERROR(__xludf.DUMMYFUNCTION("""COMPUTED_VALUE"""),"Tracy")</f>
        <v>Tracy</v>
      </c>
      <c r="AA341" s="3">
        <v>6.0</v>
      </c>
      <c r="AB341" s="3">
        <f t="shared" si="7"/>
        <v>1</v>
      </c>
      <c r="AC341" s="3">
        <f t="shared" si="8"/>
        <v>0</v>
      </c>
      <c r="AD341" s="3">
        <f t="shared" si="9"/>
        <v>2.112676056</v>
      </c>
      <c r="AE341" s="3">
        <f t="shared" si="10"/>
        <v>-3</v>
      </c>
      <c r="AF341" s="3">
        <f t="shared" si="11"/>
        <v>-3</v>
      </c>
      <c r="AG341" s="3">
        <f t="shared" si="12"/>
        <v>-1.4</v>
      </c>
    </row>
    <row r="342">
      <c r="A342" s="1" t="s">
        <v>12</v>
      </c>
      <c r="B342" s="1" t="s">
        <v>477</v>
      </c>
      <c r="C342" s="1" t="s">
        <v>20</v>
      </c>
      <c r="D342" s="1" t="s">
        <v>147</v>
      </c>
      <c r="E342" s="1" t="s">
        <v>67</v>
      </c>
      <c r="F342" s="1" t="s">
        <v>614</v>
      </c>
      <c r="G342" s="1">
        <v>3.5</v>
      </c>
      <c r="H342" s="1" t="s">
        <v>60</v>
      </c>
      <c r="I342" s="1">
        <v>147.0</v>
      </c>
      <c r="J342" s="1">
        <v>-0.157212691975708</v>
      </c>
      <c r="K342" s="1" t="s">
        <v>61</v>
      </c>
      <c r="L342" s="1" t="s">
        <v>61</v>
      </c>
      <c r="M342" s="1" t="s">
        <v>62</v>
      </c>
      <c r="N342" s="1">
        <v>-193.0</v>
      </c>
      <c r="O342" s="1">
        <v>0.0936571298361775</v>
      </c>
      <c r="P342" s="1" t="s">
        <v>61</v>
      </c>
      <c r="Q342" s="1" t="s">
        <v>61</v>
      </c>
      <c r="R342" s="1">
        <f t="shared" si="1"/>
        <v>0.09365712984</v>
      </c>
      <c r="S342" s="1">
        <f t="shared" si="2"/>
        <v>-193</v>
      </c>
      <c r="T342" s="1">
        <f t="shared" si="3"/>
        <v>1.518134715</v>
      </c>
      <c r="U342" s="1">
        <f t="shared" si="4"/>
        <v>0</v>
      </c>
      <c r="V342" s="3">
        <f t="shared" si="5"/>
        <v>2</v>
      </c>
      <c r="W342" s="3">
        <f t="shared" si="6"/>
        <v>3</v>
      </c>
      <c r="X342" s="3" t="str">
        <f>IFERROR(__xludf.DUMMYFUNCTION("split(B342,"" "")"),"T.")</f>
        <v>T.</v>
      </c>
      <c r="Y342" s="3" t="str">
        <f>IFERROR(__xludf.DUMMYFUNCTION("""COMPUTED_VALUE"""),"Johnson")</f>
        <v>Johnson</v>
      </c>
      <c r="AA342" s="3">
        <v>3.0</v>
      </c>
      <c r="AB342" s="3">
        <f t="shared" si="7"/>
        <v>0</v>
      </c>
      <c r="AC342" s="3">
        <f t="shared" si="8"/>
        <v>1</v>
      </c>
      <c r="AD342" s="3">
        <f t="shared" si="9"/>
        <v>1.03626943</v>
      </c>
      <c r="AE342" s="3">
        <f t="shared" si="10"/>
        <v>1.03626943</v>
      </c>
      <c r="AF342" s="3">
        <f t="shared" si="11"/>
        <v>1.554404145</v>
      </c>
      <c r="AG342" s="3">
        <f t="shared" si="12"/>
        <v>0.1428571429</v>
      </c>
    </row>
    <row r="343">
      <c r="A343" s="1" t="s">
        <v>11</v>
      </c>
      <c r="B343" s="1" t="s">
        <v>599</v>
      </c>
      <c r="C343" s="1" t="s">
        <v>19</v>
      </c>
      <c r="D343" s="1" t="s">
        <v>147</v>
      </c>
      <c r="E343" s="1" t="s">
        <v>67</v>
      </c>
      <c r="F343" s="1" t="s">
        <v>614</v>
      </c>
      <c r="G343" s="1">
        <v>8.5</v>
      </c>
      <c r="H343" s="1" t="s">
        <v>60</v>
      </c>
      <c r="I343" s="1">
        <v>-107.0</v>
      </c>
      <c r="J343" s="1">
        <v>0.0734840372560275</v>
      </c>
      <c r="K343" s="1" t="s">
        <v>61</v>
      </c>
      <c r="L343" s="1" t="s">
        <v>61</v>
      </c>
      <c r="M343" s="1" t="s">
        <v>62</v>
      </c>
      <c r="N343" s="1">
        <v>-118.0</v>
      </c>
      <c r="O343" s="1">
        <v>-0.131663674037418</v>
      </c>
      <c r="P343" s="1" t="s">
        <v>61</v>
      </c>
      <c r="Q343" s="1" t="s">
        <v>61</v>
      </c>
      <c r="R343" s="1">
        <f t="shared" si="1"/>
        <v>0.07348403726</v>
      </c>
      <c r="S343" s="1">
        <f t="shared" si="2"/>
        <v>-107</v>
      </c>
      <c r="T343" s="1">
        <f t="shared" si="3"/>
        <v>1.934579439</v>
      </c>
      <c r="U343" s="1">
        <f t="shared" si="4"/>
        <v>1</v>
      </c>
      <c r="V343" s="3">
        <f t="shared" si="5"/>
        <v>2</v>
      </c>
      <c r="W343" s="3">
        <f t="shared" si="6"/>
        <v>2</v>
      </c>
      <c r="X343" s="3" t="str">
        <f>IFERROR(__xludf.DUMMYFUNCTION("split(B343,"" "")"),"E.")</f>
        <v>E.</v>
      </c>
      <c r="Y343" s="3" t="str">
        <f>IFERROR(__xludf.DUMMYFUNCTION("""COMPUTED_VALUE"""),"Gray")</f>
        <v>Gray</v>
      </c>
      <c r="AA343" s="3">
        <v>0.0</v>
      </c>
      <c r="AB343" s="3">
        <f t="shared" si="7"/>
        <v>0</v>
      </c>
      <c r="AC343" s="3">
        <f t="shared" si="8"/>
        <v>0</v>
      </c>
      <c r="AD343" s="3">
        <f t="shared" si="9"/>
        <v>1.869158879</v>
      </c>
      <c r="AE343" s="3">
        <f t="shared" si="10"/>
        <v>-2</v>
      </c>
      <c r="AF343" s="3">
        <f t="shared" si="11"/>
        <v>-2</v>
      </c>
      <c r="AG343" s="3">
        <f t="shared" si="12"/>
        <v>-1</v>
      </c>
    </row>
    <row r="344">
      <c r="A344" s="1" t="s">
        <v>11</v>
      </c>
      <c r="B344" s="1" t="s">
        <v>477</v>
      </c>
      <c r="C344" s="1" t="s">
        <v>20</v>
      </c>
      <c r="D344" s="1" t="s">
        <v>147</v>
      </c>
      <c r="E344" s="1" t="s">
        <v>67</v>
      </c>
      <c r="F344" s="1" t="s">
        <v>614</v>
      </c>
      <c r="G344" s="1">
        <v>28.5</v>
      </c>
      <c r="H344" s="1" t="s">
        <v>60</v>
      </c>
      <c r="I344" s="1">
        <v>-111.0</v>
      </c>
      <c r="J344" s="1">
        <v>-0.139872708521146</v>
      </c>
      <c r="K344" s="1" t="s">
        <v>61</v>
      </c>
      <c r="L344" s="1" t="s">
        <v>61</v>
      </c>
      <c r="M344" s="1" t="s">
        <v>62</v>
      </c>
      <c r="N344" s="1">
        <v>-118.0</v>
      </c>
      <c r="O344" s="1">
        <v>0.0725797016862163</v>
      </c>
      <c r="P344" s="1" t="s">
        <v>61</v>
      </c>
      <c r="Q344" s="1" t="s">
        <v>61</v>
      </c>
      <c r="R344" s="1">
        <f t="shared" si="1"/>
        <v>0.07257970169</v>
      </c>
      <c r="S344" s="1">
        <f t="shared" si="2"/>
        <v>-118</v>
      </c>
      <c r="T344" s="1">
        <f t="shared" si="3"/>
        <v>1.847457627</v>
      </c>
      <c r="U344" s="1">
        <f t="shared" si="4"/>
        <v>0</v>
      </c>
      <c r="V344" s="3">
        <f t="shared" si="5"/>
        <v>2</v>
      </c>
      <c r="W344" s="3">
        <f t="shared" si="6"/>
        <v>3</v>
      </c>
      <c r="X344" s="3" t="str">
        <f>IFERROR(__xludf.DUMMYFUNCTION("split(B344,"" "")"),"T.")</f>
        <v>T.</v>
      </c>
      <c r="Y344" s="3" t="str">
        <f>IFERROR(__xludf.DUMMYFUNCTION("""COMPUTED_VALUE"""),"Johnson")</f>
        <v>Johnson</v>
      </c>
      <c r="AA344" s="3">
        <v>30.0</v>
      </c>
      <c r="AB344" s="3">
        <f t="shared" si="7"/>
        <v>1</v>
      </c>
      <c r="AC344" s="3">
        <f t="shared" si="8"/>
        <v>0</v>
      </c>
      <c r="AD344" s="3">
        <f t="shared" si="9"/>
        <v>1.694915254</v>
      </c>
      <c r="AE344" s="3">
        <f t="shared" si="10"/>
        <v>-2</v>
      </c>
      <c r="AF344" s="3">
        <f t="shared" si="11"/>
        <v>-3</v>
      </c>
      <c r="AG344" s="3">
        <f t="shared" si="12"/>
        <v>-0.05263157895</v>
      </c>
    </row>
    <row r="345">
      <c r="A345" s="1" t="s">
        <v>9</v>
      </c>
      <c r="B345" s="1" t="s">
        <v>599</v>
      </c>
      <c r="C345" s="1" t="s">
        <v>19</v>
      </c>
      <c r="D345" s="1" t="s">
        <v>147</v>
      </c>
      <c r="E345" s="1" t="s">
        <v>67</v>
      </c>
      <c r="F345" s="1" t="s">
        <v>614</v>
      </c>
      <c r="G345" s="1">
        <v>28.5</v>
      </c>
      <c r="H345" s="1" t="s">
        <v>60</v>
      </c>
      <c r="I345" s="1">
        <v>-114.0</v>
      </c>
      <c r="J345" s="1">
        <v>0.0616048937625193</v>
      </c>
      <c r="K345" s="1" t="s">
        <v>61</v>
      </c>
      <c r="L345" s="1" t="s">
        <v>61</v>
      </c>
      <c r="M345" s="1" t="s">
        <v>62</v>
      </c>
      <c r="N345" s="1">
        <v>-119.0</v>
      </c>
      <c r="O345" s="1">
        <v>-0.137680357285676</v>
      </c>
      <c r="P345" s="1" t="s">
        <v>61</v>
      </c>
      <c r="Q345" s="1" t="s">
        <v>61</v>
      </c>
      <c r="R345" s="1">
        <f t="shared" si="1"/>
        <v>0.06160489376</v>
      </c>
      <c r="S345" s="1">
        <f t="shared" si="2"/>
        <v>-114</v>
      </c>
      <c r="T345" s="1">
        <f t="shared" si="3"/>
        <v>1.877192982</v>
      </c>
      <c r="U345" s="1">
        <f t="shared" si="4"/>
        <v>1</v>
      </c>
      <c r="V345" s="3">
        <f t="shared" si="5"/>
        <v>2</v>
      </c>
      <c r="W345" s="3">
        <f t="shared" si="6"/>
        <v>2</v>
      </c>
      <c r="X345" s="3" t="str">
        <f>IFERROR(__xludf.DUMMYFUNCTION("split(B345,"" "")"),"E.")</f>
        <v>E.</v>
      </c>
      <c r="Y345" s="3" t="str">
        <f>IFERROR(__xludf.DUMMYFUNCTION("""COMPUTED_VALUE"""),"Gray")</f>
        <v>Gray</v>
      </c>
      <c r="AA345" s="3">
        <v>13.0</v>
      </c>
      <c r="AB345" s="3">
        <f t="shared" si="7"/>
        <v>0</v>
      </c>
      <c r="AC345" s="3">
        <f t="shared" si="8"/>
        <v>0</v>
      </c>
      <c r="AD345" s="3">
        <f t="shared" si="9"/>
        <v>1.754385965</v>
      </c>
      <c r="AE345" s="3">
        <f t="shared" si="10"/>
        <v>-2</v>
      </c>
      <c r="AF345" s="3">
        <f t="shared" si="11"/>
        <v>-2</v>
      </c>
      <c r="AG345" s="3">
        <f t="shared" si="12"/>
        <v>-0.5438596491</v>
      </c>
    </row>
    <row r="346">
      <c r="A346" s="1" t="s">
        <v>17</v>
      </c>
      <c r="B346" s="1" t="s">
        <v>260</v>
      </c>
      <c r="C346" s="1" t="s">
        <v>21</v>
      </c>
      <c r="D346" s="1" t="s">
        <v>147</v>
      </c>
      <c r="E346" s="1" t="s">
        <v>67</v>
      </c>
      <c r="F346" s="1" t="s">
        <v>614</v>
      </c>
      <c r="G346" s="1">
        <v>0.5</v>
      </c>
      <c r="H346" s="1" t="s">
        <v>60</v>
      </c>
      <c r="I346" s="1">
        <v>-130.0</v>
      </c>
      <c r="J346" s="1">
        <v>-0.116860869565217</v>
      </c>
      <c r="K346" s="1" t="s">
        <v>61</v>
      </c>
      <c r="L346" s="1" t="s">
        <v>61</v>
      </c>
      <c r="M346" s="1" t="s">
        <v>62</v>
      </c>
      <c r="N346" s="1">
        <v>-101.0</v>
      </c>
      <c r="O346" s="1">
        <v>0.0491626865671641</v>
      </c>
      <c r="P346" s="1" t="s">
        <v>61</v>
      </c>
      <c r="Q346" s="1" t="s">
        <v>61</v>
      </c>
      <c r="R346" s="1">
        <f t="shared" si="1"/>
        <v>0.04916268657</v>
      </c>
      <c r="S346" s="1">
        <f t="shared" si="2"/>
        <v>-101</v>
      </c>
      <c r="T346" s="1">
        <f t="shared" si="3"/>
        <v>1.99009901</v>
      </c>
      <c r="U346" s="1">
        <f t="shared" si="4"/>
        <v>0</v>
      </c>
      <c r="V346" s="3">
        <f t="shared" si="5"/>
        <v>1</v>
      </c>
      <c r="W346" s="3">
        <f t="shared" si="6"/>
        <v>2</v>
      </c>
      <c r="X346" s="3" t="str">
        <f>IFERROR(__xludf.DUMMYFUNCTION("split(B346,"" "")"),"D.")</f>
        <v>D.</v>
      </c>
      <c r="Y346" s="3" t="str">
        <f>IFERROR(__xludf.DUMMYFUNCTION("""COMPUTED_VALUE"""),"Jones")</f>
        <v>Jones</v>
      </c>
      <c r="AA346" s="3">
        <v>1.0</v>
      </c>
      <c r="AB346" s="3">
        <f t="shared" si="7"/>
        <v>1</v>
      </c>
      <c r="AC346" s="3">
        <f t="shared" si="8"/>
        <v>0</v>
      </c>
      <c r="AD346" s="3">
        <f t="shared" si="9"/>
        <v>0.9900990099</v>
      </c>
      <c r="AE346" s="3">
        <f t="shared" si="10"/>
        <v>-1</v>
      </c>
      <c r="AF346" s="3">
        <f t="shared" si="11"/>
        <v>-2</v>
      </c>
      <c r="AG346" s="3">
        <f t="shared" si="12"/>
        <v>-1</v>
      </c>
    </row>
    <row r="347">
      <c r="A347" s="1" t="s">
        <v>12</v>
      </c>
      <c r="B347" s="1" t="s">
        <v>599</v>
      </c>
      <c r="C347" s="1" t="s">
        <v>19</v>
      </c>
      <c r="D347" s="1" t="s">
        <v>147</v>
      </c>
      <c r="E347" s="1" t="s">
        <v>67</v>
      </c>
      <c r="F347" s="1" t="s">
        <v>614</v>
      </c>
      <c r="G347" s="1">
        <v>1.5</v>
      </c>
      <c r="H347" s="1" t="s">
        <v>60</v>
      </c>
      <c r="I347" s="1">
        <v>-112.0</v>
      </c>
      <c r="J347" s="1">
        <v>-0.11580034225</v>
      </c>
      <c r="K347" s="1" t="s">
        <v>61</v>
      </c>
      <c r="L347" s="1" t="s">
        <v>61</v>
      </c>
      <c r="M347" s="1" t="s">
        <v>62</v>
      </c>
      <c r="N347" s="1">
        <v>-117.0</v>
      </c>
      <c r="O347" s="1">
        <v>0.0483277276114746</v>
      </c>
      <c r="P347" s="1" t="s">
        <v>61</v>
      </c>
      <c r="Q347" s="1" t="s">
        <v>61</v>
      </c>
      <c r="R347" s="1">
        <f t="shared" si="1"/>
        <v>0.04832772761</v>
      </c>
      <c r="S347" s="1">
        <f t="shared" si="2"/>
        <v>-117</v>
      </c>
      <c r="T347" s="1">
        <f t="shared" si="3"/>
        <v>1.854700855</v>
      </c>
      <c r="U347" s="1">
        <f t="shared" si="4"/>
        <v>0</v>
      </c>
      <c r="V347" s="3">
        <f t="shared" si="5"/>
        <v>1</v>
      </c>
      <c r="W347" s="3">
        <f t="shared" si="6"/>
        <v>2</v>
      </c>
      <c r="X347" s="3" t="str">
        <f>IFERROR(__xludf.DUMMYFUNCTION("split(B347,"" "")"),"E.")</f>
        <v>E.</v>
      </c>
      <c r="Y347" s="3" t="str">
        <f>IFERROR(__xludf.DUMMYFUNCTION("""COMPUTED_VALUE"""),"Gray")</f>
        <v>Gray</v>
      </c>
      <c r="AA347" s="3">
        <v>0.0</v>
      </c>
      <c r="AB347" s="3">
        <f t="shared" si="7"/>
        <v>0</v>
      </c>
      <c r="AC347" s="3">
        <f t="shared" si="8"/>
        <v>1</v>
      </c>
      <c r="AD347" s="3">
        <f t="shared" si="9"/>
        <v>0.8547008547</v>
      </c>
      <c r="AE347" s="3">
        <f t="shared" si="10"/>
        <v>0.8547008547</v>
      </c>
      <c r="AF347" s="3">
        <f t="shared" si="11"/>
        <v>1.709401709</v>
      </c>
      <c r="AG347" s="3">
        <f t="shared" si="12"/>
        <v>1</v>
      </c>
    </row>
    <row r="348">
      <c r="A348" s="1" t="s">
        <v>12</v>
      </c>
      <c r="B348" s="1" t="s">
        <v>354</v>
      </c>
      <c r="C348" s="1" t="s">
        <v>18</v>
      </c>
      <c r="D348" s="1" t="s">
        <v>147</v>
      </c>
      <c r="E348" s="1" t="s">
        <v>67</v>
      </c>
      <c r="F348" s="1" t="s">
        <v>614</v>
      </c>
      <c r="G348" s="1">
        <v>5.5</v>
      </c>
      <c r="H348" s="1" t="s">
        <v>60</v>
      </c>
      <c r="I348" s="1">
        <v>-143.0</v>
      </c>
      <c r="J348" s="1">
        <v>0.0475226337448558</v>
      </c>
      <c r="K348" s="1" t="s">
        <v>61</v>
      </c>
      <c r="L348" s="1" t="s">
        <v>61</v>
      </c>
      <c r="M348" s="1" t="s">
        <v>62</v>
      </c>
      <c r="N348" s="1">
        <v>108.0</v>
      </c>
      <c r="O348" s="1">
        <v>-0.11676923076923</v>
      </c>
      <c r="P348" s="1" t="s">
        <v>61</v>
      </c>
      <c r="Q348" s="1" t="s">
        <v>61</v>
      </c>
      <c r="R348" s="1">
        <f t="shared" si="1"/>
        <v>0.04752263374</v>
      </c>
      <c r="S348" s="1">
        <f t="shared" si="2"/>
        <v>-143</v>
      </c>
      <c r="T348" s="1">
        <f t="shared" si="3"/>
        <v>1.699300699</v>
      </c>
      <c r="U348" s="1">
        <f t="shared" si="4"/>
        <v>1</v>
      </c>
      <c r="V348" s="3">
        <f t="shared" si="5"/>
        <v>1</v>
      </c>
      <c r="W348" s="3">
        <f t="shared" si="6"/>
        <v>3</v>
      </c>
      <c r="X348" s="3" t="str">
        <f>IFERROR(__xludf.DUMMYFUNCTION("split(B348,"" "")"),"W.")</f>
        <v>W.</v>
      </c>
      <c r="Y348" s="3" t="str">
        <f>IFERROR(__xludf.DUMMYFUNCTION("""COMPUTED_VALUE"""),"Robinson")</f>
        <v>Robinson</v>
      </c>
      <c r="AA348" s="3">
        <v>5.0</v>
      </c>
      <c r="AB348" s="3">
        <f t="shared" si="7"/>
        <v>0</v>
      </c>
      <c r="AC348" s="3">
        <f t="shared" si="8"/>
        <v>0</v>
      </c>
      <c r="AD348" s="3">
        <f t="shared" si="9"/>
        <v>0.6993006993</v>
      </c>
      <c r="AE348" s="3">
        <f t="shared" si="10"/>
        <v>-1</v>
      </c>
      <c r="AF348" s="3">
        <f t="shared" si="11"/>
        <v>-3</v>
      </c>
      <c r="AG348" s="3">
        <f t="shared" si="12"/>
        <v>-0.09090909091</v>
      </c>
    </row>
    <row r="349">
      <c r="A349" s="1" t="s">
        <v>10</v>
      </c>
      <c r="B349" s="1" t="s">
        <v>260</v>
      </c>
      <c r="C349" s="1" t="s">
        <v>21</v>
      </c>
      <c r="D349" s="1" t="s">
        <v>147</v>
      </c>
      <c r="E349" s="1" t="s">
        <v>67</v>
      </c>
      <c r="F349" s="1" t="s">
        <v>614</v>
      </c>
      <c r="G349" s="1">
        <v>34.5</v>
      </c>
      <c r="H349" s="1" t="s">
        <v>60</v>
      </c>
      <c r="I349" s="1">
        <v>-111.0</v>
      </c>
      <c r="J349" s="1">
        <v>-0.0912122834576251</v>
      </c>
      <c r="K349" s="1" t="s">
        <v>61</v>
      </c>
      <c r="L349" s="1" t="s">
        <v>61</v>
      </c>
      <c r="M349" s="1" t="s">
        <v>62</v>
      </c>
      <c r="N349" s="1">
        <v>-118.0</v>
      </c>
      <c r="O349" s="1">
        <v>0.0238964786021995</v>
      </c>
      <c r="P349" s="1" t="s">
        <v>61</v>
      </c>
      <c r="Q349" s="1" t="s">
        <v>61</v>
      </c>
      <c r="R349" s="1">
        <f t="shared" si="1"/>
        <v>0.0238964786</v>
      </c>
      <c r="S349" s="1">
        <f t="shared" si="2"/>
        <v>-118</v>
      </c>
      <c r="T349" s="1">
        <f t="shared" si="3"/>
        <v>1.847457627</v>
      </c>
      <c r="U349" s="1">
        <f t="shared" si="4"/>
        <v>0</v>
      </c>
      <c r="V349" s="3">
        <f t="shared" si="5"/>
        <v>1</v>
      </c>
      <c r="W349" s="3">
        <f t="shared" si="6"/>
        <v>3</v>
      </c>
      <c r="X349" s="3" t="str">
        <f>IFERROR(__xludf.DUMMYFUNCTION("split(B349,"" "")"),"D.")</f>
        <v>D.</v>
      </c>
      <c r="Y349" s="3" t="str">
        <f>IFERROR(__xludf.DUMMYFUNCTION("""COMPUTED_VALUE"""),"Jones")</f>
        <v>Jones</v>
      </c>
      <c r="AA349" s="3">
        <v>56.0</v>
      </c>
      <c r="AB349" s="3">
        <f t="shared" si="7"/>
        <v>1</v>
      </c>
      <c r="AC349" s="3">
        <f t="shared" si="8"/>
        <v>0</v>
      </c>
      <c r="AD349" s="3">
        <f t="shared" si="9"/>
        <v>0.8474576271</v>
      </c>
      <c r="AE349" s="3">
        <f t="shared" si="10"/>
        <v>-1</v>
      </c>
      <c r="AF349" s="3">
        <f t="shared" si="11"/>
        <v>-3</v>
      </c>
      <c r="AG349" s="3">
        <f t="shared" si="12"/>
        <v>-0.6231884058</v>
      </c>
    </row>
    <row r="350">
      <c r="A350" s="1" t="s">
        <v>15</v>
      </c>
      <c r="B350" s="1" t="s">
        <v>260</v>
      </c>
      <c r="C350" s="1" t="s">
        <v>21</v>
      </c>
      <c r="D350" s="1" t="s">
        <v>147</v>
      </c>
      <c r="E350" s="1" t="s">
        <v>67</v>
      </c>
      <c r="F350" s="1" t="s">
        <v>614</v>
      </c>
      <c r="G350" s="1">
        <v>21.5</v>
      </c>
      <c r="H350" s="1" t="s">
        <v>60</v>
      </c>
      <c r="I350" s="1">
        <v>-113.0</v>
      </c>
      <c r="J350" s="1">
        <v>0.0215713615023475</v>
      </c>
      <c r="K350" s="1" t="s">
        <v>61</v>
      </c>
      <c r="L350" s="1" t="s">
        <v>61</v>
      </c>
      <c r="M350" s="1" t="s">
        <v>62</v>
      </c>
      <c r="N350" s="1">
        <v>-119.0</v>
      </c>
      <c r="O350" s="1">
        <v>-0.0954963470319634</v>
      </c>
      <c r="P350" s="1" t="s">
        <v>61</v>
      </c>
      <c r="Q350" s="1" t="s">
        <v>61</v>
      </c>
      <c r="R350" s="1">
        <f t="shared" si="1"/>
        <v>0.0215713615</v>
      </c>
      <c r="S350" s="1">
        <f t="shared" si="2"/>
        <v>-113</v>
      </c>
      <c r="T350" s="1">
        <f t="shared" si="3"/>
        <v>1.884955752</v>
      </c>
      <c r="U350" s="1">
        <f t="shared" si="4"/>
        <v>1</v>
      </c>
      <c r="V350" s="3">
        <f t="shared" si="5"/>
        <v>1</v>
      </c>
      <c r="W350" s="3">
        <f t="shared" si="6"/>
        <v>2</v>
      </c>
      <c r="X350" s="3" t="str">
        <f>IFERROR(__xludf.DUMMYFUNCTION("split(B350,"" "")"),"D.")</f>
        <v>D.</v>
      </c>
      <c r="Y350" s="3" t="str">
        <f>IFERROR(__xludf.DUMMYFUNCTION("""COMPUTED_VALUE"""),"Jones")</f>
        <v>Jones</v>
      </c>
      <c r="AA350" s="3">
        <v>22.0</v>
      </c>
      <c r="AB350" s="3">
        <f t="shared" si="7"/>
        <v>1</v>
      </c>
      <c r="AC350" s="3">
        <f t="shared" si="8"/>
        <v>1</v>
      </c>
      <c r="AD350" s="3">
        <f t="shared" si="9"/>
        <v>0.8849557522</v>
      </c>
      <c r="AE350" s="3">
        <f t="shared" si="10"/>
        <v>0.8849557522</v>
      </c>
      <c r="AF350" s="3">
        <f t="shared" si="11"/>
        <v>1.769911504</v>
      </c>
      <c r="AG350" s="3">
        <f t="shared" si="12"/>
        <v>0.02325581395</v>
      </c>
    </row>
    <row r="351">
      <c r="A351" s="1" t="s">
        <v>14</v>
      </c>
      <c r="B351" s="1" t="s">
        <v>260</v>
      </c>
      <c r="C351" s="1" t="s">
        <v>21</v>
      </c>
      <c r="D351" s="1" t="s">
        <v>147</v>
      </c>
      <c r="E351" s="1" t="s">
        <v>67</v>
      </c>
      <c r="F351" s="1" t="s">
        <v>614</v>
      </c>
      <c r="G351" s="1">
        <v>1.5</v>
      </c>
      <c r="H351" s="1" t="s">
        <v>60</v>
      </c>
      <c r="I351" s="1">
        <v>154.0</v>
      </c>
      <c r="J351" s="1">
        <v>0.021559842519685</v>
      </c>
      <c r="K351" s="1" t="s">
        <v>61</v>
      </c>
      <c r="L351" s="1" t="s">
        <v>61</v>
      </c>
      <c r="M351" s="1" t="s">
        <v>62</v>
      </c>
      <c r="N351" s="1">
        <v>-202.0</v>
      </c>
      <c r="O351" s="1">
        <v>-0.0841410596026489</v>
      </c>
      <c r="P351" s="1" t="s">
        <v>61</v>
      </c>
      <c r="Q351" s="1" t="s">
        <v>61</v>
      </c>
      <c r="R351" s="1">
        <f t="shared" si="1"/>
        <v>0.02155984252</v>
      </c>
      <c r="S351" s="1">
        <f t="shared" si="2"/>
        <v>154</v>
      </c>
      <c r="T351" s="1">
        <f t="shared" si="3"/>
        <v>2.54</v>
      </c>
      <c r="U351" s="1">
        <f t="shared" si="4"/>
        <v>1</v>
      </c>
      <c r="V351" s="3">
        <f t="shared" si="5"/>
        <v>1</v>
      </c>
      <c r="W351" s="3">
        <f t="shared" si="6"/>
        <v>1</v>
      </c>
      <c r="X351" s="3" t="str">
        <f>IFERROR(__xludf.DUMMYFUNCTION("split(B351,"" "")"),"D.")</f>
        <v>D.</v>
      </c>
      <c r="Y351" s="3" t="str">
        <f>IFERROR(__xludf.DUMMYFUNCTION("""COMPUTED_VALUE"""),"Jones")</f>
        <v>Jones</v>
      </c>
      <c r="AA351" s="3">
        <v>0.0</v>
      </c>
      <c r="AB351" s="3">
        <f t="shared" si="7"/>
        <v>0</v>
      </c>
      <c r="AC351" s="3">
        <f t="shared" si="8"/>
        <v>0</v>
      </c>
      <c r="AD351" s="3">
        <f t="shared" si="9"/>
        <v>1.54</v>
      </c>
      <c r="AE351" s="3">
        <f t="shared" si="10"/>
        <v>-1</v>
      </c>
      <c r="AF351" s="3">
        <f t="shared" si="11"/>
        <v>-1</v>
      </c>
      <c r="AG351" s="3">
        <f t="shared" si="12"/>
        <v>-1</v>
      </c>
    </row>
    <row r="352">
      <c r="A352" s="1" t="s">
        <v>12</v>
      </c>
      <c r="B352" s="1" t="s">
        <v>483</v>
      </c>
      <c r="C352" s="1" t="s">
        <v>18</v>
      </c>
      <c r="D352" s="1" t="s">
        <v>147</v>
      </c>
      <c r="E352" s="1" t="s">
        <v>67</v>
      </c>
      <c r="F352" s="1" t="s">
        <v>614</v>
      </c>
      <c r="G352" s="1">
        <v>4.5</v>
      </c>
      <c r="H352" s="1" t="s">
        <v>60</v>
      </c>
      <c r="I352" s="1">
        <v>111.0</v>
      </c>
      <c r="J352" s="1">
        <v>0.0102663507109004</v>
      </c>
      <c r="K352" s="1" t="s">
        <v>61</v>
      </c>
      <c r="L352" s="1" t="s">
        <v>61</v>
      </c>
      <c r="M352" s="1" t="s">
        <v>62</v>
      </c>
      <c r="N352" s="1">
        <v>-147.0</v>
      </c>
      <c r="O352" s="1">
        <v>-0.0793417004048583</v>
      </c>
      <c r="P352" s="1" t="s">
        <v>61</v>
      </c>
      <c r="Q352" s="1" t="s">
        <v>61</v>
      </c>
      <c r="R352" s="1">
        <f t="shared" si="1"/>
        <v>0.01026635071</v>
      </c>
      <c r="S352" s="1">
        <f t="shared" si="2"/>
        <v>111</v>
      </c>
      <c r="T352" s="1">
        <f t="shared" si="3"/>
        <v>2.11</v>
      </c>
      <c r="U352" s="1">
        <f t="shared" si="4"/>
        <v>1</v>
      </c>
      <c r="V352" s="3">
        <f t="shared" si="5"/>
        <v>1</v>
      </c>
      <c r="W352" s="3">
        <f t="shared" si="6"/>
        <v>1</v>
      </c>
      <c r="X352" s="3" t="str">
        <f>IFERROR(__xludf.DUMMYFUNCTION("split(B352,"" "")"),"D.")</f>
        <v>D.</v>
      </c>
      <c r="Y352" s="3" t="str">
        <f>IFERROR(__xludf.DUMMYFUNCTION("""COMPUTED_VALUE"""),"Slayton")</f>
        <v>Slayton</v>
      </c>
      <c r="AA352" s="3">
        <v>6.0</v>
      </c>
      <c r="AB352" s="3">
        <f t="shared" si="7"/>
        <v>1</v>
      </c>
      <c r="AC352" s="3">
        <f t="shared" si="8"/>
        <v>1</v>
      </c>
      <c r="AD352" s="3">
        <f t="shared" si="9"/>
        <v>1.11</v>
      </c>
      <c r="AE352" s="3">
        <f t="shared" si="10"/>
        <v>1.11</v>
      </c>
      <c r="AF352" s="3">
        <f t="shared" si="11"/>
        <v>1.11</v>
      </c>
      <c r="AG352" s="3">
        <f t="shared" si="12"/>
        <v>0.3333333333</v>
      </c>
    </row>
    <row r="353">
      <c r="A353" s="1" t="s">
        <v>9</v>
      </c>
      <c r="B353" s="1" t="s">
        <v>483</v>
      </c>
      <c r="C353" s="1" t="s">
        <v>18</v>
      </c>
      <c r="D353" s="1" t="s">
        <v>147</v>
      </c>
      <c r="E353" s="1" t="s">
        <v>67</v>
      </c>
      <c r="F353" s="1" t="s">
        <v>614</v>
      </c>
      <c r="G353" s="1">
        <v>51.5</v>
      </c>
      <c r="H353" s="1" t="s">
        <v>60</v>
      </c>
      <c r="I353" s="1">
        <v>-115.0</v>
      </c>
      <c r="J353" s="1">
        <v>0.00863848478720374</v>
      </c>
      <c r="K353" s="1" t="s">
        <v>61</v>
      </c>
      <c r="L353" s="1" t="s">
        <v>61</v>
      </c>
      <c r="M353" s="1" t="s">
        <v>62</v>
      </c>
      <c r="N353" s="1">
        <v>-115.0</v>
      </c>
      <c r="O353" s="1">
        <v>-0.0784092575052844</v>
      </c>
      <c r="P353" s="1" t="s">
        <v>61</v>
      </c>
      <c r="Q353" s="1" t="s">
        <v>61</v>
      </c>
      <c r="R353" s="1">
        <f t="shared" si="1"/>
        <v>0.008638484787</v>
      </c>
      <c r="S353" s="1">
        <f t="shared" si="2"/>
        <v>-115</v>
      </c>
      <c r="T353" s="1">
        <f t="shared" si="3"/>
        <v>1.869565217</v>
      </c>
      <c r="U353" s="1">
        <f t="shared" si="4"/>
        <v>1</v>
      </c>
      <c r="V353" s="3">
        <f t="shared" si="5"/>
        <v>1</v>
      </c>
      <c r="W353" s="3">
        <f t="shared" si="6"/>
        <v>2</v>
      </c>
      <c r="X353" s="3" t="str">
        <f>IFERROR(__xludf.DUMMYFUNCTION("split(B353,"" "")"),"D.")</f>
        <v>D.</v>
      </c>
      <c r="Y353" s="3" t="str">
        <f>IFERROR(__xludf.DUMMYFUNCTION("""COMPUTED_VALUE"""),"Slayton")</f>
        <v>Slayton</v>
      </c>
      <c r="AA353" s="3">
        <v>57.0</v>
      </c>
      <c r="AB353" s="3">
        <f t="shared" si="7"/>
        <v>1</v>
      </c>
      <c r="AC353" s="3">
        <f t="shared" si="8"/>
        <v>1</v>
      </c>
      <c r="AD353" s="3">
        <f t="shared" si="9"/>
        <v>0.8695652174</v>
      </c>
      <c r="AE353" s="3">
        <f t="shared" si="10"/>
        <v>0.8695652174</v>
      </c>
      <c r="AF353" s="3">
        <f t="shared" si="11"/>
        <v>1.739130435</v>
      </c>
      <c r="AG353" s="3">
        <f t="shared" si="12"/>
        <v>0.1067961165</v>
      </c>
    </row>
    <row r="354">
      <c r="A354" s="1" t="s">
        <v>11</v>
      </c>
      <c r="B354" s="1" t="s">
        <v>354</v>
      </c>
      <c r="C354" s="1" t="s">
        <v>18</v>
      </c>
      <c r="D354" s="1" t="s">
        <v>147</v>
      </c>
      <c r="E354" s="1" t="s">
        <v>67</v>
      </c>
      <c r="F354" s="1" t="s">
        <v>614</v>
      </c>
      <c r="G354" s="1">
        <v>52.5</v>
      </c>
      <c r="H354" s="1" t="s">
        <v>60</v>
      </c>
      <c r="I354" s="1">
        <v>-116.0</v>
      </c>
      <c r="J354" s="1">
        <v>-0.0667289150979074</v>
      </c>
      <c r="K354" s="1" t="s">
        <v>61</v>
      </c>
      <c r="L354" s="1" t="s">
        <v>61</v>
      </c>
      <c r="M354" s="1" t="s">
        <v>62</v>
      </c>
      <c r="N354" s="1">
        <v>-111.0</v>
      </c>
      <c r="O354" s="1">
        <v>0.00363783751701418</v>
      </c>
      <c r="P354" s="1" t="s">
        <v>61</v>
      </c>
      <c r="Q354" s="1" t="s">
        <v>61</v>
      </c>
      <c r="R354" s="1">
        <f t="shared" si="1"/>
        <v>0.003637837517</v>
      </c>
      <c r="S354" s="1">
        <f t="shared" si="2"/>
        <v>-111</v>
      </c>
      <c r="T354" s="1">
        <f t="shared" si="3"/>
        <v>1.900900901</v>
      </c>
      <c r="U354" s="1">
        <f t="shared" si="4"/>
        <v>0</v>
      </c>
      <c r="V354" s="3">
        <f t="shared" si="5"/>
        <v>1</v>
      </c>
      <c r="W354" s="3">
        <f t="shared" si="6"/>
        <v>2</v>
      </c>
      <c r="X354" s="3" t="str">
        <f>IFERROR(__xludf.DUMMYFUNCTION("split(B354,"" "")"),"W.")</f>
        <v>W.</v>
      </c>
      <c r="Y354" s="3" t="str">
        <f>IFERROR(__xludf.DUMMYFUNCTION("""COMPUTED_VALUE"""),"Robinson")</f>
        <v>Robinson</v>
      </c>
      <c r="AA354" s="3">
        <v>50.0</v>
      </c>
      <c r="AB354" s="3">
        <f t="shared" si="7"/>
        <v>0</v>
      </c>
      <c r="AC354" s="3">
        <f t="shared" si="8"/>
        <v>1</v>
      </c>
      <c r="AD354" s="3">
        <f t="shared" si="9"/>
        <v>0.9009009009</v>
      </c>
      <c r="AE354" s="3">
        <f t="shared" si="10"/>
        <v>0.9009009009</v>
      </c>
      <c r="AF354" s="3">
        <f t="shared" si="11"/>
        <v>1.801801802</v>
      </c>
      <c r="AG354" s="3">
        <f t="shared" si="12"/>
        <v>0.04761904762</v>
      </c>
    </row>
    <row r="355">
      <c r="A355" s="1" t="s">
        <v>8</v>
      </c>
      <c r="B355" s="1" t="s">
        <v>568</v>
      </c>
      <c r="C355" s="1" t="s">
        <v>19</v>
      </c>
      <c r="D355" s="1" t="s">
        <v>147</v>
      </c>
      <c r="E355" s="1" t="s">
        <v>67</v>
      </c>
      <c r="F355" s="1" t="s">
        <v>614</v>
      </c>
      <c r="G355" s="1">
        <v>13.5</v>
      </c>
      <c r="H355" s="1" t="s">
        <v>60</v>
      </c>
      <c r="I355" s="1">
        <v>-118.0</v>
      </c>
      <c r="J355" s="1">
        <v>-0.0726262526467889</v>
      </c>
      <c r="K355" s="1" t="s">
        <v>61</v>
      </c>
      <c r="L355" s="1" t="s">
        <v>61</v>
      </c>
      <c r="M355" s="1" t="s">
        <v>62</v>
      </c>
      <c r="N355" s="1">
        <v>-112.0</v>
      </c>
      <c r="O355" s="1">
        <v>0.00304631059547166</v>
      </c>
      <c r="P355" s="1" t="s">
        <v>61</v>
      </c>
      <c r="Q355" s="1" t="s">
        <v>61</v>
      </c>
      <c r="R355" s="1">
        <f t="shared" si="1"/>
        <v>0.003046310595</v>
      </c>
      <c r="S355" s="1">
        <f t="shared" si="2"/>
        <v>-112</v>
      </c>
      <c r="T355" s="1">
        <f t="shared" si="3"/>
        <v>1.892857143</v>
      </c>
      <c r="U355" s="1">
        <f t="shared" si="4"/>
        <v>0</v>
      </c>
      <c r="V355" s="3">
        <f t="shared" si="5"/>
        <v>1</v>
      </c>
      <c r="W355" s="3">
        <f t="shared" si="6"/>
        <v>2</v>
      </c>
      <c r="X355" s="3" t="str">
        <f>IFERROR(__xludf.DUMMYFUNCTION("split(B355,"" "")"),"T.")</f>
        <v>T.</v>
      </c>
      <c r="Y355" s="3" t="str">
        <f>IFERROR(__xludf.DUMMYFUNCTION("""COMPUTED_VALUE"""),"Tracy")</f>
        <v>Tracy</v>
      </c>
      <c r="AA355" s="3">
        <v>17.0</v>
      </c>
      <c r="AB355" s="3">
        <f t="shared" si="7"/>
        <v>1</v>
      </c>
      <c r="AC355" s="3">
        <f t="shared" si="8"/>
        <v>0</v>
      </c>
      <c r="AD355" s="3">
        <f t="shared" si="9"/>
        <v>0.8928571429</v>
      </c>
      <c r="AE355" s="3">
        <f t="shared" si="10"/>
        <v>-1</v>
      </c>
      <c r="AF355" s="3">
        <f t="shared" si="11"/>
        <v>-2</v>
      </c>
      <c r="AG355" s="3">
        <f t="shared" si="12"/>
        <v>-0.2592592593</v>
      </c>
    </row>
    <row r="356">
      <c r="A356" s="1" t="s">
        <v>9</v>
      </c>
      <c r="B356" s="1" t="s">
        <v>568</v>
      </c>
      <c r="C356" s="1" t="s">
        <v>19</v>
      </c>
      <c r="D356" s="1" t="s">
        <v>147</v>
      </c>
      <c r="E356" s="1" t="s">
        <v>67</v>
      </c>
      <c r="F356" s="1" t="s">
        <v>614</v>
      </c>
      <c r="G356" s="1">
        <v>76.5</v>
      </c>
      <c r="H356" s="1" t="s">
        <v>60</v>
      </c>
      <c r="I356" s="1">
        <v>-116.0</v>
      </c>
      <c r="J356" s="1">
        <v>-0.0834112913255809</v>
      </c>
      <c r="K356" s="1" t="s">
        <v>61</v>
      </c>
      <c r="L356" s="1" t="s">
        <v>61</v>
      </c>
      <c r="M356" s="1" t="s">
        <v>62</v>
      </c>
      <c r="N356" s="1">
        <v>-119.0</v>
      </c>
      <c r="O356" s="1">
        <v>0.00300815672295584</v>
      </c>
      <c r="P356" s="1" t="s">
        <v>61</v>
      </c>
      <c r="Q356" s="1" t="s">
        <v>61</v>
      </c>
      <c r="R356" s="1">
        <f t="shared" si="1"/>
        <v>0.003008156723</v>
      </c>
      <c r="S356" s="1">
        <f t="shared" si="2"/>
        <v>-119</v>
      </c>
      <c r="T356" s="1">
        <f t="shared" si="3"/>
        <v>1.840336134</v>
      </c>
      <c r="U356" s="1">
        <f t="shared" si="4"/>
        <v>0</v>
      </c>
      <c r="V356" s="3">
        <f t="shared" si="5"/>
        <v>1</v>
      </c>
      <c r="W356" s="3">
        <f t="shared" si="6"/>
        <v>3</v>
      </c>
      <c r="X356" s="3" t="str">
        <f>IFERROR(__xludf.DUMMYFUNCTION("split(B356,"" "")"),"T.")</f>
        <v>T.</v>
      </c>
      <c r="Y356" s="3" t="str">
        <f>IFERROR(__xludf.DUMMYFUNCTION("""COMPUTED_VALUE"""),"Tracy")</f>
        <v>Tracy</v>
      </c>
      <c r="AA356" s="3">
        <v>107.0</v>
      </c>
      <c r="AB356" s="3">
        <f t="shared" si="7"/>
        <v>1</v>
      </c>
      <c r="AC356" s="3">
        <f t="shared" si="8"/>
        <v>0</v>
      </c>
      <c r="AD356" s="3">
        <f t="shared" si="9"/>
        <v>0.8403361345</v>
      </c>
      <c r="AE356" s="3">
        <f t="shared" si="10"/>
        <v>-1</v>
      </c>
      <c r="AF356" s="3">
        <f t="shared" si="11"/>
        <v>-3</v>
      </c>
      <c r="AG356" s="3">
        <f t="shared" si="12"/>
        <v>-0.3986928105</v>
      </c>
    </row>
    <row r="357">
      <c r="A357" s="1" t="s">
        <v>8</v>
      </c>
      <c r="B357" s="1" t="s">
        <v>554</v>
      </c>
      <c r="C357" s="1" t="s">
        <v>19</v>
      </c>
      <c r="D357" s="1" t="s">
        <v>165</v>
      </c>
      <c r="E357" s="1" t="s">
        <v>104</v>
      </c>
      <c r="F357" s="1" t="s">
        <v>612</v>
      </c>
      <c r="G357" s="1">
        <v>8.5</v>
      </c>
      <c r="H357" s="1" t="s">
        <v>60</v>
      </c>
      <c r="I357" s="1">
        <v>109.0</v>
      </c>
      <c r="J357" s="1">
        <v>-0.208362663020594</v>
      </c>
      <c r="K357" s="1" t="s">
        <v>61</v>
      </c>
      <c r="L357" s="1" t="s">
        <v>61</v>
      </c>
      <c r="M357" s="1" t="s">
        <v>62</v>
      </c>
      <c r="N357" s="1">
        <v>-142.0</v>
      </c>
      <c r="O357" s="1">
        <v>0.143116123782137</v>
      </c>
      <c r="P357" s="1" t="s">
        <v>61</v>
      </c>
      <c r="Q357" s="1" t="s">
        <v>61</v>
      </c>
      <c r="R357" s="1">
        <f t="shared" si="1"/>
        <v>0.1431161238</v>
      </c>
      <c r="S357" s="1">
        <f t="shared" si="2"/>
        <v>-142</v>
      </c>
      <c r="T357" s="1">
        <f t="shared" si="3"/>
        <v>1.704225352</v>
      </c>
      <c r="U357" s="1">
        <f t="shared" si="4"/>
        <v>0</v>
      </c>
      <c r="V357" s="3">
        <f t="shared" si="5"/>
        <v>3</v>
      </c>
      <c r="W357" s="3">
        <f t="shared" si="6"/>
        <v>3</v>
      </c>
      <c r="X357" s="3" t="str">
        <f>IFERROR(__xludf.DUMMYFUNCTION("split(B357,"" "")"),"B.")</f>
        <v>B.</v>
      </c>
      <c r="Y357" s="3" t="str">
        <f>IFERROR(__xludf.DUMMYFUNCTION("""COMPUTED_VALUE"""),"Allen")</f>
        <v>Allen</v>
      </c>
      <c r="AA357" s="3">
        <v>9.0</v>
      </c>
      <c r="AB357" s="3">
        <f t="shared" si="7"/>
        <v>1</v>
      </c>
      <c r="AC357" s="3">
        <f t="shared" si="8"/>
        <v>0</v>
      </c>
      <c r="AD357" s="3">
        <f t="shared" si="9"/>
        <v>2.112676056</v>
      </c>
      <c r="AE357" s="3">
        <f t="shared" si="10"/>
        <v>-3</v>
      </c>
      <c r="AF357" s="3">
        <f t="shared" si="11"/>
        <v>-3</v>
      </c>
      <c r="AG357" s="3">
        <f t="shared" si="12"/>
        <v>-0.05882352941</v>
      </c>
    </row>
    <row r="358">
      <c r="A358" s="1" t="s">
        <v>14</v>
      </c>
      <c r="B358" s="1" t="s">
        <v>330</v>
      </c>
      <c r="C358" s="1" t="s">
        <v>21</v>
      </c>
      <c r="D358" s="1" t="s">
        <v>165</v>
      </c>
      <c r="E358" s="1" t="s">
        <v>104</v>
      </c>
      <c r="F358" s="1" t="s">
        <v>612</v>
      </c>
      <c r="G358" s="1">
        <v>1.5</v>
      </c>
      <c r="H358" s="1" t="s">
        <v>60</v>
      </c>
      <c r="I358" s="1">
        <v>151.0</v>
      </c>
      <c r="J358" s="1">
        <v>0.0822139442231075</v>
      </c>
      <c r="K358" s="1" t="s">
        <v>61</v>
      </c>
      <c r="L358" s="1" t="s">
        <v>61</v>
      </c>
      <c r="M358" s="1" t="s">
        <v>62</v>
      </c>
      <c r="N358" s="1">
        <v>-197.0</v>
      </c>
      <c r="O358" s="1">
        <v>-0.143932323232323</v>
      </c>
      <c r="P358" s="1" t="s">
        <v>61</v>
      </c>
      <c r="Q358" s="1" t="s">
        <v>61</v>
      </c>
      <c r="R358" s="1">
        <f t="shared" si="1"/>
        <v>0.08221394422</v>
      </c>
      <c r="S358" s="1">
        <f t="shared" si="2"/>
        <v>151</v>
      </c>
      <c r="T358" s="1">
        <f t="shared" si="3"/>
        <v>2.51</v>
      </c>
      <c r="U358" s="1">
        <f t="shared" si="4"/>
        <v>1</v>
      </c>
      <c r="V358" s="3">
        <f t="shared" si="5"/>
        <v>2</v>
      </c>
      <c r="W358" s="3">
        <f t="shared" si="6"/>
        <v>1</v>
      </c>
      <c r="X358" s="3" t="str">
        <f>IFERROR(__xludf.DUMMYFUNCTION("split(B358,"" "")"),"A.")</f>
        <v>A.</v>
      </c>
      <c r="Y358" s="3" t="str">
        <f>IFERROR(__xludf.DUMMYFUNCTION("""COMPUTED_VALUE"""),"Rodgers")</f>
        <v>Rodgers</v>
      </c>
      <c r="AA358" s="3">
        <v>2.0</v>
      </c>
      <c r="AB358" s="3">
        <f t="shared" si="7"/>
        <v>1</v>
      </c>
      <c r="AC358" s="3">
        <f t="shared" si="8"/>
        <v>1</v>
      </c>
      <c r="AD358" s="3">
        <f t="shared" si="9"/>
        <v>3.02</v>
      </c>
      <c r="AE358" s="3">
        <f t="shared" si="10"/>
        <v>3.02</v>
      </c>
      <c r="AF358" s="3">
        <f t="shared" si="11"/>
        <v>1.51</v>
      </c>
      <c r="AG358" s="3">
        <f t="shared" si="12"/>
        <v>0.3333333333</v>
      </c>
    </row>
    <row r="359">
      <c r="A359" s="1" t="s">
        <v>12</v>
      </c>
      <c r="B359" s="1" t="s">
        <v>336</v>
      </c>
      <c r="C359" s="1" t="s">
        <v>19</v>
      </c>
      <c r="D359" s="1" t="s">
        <v>165</v>
      </c>
      <c r="E359" s="1" t="s">
        <v>104</v>
      </c>
      <c r="F359" s="1" t="s">
        <v>612</v>
      </c>
      <c r="G359" s="1">
        <v>3.5</v>
      </c>
      <c r="H359" s="1" t="s">
        <v>60</v>
      </c>
      <c r="I359" s="1">
        <v>-133.0</v>
      </c>
      <c r="J359" s="1">
        <v>-0.147715450643776</v>
      </c>
      <c r="K359" s="1" t="s">
        <v>61</v>
      </c>
      <c r="L359" s="1" t="s">
        <v>61</v>
      </c>
      <c r="M359" s="1" t="s">
        <v>62</v>
      </c>
      <c r="N359" s="1">
        <v>101.0</v>
      </c>
      <c r="O359" s="1">
        <v>0.0793875621890546</v>
      </c>
      <c r="P359" s="1" t="s">
        <v>61</v>
      </c>
      <c r="Q359" s="1" t="s">
        <v>61</v>
      </c>
      <c r="R359" s="1">
        <f t="shared" si="1"/>
        <v>0.07938756219</v>
      </c>
      <c r="S359" s="1">
        <f t="shared" si="2"/>
        <v>101</v>
      </c>
      <c r="T359" s="1">
        <f t="shared" si="3"/>
        <v>2.01</v>
      </c>
      <c r="U359" s="1">
        <f t="shared" si="4"/>
        <v>0</v>
      </c>
      <c r="V359" s="3">
        <f t="shared" si="5"/>
        <v>2</v>
      </c>
      <c r="W359" s="3">
        <f t="shared" si="6"/>
        <v>2</v>
      </c>
      <c r="X359" s="3" t="str">
        <f>IFERROR(__xludf.DUMMYFUNCTION("split(B359,"" "")"),"B.")</f>
        <v>B.</v>
      </c>
      <c r="Y359" s="3" t="str">
        <f>IFERROR(__xludf.DUMMYFUNCTION("""COMPUTED_VALUE"""),"Hall")</f>
        <v>Hall</v>
      </c>
      <c r="AA359" s="3">
        <v>5.0</v>
      </c>
      <c r="AB359" s="3">
        <f t="shared" si="7"/>
        <v>1</v>
      </c>
      <c r="AC359" s="3">
        <f t="shared" si="8"/>
        <v>0</v>
      </c>
      <c r="AD359" s="3">
        <f t="shared" si="9"/>
        <v>2.02</v>
      </c>
      <c r="AE359" s="3">
        <f t="shared" si="10"/>
        <v>-2</v>
      </c>
      <c r="AF359" s="3">
        <f t="shared" si="11"/>
        <v>-2</v>
      </c>
      <c r="AG359" s="3">
        <f t="shared" si="12"/>
        <v>-0.4285714286</v>
      </c>
    </row>
    <row r="360">
      <c r="A360" s="1" t="s">
        <v>12</v>
      </c>
      <c r="B360" s="1" t="s">
        <v>303</v>
      </c>
      <c r="C360" s="1" t="s">
        <v>18</v>
      </c>
      <c r="D360" s="1" t="s">
        <v>165</v>
      </c>
      <c r="E360" s="1" t="s">
        <v>104</v>
      </c>
      <c r="F360" s="1" t="s">
        <v>612</v>
      </c>
      <c r="G360" s="1">
        <v>2.5</v>
      </c>
      <c r="H360" s="1" t="s">
        <v>60</v>
      </c>
      <c r="I360" s="1">
        <v>-104.0</v>
      </c>
      <c r="J360" s="1">
        <v>-0.141750594803921</v>
      </c>
      <c r="K360" s="1" t="s">
        <v>61</v>
      </c>
      <c r="L360" s="1" t="s">
        <v>61</v>
      </c>
      <c r="M360" s="1" t="s">
        <v>62</v>
      </c>
      <c r="N360" s="1">
        <v>-127.0</v>
      </c>
      <c r="O360" s="1">
        <v>0.0724819035321585</v>
      </c>
      <c r="P360" s="1" t="s">
        <v>61</v>
      </c>
      <c r="Q360" s="1" t="s">
        <v>61</v>
      </c>
      <c r="R360" s="1">
        <f t="shared" si="1"/>
        <v>0.07248190353</v>
      </c>
      <c r="S360" s="1">
        <f t="shared" si="2"/>
        <v>-127</v>
      </c>
      <c r="T360" s="1">
        <f t="shared" si="3"/>
        <v>1.787401575</v>
      </c>
      <c r="U360" s="1">
        <f t="shared" si="4"/>
        <v>0</v>
      </c>
      <c r="V360" s="3">
        <f t="shared" si="5"/>
        <v>2</v>
      </c>
      <c r="W360" s="3">
        <f t="shared" si="6"/>
        <v>3</v>
      </c>
      <c r="X360" s="3" t="str">
        <f>IFERROR(__xludf.DUMMYFUNCTION("split(B360,"" "")"),"M.")</f>
        <v>M.</v>
      </c>
      <c r="Y360" s="3" t="str">
        <f>IFERROR(__xludf.DUMMYFUNCTION("""COMPUTED_VALUE"""),"Williams")</f>
        <v>Williams</v>
      </c>
      <c r="AA360" s="3">
        <v>0.0</v>
      </c>
      <c r="AB360" s="3">
        <f t="shared" si="7"/>
        <v>0</v>
      </c>
      <c r="AC360" s="3">
        <f t="shared" si="8"/>
        <v>1</v>
      </c>
      <c r="AD360" s="3">
        <f t="shared" si="9"/>
        <v>1.57480315</v>
      </c>
      <c r="AE360" s="3">
        <f t="shared" si="10"/>
        <v>1.57480315</v>
      </c>
      <c r="AF360" s="3">
        <f t="shared" si="11"/>
        <v>2.362204724</v>
      </c>
      <c r="AG360" s="3">
        <f t="shared" si="12"/>
        <v>1</v>
      </c>
    </row>
    <row r="361">
      <c r="A361" s="1" t="s">
        <v>10</v>
      </c>
      <c r="B361" s="1" t="s">
        <v>554</v>
      </c>
      <c r="C361" s="1" t="s">
        <v>19</v>
      </c>
      <c r="D361" s="1" t="s">
        <v>165</v>
      </c>
      <c r="E361" s="1" t="s">
        <v>104</v>
      </c>
      <c r="F361" s="1" t="s">
        <v>612</v>
      </c>
      <c r="G361" s="1">
        <v>31.5</v>
      </c>
      <c r="H361" s="1" t="s">
        <v>60</v>
      </c>
      <c r="I361" s="1">
        <v>-116.0</v>
      </c>
      <c r="J361" s="1">
        <v>-0.130013581849373</v>
      </c>
      <c r="K361" s="1" t="s">
        <v>61</v>
      </c>
      <c r="L361" s="1" t="s">
        <v>61</v>
      </c>
      <c r="M361" s="1" t="s">
        <v>62</v>
      </c>
      <c r="N361" s="1">
        <v>-109.0</v>
      </c>
      <c r="O361" s="1">
        <v>0.0714677785196957</v>
      </c>
      <c r="P361" s="1" t="s">
        <v>61</v>
      </c>
      <c r="Q361" s="1" t="s">
        <v>61</v>
      </c>
      <c r="R361" s="1">
        <f t="shared" si="1"/>
        <v>0.07146777852</v>
      </c>
      <c r="S361" s="1">
        <f t="shared" si="2"/>
        <v>-109</v>
      </c>
      <c r="T361" s="1">
        <f t="shared" si="3"/>
        <v>1.917431193</v>
      </c>
      <c r="U361" s="1">
        <f t="shared" si="4"/>
        <v>0</v>
      </c>
      <c r="V361" s="3">
        <f t="shared" si="5"/>
        <v>2</v>
      </c>
      <c r="W361" s="3">
        <f t="shared" si="6"/>
        <v>2</v>
      </c>
      <c r="X361" s="3" t="str">
        <f>IFERROR(__xludf.DUMMYFUNCTION("split(B361,"" "")"),"B.")</f>
        <v>B.</v>
      </c>
      <c r="Y361" s="3" t="str">
        <f>IFERROR(__xludf.DUMMYFUNCTION("""COMPUTED_VALUE"""),"Allen")</f>
        <v>Allen</v>
      </c>
      <c r="AA361" s="3">
        <v>18.0</v>
      </c>
      <c r="AB361" s="3">
        <f t="shared" si="7"/>
        <v>0</v>
      </c>
      <c r="AC361" s="3">
        <f t="shared" si="8"/>
        <v>1</v>
      </c>
      <c r="AD361" s="3">
        <f t="shared" si="9"/>
        <v>1.834862385</v>
      </c>
      <c r="AE361" s="3">
        <f t="shared" si="10"/>
        <v>1.834862385</v>
      </c>
      <c r="AF361" s="3">
        <f t="shared" si="11"/>
        <v>1.834862385</v>
      </c>
      <c r="AG361" s="3">
        <f t="shared" si="12"/>
        <v>0.4285714286</v>
      </c>
    </row>
    <row r="362">
      <c r="A362" s="1" t="s">
        <v>15</v>
      </c>
      <c r="B362" s="1" t="s">
        <v>330</v>
      </c>
      <c r="C362" s="1" t="s">
        <v>21</v>
      </c>
      <c r="D362" s="1" t="s">
        <v>165</v>
      </c>
      <c r="E362" s="1" t="s">
        <v>104</v>
      </c>
      <c r="F362" s="1" t="s">
        <v>612</v>
      </c>
      <c r="G362" s="1">
        <v>21.5</v>
      </c>
      <c r="H362" s="1" t="s">
        <v>60</v>
      </c>
      <c r="I362" s="1">
        <v>-113.0</v>
      </c>
      <c r="J362" s="1">
        <v>0.0606305164319249</v>
      </c>
      <c r="K362" s="1" t="s">
        <v>61</v>
      </c>
      <c r="L362" s="1" t="s">
        <v>61</v>
      </c>
      <c r="M362" s="1" t="s">
        <v>62</v>
      </c>
      <c r="N362" s="1">
        <v>-116.0</v>
      </c>
      <c r="O362" s="1">
        <v>-0.12819074074074</v>
      </c>
      <c r="P362" s="1" t="s">
        <v>61</v>
      </c>
      <c r="Q362" s="1" t="s">
        <v>61</v>
      </c>
      <c r="R362" s="1">
        <f t="shared" si="1"/>
        <v>0.06063051643</v>
      </c>
      <c r="S362" s="1">
        <f t="shared" si="2"/>
        <v>-113</v>
      </c>
      <c r="T362" s="1">
        <f t="shared" si="3"/>
        <v>1.884955752</v>
      </c>
      <c r="U362" s="1">
        <f t="shared" si="4"/>
        <v>1</v>
      </c>
      <c r="V362" s="3">
        <f t="shared" si="5"/>
        <v>2</v>
      </c>
      <c r="W362" s="3">
        <f t="shared" si="6"/>
        <v>2</v>
      </c>
      <c r="X362" s="3" t="str">
        <f>IFERROR(__xludf.DUMMYFUNCTION("split(B362,"" "")"),"A.")</f>
        <v>A.</v>
      </c>
      <c r="Y362" s="3" t="str">
        <f>IFERROR(__xludf.DUMMYFUNCTION("""COMPUTED_VALUE"""),"Rodgers")</f>
        <v>Rodgers</v>
      </c>
      <c r="AA362" s="3">
        <v>23.0</v>
      </c>
      <c r="AB362" s="3">
        <f t="shared" si="7"/>
        <v>1</v>
      </c>
      <c r="AC362" s="3">
        <f t="shared" si="8"/>
        <v>1</v>
      </c>
      <c r="AD362" s="3">
        <f t="shared" si="9"/>
        <v>1.769911504</v>
      </c>
      <c r="AE362" s="3">
        <f t="shared" si="10"/>
        <v>1.769911504</v>
      </c>
      <c r="AF362" s="3">
        <f t="shared" si="11"/>
        <v>1.769911504</v>
      </c>
      <c r="AG362" s="3">
        <f t="shared" si="12"/>
        <v>0.06976744186</v>
      </c>
    </row>
    <row r="363">
      <c r="A363" s="1" t="s">
        <v>8</v>
      </c>
      <c r="B363" s="1" t="s">
        <v>336</v>
      </c>
      <c r="C363" s="1" t="s">
        <v>19</v>
      </c>
      <c r="D363" s="1" t="s">
        <v>165</v>
      </c>
      <c r="E363" s="1" t="s">
        <v>104</v>
      </c>
      <c r="F363" s="1" t="s">
        <v>612</v>
      </c>
      <c r="G363" s="1">
        <v>13.5</v>
      </c>
      <c r="H363" s="1" t="s">
        <v>60</v>
      </c>
      <c r="I363" s="1">
        <v>-122.0</v>
      </c>
      <c r="J363" s="1">
        <v>-0.101436505738288</v>
      </c>
      <c r="K363" s="1" t="s">
        <v>61</v>
      </c>
      <c r="L363" s="1" t="s">
        <v>61</v>
      </c>
      <c r="M363" s="1" t="s">
        <v>62</v>
      </c>
      <c r="N363" s="1">
        <v>-107.0</v>
      </c>
      <c r="O363" s="1">
        <v>0.0349915728167777</v>
      </c>
      <c r="P363" s="1" t="s">
        <v>61</v>
      </c>
      <c r="Q363" s="1" t="s">
        <v>61</v>
      </c>
      <c r="R363" s="1">
        <f t="shared" si="1"/>
        <v>0.03499157282</v>
      </c>
      <c r="S363" s="1">
        <f t="shared" si="2"/>
        <v>-107</v>
      </c>
      <c r="T363" s="1">
        <f t="shared" si="3"/>
        <v>1.934579439</v>
      </c>
      <c r="U363" s="1">
        <f t="shared" si="4"/>
        <v>0</v>
      </c>
      <c r="V363" s="3">
        <f t="shared" si="5"/>
        <v>1</v>
      </c>
      <c r="W363" s="3">
        <f t="shared" si="6"/>
        <v>2</v>
      </c>
      <c r="X363" s="3" t="str">
        <f>IFERROR(__xludf.DUMMYFUNCTION("split(B363,"" "")"),"B.")</f>
        <v>B.</v>
      </c>
      <c r="Y363" s="3" t="str">
        <f>IFERROR(__xludf.DUMMYFUNCTION("""COMPUTED_VALUE"""),"Hall")</f>
        <v>Hall</v>
      </c>
      <c r="AA363" s="3">
        <v>18.0</v>
      </c>
      <c r="AB363" s="3">
        <f t="shared" si="7"/>
        <v>1</v>
      </c>
      <c r="AC363" s="3">
        <f t="shared" si="8"/>
        <v>0</v>
      </c>
      <c r="AD363" s="3">
        <f t="shared" si="9"/>
        <v>0.9345794393</v>
      </c>
      <c r="AE363" s="3">
        <f t="shared" si="10"/>
        <v>-1</v>
      </c>
      <c r="AF363" s="3">
        <f t="shared" si="11"/>
        <v>-2</v>
      </c>
      <c r="AG363" s="3">
        <f t="shared" si="12"/>
        <v>-0.3333333333</v>
      </c>
    </row>
    <row r="364">
      <c r="A364" s="1" t="s">
        <v>12</v>
      </c>
      <c r="B364" s="1" t="s">
        <v>291</v>
      </c>
      <c r="C364" s="1" t="s">
        <v>18</v>
      </c>
      <c r="D364" s="1" t="s">
        <v>165</v>
      </c>
      <c r="E364" s="1" t="s">
        <v>104</v>
      </c>
      <c r="F364" s="1" t="s">
        <v>612</v>
      </c>
      <c r="G364" s="1">
        <v>3.5</v>
      </c>
      <c r="H364" s="1" t="s">
        <v>60</v>
      </c>
      <c r="I364" s="1">
        <v>120.0</v>
      </c>
      <c r="J364" s="1">
        <v>-0.0957454545454545</v>
      </c>
      <c r="K364" s="1" t="s">
        <v>61</v>
      </c>
      <c r="L364" s="1" t="s">
        <v>61</v>
      </c>
      <c r="M364" s="1" t="s">
        <v>62</v>
      </c>
      <c r="N364" s="1">
        <v>-158.0</v>
      </c>
      <c r="O364" s="1">
        <v>0.0287968992248062</v>
      </c>
      <c r="P364" s="1" t="s">
        <v>61</v>
      </c>
      <c r="Q364" s="1" t="s">
        <v>61</v>
      </c>
      <c r="R364" s="1">
        <f t="shared" si="1"/>
        <v>0.02879689922</v>
      </c>
      <c r="S364" s="1">
        <f t="shared" si="2"/>
        <v>-158</v>
      </c>
      <c r="T364" s="1">
        <f t="shared" si="3"/>
        <v>1.632911392</v>
      </c>
      <c r="U364" s="1">
        <f t="shared" si="4"/>
        <v>0</v>
      </c>
      <c r="V364" s="3">
        <f t="shared" si="5"/>
        <v>1</v>
      </c>
      <c r="W364" s="3">
        <f t="shared" si="6"/>
        <v>3</v>
      </c>
      <c r="X364" s="3" t="str">
        <f>IFERROR(__xludf.DUMMYFUNCTION("split(B364,"" "")"),"A.")</f>
        <v>A.</v>
      </c>
      <c r="Y364" s="3" t="str">
        <f>IFERROR(__xludf.DUMMYFUNCTION("""COMPUTED_VALUE"""),"Lazard")</f>
        <v>Lazard</v>
      </c>
      <c r="AA364" s="3">
        <v>6.0</v>
      </c>
      <c r="AB364" s="3">
        <f t="shared" si="7"/>
        <v>1</v>
      </c>
      <c r="AC364" s="3">
        <f t="shared" si="8"/>
        <v>0</v>
      </c>
      <c r="AD364" s="3">
        <f t="shared" si="9"/>
        <v>0.6329113924</v>
      </c>
      <c r="AE364" s="3">
        <f t="shared" si="10"/>
        <v>-1</v>
      </c>
      <c r="AF364" s="3">
        <f t="shared" si="11"/>
        <v>-3</v>
      </c>
      <c r="AG364" s="3">
        <f t="shared" si="12"/>
        <v>-0.7142857143</v>
      </c>
    </row>
    <row r="365">
      <c r="A365" s="1" t="s">
        <v>12</v>
      </c>
      <c r="B365" s="1" t="s">
        <v>305</v>
      </c>
      <c r="C365" s="1" t="s">
        <v>20</v>
      </c>
      <c r="D365" s="1" t="s">
        <v>165</v>
      </c>
      <c r="E365" s="1" t="s">
        <v>104</v>
      </c>
      <c r="F365" s="1" t="s">
        <v>612</v>
      </c>
      <c r="G365" s="1">
        <v>3.5</v>
      </c>
      <c r="H365" s="1" t="s">
        <v>60</v>
      </c>
      <c r="I365" s="1">
        <v>124.0</v>
      </c>
      <c r="J365" s="1">
        <v>-0.0846285714285713</v>
      </c>
      <c r="K365" s="1" t="s">
        <v>61</v>
      </c>
      <c r="L365" s="1" t="s">
        <v>61</v>
      </c>
      <c r="M365" s="1" t="s">
        <v>62</v>
      </c>
      <c r="N365" s="1">
        <v>-164.0</v>
      </c>
      <c r="O365" s="1">
        <v>0.0169878787878788</v>
      </c>
      <c r="P365" s="1" t="s">
        <v>61</v>
      </c>
      <c r="Q365" s="1" t="s">
        <v>61</v>
      </c>
      <c r="R365" s="1">
        <f t="shared" si="1"/>
        <v>0.01698787879</v>
      </c>
      <c r="S365" s="1">
        <f t="shared" si="2"/>
        <v>-164</v>
      </c>
      <c r="T365" s="1">
        <f t="shared" si="3"/>
        <v>1.609756098</v>
      </c>
      <c r="U365" s="1">
        <f t="shared" si="4"/>
        <v>0</v>
      </c>
      <c r="V365" s="3">
        <f t="shared" si="5"/>
        <v>1</v>
      </c>
      <c r="W365" s="3">
        <f t="shared" si="6"/>
        <v>3</v>
      </c>
      <c r="X365" s="3" t="str">
        <f>IFERROR(__xludf.DUMMYFUNCTION("split(B365,"" "")"),"T.")</f>
        <v>T.</v>
      </c>
      <c r="Y365" s="3" t="str">
        <f>IFERROR(__xludf.DUMMYFUNCTION("""COMPUTED_VALUE"""),"Conklin")</f>
        <v>Conklin</v>
      </c>
      <c r="AA365" s="3">
        <v>2.0</v>
      </c>
      <c r="AB365" s="3">
        <f t="shared" si="7"/>
        <v>0</v>
      </c>
      <c r="AC365" s="3">
        <f t="shared" si="8"/>
        <v>1</v>
      </c>
      <c r="AD365" s="3">
        <f t="shared" si="9"/>
        <v>0.6097560976</v>
      </c>
      <c r="AE365" s="3">
        <f t="shared" si="10"/>
        <v>0.6097560976</v>
      </c>
      <c r="AF365" s="3">
        <f t="shared" si="11"/>
        <v>1.829268293</v>
      </c>
      <c r="AG365" s="3">
        <f t="shared" si="12"/>
        <v>0.4285714286</v>
      </c>
    </row>
    <row r="366">
      <c r="A366" s="1" t="s">
        <v>17</v>
      </c>
      <c r="B366" s="1" t="s">
        <v>330</v>
      </c>
      <c r="C366" s="1" t="s">
        <v>21</v>
      </c>
      <c r="D366" s="1" t="s">
        <v>165</v>
      </c>
      <c r="E366" s="1" t="s">
        <v>104</v>
      </c>
      <c r="F366" s="1" t="s">
        <v>612</v>
      </c>
      <c r="G366" s="1">
        <v>0.5</v>
      </c>
      <c r="H366" s="1" t="s">
        <v>60</v>
      </c>
      <c r="I366" s="1">
        <v>-111.0</v>
      </c>
      <c r="J366" s="1">
        <v>-0.0829663507109004</v>
      </c>
      <c r="K366" s="1" t="s">
        <v>61</v>
      </c>
      <c r="L366" s="1" t="s">
        <v>61</v>
      </c>
      <c r="M366" s="1" t="s">
        <v>62</v>
      </c>
      <c r="N366" s="1">
        <v>-118.0</v>
      </c>
      <c r="O366" s="1">
        <v>0.0156155963302753</v>
      </c>
      <c r="P366" s="1" t="s">
        <v>61</v>
      </c>
      <c r="Q366" s="1" t="s">
        <v>61</v>
      </c>
      <c r="R366" s="1">
        <f t="shared" si="1"/>
        <v>0.01561559633</v>
      </c>
      <c r="S366" s="1">
        <f t="shared" si="2"/>
        <v>-118</v>
      </c>
      <c r="T366" s="1">
        <f t="shared" si="3"/>
        <v>1.847457627</v>
      </c>
      <c r="U366" s="1">
        <f t="shared" si="4"/>
        <v>0</v>
      </c>
      <c r="V366" s="3">
        <f t="shared" si="5"/>
        <v>1</v>
      </c>
      <c r="W366" s="3">
        <f t="shared" si="6"/>
        <v>3</v>
      </c>
      <c r="X366" s="3" t="str">
        <f>IFERROR(__xludf.DUMMYFUNCTION("split(B366,"" "")"),"A.")</f>
        <v>A.</v>
      </c>
      <c r="Y366" s="3" t="str">
        <f>IFERROR(__xludf.DUMMYFUNCTION("""COMPUTED_VALUE"""),"Rodgers")</f>
        <v>Rodgers</v>
      </c>
      <c r="AA366" s="3">
        <v>1.0</v>
      </c>
      <c r="AB366" s="3">
        <f t="shared" si="7"/>
        <v>1</v>
      </c>
      <c r="AC366" s="3">
        <f t="shared" si="8"/>
        <v>0</v>
      </c>
      <c r="AD366" s="3">
        <f t="shared" si="9"/>
        <v>0.8474576271</v>
      </c>
      <c r="AE366" s="3">
        <f t="shared" si="10"/>
        <v>-1</v>
      </c>
      <c r="AF366" s="3">
        <f t="shared" si="11"/>
        <v>-3</v>
      </c>
      <c r="AG366" s="3">
        <f t="shared" si="12"/>
        <v>-1</v>
      </c>
    </row>
    <row r="367">
      <c r="A367" s="1" t="s">
        <v>11</v>
      </c>
      <c r="B367" s="1" t="s">
        <v>291</v>
      </c>
      <c r="C367" s="1" t="s">
        <v>18</v>
      </c>
      <c r="D367" s="1" t="s">
        <v>165</v>
      </c>
      <c r="E367" s="1" t="s">
        <v>104</v>
      </c>
      <c r="F367" s="1" t="s">
        <v>612</v>
      </c>
      <c r="G367" s="1">
        <v>34.5</v>
      </c>
      <c r="H367" s="1" t="s">
        <v>60</v>
      </c>
      <c r="I367" s="1">
        <v>-113.0</v>
      </c>
      <c r="J367" s="1">
        <v>-0.0764440657797183</v>
      </c>
      <c r="K367" s="1" t="s">
        <v>61</v>
      </c>
      <c r="L367" s="1" t="s">
        <v>61</v>
      </c>
      <c r="M367" s="1" t="s">
        <v>62</v>
      </c>
      <c r="N367" s="1">
        <v>-114.0</v>
      </c>
      <c r="O367" s="1">
        <v>0.0132333639545664</v>
      </c>
      <c r="P367" s="1" t="s">
        <v>61</v>
      </c>
      <c r="Q367" s="1" t="s">
        <v>61</v>
      </c>
      <c r="R367" s="1">
        <f t="shared" si="1"/>
        <v>0.01323336395</v>
      </c>
      <c r="S367" s="1">
        <f t="shared" si="2"/>
        <v>-114</v>
      </c>
      <c r="T367" s="1">
        <f t="shared" si="3"/>
        <v>1.877192982</v>
      </c>
      <c r="U367" s="1">
        <f t="shared" si="4"/>
        <v>0</v>
      </c>
      <c r="V367" s="3">
        <f t="shared" si="5"/>
        <v>1</v>
      </c>
      <c r="W367" s="3">
        <f t="shared" si="6"/>
        <v>2</v>
      </c>
      <c r="X367" s="3" t="str">
        <f>IFERROR(__xludf.DUMMYFUNCTION("split(B367,"" "")"),"A.")</f>
        <v>A.</v>
      </c>
      <c r="Y367" s="3" t="str">
        <f>IFERROR(__xludf.DUMMYFUNCTION("""COMPUTED_VALUE"""),"Lazard")</f>
        <v>Lazard</v>
      </c>
      <c r="AA367" s="3">
        <v>114.0</v>
      </c>
      <c r="AB367" s="3">
        <f t="shared" si="7"/>
        <v>1</v>
      </c>
      <c r="AC367" s="3">
        <f t="shared" si="8"/>
        <v>0</v>
      </c>
      <c r="AD367" s="3">
        <f t="shared" si="9"/>
        <v>0.8771929825</v>
      </c>
      <c r="AE367" s="3">
        <f t="shared" si="10"/>
        <v>-1</v>
      </c>
      <c r="AF367" s="3">
        <f t="shared" si="11"/>
        <v>-2</v>
      </c>
      <c r="AG367" s="3">
        <f t="shared" si="12"/>
        <v>-2.304347826</v>
      </c>
    </row>
    <row r="368">
      <c r="A368" s="1" t="s">
        <v>12</v>
      </c>
      <c r="B368" s="1" t="s">
        <v>479</v>
      </c>
      <c r="C368" s="1" t="s">
        <v>18</v>
      </c>
      <c r="D368" s="1" t="s">
        <v>165</v>
      </c>
      <c r="E368" s="1" t="s">
        <v>104</v>
      </c>
      <c r="F368" s="1" t="s">
        <v>612</v>
      </c>
      <c r="G368" s="1">
        <v>5.5</v>
      </c>
      <c r="H368" s="1" t="s">
        <v>60</v>
      </c>
      <c r="I368" s="1">
        <v>-126.0</v>
      </c>
      <c r="J368" s="1">
        <v>0.00907787610619459</v>
      </c>
      <c r="K368" s="1" t="s">
        <v>61</v>
      </c>
      <c r="L368" s="1" t="s">
        <v>61</v>
      </c>
      <c r="M368" s="1" t="s">
        <v>62</v>
      </c>
      <c r="N368" s="1">
        <v>-104.0</v>
      </c>
      <c r="O368" s="1">
        <v>-0.0764039215686274</v>
      </c>
      <c r="P368" s="1" t="s">
        <v>61</v>
      </c>
      <c r="Q368" s="1" t="s">
        <v>61</v>
      </c>
      <c r="R368" s="1">
        <f t="shared" si="1"/>
        <v>0.009077876106</v>
      </c>
      <c r="S368" s="1">
        <f t="shared" si="2"/>
        <v>-126</v>
      </c>
      <c r="T368" s="1">
        <f t="shared" si="3"/>
        <v>1.793650794</v>
      </c>
      <c r="U368" s="1">
        <f t="shared" si="4"/>
        <v>1</v>
      </c>
      <c r="V368" s="3">
        <f t="shared" si="5"/>
        <v>1</v>
      </c>
      <c r="W368" s="3">
        <f t="shared" si="6"/>
        <v>3</v>
      </c>
      <c r="X368" s="3" t="str">
        <f>IFERROR(__xludf.DUMMYFUNCTION("split(B368,"" "")"),"G.")</f>
        <v>G.</v>
      </c>
      <c r="Y368" s="3" t="str">
        <f>IFERROR(__xludf.DUMMYFUNCTION("""COMPUTED_VALUE"""),"Wilson")</f>
        <v>Wilson</v>
      </c>
      <c r="AA368" s="3">
        <v>8.0</v>
      </c>
      <c r="AB368" s="3">
        <f t="shared" si="7"/>
        <v>1</v>
      </c>
      <c r="AC368" s="3">
        <f t="shared" si="8"/>
        <v>1</v>
      </c>
      <c r="AD368" s="3">
        <f t="shared" si="9"/>
        <v>0.7936507937</v>
      </c>
      <c r="AE368" s="3">
        <f t="shared" si="10"/>
        <v>0.7936507937</v>
      </c>
      <c r="AF368" s="3">
        <f t="shared" si="11"/>
        <v>2.380952381</v>
      </c>
      <c r="AG368" s="3">
        <f t="shared" si="12"/>
        <v>0.4545454545</v>
      </c>
    </row>
    <row r="369">
      <c r="A369" s="1" t="s">
        <v>13</v>
      </c>
      <c r="B369" s="1" t="s">
        <v>330</v>
      </c>
      <c r="C369" s="1" t="s">
        <v>21</v>
      </c>
      <c r="D369" s="1" t="s">
        <v>165</v>
      </c>
      <c r="E369" s="1" t="s">
        <v>104</v>
      </c>
      <c r="F369" s="1" t="s">
        <v>612</v>
      </c>
      <c r="G369" s="1">
        <v>217.5</v>
      </c>
      <c r="H369" s="1" t="s">
        <v>60</v>
      </c>
      <c r="I369" s="1">
        <v>-112.0</v>
      </c>
      <c r="J369" s="1">
        <v>0.00712264150943375</v>
      </c>
      <c r="K369" s="1" t="s">
        <v>61</v>
      </c>
      <c r="L369" s="1" t="s">
        <v>61</v>
      </c>
      <c r="M369" s="1" t="s">
        <v>62</v>
      </c>
      <c r="N369" s="1">
        <v>-112.0</v>
      </c>
      <c r="O369" s="1">
        <v>-0.0637773584905657</v>
      </c>
      <c r="P369" s="1" t="s">
        <v>61</v>
      </c>
      <c r="Q369" s="1" t="s">
        <v>61</v>
      </c>
      <c r="R369" s="1">
        <f t="shared" si="1"/>
        <v>0.007122641509</v>
      </c>
      <c r="S369" s="1">
        <f t="shared" si="2"/>
        <v>-112</v>
      </c>
      <c r="T369" s="1">
        <f t="shared" si="3"/>
        <v>1.892857143</v>
      </c>
      <c r="U369" s="1">
        <f t="shared" si="4"/>
        <v>1</v>
      </c>
      <c r="V369" s="3">
        <f t="shared" si="5"/>
        <v>1</v>
      </c>
      <c r="W369" s="3">
        <f t="shared" si="6"/>
        <v>2</v>
      </c>
      <c r="X369" s="3" t="str">
        <f>IFERROR(__xludf.DUMMYFUNCTION("split(B369,"" "")"),"A.")</f>
        <v>A.</v>
      </c>
      <c r="Y369" s="3" t="str">
        <f>IFERROR(__xludf.DUMMYFUNCTION("""COMPUTED_VALUE"""),"Rodgers")</f>
        <v>Rodgers</v>
      </c>
      <c r="AA369" s="3">
        <v>294.0</v>
      </c>
      <c r="AB369" s="3">
        <f t="shared" si="7"/>
        <v>1</v>
      </c>
      <c r="AC369" s="3">
        <f t="shared" si="8"/>
        <v>1</v>
      </c>
      <c r="AD369" s="3">
        <f t="shared" si="9"/>
        <v>0.8928571429</v>
      </c>
      <c r="AE369" s="3">
        <f t="shared" si="10"/>
        <v>0.8928571429</v>
      </c>
      <c r="AF369" s="3">
        <f t="shared" si="11"/>
        <v>1.785714286</v>
      </c>
      <c r="AG369" s="3">
        <f t="shared" si="12"/>
        <v>0.3517241379</v>
      </c>
    </row>
    <row r="370">
      <c r="A370" s="1" t="s">
        <v>11</v>
      </c>
      <c r="B370" s="1" t="s">
        <v>336</v>
      </c>
      <c r="C370" s="1" t="s">
        <v>19</v>
      </c>
      <c r="D370" s="1" t="s">
        <v>165</v>
      </c>
      <c r="E370" s="1" t="s">
        <v>104</v>
      </c>
      <c r="F370" s="1" t="s">
        <v>612</v>
      </c>
      <c r="G370" s="1">
        <v>22.5</v>
      </c>
      <c r="H370" s="1" t="s">
        <v>60</v>
      </c>
      <c r="I370" s="1">
        <v>-122.0</v>
      </c>
      <c r="J370" s="1">
        <v>-0.0722097582788557</v>
      </c>
      <c r="K370" s="1" t="s">
        <v>61</v>
      </c>
      <c r="L370" s="1" t="s">
        <v>61</v>
      </c>
      <c r="M370" s="1" t="s">
        <v>62</v>
      </c>
      <c r="N370" s="1">
        <v>-107.0</v>
      </c>
      <c r="O370" s="1">
        <v>0.00577563276115666</v>
      </c>
      <c r="P370" s="1" t="s">
        <v>61</v>
      </c>
      <c r="Q370" s="1" t="s">
        <v>61</v>
      </c>
      <c r="R370" s="1">
        <f t="shared" si="1"/>
        <v>0.005775632761</v>
      </c>
      <c r="S370" s="1">
        <f t="shared" si="2"/>
        <v>-107</v>
      </c>
      <c r="T370" s="1">
        <f t="shared" si="3"/>
        <v>1.934579439</v>
      </c>
      <c r="U370" s="1">
        <f t="shared" si="4"/>
        <v>0</v>
      </c>
      <c r="V370" s="3">
        <f t="shared" si="5"/>
        <v>1</v>
      </c>
      <c r="W370" s="3">
        <f t="shared" si="6"/>
        <v>2</v>
      </c>
      <c r="X370" s="3" t="str">
        <f>IFERROR(__xludf.DUMMYFUNCTION("split(B370,"" "")"),"B.")</f>
        <v>B.</v>
      </c>
      <c r="Y370" s="3" t="str">
        <f>IFERROR(__xludf.DUMMYFUNCTION("""COMPUTED_VALUE"""),"Hall")</f>
        <v>Hall</v>
      </c>
      <c r="AA370" s="3">
        <v>56.0</v>
      </c>
      <c r="AB370" s="3">
        <f t="shared" si="7"/>
        <v>1</v>
      </c>
      <c r="AC370" s="3">
        <f t="shared" si="8"/>
        <v>0</v>
      </c>
      <c r="AD370" s="3">
        <f t="shared" si="9"/>
        <v>0.9345794393</v>
      </c>
      <c r="AE370" s="3">
        <f t="shared" si="10"/>
        <v>-1</v>
      </c>
      <c r="AF370" s="3">
        <f t="shared" si="11"/>
        <v>-2</v>
      </c>
      <c r="AG370" s="3">
        <f t="shared" si="12"/>
        <v>-1.488888889</v>
      </c>
    </row>
    <row r="371">
      <c r="A371" s="1" t="s">
        <v>9</v>
      </c>
      <c r="B371" s="1" t="s">
        <v>210</v>
      </c>
      <c r="C371" s="1" t="s">
        <v>18</v>
      </c>
      <c r="D371" s="1" t="s">
        <v>156</v>
      </c>
      <c r="E371" s="1" t="s">
        <v>89</v>
      </c>
      <c r="F371" s="1" t="s">
        <v>608</v>
      </c>
      <c r="G371" s="1">
        <v>9.5</v>
      </c>
      <c r="H371" s="1" t="s">
        <v>60</v>
      </c>
      <c r="I371" s="1">
        <v>-110.0</v>
      </c>
      <c r="J371" s="1">
        <v>0.204517951370814</v>
      </c>
      <c r="K371" s="1" t="s">
        <v>61</v>
      </c>
      <c r="L371" s="1" t="s">
        <v>61</v>
      </c>
      <c r="M371" s="1" t="s">
        <v>62</v>
      </c>
      <c r="N371" s="1">
        <v>-120.0</v>
      </c>
      <c r="O371" s="1">
        <v>-0.273727835206569</v>
      </c>
      <c r="P371" s="1" t="s">
        <v>61</v>
      </c>
      <c r="Q371" s="1" t="s">
        <v>61</v>
      </c>
      <c r="R371" s="1">
        <f t="shared" si="1"/>
        <v>0.2045179514</v>
      </c>
      <c r="S371" s="1">
        <f t="shared" si="2"/>
        <v>-110</v>
      </c>
      <c r="T371" s="1">
        <f t="shared" si="3"/>
        <v>1.909090909</v>
      </c>
      <c r="U371" s="1">
        <f t="shared" si="4"/>
        <v>1</v>
      </c>
      <c r="V371" s="3">
        <f t="shared" si="5"/>
        <v>3</v>
      </c>
      <c r="W371" s="3">
        <f t="shared" si="6"/>
        <v>2</v>
      </c>
      <c r="X371" s="3" t="str">
        <f>IFERROR(__xludf.DUMMYFUNCTION("split(B371,"" "")"),"J.")</f>
        <v>J.</v>
      </c>
      <c r="Y371" s="3" t="str">
        <f>IFERROR(__xludf.DUMMYFUNCTION("""COMPUTED_VALUE"""),"Dotson")</f>
        <v>Dotson</v>
      </c>
      <c r="AA371" s="3">
        <v>23.0</v>
      </c>
      <c r="AB371" s="3">
        <f t="shared" si="7"/>
        <v>1</v>
      </c>
      <c r="AC371" s="3">
        <f t="shared" si="8"/>
        <v>1</v>
      </c>
      <c r="AD371" s="3">
        <f t="shared" si="9"/>
        <v>2.727272727</v>
      </c>
      <c r="AE371" s="3">
        <f t="shared" si="10"/>
        <v>2.727272727</v>
      </c>
      <c r="AF371" s="3">
        <f t="shared" si="11"/>
        <v>1.818181818</v>
      </c>
      <c r="AG371" s="3">
        <f t="shared" si="12"/>
        <v>1.421052632</v>
      </c>
    </row>
    <row r="372">
      <c r="A372" s="1" t="s">
        <v>12</v>
      </c>
      <c r="B372" s="1" t="s">
        <v>366</v>
      </c>
      <c r="C372" s="1" t="s">
        <v>20</v>
      </c>
      <c r="D372" s="1" t="s">
        <v>156</v>
      </c>
      <c r="E372" s="1" t="s">
        <v>89</v>
      </c>
      <c r="F372" s="1" t="s">
        <v>608</v>
      </c>
      <c r="G372" s="1">
        <v>3.5</v>
      </c>
      <c r="H372" s="1" t="s">
        <v>60</v>
      </c>
      <c r="I372" s="1">
        <v>-159.0</v>
      </c>
      <c r="J372" s="1">
        <v>-0.207138223938224</v>
      </c>
      <c r="K372" s="1" t="s">
        <v>61</v>
      </c>
      <c r="L372" s="1" t="s">
        <v>61</v>
      </c>
      <c r="M372" s="1" t="s">
        <v>62</v>
      </c>
      <c r="N372" s="1">
        <v>121.0</v>
      </c>
      <c r="O372" s="1">
        <v>0.140756561085972</v>
      </c>
      <c r="P372" s="1" t="s">
        <v>61</v>
      </c>
      <c r="Q372" s="1" t="s">
        <v>61</v>
      </c>
      <c r="R372" s="1">
        <f t="shared" si="1"/>
        <v>0.1407565611</v>
      </c>
      <c r="S372" s="1">
        <f t="shared" si="2"/>
        <v>121</v>
      </c>
      <c r="T372" s="1">
        <f t="shared" si="3"/>
        <v>2.21</v>
      </c>
      <c r="U372" s="1">
        <f t="shared" si="4"/>
        <v>0</v>
      </c>
      <c r="V372" s="3">
        <f t="shared" si="5"/>
        <v>3</v>
      </c>
      <c r="W372" s="3">
        <f t="shared" si="6"/>
        <v>1</v>
      </c>
      <c r="X372" s="3" t="str">
        <f>IFERROR(__xludf.DUMMYFUNCTION("split(B372,"" "")"),"D.")</f>
        <v>D.</v>
      </c>
      <c r="Y372" s="3" t="str">
        <f>IFERROR(__xludf.DUMMYFUNCTION("""COMPUTED_VALUE"""),"Goedert")</f>
        <v>Goedert</v>
      </c>
      <c r="AA372" s="3">
        <v>0.0</v>
      </c>
      <c r="AB372" s="3">
        <f t="shared" si="7"/>
        <v>0</v>
      </c>
      <c r="AC372" s="3">
        <f t="shared" si="8"/>
        <v>1</v>
      </c>
      <c r="AD372" s="3">
        <f t="shared" si="9"/>
        <v>3.63</v>
      </c>
      <c r="AE372" s="3">
        <f t="shared" si="10"/>
        <v>3.63</v>
      </c>
      <c r="AF372" s="3">
        <f t="shared" si="11"/>
        <v>1.21</v>
      </c>
      <c r="AG372" s="3">
        <f t="shared" si="12"/>
        <v>1</v>
      </c>
    </row>
    <row r="373">
      <c r="A373" s="1" t="s">
        <v>8</v>
      </c>
      <c r="B373" s="1" t="s">
        <v>155</v>
      </c>
      <c r="C373" s="1" t="s">
        <v>19</v>
      </c>
      <c r="D373" s="1" t="s">
        <v>156</v>
      </c>
      <c r="E373" s="1" t="s">
        <v>89</v>
      </c>
      <c r="F373" s="1" t="s">
        <v>608</v>
      </c>
      <c r="G373" s="1">
        <v>18.5</v>
      </c>
      <c r="H373" s="1" t="s">
        <v>60</v>
      </c>
      <c r="I373" s="1">
        <v>-120.0</v>
      </c>
      <c r="J373" s="1">
        <v>0.107989706690909</v>
      </c>
      <c r="K373" s="1" t="s">
        <v>61</v>
      </c>
      <c r="L373" s="1" t="s">
        <v>61</v>
      </c>
      <c r="M373" s="1" t="s">
        <v>62</v>
      </c>
      <c r="N373" s="1">
        <v>-112.0</v>
      </c>
      <c r="O373" s="1">
        <v>-0.181753677169811</v>
      </c>
      <c r="P373" s="1" t="s">
        <v>61</v>
      </c>
      <c r="Q373" s="1" t="s">
        <v>61</v>
      </c>
      <c r="R373" s="1">
        <f t="shared" si="1"/>
        <v>0.1079897067</v>
      </c>
      <c r="S373" s="1">
        <f t="shared" si="2"/>
        <v>-120</v>
      </c>
      <c r="T373" s="1">
        <f t="shared" si="3"/>
        <v>1.833333333</v>
      </c>
      <c r="U373" s="1">
        <f t="shared" si="4"/>
        <v>1</v>
      </c>
      <c r="V373" s="3">
        <f t="shared" si="5"/>
        <v>3</v>
      </c>
      <c r="W373" s="3">
        <f t="shared" si="6"/>
        <v>3</v>
      </c>
      <c r="X373" s="3" t="str">
        <f>IFERROR(__xludf.DUMMYFUNCTION("split(B373,"" "")"),"S.")</f>
        <v>S.</v>
      </c>
      <c r="Y373" s="3" t="str">
        <f>IFERROR(__xludf.DUMMYFUNCTION("""COMPUTED_VALUE"""),"Barkley")</f>
        <v>Barkley</v>
      </c>
      <c r="AA373" s="3">
        <v>18.0</v>
      </c>
      <c r="AB373" s="3">
        <f t="shared" si="7"/>
        <v>0</v>
      </c>
      <c r="AC373" s="3">
        <f t="shared" si="8"/>
        <v>0</v>
      </c>
      <c r="AD373" s="3">
        <f t="shared" si="9"/>
        <v>2.5</v>
      </c>
      <c r="AE373" s="3">
        <f t="shared" si="10"/>
        <v>-3</v>
      </c>
      <c r="AF373" s="3">
        <f t="shared" si="11"/>
        <v>-3</v>
      </c>
      <c r="AG373" s="3">
        <f t="shared" si="12"/>
        <v>-0.02702702703</v>
      </c>
    </row>
    <row r="374">
      <c r="A374" s="1" t="s">
        <v>8</v>
      </c>
      <c r="B374" s="1" t="s">
        <v>338</v>
      </c>
      <c r="C374" s="1" t="s">
        <v>21</v>
      </c>
      <c r="D374" s="1" t="s">
        <v>156</v>
      </c>
      <c r="E374" s="1" t="s">
        <v>89</v>
      </c>
      <c r="F374" s="1" t="s">
        <v>608</v>
      </c>
      <c r="G374" s="1">
        <v>9.5</v>
      </c>
      <c r="H374" s="1" t="s">
        <v>60</v>
      </c>
      <c r="I374" s="1">
        <v>-123.0</v>
      </c>
      <c r="J374" s="1">
        <v>-0.173665917973744</v>
      </c>
      <c r="K374" s="1" t="s">
        <v>61</v>
      </c>
      <c r="L374" s="1" t="s">
        <v>61</v>
      </c>
      <c r="M374" s="1" t="s">
        <v>62</v>
      </c>
      <c r="N374" s="1">
        <v>-108.0</v>
      </c>
      <c r="O374" s="1">
        <v>0.102865075407675</v>
      </c>
      <c r="P374" s="1" t="s">
        <v>61</v>
      </c>
      <c r="Q374" s="1" t="s">
        <v>61</v>
      </c>
      <c r="R374" s="1">
        <f t="shared" si="1"/>
        <v>0.1028650754</v>
      </c>
      <c r="S374" s="1">
        <f t="shared" si="2"/>
        <v>-108</v>
      </c>
      <c r="T374" s="1">
        <f t="shared" si="3"/>
        <v>1.925925926</v>
      </c>
      <c r="U374" s="1">
        <f t="shared" si="4"/>
        <v>0</v>
      </c>
      <c r="V374" s="3">
        <f t="shared" si="5"/>
        <v>3</v>
      </c>
      <c r="W374" s="3">
        <f t="shared" si="6"/>
        <v>2</v>
      </c>
      <c r="X374" s="3" t="str">
        <f>IFERROR(__xludf.DUMMYFUNCTION("split(B374,"" "")"),"J.")</f>
        <v>J.</v>
      </c>
      <c r="Y374" s="3" t="str">
        <f>IFERROR(__xludf.DUMMYFUNCTION("""COMPUTED_VALUE"""),"Hurts")</f>
        <v>Hurts</v>
      </c>
      <c r="AA374" s="3">
        <v>14.0</v>
      </c>
      <c r="AB374" s="3">
        <f t="shared" si="7"/>
        <v>1</v>
      </c>
      <c r="AC374" s="3">
        <f t="shared" si="8"/>
        <v>0</v>
      </c>
      <c r="AD374" s="3">
        <f t="shared" si="9"/>
        <v>2.777777778</v>
      </c>
      <c r="AE374" s="3">
        <f t="shared" si="10"/>
        <v>-3</v>
      </c>
      <c r="AF374" s="3">
        <f t="shared" si="11"/>
        <v>-2</v>
      </c>
      <c r="AG374" s="3">
        <f t="shared" si="12"/>
        <v>-0.4736842105</v>
      </c>
    </row>
    <row r="375">
      <c r="A375" s="1" t="s">
        <v>12</v>
      </c>
      <c r="B375" s="1" t="s">
        <v>155</v>
      </c>
      <c r="C375" s="1" t="s">
        <v>19</v>
      </c>
      <c r="D375" s="1" t="s">
        <v>156</v>
      </c>
      <c r="E375" s="1" t="s">
        <v>89</v>
      </c>
      <c r="F375" s="1" t="s">
        <v>608</v>
      </c>
      <c r="G375" s="1">
        <v>2.5</v>
      </c>
      <c r="H375" s="1" t="s">
        <v>60</v>
      </c>
      <c r="I375" s="1">
        <v>-111.0</v>
      </c>
      <c r="J375" s="1">
        <v>-0.167111685829383</v>
      </c>
      <c r="K375" s="1" t="s">
        <v>61</v>
      </c>
      <c r="L375" s="1" t="s">
        <v>61</v>
      </c>
      <c r="M375" s="1" t="s">
        <v>62</v>
      </c>
      <c r="N375" s="1">
        <v>-119.0</v>
      </c>
      <c r="O375" s="1">
        <v>0.0976729826251142</v>
      </c>
      <c r="P375" s="1" t="s">
        <v>61</v>
      </c>
      <c r="Q375" s="1" t="s">
        <v>61</v>
      </c>
      <c r="R375" s="1">
        <f t="shared" si="1"/>
        <v>0.09767298263</v>
      </c>
      <c r="S375" s="1">
        <f t="shared" si="2"/>
        <v>-119</v>
      </c>
      <c r="T375" s="1">
        <f t="shared" si="3"/>
        <v>1.840336134</v>
      </c>
      <c r="U375" s="1">
        <f t="shared" si="4"/>
        <v>0</v>
      </c>
      <c r="V375" s="3">
        <f t="shared" si="5"/>
        <v>2</v>
      </c>
      <c r="W375" s="3">
        <f t="shared" si="6"/>
        <v>3</v>
      </c>
      <c r="X375" s="3" t="str">
        <f>IFERROR(__xludf.DUMMYFUNCTION("split(B375,"" "")"),"S.")</f>
        <v>S.</v>
      </c>
      <c r="Y375" s="3" t="str">
        <f>IFERROR(__xludf.DUMMYFUNCTION("""COMPUTED_VALUE"""),"Barkley")</f>
        <v>Barkley</v>
      </c>
      <c r="AA375" s="3">
        <v>2.0</v>
      </c>
      <c r="AB375" s="3">
        <f t="shared" si="7"/>
        <v>0</v>
      </c>
      <c r="AC375" s="3">
        <f t="shared" si="8"/>
        <v>1</v>
      </c>
      <c r="AD375" s="3">
        <f t="shared" si="9"/>
        <v>1.680672269</v>
      </c>
      <c r="AE375" s="3">
        <f t="shared" si="10"/>
        <v>1.680672269</v>
      </c>
      <c r="AF375" s="3">
        <f t="shared" si="11"/>
        <v>2.521008403</v>
      </c>
      <c r="AG375" s="3">
        <f t="shared" si="12"/>
        <v>0.2</v>
      </c>
    </row>
    <row r="376">
      <c r="A376" s="1" t="s">
        <v>12</v>
      </c>
      <c r="B376" s="1" t="s">
        <v>492</v>
      </c>
      <c r="C376" s="1" t="s">
        <v>18</v>
      </c>
      <c r="D376" s="1" t="s">
        <v>156</v>
      </c>
      <c r="E376" s="1" t="s">
        <v>89</v>
      </c>
      <c r="F376" s="1" t="s">
        <v>608</v>
      </c>
      <c r="G376" s="1">
        <v>5.5</v>
      </c>
      <c r="H376" s="1" t="s">
        <v>60</v>
      </c>
      <c r="I376" s="1">
        <v>109.0</v>
      </c>
      <c r="J376" s="1">
        <v>0.0910354066985645</v>
      </c>
      <c r="K376" s="1" t="s">
        <v>61</v>
      </c>
      <c r="L376" s="1" t="s">
        <v>61</v>
      </c>
      <c r="M376" s="1" t="s">
        <v>62</v>
      </c>
      <c r="N376" s="1">
        <v>-143.0</v>
      </c>
      <c r="O376" s="1">
        <v>-0.157995061728395</v>
      </c>
      <c r="P376" s="1" t="s">
        <v>61</v>
      </c>
      <c r="Q376" s="1" t="s">
        <v>61</v>
      </c>
      <c r="R376" s="1">
        <f t="shared" si="1"/>
        <v>0.0910354067</v>
      </c>
      <c r="S376" s="1">
        <f t="shared" si="2"/>
        <v>109</v>
      </c>
      <c r="T376" s="1">
        <f t="shared" si="3"/>
        <v>2.09</v>
      </c>
      <c r="U376" s="1">
        <f t="shared" si="4"/>
        <v>1</v>
      </c>
      <c r="V376" s="3">
        <f t="shared" si="5"/>
        <v>2</v>
      </c>
      <c r="W376" s="3">
        <f t="shared" si="6"/>
        <v>2</v>
      </c>
      <c r="X376" s="3" t="str">
        <f>IFERROR(__xludf.DUMMYFUNCTION("split(B376,"" "")"),"A.")</f>
        <v>A.</v>
      </c>
      <c r="Y376" s="3" t="str">
        <f>IFERROR(__xludf.DUMMYFUNCTION("""COMPUTED_VALUE"""),"Brown")</f>
        <v>Brown</v>
      </c>
      <c r="AA376" s="3">
        <v>6.0</v>
      </c>
      <c r="AB376" s="3">
        <f t="shared" si="7"/>
        <v>1</v>
      </c>
      <c r="AC376" s="3">
        <f t="shared" si="8"/>
        <v>1</v>
      </c>
      <c r="AD376" s="3">
        <f t="shared" si="9"/>
        <v>2.18</v>
      </c>
      <c r="AE376" s="3">
        <f t="shared" si="10"/>
        <v>2.18</v>
      </c>
      <c r="AF376" s="3">
        <f t="shared" si="11"/>
        <v>2.18</v>
      </c>
      <c r="AG376" s="3">
        <f t="shared" si="12"/>
        <v>0.09090909091</v>
      </c>
    </row>
    <row r="377">
      <c r="A377" s="1" t="s">
        <v>11</v>
      </c>
      <c r="B377" s="1" t="s">
        <v>210</v>
      </c>
      <c r="C377" s="1" t="s">
        <v>18</v>
      </c>
      <c r="D377" s="1" t="s">
        <v>156</v>
      </c>
      <c r="E377" s="1" t="s">
        <v>89</v>
      </c>
      <c r="F377" s="1" t="s">
        <v>608</v>
      </c>
      <c r="G377" s="1">
        <v>8.5</v>
      </c>
      <c r="H377" s="1" t="s">
        <v>60</v>
      </c>
      <c r="I377" s="1">
        <v>-114.0</v>
      </c>
      <c r="J377" s="1">
        <v>0.0440793582807451</v>
      </c>
      <c r="K377" s="1" t="s">
        <v>61</v>
      </c>
      <c r="L377" s="1" t="s">
        <v>61</v>
      </c>
      <c r="M377" s="1" t="s">
        <v>62</v>
      </c>
      <c r="N377" s="1">
        <v>-111.0</v>
      </c>
      <c r="O377" s="1">
        <v>-0.102842107895773</v>
      </c>
      <c r="P377" s="1" t="s">
        <v>61</v>
      </c>
      <c r="Q377" s="1" t="s">
        <v>61</v>
      </c>
      <c r="R377" s="1">
        <f t="shared" si="1"/>
        <v>0.04407935828</v>
      </c>
      <c r="S377" s="1">
        <f t="shared" si="2"/>
        <v>-114</v>
      </c>
      <c r="T377" s="1">
        <f t="shared" si="3"/>
        <v>1.877192982</v>
      </c>
      <c r="U377" s="1">
        <f t="shared" si="4"/>
        <v>1</v>
      </c>
      <c r="V377" s="3">
        <f t="shared" si="5"/>
        <v>1</v>
      </c>
      <c r="W377" s="3">
        <f t="shared" si="6"/>
        <v>2</v>
      </c>
      <c r="X377" s="3" t="str">
        <f>IFERROR(__xludf.DUMMYFUNCTION("split(B377,"" "")"),"J.")</f>
        <v>J.</v>
      </c>
      <c r="Y377" s="3" t="str">
        <f>IFERROR(__xludf.DUMMYFUNCTION("""COMPUTED_VALUE"""),"Dotson")</f>
        <v>Dotson</v>
      </c>
      <c r="AA377" s="3">
        <v>10.0</v>
      </c>
      <c r="AB377" s="3">
        <f t="shared" si="7"/>
        <v>1</v>
      </c>
      <c r="AC377" s="3">
        <f t="shared" si="8"/>
        <v>1</v>
      </c>
      <c r="AD377" s="3">
        <f t="shared" si="9"/>
        <v>0.8771929825</v>
      </c>
      <c r="AE377" s="3">
        <f t="shared" si="10"/>
        <v>0.8771929825</v>
      </c>
      <c r="AF377" s="3">
        <f t="shared" si="11"/>
        <v>1.754385965</v>
      </c>
      <c r="AG377" s="3">
        <f t="shared" si="12"/>
        <v>0.1764705882</v>
      </c>
    </row>
    <row r="378">
      <c r="A378" s="1" t="s">
        <v>15</v>
      </c>
      <c r="B378" s="1" t="s">
        <v>338</v>
      </c>
      <c r="C378" s="1" t="s">
        <v>21</v>
      </c>
      <c r="D378" s="1" t="s">
        <v>156</v>
      </c>
      <c r="E378" s="1" t="s">
        <v>89</v>
      </c>
      <c r="F378" s="1" t="s">
        <v>608</v>
      </c>
      <c r="G378" s="1">
        <v>20.5</v>
      </c>
      <c r="H378" s="1" t="s">
        <v>60</v>
      </c>
      <c r="I378" s="1">
        <v>100.0</v>
      </c>
      <c r="J378" s="1">
        <v>0.0313999999999999</v>
      </c>
      <c r="K378" s="1" t="s">
        <v>61</v>
      </c>
      <c r="L378" s="1" t="s">
        <v>61</v>
      </c>
      <c r="M378" s="1" t="s">
        <v>62</v>
      </c>
      <c r="N378" s="1">
        <v>-131.0</v>
      </c>
      <c r="O378" s="1">
        <v>-0.098512987012987</v>
      </c>
      <c r="P378" s="1" t="s">
        <v>61</v>
      </c>
      <c r="Q378" s="1" t="s">
        <v>61</v>
      </c>
      <c r="R378" s="1">
        <f t="shared" si="1"/>
        <v>0.0314</v>
      </c>
      <c r="S378" s="1">
        <f t="shared" si="2"/>
        <v>100</v>
      </c>
      <c r="T378" s="1">
        <f t="shared" si="3"/>
        <v>2</v>
      </c>
      <c r="U378" s="1">
        <f t="shared" si="4"/>
        <v>1</v>
      </c>
      <c r="V378" s="3">
        <f t="shared" si="5"/>
        <v>1</v>
      </c>
      <c r="W378" s="3">
        <f t="shared" si="6"/>
        <v>2</v>
      </c>
      <c r="X378" s="3" t="str">
        <f>IFERROR(__xludf.DUMMYFUNCTION("split(B378,"" "")"),"J.")</f>
        <v>J.</v>
      </c>
      <c r="Y378" s="3" t="str">
        <f>IFERROR(__xludf.DUMMYFUNCTION("""COMPUTED_VALUE"""),"Hurts")</f>
        <v>Hurts</v>
      </c>
      <c r="AA378" s="3">
        <v>16.0</v>
      </c>
      <c r="AB378" s="3">
        <f t="shared" si="7"/>
        <v>0</v>
      </c>
      <c r="AC378" s="3">
        <f t="shared" si="8"/>
        <v>0</v>
      </c>
      <c r="AD378" s="3">
        <f t="shared" si="9"/>
        <v>1</v>
      </c>
      <c r="AE378" s="3">
        <f t="shared" si="10"/>
        <v>-1</v>
      </c>
      <c r="AF378" s="3">
        <f t="shared" si="11"/>
        <v>-2</v>
      </c>
      <c r="AG378" s="3">
        <f t="shared" si="12"/>
        <v>-0.2195121951</v>
      </c>
    </row>
    <row r="379">
      <c r="A379" s="1" t="s">
        <v>11</v>
      </c>
      <c r="B379" s="1" t="s">
        <v>366</v>
      </c>
      <c r="C379" s="1" t="s">
        <v>20</v>
      </c>
      <c r="D379" s="1" t="s">
        <v>156</v>
      </c>
      <c r="E379" s="1" t="s">
        <v>89</v>
      </c>
      <c r="F379" s="1" t="s">
        <v>608</v>
      </c>
      <c r="G379" s="1">
        <v>38.5</v>
      </c>
      <c r="H379" s="1" t="s">
        <v>60</v>
      </c>
      <c r="I379" s="1">
        <v>-113.0</v>
      </c>
      <c r="J379" s="1">
        <v>-0.10106023300737</v>
      </c>
      <c r="K379" s="1" t="s">
        <v>61</v>
      </c>
      <c r="L379" s="1" t="s">
        <v>61</v>
      </c>
      <c r="M379" s="1" t="s">
        <v>62</v>
      </c>
      <c r="N379" s="1">
        <v>-117.0</v>
      </c>
      <c r="O379" s="1">
        <v>0.0313640832206955</v>
      </c>
      <c r="P379" s="1" t="s">
        <v>61</v>
      </c>
      <c r="Q379" s="1" t="s">
        <v>61</v>
      </c>
      <c r="R379" s="1">
        <f t="shared" si="1"/>
        <v>0.03136408322</v>
      </c>
      <c r="S379" s="1">
        <f t="shared" si="2"/>
        <v>-117</v>
      </c>
      <c r="T379" s="1">
        <f t="shared" si="3"/>
        <v>1.854700855</v>
      </c>
      <c r="U379" s="1">
        <f t="shared" si="4"/>
        <v>0</v>
      </c>
      <c r="V379" s="3">
        <f t="shared" si="5"/>
        <v>1</v>
      </c>
      <c r="W379" s="3">
        <f t="shared" si="6"/>
        <v>2</v>
      </c>
      <c r="X379" s="3" t="str">
        <f>IFERROR(__xludf.DUMMYFUNCTION("split(B379,"" "")"),"D.")</f>
        <v>D.</v>
      </c>
      <c r="Y379" s="3" t="str">
        <f>IFERROR(__xludf.DUMMYFUNCTION("""COMPUTED_VALUE"""),"Goedert")</f>
        <v>Goedert</v>
      </c>
      <c r="AA379" s="3">
        <v>0.0</v>
      </c>
      <c r="AB379" s="3">
        <f t="shared" si="7"/>
        <v>0</v>
      </c>
      <c r="AC379" s="3">
        <f t="shared" si="8"/>
        <v>1</v>
      </c>
      <c r="AD379" s="3">
        <f t="shared" si="9"/>
        <v>0.8547008547</v>
      </c>
      <c r="AE379" s="3">
        <f t="shared" si="10"/>
        <v>0.8547008547</v>
      </c>
      <c r="AF379" s="3">
        <f t="shared" si="11"/>
        <v>1.709401709</v>
      </c>
      <c r="AG379" s="3">
        <f t="shared" si="12"/>
        <v>1</v>
      </c>
    </row>
    <row r="380">
      <c r="A380" s="1" t="s">
        <v>16</v>
      </c>
      <c r="B380" s="1" t="s">
        <v>338</v>
      </c>
      <c r="C380" s="1" t="s">
        <v>21</v>
      </c>
      <c r="D380" s="1" t="s">
        <v>156</v>
      </c>
      <c r="E380" s="1" t="s">
        <v>89</v>
      </c>
      <c r="F380" s="1" t="s">
        <v>608</v>
      </c>
      <c r="G380" s="1">
        <v>29.5</v>
      </c>
      <c r="H380" s="1" t="s">
        <v>60</v>
      </c>
      <c r="I380" s="1">
        <v>-121.0</v>
      </c>
      <c r="J380" s="1">
        <v>-0.0886091911312217</v>
      </c>
      <c r="K380" s="1" t="s">
        <v>61</v>
      </c>
      <c r="L380" s="1" t="s">
        <v>61</v>
      </c>
      <c r="M380" s="1" t="s">
        <v>62</v>
      </c>
      <c r="N380" s="1">
        <v>-108.0</v>
      </c>
      <c r="O380" s="1">
        <v>0.0218667968230769</v>
      </c>
      <c r="P380" s="1" t="s">
        <v>61</v>
      </c>
      <c r="Q380" s="1" t="s">
        <v>61</v>
      </c>
      <c r="R380" s="1">
        <f t="shared" si="1"/>
        <v>0.02186679682</v>
      </c>
      <c r="S380" s="1">
        <f t="shared" si="2"/>
        <v>-108</v>
      </c>
      <c r="T380" s="1">
        <f t="shared" si="3"/>
        <v>1.925925926</v>
      </c>
      <c r="U380" s="1">
        <f t="shared" si="4"/>
        <v>0</v>
      </c>
      <c r="V380" s="3">
        <f t="shared" si="5"/>
        <v>1</v>
      </c>
      <c r="W380" s="3">
        <f t="shared" si="6"/>
        <v>2</v>
      </c>
      <c r="X380" s="3" t="str">
        <f>IFERROR(__xludf.DUMMYFUNCTION("split(B380,"" "")"),"J.")</f>
        <v>J.</v>
      </c>
      <c r="Y380" s="3" t="str">
        <f>IFERROR(__xludf.DUMMYFUNCTION("""COMPUTED_VALUE"""),"Hurts")</f>
        <v>Hurts</v>
      </c>
      <c r="AA380" s="3">
        <v>25.0</v>
      </c>
      <c r="AB380" s="3">
        <f t="shared" si="7"/>
        <v>0</v>
      </c>
      <c r="AC380" s="3">
        <f t="shared" si="8"/>
        <v>1</v>
      </c>
      <c r="AD380" s="3">
        <f t="shared" si="9"/>
        <v>0.9259259259</v>
      </c>
      <c r="AE380" s="3">
        <f t="shared" si="10"/>
        <v>0.9259259259</v>
      </c>
      <c r="AF380" s="3">
        <f t="shared" si="11"/>
        <v>1.851851852</v>
      </c>
      <c r="AG380" s="3">
        <f t="shared" si="12"/>
        <v>0.1525423729</v>
      </c>
    </row>
    <row r="381">
      <c r="A381" s="1" t="s">
        <v>10</v>
      </c>
      <c r="B381" s="1" t="s">
        <v>338</v>
      </c>
      <c r="C381" s="1" t="s">
        <v>21</v>
      </c>
      <c r="D381" s="1" t="s">
        <v>156</v>
      </c>
      <c r="E381" s="1" t="s">
        <v>89</v>
      </c>
      <c r="F381" s="1" t="s">
        <v>608</v>
      </c>
      <c r="G381" s="1">
        <v>41.5</v>
      </c>
      <c r="H381" s="1" t="s">
        <v>60</v>
      </c>
      <c r="I381" s="1">
        <v>-113.0</v>
      </c>
      <c r="J381" s="1">
        <v>-0.0809362400759715</v>
      </c>
      <c r="K381" s="1" t="s">
        <v>61</v>
      </c>
      <c r="L381" s="1" t="s">
        <v>61</v>
      </c>
      <c r="M381" s="1" t="s">
        <v>62</v>
      </c>
      <c r="N381" s="1">
        <v>-114.0</v>
      </c>
      <c r="O381" s="1">
        <v>0.0177522696891562</v>
      </c>
      <c r="P381" s="1" t="s">
        <v>61</v>
      </c>
      <c r="Q381" s="1" t="s">
        <v>61</v>
      </c>
      <c r="R381" s="1">
        <f t="shared" si="1"/>
        <v>0.01775226969</v>
      </c>
      <c r="S381" s="1">
        <f t="shared" si="2"/>
        <v>-114</v>
      </c>
      <c r="T381" s="1">
        <f t="shared" si="3"/>
        <v>1.877192982</v>
      </c>
      <c r="U381" s="1">
        <f t="shared" si="4"/>
        <v>0</v>
      </c>
      <c r="V381" s="3">
        <f t="shared" si="5"/>
        <v>1</v>
      </c>
      <c r="W381" s="3">
        <f t="shared" si="6"/>
        <v>2</v>
      </c>
      <c r="X381" s="3" t="str">
        <f>IFERROR(__xludf.DUMMYFUNCTION("split(B381,"" "")"),"J.")</f>
        <v>J.</v>
      </c>
      <c r="Y381" s="3" t="str">
        <f>IFERROR(__xludf.DUMMYFUNCTION("""COMPUTED_VALUE"""),"Hurts")</f>
        <v>Hurts</v>
      </c>
      <c r="AA381" s="3">
        <v>33.0</v>
      </c>
      <c r="AB381" s="3">
        <f t="shared" si="7"/>
        <v>0</v>
      </c>
      <c r="AC381" s="3">
        <f t="shared" si="8"/>
        <v>1</v>
      </c>
      <c r="AD381" s="3">
        <f t="shared" si="9"/>
        <v>0.8771929825</v>
      </c>
      <c r="AE381" s="3">
        <f t="shared" si="10"/>
        <v>0.8771929825</v>
      </c>
      <c r="AF381" s="3">
        <f t="shared" si="11"/>
        <v>1.754385965</v>
      </c>
      <c r="AG381" s="3">
        <f t="shared" si="12"/>
        <v>0.2048192771</v>
      </c>
    </row>
    <row r="382">
      <c r="A382" s="1" t="s">
        <v>12</v>
      </c>
      <c r="B382" s="1" t="s">
        <v>507</v>
      </c>
      <c r="C382" s="1" t="s">
        <v>18</v>
      </c>
      <c r="D382" s="1" t="s">
        <v>156</v>
      </c>
      <c r="E382" s="1" t="s">
        <v>89</v>
      </c>
      <c r="F382" s="1" t="s">
        <v>608</v>
      </c>
      <c r="G382" s="1">
        <v>4.5</v>
      </c>
      <c r="H382" s="1" t="s">
        <v>60</v>
      </c>
      <c r="I382" s="1">
        <v>-141.0</v>
      </c>
      <c r="J382" s="1">
        <v>-0.0785622406639002</v>
      </c>
      <c r="K382" s="1" t="s">
        <v>61</v>
      </c>
      <c r="L382" s="1" t="s">
        <v>61</v>
      </c>
      <c r="M382" s="1" t="s">
        <v>62</v>
      </c>
      <c r="N382" s="1">
        <v>108.0</v>
      </c>
      <c r="O382" s="1">
        <v>0.0127307692307692</v>
      </c>
      <c r="P382" s="1" t="s">
        <v>61</v>
      </c>
      <c r="Q382" s="1" t="s">
        <v>61</v>
      </c>
      <c r="R382" s="1">
        <f t="shared" si="1"/>
        <v>0.01273076923</v>
      </c>
      <c r="S382" s="1">
        <f t="shared" si="2"/>
        <v>108</v>
      </c>
      <c r="T382" s="1">
        <f t="shared" si="3"/>
        <v>2.08</v>
      </c>
      <c r="U382" s="1">
        <f t="shared" si="4"/>
        <v>0</v>
      </c>
      <c r="V382" s="3">
        <f t="shared" si="5"/>
        <v>1</v>
      </c>
      <c r="W382" s="3">
        <f t="shared" si="6"/>
        <v>2</v>
      </c>
      <c r="X382" s="3" t="str">
        <f>IFERROR(__xludf.DUMMYFUNCTION("split(B382,"" "")"),"D.")</f>
        <v>D.</v>
      </c>
      <c r="Y382" s="3" t="str">
        <f>IFERROR(__xludf.DUMMYFUNCTION("""COMPUTED_VALUE"""),"Smith")</f>
        <v>Smith</v>
      </c>
      <c r="AA382" s="3">
        <v>3.0</v>
      </c>
      <c r="AB382" s="3">
        <f t="shared" si="7"/>
        <v>0</v>
      </c>
      <c r="AC382" s="3">
        <f t="shared" si="8"/>
        <v>1</v>
      </c>
      <c r="AD382" s="3">
        <f t="shared" si="9"/>
        <v>1.08</v>
      </c>
      <c r="AE382" s="3">
        <f t="shared" si="10"/>
        <v>1.08</v>
      </c>
      <c r="AF382" s="3">
        <f t="shared" si="11"/>
        <v>2.16</v>
      </c>
      <c r="AG382" s="3">
        <f t="shared" si="12"/>
        <v>0.3333333333</v>
      </c>
    </row>
    <row r="383">
      <c r="A383" s="1" t="s">
        <v>17</v>
      </c>
      <c r="B383" s="1" t="s">
        <v>338</v>
      </c>
      <c r="C383" s="1" t="s">
        <v>21</v>
      </c>
      <c r="D383" s="1" t="s">
        <v>156</v>
      </c>
      <c r="E383" s="1" t="s">
        <v>89</v>
      </c>
      <c r="F383" s="1" t="s">
        <v>608</v>
      </c>
      <c r="G383" s="1">
        <v>0.5</v>
      </c>
      <c r="H383" s="1" t="s">
        <v>60</v>
      </c>
      <c r="I383" s="1">
        <v>-109.0</v>
      </c>
      <c r="J383" s="1">
        <v>-0.078778947368421</v>
      </c>
      <c r="K383" s="1" t="s">
        <v>61</v>
      </c>
      <c r="L383" s="1" t="s">
        <v>61</v>
      </c>
      <c r="M383" s="1" t="s">
        <v>62</v>
      </c>
      <c r="N383" s="1">
        <v>-120.0</v>
      </c>
      <c r="O383" s="1">
        <v>0.0118</v>
      </c>
      <c r="P383" s="1" t="s">
        <v>61</v>
      </c>
      <c r="Q383" s="1" t="s">
        <v>61</v>
      </c>
      <c r="R383" s="1">
        <f t="shared" si="1"/>
        <v>0.0118</v>
      </c>
      <c r="S383" s="1">
        <f t="shared" si="2"/>
        <v>-120</v>
      </c>
      <c r="T383" s="1">
        <f t="shared" si="3"/>
        <v>1.833333333</v>
      </c>
      <c r="U383" s="1">
        <f t="shared" si="4"/>
        <v>0</v>
      </c>
      <c r="V383" s="3">
        <f t="shared" si="5"/>
        <v>1</v>
      </c>
      <c r="W383" s="3">
        <f t="shared" si="6"/>
        <v>3</v>
      </c>
      <c r="X383" s="3" t="str">
        <f>IFERROR(__xludf.DUMMYFUNCTION("split(B383,"" "")"),"J.")</f>
        <v>J.</v>
      </c>
      <c r="Y383" s="3" t="str">
        <f>IFERROR(__xludf.DUMMYFUNCTION("""COMPUTED_VALUE"""),"Hurts")</f>
        <v>Hurts</v>
      </c>
      <c r="AA383" s="3">
        <v>0.0</v>
      </c>
      <c r="AB383" s="3">
        <f t="shared" si="7"/>
        <v>0</v>
      </c>
      <c r="AC383" s="3">
        <f t="shared" si="8"/>
        <v>1</v>
      </c>
      <c r="AD383" s="3">
        <f t="shared" si="9"/>
        <v>0.8333333333</v>
      </c>
      <c r="AE383" s="3">
        <f t="shared" si="10"/>
        <v>0.8333333333</v>
      </c>
      <c r="AF383" s="3">
        <f t="shared" si="11"/>
        <v>2.5</v>
      </c>
      <c r="AG383" s="3">
        <f t="shared" si="12"/>
        <v>1</v>
      </c>
    </row>
    <row r="384">
      <c r="A384" s="1" t="s">
        <v>10</v>
      </c>
      <c r="B384" s="1" t="s">
        <v>415</v>
      </c>
      <c r="C384" s="1" t="s">
        <v>18</v>
      </c>
      <c r="D384" s="1" t="s">
        <v>110</v>
      </c>
      <c r="E384" s="1" t="s">
        <v>134</v>
      </c>
      <c r="F384" s="1" t="s">
        <v>615</v>
      </c>
      <c r="G384" s="1">
        <v>0.5</v>
      </c>
      <c r="H384" s="1" t="s">
        <v>60</v>
      </c>
      <c r="I384" s="1">
        <v>350.0</v>
      </c>
      <c r="J384" s="1">
        <v>0.390540547419243</v>
      </c>
      <c r="K384" s="1" t="s">
        <v>61</v>
      </c>
      <c r="L384" s="1" t="s">
        <v>61</v>
      </c>
      <c r="M384" s="1" t="s">
        <v>62</v>
      </c>
      <c r="N384" s="1">
        <v>-525.0</v>
      </c>
      <c r="O384" s="1">
        <v>-0.452727791212782</v>
      </c>
      <c r="P384" s="1" t="s">
        <v>61</v>
      </c>
      <c r="Q384" s="1" t="s">
        <v>61</v>
      </c>
      <c r="R384" s="1">
        <f t="shared" si="1"/>
        <v>0.3905405474</v>
      </c>
      <c r="S384" s="1">
        <f t="shared" si="2"/>
        <v>350</v>
      </c>
      <c r="T384" s="1">
        <f t="shared" si="3"/>
        <v>4.5</v>
      </c>
      <c r="U384" s="1">
        <f t="shared" si="4"/>
        <v>1</v>
      </c>
      <c r="V384" s="3">
        <f t="shared" si="5"/>
        <v>3</v>
      </c>
      <c r="W384" s="3">
        <f t="shared" si="6"/>
        <v>1</v>
      </c>
      <c r="X384" s="3" t="str">
        <f>IFERROR(__xludf.DUMMYFUNCTION("split(B384,"" "")"),"G.")</f>
        <v>G.</v>
      </c>
      <c r="Y384" s="3" t="str">
        <f>IFERROR(__xludf.DUMMYFUNCTION("""COMPUTED_VALUE"""),"Pickens")</f>
        <v>Pickens</v>
      </c>
      <c r="AA384" s="3">
        <v>0.0</v>
      </c>
      <c r="AB384" s="3">
        <f t="shared" si="7"/>
        <v>0</v>
      </c>
      <c r="AC384" s="3">
        <f t="shared" si="8"/>
        <v>0</v>
      </c>
      <c r="AD384" s="3">
        <f t="shared" si="9"/>
        <v>10.5</v>
      </c>
      <c r="AE384" s="3">
        <f t="shared" si="10"/>
        <v>0</v>
      </c>
      <c r="AF384" s="3">
        <f t="shared" si="11"/>
        <v>-1</v>
      </c>
      <c r="AG384" s="3">
        <f t="shared" si="12"/>
        <v>-1</v>
      </c>
    </row>
    <row r="385">
      <c r="A385" s="1" t="s">
        <v>12</v>
      </c>
      <c r="B385" s="1" t="s">
        <v>403</v>
      </c>
      <c r="C385" s="1" t="s">
        <v>18</v>
      </c>
      <c r="D385" s="1" t="s">
        <v>110</v>
      </c>
      <c r="E385" s="1" t="s">
        <v>134</v>
      </c>
      <c r="F385" s="1" t="s">
        <v>615</v>
      </c>
      <c r="G385" s="1">
        <v>1.5</v>
      </c>
      <c r="H385" s="1" t="s">
        <v>60</v>
      </c>
      <c r="I385" s="1">
        <v>-152.0</v>
      </c>
      <c r="J385" s="1">
        <v>-0.265869071369047</v>
      </c>
      <c r="K385" s="1" t="s">
        <v>61</v>
      </c>
      <c r="L385" s="1" t="s">
        <v>61</v>
      </c>
      <c r="M385" s="1" t="s">
        <v>62</v>
      </c>
      <c r="N385" s="1">
        <v>116.0</v>
      </c>
      <c r="O385" s="1">
        <v>0.199730583263888</v>
      </c>
      <c r="P385" s="1" t="s">
        <v>61</v>
      </c>
      <c r="Q385" s="1" t="s">
        <v>61</v>
      </c>
      <c r="R385" s="1">
        <f t="shared" si="1"/>
        <v>0.1997305833</v>
      </c>
      <c r="S385" s="1">
        <f t="shared" si="2"/>
        <v>116</v>
      </c>
      <c r="T385" s="1">
        <f t="shared" si="3"/>
        <v>2.16</v>
      </c>
      <c r="U385" s="1">
        <f t="shared" si="4"/>
        <v>0</v>
      </c>
      <c r="V385" s="3">
        <f t="shared" si="5"/>
        <v>3</v>
      </c>
      <c r="W385" s="3">
        <f t="shared" si="6"/>
        <v>1</v>
      </c>
      <c r="X385" s="3" t="str">
        <f>IFERROR(__xludf.DUMMYFUNCTION("split(B385,"" "")"),"V.")</f>
        <v>V.</v>
      </c>
      <c r="Y385" s="3" t="str">
        <f>IFERROR(__xludf.DUMMYFUNCTION("""COMPUTED_VALUE"""),"Jefferson")</f>
        <v>Jefferson</v>
      </c>
      <c r="AA385" s="3">
        <v>0.0</v>
      </c>
      <c r="AB385" s="3">
        <f t="shared" si="7"/>
        <v>0</v>
      </c>
      <c r="AC385" s="3">
        <f t="shared" si="8"/>
        <v>1</v>
      </c>
      <c r="AD385" s="3">
        <f t="shared" si="9"/>
        <v>3.48</v>
      </c>
      <c r="AE385" s="3">
        <f t="shared" si="10"/>
        <v>3.48</v>
      </c>
      <c r="AF385" s="3">
        <f t="shared" si="11"/>
        <v>1.16</v>
      </c>
      <c r="AG385" s="3">
        <f t="shared" si="12"/>
        <v>1</v>
      </c>
    </row>
    <row r="386">
      <c r="A386" s="1" t="s">
        <v>8</v>
      </c>
      <c r="B386" s="1" t="s">
        <v>177</v>
      </c>
      <c r="C386" s="1" t="s">
        <v>19</v>
      </c>
      <c r="D386" s="1" t="s">
        <v>110</v>
      </c>
      <c r="E386" s="1" t="s">
        <v>134</v>
      </c>
      <c r="F386" s="1" t="s">
        <v>615</v>
      </c>
      <c r="G386" s="1">
        <v>5.5</v>
      </c>
      <c r="H386" s="1" t="s">
        <v>60</v>
      </c>
      <c r="I386" s="1">
        <v>-114.0</v>
      </c>
      <c r="J386" s="1">
        <v>-0.225992946881068</v>
      </c>
      <c r="K386" s="1" t="s">
        <v>61</v>
      </c>
      <c r="L386" s="1" t="s">
        <v>61</v>
      </c>
      <c r="M386" s="1" t="s">
        <v>62</v>
      </c>
      <c r="N386" s="1">
        <v>-114.0</v>
      </c>
      <c r="O386" s="1">
        <v>0.160583959444418</v>
      </c>
      <c r="P386" s="1" t="s">
        <v>61</v>
      </c>
      <c r="Q386" s="1" t="s">
        <v>61</v>
      </c>
      <c r="R386" s="1">
        <f t="shared" si="1"/>
        <v>0.1605839594</v>
      </c>
      <c r="S386" s="1">
        <f t="shared" si="2"/>
        <v>-114</v>
      </c>
      <c r="T386" s="1">
        <f t="shared" si="3"/>
        <v>1.877192982</v>
      </c>
      <c r="U386" s="1">
        <f t="shared" si="4"/>
        <v>0</v>
      </c>
      <c r="V386" s="3">
        <f t="shared" si="5"/>
        <v>3</v>
      </c>
      <c r="W386" s="3">
        <f t="shared" si="6"/>
        <v>2</v>
      </c>
      <c r="X386" s="3" t="str">
        <f>IFERROR(__xludf.DUMMYFUNCTION("split(B386,"" "")"),"J.")</f>
        <v>J.</v>
      </c>
      <c r="Y386" s="3" t="str">
        <f>IFERROR(__xludf.DUMMYFUNCTION("""COMPUTED_VALUE"""),"Warren")</f>
        <v>Warren</v>
      </c>
      <c r="AA386" s="3">
        <v>6.0</v>
      </c>
      <c r="AB386" s="3">
        <f t="shared" si="7"/>
        <v>1</v>
      </c>
      <c r="AC386" s="3">
        <f t="shared" si="8"/>
        <v>0</v>
      </c>
      <c r="AD386" s="3">
        <f t="shared" si="9"/>
        <v>2.631578947</v>
      </c>
      <c r="AE386" s="3">
        <f t="shared" si="10"/>
        <v>-3</v>
      </c>
      <c r="AF386" s="3">
        <f t="shared" si="11"/>
        <v>-2</v>
      </c>
      <c r="AG386" s="3">
        <f t="shared" si="12"/>
        <v>-0.09090909091</v>
      </c>
    </row>
    <row r="387">
      <c r="A387" s="1" t="s">
        <v>12</v>
      </c>
      <c r="B387" s="1" t="s">
        <v>600</v>
      </c>
      <c r="C387" s="1" t="s">
        <v>18</v>
      </c>
      <c r="D387" s="1" t="s">
        <v>110</v>
      </c>
      <c r="E387" s="1" t="s">
        <v>134</v>
      </c>
      <c r="F387" s="1" t="s">
        <v>615</v>
      </c>
      <c r="G387" s="1">
        <v>1.5</v>
      </c>
      <c r="H387" s="1" t="s">
        <v>60</v>
      </c>
      <c r="I387" s="1">
        <v>-133.0</v>
      </c>
      <c r="J387" s="1">
        <v>-0.227108937463519</v>
      </c>
      <c r="K387" s="1" t="s">
        <v>61</v>
      </c>
      <c r="L387" s="1" t="s">
        <v>61</v>
      </c>
      <c r="M387" s="1" t="s">
        <v>62</v>
      </c>
      <c r="N387" s="1">
        <v>101.0</v>
      </c>
      <c r="O387" s="1">
        <v>0.158780012084577</v>
      </c>
      <c r="P387" s="1" t="s">
        <v>61</v>
      </c>
      <c r="Q387" s="1" t="s">
        <v>61</v>
      </c>
      <c r="R387" s="1">
        <f t="shared" si="1"/>
        <v>0.1587800121</v>
      </c>
      <c r="S387" s="1">
        <f t="shared" si="2"/>
        <v>101</v>
      </c>
      <c r="T387" s="1">
        <f t="shared" si="3"/>
        <v>2.01</v>
      </c>
      <c r="U387" s="1">
        <f t="shared" si="4"/>
        <v>0</v>
      </c>
      <c r="V387" s="3">
        <f t="shared" si="5"/>
        <v>3</v>
      </c>
      <c r="W387" s="3">
        <f t="shared" si="6"/>
        <v>2</v>
      </c>
      <c r="X387" s="3" t="str">
        <f>IFERROR(__xludf.DUMMYFUNCTION("split(B387,"" "")"),"C.")</f>
        <v>C.</v>
      </c>
      <c r="Y387" s="3" t="str">
        <f>IFERROR(__xludf.DUMMYFUNCTION("""COMPUTED_VALUE"""),"Austin")</f>
        <v>Austin</v>
      </c>
      <c r="Z387" s="3" t="str">
        <f>IFERROR(__xludf.DUMMYFUNCTION("""COMPUTED_VALUE"""),"III")</f>
        <v>III</v>
      </c>
      <c r="AA387" s="3">
        <v>2.0</v>
      </c>
      <c r="AB387" s="3">
        <f t="shared" si="7"/>
        <v>1</v>
      </c>
      <c r="AC387" s="3">
        <f t="shared" si="8"/>
        <v>0</v>
      </c>
      <c r="AD387" s="3">
        <f t="shared" si="9"/>
        <v>3.03</v>
      </c>
      <c r="AE387" s="3">
        <f t="shared" si="10"/>
        <v>-3</v>
      </c>
      <c r="AF387" s="3">
        <f t="shared" si="11"/>
        <v>-2</v>
      </c>
      <c r="AG387" s="3">
        <f t="shared" si="12"/>
        <v>-0.3333333333</v>
      </c>
    </row>
    <row r="388">
      <c r="A388" s="1" t="s">
        <v>8</v>
      </c>
      <c r="B388" s="1" t="s">
        <v>555</v>
      </c>
      <c r="C388" s="1" t="s">
        <v>21</v>
      </c>
      <c r="D388" s="1" t="s">
        <v>110</v>
      </c>
      <c r="E388" s="1" t="s">
        <v>134</v>
      </c>
      <c r="F388" s="1" t="s">
        <v>615</v>
      </c>
      <c r="G388" s="1">
        <v>8.5</v>
      </c>
      <c r="H388" s="1" t="s">
        <v>60</v>
      </c>
      <c r="I388" s="1">
        <v>-132.0</v>
      </c>
      <c r="J388" s="1">
        <v>-0.224450556854007</v>
      </c>
      <c r="K388" s="1" t="s">
        <v>61</v>
      </c>
      <c r="L388" s="1" t="s">
        <v>61</v>
      </c>
      <c r="M388" s="1" t="s">
        <v>62</v>
      </c>
      <c r="N388" s="1">
        <v>-101.0</v>
      </c>
      <c r="O388" s="1">
        <v>0.153011574537468</v>
      </c>
      <c r="P388" s="1" t="s">
        <v>61</v>
      </c>
      <c r="Q388" s="1" t="s">
        <v>61</v>
      </c>
      <c r="R388" s="1">
        <f t="shared" si="1"/>
        <v>0.1530115745</v>
      </c>
      <c r="S388" s="1">
        <f t="shared" si="2"/>
        <v>-101</v>
      </c>
      <c r="T388" s="1">
        <f t="shared" si="3"/>
        <v>1.99009901</v>
      </c>
      <c r="U388" s="1">
        <f t="shared" si="4"/>
        <v>0</v>
      </c>
      <c r="V388" s="3">
        <f t="shared" si="5"/>
        <v>3</v>
      </c>
      <c r="W388" s="3">
        <f t="shared" si="6"/>
        <v>2</v>
      </c>
      <c r="X388" s="3" t="str">
        <f>IFERROR(__xludf.DUMMYFUNCTION("split(B388,"" "")"),"J.")</f>
        <v>J.</v>
      </c>
      <c r="Y388" s="3" t="str">
        <f>IFERROR(__xludf.DUMMYFUNCTION("""COMPUTED_VALUE"""),"Fields")</f>
        <v>Fields</v>
      </c>
      <c r="AA388" s="3">
        <v>11.0</v>
      </c>
      <c r="AB388" s="3">
        <f t="shared" si="7"/>
        <v>1</v>
      </c>
      <c r="AC388" s="3">
        <f t="shared" si="8"/>
        <v>0</v>
      </c>
      <c r="AD388" s="3">
        <f t="shared" si="9"/>
        <v>2.97029703</v>
      </c>
      <c r="AE388" s="3">
        <f t="shared" si="10"/>
        <v>-3</v>
      </c>
      <c r="AF388" s="3">
        <f t="shared" si="11"/>
        <v>-2</v>
      </c>
      <c r="AG388" s="3">
        <f t="shared" si="12"/>
        <v>-0.2941176471</v>
      </c>
    </row>
    <row r="389">
      <c r="A389" s="1" t="s">
        <v>15</v>
      </c>
      <c r="B389" s="1" t="s">
        <v>555</v>
      </c>
      <c r="C389" s="1" t="s">
        <v>21</v>
      </c>
      <c r="D389" s="1" t="s">
        <v>110</v>
      </c>
      <c r="E389" s="1" t="s">
        <v>134</v>
      </c>
      <c r="F389" s="1" t="s">
        <v>615</v>
      </c>
      <c r="G389" s="1">
        <v>17.5</v>
      </c>
      <c r="H389" s="1" t="s">
        <v>60</v>
      </c>
      <c r="I389" s="1">
        <v>-103.0</v>
      </c>
      <c r="J389" s="1">
        <v>-0.187581806280788</v>
      </c>
      <c r="K389" s="1" t="s">
        <v>61</v>
      </c>
      <c r="L389" s="1" t="s">
        <v>61</v>
      </c>
      <c r="M389" s="1" t="s">
        <v>62</v>
      </c>
      <c r="N389" s="1">
        <v>-127.0</v>
      </c>
      <c r="O389" s="1">
        <v>0.120747425009911</v>
      </c>
      <c r="P389" s="1" t="s">
        <v>61</v>
      </c>
      <c r="Q389" s="1" t="s">
        <v>61</v>
      </c>
      <c r="R389" s="1">
        <f t="shared" si="1"/>
        <v>0.120747425</v>
      </c>
      <c r="S389" s="1">
        <f t="shared" si="2"/>
        <v>-127</v>
      </c>
      <c r="T389" s="1">
        <f t="shared" si="3"/>
        <v>1.787401575</v>
      </c>
      <c r="U389" s="1">
        <f t="shared" si="4"/>
        <v>0</v>
      </c>
      <c r="V389" s="3">
        <f t="shared" si="5"/>
        <v>3</v>
      </c>
      <c r="W389" s="3">
        <f t="shared" si="6"/>
        <v>3</v>
      </c>
      <c r="X389" s="3" t="str">
        <f>IFERROR(__xludf.DUMMYFUNCTION("split(B389,"" "")"),"J.")</f>
        <v>J.</v>
      </c>
      <c r="Y389" s="3" t="str">
        <f>IFERROR(__xludf.DUMMYFUNCTION("""COMPUTED_VALUE"""),"Fields")</f>
        <v>Fields</v>
      </c>
      <c r="AA389" s="3">
        <v>14.0</v>
      </c>
      <c r="AB389" s="3">
        <f t="shared" si="7"/>
        <v>0</v>
      </c>
      <c r="AC389" s="3">
        <f t="shared" si="8"/>
        <v>1</v>
      </c>
      <c r="AD389" s="3">
        <f t="shared" si="9"/>
        <v>2.362204724</v>
      </c>
      <c r="AE389" s="3">
        <f t="shared" si="10"/>
        <v>2.362204724</v>
      </c>
      <c r="AF389" s="3">
        <f t="shared" si="11"/>
        <v>2.362204724</v>
      </c>
      <c r="AG389" s="3">
        <f t="shared" si="12"/>
        <v>0.2</v>
      </c>
    </row>
    <row r="390">
      <c r="A390" s="1" t="s">
        <v>9</v>
      </c>
      <c r="B390" s="1" t="s">
        <v>600</v>
      </c>
      <c r="C390" s="1" t="s">
        <v>18</v>
      </c>
      <c r="D390" s="1" t="s">
        <v>110</v>
      </c>
      <c r="E390" s="1" t="s">
        <v>134</v>
      </c>
      <c r="F390" s="1" t="s">
        <v>615</v>
      </c>
      <c r="G390" s="1">
        <v>19.5</v>
      </c>
      <c r="H390" s="1" t="s">
        <v>60</v>
      </c>
      <c r="I390" s="1">
        <v>-110.0</v>
      </c>
      <c r="J390" s="1">
        <v>0.110800399263414</v>
      </c>
      <c r="K390" s="1" t="s">
        <v>61</v>
      </c>
      <c r="L390" s="1" t="s">
        <v>61</v>
      </c>
      <c r="M390" s="1" t="s">
        <v>62</v>
      </c>
      <c r="N390" s="1">
        <v>-120.0</v>
      </c>
      <c r="O390" s="1">
        <v>-0.180022275519911</v>
      </c>
      <c r="P390" s="1" t="s">
        <v>61</v>
      </c>
      <c r="Q390" s="1" t="s">
        <v>61</v>
      </c>
      <c r="R390" s="1">
        <f t="shared" si="1"/>
        <v>0.1108003993</v>
      </c>
      <c r="S390" s="1">
        <f t="shared" si="2"/>
        <v>-110</v>
      </c>
      <c r="T390" s="1">
        <f t="shared" si="3"/>
        <v>1.909090909</v>
      </c>
      <c r="U390" s="1">
        <f t="shared" si="4"/>
        <v>1</v>
      </c>
      <c r="V390" s="3">
        <f t="shared" si="5"/>
        <v>3</v>
      </c>
      <c r="W390" s="3">
        <f t="shared" si="6"/>
        <v>2</v>
      </c>
      <c r="X390" s="3" t="str">
        <f>IFERROR(__xludf.DUMMYFUNCTION("split(B390,"" "")"),"C.")</f>
        <v>C.</v>
      </c>
      <c r="Y390" s="3" t="str">
        <f>IFERROR(__xludf.DUMMYFUNCTION("""COMPUTED_VALUE"""),"Austin")</f>
        <v>Austin</v>
      </c>
      <c r="Z390" s="3" t="str">
        <f>IFERROR(__xludf.DUMMYFUNCTION("""COMPUTED_VALUE"""),"III")</f>
        <v>III</v>
      </c>
      <c r="AA390" s="3">
        <v>36.0</v>
      </c>
      <c r="AB390" s="3">
        <f t="shared" si="7"/>
        <v>1</v>
      </c>
      <c r="AC390" s="3">
        <f t="shared" si="8"/>
        <v>1</v>
      </c>
      <c r="AD390" s="3">
        <f t="shared" si="9"/>
        <v>2.727272727</v>
      </c>
      <c r="AE390" s="3">
        <f t="shared" si="10"/>
        <v>2.727272727</v>
      </c>
      <c r="AF390" s="3">
        <f t="shared" si="11"/>
        <v>1.818181818</v>
      </c>
      <c r="AG390" s="3">
        <f t="shared" si="12"/>
        <v>0.8461538462</v>
      </c>
    </row>
    <row r="391">
      <c r="A391" s="1" t="s">
        <v>14</v>
      </c>
      <c r="B391" s="1" t="s">
        <v>555</v>
      </c>
      <c r="C391" s="1" t="s">
        <v>21</v>
      </c>
      <c r="D391" s="1" t="s">
        <v>110</v>
      </c>
      <c r="E391" s="1" t="s">
        <v>134</v>
      </c>
      <c r="F391" s="1" t="s">
        <v>615</v>
      </c>
      <c r="G391" s="1">
        <v>0.5</v>
      </c>
      <c r="H391" s="1" t="s">
        <v>60</v>
      </c>
      <c r="I391" s="1">
        <v>-201.0</v>
      </c>
      <c r="J391" s="1">
        <v>-0.173272294717607</v>
      </c>
      <c r="K391" s="1" t="s">
        <v>61</v>
      </c>
      <c r="L391" s="1" t="s">
        <v>61</v>
      </c>
      <c r="M391" s="1" t="s">
        <v>62</v>
      </c>
      <c r="N391" s="1">
        <v>153.0</v>
      </c>
      <c r="O391" s="1">
        <v>0.110240951422924</v>
      </c>
      <c r="P391" s="1" t="s">
        <v>61</v>
      </c>
      <c r="Q391" s="1" t="s">
        <v>61</v>
      </c>
      <c r="R391" s="1">
        <f t="shared" si="1"/>
        <v>0.1102409514</v>
      </c>
      <c r="S391" s="1">
        <f t="shared" si="2"/>
        <v>153</v>
      </c>
      <c r="T391" s="1">
        <f t="shared" si="3"/>
        <v>2.53</v>
      </c>
      <c r="U391" s="1">
        <f t="shared" si="4"/>
        <v>0</v>
      </c>
      <c r="V391" s="3">
        <f t="shared" si="5"/>
        <v>3</v>
      </c>
      <c r="W391" s="3">
        <f t="shared" si="6"/>
        <v>1</v>
      </c>
      <c r="X391" s="3" t="str">
        <f>IFERROR(__xludf.DUMMYFUNCTION("split(B391,"" "")"),"J.")</f>
        <v>J.</v>
      </c>
      <c r="Y391" s="3" t="str">
        <f>IFERROR(__xludf.DUMMYFUNCTION("""COMPUTED_VALUE"""),"Fields")</f>
        <v>Fields</v>
      </c>
      <c r="AA391" s="3">
        <v>0.0</v>
      </c>
      <c r="AB391" s="3">
        <f t="shared" si="7"/>
        <v>0</v>
      </c>
      <c r="AC391" s="3">
        <f t="shared" si="8"/>
        <v>1</v>
      </c>
      <c r="AD391" s="3">
        <f t="shared" si="9"/>
        <v>4.59</v>
      </c>
      <c r="AE391" s="3">
        <f t="shared" si="10"/>
        <v>4.59</v>
      </c>
      <c r="AF391" s="3">
        <f t="shared" si="11"/>
        <v>1.53</v>
      </c>
      <c r="AG391" s="3">
        <f t="shared" si="12"/>
        <v>1</v>
      </c>
    </row>
    <row r="392">
      <c r="A392" s="1" t="s">
        <v>8</v>
      </c>
      <c r="B392" s="1" t="s">
        <v>123</v>
      </c>
      <c r="C392" s="1" t="s">
        <v>19</v>
      </c>
      <c r="D392" s="1" t="s">
        <v>110</v>
      </c>
      <c r="E392" s="1" t="s">
        <v>134</v>
      </c>
      <c r="F392" s="1" t="s">
        <v>615</v>
      </c>
      <c r="G392" s="1">
        <v>15.5</v>
      </c>
      <c r="H392" s="1" t="s">
        <v>60</v>
      </c>
      <c r="I392" s="1">
        <v>-111.0</v>
      </c>
      <c r="J392" s="1">
        <v>0.0961413818009478</v>
      </c>
      <c r="K392" s="1" t="s">
        <v>61</v>
      </c>
      <c r="L392" s="1" t="s">
        <v>61</v>
      </c>
      <c r="M392" s="1" t="s">
        <v>62</v>
      </c>
      <c r="N392" s="1">
        <v>-119.0</v>
      </c>
      <c r="O392" s="1">
        <v>-0.165573208020091</v>
      </c>
      <c r="P392" s="1" t="s">
        <v>61</v>
      </c>
      <c r="Q392" s="1" t="s">
        <v>61</v>
      </c>
      <c r="R392" s="1">
        <f t="shared" si="1"/>
        <v>0.0961413818</v>
      </c>
      <c r="S392" s="1">
        <f t="shared" si="2"/>
        <v>-111</v>
      </c>
      <c r="T392" s="1">
        <f t="shared" si="3"/>
        <v>1.900900901</v>
      </c>
      <c r="U392" s="1">
        <f t="shared" si="4"/>
        <v>1</v>
      </c>
      <c r="V392" s="3">
        <f t="shared" si="5"/>
        <v>2</v>
      </c>
      <c r="W392" s="3">
        <f t="shared" si="6"/>
        <v>2</v>
      </c>
      <c r="X392" s="3" t="str">
        <f>IFERROR(__xludf.DUMMYFUNCTION("split(B392,"" "")"),"N.")</f>
        <v>N.</v>
      </c>
      <c r="Y392" s="3" t="str">
        <f>IFERROR(__xludf.DUMMYFUNCTION("""COMPUTED_VALUE"""),"Harris")</f>
        <v>Harris</v>
      </c>
      <c r="AA392" s="3">
        <v>14.0</v>
      </c>
      <c r="AB392" s="3">
        <f t="shared" si="7"/>
        <v>0</v>
      </c>
      <c r="AC392" s="3">
        <f t="shared" si="8"/>
        <v>0</v>
      </c>
      <c r="AD392" s="3">
        <f t="shared" si="9"/>
        <v>1.801801802</v>
      </c>
      <c r="AE392" s="3">
        <f t="shared" si="10"/>
        <v>-2</v>
      </c>
      <c r="AF392" s="3">
        <f t="shared" si="11"/>
        <v>-2</v>
      </c>
      <c r="AG392" s="3">
        <f t="shared" si="12"/>
        <v>-0.09677419355</v>
      </c>
    </row>
    <row r="393">
      <c r="A393" s="1" t="s">
        <v>9</v>
      </c>
      <c r="B393" s="1" t="s">
        <v>403</v>
      </c>
      <c r="C393" s="1" t="s">
        <v>18</v>
      </c>
      <c r="D393" s="1" t="s">
        <v>110</v>
      </c>
      <c r="E393" s="1" t="s">
        <v>134</v>
      </c>
      <c r="F393" s="1" t="s">
        <v>615</v>
      </c>
      <c r="G393" s="1">
        <v>19.5</v>
      </c>
      <c r="H393" s="1" t="s">
        <v>60</v>
      </c>
      <c r="I393" s="1">
        <v>-116.0</v>
      </c>
      <c r="J393" s="1">
        <v>0.0947795646509455</v>
      </c>
      <c r="K393" s="1" t="s">
        <v>61</v>
      </c>
      <c r="L393" s="1" t="s">
        <v>61</v>
      </c>
      <c r="M393" s="1" t="s">
        <v>62</v>
      </c>
      <c r="N393" s="1">
        <v>-117.0</v>
      </c>
      <c r="O393" s="1">
        <v>-0.170940458887497</v>
      </c>
      <c r="P393" s="1" t="s">
        <v>61</v>
      </c>
      <c r="Q393" s="1" t="s">
        <v>61</v>
      </c>
      <c r="R393" s="1">
        <f t="shared" si="1"/>
        <v>0.09477956465</v>
      </c>
      <c r="S393" s="1">
        <f t="shared" si="2"/>
        <v>-116</v>
      </c>
      <c r="T393" s="1">
        <f t="shared" si="3"/>
        <v>1.862068966</v>
      </c>
      <c r="U393" s="1">
        <f t="shared" si="4"/>
        <v>1</v>
      </c>
      <c r="V393" s="3">
        <f t="shared" si="5"/>
        <v>2</v>
      </c>
      <c r="W393" s="3">
        <f t="shared" si="6"/>
        <v>2</v>
      </c>
      <c r="X393" s="3" t="str">
        <f>IFERROR(__xludf.DUMMYFUNCTION("split(B393,"" "")"),"V.")</f>
        <v>V.</v>
      </c>
      <c r="Y393" s="3" t="str">
        <f>IFERROR(__xludf.DUMMYFUNCTION("""COMPUTED_VALUE"""),"Jefferson")</f>
        <v>Jefferson</v>
      </c>
      <c r="AA393" s="3">
        <v>0.0</v>
      </c>
      <c r="AB393" s="3">
        <f t="shared" si="7"/>
        <v>0</v>
      </c>
      <c r="AC393" s="3">
        <f t="shared" si="8"/>
        <v>0</v>
      </c>
      <c r="AD393" s="3">
        <f t="shared" si="9"/>
        <v>1.724137931</v>
      </c>
      <c r="AE393" s="3">
        <f t="shared" si="10"/>
        <v>-2</v>
      </c>
      <c r="AF393" s="3">
        <f t="shared" si="11"/>
        <v>-2</v>
      </c>
      <c r="AG393" s="3">
        <f t="shared" si="12"/>
        <v>-1</v>
      </c>
    </row>
    <row r="394">
      <c r="A394" s="1" t="s">
        <v>16</v>
      </c>
      <c r="B394" s="1" t="s">
        <v>555</v>
      </c>
      <c r="C394" s="1" t="s">
        <v>21</v>
      </c>
      <c r="D394" s="1" t="s">
        <v>110</v>
      </c>
      <c r="E394" s="1" t="s">
        <v>134</v>
      </c>
      <c r="F394" s="1" t="s">
        <v>615</v>
      </c>
      <c r="G394" s="1">
        <v>25.5</v>
      </c>
      <c r="H394" s="1" t="s">
        <v>60</v>
      </c>
      <c r="I394" s="1">
        <v>-122.0</v>
      </c>
      <c r="J394" s="1">
        <v>-0.157991385076576</v>
      </c>
      <c r="K394" s="1" t="s">
        <v>61</v>
      </c>
      <c r="L394" s="1" t="s">
        <v>61</v>
      </c>
      <c r="M394" s="1" t="s">
        <v>62</v>
      </c>
      <c r="N394" s="1">
        <v>-109.0</v>
      </c>
      <c r="O394" s="1">
        <v>0.086917336654689</v>
      </c>
      <c r="P394" s="1" t="s">
        <v>61</v>
      </c>
      <c r="Q394" s="1" t="s">
        <v>61</v>
      </c>
      <c r="R394" s="1">
        <f t="shared" si="1"/>
        <v>0.08691733665</v>
      </c>
      <c r="S394" s="1">
        <f t="shared" si="2"/>
        <v>-109</v>
      </c>
      <c r="T394" s="1">
        <f t="shared" si="3"/>
        <v>1.917431193</v>
      </c>
      <c r="U394" s="1">
        <f t="shared" si="4"/>
        <v>0</v>
      </c>
      <c r="V394" s="3">
        <f t="shared" si="5"/>
        <v>2</v>
      </c>
      <c r="W394" s="3">
        <f t="shared" si="6"/>
        <v>2</v>
      </c>
      <c r="X394" s="3" t="str">
        <f>IFERROR(__xludf.DUMMYFUNCTION("split(B394,"" "")"),"J.")</f>
        <v>J.</v>
      </c>
      <c r="Y394" s="3" t="str">
        <f>IFERROR(__xludf.DUMMYFUNCTION("""COMPUTED_VALUE"""),"Fields")</f>
        <v>Fields</v>
      </c>
      <c r="AA394" s="3">
        <v>24.0</v>
      </c>
      <c r="AB394" s="3">
        <f t="shared" si="7"/>
        <v>0</v>
      </c>
      <c r="AC394" s="3">
        <f t="shared" si="8"/>
        <v>1</v>
      </c>
      <c r="AD394" s="3">
        <f t="shared" si="9"/>
        <v>1.834862385</v>
      </c>
      <c r="AE394" s="3">
        <f t="shared" si="10"/>
        <v>1.834862385</v>
      </c>
      <c r="AF394" s="3">
        <f t="shared" si="11"/>
        <v>1.834862385</v>
      </c>
      <c r="AG394" s="3">
        <f t="shared" si="12"/>
        <v>0.05882352941</v>
      </c>
    </row>
    <row r="395">
      <c r="A395" s="1" t="s">
        <v>12</v>
      </c>
      <c r="B395" s="1" t="s">
        <v>177</v>
      </c>
      <c r="C395" s="1" t="s">
        <v>19</v>
      </c>
      <c r="D395" s="1" t="s">
        <v>110</v>
      </c>
      <c r="E395" s="1" t="s">
        <v>134</v>
      </c>
      <c r="F395" s="1" t="s">
        <v>615</v>
      </c>
      <c r="G395" s="1">
        <v>2.5</v>
      </c>
      <c r="H395" s="1" t="s">
        <v>60</v>
      </c>
      <c r="I395" s="1">
        <v>144.0</v>
      </c>
      <c r="J395" s="1">
        <v>-0.131831390590163</v>
      </c>
      <c r="K395" s="1" t="s">
        <v>61</v>
      </c>
      <c r="L395" s="1" t="s">
        <v>61</v>
      </c>
      <c r="M395" s="1" t="s">
        <v>62</v>
      </c>
      <c r="N395" s="1">
        <v>-188.0</v>
      </c>
      <c r="O395" s="1">
        <v>0.0692170512430555</v>
      </c>
      <c r="P395" s="1" t="s">
        <v>61</v>
      </c>
      <c r="Q395" s="1" t="s">
        <v>61</v>
      </c>
      <c r="R395" s="1">
        <f t="shared" si="1"/>
        <v>0.06921705124</v>
      </c>
      <c r="S395" s="1">
        <f t="shared" si="2"/>
        <v>-188</v>
      </c>
      <c r="T395" s="1">
        <f t="shared" si="3"/>
        <v>1.531914894</v>
      </c>
      <c r="U395" s="1">
        <f t="shared" si="4"/>
        <v>0</v>
      </c>
      <c r="V395" s="3">
        <f t="shared" si="5"/>
        <v>2</v>
      </c>
      <c r="W395" s="3">
        <f t="shared" si="6"/>
        <v>3</v>
      </c>
      <c r="X395" s="3" t="str">
        <f>IFERROR(__xludf.DUMMYFUNCTION("split(B395,"" "")"),"J.")</f>
        <v>J.</v>
      </c>
      <c r="Y395" s="3" t="str">
        <f>IFERROR(__xludf.DUMMYFUNCTION("""COMPUTED_VALUE"""),"Warren")</f>
        <v>Warren</v>
      </c>
      <c r="AA395" s="3">
        <v>3.0</v>
      </c>
      <c r="AB395" s="3">
        <f t="shared" si="7"/>
        <v>1</v>
      </c>
      <c r="AC395" s="3">
        <f t="shared" si="8"/>
        <v>0</v>
      </c>
      <c r="AD395" s="3">
        <f t="shared" si="9"/>
        <v>1.063829787</v>
      </c>
      <c r="AE395" s="3">
        <f t="shared" si="10"/>
        <v>-2</v>
      </c>
      <c r="AF395" s="3">
        <f t="shared" si="11"/>
        <v>-3</v>
      </c>
      <c r="AG395" s="3">
        <f t="shared" si="12"/>
        <v>-0.2</v>
      </c>
    </row>
    <row r="396">
      <c r="A396" s="1" t="s">
        <v>12</v>
      </c>
      <c r="B396" s="1" t="s">
        <v>489</v>
      </c>
      <c r="C396" s="1" t="s">
        <v>20</v>
      </c>
      <c r="D396" s="1" t="s">
        <v>110</v>
      </c>
      <c r="E396" s="1" t="s">
        <v>134</v>
      </c>
      <c r="F396" s="1" t="s">
        <v>615</v>
      </c>
      <c r="G396" s="1">
        <v>3.5</v>
      </c>
      <c r="H396" s="1" t="s">
        <v>60</v>
      </c>
      <c r="I396" s="1">
        <v>117.0</v>
      </c>
      <c r="J396" s="1">
        <v>-0.117229493087557</v>
      </c>
      <c r="K396" s="1" t="s">
        <v>61</v>
      </c>
      <c r="L396" s="1" t="s">
        <v>61</v>
      </c>
      <c r="M396" s="1" t="s">
        <v>62</v>
      </c>
      <c r="N396" s="1">
        <v>-154.0</v>
      </c>
      <c r="O396" s="1">
        <v>0.0501007874015747</v>
      </c>
      <c r="P396" s="1" t="s">
        <v>61</v>
      </c>
      <c r="Q396" s="1" t="s">
        <v>61</v>
      </c>
      <c r="R396" s="1">
        <f t="shared" si="1"/>
        <v>0.0501007874</v>
      </c>
      <c r="S396" s="1">
        <f t="shared" si="2"/>
        <v>-154</v>
      </c>
      <c r="T396" s="1">
        <f t="shared" si="3"/>
        <v>1.649350649</v>
      </c>
      <c r="U396" s="1">
        <f t="shared" si="4"/>
        <v>0</v>
      </c>
      <c r="V396" s="3">
        <f t="shared" si="5"/>
        <v>2</v>
      </c>
      <c r="W396" s="3">
        <f t="shared" si="6"/>
        <v>3</v>
      </c>
      <c r="X396" s="3" t="str">
        <f>IFERROR(__xludf.DUMMYFUNCTION("split(B396,"" "")"),"P.")</f>
        <v>P.</v>
      </c>
      <c r="Y396" s="3" t="str">
        <f>IFERROR(__xludf.DUMMYFUNCTION("""COMPUTED_VALUE"""),"Freiermuth")</f>
        <v>Freiermuth</v>
      </c>
      <c r="AA396" s="3">
        <v>2.0</v>
      </c>
      <c r="AB396" s="3">
        <f t="shared" si="7"/>
        <v>0</v>
      </c>
      <c r="AC396" s="3">
        <f t="shared" si="8"/>
        <v>1</v>
      </c>
      <c r="AD396" s="3">
        <f t="shared" si="9"/>
        <v>1.298701299</v>
      </c>
      <c r="AE396" s="3">
        <f t="shared" si="10"/>
        <v>1.298701299</v>
      </c>
      <c r="AF396" s="3">
        <f t="shared" si="11"/>
        <v>1.948051948</v>
      </c>
      <c r="AG396" s="3">
        <f t="shared" si="12"/>
        <v>0.4285714286</v>
      </c>
    </row>
    <row r="397">
      <c r="A397" s="1" t="s">
        <v>11</v>
      </c>
      <c r="B397" s="1" t="s">
        <v>489</v>
      </c>
      <c r="C397" s="1" t="s">
        <v>20</v>
      </c>
      <c r="D397" s="1" t="s">
        <v>110</v>
      </c>
      <c r="E397" s="1" t="s">
        <v>134</v>
      </c>
      <c r="F397" s="1" t="s">
        <v>615</v>
      </c>
      <c r="G397" s="1">
        <v>30.5</v>
      </c>
      <c r="H397" s="1" t="s">
        <v>60</v>
      </c>
      <c r="I397" s="1">
        <v>-113.0</v>
      </c>
      <c r="J397" s="1">
        <v>-0.102668909989342</v>
      </c>
      <c r="K397" s="1" t="s">
        <v>61</v>
      </c>
      <c r="L397" s="1" t="s">
        <v>61</v>
      </c>
      <c r="M397" s="1" t="s">
        <v>62</v>
      </c>
      <c r="N397" s="1">
        <v>-116.0</v>
      </c>
      <c r="O397" s="1">
        <v>0.0351504927297536</v>
      </c>
      <c r="P397" s="1" t="s">
        <v>61</v>
      </c>
      <c r="Q397" s="1" t="s">
        <v>61</v>
      </c>
      <c r="R397" s="1">
        <f t="shared" si="1"/>
        <v>0.03515049273</v>
      </c>
      <c r="S397" s="1">
        <f t="shared" si="2"/>
        <v>-116</v>
      </c>
      <c r="T397" s="1">
        <f t="shared" si="3"/>
        <v>1.862068966</v>
      </c>
      <c r="U397" s="1">
        <f t="shared" si="4"/>
        <v>0</v>
      </c>
      <c r="V397" s="3">
        <f t="shared" si="5"/>
        <v>1</v>
      </c>
      <c r="W397" s="3">
        <f t="shared" si="6"/>
        <v>2</v>
      </c>
      <c r="X397" s="3" t="str">
        <f>IFERROR(__xludf.DUMMYFUNCTION("split(B397,"" "")"),"P.")</f>
        <v>P.</v>
      </c>
      <c r="Y397" s="3" t="str">
        <f>IFERROR(__xludf.DUMMYFUNCTION("""COMPUTED_VALUE"""),"Freiermuth")</f>
        <v>Freiermuth</v>
      </c>
      <c r="AA397" s="3">
        <v>16.0</v>
      </c>
      <c r="AB397" s="3">
        <f t="shared" si="7"/>
        <v>0</v>
      </c>
      <c r="AC397" s="3">
        <f t="shared" si="8"/>
        <v>1</v>
      </c>
      <c r="AD397" s="3">
        <f t="shared" si="9"/>
        <v>0.8620689655</v>
      </c>
      <c r="AE397" s="3">
        <f t="shared" si="10"/>
        <v>0.8620689655</v>
      </c>
      <c r="AF397" s="3">
        <f t="shared" si="11"/>
        <v>1.724137931</v>
      </c>
      <c r="AG397" s="3">
        <f t="shared" si="12"/>
        <v>0.4754098361</v>
      </c>
    </row>
    <row r="398">
      <c r="A398" s="1" t="s">
        <v>10</v>
      </c>
      <c r="B398" s="1" t="s">
        <v>123</v>
      </c>
      <c r="C398" s="1" t="s">
        <v>19</v>
      </c>
      <c r="D398" s="1" t="s">
        <v>110</v>
      </c>
      <c r="E398" s="1" t="s">
        <v>134</v>
      </c>
      <c r="F398" s="1" t="s">
        <v>615</v>
      </c>
      <c r="G398" s="1">
        <v>57.5</v>
      </c>
      <c r="H398" s="1" t="s">
        <v>60</v>
      </c>
      <c r="I398" s="1">
        <v>-115.0</v>
      </c>
      <c r="J398" s="1">
        <v>0.0338945395950599</v>
      </c>
      <c r="K398" s="1" t="s">
        <v>61</v>
      </c>
      <c r="L398" s="1" t="s">
        <v>61</v>
      </c>
      <c r="M398" s="1" t="s">
        <v>62</v>
      </c>
      <c r="N398" s="1">
        <v>-112.0</v>
      </c>
      <c r="O398" s="1">
        <v>-0.097119509267296</v>
      </c>
      <c r="P398" s="1" t="s">
        <v>61</v>
      </c>
      <c r="Q398" s="1" t="s">
        <v>61</v>
      </c>
      <c r="R398" s="1">
        <f t="shared" si="1"/>
        <v>0.0338945396</v>
      </c>
      <c r="S398" s="1">
        <f t="shared" si="2"/>
        <v>-115</v>
      </c>
      <c r="T398" s="1">
        <f t="shared" si="3"/>
        <v>1.869565217</v>
      </c>
      <c r="U398" s="1">
        <f t="shared" si="4"/>
        <v>1</v>
      </c>
      <c r="V398" s="3">
        <f t="shared" si="5"/>
        <v>1</v>
      </c>
      <c r="W398" s="3">
        <f t="shared" si="6"/>
        <v>2</v>
      </c>
      <c r="X398" s="3" t="str">
        <f>IFERROR(__xludf.DUMMYFUNCTION("split(B398,"" "")"),"N.")</f>
        <v>N.</v>
      </c>
      <c r="Y398" s="3" t="str">
        <f>IFERROR(__xludf.DUMMYFUNCTION("""COMPUTED_VALUE"""),"Harris")</f>
        <v>Harris</v>
      </c>
      <c r="AA398" s="3">
        <v>106.0</v>
      </c>
      <c r="AB398" s="3">
        <f t="shared" si="7"/>
        <v>1</v>
      </c>
      <c r="AC398" s="3">
        <f t="shared" si="8"/>
        <v>1</v>
      </c>
      <c r="AD398" s="3">
        <f t="shared" si="9"/>
        <v>0.8695652174</v>
      </c>
      <c r="AE398" s="3">
        <f t="shared" si="10"/>
        <v>0.8695652174</v>
      </c>
      <c r="AF398" s="3">
        <f t="shared" si="11"/>
        <v>1.739130435</v>
      </c>
      <c r="AG398" s="3">
        <f t="shared" si="12"/>
        <v>0.8434782609</v>
      </c>
    </row>
    <row r="399">
      <c r="A399" s="1" t="s">
        <v>10</v>
      </c>
      <c r="B399" s="1" t="s">
        <v>177</v>
      </c>
      <c r="C399" s="1" t="s">
        <v>19</v>
      </c>
      <c r="D399" s="1" t="s">
        <v>110</v>
      </c>
      <c r="E399" s="1" t="s">
        <v>134</v>
      </c>
      <c r="F399" s="1" t="s">
        <v>615</v>
      </c>
      <c r="G399" s="1">
        <v>20.5</v>
      </c>
      <c r="H399" s="1" t="s">
        <v>60</v>
      </c>
      <c r="I399" s="1">
        <v>-113.0</v>
      </c>
      <c r="J399" s="1">
        <v>-0.0931848996066391</v>
      </c>
      <c r="K399" s="1" t="s">
        <v>61</v>
      </c>
      <c r="L399" s="1" t="s">
        <v>61</v>
      </c>
      <c r="M399" s="1" t="s">
        <v>62</v>
      </c>
      <c r="N399" s="1">
        <v>-116.0</v>
      </c>
      <c r="O399" s="1">
        <v>0.025655671272261</v>
      </c>
      <c r="P399" s="1" t="s">
        <v>61</v>
      </c>
      <c r="Q399" s="1" t="s">
        <v>61</v>
      </c>
      <c r="R399" s="1">
        <f t="shared" si="1"/>
        <v>0.02565567127</v>
      </c>
      <c r="S399" s="1">
        <f t="shared" si="2"/>
        <v>-116</v>
      </c>
      <c r="T399" s="1">
        <f t="shared" si="3"/>
        <v>1.862068966</v>
      </c>
      <c r="U399" s="1">
        <f t="shared" si="4"/>
        <v>0</v>
      </c>
      <c r="V399" s="3">
        <f t="shared" si="5"/>
        <v>1</v>
      </c>
      <c r="W399" s="3">
        <f t="shared" si="6"/>
        <v>2</v>
      </c>
      <c r="X399" s="3" t="str">
        <f>IFERROR(__xludf.DUMMYFUNCTION("split(B399,"" "")"),"J.")</f>
        <v>J.</v>
      </c>
      <c r="Y399" s="3" t="str">
        <f>IFERROR(__xludf.DUMMYFUNCTION("""COMPUTED_VALUE"""),"Warren")</f>
        <v>Warren</v>
      </c>
      <c r="AA399" s="3">
        <v>7.0</v>
      </c>
      <c r="AB399" s="3">
        <f t="shared" si="7"/>
        <v>0</v>
      </c>
      <c r="AC399" s="3">
        <f t="shared" si="8"/>
        <v>1</v>
      </c>
      <c r="AD399" s="3">
        <f t="shared" si="9"/>
        <v>0.8620689655</v>
      </c>
      <c r="AE399" s="3">
        <f t="shared" si="10"/>
        <v>0.8620689655</v>
      </c>
      <c r="AF399" s="3">
        <f t="shared" si="11"/>
        <v>1.724137931</v>
      </c>
      <c r="AG399" s="3">
        <f t="shared" si="12"/>
        <v>0.6585365854</v>
      </c>
    </row>
    <row r="400">
      <c r="A400" s="1" t="s">
        <v>9</v>
      </c>
      <c r="B400" s="1" t="s">
        <v>415</v>
      </c>
      <c r="C400" s="1" t="s">
        <v>18</v>
      </c>
      <c r="D400" s="1" t="s">
        <v>110</v>
      </c>
      <c r="E400" s="1" t="s">
        <v>134</v>
      </c>
      <c r="F400" s="1" t="s">
        <v>615</v>
      </c>
      <c r="G400" s="1">
        <v>46.5</v>
      </c>
      <c r="H400" s="1" t="s">
        <v>60</v>
      </c>
      <c r="I400" s="1">
        <v>-115.0</v>
      </c>
      <c r="J400" s="1">
        <v>0.0187842367107984</v>
      </c>
      <c r="K400" s="1" t="s">
        <v>61</v>
      </c>
      <c r="L400" s="1" t="s">
        <v>61</v>
      </c>
      <c r="M400" s="1" t="s">
        <v>62</v>
      </c>
      <c r="N400" s="1">
        <v>-115.0</v>
      </c>
      <c r="O400" s="1">
        <v>-0.0885618722174182</v>
      </c>
      <c r="P400" s="1" t="s">
        <v>61</v>
      </c>
      <c r="Q400" s="1" t="s">
        <v>61</v>
      </c>
      <c r="R400" s="1">
        <f t="shared" si="1"/>
        <v>0.01878423671</v>
      </c>
      <c r="S400" s="1">
        <f t="shared" si="2"/>
        <v>-115</v>
      </c>
      <c r="T400" s="1">
        <f t="shared" si="3"/>
        <v>1.869565217</v>
      </c>
      <c r="U400" s="1">
        <f t="shared" si="4"/>
        <v>1</v>
      </c>
      <c r="V400" s="3">
        <f t="shared" si="5"/>
        <v>1</v>
      </c>
      <c r="W400" s="3">
        <f t="shared" si="6"/>
        <v>2</v>
      </c>
      <c r="X400" s="3" t="str">
        <f>IFERROR(__xludf.DUMMYFUNCTION("split(B400,"" "")"),"G.")</f>
        <v>G.</v>
      </c>
      <c r="Y400" s="3" t="str">
        <f>IFERROR(__xludf.DUMMYFUNCTION("""COMPUTED_VALUE"""),"Pickens")</f>
        <v>Pickens</v>
      </c>
      <c r="AA400" s="3">
        <v>53.0</v>
      </c>
      <c r="AB400" s="3">
        <f t="shared" si="7"/>
        <v>1</v>
      </c>
      <c r="AC400" s="3">
        <f t="shared" si="8"/>
        <v>1</v>
      </c>
      <c r="AD400" s="3">
        <f t="shared" si="9"/>
        <v>0.8695652174</v>
      </c>
      <c r="AE400" s="3">
        <f t="shared" si="10"/>
        <v>0.8695652174</v>
      </c>
      <c r="AF400" s="3">
        <f t="shared" si="11"/>
        <v>1.739130435</v>
      </c>
      <c r="AG400" s="3">
        <f t="shared" si="12"/>
        <v>0.1397849462</v>
      </c>
    </row>
    <row r="401">
      <c r="A401" s="1" t="s">
        <v>12</v>
      </c>
      <c r="B401" s="1" t="s">
        <v>123</v>
      </c>
      <c r="C401" s="1" t="s">
        <v>19</v>
      </c>
      <c r="D401" s="1" t="s">
        <v>110</v>
      </c>
      <c r="E401" s="1" t="s">
        <v>134</v>
      </c>
      <c r="F401" s="1" t="s">
        <v>615</v>
      </c>
      <c r="G401" s="1">
        <v>2.5</v>
      </c>
      <c r="H401" s="1" t="s">
        <v>60</v>
      </c>
      <c r="I401" s="1">
        <v>117.0</v>
      </c>
      <c r="J401" s="1">
        <v>-0.082518790275576</v>
      </c>
      <c r="K401" s="1" t="s">
        <v>61</v>
      </c>
      <c r="L401" s="1" t="s">
        <v>61</v>
      </c>
      <c r="M401" s="1" t="s">
        <v>62</v>
      </c>
      <c r="N401" s="1">
        <v>-154.0</v>
      </c>
      <c r="O401" s="1">
        <v>0.0153763016834644</v>
      </c>
      <c r="P401" s="1" t="s">
        <v>61</v>
      </c>
      <c r="Q401" s="1" t="s">
        <v>61</v>
      </c>
      <c r="R401" s="1">
        <f t="shared" si="1"/>
        <v>0.01537630168</v>
      </c>
      <c r="S401" s="1">
        <f t="shared" si="2"/>
        <v>-154</v>
      </c>
      <c r="T401" s="1">
        <f t="shared" si="3"/>
        <v>1.649350649</v>
      </c>
      <c r="U401" s="1">
        <f t="shared" si="4"/>
        <v>0</v>
      </c>
      <c r="V401" s="3">
        <f t="shared" si="5"/>
        <v>1</v>
      </c>
      <c r="W401" s="3">
        <f t="shared" si="6"/>
        <v>3</v>
      </c>
      <c r="X401" s="3" t="str">
        <f>IFERROR(__xludf.DUMMYFUNCTION("split(B401,"" "")"),"N.")</f>
        <v>N.</v>
      </c>
      <c r="Y401" s="3" t="str">
        <f>IFERROR(__xludf.DUMMYFUNCTION("""COMPUTED_VALUE"""),"Harris")</f>
        <v>Harris</v>
      </c>
      <c r="AA401" s="3">
        <v>2.0</v>
      </c>
      <c r="AB401" s="3">
        <f t="shared" si="7"/>
        <v>0</v>
      </c>
      <c r="AC401" s="3">
        <f t="shared" si="8"/>
        <v>1</v>
      </c>
      <c r="AD401" s="3">
        <f t="shared" si="9"/>
        <v>0.6493506494</v>
      </c>
      <c r="AE401" s="3">
        <f t="shared" si="10"/>
        <v>0.6493506494</v>
      </c>
      <c r="AF401" s="3">
        <f t="shared" si="11"/>
        <v>1.948051948</v>
      </c>
      <c r="AG401" s="3">
        <f t="shared" si="12"/>
        <v>0.2</v>
      </c>
    </row>
    <row r="402">
      <c r="A402" s="1" t="s">
        <v>11</v>
      </c>
      <c r="B402" s="1" t="s">
        <v>403</v>
      </c>
      <c r="C402" s="1" t="s">
        <v>18</v>
      </c>
      <c r="D402" s="1" t="s">
        <v>110</v>
      </c>
      <c r="E402" s="1" t="s">
        <v>134</v>
      </c>
      <c r="F402" s="1" t="s">
        <v>615</v>
      </c>
      <c r="G402" s="1">
        <v>19.5</v>
      </c>
      <c r="H402" s="1" t="s">
        <v>60</v>
      </c>
      <c r="I402" s="1">
        <v>-111.0</v>
      </c>
      <c r="J402" s="1">
        <v>-0.0763926545060144</v>
      </c>
      <c r="K402" s="1" t="s">
        <v>61</v>
      </c>
      <c r="L402" s="1" t="s">
        <v>61</v>
      </c>
      <c r="M402" s="1" t="s">
        <v>62</v>
      </c>
      <c r="N402" s="1">
        <v>-117.0</v>
      </c>
      <c r="O402" s="1">
        <v>0.0111869475479252</v>
      </c>
      <c r="P402" s="1" t="s">
        <v>61</v>
      </c>
      <c r="Q402" s="1" t="s">
        <v>61</v>
      </c>
      <c r="R402" s="1">
        <f t="shared" si="1"/>
        <v>0.01118694755</v>
      </c>
      <c r="S402" s="1">
        <f t="shared" si="2"/>
        <v>-117</v>
      </c>
      <c r="T402" s="1">
        <f t="shared" si="3"/>
        <v>1.854700855</v>
      </c>
      <c r="U402" s="1">
        <f t="shared" si="4"/>
        <v>0</v>
      </c>
      <c r="V402" s="3">
        <f t="shared" si="5"/>
        <v>1</v>
      </c>
      <c r="W402" s="3">
        <f t="shared" si="6"/>
        <v>2</v>
      </c>
      <c r="X402" s="3" t="str">
        <f>IFERROR(__xludf.DUMMYFUNCTION("split(B402,"" "")"),"V.")</f>
        <v>V.</v>
      </c>
      <c r="Y402" s="3" t="str">
        <f>IFERROR(__xludf.DUMMYFUNCTION("""COMPUTED_VALUE"""),"Jefferson")</f>
        <v>Jefferson</v>
      </c>
      <c r="AA402" s="3">
        <v>0.0</v>
      </c>
      <c r="AB402" s="3">
        <f t="shared" si="7"/>
        <v>0</v>
      </c>
      <c r="AC402" s="3">
        <f t="shared" si="8"/>
        <v>1</v>
      </c>
      <c r="AD402" s="3">
        <f t="shared" si="9"/>
        <v>0.8547008547</v>
      </c>
      <c r="AE402" s="3">
        <f t="shared" si="10"/>
        <v>0.8547008547</v>
      </c>
      <c r="AF402" s="3">
        <f t="shared" si="11"/>
        <v>1.709401709</v>
      </c>
      <c r="AG402" s="3">
        <f t="shared" si="12"/>
        <v>1</v>
      </c>
    </row>
    <row r="403">
      <c r="A403" s="1" t="s">
        <v>12</v>
      </c>
      <c r="B403" s="1" t="s">
        <v>415</v>
      </c>
      <c r="C403" s="1" t="s">
        <v>18</v>
      </c>
      <c r="D403" s="1" t="s">
        <v>110</v>
      </c>
      <c r="E403" s="1" t="s">
        <v>134</v>
      </c>
      <c r="F403" s="1" t="s">
        <v>615</v>
      </c>
      <c r="G403" s="1">
        <v>3.5</v>
      </c>
      <c r="H403" s="1" t="s">
        <v>60</v>
      </c>
      <c r="I403" s="1">
        <v>-128.0</v>
      </c>
      <c r="J403" s="1">
        <v>-0.0798035087719297</v>
      </c>
      <c r="K403" s="1" t="s">
        <v>61</v>
      </c>
      <c r="L403" s="1" t="s">
        <v>61</v>
      </c>
      <c r="M403" s="1" t="s">
        <v>62</v>
      </c>
      <c r="N403" s="1">
        <v>-103.0</v>
      </c>
      <c r="O403" s="1">
        <v>0.0110108374384235</v>
      </c>
      <c r="P403" s="1" t="s">
        <v>61</v>
      </c>
      <c r="Q403" s="1" t="s">
        <v>61</v>
      </c>
      <c r="R403" s="1">
        <f t="shared" si="1"/>
        <v>0.01101083744</v>
      </c>
      <c r="S403" s="1">
        <f t="shared" si="2"/>
        <v>-103</v>
      </c>
      <c r="T403" s="1">
        <f t="shared" si="3"/>
        <v>1.970873786</v>
      </c>
      <c r="U403" s="1">
        <f t="shared" si="4"/>
        <v>0</v>
      </c>
      <c r="V403" s="3">
        <f t="shared" si="5"/>
        <v>1</v>
      </c>
      <c r="W403" s="3">
        <f t="shared" si="6"/>
        <v>2</v>
      </c>
      <c r="X403" s="3" t="str">
        <f>IFERROR(__xludf.DUMMYFUNCTION("split(B403,"" "")"),"G.")</f>
        <v>G.</v>
      </c>
      <c r="Y403" s="3" t="str">
        <f>IFERROR(__xludf.DUMMYFUNCTION("""COMPUTED_VALUE"""),"Pickens")</f>
        <v>Pickens</v>
      </c>
      <c r="AA403" s="3">
        <v>3.0</v>
      </c>
      <c r="AB403" s="3">
        <f t="shared" si="7"/>
        <v>0</v>
      </c>
      <c r="AC403" s="3">
        <f t="shared" si="8"/>
        <v>1</v>
      </c>
      <c r="AD403" s="3">
        <f t="shared" si="9"/>
        <v>0.9708737864</v>
      </c>
      <c r="AE403" s="3">
        <f t="shared" si="10"/>
        <v>0.9708737864</v>
      </c>
      <c r="AF403" s="3">
        <f t="shared" si="11"/>
        <v>1.941747573</v>
      </c>
      <c r="AG403" s="3">
        <f t="shared" si="12"/>
        <v>0.1428571429</v>
      </c>
    </row>
    <row r="404">
      <c r="A404" s="1" t="s">
        <v>11</v>
      </c>
      <c r="B404" s="1" t="s">
        <v>123</v>
      </c>
      <c r="C404" s="1" t="s">
        <v>19</v>
      </c>
      <c r="D404" s="1" t="s">
        <v>110</v>
      </c>
      <c r="E404" s="1" t="s">
        <v>134</v>
      </c>
      <c r="F404" s="1" t="s">
        <v>615</v>
      </c>
      <c r="G404" s="1">
        <v>12.5</v>
      </c>
      <c r="H404" s="1" t="s">
        <v>60</v>
      </c>
      <c r="I404" s="1">
        <v>-110.0</v>
      </c>
      <c r="J404" s="1">
        <v>0.0102866939237893</v>
      </c>
      <c r="K404" s="1" t="s">
        <v>61</v>
      </c>
      <c r="L404" s="1" t="s">
        <v>61</v>
      </c>
      <c r="M404" s="1" t="s">
        <v>62</v>
      </c>
      <c r="N404" s="1">
        <v>-118.0</v>
      </c>
      <c r="O404" s="1">
        <v>-0.0753527649280504</v>
      </c>
      <c r="P404" s="1" t="s">
        <v>61</v>
      </c>
      <c r="Q404" s="1" t="s">
        <v>61</v>
      </c>
      <c r="R404" s="1">
        <f t="shared" si="1"/>
        <v>0.01028669392</v>
      </c>
      <c r="S404" s="1">
        <f t="shared" si="2"/>
        <v>-110</v>
      </c>
      <c r="T404" s="1">
        <f t="shared" si="3"/>
        <v>1.909090909</v>
      </c>
      <c r="U404" s="1">
        <f t="shared" si="4"/>
        <v>1</v>
      </c>
      <c r="V404" s="3">
        <f t="shared" si="5"/>
        <v>1</v>
      </c>
      <c r="W404" s="3">
        <f t="shared" si="6"/>
        <v>2</v>
      </c>
      <c r="X404" s="3" t="str">
        <f>IFERROR(__xludf.DUMMYFUNCTION("split(B404,"" "")"),"N.")</f>
        <v>N.</v>
      </c>
      <c r="Y404" s="3" t="str">
        <f>IFERROR(__xludf.DUMMYFUNCTION("""COMPUTED_VALUE"""),"Harris")</f>
        <v>Harris</v>
      </c>
      <c r="AA404" s="3">
        <v>16.0</v>
      </c>
      <c r="AB404" s="3">
        <f t="shared" si="7"/>
        <v>1</v>
      </c>
      <c r="AC404" s="3">
        <f t="shared" si="8"/>
        <v>1</v>
      </c>
      <c r="AD404" s="3">
        <f t="shared" si="9"/>
        <v>0.9090909091</v>
      </c>
      <c r="AE404" s="3">
        <f t="shared" si="10"/>
        <v>0.9090909091</v>
      </c>
      <c r="AF404" s="3">
        <f t="shared" si="11"/>
        <v>1.818181818</v>
      </c>
      <c r="AG404" s="3">
        <f t="shared" si="12"/>
        <v>0.28</v>
      </c>
    </row>
    <row r="405">
      <c r="A405" s="1" t="s">
        <v>10</v>
      </c>
      <c r="B405" s="1" t="s">
        <v>555</v>
      </c>
      <c r="C405" s="1" t="s">
        <v>21</v>
      </c>
      <c r="D405" s="1" t="s">
        <v>110</v>
      </c>
      <c r="E405" s="1" t="s">
        <v>134</v>
      </c>
      <c r="F405" s="1" t="s">
        <v>615</v>
      </c>
      <c r="G405" s="1">
        <v>39.5</v>
      </c>
      <c r="H405" s="1" t="s">
        <v>60</v>
      </c>
      <c r="I405" s="1">
        <v>-117.0</v>
      </c>
      <c r="J405" s="1">
        <v>-0.0680767008169905</v>
      </c>
      <c r="K405" s="1" t="s">
        <v>61</v>
      </c>
      <c r="L405" s="1" t="s">
        <v>61</v>
      </c>
      <c r="M405" s="1" t="s">
        <v>62</v>
      </c>
      <c r="N405" s="1">
        <v>-112.0</v>
      </c>
      <c r="O405" s="1">
        <v>6.63419923025321E-4</v>
      </c>
      <c r="P405" s="1" t="s">
        <v>61</v>
      </c>
      <c r="Q405" s="1" t="s">
        <v>61</v>
      </c>
      <c r="R405" s="1">
        <f t="shared" si="1"/>
        <v>0.000663419923</v>
      </c>
      <c r="S405" s="1">
        <f t="shared" si="2"/>
        <v>-112</v>
      </c>
      <c r="T405" s="1">
        <f t="shared" si="3"/>
        <v>1.892857143</v>
      </c>
      <c r="U405" s="1">
        <f t="shared" si="4"/>
        <v>0</v>
      </c>
      <c r="V405" s="3">
        <f t="shared" si="5"/>
        <v>1</v>
      </c>
      <c r="W405" s="3">
        <f t="shared" si="6"/>
        <v>2</v>
      </c>
      <c r="X405" s="3" t="str">
        <f>IFERROR(__xludf.DUMMYFUNCTION("split(B405,"" "")"),"J.")</f>
        <v>J.</v>
      </c>
      <c r="Y405" s="3" t="str">
        <f>IFERROR(__xludf.DUMMYFUNCTION("""COMPUTED_VALUE"""),"Fields")</f>
        <v>Fields</v>
      </c>
      <c r="AA405" s="3">
        <v>59.0</v>
      </c>
      <c r="AB405" s="3">
        <f t="shared" si="7"/>
        <v>1</v>
      </c>
      <c r="AC405" s="3">
        <f t="shared" si="8"/>
        <v>0</v>
      </c>
      <c r="AD405" s="3">
        <f t="shared" si="9"/>
        <v>0.8928571429</v>
      </c>
      <c r="AE405" s="3">
        <f t="shared" si="10"/>
        <v>-1</v>
      </c>
      <c r="AF405" s="3">
        <f t="shared" si="11"/>
        <v>-2</v>
      </c>
      <c r="AG405" s="3">
        <f t="shared" si="12"/>
        <v>-0.4936708861</v>
      </c>
    </row>
    <row r="406">
      <c r="A406" s="1" t="s">
        <v>9</v>
      </c>
      <c r="B406" s="1" t="s">
        <v>123</v>
      </c>
      <c r="C406" s="1" t="s">
        <v>19</v>
      </c>
      <c r="D406" s="1" t="s">
        <v>110</v>
      </c>
      <c r="E406" s="1" t="s">
        <v>134</v>
      </c>
      <c r="F406" s="1" t="s">
        <v>615</v>
      </c>
      <c r="G406" s="1">
        <v>74.5</v>
      </c>
      <c r="H406" s="1" t="s">
        <v>60</v>
      </c>
      <c r="I406" s="1">
        <v>-117.0</v>
      </c>
      <c r="J406" s="1">
        <v>2.95118142953909E-4</v>
      </c>
      <c r="K406" s="1" t="s">
        <v>61</v>
      </c>
      <c r="L406" s="1" t="s">
        <v>61</v>
      </c>
      <c r="M406" s="1" t="s">
        <v>62</v>
      </c>
      <c r="N406" s="1">
        <v>-115.0</v>
      </c>
      <c r="O406" s="1">
        <v>-0.0743438220119727</v>
      </c>
      <c r="P406" s="1" t="s">
        <v>61</v>
      </c>
      <c r="Q406" s="1" t="s">
        <v>61</v>
      </c>
      <c r="R406" s="1">
        <f t="shared" si="1"/>
        <v>0.000295118143</v>
      </c>
      <c r="S406" s="1">
        <f t="shared" si="2"/>
        <v>-117</v>
      </c>
      <c r="T406" s="1">
        <f t="shared" si="3"/>
        <v>1.854700855</v>
      </c>
      <c r="U406" s="1">
        <f t="shared" si="4"/>
        <v>1</v>
      </c>
      <c r="V406" s="3">
        <f t="shared" si="5"/>
        <v>1</v>
      </c>
      <c r="W406" s="3">
        <f t="shared" si="6"/>
        <v>2</v>
      </c>
      <c r="X406" s="3" t="str">
        <f>IFERROR(__xludf.DUMMYFUNCTION("split(B406,"" "")"),"N.")</f>
        <v>N.</v>
      </c>
      <c r="Y406" s="3" t="str">
        <f>IFERROR(__xludf.DUMMYFUNCTION("""COMPUTED_VALUE"""),"Harris")</f>
        <v>Harris</v>
      </c>
      <c r="AA406" s="3">
        <v>122.0</v>
      </c>
      <c r="AB406" s="3">
        <f t="shared" si="7"/>
        <v>1</v>
      </c>
      <c r="AC406" s="3">
        <f t="shared" si="8"/>
        <v>1</v>
      </c>
      <c r="AD406" s="3">
        <f t="shared" si="9"/>
        <v>0.8547008547</v>
      </c>
      <c r="AE406" s="3">
        <f t="shared" si="10"/>
        <v>0.8547008547</v>
      </c>
      <c r="AF406" s="3">
        <f t="shared" si="11"/>
        <v>1.709401709</v>
      </c>
      <c r="AG406" s="3">
        <f t="shared" si="12"/>
        <v>0.6375838926</v>
      </c>
    </row>
    <row r="407">
      <c r="A407" s="1" t="s">
        <v>11</v>
      </c>
      <c r="B407" s="1" t="s">
        <v>624</v>
      </c>
      <c r="C407" s="1" t="s">
        <v>20</v>
      </c>
      <c r="D407" s="1" t="s">
        <v>82</v>
      </c>
      <c r="E407" s="1" t="s">
        <v>164</v>
      </c>
      <c r="F407" s="1" t="s">
        <v>625</v>
      </c>
      <c r="G407" s="1">
        <v>2.5</v>
      </c>
      <c r="H407" s="1" t="s">
        <v>60</v>
      </c>
      <c r="I407" s="1">
        <v>-113.0</v>
      </c>
      <c r="J407" s="1">
        <v>0.135875697437566</v>
      </c>
      <c r="K407" s="1" t="s">
        <v>61</v>
      </c>
      <c r="L407" s="1" t="s">
        <v>61</v>
      </c>
      <c r="M407" s="1" t="s">
        <v>62</v>
      </c>
      <c r="N407" s="1">
        <v>-114.0</v>
      </c>
      <c r="O407" s="1">
        <v>-0.199087882484999</v>
      </c>
      <c r="P407" s="1" t="s">
        <v>61</v>
      </c>
      <c r="Q407" s="1" t="s">
        <v>61</v>
      </c>
      <c r="R407" s="1">
        <f t="shared" si="1"/>
        <v>0.1358756974</v>
      </c>
      <c r="S407" s="1">
        <f t="shared" si="2"/>
        <v>-113</v>
      </c>
      <c r="T407" s="1">
        <f t="shared" si="3"/>
        <v>1.884955752</v>
      </c>
      <c r="U407" s="1">
        <f t="shared" si="4"/>
        <v>1</v>
      </c>
      <c r="V407" s="3">
        <f t="shared" si="5"/>
        <v>3</v>
      </c>
      <c r="W407" s="3">
        <f t="shared" si="6"/>
        <v>2</v>
      </c>
      <c r="X407" s="3" t="str">
        <f>IFERROR(__xludf.DUMMYFUNCTION("split(B407,"" "")"),"P.")</f>
        <v>P.</v>
      </c>
      <c r="Y407" s="3" t="str">
        <f>IFERROR(__xludf.DUMMYFUNCTION("""COMPUTED_VALUE"""),"Brown")</f>
        <v>Brown</v>
      </c>
      <c r="AA407" s="3">
        <v>0.0</v>
      </c>
      <c r="AB407" s="3">
        <f t="shared" si="7"/>
        <v>0</v>
      </c>
      <c r="AC407" s="3">
        <f t="shared" si="8"/>
        <v>0</v>
      </c>
      <c r="AD407" s="3">
        <f t="shared" si="9"/>
        <v>2.654867257</v>
      </c>
      <c r="AE407" s="3">
        <f t="shared" si="10"/>
        <v>-3</v>
      </c>
      <c r="AF407" s="3">
        <f t="shared" si="11"/>
        <v>-2</v>
      </c>
      <c r="AG407" s="3">
        <f t="shared" si="12"/>
        <v>-1</v>
      </c>
    </row>
    <row r="408">
      <c r="A408" s="1" t="s">
        <v>11</v>
      </c>
      <c r="B408" s="1" t="s">
        <v>603</v>
      </c>
      <c r="C408" s="1" t="s">
        <v>20</v>
      </c>
      <c r="D408" s="1" t="s">
        <v>82</v>
      </c>
      <c r="E408" s="1" t="s">
        <v>164</v>
      </c>
      <c r="F408" s="1" t="s">
        <v>625</v>
      </c>
      <c r="G408" s="1">
        <v>2.5</v>
      </c>
      <c r="H408" s="1" t="s">
        <v>60</v>
      </c>
      <c r="I408" s="1">
        <v>-117.0</v>
      </c>
      <c r="J408" s="1">
        <v>0.127570044399434</v>
      </c>
      <c r="K408" s="1" t="s">
        <v>61</v>
      </c>
      <c r="L408" s="1" t="s">
        <v>61</v>
      </c>
      <c r="M408" s="1" t="s">
        <v>62</v>
      </c>
      <c r="N408" s="1">
        <v>-109.0</v>
      </c>
      <c r="O408" s="1">
        <v>-0.188263821061235</v>
      </c>
      <c r="P408" s="1" t="s">
        <v>61</v>
      </c>
      <c r="Q408" s="1" t="s">
        <v>61</v>
      </c>
      <c r="R408" s="1">
        <f t="shared" si="1"/>
        <v>0.1275700444</v>
      </c>
      <c r="S408" s="1">
        <f t="shared" si="2"/>
        <v>-117</v>
      </c>
      <c r="T408" s="1">
        <f t="shared" si="3"/>
        <v>1.854700855</v>
      </c>
      <c r="U408" s="1">
        <f t="shared" si="4"/>
        <v>1</v>
      </c>
      <c r="V408" s="3">
        <f t="shared" si="5"/>
        <v>3</v>
      </c>
      <c r="W408" s="3">
        <f t="shared" si="6"/>
        <v>2</v>
      </c>
      <c r="X408" s="3" t="str">
        <f>IFERROR(__xludf.DUMMYFUNCTION("split(B408,"" "")"),"A.")</f>
        <v>A.</v>
      </c>
      <c r="Y408" s="3" t="str">
        <f>IFERROR(__xludf.DUMMYFUNCTION("""COMPUTED_VALUE"""),"Barner")</f>
        <v>Barner</v>
      </c>
      <c r="AA408" s="3">
        <v>13.0</v>
      </c>
      <c r="AB408" s="3">
        <f t="shared" si="7"/>
        <v>1</v>
      </c>
      <c r="AC408" s="3">
        <f t="shared" si="8"/>
        <v>1</v>
      </c>
      <c r="AD408" s="3">
        <f t="shared" si="9"/>
        <v>2.564102564</v>
      </c>
      <c r="AE408" s="3">
        <f t="shared" si="10"/>
        <v>2.564102564</v>
      </c>
      <c r="AF408" s="3">
        <f t="shared" si="11"/>
        <v>1.709401709</v>
      </c>
      <c r="AG408" s="3">
        <f t="shared" si="12"/>
        <v>4.2</v>
      </c>
    </row>
    <row r="409">
      <c r="A409" s="1" t="s">
        <v>12</v>
      </c>
      <c r="B409" s="1" t="s">
        <v>480</v>
      </c>
      <c r="C409" s="1" t="s">
        <v>18</v>
      </c>
      <c r="D409" s="1" t="s">
        <v>82</v>
      </c>
      <c r="E409" s="1" t="s">
        <v>164</v>
      </c>
      <c r="F409" s="1" t="s">
        <v>625</v>
      </c>
      <c r="G409" s="1">
        <v>3.5</v>
      </c>
      <c r="H409" s="1" t="s">
        <v>60</v>
      </c>
      <c r="I409" s="1">
        <v>-155.0</v>
      </c>
      <c r="J409" s="1">
        <v>-0.177421568627451</v>
      </c>
      <c r="K409" s="1" t="s">
        <v>61</v>
      </c>
      <c r="L409" s="1" t="s">
        <v>61</v>
      </c>
      <c r="M409" s="1" t="s">
        <v>62</v>
      </c>
      <c r="N409" s="1">
        <v>117.0</v>
      </c>
      <c r="O409" s="1">
        <v>0.108762672811059</v>
      </c>
      <c r="P409" s="1" t="s">
        <v>61</v>
      </c>
      <c r="Q409" s="1" t="s">
        <v>61</v>
      </c>
      <c r="R409" s="1">
        <f t="shared" si="1"/>
        <v>0.1087626728</v>
      </c>
      <c r="S409" s="1">
        <f t="shared" si="2"/>
        <v>117</v>
      </c>
      <c r="T409" s="1">
        <f t="shared" si="3"/>
        <v>2.17</v>
      </c>
      <c r="U409" s="1">
        <f t="shared" si="4"/>
        <v>0</v>
      </c>
      <c r="V409" s="3">
        <f t="shared" si="5"/>
        <v>3</v>
      </c>
      <c r="W409" s="3">
        <f t="shared" si="6"/>
        <v>1</v>
      </c>
      <c r="X409" s="3" t="str">
        <f>IFERROR(__xludf.DUMMYFUNCTION("split(B409,"" "")"),"T.")</f>
        <v>T.</v>
      </c>
      <c r="Y409" s="3" t="str">
        <f>IFERROR(__xludf.DUMMYFUNCTION("""COMPUTED_VALUE"""),"Lockett")</f>
        <v>Lockett</v>
      </c>
      <c r="AA409" s="3">
        <v>4.0</v>
      </c>
      <c r="AB409" s="3">
        <f t="shared" si="7"/>
        <v>1</v>
      </c>
      <c r="AC409" s="3">
        <f t="shared" si="8"/>
        <v>0</v>
      </c>
      <c r="AD409" s="3">
        <f t="shared" si="9"/>
        <v>3.51</v>
      </c>
      <c r="AE409" s="3">
        <f t="shared" si="10"/>
        <v>-3</v>
      </c>
      <c r="AF409" s="3">
        <f t="shared" si="11"/>
        <v>-1</v>
      </c>
      <c r="AG409" s="3">
        <f t="shared" si="12"/>
        <v>-0.1428571429</v>
      </c>
    </row>
    <row r="410">
      <c r="A410" s="1" t="s">
        <v>8</v>
      </c>
      <c r="B410" s="1" t="s">
        <v>361</v>
      </c>
      <c r="C410" s="1" t="s">
        <v>19</v>
      </c>
      <c r="D410" s="1" t="s">
        <v>82</v>
      </c>
      <c r="E410" s="1" t="s">
        <v>164</v>
      </c>
      <c r="F410" s="1" t="s">
        <v>625</v>
      </c>
      <c r="G410" s="1">
        <v>4.0</v>
      </c>
      <c r="H410" s="1" t="s">
        <v>60</v>
      </c>
      <c r="I410" s="1">
        <v>-125.0</v>
      </c>
      <c r="J410" s="1">
        <v>-0.1787821640043</v>
      </c>
      <c r="K410" s="1" t="s">
        <v>61</v>
      </c>
      <c r="L410" s="1" t="s">
        <v>61</v>
      </c>
      <c r="M410" s="1" t="s">
        <v>62</v>
      </c>
      <c r="N410" s="1">
        <v>-113.0</v>
      </c>
      <c r="O410" s="1">
        <v>0.0984670901318934</v>
      </c>
      <c r="P410" s="1" t="s">
        <v>61</v>
      </c>
      <c r="Q410" s="1" t="s">
        <v>61</v>
      </c>
      <c r="R410" s="1">
        <f t="shared" si="1"/>
        <v>0.09846709013</v>
      </c>
      <c r="S410" s="1">
        <f t="shared" si="2"/>
        <v>-113</v>
      </c>
      <c r="T410" s="1">
        <f t="shared" si="3"/>
        <v>1.884955752</v>
      </c>
      <c r="U410" s="1">
        <f t="shared" si="4"/>
        <v>0</v>
      </c>
      <c r="V410" s="3">
        <f t="shared" si="5"/>
        <v>2</v>
      </c>
      <c r="W410" s="3">
        <f t="shared" si="6"/>
        <v>2</v>
      </c>
      <c r="X410" s="3" t="str">
        <f>IFERROR(__xludf.DUMMYFUNCTION("split(B410,"" "")"),"Z.")</f>
        <v>Z.</v>
      </c>
      <c r="Y410" s="3" t="str">
        <f>IFERROR(__xludf.DUMMYFUNCTION("""COMPUTED_VALUE"""),"Charbonnet")</f>
        <v>Charbonnet</v>
      </c>
      <c r="AA410" s="3">
        <v>5.0</v>
      </c>
      <c r="AB410" s="3">
        <f t="shared" si="7"/>
        <v>1</v>
      </c>
      <c r="AC410" s="3">
        <f t="shared" si="8"/>
        <v>0</v>
      </c>
      <c r="AD410" s="3">
        <f t="shared" si="9"/>
        <v>1.769911504</v>
      </c>
      <c r="AE410" s="3">
        <f t="shared" si="10"/>
        <v>-2</v>
      </c>
      <c r="AF410" s="3">
        <f t="shared" si="11"/>
        <v>-2</v>
      </c>
      <c r="AG410" s="3">
        <f t="shared" si="12"/>
        <v>-0.25</v>
      </c>
    </row>
    <row r="411">
      <c r="A411" s="1" t="s">
        <v>12</v>
      </c>
      <c r="B411" s="1" t="s">
        <v>490</v>
      </c>
      <c r="C411" s="1" t="s">
        <v>19</v>
      </c>
      <c r="D411" s="1" t="s">
        <v>82</v>
      </c>
      <c r="E411" s="1" t="s">
        <v>164</v>
      </c>
      <c r="F411" s="1" t="s">
        <v>625</v>
      </c>
      <c r="G411" s="1">
        <v>3.5</v>
      </c>
      <c r="H411" s="1" t="s">
        <v>60</v>
      </c>
      <c r="I411" s="1">
        <v>111.0</v>
      </c>
      <c r="J411" s="1">
        <v>-0.16548625592417</v>
      </c>
      <c r="K411" s="1" t="s">
        <v>61</v>
      </c>
      <c r="L411" s="1" t="s">
        <v>61</v>
      </c>
      <c r="M411" s="1" t="s">
        <v>62</v>
      </c>
      <c r="N411" s="1">
        <v>-146.0</v>
      </c>
      <c r="O411" s="1">
        <v>0.0980634146341463</v>
      </c>
      <c r="P411" s="1" t="s">
        <v>61</v>
      </c>
      <c r="Q411" s="1" t="s">
        <v>61</v>
      </c>
      <c r="R411" s="1">
        <f t="shared" si="1"/>
        <v>0.09806341463</v>
      </c>
      <c r="S411" s="1">
        <f t="shared" si="2"/>
        <v>-146</v>
      </c>
      <c r="T411" s="1">
        <f t="shared" si="3"/>
        <v>1.684931507</v>
      </c>
      <c r="U411" s="1">
        <f t="shared" si="4"/>
        <v>0</v>
      </c>
      <c r="V411" s="3">
        <f t="shared" si="5"/>
        <v>2</v>
      </c>
      <c r="W411" s="3">
        <f t="shared" si="6"/>
        <v>3</v>
      </c>
      <c r="X411" s="3" t="str">
        <f>IFERROR(__xludf.DUMMYFUNCTION("split(B411,"" "")"),"K.")</f>
        <v>K.</v>
      </c>
      <c r="Y411" s="3" t="str">
        <f>IFERROR(__xludf.DUMMYFUNCTION("""COMPUTED_VALUE"""),"Walker")</f>
        <v>Walker</v>
      </c>
      <c r="Z411" s="3" t="str">
        <f>IFERROR(__xludf.DUMMYFUNCTION("""COMPUTED_VALUE"""),"III")</f>
        <v>III</v>
      </c>
      <c r="AA411" s="3">
        <v>8.0</v>
      </c>
      <c r="AB411" s="3">
        <f t="shared" si="7"/>
        <v>1</v>
      </c>
      <c r="AC411" s="3">
        <f t="shared" si="8"/>
        <v>0</v>
      </c>
      <c r="AD411" s="3">
        <f t="shared" si="9"/>
        <v>1.369863014</v>
      </c>
      <c r="AE411" s="3">
        <f t="shared" si="10"/>
        <v>-2</v>
      </c>
      <c r="AF411" s="3">
        <f t="shared" si="11"/>
        <v>-3</v>
      </c>
      <c r="AG411" s="3">
        <f t="shared" si="12"/>
        <v>-1.285714286</v>
      </c>
    </row>
    <row r="412">
      <c r="A412" s="1" t="s">
        <v>8</v>
      </c>
      <c r="B412" s="1" t="s">
        <v>500</v>
      </c>
      <c r="C412" s="1" t="s">
        <v>21</v>
      </c>
      <c r="D412" s="1" t="s">
        <v>82</v>
      </c>
      <c r="E412" s="1" t="s">
        <v>164</v>
      </c>
      <c r="F412" s="1" t="s">
        <v>625</v>
      </c>
      <c r="G412" s="1">
        <v>3.5</v>
      </c>
      <c r="H412" s="1" t="s">
        <v>60</v>
      </c>
      <c r="I412" s="1">
        <v>117.0</v>
      </c>
      <c r="J412" s="1">
        <v>-0.151970617898025</v>
      </c>
      <c r="K412" s="1" t="s">
        <v>61</v>
      </c>
      <c r="L412" s="1" t="s">
        <v>61</v>
      </c>
      <c r="M412" s="1" t="s">
        <v>62</v>
      </c>
      <c r="N412" s="1">
        <v>-155.0</v>
      </c>
      <c r="O412" s="1">
        <v>0.0832904887883384</v>
      </c>
      <c r="P412" s="1" t="s">
        <v>61</v>
      </c>
      <c r="Q412" s="1" t="s">
        <v>61</v>
      </c>
      <c r="R412" s="1">
        <f t="shared" si="1"/>
        <v>0.08329048879</v>
      </c>
      <c r="S412" s="1">
        <f t="shared" si="2"/>
        <v>-155</v>
      </c>
      <c r="T412" s="1">
        <f t="shared" si="3"/>
        <v>1.64516129</v>
      </c>
      <c r="U412" s="1">
        <f t="shared" si="4"/>
        <v>0</v>
      </c>
      <c r="V412" s="3">
        <f t="shared" si="5"/>
        <v>2</v>
      </c>
      <c r="W412" s="3">
        <f t="shared" si="6"/>
        <v>3</v>
      </c>
      <c r="X412" s="3" t="str">
        <f>IFERROR(__xludf.DUMMYFUNCTION("split(B412,"" "")"),"G.")</f>
        <v>G.</v>
      </c>
      <c r="Y412" s="3" t="str">
        <f>IFERROR(__xludf.DUMMYFUNCTION("""COMPUTED_VALUE"""),"Smith")</f>
        <v>Smith</v>
      </c>
      <c r="AA412" s="3">
        <v>1.0</v>
      </c>
      <c r="AB412" s="3">
        <f t="shared" si="7"/>
        <v>0</v>
      </c>
      <c r="AC412" s="3">
        <f t="shared" si="8"/>
        <v>1</v>
      </c>
      <c r="AD412" s="3">
        <f t="shared" si="9"/>
        <v>1.290322581</v>
      </c>
      <c r="AE412" s="3">
        <f t="shared" si="10"/>
        <v>1.290322581</v>
      </c>
      <c r="AF412" s="3">
        <f t="shared" si="11"/>
        <v>1.935483871</v>
      </c>
      <c r="AG412" s="3">
        <f t="shared" si="12"/>
        <v>0.7142857143</v>
      </c>
    </row>
    <row r="413">
      <c r="A413" s="1" t="s">
        <v>15</v>
      </c>
      <c r="B413" s="1" t="s">
        <v>500</v>
      </c>
      <c r="C413" s="1" t="s">
        <v>21</v>
      </c>
      <c r="D413" s="1" t="s">
        <v>82</v>
      </c>
      <c r="E413" s="1" t="s">
        <v>164</v>
      </c>
      <c r="F413" s="1" t="s">
        <v>625</v>
      </c>
      <c r="G413" s="1">
        <v>23.5</v>
      </c>
      <c r="H413" s="1" t="s">
        <v>60</v>
      </c>
      <c r="I413" s="1">
        <v>-111.0</v>
      </c>
      <c r="J413" s="1">
        <v>0.0792284360189573</v>
      </c>
      <c r="K413" s="1" t="s">
        <v>61</v>
      </c>
      <c r="L413" s="1" t="s">
        <v>61</v>
      </c>
      <c r="M413" s="1" t="s">
        <v>62</v>
      </c>
      <c r="N413" s="1">
        <v>-118.0</v>
      </c>
      <c r="O413" s="1">
        <v>-0.146592660550458</v>
      </c>
      <c r="P413" s="1" t="s">
        <v>61</v>
      </c>
      <c r="Q413" s="1" t="s">
        <v>61</v>
      </c>
      <c r="R413" s="1">
        <f t="shared" si="1"/>
        <v>0.07922843602</v>
      </c>
      <c r="S413" s="1">
        <f t="shared" si="2"/>
        <v>-111</v>
      </c>
      <c r="T413" s="1">
        <f t="shared" si="3"/>
        <v>1.900900901</v>
      </c>
      <c r="U413" s="1">
        <f t="shared" si="4"/>
        <v>1</v>
      </c>
      <c r="V413" s="3">
        <f t="shared" si="5"/>
        <v>2</v>
      </c>
      <c r="W413" s="3">
        <f t="shared" si="6"/>
        <v>2</v>
      </c>
      <c r="X413" s="3" t="str">
        <f>IFERROR(__xludf.DUMMYFUNCTION("split(B413,"" "")"),"G.")</f>
        <v>G.</v>
      </c>
      <c r="Y413" s="3" t="str">
        <f>IFERROR(__xludf.DUMMYFUNCTION("""COMPUTED_VALUE"""),"Smith")</f>
        <v>Smith</v>
      </c>
      <c r="AA413" s="3">
        <v>30.0</v>
      </c>
      <c r="AB413" s="3">
        <f t="shared" si="7"/>
        <v>1</v>
      </c>
      <c r="AC413" s="3">
        <f t="shared" si="8"/>
        <v>1</v>
      </c>
      <c r="AD413" s="3">
        <f t="shared" si="9"/>
        <v>1.801801802</v>
      </c>
      <c r="AE413" s="3">
        <f t="shared" si="10"/>
        <v>1.801801802</v>
      </c>
      <c r="AF413" s="3">
        <f t="shared" si="11"/>
        <v>1.801801802</v>
      </c>
      <c r="AG413" s="3">
        <f t="shared" si="12"/>
        <v>0.2765957447</v>
      </c>
    </row>
    <row r="414">
      <c r="A414" s="1" t="s">
        <v>12</v>
      </c>
      <c r="B414" s="1" t="s">
        <v>361</v>
      </c>
      <c r="C414" s="1" t="s">
        <v>19</v>
      </c>
      <c r="D414" s="1" t="s">
        <v>82</v>
      </c>
      <c r="E414" s="1" t="s">
        <v>164</v>
      </c>
      <c r="F414" s="1" t="s">
        <v>625</v>
      </c>
      <c r="G414" s="1">
        <v>2.5</v>
      </c>
      <c r="H414" s="1" t="s">
        <v>60</v>
      </c>
      <c r="I414" s="1">
        <v>117.0</v>
      </c>
      <c r="J414" s="1">
        <v>-0.139874043660368</v>
      </c>
      <c r="K414" s="1" t="s">
        <v>61</v>
      </c>
      <c r="L414" s="1" t="s">
        <v>61</v>
      </c>
      <c r="M414" s="1" t="s">
        <v>62</v>
      </c>
      <c r="N414" s="1">
        <v>-153.0</v>
      </c>
      <c r="O414" s="1">
        <v>0.0742947239474307</v>
      </c>
      <c r="P414" s="1" t="s">
        <v>61</v>
      </c>
      <c r="Q414" s="1" t="s">
        <v>61</v>
      </c>
      <c r="R414" s="1">
        <f t="shared" si="1"/>
        <v>0.07429472395</v>
      </c>
      <c r="S414" s="1">
        <f t="shared" si="2"/>
        <v>-153</v>
      </c>
      <c r="T414" s="1">
        <f t="shared" si="3"/>
        <v>1.653594771</v>
      </c>
      <c r="U414" s="1">
        <f t="shared" si="4"/>
        <v>0</v>
      </c>
      <c r="V414" s="3">
        <f t="shared" si="5"/>
        <v>2</v>
      </c>
      <c r="W414" s="3">
        <f t="shared" si="6"/>
        <v>3</v>
      </c>
      <c r="X414" s="3" t="str">
        <f>IFERROR(__xludf.DUMMYFUNCTION("split(B414,"" "")"),"Z.")</f>
        <v>Z.</v>
      </c>
      <c r="Y414" s="3" t="str">
        <f>IFERROR(__xludf.DUMMYFUNCTION("""COMPUTED_VALUE"""),"Charbonnet")</f>
        <v>Charbonnet</v>
      </c>
      <c r="AA414" s="3">
        <v>1.0</v>
      </c>
      <c r="AB414" s="3">
        <f t="shared" si="7"/>
        <v>0</v>
      </c>
      <c r="AC414" s="3">
        <f t="shared" si="8"/>
        <v>1</v>
      </c>
      <c r="AD414" s="3">
        <f t="shared" si="9"/>
        <v>1.307189542</v>
      </c>
      <c r="AE414" s="3">
        <f t="shared" si="10"/>
        <v>1.307189542</v>
      </c>
      <c r="AF414" s="3">
        <f t="shared" si="11"/>
        <v>1.960784314</v>
      </c>
      <c r="AG414" s="3">
        <f t="shared" si="12"/>
        <v>0.6</v>
      </c>
    </row>
    <row r="415">
      <c r="A415" s="1" t="s">
        <v>8</v>
      </c>
      <c r="B415" s="1" t="s">
        <v>490</v>
      </c>
      <c r="C415" s="1" t="s">
        <v>19</v>
      </c>
      <c r="D415" s="1" t="s">
        <v>82</v>
      </c>
      <c r="E415" s="1" t="s">
        <v>164</v>
      </c>
      <c r="F415" s="1" t="s">
        <v>625</v>
      </c>
      <c r="G415" s="1">
        <v>14.5</v>
      </c>
      <c r="H415" s="1" t="s">
        <v>60</v>
      </c>
      <c r="I415" s="1">
        <v>-112.0</v>
      </c>
      <c r="J415" s="1">
        <v>-0.129497876726415</v>
      </c>
      <c r="K415" s="1" t="s">
        <v>61</v>
      </c>
      <c r="L415" s="1" t="s">
        <v>61</v>
      </c>
      <c r="M415" s="1" t="s">
        <v>62</v>
      </c>
      <c r="N415" s="1">
        <v>-117.0</v>
      </c>
      <c r="O415" s="1">
        <v>0.0620249094157604</v>
      </c>
      <c r="P415" s="1" t="s">
        <v>61</v>
      </c>
      <c r="Q415" s="1" t="s">
        <v>61</v>
      </c>
      <c r="R415" s="1">
        <f t="shared" si="1"/>
        <v>0.06202490942</v>
      </c>
      <c r="S415" s="1">
        <f t="shared" si="2"/>
        <v>-117</v>
      </c>
      <c r="T415" s="1">
        <f t="shared" si="3"/>
        <v>1.854700855</v>
      </c>
      <c r="U415" s="1">
        <f t="shared" si="4"/>
        <v>0</v>
      </c>
      <c r="V415" s="3">
        <f t="shared" si="5"/>
        <v>2</v>
      </c>
      <c r="W415" s="3">
        <f t="shared" si="6"/>
        <v>2</v>
      </c>
      <c r="X415" s="3" t="str">
        <f>IFERROR(__xludf.DUMMYFUNCTION("split(B415,"" "")"),"K.")</f>
        <v>K.</v>
      </c>
      <c r="Y415" s="3" t="str">
        <f>IFERROR(__xludf.DUMMYFUNCTION("""COMPUTED_VALUE"""),"Walker")</f>
        <v>Walker</v>
      </c>
      <c r="Z415" s="3" t="str">
        <f>IFERROR(__xludf.DUMMYFUNCTION("""COMPUTED_VALUE"""),"III")</f>
        <v>III</v>
      </c>
      <c r="AA415" s="3">
        <v>14.0</v>
      </c>
      <c r="AB415" s="3">
        <f t="shared" si="7"/>
        <v>0</v>
      </c>
      <c r="AC415" s="3">
        <f t="shared" si="8"/>
        <v>1</v>
      </c>
      <c r="AD415" s="3">
        <f t="shared" si="9"/>
        <v>1.709401709</v>
      </c>
      <c r="AE415" s="3">
        <f t="shared" si="10"/>
        <v>1.709401709</v>
      </c>
      <c r="AF415" s="3">
        <f t="shared" si="11"/>
        <v>1.709401709</v>
      </c>
      <c r="AG415" s="3">
        <f t="shared" si="12"/>
        <v>0.03448275862</v>
      </c>
    </row>
    <row r="416">
      <c r="A416" s="1" t="s">
        <v>9</v>
      </c>
      <c r="B416" s="1" t="s">
        <v>490</v>
      </c>
      <c r="C416" s="1" t="s">
        <v>19</v>
      </c>
      <c r="D416" s="1" t="s">
        <v>82</v>
      </c>
      <c r="E416" s="1" t="s">
        <v>164</v>
      </c>
      <c r="F416" s="1" t="s">
        <v>625</v>
      </c>
      <c r="G416" s="1">
        <v>87.5</v>
      </c>
      <c r="H416" s="1" t="s">
        <v>60</v>
      </c>
      <c r="I416" s="1">
        <v>-120.0</v>
      </c>
      <c r="J416" s="1">
        <v>-0.135262775983161</v>
      </c>
      <c r="K416" s="1" t="s">
        <v>61</v>
      </c>
      <c r="L416" s="1" t="s">
        <v>61</v>
      </c>
      <c r="M416" s="1" t="s">
        <v>62</v>
      </c>
      <c r="N416" s="1">
        <v>-112.0</v>
      </c>
      <c r="O416" s="1">
        <v>0.0614752264257123</v>
      </c>
      <c r="P416" s="1" t="s">
        <v>61</v>
      </c>
      <c r="Q416" s="1" t="s">
        <v>61</v>
      </c>
      <c r="R416" s="1">
        <f t="shared" si="1"/>
        <v>0.06147522643</v>
      </c>
      <c r="S416" s="1">
        <f t="shared" si="2"/>
        <v>-112</v>
      </c>
      <c r="T416" s="1">
        <f t="shared" si="3"/>
        <v>1.892857143</v>
      </c>
      <c r="U416" s="1">
        <f t="shared" si="4"/>
        <v>0</v>
      </c>
      <c r="V416" s="3">
        <f t="shared" si="5"/>
        <v>2</v>
      </c>
      <c r="W416" s="3">
        <f t="shared" si="6"/>
        <v>2</v>
      </c>
      <c r="X416" s="3" t="str">
        <f>IFERROR(__xludf.DUMMYFUNCTION("split(B416,"" "")"),"K.")</f>
        <v>K.</v>
      </c>
      <c r="Y416" s="3" t="str">
        <f>IFERROR(__xludf.DUMMYFUNCTION("""COMPUTED_VALUE"""),"Walker")</f>
        <v>Walker</v>
      </c>
      <c r="Z416" s="3" t="str">
        <f>IFERROR(__xludf.DUMMYFUNCTION("""COMPUTED_VALUE"""),"III")</f>
        <v>III</v>
      </c>
      <c r="AA416" s="3">
        <v>69.0</v>
      </c>
      <c r="AB416" s="3">
        <f t="shared" si="7"/>
        <v>0</v>
      </c>
      <c r="AC416" s="3">
        <f t="shared" si="8"/>
        <v>1</v>
      </c>
      <c r="AD416" s="3">
        <f t="shared" si="9"/>
        <v>1.785714286</v>
      </c>
      <c r="AE416" s="3">
        <f t="shared" si="10"/>
        <v>1.785714286</v>
      </c>
      <c r="AF416" s="3">
        <f t="shared" si="11"/>
        <v>1.785714286</v>
      </c>
      <c r="AG416" s="3">
        <f t="shared" si="12"/>
        <v>0.2114285714</v>
      </c>
    </row>
    <row r="417">
      <c r="A417" s="1" t="s">
        <v>16</v>
      </c>
      <c r="B417" s="1" t="s">
        <v>500</v>
      </c>
      <c r="C417" s="1" t="s">
        <v>21</v>
      </c>
      <c r="D417" s="1" t="s">
        <v>82</v>
      </c>
      <c r="E417" s="1" t="s">
        <v>164</v>
      </c>
      <c r="F417" s="1" t="s">
        <v>625</v>
      </c>
      <c r="G417" s="1">
        <v>35.5</v>
      </c>
      <c r="H417" s="1" t="s">
        <v>60</v>
      </c>
      <c r="I417" s="1">
        <v>103.0</v>
      </c>
      <c r="J417" s="1">
        <v>0.0580890686502463</v>
      </c>
      <c r="K417" s="1" t="s">
        <v>61</v>
      </c>
      <c r="L417" s="1" t="s">
        <v>61</v>
      </c>
      <c r="M417" s="1" t="s">
        <v>62</v>
      </c>
      <c r="N417" s="1">
        <v>-132.0</v>
      </c>
      <c r="O417" s="1">
        <v>-0.119665435068965</v>
      </c>
      <c r="P417" s="1" t="s">
        <v>61</v>
      </c>
      <c r="Q417" s="1" t="s">
        <v>61</v>
      </c>
      <c r="R417" s="1">
        <f t="shared" si="1"/>
        <v>0.05808906865</v>
      </c>
      <c r="S417" s="1">
        <f t="shared" si="2"/>
        <v>103</v>
      </c>
      <c r="T417" s="1">
        <f t="shared" si="3"/>
        <v>2.03</v>
      </c>
      <c r="U417" s="1">
        <f t="shared" si="4"/>
        <v>1</v>
      </c>
      <c r="V417" s="3">
        <f t="shared" si="5"/>
        <v>2</v>
      </c>
      <c r="W417" s="3">
        <f t="shared" si="6"/>
        <v>2</v>
      </c>
      <c r="X417" s="3" t="str">
        <f>IFERROR(__xludf.DUMMYFUNCTION("split(B417,"" "")"),"G.")</f>
        <v>G.</v>
      </c>
      <c r="Y417" s="3" t="str">
        <f>IFERROR(__xludf.DUMMYFUNCTION("""COMPUTED_VALUE"""),"Smith")</f>
        <v>Smith</v>
      </c>
      <c r="AA417" s="3">
        <v>52.0</v>
      </c>
      <c r="AB417" s="3">
        <f t="shared" si="7"/>
        <v>1</v>
      </c>
      <c r="AC417" s="3">
        <f t="shared" si="8"/>
        <v>1</v>
      </c>
      <c r="AD417" s="3">
        <f t="shared" si="9"/>
        <v>2.06</v>
      </c>
      <c r="AE417" s="3">
        <f t="shared" si="10"/>
        <v>2.06</v>
      </c>
      <c r="AF417" s="3">
        <f t="shared" si="11"/>
        <v>2.06</v>
      </c>
      <c r="AG417" s="3">
        <f t="shared" si="12"/>
        <v>0.4647887324</v>
      </c>
    </row>
    <row r="418">
      <c r="A418" s="1" t="s">
        <v>11</v>
      </c>
      <c r="B418" s="1" t="s">
        <v>490</v>
      </c>
      <c r="C418" s="1" t="s">
        <v>19</v>
      </c>
      <c r="D418" s="1" t="s">
        <v>82</v>
      </c>
      <c r="E418" s="1" t="s">
        <v>164</v>
      </c>
      <c r="F418" s="1" t="s">
        <v>625</v>
      </c>
      <c r="G418" s="1">
        <v>22.5</v>
      </c>
      <c r="H418" s="1" t="s">
        <v>60</v>
      </c>
      <c r="I418" s="1">
        <v>-117.0</v>
      </c>
      <c r="J418" s="1">
        <v>-0.113048243923272</v>
      </c>
      <c r="K418" s="1" t="s">
        <v>61</v>
      </c>
      <c r="L418" s="1" t="s">
        <v>61</v>
      </c>
      <c r="M418" s="1" t="s">
        <v>62</v>
      </c>
      <c r="N418" s="1">
        <v>-112.0</v>
      </c>
      <c r="O418" s="1">
        <v>0.0455433075618492</v>
      </c>
      <c r="P418" s="1" t="s">
        <v>61</v>
      </c>
      <c r="Q418" s="1" t="s">
        <v>61</v>
      </c>
      <c r="R418" s="1">
        <f t="shared" si="1"/>
        <v>0.04554330756</v>
      </c>
      <c r="S418" s="1">
        <f t="shared" si="2"/>
        <v>-112</v>
      </c>
      <c r="T418" s="1">
        <f t="shared" si="3"/>
        <v>1.892857143</v>
      </c>
      <c r="U418" s="1">
        <f t="shared" si="4"/>
        <v>0</v>
      </c>
      <c r="V418" s="3">
        <f t="shared" si="5"/>
        <v>1</v>
      </c>
      <c r="W418" s="3">
        <f t="shared" si="6"/>
        <v>2</v>
      </c>
      <c r="X418" s="3" t="str">
        <f>IFERROR(__xludf.DUMMYFUNCTION("split(B418,"" "")"),"K.")</f>
        <v>K.</v>
      </c>
      <c r="Y418" s="3" t="str">
        <f>IFERROR(__xludf.DUMMYFUNCTION("""COMPUTED_VALUE"""),"Walker")</f>
        <v>Walker</v>
      </c>
      <c r="Z418" s="3" t="str">
        <f>IFERROR(__xludf.DUMMYFUNCTION("""COMPUTED_VALUE"""),"III")</f>
        <v>III</v>
      </c>
      <c r="AA418" s="3">
        <v>37.0</v>
      </c>
      <c r="AB418" s="3">
        <f t="shared" si="7"/>
        <v>1</v>
      </c>
      <c r="AC418" s="3">
        <f t="shared" si="8"/>
        <v>0</v>
      </c>
      <c r="AD418" s="3">
        <f t="shared" si="9"/>
        <v>0.8928571429</v>
      </c>
      <c r="AE418" s="3">
        <f t="shared" si="10"/>
        <v>-1</v>
      </c>
      <c r="AF418" s="3">
        <f t="shared" si="11"/>
        <v>-2</v>
      </c>
      <c r="AG418" s="3">
        <f t="shared" si="12"/>
        <v>-0.6444444444</v>
      </c>
    </row>
    <row r="419">
      <c r="A419" s="1" t="s">
        <v>17</v>
      </c>
      <c r="B419" s="1" t="s">
        <v>500</v>
      </c>
      <c r="C419" s="1" t="s">
        <v>21</v>
      </c>
      <c r="D419" s="1" t="s">
        <v>82</v>
      </c>
      <c r="E419" s="1" t="s">
        <v>164</v>
      </c>
      <c r="F419" s="1" t="s">
        <v>625</v>
      </c>
      <c r="G419" s="1">
        <v>0.5</v>
      </c>
      <c r="H419" s="1" t="s">
        <v>60</v>
      </c>
      <c r="I419" s="1">
        <v>-132.0</v>
      </c>
      <c r="J419" s="1">
        <v>-0.111765517241379</v>
      </c>
      <c r="K419" s="1" t="s">
        <v>61</v>
      </c>
      <c r="L419" s="1" t="s">
        <v>61</v>
      </c>
      <c r="M419" s="1" t="s">
        <v>62</v>
      </c>
      <c r="N419" s="1">
        <v>101.0</v>
      </c>
      <c r="O419" s="1">
        <v>0.0452875621890546</v>
      </c>
      <c r="P419" s="1" t="s">
        <v>61</v>
      </c>
      <c r="Q419" s="1" t="s">
        <v>61</v>
      </c>
      <c r="R419" s="1">
        <f t="shared" si="1"/>
        <v>0.04528756219</v>
      </c>
      <c r="S419" s="1">
        <f t="shared" si="2"/>
        <v>101</v>
      </c>
      <c r="T419" s="1">
        <f t="shared" si="3"/>
        <v>2.01</v>
      </c>
      <c r="U419" s="1">
        <f t="shared" si="4"/>
        <v>0</v>
      </c>
      <c r="V419" s="3">
        <f t="shared" si="5"/>
        <v>1</v>
      </c>
      <c r="W419" s="3">
        <f t="shared" si="6"/>
        <v>2</v>
      </c>
      <c r="X419" s="3" t="str">
        <f>IFERROR(__xludf.DUMMYFUNCTION("split(B419,"" "")"),"G.")</f>
        <v>G.</v>
      </c>
      <c r="Y419" s="3" t="str">
        <f>IFERROR(__xludf.DUMMYFUNCTION("""COMPUTED_VALUE"""),"Smith")</f>
        <v>Smith</v>
      </c>
      <c r="AA419" s="3">
        <v>2.0</v>
      </c>
      <c r="AB419" s="3">
        <f t="shared" si="7"/>
        <v>1</v>
      </c>
      <c r="AC419" s="3">
        <f t="shared" si="8"/>
        <v>0</v>
      </c>
      <c r="AD419" s="3">
        <f t="shared" si="9"/>
        <v>1.01</v>
      </c>
      <c r="AE419" s="3">
        <f t="shared" si="10"/>
        <v>-1</v>
      </c>
      <c r="AF419" s="3">
        <f t="shared" si="11"/>
        <v>-2</v>
      </c>
      <c r="AG419" s="3">
        <f t="shared" si="12"/>
        <v>-3</v>
      </c>
    </row>
    <row r="420">
      <c r="A420" s="1" t="s">
        <v>10</v>
      </c>
      <c r="B420" s="1" t="s">
        <v>490</v>
      </c>
      <c r="C420" s="1" t="s">
        <v>19</v>
      </c>
      <c r="D420" s="1" t="s">
        <v>82</v>
      </c>
      <c r="E420" s="1" t="s">
        <v>164</v>
      </c>
      <c r="F420" s="1" t="s">
        <v>625</v>
      </c>
      <c r="G420" s="1">
        <v>65.5</v>
      </c>
      <c r="H420" s="1" t="s">
        <v>60</v>
      </c>
      <c r="I420" s="1">
        <v>-110.0</v>
      </c>
      <c r="J420" s="1">
        <v>-0.102480070380327</v>
      </c>
      <c r="K420" s="1" t="s">
        <v>61</v>
      </c>
      <c r="L420" s="1" t="s">
        <v>61</v>
      </c>
      <c r="M420" s="1" t="s">
        <v>62</v>
      </c>
      <c r="N420" s="1">
        <v>-115.0</v>
      </c>
      <c r="O420" s="1">
        <v>0.0438444718793835</v>
      </c>
      <c r="P420" s="1" t="s">
        <v>61</v>
      </c>
      <c r="Q420" s="1" t="s">
        <v>61</v>
      </c>
      <c r="R420" s="1">
        <f t="shared" si="1"/>
        <v>0.04384447188</v>
      </c>
      <c r="S420" s="1">
        <f t="shared" si="2"/>
        <v>-115</v>
      </c>
      <c r="T420" s="1">
        <f t="shared" si="3"/>
        <v>1.869565217</v>
      </c>
      <c r="U420" s="1">
        <f t="shared" si="4"/>
        <v>0</v>
      </c>
      <c r="V420" s="3">
        <f t="shared" si="5"/>
        <v>1</v>
      </c>
      <c r="W420" s="3">
        <f t="shared" si="6"/>
        <v>2</v>
      </c>
      <c r="X420" s="3" t="str">
        <f>IFERROR(__xludf.DUMMYFUNCTION("split(B420,"" "")"),"K.")</f>
        <v>K.</v>
      </c>
      <c r="Y420" s="3" t="str">
        <f>IFERROR(__xludf.DUMMYFUNCTION("""COMPUTED_VALUE"""),"Walker")</f>
        <v>Walker</v>
      </c>
      <c r="Z420" s="3" t="str">
        <f>IFERROR(__xludf.DUMMYFUNCTION("""COMPUTED_VALUE"""),"III")</f>
        <v>III</v>
      </c>
      <c r="AA420" s="3">
        <v>32.0</v>
      </c>
      <c r="AB420" s="3">
        <f t="shared" si="7"/>
        <v>0</v>
      </c>
      <c r="AC420" s="3">
        <f t="shared" si="8"/>
        <v>1</v>
      </c>
      <c r="AD420" s="3">
        <f t="shared" si="9"/>
        <v>0.8695652174</v>
      </c>
      <c r="AE420" s="3">
        <f t="shared" si="10"/>
        <v>0.8695652174</v>
      </c>
      <c r="AF420" s="3">
        <f t="shared" si="11"/>
        <v>1.739130435</v>
      </c>
      <c r="AG420" s="3">
        <f t="shared" si="12"/>
        <v>0.5114503817</v>
      </c>
    </row>
    <row r="421">
      <c r="A421" s="1" t="s">
        <v>12</v>
      </c>
      <c r="B421" s="1" t="s">
        <v>81</v>
      </c>
      <c r="C421" s="1" t="s">
        <v>20</v>
      </c>
      <c r="D421" s="1" t="s">
        <v>82</v>
      </c>
      <c r="E421" s="1" t="s">
        <v>164</v>
      </c>
      <c r="F421" s="1" t="s">
        <v>625</v>
      </c>
      <c r="G421" s="1">
        <v>2.5</v>
      </c>
      <c r="H421" s="1" t="s">
        <v>60</v>
      </c>
      <c r="I421" s="1">
        <v>117.0</v>
      </c>
      <c r="J421" s="1">
        <v>-0.103727197515207</v>
      </c>
      <c r="K421" s="1" t="s">
        <v>61</v>
      </c>
      <c r="L421" s="1" t="s">
        <v>61</v>
      </c>
      <c r="M421" s="1" t="s">
        <v>62</v>
      </c>
      <c r="N421" s="1">
        <v>-154.0</v>
      </c>
      <c r="O421" s="1">
        <v>0.0365982060220472</v>
      </c>
      <c r="P421" s="1" t="s">
        <v>61</v>
      </c>
      <c r="Q421" s="1" t="s">
        <v>61</v>
      </c>
      <c r="R421" s="1">
        <f t="shared" si="1"/>
        <v>0.03659820602</v>
      </c>
      <c r="S421" s="1">
        <f t="shared" si="2"/>
        <v>-154</v>
      </c>
      <c r="T421" s="1">
        <f t="shared" si="3"/>
        <v>1.649350649</v>
      </c>
      <c r="U421" s="1">
        <f t="shared" si="4"/>
        <v>0</v>
      </c>
      <c r="V421" s="3">
        <f t="shared" si="5"/>
        <v>1</v>
      </c>
      <c r="W421" s="3">
        <f t="shared" si="6"/>
        <v>3</v>
      </c>
      <c r="X421" s="3" t="str">
        <f>IFERROR(__xludf.DUMMYFUNCTION("split(B421,"" "")"),"N.")</f>
        <v>N.</v>
      </c>
      <c r="Y421" s="3" t="str">
        <f>IFERROR(__xludf.DUMMYFUNCTION("""COMPUTED_VALUE"""),"Fant")</f>
        <v>Fant</v>
      </c>
      <c r="AA421" s="3">
        <v>6.0</v>
      </c>
      <c r="AB421" s="3">
        <f t="shared" si="7"/>
        <v>1</v>
      </c>
      <c r="AC421" s="3">
        <f t="shared" si="8"/>
        <v>0</v>
      </c>
      <c r="AD421" s="3">
        <f t="shared" si="9"/>
        <v>0.6493506494</v>
      </c>
      <c r="AE421" s="3">
        <f t="shared" si="10"/>
        <v>-1</v>
      </c>
      <c r="AF421" s="3">
        <f t="shared" si="11"/>
        <v>-3</v>
      </c>
      <c r="AG421" s="3">
        <f t="shared" si="12"/>
        <v>-1.4</v>
      </c>
    </row>
    <row r="422">
      <c r="A422" s="1" t="s">
        <v>10</v>
      </c>
      <c r="B422" s="1" t="s">
        <v>500</v>
      </c>
      <c r="C422" s="1" t="s">
        <v>21</v>
      </c>
      <c r="D422" s="1" t="s">
        <v>82</v>
      </c>
      <c r="E422" s="1" t="s">
        <v>164</v>
      </c>
      <c r="F422" s="1" t="s">
        <v>625</v>
      </c>
      <c r="G422" s="1">
        <v>13.5</v>
      </c>
      <c r="H422" s="1" t="s">
        <v>60</v>
      </c>
      <c r="I422" s="1">
        <v>-121.0</v>
      </c>
      <c r="J422" s="1">
        <v>-0.109865943370878</v>
      </c>
      <c r="K422" s="1" t="s">
        <v>61</v>
      </c>
      <c r="L422" s="1" t="s">
        <v>61</v>
      </c>
      <c r="M422" s="1" t="s">
        <v>62</v>
      </c>
      <c r="N422" s="1">
        <v>-111.0</v>
      </c>
      <c r="O422" s="1">
        <v>0.0362646425038397</v>
      </c>
      <c r="P422" s="1" t="s">
        <v>61</v>
      </c>
      <c r="Q422" s="1" t="s">
        <v>61</v>
      </c>
      <c r="R422" s="1">
        <f t="shared" si="1"/>
        <v>0.0362646425</v>
      </c>
      <c r="S422" s="1">
        <f t="shared" si="2"/>
        <v>-111</v>
      </c>
      <c r="T422" s="1">
        <f t="shared" si="3"/>
        <v>1.900900901</v>
      </c>
      <c r="U422" s="1">
        <f t="shared" si="4"/>
        <v>0</v>
      </c>
      <c r="V422" s="3">
        <f t="shared" si="5"/>
        <v>1</v>
      </c>
      <c r="W422" s="3">
        <f t="shared" si="6"/>
        <v>2</v>
      </c>
      <c r="X422" s="3" t="str">
        <f>IFERROR(__xludf.DUMMYFUNCTION("split(B422,"" "")"),"G.")</f>
        <v>G.</v>
      </c>
      <c r="Y422" s="3" t="str">
        <f>IFERROR(__xludf.DUMMYFUNCTION("""COMPUTED_VALUE"""),"Smith")</f>
        <v>Smith</v>
      </c>
      <c r="AA422" s="3">
        <v>0.0</v>
      </c>
      <c r="AB422" s="3">
        <f t="shared" si="7"/>
        <v>0</v>
      </c>
      <c r="AC422" s="3">
        <f t="shared" si="8"/>
        <v>1</v>
      </c>
      <c r="AD422" s="3">
        <f t="shared" si="9"/>
        <v>0.9009009009</v>
      </c>
      <c r="AE422" s="3">
        <f t="shared" si="10"/>
        <v>0.9009009009</v>
      </c>
      <c r="AF422" s="3">
        <f t="shared" si="11"/>
        <v>1.801801802</v>
      </c>
      <c r="AG422" s="3">
        <f t="shared" si="12"/>
        <v>1</v>
      </c>
    </row>
    <row r="423">
      <c r="A423" s="1" t="s">
        <v>9</v>
      </c>
      <c r="B423" s="1" t="s">
        <v>361</v>
      </c>
      <c r="C423" s="1" t="s">
        <v>19</v>
      </c>
      <c r="D423" s="1" t="s">
        <v>82</v>
      </c>
      <c r="E423" s="1" t="s">
        <v>164</v>
      </c>
      <c r="F423" s="1" t="s">
        <v>625</v>
      </c>
      <c r="G423" s="1">
        <v>32.5</v>
      </c>
      <c r="H423" s="1" t="s">
        <v>60</v>
      </c>
      <c r="I423" s="1">
        <v>-118.0</v>
      </c>
      <c r="J423" s="1">
        <v>0.0271993057584806</v>
      </c>
      <c r="K423" s="1" t="s">
        <v>61</v>
      </c>
      <c r="L423" s="1" t="s">
        <v>61</v>
      </c>
      <c r="M423" s="1" t="s">
        <v>62</v>
      </c>
      <c r="N423" s="1">
        <v>-114.0</v>
      </c>
      <c r="O423" s="1">
        <v>-0.101223623678026</v>
      </c>
      <c r="P423" s="1" t="s">
        <v>61</v>
      </c>
      <c r="Q423" s="1" t="s">
        <v>61</v>
      </c>
      <c r="R423" s="1">
        <f t="shared" si="1"/>
        <v>0.02719930576</v>
      </c>
      <c r="S423" s="1">
        <f t="shared" si="2"/>
        <v>-118</v>
      </c>
      <c r="T423" s="1">
        <f t="shared" si="3"/>
        <v>1.847457627</v>
      </c>
      <c r="U423" s="1">
        <f t="shared" si="4"/>
        <v>1</v>
      </c>
      <c r="V423" s="3">
        <f t="shared" si="5"/>
        <v>1</v>
      </c>
      <c r="W423" s="3">
        <f t="shared" si="6"/>
        <v>3</v>
      </c>
      <c r="X423" s="3" t="str">
        <f>IFERROR(__xludf.DUMMYFUNCTION("split(B423,"" "")"),"Z.")</f>
        <v>Z.</v>
      </c>
      <c r="Y423" s="3" t="str">
        <f>IFERROR(__xludf.DUMMYFUNCTION("""COMPUTED_VALUE"""),"Charbonnet")</f>
        <v>Charbonnet</v>
      </c>
      <c r="AA423" s="3">
        <v>35.0</v>
      </c>
      <c r="AB423" s="3">
        <f t="shared" si="7"/>
        <v>1</v>
      </c>
      <c r="AC423" s="3">
        <f t="shared" si="8"/>
        <v>1</v>
      </c>
      <c r="AD423" s="3">
        <f t="shared" si="9"/>
        <v>0.8474576271</v>
      </c>
      <c r="AE423" s="3">
        <f t="shared" si="10"/>
        <v>0.8474576271</v>
      </c>
      <c r="AF423" s="3">
        <f t="shared" si="11"/>
        <v>2.542372881</v>
      </c>
      <c r="AG423" s="3">
        <f t="shared" si="12"/>
        <v>0.07692307692</v>
      </c>
    </row>
    <row r="424">
      <c r="A424" s="1" t="s">
        <v>9</v>
      </c>
      <c r="B424" s="1" t="s">
        <v>334</v>
      </c>
      <c r="C424" s="1" t="s">
        <v>18</v>
      </c>
      <c r="D424" s="1" t="s">
        <v>82</v>
      </c>
      <c r="E424" s="1" t="s">
        <v>164</v>
      </c>
      <c r="F424" s="1" t="s">
        <v>625</v>
      </c>
      <c r="G424" s="1">
        <v>47.0</v>
      </c>
      <c r="H424" s="1" t="s">
        <v>60</v>
      </c>
      <c r="I424" s="1">
        <v>-116.0</v>
      </c>
      <c r="J424" s="1">
        <v>0.0109783561819127</v>
      </c>
      <c r="K424" s="1" t="s">
        <v>61</v>
      </c>
      <c r="L424" s="1" t="s">
        <v>61</v>
      </c>
      <c r="M424" s="1" t="s">
        <v>62</v>
      </c>
      <c r="N424" s="1">
        <v>-116.0</v>
      </c>
      <c r="O424" s="1">
        <v>-0.0843668931710188</v>
      </c>
      <c r="P424" s="1" t="s">
        <v>61</v>
      </c>
      <c r="Q424" s="1" t="s">
        <v>61</v>
      </c>
      <c r="R424" s="1">
        <f t="shared" si="1"/>
        <v>0.01097835618</v>
      </c>
      <c r="S424" s="1">
        <f t="shared" si="2"/>
        <v>-116</v>
      </c>
      <c r="T424" s="1">
        <f t="shared" si="3"/>
        <v>1.862068966</v>
      </c>
      <c r="U424" s="1">
        <f t="shared" si="4"/>
        <v>1</v>
      </c>
      <c r="V424" s="3">
        <f t="shared" si="5"/>
        <v>1</v>
      </c>
      <c r="W424" s="3">
        <f t="shared" si="6"/>
        <v>2</v>
      </c>
      <c r="X424" s="3" t="str">
        <f>IFERROR(__xludf.DUMMYFUNCTION("split(B424,"" "")"),"J.")</f>
        <v>J.</v>
      </c>
      <c r="Y424" s="3" t="str">
        <f>IFERROR(__xludf.DUMMYFUNCTION("""COMPUTED_VALUE"""),"Smith-Njigba")</f>
        <v>Smith-Njigba</v>
      </c>
      <c r="AA424" s="3">
        <v>53.0</v>
      </c>
      <c r="AB424" s="3">
        <f t="shared" si="7"/>
        <v>1</v>
      </c>
      <c r="AC424" s="3">
        <f t="shared" si="8"/>
        <v>1</v>
      </c>
      <c r="AD424" s="3">
        <f t="shared" si="9"/>
        <v>0.8620689655</v>
      </c>
      <c r="AE424" s="3">
        <f t="shared" si="10"/>
        <v>0.8620689655</v>
      </c>
      <c r="AF424" s="3">
        <f t="shared" si="11"/>
        <v>1.724137931</v>
      </c>
      <c r="AG424" s="3">
        <f t="shared" si="12"/>
        <v>0.1276595745</v>
      </c>
    </row>
    <row r="425">
      <c r="A425" s="1" t="s">
        <v>10</v>
      </c>
      <c r="B425" s="1" t="s">
        <v>285</v>
      </c>
      <c r="C425" s="1" t="s">
        <v>18</v>
      </c>
      <c r="D425" s="1" t="s">
        <v>164</v>
      </c>
      <c r="E425" s="1" t="s">
        <v>82</v>
      </c>
      <c r="F425" s="1" t="s">
        <v>625</v>
      </c>
      <c r="G425" s="1">
        <v>0.5</v>
      </c>
      <c r="H425" s="1" t="s">
        <v>60</v>
      </c>
      <c r="I425" s="1">
        <v>950.0</v>
      </c>
      <c r="J425" s="1">
        <v>0.519855363065475</v>
      </c>
      <c r="K425" s="1" t="s">
        <v>61</v>
      </c>
      <c r="L425" s="1" t="s">
        <v>61</v>
      </c>
      <c r="M425" s="1" t="s">
        <v>62</v>
      </c>
      <c r="N425" s="1">
        <v>-2500.0</v>
      </c>
      <c r="O425" s="1">
        <v>-0.576600132812499</v>
      </c>
      <c r="P425" s="1" t="s">
        <v>61</v>
      </c>
      <c r="Q425" s="1" t="s">
        <v>61</v>
      </c>
      <c r="R425" s="1">
        <f t="shared" si="1"/>
        <v>0.5198553631</v>
      </c>
      <c r="S425" s="1">
        <f t="shared" si="2"/>
        <v>950</v>
      </c>
      <c r="T425" s="1">
        <f t="shared" si="3"/>
        <v>10.5</v>
      </c>
      <c r="U425" s="1">
        <f t="shared" si="4"/>
        <v>1</v>
      </c>
      <c r="V425" s="3">
        <f t="shared" si="5"/>
        <v>3</v>
      </c>
      <c r="W425" s="3">
        <f t="shared" si="6"/>
        <v>1</v>
      </c>
      <c r="X425" s="3" t="str">
        <f>IFERROR(__xludf.DUMMYFUNCTION("split(B425,"" "")"),"J.")</f>
        <v>J.</v>
      </c>
      <c r="Y425" s="3" t="str">
        <f>IFERROR(__xludf.DUMMYFUNCTION("""COMPUTED_VALUE"""),"Jennings")</f>
        <v>Jennings</v>
      </c>
      <c r="AA425" s="3">
        <v>0.0</v>
      </c>
      <c r="AB425" s="3">
        <f t="shared" si="7"/>
        <v>0</v>
      </c>
      <c r="AC425" s="3">
        <f t="shared" si="8"/>
        <v>0</v>
      </c>
      <c r="AD425" s="3">
        <f t="shared" si="9"/>
        <v>28.5</v>
      </c>
      <c r="AE425" s="3">
        <f t="shared" si="10"/>
        <v>0</v>
      </c>
      <c r="AF425" s="3">
        <f t="shared" si="11"/>
        <v>-1</v>
      </c>
      <c r="AG425" s="3">
        <f t="shared" si="12"/>
        <v>-1</v>
      </c>
    </row>
    <row r="426">
      <c r="A426" s="1" t="s">
        <v>8</v>
      </c>
      <c r="B426" s="1" t="s">
        <v>262</v>
      </c>
      <c r="C426" s="1" t="s">
        <v>21</v>
      </c>
      <c r="D426" s="1" t="s">
        <v>164</v>
      </c>
      <c r="E426" s="1" t="s">
        <v>82</v>
      </c>
      <c r="F426" s="1" t="s">
        <v>625</v>
      </c>
      <c r="G426" s="1">
        <v>3.5</v>
      </c>
      <c r="H426" s="1" t="s">
        <v>60</v>
      </c>
      <c r="I426" s="1">
        <v>-125.0</v>
      </c>
      <c r="J426" s="1">
        <v>-0.231250526814433</v>
      </c>
      <c r="K426" s="1" t="s">
        <v>61</v>
      </c>
      <c r="L426" s="1" t="s">
        <v>61</v>
      </c>
      <c r="M426" s="1" t="s">
        <v>62</v>
      </c>
      <c r="N426" s="1">
        <v>-108.0</v>
      </c>
      <c r="O426" s="1">
        <v>0.156463355845708</v>
      </c>
      <c r="P426" s="1" t="s">
        <v>61</v>
      </c>
      <c r="Q426" s="1" t="s">
        <v>61</v>
      </c>
      <c r="R426" s="1">
        <f t="shared" si="1"/>
        <v>0.1564633558</v>
      </c>
      <c r="S426" s="1">
        <f t="shared" si="2"/>
        <v>-108</v>
      </c>
      <c r="T426" s="1">
        <f t="shared" si="3"/>
        <v>1.925925926</v>
      </c>
      <c r="U426" s="1">
        <f t="shared" si="4"/>
        <v>0</v>
      </c>
      <c r="V426" s="3">
        <f t="shared" si="5"/>
        <v>3</v>
      </c>
      <c r="W426" s="3">
        <f t="shared" si="6"/>
        <v>2</v>
      </c>
      <c r="X426" s="3" t="str">
        <f>IFERROR(__xludf.DUMMYFUNCTION("split(B426,"" "")"),"B.")</f>
        <v>B.</v>
      </c>
      <c r="Y426" s="3" t="str">
        <f>IFERROR(__xludf.DUMMYFUNCTION("""COMPUTED_VALUE"""),"Purdy")</f>
        <v>Purdy</v>
      </c>
      <c r="AA426" s="3">
        <v>4.0</v>
      </c>
      <c r="AB426" s="3">
        <f t="shared" si="7"/>
        <v>1</v>
      </c>
      <c r="AC426" s="3">
        <f t="shared" si="8"/>
        <v>0</v>
      </c>
      <c r="AD426" s="3">
        <f t="shared" si="9"/>
        <v>2.777777778</v>
      </c>
      <c r="AE426" s="3">
        <f t="shared" si="10"/>
        <v>-3</v>
      </c>
      <c r="AF426" s="3">
        <f t="shared" si="11"/>
        <v>-2</v>
      </c>
      <c r="AG426" s="3">
        <f t="shared" si="12"/>
        <v>-0.1428571429</v>
      </c>
    </row>
    <row r="427">
      <c r="A427" s="1" t="s">
        <v>12</v>
      </c>
      <c r="B427" s="1" t="s">
        <v>285</v>
      </c>
      <c r="C427" s="1" t="s">
        <v>18</v>
      </c>
      <c r="D427" s="1" t="s">
        <v>164</v>
      </c>
      <c r="E427" s="1" t="s">
        <v>82</v>
      </c>
      <c r="F427" s="1" t="s">
        <v>625</v>
      </c>
      <c r="G427" s="1">
        <v>2.5</v>
      </c>
      <c r="H427" s="1" t="s">
        <v>60</v>
      </c>
      <c r="I427" s="1">
        <v>-120.0</v>
      </c>
      <c r="J427" s="1">
        <v>-0.181407005727272</v>
      </c>
      <c r="K427" s="1" t="s">
        <v>61</v>
      </c>
      <c r="L427" s="1" t="s">
        <v>61</v>
      </c>
      <c r="M427" s="1" t="s">
        <v>62</v>
      </c>
      <c r="N427" s="1">
        <v>-109.0</v>
      </c>
      <c r="O427" s="1">
        <v>0.114414353939712</v>
      </c>
      <c r="P427" s="1" t="s">
        <v>61</v>
      </c>
      <c r="Q427" s="1" t="s">
        <v>61</v>
      </c>
      <c r="R427" s="1">
        <f t="shared" si="1"/>
        <v>0.1144143539</v>
      </c>
      <c r="S427" s="1">
        <f t="shared" si="2"/>
        <v>-109</v>
      </c>
      <c r="T427" s="1">
        <f t="shared" si="3"/>
        <v>1.917431193</v>
      </c>
      <c r="U427" s="1">
        <f t="shared" si="4"/>
        <v>0</v>
      </c>
      <c r="V427" s="3">
        <f t="shared" si="5"/>
        <v>3</v>
      </c>
      <c r="W427" s="3">
        <f t="shared" si="6"/>
        <v>2</v>
      </c>
      <c r="X427" s="3" t="str">
        <f>IFERROR(__xludf.DUMMYFUNCTION("split(B427,"" "")"),"J.")</f>
        <v>J.</v>
      </c>
      <c r="Y427" s="3" t="str">
        <f>IFERROR(__xludf.DUMMYFUNCTION("""COMPUTED_VALUE"""),"Jennings")</f>
        <v>Jennings</v>
      </c>
      <c r="AA427" s="3">
        <v>3.0</v>
      </c>
      <c r="AB427" s="3">
        <f t="shared" si="7"/>
        <v>1</v>
      </c>
      <c r="AC427" s="3">
        <f t="shared" si="8"/>
        <v>0</v>
      </c>
      <c r="AD427" s="3">
        <f t="shared" si="9"/>
        <v>2.752293578</v>
      </c>
      <c r="AE427" s="3">
        <f t="shared" si="10"/>
        <v>-3</v>
      </c>
      <c r="AF427" s="3">
        <f t="shared" si="11"/>
        <v>-2</v>
      </c>
      <c r="AG427" s="3">
        <f t="shared" si="12"/>
        <v>-0.2</v>
      </c>
    </row>
    <row r="428">
      <c r="A428" s="1" t="s">
        <v>11</v>
      </c>
      <c r="B428" s="1" t="s">
        <v>497</v>
      </c>
      <c r="C428" s="1" t="s">
        <v>19</v>
      </c>
      <c r="D428" s="1" t="s">
        <v>164</v>
      </c>
      <c r="E428" s="1" t="s">
        <v>82</v>
      </c>
      <c r="F428" s="1" t="s">
        <v>625</v>
      </c>
      <c r="G428" s="1">
        <v>9.5</v>
      </c>
      <c r="H428" s="1" t="s">
        <v>60</v>
      </c>
      <c r="I428" s="1">
        <v>-112.0</v>
      </c>
      <c r="J428" s="1">
        <v>0.102635246682099</v>
      </c>
      <c r="K428" s="1" t="s">
        <v>61</v>
      </c>
      <c r="L428" s="1" t="s">
        <v>61</v>
      </c>
      <c r="M428" s="1" t="s">
        <v>62</v>
      </c>
      <c r="N428" s="1">
        <v>-115.0</v>
      </c>
      <c r="O428" s="1">
        <v>-0.165785642516724</v>
      </c>
      <c r="P428" s="1" t="s">
        <v>61</v>
      </c>
      <c r="Q428" s="1" t="s">
        <v>61</v>
      </c>
      <c r="R428" s="1">
        <f t="shared" si="1"/>
        <v>0.1026352467</v>
      </c>
      <c r="S428" s="1">
        <f t="shared" si="2"/>
        <v>-112</v>
      </c>
      <c r="T428" s="1">
        <f t="shared" si="3"/>
        <v>1.892857143</v>
      </c>
      <c r="U428" s="1">
        <f t="shared" si="4"/>
        <v>1</v>
      </c>
      <c r="V428" s="3">
        <f t="shared" si="5"/>
        <v>3</v>
      </c>
      <c r="W428" s="3">
        <f t="shared" si="6"/>
        <v>2</v>
      </c>
      <c r="X428" s="3" t="str">
        <f>IFERROR(__xludf.DUMMYFUNCTION("split(B428,"" "")"),"J.")</f>
        <v>J.</v>
      </c>
      <c r="Y428" s="3" t="str">
        <f>IFERROR(__xludf.DUMMYFUNCTION("""COMPUTED_VALUE"""),"Mason")</f>
        <v>Mason</v>
      </c>
      <c r="AA428" s="3">
        <v>9.0</v>
      </c>
      <c r="AB428" s="3">
        <f t="shared" si="7"/>
        <v>0</v>
      </c>
      <c r="AC428" s="3">
        <f t="shared" si="8"/>
        <v>0</v>
      </c>
      <c r="AD428" s="3">
        <f t="shared" si="9"/>
        <v>2.678571429</v>
      </c>
      <c r="AE428" s="3">
        <f t="shared" si="10"/>
        <v>-3</v>
      </c>
      <c r="AF428" s="3">
        <f t="shared" si="11"/>
        <v>-2</v>
      </c>
      <c r="AG428" s="3">
        <f t="shared" si="12"/>
        <v>-0.05263157895</v>
      </c>
    </row>
    <row r="429">
      <c r="A429" s="1" t="s">
        <v>15</v>
      </c>
      <c r="B429" s="1" t="s">
        <v>262</v>
      </c>
      <c r="C429" s="1" t="s">
        <v>21</v>
      </c>
      <c r="D429" s="1" t="s">
        <v>164</v>
      </c>
      <c r="E429" s="1" t="s">
        <v>82</v>
      </c>
      <c r="F429" s="1" t="s">
        <v>625</v>
      </c>
      <c r="G429" s="1">
        <v>20.5</v>
      </c>
      <c r="H429" s="1" t="s">
        <v>60</v>
      </c>
      <c r="I429" s="1">
        <v>-105.0</v>
      </c>
      <c r="J429" s="1">
        <v>0.0945024390243902</v>
      </c>
      <c r="K429" s="1" t="s">
        <v>61</v>
      </c>
      <c r="L429" s="1" t="s">
        <v>61</v>
      </c>
      <c r="M429" s="1" t="s">
        <v>62</v>
      </c>
      <c r="N429" s="1">
        <v>-128.0</v>
      </c>
      <c r="O429" s="1">
        <v>-0.168115789473684</v>
      </c>
      <c r="P429" s="1" t="s">
        <v>61</v>
      </c>
      <c r="Q429" s="1" t="s">
        <v>61</v>
      </c>
      <c r="R429" s="1">
        <f t="shared" si="1"/>
        <v>0.09450243902</v>
      </c>
      <c r="S429" s="1">
        <f t="shared" si="2"/>
        <v>-105</v>
      </c>
      <c r="T429" s="1">
        <f t="shared" si="3"/>
        <v>1.952380952</v>
      </c>
      <c r="U429" s="1">
        <f t="shared" si="4"/>
        <v>1</v>
      </c>
      <c r="V429" s="3">
        <f t="shared" si="5"/>
        <v>2</v>
      </c>
      <c r="W429" s="3">
        <f t="shared" si="6"/>
        <v>2</v>
      </c>
      <c r="X429" s="3" t="str">
        <f>IFERROR(__xludf.DUMMYFUNCTION("split(B429,"" "")"),"B.")</f>
        <v>B.</v>
      </c>
      <c r="Y429" s="3" t="str">
        <f>IFERROR(__xludf.DUMMYFUNCTION("""COMPUTED_VALUE"""),"Purdy")</f>
        <v>Purdy</v>
      </c>
      <c r="AA429" s="3">
        <v>18.0</v>
      </c>
      <c r="AB429" s="3">
        <f t="shared" si="7"/>
        <v>0</v>
      </c>
      <c r="AC429" s="3">
        <f t="shared" si="8"/>
        <v>0</v>
      </c>
      <c r="AD429" s="3">
        <f t="shared" si="9"/>
        <v>1.904761905</v>
      </c>
      <c r="AE429" s="3">
        <f t="shared" si="10"/>
        <v>-2</v>
      </c>
      <c r="AF429" s="3">
        <f t="shared" si="11"/>
        <v>-2</v>
      </c>
      <c r="AG429" s="3">
        <f t="shared" si="12"/>
        <v>-0.1219512195</v>
      </c>
    </row>
    <row r="430">
      <c r="A430" s="1" t="s">
        <v>10</v>
      </c>
      <c r="B430" s="1" t="s">
        <v>262</v>
      </c>
      <c r="C430" s="1" t="s">
        <v>21</v>
      </c>
      <c r="D430" s="1" t="s">
        <v>164</v>
      </c>
      <c r="E430" s="1" t="s">
        <v>82</v>
      </c>
      <c r="F430" s="1" t="s">
        <v>625</v>
      </c>
      <c r="G430" s="1">
        <v>14.5</v>
      </c>
      <c r="H430" s="1" t="s">
        <v>60</v>
      </c>
      <c r="I430" s="1">
        <v>-120.0</v>
      </c>
      <c r="J430" s="1">
        <v>-0.12140522396595</v>
      </c>
      <c r="K430" s="1" t="s">
        <v>61</v>
      </c>
      <c r="L430" s="1" t="s">
        <v>61</v>
      </c>
      <c r="M430" s="1" t="s">
        <v>62</v>
      </c>
      <c r="N430" s="1">
        <v>-107.0</v>
      </c>
      <c r="O430" s="1">
        <v>0.0590356991380907</v>
      </c>
      <c r="P430" s="1" t="s">
        <v>61</v>
      </c>
      <c r="Q430" s="1" t="s">
        <v>61</v>
      </c>
      <c r="R430" s="1">
        <f t="shared" si="1"/>
        <v>0.05903569914</v>
      </c>
      <c r="S430" s="1">
        <f t="shared" si="2"/>
        <v>-107</v>
      </c>
      <c r="T430" s="1">
        <f t="shared" si="3"/>
        <v>1.934579439</v>
      </c>
      <c r="U430" s="1">
        <f t="shared" si="4"/>
        <v>0</v>
      </c>
      <c r="V430" s="3">
        <f t="shared" si="5"/>
        <v>2</v>
      </c>
      <c r="W430" s="3">
        <f t="shared" si="6"/>
        <v>2</v>
      </c>
      <c r="X430" s="3" t="str">
        <f>IFERROR(__xludf.DUMMYFUNCTION("split(B430,"" "")"),"B.")</f>
        <v>B.</v>
      </c>
      <c r="Y430" s="3" t="str">
        <f>IFERROR(__xludf.DUMMYFUNCTION("""COMPUTED_VALUE"""),"Purdy")</f>
        <v>Purdy</v>
      </c>
      <c r="AA430" s="3">
        <v>19.0</v>
      </c>
      <c r="AB430" s="3">
        <f t="shared" si="7"/>
        <v>1</v>
      </c>
      <c r="AC430" s="3">
        <f t="shared" si="8"/>
        <v>0</v>
      </c>
      <c r="AD430" s="3">
        <f t="shared" si="9"/>
        <v>1.869158879</v>
      </c>
      <c r="AE430" s="3">
        <f t="shared" si="10"/>
        <v>-2</v>
      </c>
      <c r="AF430" s="3">
        <f t="shared" si="11"/>
        <v>-2</v>
      </c>
      <c r="AG430" s="3">
        <f t="shared" si="12"/>
        <v>-0.3103448276</v>
      </c>
    </row>
    <row r="431">
      <c r="A431" s="1" t="s">
        <v>11</v>
      </c>
      <c r="B431" s="1" t="s">
        <v>163</v>
      </c>
      <c r="C431" s="1" t="s">
        <v>19</v>
      </c>
      <c r="D431" s="1" t="s">
        <v>164</v>
      </c>
      <c r="E431" s="1" t="s">
        <v>82</v>
      </c>
      <c r="F431" s="1" t="s">
        <v>625</v>
      </c>
      <c r="G431" s="1">
        <v>7.5</v>
      </c>
      <c r="H431" s="1" t="s">
        <v>60</v>
      </c>
      <c r="I431" s="1">
        <v>-110.0</v>
      </c>
      <c r="J431" s="1">
        <v>0.0558203822369635</v>
      </c>
      <c r="K431" s="1" t="s">
        <v>61</v>
      </c>
      <c r="L431" s="1" t="s">
        <v>61</v>
      </c>
      <c r="M431" s="1" t="s">
        <v>62</v>
      </c>
      <c r="N431" s="1">
        <v>-116.0</v>
      </c>
      <c r="O431" s="1">
        <v>-0.116670764411686</v>
      </c>
      <c r="P431" s="1" t="s">
        <v>61</v>
      </c>
      <c r="Q431" s="1" t="s">
        <v>61</v>
      </c>
      <c r="R431" s="1">
        <f t="shared" si="1"/>
        <v>0.05582038224</v>
      </c>
      <c r="S431" s="1">
        <f t="shared" si="2"/>
        <v>-110</v>
      </c>
      <c r="T431" s="1">
        <f t="shared" si="3"/>
        <v>1.909090909</v>
      </c>
      <c r="U431" s="1">
        <f t="shared" si="4"/>
        <v>1</v>
      </c>
      <c r="V431" s="3">
        <f t="shared" si="5"/>
        <v>2</v>
      </c>
      <c r="W431" s="3">
        <f t="shared" si="6"/>
        <v>2</v>
      </c>
      <c r="X431" s="3" t="str">
        <f>IFERROR(__xludf.DUMMYFUNCTION("split(B431,"" "")"),"K.")</f>
        <v>K.</v>
      </c>
      <c r="Y431" s="3" t="str">
        <f>IFERROR(__xludf.DUMMYFUNCTION("""COMPUTED_VALUE"""),"Juszczyk")</f>
        <v>Juszczyk</v>
      </c>
      <c r="AA431" s="3">
        <v>10.0</v>
      </c>
      <c r="AB431" s="3">
        <f t="shared" si="7"/>
        <v>1</v>
      </c>
      <c r="AC431" s="3">
        <f t="shared" si="8"/>
        <v>1</v>
      </c>
      <c r="AD431" s="3">
        <f t="shared" si="9"/>
        <v>1.818181818</v>
      </c>
      <c r="AE431" s="3">
        <f t="shared" si="10"/>
        <v>1.818181818</v>
      </c>
      <c r="AF431" s="3">
        <f t="shared" si="11"/>
        <v>1.818181818</v>
      </c>
      <c r="AG431" s="3">
        <f t="shared" si="12"/>
        <v>0.3333333333</v>
      </c>
    </row>
    <row r="432">
      <c r="A432" s="1" t="s">
        <v>10</v>
      </c>
      <c r="B432" s="1" t="s">
        <v>496</v>
      </c>
      <c r="C432" s="1" t="s">
        <v>18</v>
      </c>
      <c r="D432" s="1" t="s">
        <v>164</v>
      </c>
      <c r="E432" s="1" t="s">
        <v>82</v>
      </c>
      <c r="F432" s="1" t="s">
        <v>625</v>
      </c>
      <c r="G432" s="1">
        <v>13.5</v>
      </c>
      <c r="H432" s="1" t="s">
        <v>60</v>
      </c>
      <c r="I432" s="1">
        <v>-116.0</v>
      </c>
      <c r="J432" s="1">
        <v>-0.120924155117245</v>
      </c>
      <c r="K432" s="1" t="s">
        <v>61</v>
      </c>
      <c r="L432" s="1" t="s">
        <v>61</v>
      </c>
      <c r="M432" s="1" t="s">
        <v>62</v>
      </c>
      <c r="N432" s="1">
        <v>-112.0</v>
      </c>
      <c r="O432" s="1">
        <v>0.0555975264432266</v>
      </c>
      <c r="P432" s="1" t="s">
        <v>61</v>
      </c>
      <c r="Q432" s="1" t="s">
        <v>61</v>
      </c>
      <c r="R432" s="1">
        <f t="shared" si="1"/>
        <v>0.05559752644</v>
      </c>
      <c r="S432" s="1">
        <f t="shared" si="2"/>
        <v>-112</v>
      </c>
      <c r="T432" s="1">
        <f t="shared" si="3"/>
        <v>1.892857143</v>
      </c>
      <c r="U432" s="1">
        <f t="shared" si="4"/>
        <v>0</v>
      </c>
      <c r="V432" s="3">
        <f t="shared" si="5"/>
        <v>2</v>
      </c>
      <c r="W432" s="3">
        <f t="shared" si="6"/>
        <v>2</v>
      </c>
      <c r="X432" s="3" t="str">
        <f>IFERROR(__xludf.DUMMYFUNCTION("split(B432,"" "")"),"D.")</f>
        <v>D.</v>
      </c>
      <c r="Y432" s="3" t="str">
        <f>IFERROR(__xludf.DUMMYFUNCTION("""COMPUTED_VALUE"""),"Samuel")</f>
        <v>Samuel</v>
      </c>
      <c r="AA432" s="3">
        <v>15.0</v>
      </c>
      <c r="AB432" s="3">
        <f t="shared" si="7"/>
        <v>1</v>
      </c>
      <c r="AC432" s="3">
        <f t="shared" si="8"/>
        <v>0</v>
      </c>
      <c r="AD432" s="3">
        <f t="shared" si="9"/>
        <v>1.785714286</v>
      </c>
      <c r="AE432" s="3">
        <f t="shared" si="10"/>
        <v>-2</v>
      </c>
      <c r="AF432" s="3">
        <f t="shared" si="11"/>
        <v>-2</v>
      </c>
      <c r="AG432" s="3">
        <f t="shared" si="12"/>
        <v>-0.1111111111</v>
      </c>
    </row>
    <row r="433">
      <c r="A433" s="1" t="s">
        <v>9</v>
      </c>
      <c r="B433" s="1" t="s">
        <v>285</v>
      </c>
      <c r="C433" s="1" t="s">
        <v>18</v>
      </c>
      <c r="D433" s="1" t="s">
        <v>164</v>
      </c>
      <c r="E433" s="1" t="s">
        <v>82</v>
      </c>
      <c r="F433" s="1" t="s">
        <v>625</v>
      </c>
      <c r="G433" s="1">
        <v>32.0</v>
      </c>
      <c r="H433" s="1" t="s">
        <v>60</v>
      </c>
      <c r="I433" s="1">
        <v>-114.0</v>
      </c>
      <c r="J433" s="1">
        <v>0.0310310205987602</v>
      </c>
      <c r="K433" s="1" t="s">
        <v>61</v>
      </c>
      <c r="L433" s="1" t="s">
        <v>61</v>
      </c>
      <c r="M433" s="1" t="s">
        <v>62</v>
      </c>
      <c r="N433" s="1">
        <v>-118.0</v>
      </c>
      <c r="O433" s="1">
        <v>-0.104367180374307</v>
      </c>
      <c r="P433" s="1" t="s">
        <v>61</v>
      </c>
      <c r="Q433" s="1" t="s">
        <v>61</v>
      </c>
      <c r="R433" s="1">
        <f t="shared" si="1"/>
        <v>0.0310310206</v>
      </c>
      <c r="S433" s="1">
        <f t="shared" si="2"/>
        <v>-114</v>
      </c>
      <c r="T433" s="1">
        <f t="shared" si="3"/>
        <v>1.877192982</v>
      </c>
      <c r="U433" s="1">
        <f t="shared" si="4"/>
        <v>1</v>
      </c>
      <c r="V433" s="3">
        <f t="shared" si="5"/>
        <v>1</v>
      </c>
      <c r="W433" s="3">
        <f t="shared" si="6"/>
        <v>2</v>
      </c>
      <c r="X433" s="3" t="str">
        <f>IFERROR(__xludf.DUMMYFUNCTION("split(B433,"" "")"),"J.")</f>
        <v>J.</v>
      </c>
      <c r="Y433" s="3" t="str">
        <f>IFERROR(__xludf.DUMMYFUNCTION("""COMPUTED_VALUE"""),"Jennings")</f>
        <v>Jennings</v>
      </c>
      <c r="AA433" s="3">
        <v>27.0</v>
      </c>
      <c r="AB433" s="3">
        <f t="shared" si="7"/>
        <v>0</v>
      </c>
      <c r="AC433" s="3">
        <f t="shared" si="8"/>
        <v>0</v>
      </c>
      <c r="AD433" s="3">
        <f t="shared" si="9"/>
        <v>0.8771929825</v>
      </c>
      <c r="AE433" s="3">
        <f t="shared" si="10"/>
        <v>-1</v>
      </c>
      <c r="AF433" s="3">
        <f t="shared" si="11"/>
        <v>-2</v>
      </c>
      <c r="AG433" s="3">
        <f t="shared" si="12"/>
        <v>-0.15625</v>
      </c>
    </row>
    <row r="434">
      <c r="A434" s="1" t="s">
        <v>14</v>
      </c>
      <c r="B434" s="1" t="s">
        <v>262</v>
      </c>
      <c r="C434" s="1" t="s">
        <v>21</v>
      </c>
      <c r="D434" s="1" t="s">
        <v>164</v>
      </c>
      <c r="E434" s="1" t="s">
        <v>82</v>
      </c>
      <c r="F434" s="1" t="s">
        <v>625</v>
      </c>
      <c r="G434" s="1">
        <v>1.5</v>
      </c>
      <c r="H434" s="1" t="s">
        <v>60</v>
      </c>
      <c r="I434" s="1">
        <v>-133.0</v>
      </c>
      <c r="J434" s="1">
        <v>-0.0920154506437767</v>
      </c>
      <c r="K434" s="1" t="s">
        <v>61</v>
      </c>
      <c r="L434" s="1" t="s">
        <v>61</v>
      </c>
      <c r="M434" s="1" t="s">
        <v>62</v>
      </c>
      <c r="N434" s="1">
        <v>103.0</v>
      </c>
      <c r="O434" s="1">
        <v>0.0285891625615764</v>
      </c>
      <c r="P434" s="1" t="s">
        <v>61</v>
      </c>
      <c r="Q434" s="1" t="s">
        <v>61</v>
      </c>
      <c r="R434" s="1">
        <f t="shared" si="1"/>
        <v>0.02858916256</v>
      </c>
      <c r="S434" s="1">
        <f t="shared" si="2"/>
        <v>103</v>
      </c>
      <c r="T434" s="1">
        <f t="shared" si="3"/>
        <v>2.03</v>
      </c>
      <c r="U434" s="1">
        <f t="shared" si="4"/>
        <v>0</v>
      </c>
      <c r="V434" s="3">
        <f t="shared" si="5"/>
        <v>1</v>
      </c>
      <c r="W434" s="3">
        <f t="shared" si="6"/>
        <v>2</v>
      </c>
      <c r="X434" s="3" t="str">
        <f>IFERROR(__xludf.DUMMYFUNCTION("split(B434,"" "")"),"B.")</f>
        <v>B.</v>
      </c>
      <c r="Y434" s="3" t="str">
        <f>IFERROR(__xludf.DUMMYFUNCTION("""COMPUTED_VALUE"""),"Purdy")</f>
        <v>Purdy</v>
      </c>
      <c r="AA434" s="3">
        <v>3.0</v>
      </c>
      <c r="AB434" s="3">
        <f t="shared" si="7"/>
        <v>1</v>
      </c>
      <c r="AC434" s="3">
        <f t="shared" si="8"/>
        <v>0</v>
      </c>
      <c r="AD434" s="3">
        <f t="shared" si="9"/>
        <v>1.03</v>
      </c>
      <c r="AE434" s="3">
        <f t="shared" si="10"/>
        <v>-1</v>
      </c>
      <c r="AF434" s="3">
        <f t="shared" si="11"/>
        <v>-2</v>
      </c>
      <c r="AG434" s="3">
        <f t="shared" si="12"/>
        <v>-1</v>
      </c>
    </row>
    <row r="435">
      <c r="A435" s="1" t="s">
        <v>11</v>
      </c>
      <c r="B435" s="1" t="s">
        <v>332</v>
      </c>
      <c r="C435" s="1" t="s">
        <v>20</v>
      </c>
      <c r="D435" s="1" t="s">
        <v>164</v>
      </c>
      <c r="E435" s="1" t="s">
        <v>82</v>
      </c>
      <c r="F435" s="1" t="s">
        <v>625</v>
      </c>
      <c r="G435" s="1">
        <v>49.5</v>
      </c>
      <c r="H435" s="1" t="s">
        <v>60</v>
      </c>
      <c r="I435" s="1">
        <v>-115.0</v>
      </c>
      <c r="J435" s="1">
        <v>-0.084077682199907</v>
      </c>
      <c r="K435" s="1" t="s">
        <v>61</v>
      </c>
      <c r="L435" s="1" t="s">
        <v>61</v>
      </c>
      <c r="M435" s="1" t="s">
        <v>62</v>
      </c>
      <c r="N435" s="1">
        <v>-110.0</v>
      </c>
      <c r="O435" s="1">
        <v>0.025395884811238</v>
      </c>
      <c r="P435" s="1" t="s">
        <v>61</v>
      </c>
      <c r="Q435" s="1" t="s">
        <v>61</v>
      </c>
      <c r="R435" s="1">
        <f t="shared" si="1"/>
        <v>0.02539588481</v>
      </c>
      <c r="S435" s="1">
        <f t="shared" si="2"/>
        <v>-110</v>
      </c>
      <c r="T435" s="1">
        <f t="shared" si="3"/>
        <v>1.909090909</v>
      </c>
      <c r="U435" s="1">
        <f t="shared" si="4"/>
        <v>0</v>
      </c>
      <c r="V435" s="3">
        <f t="shared" si="5"/>
        <v>1</v>
      </c>
      <c r="W435" s="3">
        <f t="shared" si="6"/>
        <v>2</v>
      </c>
      <c r="X435" s="3" t="str">
        <f>IFERROR(__xludf.DUMMYFUNCTION("split(B435,"" "")"),"G.")</f>
        <v>G.</v>
      </c>
      <c r="Y435" s="3" t="str">
        <f>IFERROR(__xludf.DUMMYFUNCTION("""COMPUTED_VALUE"""),"Kittle")</f>
        <v>Kittle</v>
      </c>
      <c r="AA435" s="3">
        <v>58.0</v>
      </c>
      <c r="AB435" s="3">
        <f t="shared" si="7"/>
        <v>1</v>
      </c>
      <c r="AC435" s="3">
        <f t="shared" si="8"/>
        <v>0</v>
      </c>
      <c r="AD435" s="3">
        <f t="shared" si="9"/>
        <v>0.9090909091</v>
      </c>
      <c r="AE435" s="3">
        <f t="shared" si="10"/>
        <v>-1</v>
      </c>
      <c r="AF435" s="3">
        <f t="shared" si="11"/>
        <v>-2</v>
      </c>
      <c r="AG435" s="3">
        <f t="shared" si="12"/>
        <v>-0.1717171717</v>
      </c>
    </row>
    <row r="436">
      <c r="A436" s="1" t="s">
        <v>17</v>
      </c>
      <c r="B436" s="1" t="s">
        <v>262</v>
      </c>
      <c r="C436" s="1" t="s">
        <v>21</v>
      </c>
      <c r="D436" s="1" t="s">
        <v>164</v>
      </c>
      <c r="E436" s="1" t="s">
        <v>82</v>
      </c>
      <c r="F436" s="1" t="s">
        <v>625</v>
      </c>
      <c r="G436" s="1">
        <v>0.5</v>
      </c>
      <c r="H436" s="1" t="s">
        <v>60</v>
      </c>
      <c r="I436" s="1">
        <v>-114.0</v>
      </c>
      <c r="J436" s="1">
        <v>-0.0850635514018692</v>
      </c>
      <c r="K436" s="1" t="s">
        <v>61</v>
      </c>
      <c r="L436" s="1" t="s">
        <v>61</v>
      </c>
      <c r="M436" s="1" t="s">
        <v>62</v>
      </c>
      <c r="N436" s="1">
        <v>-114.0</v>
      </c>
      <c r="O436" s="1">
        <v>0.0196364485981308</v>
      </c>
      <c r="P436" s="1" t="s">
        <v>61</v>
      </c>
      <c r="Q436" s="1" t="s">
        <v>61</v>
      </c>
      <c r="R436" s="1">
        <f t="shared" si="1"/>
        <v>0.0196364486</v>
      </c>
      <c r="S436" s="1">
        <f t="shared" si="2"/>
        <v>-114</v>
      </c>
      <c r="T436" s="1">
        <f t="shared" si="3"/>
        <v>1.877192982</v>
      </c>
      <c r="U436" s="1">
        <f t="shared" si="4"/>
        <v>0</v>
      </c>
      <c r="V436" s="3">
        <f t="shared" si="5"/>
        <v>1</v>
      </c>
      <c r="W436" s="3">
        <f t="shared" si="6"/>
        <v>2</v>
      </c>
      <c r="X436" s="3" t="str">
        <f>IFERROR(__xludf.DUMMYFUNCTION("split(B436,"" "")"),"B.")</f>
        <v>B.</v>
      </c>
      <c r="Y436" s="3" t="str">
        <f>IFERROR(__xludf.DUMMYFUNCTION("""COMPUTED_VALUE"""),"Purdy")</f>
        <v>Purdy</v>
      </c>
      <c r="AA436" s="3">
        <v>0.0</v>
      </c>
      <c r="AB436" s="3">
        <f t="shared" si="7"/>
        <v>0</v>
      </c>
      <c r="AC436" s="3">
        <f t="shared" si="8"/>
        <v>1</v>
      </c>
      <c r="AD436" s="3">
        <f t="shared" si="9"/>
        <v>0.8771929825</v>
      </c>
      <c r="AE436" s="3">
        <f t="shared" si="10"/>
        <v>0.8771929825</v>
      </c>
      <c r="AF436" s="3">
        <f t="shared" si="11"/>
        <v>1.754385965</v>
      </c>
      <c r="AG436" s="3">
        <f t="shared" si="12"/>
        <v>1</v>
      </c>
    </row>
    <row r="437">
      <c r="A437" s="1" t="s">
        <v>12</v>
      </c>
      <c r="B437" s="1" t="s">
        <v>497</v>
      </c>
      <c r="C437" s="1" t="s">
        <v>19</v>
      </c>
      <c r="D437" s="1" t="s">
        <v>164</v>
      </c>
      <c r="E437" s="1" t="s">
        <v>82</v>
      </c>
      <c r="F437" s="1" t="s">
        <v>625</v>
      </c>
      <c r="G437" s="1">
        <v>1.5</v>
      </c>
      <c r="H437" s="1" t="s">
        <v>60</v>
      </c>
      <c r="I437" s="1">
        <v>-105.0</v>
      </c>
      <c r="J437" s="1">
        <v>0.0157109875609756</v>
      </c>
      <c r="K437" s="1" t="s">
        <v>61</v>
      </c>
      <c r="L437" s="1" t="s">
        <v>61</v>
      </c>
      <c r="M437" s="1" t="s">
        <v>62</v>
      </c>
      <c r="N437" s="1">
        <v>-125.0</v>
      </c>
      <c r="O437" s="1">
        <v>-0.0834625136111111</v>
      </c>
      <c r="P437" s="1" t="s">
        <v>61</v>
      </c>
      <c r="Q437" s="1" t="s">
        <v>61</v>
      </c>
      <c r="R437" s="1">
        <f t="shared" si="1"/>
        <v>0.01571098756</v>
      </c>
      <c r="S437" s="1">
        <f t="shared" si="2"/>
        <v>-105</v>
      </c>
      <c r="T437" s="1">
        <f t="shared" si="3"/>
        <v>1.952380952</v>
      </c>
      <c r="U437" s="1">
        <f t="shared" si="4"/>
        <v>1</v>
      </c>
      <c r="V437" s="3">
        <f t="shared" si="5"/>
        <v>1</v>
      </c>
      <c r="W437" s="3">
        <f t="shared" si="6"/>
        <v>2</v>
      </c>
      <c r="X437" s="3" t="str">
        <f>IFERROR(__xludf.DUMMYFUNCTION("split(B437,"" "")"),"J.")</f>
        <v>J.</v>
      </c>
      <c r="Y437" s="3" t="str">
        <f>IFERROR(__xludf.DUMMYFUNCTION("""COMPUTED_VALUE"""),"Mason")</f>
        <v>Mason</v>
      </c>
      <c r="AA437" s="3">
        <v>1.0</v>
      </c>
      <c r="AB437" s="3">
        <f t="shared" si="7"/>
        <v>0</v>
      </c>
      <c r="AC437" s="3">
        <f t="shared" si="8"/>
        <v>0</v>
      </c>
      <c r="AD437" s="3">
        <f t="shared" si="9"/>
        <v>0.9523809524</v>
      </c>
      <c r="AE437" s="3">
        <f t="shared" si="10"/>
        <v>-1</v>
      </c>
      <c r="AF437" s="3">
        <f t="shared" si="11"/>
        <v>-2</v>
      </c>
      <c r="AG437" s="3">
        <f t="shared" si="12"/>
        <v>-0.3333333333</v>
      </c>
    </row>
    <row r="438">
      <c r="A438" s="1" t="s">
        <v>11</v>
      </c>
      <c r="B438" s="1" t="s">
        <v>285</v>
      </c>
      <c r="C438" s="1" t="s">
        <v>18</v>
      </c>
      <c r="D438" s="1" t="s">
        <v>164</v>
      </c>
      <c r="E438" s="1" t="s">
        <v>82</v>
      </c>
      <c r="F438" s="1" t="s">
        <v>625</v>
      </c>
      <c r="G438" s="1">
        <v>31.5</v>
      </c>
      <c r="H438" s="1" t="s">
        <v>60</v>
      </c>
      <c r="I438" s="1">
        <v>-112.0</v>
      </c>
      <c r="J438" s="1">
        <v>-0.0675078651657548</v>
      </c>
      <c r="K438" s="1" t="s">
        <v>61</v>
      </c>
      <c r="L438" s="1" t="s">
        <v>61</v>
      </c>
      <c r="M438" s="1" t="s">
        <v>62</v>
      </c>
      <c r="N438" s="1">
        <v>-115.0</v>
      </c>
      <c r="O438" s="1">
        <v>0.00436268801809769</v>
      </c>
      <c r="P438" s="1" t="s">
        <v>61</v>
      </c>
      <c r="Q438" s="1" t="s">
        <v>61</v>
      </c>
      <c r="R438" s="1">
        <f t="shared" si="1"/>
        <v>0.004362688018</v>
      </c>
      <c r="S438" s="1">
        <f t="shared" si="2"/>
        <v>-115</v>
      </c>
      <c r="T438" s="1">
        <f t="shared" si="3"/>
        <v>1.869565217</v>
      </c>
      <c r="U438" s="1">
        <f t="shared" si="4"/>
        <v>0</v>
      </c>
      <c r="V438" s="3">
        <f t="shared" si="5"/>
        <v>1</v>
      </c>
      <c r="W438" s="3">
        <f t="shared" si="6"/>
        <v>2</v>
      </c>
      <c r="X438" s="3" t="str">
        <f>IFERROR(__xludf.DUMMYFUNCTION("split(B438,"" "")"),"J.")</f>
        <v>J.</v>
      </c>
      <c r="Y438" s="3" t="str">
        <f>IFERROR(__xludf.DUMMYFUNCTION("""COMPUTED_VALUE"""),"Jennings")</f>
        <v>Jennings</v>
      </c>
      <c r="AA438" s="3">
        <v>27.0</v>
      </c>
      <c r="AB438" s="3">
        <f t="shared" si="7"/>
        <v>0</v>
      </c>
      <c r="AC438" s="3">
        <f t="shared" si="8"/>
        <v>1</v>
      </c>
      <c r="AD438" s="3">
        <f t="shared" si="9"/>
        <v>0.8695652174</v>
      </c>
      <c r="AE438" s="3">
        <f t="shared" si="10"/>
        <v>0.8695652174</v>
      </c>
      <c r="AF438" s="3">
        <f t="shared" si="11"/>
        <v>1.739130435</v>
      </c>
      <c r="AG438" s="3">
        <f t="shared" si="12"/>
        <v>0.1428571429</v>
      </c>
    </row>
    <row r="439">
      <c r="A439" s="1" t="s">
        <v>13</v>
      </c>
      <c r="B439" s="1" t="s">
        <v>262</v>
      </c>
      <c r="C439" s="1" t="s">
        <v>21</v>
      </c>
      <c r="D439" s="1" t="s">
        <v>164</v>
      </c>
      <c r="E439" s="1" t="s">
        <v>82</v>
      </c>
      <c r="F439" s="1" t="s">
        <v>625</v>
      </c>
      <c r="G439" s="1">
        <v>253.5</v>
      </c>
      <c r="H439" s="1" t="s">
        <v>60</v>
      </c>
      <c r="I439" s="1">
        <v>-115.0</v>
      </c>
      <c r="J439" s="1">
        <v>0.00313212313255806</v>
      </c>
      <c r="K439" s="1" t="s">
        <v>61</v>
      </c>
      <c r="L439" s="1" t="s">
        <v>61</v>
      </c>
      <c r="M439" s="1" t="s">
        <v>62</v>
      </c>
      <c r="N439" s="1">
        <v>-115.0</v>
      </c>
      <c r="O439" s="1">
        <v>-0.0729627157674418</v>
      </c>
      <c r="P439" s="1" t="s">
        <v>61</v>
      </c>
      <c r="Q439" s="1" t="s">
        <v>61</v>
      </c>
      <c r="R439" s="1">
        <f t="shared" si="1"/>
        <v>0.003132123133</v>
      </c>
      <c r="S439" s="1">
        <f t="shared" si="2"/>
        <v>-115</v>
      </c>
      <c r="T439" s="1">
        <f t="shared" si="3"/>
        <v>1.869565217</v>
      </c>
      <c r="U439" s="1">
        <f t="shared" si="4"/>
        <v>1</v>
      </c>
      <c r="V439" s="3">
        <f t="shared" si="5"/>
        <v>1</v>
      </c>
      <c r="W439" s="3">
        <f t="shared" si="6"/>
        <v>2</v>
      </c>
      <c r="X439" s="3" t="str">
        <f>IFERROR(__xludf.DUMMYFUNCTION("split(B439,"" "")"),"B.")</f>
        <v>B.</v>
      </c>
      <c r="Y439" s="3" t="str">
        <f>IFERROR(__xludf.DUMMYFUNCTION("""COMPUTED_VALUE"""),"Purdy")</f>
        <v>Purdy</v>
      </c>
      <c r="AA439" s="3">
        <v>255.0</v>
      </c>
      <c r="AB439" s="3">
        <f t="shared" si="7"/>
        <v>1</v>
      </c>
      <c r="AC439" s="3">
        <f t="shared" si="8"/>
        <v>1</v>
      </c>
      <c r="AD439" s="3">
        <f t="shared" si="9"/>
        <v>0.8695652174</v>
      </c>
      <c r="AE439" s="3">
        <f t="shared" si="10"/>
        <v>0.8695652174</v>
      </c>
      <c r="AF439" s="3">
        <f t="shared" si="11"/>
        <v>1.739130435</v>
      </c>
      <c r="AG439" s="3">
        <f t="shared" si="12"/>
        <v>0.005917159763</v>
      </c>
    </row>
    <row r="440">
      <c r="A440" s="1" t="s">
        <v>9</v>
      </c>
      <c r="B440" s="1" t="s">
        <v>496</v>
      </c>
      <c r="C440" s="1" t="s">
        <v>18</v>
      </c>
      <c r="D440" s="1" t="s">
        <v>164</v>
      </c>
      <c r="E440" s="1" t="s">
        <v>82</v>
      </c>
      <c r="F440" s="1" t="s">
        <v>625</v>
      </c>
      <c r="G440" s="1">
        <v>71.5</v>
      </c>
      <c r="H440" s="1" t="s">
        <v>60</v>
      </c>
      <c r="I440" s="1">
        <v>-117.0</v>
      </c>
      <c r="J440" s="1">
        <v>-0.0755421044339329</v>
      </c>
      <c r="K440" s="1" t="s">
        <v>61</v>
      </c>
      <c r="L440" s="1" t="s">
        <v>61</v>
      </c>
      <c r="M440" s="1" t="s">
        <v>62</v>
      </c>
      <c r="N440" s="1">
        <v>-115.0</v>
      </c>
      <c r="O440" s="1">
        <v>0.00149938214645561</v>
      </c>
      <c r="P440" s="1" t="s">
        <v>61</v>
      </c>
      <c r="Q440" s="1" t="s">
        <v>61</v>
      </c>
      <c r="R440" s="1">
        <f t="shared" si="1"/>
        <v>0.001499382146</v>
      </c>
      <c r="S440" s="1">
        <f t="shared" si="2"/>
        <v>-115</v>
      </c>
      <c r="T440" s="1">
        <f t="shared" si="3"/>
        <v>1.869565217</v>
      </c>
      <c r="U440" s="1">
        <f t="shared" si="4"/>
        <v>0</v>
      </c>
      <c r="V440" s="3">
        <f t="shared" si="5"/>
        <v>1</v>
      </c>
      <c r="W440" s="3">
        <f t="shared" si="6"/>
        <v>2</v>
      </c>
      <c r="X440" s="3" t="str">
        <f>IFERROR(__xludf.DUMMYFUNCTION("split(B440,"" "")"),"D.")</f>
        <v>D.</v>
      </c>
      <c r="Y440" s="3" t="str">
        <f>IFERROR(__xludf.DUMMYFUNCTION("""COMPUTED_VALUE"""),"Samuel")</f>
        <v>Samuel</v>
      </c>
      <c r="AA440" s="3">
        <v>117.0</v>
      </c>
      <c r="AB440" s="3">
        <f t="shared" si="7"/>
        <v>1</v>
      </c>
      <c r="AC440" s="3">
        <f t="shared" si="8"/>
        <v>0</v>
      </c>
      <c r="AD440" s="3">
        <f t="shared" si="9"/>
        <v>0.8695652174</v>
      </c>
      <c r="AE440" s="3">
        <f t="shared" si="10"/>
        <v>-1</v>
      </c>
      <c r="AF440" s="3">
        <f t="shared" si="11"/>
        <v>-2</v>
      </c>
      <c r="AG440" s="3">
        <f t="shared" si="12"/>
        <v>-0.6363636364</v>
      </c>
    </row>
    <row r="441">
      <c r="A441" s="1" t="s">
        <v>12</v>
      </c>
      <c r="B441" s="1" t="s">
        <v>332</v>
      </c>
      <c r="C441" s="1" t="s">
        <v>20</v>
      </c>
      <c r="D441" s="1" t="s">
        <v>164</v>
      </c>
      <c r="E441" s="1" t="s">
        <v>82</v>
      </c>
      <c r="F441" s="1" t="s">
        <v>625</v>
      </c>
      <c r="G441" s="1">
        <v>4.5</v>
      </c>
      <c r="H441" s="1" t="s">
        <v>60</v>
      </c>
      <c r="I441" s="1">
        <v>107.0</v>
      </c>
      <c r="J441" s="1">
        <v>-0.0673951690821256</v>
      </c>
      <c r="K441" s="1" t="s">
        <v>61</v>
      </c>
      <c r="L441" s="1" t="s">
        <v>61</v>
      </c>
      <c r="M441" s="1" t="s">
        <v>62</v>
      </c>
      <c r="N441" s="1">
        <v>-140.0</v>
      </c>
      <c r="O441" s="1">
        <v>9.83333333333447E-4</v>
      </c>
      <c r="P441" s="1" t="s">
        <v>61</v>
      </c>
      <c r="Q441" s="1" t="s">
        <v>61</v>
      </c>
      <c r="R441" s="1">
        <f t="shared" si="1"/>
        <v>0.0009833333333</v>
      </c>
      <c r="S441" s="1">
        <f t="shared" si="2"/>
        <v>-140</v>
      </c>
      <c r="T441" s="1">
        <f t="shared" si="3"/>
        <v>1.714285714</v>
      </c>
      <c r="U441" s="1">
        <f t="shared" si="4"/>
        <v>0</v>
      </c>
      <c r="V441" s="3">
        <f t="shared" si="5"/>
        <v>1</v>
      </c>
      <c r="W441" s="3">
        <f t="shared" si="6"/>
        <v>3</v>
      </c>
      <c r="X441" s="3" t="str">
        <f>IFERROR(__xludf.DUMMYFUNCTION("split(B441,"" "")"),"G.")</f>
        <v>G.</v>
      </c>
      <c r="Y441" s="3" t="str">
        <f>IFERROR(__xludf.DUMMYFUNCTION("""COMPUTED_VALUE"""),"Kittle")</f>
        <v>Kittle</v>
      </c>
      <c r="AA441" s="3">
        <v>5.0</v>
      </c>
      <c r="AB441" s="3">
        <f t="shared" si="7"/>
        <v>1</v>
      </c>
      <c r="AC441" s="3">
        <f t="shared" si="8"/>
        <v>0</v>
      </c>
      <c r="AD441" s="3">
        <f t="shared" si="9"/>
        <v>0.7142857143</v>
      </c>
      <c r="AE441" s="3">
        <f t="shared" si="10"/>
        <v>-1</v>
      </c>
      <c r="AF441" s="3">
        <f t="shared" si="11"/>
        <v>-3</v>
      </c>
      <c r="AG441" s="3">
        <f t="shared" si="12"/>
        <v>-0.1111111111</v>
      </c>
    </row>
    <row r="442">
      <c r="A442" s="1" t="s">
        <v>12</v>
      </c>
      <c r="B442" s="1" t="s">
        <v>307</v>
      </c>
      <c r="C442" s="1" t="s">
        <v>18</v>
      </c>
      <c r="D442" s="1" t="s">
        <v>113</v>
      </c>
      <c r="E442" s="1" t="s">
        <v>58</v>
      </c>
      <c r="F442" s="1" t="s">
        <v>608</v>
      </c>
      <c r="G442" s="1">
        <v>1.5</v>
      </c>
      <c r="H442" s="1" t="s">
        <v>60</v>
      </c>
      <c r="I442" s="1">
        <v>-160.0</v>
      </c>
      <c r="J442" s="1">
        <v>-0.272278824973076</v>
      </c>
      <c r="K442" s="1" t="s">
        <v>61</v>
      </c>
      <c r="L442" s="1" t="s">
        <v>61</v>
      </c>
      <c r="M442" s="1" t="s">
        <v>62</v>
      </c>
      <c r="N442" s="1">
        <v>122.0</v>
      </c>
      <c r="O442" s="1">
        <v>0.206442767986486</v>
      </c>
      <c r="P442" s="1" t="s">
        <v>61</v>
      </c>
      <c r="Q442" s="1" t="s">
        <v>61</v>
      </c>
      <c r="R442" s="1">
        <f t="shared" si="1"/>
        <v>0.206442768</v>
      </c>
      <c r="S442" s="1">
        <f t="shared" si="2"/>
        <v>122</v>
      </c>
      <c r="T442" s="1">
        <f t="shared" si="3"/>
        <v>2.22</v>
      </c>
      <c r="U442" s="1">
        <f t="shared" si="4"/>
        <v>0</v>
      </c>
      <c r="V442" s="3">
        <f t="shared" si="5"/>
        <v>3</v>
      </c>
      <c r="W442" s="3">
        <f t="shared" si="6"/>
        <v>1</v>
      </c>
      <c r="X442" s="3" t="str">
        <f>IFERROR(__xludf.DUMMYFUNCTION("split(B442,"" "")"),"J.")</f>
        <v>J.</v>
      </c>
      <c r="Y442" s="3" t="str">
        <f>IFERROR(__xludf.DUMMYFUNCTION("""COMPUTED_VALUE"""),"McMillan")</f>
        <v>McMillan</v>
      </c>
      <c r="AA442" s="3">
        <v>0.0</v>
      </c>
      <c r="AB442" s="3">
        <f t="shared" si="7"/>
        <v>0</v>
      </c>
      <c r="AC442" s="3">
        <f t="shared" si="8"/>
        <v>1</v>
      </c>
      <c r="AD442" s="3">
        <f t="shared" si="9"/>
        <v>3.66</v>
      </c>
      <c r="AE442" s="3">
        <f t="shared" si="10"/>
        <v>3.66</v>
      </c>
      <c r="AF442" s="3">
        <f t="shared" si="11"/>
        <v>1.22</v>
      </c>
      <c r="AG442" s="3">
        <f t="shared" si="12"/>
        <v>1</v>
      </c>
    </row>
    <row r="443">
      <c r="A443" s="1" t="s">
        <v>12</v>
      </c>
      <c r="B443" s="1" t="s">
        <v>557</v>
      </c>
      <c r="C443" s="1" t="s">
        <v>19</v>
      </c>
      <c r="D443" s="1" t="s">
        <v>113</v>
      </c>
      <c r="E443" s="1" t="s">
        <v>58</v>
      </c>
      <c r="F443" s="1" t="s">
        <v>608</v>
      </c>
      <c r="G443" s="1">
        <v>2.5</v>
      </c>
      <c r="H443" s="1" t="s">
        <v>60</v>
      </c>
      <c r="I443" s="1">
        <v>-160.0</v>
      </c>
      <c r="J443" s="1">
        <v>-0.23704410526923</v>
      </c>
      <c r="K443" s="1" t="s">
        <v>61</v>
      </c>
      <c r="L443" s="1" t="s">
        <v>61</v>
      </c>
      <c r="M443" s="1" t="s">
        <v>62</v>
      </c>
      <c r="N443" s="1">
        <v>123.0</v>
      </c>
      <c r="O443" s="1">
        <v>0.173222275201793</v>
      </c>
      <c r="P443" s="1" t="s">
        <v>61</v>
      </c>
      <c r="Q443" s="1" t="s">
        <v>61</v>
      </c>
      <c r="R443" s="1">
        <f t="shared" si="1"/>
        <v>0.1732222752</v>
      </c>
      <c r="S443" s="1">
        <f t="shared" si="2"/>
        <v>123</v>
      </c>
      <c r="T443" s="1">
        <f t="shared" si="3"/>
        <v>2.23</v>
      </c>
      <c r="U443" s="1">
        <f t="shared" si="4"/>
        <v>0</v>
      </c>
      <c r="V443" s="3">
        <f t="shared" si="5"/>
        <v>3</v>
      </c>
      <c r="W443" s="3">
        <f t="shared" si="6"/>
        <v>1</v>
      </c>
      <c r="X443" s="3" t="str">
        <f>IFERROR(__xludf.DUMMYFUNCTION("split(B443,"" "")"),"B.")</f>
        <v>B.</v>
      </c>
      <c r="Y443" s="3" t="str">
        <f>IFERROR(__xludf.DUMMYFUNCTION("""COMPUTED_VALUE"""),"Irving")</f>
        <v>Irving</v>
      </c>
      <c r="AA443" s="3">
        <v>2.0</v>
      </c>
      <c r="AB443" s="3">
        <f t="shared" si="7"/>
        <v>0</v>
      </c>
      <c r="AC443" s="3">
        <f t="shared" si="8"/>
        <v>1</v>
      </c>
      <c r="AD443" s="3">
        <f t="shared" si="9"/>
        <v>3.69</v>
      </c>
      <c r="AE443" s="3">
        <f t="shared" si="10"/>
        <v>3.69</v>
      </c>
      <c r="AF443" s="3">
        <f t="shared" si="11"/>
        <v>1.23</v>
      </c>
      <c r="AG443" s="3">
        <f t="shared" si="12"/>
        <v>0.2</v>
      </c>
    </row>
    <row r="444">
      <c r="A444" s="1" t="s">
        <v>8</v>
      </c>
      <c r="B444" s="1" t="s">
        <v>253</v>
      </c>
      <c r="C444" s="1" t="s">
        <v>21</v>
      </c>
      <c r="D444" s="1" t="s">
        <v>113</v>
      </c>
      <c r="E444" s="1" t="s">
        <v>58</v>
      </c>
      <c r="F444" s="1" t="s">
        <v>608</v>
      </c>
      <c r="G444" s="1">
        <v>3.5</v>
      </c>
      <c r="H444" s="1" t="s">
        <v>60</v>
      </c>
      <c r="I444" s="1">
        <v>-115.0</v>
      </c>
      <c r="J444" s="1">
        <v>-0.213878677033393</v>
      </c>
      <c r="K444" s="1" t="s">
        <v>61</v>
      </c>
      <c r="L444" s="1" t="s">
        <v>61</v>
      </c>
      <c r="M444" s="1" t="s">
        <v>62</v>
      </c>
      <c r="N444" s="1">
        <v>-115.0</v>
      </c>
      <c r="O444" s="1">
        <v>0.144110478588402</v>
      </c>
      <c r="P444" s="1" t="s">
        <v>61</v>
      </c>
      <c r="Q444" s="1" t="s">
        <v>61</v>
      </c>
      <c r="R444" s="1">
        <f t="shared" si="1"/>
        <v>0.1441104786</v>
      </c>
      <c r="S444" s="1">
        <f t="shared" si="2"/>
        <v>-115</v>
      </c>
      <c r="T444" s="1">
        <f t="shared" si="3"/>
        <v>1.869565217</v>
      </c>
      <c r="U444" s="1">
        <f t="shared" si="4"/>
        <v>0</v>
      </c>
      <c r="V444" s="3">
        <f t="shared" si="5"/>
        <v>3</v>
      </c>
      <c r="W444" s="3">
        <f t="shared" si="6"/>
        <v>2</v>
      </c>
      <c r="X444" s="3" t="str">
        <f>IFERROR(__xludf.DUMMYFUNCTION("split(B444,"" "")"),"B.")</f>
        <v>B.</v>
      </c>
      <c r="Y444" s="3" t="str">
        <f>IFERROR(__xludf.DUMMYFUNCTION("""COMPUTED_VALUE"""),"Mayfield")</f>
        <v>Mayfield</v>
      </c>
      <c r="AA444" s="3">
        <v>3.0</v>
      </c>
      <c r="AB444" s="3">
        <f t="shared" si="7"/>
        <v>0</v>
      </c>
      <c r="AC444" s="3">
        <f t="shared" si="8"/>
        <v>1</v>
      </c>
      <c r="AD444" s="3">
        <f t="shared" si="9"/>
        <v>2.608695652</v>
      </c>
      <c r="AE444" s="3">
        <f t="shared" si="10"/>
        <v>2.608695652</v>
      </c>
      <c r="AF444" s="3">
        <f t="shared" si="11"/>
        <v>1.739130435</v>
      </c>
      <c r="AG444" s="3">
        <f t="shared" si="12"/>
        <v>0.1428571429</v>
      </c>
    </row>
    <row r="445">
      <c r="A445" s="1" t="s">
        <v>12</v>
      </c>
      <c r="B445" s="1" t="s">
        <v>417</v>
      </c>
      <c r="C445" s="1" t="s">
        <v>19</v>
      </c>
      <c r="D445" s="1" t="s">
        <v>113</v>
      </c>
      <c r="E445" s="1" t="s">
        <v>58</v>
      </c>
      <c r="F445" s="1" t="s">
        <v>608</v>
      </c>
      <c r="G445" s="1">
        <v>2.5</v>
      </c>
      <c r="H445" s="1" t="s">
        <v>60</v>
      </c>
      <c r="I445" s="1">
        <v>-130.0</v>
      </c>
      <c r="J445" s="1">
        <v>-0.181158413565217</v>
      </c>
      <c r="K445" s="1" t="s">
        <v>61</v>
      </c>
      <c r="L445" s="1" t="s">
        <v>61</v>
      </c>
      <c r="M445" s="1" t="s">
        <v>62</v>
      </c>
      <c r="N445" s="1">
        <v>100.0</v>
      </c>
      <c r="O445" s="1">
        <v>0.115947175599999</v>
      </c>
      <c r="P445" s="1" t="s">
        <v>61</v>
      </c>
      <c r="Q445" s="1" t="s">
        <v>61</v>
      </c>
      <c r="R445" s="1">
        <f t="shared" si="1"/>
        <v>0.1159471756</v>
      </c>
      <c r="S445" s="1">
        <f t="shared" si="2"/>
        <v>100</v>
      </c>
      <c r="T445" s="1">
        <f t="shared" si="3"/>
        <v>2</v>
      </c>
      <c r="U445" s="1">
        <f t="shared" si="4"/>
        <v>0</v>
      </c>
      <c r="V445" s="3">
        <f t="shared" si="5"/>
        <v>3</v>
      </c>
      <c r="W445" s="3">
        <f t="shared" si="6"/>
        <v>2</v>
      </c>
      <c r="X445" s="3" t="str">
        <f>IFERROR(__xludf.DUMMYFUNCTION("split(B445,"" "")"),"R.")</f>
        <v>R.</v>
      </c>
      <c r="Y445" s="3" t="str">
        <f>IFERROR(__xludf.DUMMYFUNCTION("""COMPUTED_VALUE"""),"White")</f>
        <v>White</v>
      </c>
      <c r="AA445" s="3">
        <v>0.0</v>
      </c>
      <c r="AB445" s="3">
        <f t="shared" si="7"/>
        <v>0</v>
      </c>
      <c r="AC445" s="3">
        <f t="shared" si="8"/>
        <v>1</v>
      </c>
      <c r="AD445" s="3">
        <f t="shared" si="9"/>
        <v>3</v>
      </c>
      <c r="AE445" s="3">
        <f t="shared" si="10"/>
        <v>3</v>
      </c>
      <c r="AF445" s="3">
        <f t="shared" si="11"/>
        <v>2</v>
      </c>
      <c r="AG445" s="3">
        <f t="shared" si="12"/>
        <v>1</v>
      </c>
    </row>
    <row r="446">
      <c r="A446" s="1" t="s">
        <v>8</v>
      </c>
      <c r="B446" s="1" t="s">
        <v>557</v>
      </c>
      <c r="C446" s="1" t="s">
        <v>19</v>
      </c>
      <c r="D446" s="1" t="s">
        <v>113</v>
      </c>
      <c r="E446" s="1" t="s">
        <v>58</v>
      </c>
      <c r="F446" s="1" t="s">
        <v>608</v>
      </c>
      <c r="G446" s="1">
        <v>14.5</v>
      </c>
      <c r="H446" s="1" t="s">
        <v>60</v>
      </c>
      <c r="I446" s="1">
        <v>-127.0</v>
      </c>
      <c r="J446" s="1">
        <v>-0.162767722057268</v>
      </c>
      <c r="K446" s="1" t="s">
        <v>61</v>
      </c>
      <c r="L446" s="1" t="s">
        <v>61</v>
      </c>
      <c r="M446" s="1" t="s">
        <v>62</v>
      </c>
      <c r="N446" s="1">
        <v>-104.0</v>
      </c>
      <c r="O446" s="1">
        <v>0.0934918618788235</v>
      </c>
      <c r="P446" s="1" t="s">
        <v>61</v>
      </c>
      <c r="Q446" s="1" t="s">
        <v>61</v>
      </c>
      <c r="R446" s="1">
        <f t="shared" si="1"/>
        <v>0.09349186188</v>
      </c>
      <c r="S446" s="1">
        <f t="shared" si="2"/>
        <v>-104</v>
      </c>
      <c r="T446" s="1">
        <f t="shared" si="3"/>
        <v>1.961538462</v>
      </c>
      <c r="U446" s="1">
        <f t="shared" si="4"/>
        <v>0</v>
      </c>
      <c r="V446" s="3">
        <f t="shared" si="5"/>
        <v>2</v>
      </c>
      <c r="W446" s="3">
        <f t="shared" si="6"/>
        <v>2</v>
      </c>
      <c r="X446" s="3" t="str">
        <f>IFERROR(__xludf.DUMMYFUNCTION("split(B446,"" "")"),"B.")</f>
        <v>B.</v>
      </c>
      <c r="Y446" s="3" t="str">
        <f>IFERROR(__xludf.DUMMYFUNCTION("""COMPUTED_VALUE"""),"Irving")</f>
        <v>Irving</v>
      </c>
      <c r="AA446" s="3">
        <v>14.0</v>
      </c>
      <c r="AB446" s="3">
        <f t="shared" si="7"/>
        <v>0</v>
      </c>
      <c r="AC446" s="3">
        <f t="shared" si="8"/>
        <v>1</v>
      </c>
      <c r="AD446" s="3">
        <f t="shared" si="9"/>
        <v>1.923076923</v>
      </c>
      <c r="AE446" s="3">
        <f t="shared" si="10"/>
        <v>1.923076923</v>
      </c>
      <c r="AF446" s="3">
        <f t="shared" si="11"/>
        <v>1.923076923</v>
      </c>
      <c r="AG446" s="3">
        <f t="shared" si="12"/>
        <v>0.03448275862</v>
      </c>
    </row>
    <row r="447">
      <c r="A447" s="1" t="s">
        <v>9</v>
      </c>
      <c r="B447" s="1" t="s">
        <v>307</v>
      </c>
      <c r="C447" s="1" t="s">
        <v>18</v>
      </c>
      <c r="D447" s="1" t="s">
        <v>113</v>
      </c>
      <c r="E447" s="1" t="s">
        <v>58</v>
      </c>
      <c r="F447" s="1" t="s">
        <v>608</v>
      </c>
      <c r="G447" s="1">
        <v>19.5</v>
      </c>
      <c r="H447" s="1" t="s">
        <v>60</v>
      </c>
      <c r="I447" s="1">
        <v>-120.0</v>
      </c>
      <c r="J447" s="1">
        <v>0.090405556926729</v>
      </c>
      <c r="K447" s="1" t="s">
        <v>61</v>
      </c>
      <c r="L447" s="1" t="s">
        <v>61</v>
      </c>
      <c r="M447" s="1" t="s">
        <v>62</v>
      </c>
      <c r="N447" s="1">
        <v>-113.0</v>
      </c>
      <c r="O447" s="1">
        <v>-0.166353152356736</v>
      </c>
      <c r="P447" s="1" t="s">
        <v>61</v>
      </c>
      <c r="Q447" s="1" t="s">
        <v>61</v>
      </c>
      <c r="R447" s="1">
        <f t="shared" si="1"/>
        <v>0.09040555693</v>
      </c>
      <c r="S447" s="1">
        <f t="shared" si="2"/>
        <v>-120</v>
      </c>
      <c r="T447" s="1">
        <f t="shared" si="3"/>
        <v>1.833333333</v>
      </c>
      <c r="U447" s="1">
        <f t="shared" si="4"/>
        <v>1</v>
      </c>
      <c r="V447" s="3">
        <f t="shared" si="5"/>
        <v>2</v>
      </c>
      <c r="W447" s="3">
        <f t="shared" si="6"/>
        <v>3</v>
      </c>
      <c r="X447" s="3" t="str">
        <f>IFERROR(__xludf.DUMMYFUNCTION("split(B447,"" "")"),"J.")</f>
        <v>J.</v>
      </c>
      <c r="Y447" s="3" t="str">
        <f>IFERROR(__xludf.DUMMYFUNCTION("""COMPUTED_VALUE"""),"McMillan")</f>
        <v>McMillan</v>
      </c>
      <c r="AA447" s="3">
        <v>0.0</v>
      </c>
      <c r="AB447" s="3">
        <f t="shared" si="7"/>
        <v>0</v>
      </c>
      <c r="AC447" s="3">
        <f t="shared" si="8"/>
        <v>0</v>
      </c>
      <c r="AD447" s="3">
        <f t="shared" si="9"/>
        <v>1.666666667</v>
      </c>
      <c r="AE447" s="3">
        <f t="shared" si="10"/>
        <v>-2</v>
      </c>
      <c r="AF447" s="3">
        <f t="shared" si="11"/>
        <v>-3</v>
      </c>
      <c r="AG447" s="3">
        <f t="shared" si="12"/>
        <v>-1</v>
      </c>
    </row>
    <row r="448">
      <c r="A448" s="1" t="s">
        <v>8</v>
      </c>
      <c r="B448" s="1" t="s">
        <v>417</v>
      </c>
      <c r="C448" s="1" t="s">
        <v>19</v>
      </c>
      <c r="D448" s="1" t="s">
        <v>113</v>
      </c>
      <c r="E448" s="1" t="s">
        <v>58</v>
      </c>
      <c r="F448" s="1" t="s">
        <v>608</v>
      </c>
      <c r="G448" s="1">
        <v>10.5</v>
      </c>
      <c r="H448" s="1" t="s">
        <v>60</v>
      </c>
      <c r="I448" s="1">
        <v>-115.0</v>
      </c>
      <c r="J448" s="1">
        <v>-0.142483652317781</v>
      </c>
      <c r="K448" s="1" t="s">
        <v>61</v>
      </c>
      <c r="L448" s="1" t="s">
        <v>61</v>
      </c>
      <c r="M448" s="1" t="s">
        <v>62</v>
      </c>
      <c r="N448" s="1">
        <v>-115.0</v>
      </c>
      <c r="O448" s="1">
        <v>0.0727162001654485</v>
      </c>
      <c r="P448" s="1" t="s">
        <v>61</v>
      </c>
      <c r="Q448" s="1" t="s">
        <v>61</v>
      </c>
      <c r="R448" s="1">
        <f t="shared" si="1"/>
        <v>0.07271620017</v>
      </c>
      <c r="S448" s="1">
        <f t="shared" si="2"/>
        <v>-115</v>
      </c>
      <c r="T448" s="1">
        <f t="shared" si="3"/>
        <v>1.869565217</v>
      </c>
      <c r="U448" s="1">
        <f t="shared" si="4"/>
        <v>0</v>
      </c>
      <c r="V448" s="3">
        <f t="shared" si="5"/>
        <v>2</v>
      </c>
      <c r="W448" s="3">
        <f t="shared" si="6"/>
        <v>2</v>
      </c>
      <c r="X448" s="3" t="str">
        <f>IFERROR(__xludf.DUMMYFUNCTION("split(B448,"" "")"),"R.")</f>
        <v>R.</v>
      </c>
      <c r="Y448" s="3" t="str">
        <f>IFERROR(__xludf.DUMMYFUNCTION("""COMPUTED_VALUE"""),"White")</f>
        <v>White</v>
      </c>
      <c r="AA448" s="3">
        <v>0.0</v>
      </c>
      <c r="AB448" s="3">
        <f t="shared" si="7"/>
        <v>0</v>
      </c>
      <c r="AC448" s="3">
        <f t="shared" si="8"/>
        <v>1</v>
      </c>
      <c r="AD448" s="3">
        <f t="shared" si="9"/>
        <v>1.739130435</v>
      </c>
      <c r="AE448" s="3">
        <f t="shared" si="10"/>
        <v>1.739130435</v>
      </c>
      <c r="AF448" s="3">
        <f t="shared" si="11"/>
        <v>1.739130435</v>
      </c>
      <c r="AG448" s="3">
        <f t="shared" si="12"/>
        <v>1</v>
      </c>
    </row>
    <row r="449">
      <c r="A449" s="1" t="s">
        <v>12</v>
      </c>
      <c r="B449" s="1" t="s">
        <v>112</v>
      </c>
      <c r="C449" s="1" t="s">
        <v>20</v>
      </c>
      <c r="D449" s="1" t="s">
        <v>113</v>
      </c>
      <c r="E449" s="1" t="s">
        <v>58</v>
      </c>
      <c r="F449" s="1" t="s">
        <v>608</v>
      </c>
      <c r="G449" s="1">
        <v>3.5</v>
      </c>
      <c r="H449" s="1" t="s">
        <v>60</v>
      </c>
      <c r="I449" s="1">
        <v>-114.0</v>
      </c>
      <c r="J449" s="1">
        <v>-0.135557009345794</v>
      </c>
      <c r="K449" s="1" t="s">
        <v>61</v>
      </c>
      <c r="L449" s="1" t="s">
        <v>61</v>
      </c>
      <c r="M449" s="1" t="s">
        <v>62</v>
      </c>
      <c r="N449" s="1">
        <v>-115.0</v>
      </c>
      <c r="O449" s="1">
        <v>0.0679697674418604</v>
      </c>
      <c r="P449" s="1" t="s">
        <v>61</v>
      </c>
      <c r="Q449" s="1" t="s">
        <v>61</v>
      </c>
      <c r="R449" s="1">
        <f t="shared" si="1"/>
        <v>0.06796976744</v>
      </c>
      <c r="S449" s="1">
        <f t="shared" si="2"/>
        <v>-115</v>
      </c>
      <c r="T449" s="1">
        <f t="shared" si="3"/>
        <v>1.869565217</v>
      </c>
      <c r="U449" s="1">
        <f t="shared" si="4"/>
        <v>0</v>
      </c>
      <c r="V449" s="3">
        <f t="shared" si="5"/>
        <v>2</v>
      </c>
      <c r="W449" s="3">
        <f t="shared" si="6"/>
        <v>2</v>
      </c>
      <c r="X449" s="3" t="str">
        <f>IFERROR(__xludf.DUMMYFUNCTION("split(B449,"" "")"),"C.")</f>
        <v>C.</v>
      </c>
      <c r="Y449" s="3" t="str">
        <f>IFERROR(__xludf.DUMMYFUNCTION("""COMPUTED_VALUE"""),"Otton")</f>
        <v>Otton</v>
      </c>
      <c r="AA449" s="3">
        <v>2.0</v>
      </c>
      <c r="AB449" s="3">
        <f t="shared" si="7"/>
        <v>0</v>
      </c>
      <c r="AC449" s="3">
        <f t="shared" si="8"/>
        <v>1</v>
      </c>
      <c r="AD449" s="3">
        <f t="shared" si="9"/>
        <v>1.739130435</v>
      </c>
      <c r="AE449" s="3">
        <f t="shared" si="10"/>
        <v>1.739130435</v>
      </c>
      <c r="AF449" s="3">
        <f t="shared" si="11"/>
        <v>1.739130435</v>
      </c>
      <c r="AG449" s="3">
        <f t="shared" si="12"/>
        <v>0.4285714286</v>
      </c>
    </row>
    <row r="450">
      <c r="A450" s="1" t="s">
        <v>15</v>
      </c>
      <c r="B450" s="1" t="s">
        <v>253</v>
      </c>
      <c r="C450" s="1" t="s">
        <v>21</v>
      </c>
      <c r="D450" s="1" t="s">
        <v>113</v>
      </c>
      <c r="E450" s="1" t="s">
        <v>58</v>
      </c>
      <c r="F450" s="1" t="s">
        <v>608</v>
      </c>
      <c r="G450" s="1">
        <v>21.5</v>
      </c>
      <c r="H450" s="1" t="s">
        <v>60</v>
      </c>
      <c r="I450" s="1">
        <v>-111.0</v>
      </c>
      <c r="J450" s="1">
        <v>0.0517388625592416</v>
      </c>
      <c r="K450" s="1" t="s">
        <v>61</v>
      </c>
      <c r="L450" s="1" t="s">
        <v>61</v>
      </c>
      <c r="M450" s="1" t="s">
        <v>62</v>
      </c>
      <c r="N450" s="1">
        <v>-118.0</v>
      </c>
      <c r="O450" s="1">
        <v>-0.11907614678899</v>
      </c>
      <c r="P450" s="1" t="s">
        <v>61</v>
      </c>
      <c r="Q450" s="1" t="s">
        <v>61</v>
      </c>
      <c r="R450" s="1">
        <f t="shared" si="1"/>
        <v>0.05173886256</v>
      </c>
      <c r="S450" s="1">
        <f t="shared" si="2"/>
        <v>-111</v>
      </c>
      <c r="T450" s="1">
        <f t="shared" si="3"/>
        <v>1.900900901</v>
      </c>
      <c r="U450" s="1">
        <f t="shared" si="4"/>
        <v>1</v>
      </c>
      <c r="V450" s="3">
        <f t="shared" si="5"/>
        <v>2</v>
      </c>
      <c r="W450" s="3">
        <f t="shared" si="6"/>
        <v>2</v>
      </c>
      <c r="X450" s="3" t="str">
        <f>IFERROR(__xludf.DUMMYFUNCTION("split(B450,"" "")"),"B.")</f>
        <v>B.</v>
      </c>
      <c r="Y450" s="3" t="str">
        <f>IFERROR(__xludf.DUMMYFUNCTION("""COMPUTED_VALUE"""),"Mayfield")</f>
        <v>Mayfield</v>
      </c>
      <c r="AA450" s="3">
        <v>24.0</v>
      </c>
      <c r="AB450" s="3">
        <f t="shared" si="7"/>
        <v>1</v>
      </c>
      <c r="AC450" s="3">
        <f t="shared" si="8"/>
        <v>1</v>
      </c>
      <c r="AD450" s="3">
        <f t="shared" si="9"/>
        <v>1.801801802</v>
      </c>
      <c r="AE450" s="3">
        <f t="shared" si="10"/>
        <v>1.801801802</v>
      </c>
      <c r="AF450" s="3">
        <f t="shared" si="11"/>
        <v>1.801801802</v>
      </c>
      <c r="AG450" s="3">
        <f t="shared" si="12"/>
        <v>0.1162790698</v>
      </c>
    </row>
    <row r="451">
      <c r="A451" s="1" t="s">
        <v>10</v>
      </c>
      <c r="B451" s="1" t="s">
        <v>557</v>
      </c>
      <c r="C451" s="1" t="s">
        <v>19</v>
      </c>
      <c r="D451" s="1" t="s">
        <v>113</v>
      </c>
      <c r="E451" s="1" t="s">
        <v>58</v>
      </c>
      <c r="F451" s="1" t="s">
        <v>608</v>
      </c>
      <c r="G451" s="1">
        <v>62.5</v>
      </c>
      <c r="H451" s="1" t="s">
        <v>60</v>
      </c>
      <c r="I451" s="1">
        <v>-122.0</v>
      </c>
      <c r="J451" s="1">
        <v>-0.116733008620803</v>
      </c>
      <c r="K451" s="1" t="s">
        <v>61</v>
      </c>
      <c r="L451" s="1" t="s">
        <v>61</v>
      </c>
      <c r="M451" s="1" t="s">
        <v>62</v>
      </c>
      <c r="N451" s="1">
        <v>-107.0</v>
      </c>
      <c r="O451" s="1">
        <v>0.0502869134942106</v>
      </c>
      <c r="P451" s="1" t="s">
        <v>61</v>
      </c>
      <c r="Q451" s="1" t="s">
        <v>61</v>
      </c>
      <c r="R451" s="1">
        <f t="shared" si="1"/>
        <v>0.05028691349</v>
      </c>
      <c r="S451" s="1">
        <f t="shared" si="2"/>
        <v>-107</v>
      </c>
      <c r="T451" s="1">
        <f t="shared" si="3"/>
        <v>1.934579439</v>
      </c>
      <c r="U451" s="1">
        <f t="shared" si="4"/>
        <v>0</v>
      </c>
      <c r="V451" s="3">
        <f t="shared" si="5"/>
        <v>2</v>
      </c>
      <c r="W451" s="3">
        <f t="shared" si="6"/>
        <v>2</v>
      </c>
      <c r="X451" s="3" t="str">
        <f>IFERROR(__xludf.DUMMYFUNCTION("split(B451,"" "")"),"B.")</f>
        <v>B.</v>
      </c>
      <c r="Y451" s="3" t="str">
        <f>IFERROR(__xludf.DUMMYFUNCTION("""COMPUTED_VALUE"""),"Irving")</f>
        <v>Irving</v>
      </c>
      <c r="AA451" s="3">
        <v>81.0</v>
      </c>
      <c r="AB451" s="3">
        <f t="shared" si="7"/>
        <v>1</v>
      </c>
      <c r="AC451" s="3">
        <f t="shared" si="8"/>
        <v>0</v>
      </c>
      <c r="AD451" s="3">
        <f t="shared" si="9"/>
        <v>1.869158879</v>
      </c>
      <c r="AE451" s="3">
        <f t="shared" si="10"/>
        <v>-2</v>
      </c>
      <c r="AF451" s="3">
        <f t="shared" si="11"/>
        <v>-2</v>
      </c>
      <c r="AG451" s="3">
        <f t="shared" si="12"/>
        <v>-0.296</v>
      </c>
    </row>
    <row r="452">
      <c r="A452" s="1" t="s">
        <v>9</v>
      </c>
      <c r="B452" s="1" t="s">
        <v>557</v>
      </c>
      <c r="C452" s="1" t="s">
        <v>19</v>
      </c>
      <c r="D452" s="1" t="s">
        <v>113</v>
      </c>
      <c r="E452" s="1" t="s">
        <v>58</v>
      </c>
      <c r="F452" s="1" t="s">
        <v>608</v>
      </c>
      <c r="G452" s="1">
        <v>82.5</v>
      </c>
      <c r="H452" s="1" t="s">
        <v>60</v>
      </c>
      <c r="I452" s="1">
        <v>-117.0</v>
      </c>
      <c r="J452" s="1">
        <v>-0.116487860135765</v>
      </c>
      <c r="K452" s="1" t="s">
        <v>61</v>
      </c>
      <c r="L452" s="1" t="s">
        <v>61</v>
      </c>
      <c r="M452" s="1" t="s">
        <v>62</v>
      </c>
      <c r="N452" s="1">
        <v>-116.0</v>
      </c>
      <c r="O452" s="1">
        <v>0.0402997229322914</v>
      </c>
      <c r="P452" s="1" t="s">
        <v>61</v>
      </c>
      <c r="Q452" s="1" t="s">
        <v>61</v>
      </c>
      <c r="R452" s="1">
        <f t="shared" si="1"/>
        <v>0.04029972293</v>
      </c>
      <c r="S452" s="1">
        <f t="shared" si="2"/>
        <v>-116</v>
      </c>
      <c r="T452" s="1">
        <f t="shared" si="3"/>
        <v>1.862068966</v>
      </c>
      <c r="U452" s="1">
        <f t="shared" si="4"/>
        <v>0</v>
      </c>
      <c r="V452" s="3">
        <f t="shared" si="5"/>
        <v>1</v>
      </c>
      <c r="W452" s="3">
        <f t="shared" si="6"/>
        <v>2</v>
      </c>
      <c r="X452" s="3" t="str">
        <f>IFERROR(__xludf.DUMMYFUNCTION("split(B452,"" "")"),"B.")</f>
        <v>B.</v>
      </c>
      <c r="Y452" s="3" t="str">
        <f>IFERROR(__xludf.DUMMYFUNCTION("""COMPUTED_VALUE"""),"Irving")</f>
        <v>Irving</v>
      </c>
      <c r="AA452" s="3">
        <v>105.0</v>
      </c>
      <c r="AB452" s="3">
        <f t="shared" si="7"/>
        <v>1</v>
      </c>
      <c r="AC452" s="3">
        <f t="shared" si="8"/>
        <v>0</v>
      </c>
      <c r="AD452" s="3">
        <f t="shared" si="9"/>
        <v>0.8620689655</v>
      </c>
      <c r="AE452" s="3">
        <f t="shared" si="10"/>
        <v>-1</v>
      </c>
      <c r="AF452" s="3">
        <f t="shared" si="11"/>
        <v>-2</v>
      </c>
      <c r="AG452" s="3">
        <f t="shared" si="12"/>
        <v>-0.2727272727</v>
      </c>
    </row>
    <row r="453">
      <c r="A453" s="1" t="s">
        <v>11</v>
      </c>
      <c r="B453" s="1" t="s">
        <v>112</v>
      </c>
      <c r="C453" s="1" t="s">
        <v>20</v>
      </c>
      <c r="D453" s="1" t="s">
        <v>113</v>
      </c>
      <c r="E453" s="1" t="s">
        <v>58</v>
      </c>
      <c r="F453" s="1" t="s">
        <v>608</v>
      </c>
      <c r="G453" s="1">
        <v>35.5</v>
      </c>
      <c r="H453" s="1" t="s">
        <v>60</v>
      </c>
      <c r="I453" s="1">
        <v>-113.0</v>
      </c>
      <c r="J453" s="1">
        <v>-0.0890440666028638</v>
      </c>
      <c r="K453" s="1" t="s">
        <v>61</v>
      </c>
      <c r="L453" s="1" t="s">
        <v>61</v>
      </c>
      <c r="M453" s="1" t="s">
        <v>62</v>
      </c>
      <c r="N453" s="1">
        <v>-112.0</v>
      </c>
      <c r="O453" s="1">
        <v>0.0302406421043546</v>
      </c>
      <c r="P453" s="1" t="s">
        <v>61</v>
      </c>
      <c r="Q453" s="1" t="s">
        <v>61</v>
      </c>
      <c r="R453" s="1">
        <f t="shared" si="1"/>
        <v>0.0302406421</v>
      </c>
      <c r="S453" s="1">
        <f t="shared" si="2"/>
        <v>-112</v>
      </c>
      <c r="T453" s="1">
        <f t="shared" si="3"/>
        <v>1.892857143</v>
      </c>
      <c r="U453" s="1">
        <f t="shared" si="4"/>
        <v>0</v>
      </c>
      <c r="V453" s="3">
        <f t="shared" si="5"/>
        <v>1</v>
      </c>
      <c r="W453" s="3">
        <f t="shared" si="6"/>
        <v>2</v>
      </c>
      <c r="X453" s="3" t="str">
        <f>IFERROR(__xludf.DUMMYFUNCTION("split(B453,"" "")"),"C.")</f>
        <v>C.</v>
      </c>
      <c r="Y453" s="3" t="str">
        <f>IFERROR(__xludf.DUMMYFUNCTION("""COMPUTED_VALUE"""),"Otton")</f>
        <v>Otton</v>
      </c>
      <c r="AA453" s="3">
        <v>15.0</v>
      </c>
      <c r="AB453" s="3">
        <f t="shared" si="7"/>
        <v>0</v>
      </c>
      <c r="AC453" s="3">
        <f t="shared" si="8"/>
        <v>1</v>
      </c>
      <c r="AD453" s="3">
        <f t="shared" si="9"/>
        <v>0.8928571429</v>
      </c>
      <c r="AE453" s="3">
        <f t="shared" si="10"/>
        <v>0.8928571429</v>
      </c>
      <c r="AF453" s="3">
        <f t="shared" si="11"/>
        <v>1.785714286</v>
      </c>
      <c r="AG453" s="3">
        <f t="shared" si="12"/>
        <v>0.5774647887</v>
      </c>
    </row>
    <row r="454">
      <c r="A454" s="1" t="s">
        <v>12</v>
      </c>
      <c r="B454" s="1" t="s">
        <v>481</v>
      </c>
      <c r="C454" s="1" t="s">
        <v>18</v>
      </c>
      <c r="D454" s="1" t="s">
        <v>113</v>
      </c>
      <c r="E454" s="1" t="s">
        <v>58</v>
      </c>
      <c r="F454" s="1" t="s">
        <v>608</v>
      </c>
      <c r="G454" s="1">
        <v>4.5</v>
      </c>
      <c r="H454" s="1" t="s">
        <v>60</v>
      </c>
      <c r="I454" s="1">
        <v>117.0</v>
      </c>
      <c r="J454" s="1">
        <v>0.0291244239631336</v>
      </c>
      <c r="K454" s="1" t="s">
        <v>61</v>
      </c>
      <c r="L454" s="1" t="s">
        <v>61</v>
      </c>
      <c r="M454" s="1" t="s">
        <v>62</v>
      </c>
      <c r="N454" s="1">
        <v>-153.0</v>
      </c>
      <c r="O454" s="1">
        <v>-0.094703557312253</v>
      </c>
      <c r="P454" s="1" t="s">
        <v>61</v>
      </c>
      <c r="Q454" s="1" t="s">
        <v>61</v>
      </c>
      <c r="R454" s="1">
        <f t="shared" si="1"/>
        <v>0.02912442396</v>
      </c>
      <c r="S454" s="1">
        <f t="shared" si="2"/>
        <v>117</v>
      </c>
      <c r="T454" s="1">
        <f t="shared" si="3"/>
        <v>2.17</v>
      </c>
      <c r="U454" s="1">
        <f t="shared" si="4"/>
        <v>1</v>
      </c>
      <c r="V454" s="3">
        <f t="shared" si="5"/>
        <v>1</v>
      </c>
      <c r="W454" s="3">
        <f t="shared" si="6"/>
        <v>1</v>
      </c>
      <c r="X454" s="3" t="str">
        <f>IFERROR(__xludf.DUMMYFUNCTION("split(B454,"" "")"),"M.")</f>
        <v>M.</v>
      </c>
      <c r="Y454" s="3" t="str">
        <f>IFERROR(__xludf.DUMMYFUNCTION("""COMPUTED_VALUE"""),"Evans")</f>
        <v>Evans</v>
      </c>
      <c r="AA454" s="3">
        <v>2.0</v>
      </c>
      <c r="AB454" s="3">
        <f t="shared" si="7"/>
        <v>0</v>
      </c>
      <c r="AC454" s="3">
        <f t="shared" si="8"/>
        <v>0</v>
      </c>
      <c r="AD454" s="3">
        <f t="shared" si="9"/>
        <v>1.17</v>
      </c>
      <c r="AE454" s="3">
        <f t="shared" si="10"/>
        <v>-1</v>
      </c>
      <c r="AF454" s="3">
        <f t="shared" si="11"/>
        <v>-1</v>
      </c>
      <c r="AG454" s="3">
        <f t="shared" si="12"/>
        <v>-0.5555555556</v>
      </c>
    </row>
    <row r="455">
      <c r="A455" s="1" t="s">
        <v>10</v>
      </c>
      <c r="B455" s="1" t="s">
        <v>253</v>
      </c>
      <c r="C455" s="1" t="s">
        <v>21</v>
      </c>
      <c r="D455" s="1" t="s">
        <v>113</v>
      </c>
      <c r="E455" s="1" t="s">
        <v>58</v>
      </c>
      <c r="F455" s="1" t="s">
        <v>608</v>
      </c>
      <c r="G455" s="1">
        <v>12.5</v>
      </c>
      <c r="H455" s="1" t="s">
        <v>60</v>
      </c>
      <c r="I455" s="1">
        <v>-114.0</v>
      </c>
      <c r="J455" s="1">
        <v>-0.0910447449926255</v>
      </c>
      <c r="K455" s="1" t="s">
        <v>61</v>
      </c>
      <c r="L455" s="1" t="s">
        <v>61</v>
      </c>
      <c r="M455" s="1" t="s">
        <v>62</v>
      </c>
      <c r="N455" s="1">
        <v>-115.0</v>
      </c>
      <c r="O455" s="1">
        <v>0.023470194152024</v>
      </c>
      <c r="P455" s="1" t="s">
        <v>61</v>
      </c>
      <c r="Q455" s="1" t="s">
        <v>61</v>
      </c>
      <c r="R455" s="1">
        <f t="shared" si="1"/>
        <v>0.02347019415</v>
      </c>
      <c r="S455" s="1">
        <f t="shared" si="2"/>
        <v>-115</v>
      </c>
      <c r="T455" s="1">
        <f t="shared" si="3"/>
        <v>1.869565217</v>
      </c>
      <c r="U455" s="1">
        <f t="shared" si="4"/>
        <v>0</v>
      </c>
      <c r="V455" s="3">
        <f t="shared" si="5"/>
        <v>1</v>
      </c>
      <c r="W455" s="3">
        <f t="shared" si="6"/>
        <v>2</v>
      </c>
      <c r="X455" s="3" t="str">
        <f>IFERROR(__xludf.DUMMYFUNCTION("split(B455,"" "")"),"B.")</f>
        <v>B.</v>
      </c>
      <c r="Y455" s="3" t="str">
        <f>IFERROR(__xludf.DUMMYFUNCTION("""COMPUTED_VALUE"""),"Mayfield")</f>
        <v>Mayfield</v>
      </c>
      <c r="AA455" s="3">
        <v>29.0</v>
      </c>
      <c r="AB455" s="3">
        <f t="shared" si="7"/>
        <v>1</v>
      </c>
      <c r="AC455" s="3">
        <f t="shared" si="8"/>
        <v>0</v>
      </c>
      <c r="AD455" s="3">
        <f t="shared" si="9"/>
        <v>0.8695652174</v>
      </c>
      <c r="AE455" s="3">
        <f t="shared" si="10"/>
        <v>-1</v>
      </c>
      <c r="AF455" s="3">
        <f t="shared" si="11"/>
        <v>-2</v>
      </c>
      <c r="AG455" s="3">
        <f t="shared" si="12"/>
        <v>-1.32</v>
      </c>
    </row>
    <row r="456">
      <c r="A456" s="1" t="s">
        <v>17</v>
      </c>
      <c r="B456" s="1" t="s">
        <v>253</v>
      </c>
      <c r="C456" s="1" t="s">
        <v>21</v>
      </c>
      <c r="D456" s="1" t="s">
        <v>113</v>
      </c>
      <c r="E456" s="1" t="s">
        <v>58</v>
      </c>
      <c r="F456" s="1" t="s">
        <v>608</v>
      </c>
      <c r="G456" s="1">
        <v>0.5</v>
      </c>
      <c r="H456" s="1" t="s">
        <v>60</v>
      </c>
      <c r="I456" s="1">
        <v>-112.0</v>
      </c>
      <c r="J456" s="1">
        <v>-0.0787018867924528</v>
      </c>
      <c r="K456" s="1" t="s">
        <v>61</v>
      </c>
      <c r="L456" s="1" t="s">
        <v>61</v>
      </c>
      <c r="M456" s="1" t="s">
        <v>62</v>
      </c>
      <c r="N456" s="1">
        <v>-116.0</v>
      </c>
      <c r="O456" s="1">
        <v>0.0133629629629629</v>
      </c>
      <c r="P456" s="1" t="s">
        <v>61</v>
      </c>
      <c r="Q456" s="1" t="s">
        <v>61</v>
      </c>
      <c r="R456" s="1">
        <f t="shared" si="1"/>
        <v>0.01336296296</v>
      </c>
      <c r="S456" s="1">
        <f t="shared" si="2"/>
        <v>-116</v>
      </c>
      <c r="T456" s="1">
        <f t="shared" si="3"/>
        <v>1.862068966</v>
      </c>
      <c r="U456" s="1">
        <f t="shared" si="4"/>
        <v>0</v>
      </c>
      <c r="V456" s="3">
        <f t="shared" si="5"/>
        <v>1</v>
      </c>
      <c r="W456" s="3">
        <f t="shared" si="6"/>
        <v>2</v>
      </c>
      <c r="X456" s="3" t="str">
        <f>IFERROR(__xludf.DUMMYFUNCTION("split(B456,"" "")"),"B.")</f>
        <v>B.</v>
      </c>
      <c r="Y456" s="3" t="str">
        <f>IFERROR(__xludf.DUMMYFUNCTION("""COMPUTED_VALUE"""),"Mayfield")</f>
        <v>Mayfield</v>
      </c>
      <c r="AA456" s="3">
        <v>3.0</v>
      </c>
      <c r="AB456" s="3">
        <f t="shared" si="7"/>
        <v>1</v>
      </c>
      <c r="AC456" s="3">
        <f t="shared" si="8"/>
        <v>0</v>
      </c>
      <c r="AD456" s="3">
        <f t="shared" si="9"/>
        <v>0.8620689655</v>
      </c>
      <c r="AE456" s="3">
        <f t="shared" si="10"/>
        <v>-1</v>
      </c>
      <c r="AF456" s="3">
        <f t="shared" si="11"/>
        <v>-2</v>
      </c>
      <c r="AG456" s="3">
        <f t="shared" si="12"/>
        <v>-5</v>
      </c>
    </row>
    <row r="457">
      <c r="A457" s="1" t="s">
        <v>11</v>
      </c>
      <c r="B457" s="1" t="s">
        <v>307</v>
      </c>
      <c r="C457" s="1" t="s">
        <v>18</v>
      </c>
      <c r="D457" s="1" t="s">
        <v>113</v>
      </c>
      <c r="E457" s="1" t="s">
        <v>58</v>
      </c>
      <c r="F457" s="1" t="s">
        <v>608</v>
      </c>
      <c r="G457" s="1">
        <v>19.5</v>
      </c>
      <c r="H457" s="1" t="s">
        <v>60</v>
      </c>
      <c r="I457" s="1">
        <v>-114.0</v>
      </c>
      <c r="J457" s="1">
        <v>-0.077288366661729</v>
      </c>
      <c r="K457" s="1" t="s">
        <v>61</v>
      </c>
      <c r="L457" s="1" t="s">
        <v>61</v>
      </c>
      <c r="M457" s="1" t="s">
        <v>62</v>
      </c>
      <c r="N457" s="1">
        <v>-114.0</v>
      </c>
      <c r="O457" s="1">
        <v>0.0118927379943711</v>
      </c>
      <c r="P457" s="1" t="s">
        <v>61</v>
      </c>
      <c r="Q457" s="1" t="s">
        <v>61</v>
      </c>
      <c r="R457" s="1">
        <f t="shared" si="1"/>
        <v>0.01189273799</v>
      </c>
      <c r="S457" s="1">
        <f t="shared" si="2"/>
        <v>-114</v>
      </c>
      <c r="T457" s="1">
        <f t="shared" si="3"/>
        <v>1.877192982</v>
      </c>
      <c r="U457" s="1">
        <f t="shared" si="4"/>
        <v>0</v>
      </c>
      <c r="V457" s="3">
        <f t="shared" si="5"/>
        <v>1</v>
      </c>
      <c r="W457" s="3">
        <f t="shared" si="6"/>
        <v>2</v>
      </c>
      <c r="X457" s="3" t="str">
        <f>IFERROR(__xludf.DUMMYFUNCTION("split(B457,"" "")"),"J.")</f>
        <v>J.</v>
      </c>
      <c r="Y457" s="3" t="str">
        <f>IFERROR(__xludf.DUMMYFUNCTION("""COMPUTED_VALUE"""),"McMillan")</f>
        <v>McMillan</v>
      </c>
      <c r="AA457" s="3">
        <v>0.0</v>
      </c>
      <c r="AB457" s="3">
        <f t="shared" si="7"/>
        <v>0</v>
      </c>
      <c r="AC457" s="3">
        <f t="shared" si="8"/>
        <v>1</v>
      </c>
      <c r="AD457" s="3">
        <f t="shared" si="9"/>
        <v>0.8771929825</v>
      </c>
      <c r="AE457" s="3">
        <f t="shared" si="10"/>
        <v>0.8771929825</v>
      </c>
      <c r="AF457" s="3">
        <f t="shared" si="11"/>
        <v>1.754385965</v>
      </c>
      <c r="AG457" s="3">
        <f t="shared" si="12"/>
        <v>1</v>
      </c>
    </row>
    <row r="458">
      <c r="A458" s="1" t="s">
        <v>10</v>
      </c>
      <c r="B458" s="1" t="s">
        <v>417</v>
      </c>
      <c r="C458" s="1" t="s">
        <v>19</v>
      </c>
      <c r="D458" s="1" t="s">
        <v>113</v>
      </c>
      <c r="E458" s="1" t="s">
        <v>58</v>
      </c>
      <c r="F458" s="1" t="s">
        <v>608</v>
      </c>
      <c r="G458" s="1">
        <v>38.5</v>
      </c>
      <c r="H458" s="1" t="s">
        <v>60</v>
      </c>
      <c r="I458" s="1">
        <v>-115.0</v>
      </c>
      <c r="J458" s="1">
        <v>-0.0744101490024464</v>
      </c>
      <c r="K458" s="1" t="s">
        <v>61</v>
      </c>
      <c r="L458" s="1" t="s">
        <v>61</v>
      </c>
      <c r="M458" s="1" t="s">
        <v>62</v>
      </c>
      <c r="N458" s="1">
        <v>-115.0</v>
      </c>
      <c r="O458" s="1">
        <v>0.00467611839281334</v>
      </c>
      <c r="P458" s="1" t="s">
        <v>61</v>
      </c>
      <c r="Q458" s="1" t="s">
        <v>61</v>
      </c>
      <c r="R458" s="1">
        <f t="shared" si="1"/>
        <v>0.004676118393</v>
      </c>
      <c r="S458" s="1">
        <f t="shared" si="2"/>
        <v>-115</v>
      </c>
      <c r="T458" s="1">
        <f t="shared" si="3"/>
        <v>1.869565217</v>
      </c>
      <c r="U458" s="1">
        <f t="shared" si="4"/>
        <v>0</v>
      </c>
      <c r="V458" s="3">
        <f t="shared" si="5"/>
        <v>1</v>
      </c>
      <c r="W458" s="3">
        <f t="shared" si="6"/>
        <v>2</v>
      </c>
      <c r="X458" s="3" t="str">
        <f>IFERROR(__xludf.DUMMYFUNCTION("split(B458,"" "")"),"R.")</f>
        <v>R.</v>
      </c>
      <c r="Y458" s="3" t="str">
        <f>IFERROR(__xludf.DUMMYFUNCTION("""COMPUTED_VALUE"""),"White")</f>
        <v>White</v>
      </c>
      <c r="AA458" s="3">
        <v>0.0</v>
      </c>
      <c r="AB458" s="3">
        <f t="shared" si="7"/>
        <v>0</v>
      </c>
      <c r="AC458" s="3">
        <f t="shared" si="8"/>
        <v>1</v>
      </c>
      <c r="AD458" s="3">
        <f t="shared" si="9"/>
        <v>0.8695652174</v>
      </c>
      <c r="AE458" s="3">
        <f t="shared" si="10"/>
        <v>0.8695652174</v>
      </c>
      <c r="AF458" s="3">
        <f t="shared" si="11"/>
        <v>1.739130435</v>
      </c>
      <c r="AG458" s="3">
        <f t="shared" si="12"/>
        <v>1</v>
      </c>
    </row>
    <row r="459">
      <c r="A459" s="1" t="s">
        <v>11</v>
      </c>
      <c r="B459" s="1" t="s">
        <v>314</v>
      </c>
      <c r="C459" s="1" t="s">
        <v>18</v>
      </c>
      <c r="D459" s="1" t="s">
        <v>113</v>
      </c>
      <c r="E459" s="1" t="s">
        <v>58</v>
      </c>
      <c r="F459" s="1" t="s">
        <v>608</v>
      </c>
      <c r="G459" s="1">
        <v>64.5</v>
      </c>
      <c r="H459" s="1" t="s">
        <v>60</v>
      </c>
      <c r="I459" s="1">
        <v>-115.0</v>
      </c>
      <c r="J459" s="1">
        <v>-0.0621379754298065</v>
      </c>
      <c r="K459" s="1" t="s">
        <v>61</v>
      </c>
      <c r="L459" s="1" t="s">
        <v>61</v>
      </c>
      <c r="M459" s="1" t="s">
        <v>62</v>
      </c>
      <c r="N459" s="1">
        <v>-110.0</v>
      </c>
      <c r="O459" s="1">
        <v>0.00343848758636722</v>
      </c>
      <c r="P459" s="1" t="s">
        <v>61</v>
      </c>
      <c r="Q459" s="1" t="s">
        <v>61</v>
      </c>
      <c r="R459" s="1">
        <f t="shared" si="1"/>
        <v>0.003438487586</v>
      </c>
      <c r="S459" s="1">
        <f t="shared" si="2"/>
        <v>-110</v>
      </c>
      <c r="T459" s="1">
        <f t="shared" si="3"/>
        <v>1.909090909</v>
      </c>
      <c r="U459" s="1">
        <f t="shared" si="4"/>
        <v>0</v>
      </c>
      <c r="V459" s="3">
        <f t="shared" si="5"/>
        <v>1</v>
      </c>
      <c r="W459" s="3">
        <f t="shared" si="6"/>
        <v>2</v>
      </c>
      <c r="X459" s="3" t="str">
        <f>IFERROR(__xludf.DUMMYFUNCTION("split(B459,"" "")"),"C.")</f>
        <v>C.</v>
      </c>
      <c r="Y459" s="3" t="str">
        <f>IFERROR(__xludf.DUMMYFUNCTION("""COMPUTED_VALUE"""),"Godwin")</f>
        <v>Godwin</v>
      </c>
      <c r="AA459" s="3">
        <v>125.0</v>
      </c>
      <c r="AB459" s="3">
        <f t="shared" si="7"/>
        <v>1</v>
      </c>
      <c r="AC459" s="3">
        <f t="shared" si="8"/>
        <v>0</v>
      </c>
      <c r="AD459" s="3">
        <f t="shared" si="9"/>
        <v>0.9090909091</v>
      </c>
      <c r="AE459" s="3">
        <f t="shared" si="10"/>
        <v>-1</v>
      </c>
      <c r="AF459" s="3">
        <f t="shared" si="11"/>
        <v>-2</v>
      </c>
      <c r="AG459" s="3">
        <f t="shared" si="12"/>
        <v>-0.9379844961</v>
      </c>
    </row>
    <row r="460">
      <c r="A460" s="1" t="s">
        <v>14</v>
      </c>
      <c r="B460" s="1" t="s">
        <v>253</v>
      </c>
      <c r="C460" s="1" t="s">
        <v>21</v>
      </c>
      <c r="D460" s="1" t="s">
        <v>113</v>
      </c>
      <c r="E460" s="1" t="s">
        <v>58</v>
      </c>
      <c r="F460" s="1" t="s">
        <v>608</v>
      </c>
      <c r="G460" s="1">
        <v>1.5</v>
      </c>
      <c r="H460" s="1" t="s">
        <v>60</v>
      </c>
      <c r="I460" s="1">
        <v>-101.0</v>
      </c>
      <c r="J460" s="1">
        <v>-0.0657875621890548</v>
      </c>
      <c r="K460" s="1" t="s">
        <v>61</v>
      </c>
      <c r="L460" s="1" t="s">
        <v>61</v>
      </c>
      <c r="M460" s="1" t="s">
        <v>62</v>
      </c>
      <c r="N460" s="1">
        <v>-128.0</v>
      </c>
      <c r="O460" s="1">
        <v>0.00189649122807022</v>
      </c>
      <c r="P460" s="1" t="s">
        <v>61</v>
      </c>
      <c r="Q460" s="1" t="s">
        <v>61</v>
      </c>
      <c r="R460" s="1">
        <f t="shared" si="1"/>
        <v>0.001896491228</v>
      </c>
      <c r="S460" s="1">
        <f t="shared" si="2"/>
        <v>-128</v>
      </c>
      <c r="T460" s="1">
        <f t="shared" si="3"/>
        <v>1.78125</v>
      </c>
      <c r="U460" s="1">
        <f t="shared" si="4"/>
        <v>0</v>
      </c>
      <c r="V460" s="3">
        <f t="shared" si="5"/>
        <v>1</v>
      </c>
      <c r="W460" s="3">
        <f t="shared" si="6"/>
        <v>3</v>
      </c>
      <c r="X460" s="3" t="str">
        <f>IFERROR(__xludf.DUMMYFUNCTION("split(B460,"" "")"),"B.")</f>
        <v>B.</v>
      </c>
      <c r="Y460" s="3" t="str">
        <f>IFERROR(__xludf.DUMMYFUNCTION("""COMPUTED_VALUE"""),"Mayfield")</f>
        <v>Mayfield</v>
      </c>
      <c r="AA460" s="3">
        <v>4.0</v>
      </c>
      <c r="AB460" s="3">
        <f t="shared" si="7"/>
        <v>1</v>
      </c>
      <c r="AC460" s="3">
        <f t="shared" si="8"/>
        <v>0</v>
      </c>
      <c r="AD460" s="3">
        <f t="shared" si="9"/>
        <v>0.78125</v>
      </c>
      <c r="AE460" s="3">
        <f t="shared" si="10"/>
        <v>-1</v>
      </c>
      <c r="AF460" s="3">
        <f t="shared" si="11"/>
        <v>-3</v>
      </c>
      <c r="AG460" s="3">
        <f t="shared" si="12"/>
        <v>-1.666666667</v>
      </c>
    </row>
    <row r="461">
      <c r="A461" s="1" t="s">
        <v>9</v>
      </c>
      <c r="B461" s="1" t="s">
        <v>481</v>
      </c>
      <c r="C461" s="1" t="s">
        <v>18</v>
      </c>
      <c r="D461" s="1" t="s">
        <v>113</v>
      </c>
      <c r="E461" s="1" t="s">
        <v>58</v>
      </c>
      <c r="F461" s="1" t="s">
        <v>608</v>
      </c>
      <c r="G461" s="1">
        <v>55.5</v>
      </c>
      <c r="H461" s="1" t="s">
        <v>60</v>
      </c>
      <c r="I461" s="1">
        <v>-115.0</v>
      </c>
      <c r="J461" s="1">
        <v>0.00122296431008661</v>
      </c>
      <c r="K461" s="1" t="s">
        <v>61</v>
      </c>
      <c r="L461" s="1" t="s">
        <v>61</v>
      </c>
      <c r="M461" s="1" t="s">
        <v>62</v>
      </c>
      <c r="N461" s="1">
        <v>-115.0</v>
      </c>
      <c r="O461" s="1">
        <v>-0.0710214089565997</v>
      </c>
      <c r="P461" s="1" t="s">
        <v>61</v>
      </c>
      <c r="Q461" s="1" t="s">
        <v>61</v>
      </c>
      <c r="R461" s="1">
        <f t="shared" si="1"/>
        <v>0.00122296431</v>
      </c>
      <c r="S461" s="1">
        <f t="shared" si="2"/>
        <v>-115</v>
      </c>
      <c r="T461" s="1">
        <f t="shared" si="3"/>
        <v>1.869565217</v>
      </c>
      <c r="U461" s="1">
        <f t="shared" si="4"/>
        <v>1</v>
      </c>
      <c r="V461" s="3">
        <f t="shared" si="5"/>
        <v>1</v>
      </c>
      <c r="W461" s="3">
        <f t="shared" si="6"/>
        <v>2</v>
      </c>
      <c r="X461" s="3" t="str">
        <f>IFERROR(__xludf.DUMMYFUNCTION("split(B461,"" "")"),"M.")</f>
        <v>M.</v>
      </c>
      <c r="Y461" s="3" t="str">
        <f>IFERROR(__xludf.DUMMYFUNCTION("""COMPUTED_VALUE"""),"Evans")</f>
        <v>Evans</v>
      </c>
      <c r="AA461" s="3">
        <v>34.0</v>
      </c>
      <c r="AB461" s="3">
        <f t="shared" si="7"/>
        <v>0</v>
      </c>
      <c r="AC461" s="3">
        <f t="shared" si="8"/>
        <v>0</v>
      </c>
      <c r="AD461" s="3">
        <f t="shared" si="9"/>
        <v>0.8695652174</v>
      </c>
      <c r="AE461" s="3">
        <f t="shared" si="10"/>
        <v>-1</v>
      </c>
      <c r="AF461" s="3">
        <f t="shared" si="11"/>
        <v>-2</v>
      </c>
      <c r="AG461" s="3">
        <f t="shared" si="12"/>
        <v>-0.3873873874</v>
      </c>
    </row>
    <row r="462">
      <c r="A462" s="1" t="s">
        <v>12</v>
      </c>
      <c r="B462" s="1" t="s">
        <v>340</v>
      </c>
      <c r="C462" s="1" t="s">
        <v>19</v>
      </c>
      <c r="D462" s="1" t="s">
        <v>100</v>
      </c>
      <c r="E462" s="1" t="s">
        <v>71</v>
      </c>
      <c r="F462" s="1" t="s">
        <v>608</v>
      </c>
      <c r="G462" s="1">
        <v>2.5</v>
      </c>
      <c r="H462" s="1" t="s">
        <v>60</v>
      </c>
      <c r="I462" s="1">
        <v>-145.0</v>
      </c>
      <c r="J462" s="1">
        <v>-0.29773275877551</v>
      </c>
      <c r="K462" s="1" t="s">
        <v>61</v>
      </c>
      <c r="L462" s="1" t="s">
        <v>61</v>
      </c>
      <c r="M462" s="1" t="s">
        <v>62</v>
      </c>
      <c r="N462" s="1">
        <v>111.0</v>
      </c>
      <c r="O462" s="1">
        <v>0.231961734123222</v>
      </c>
      <c r="P462" s="1" t="s">
        <v>61</v>
      </c>
      <c r="Q462" s="1" t="s">
        <v>61</v>
      </c>
      <c r="R462" s="1">
        <f t="shared" si="1"/>
        <v>0.2319617341</v>
      </c>
      <c r="S462" s="1">
        <f t="shared" si="2"/>
        <v>111</v>
      </c>
      <c r="T462" s="1">
        <f t="shared" si="3"/>
        <v>2.11</v>
      </c>
      <c r="U462" s="1">
        <f t="shared" si="4"/>
        <v>0</v>
      </c>
      <c r="V462" s="3">
        <f t="shared" si="5"/>
        <v>3</v>
      </c>
      <c r="W462" s="3">
        <f t="shared" si="6"/>
        <v>1</v>
      </c>
      <c r="X462" s="3" t="str">
        <f>IFERROR(__xludf.DUMMYFUNCTION("split(B462,"" "")"),"T.")</f>
        <v>T.</v>
      </c>
      <c r="Y462" s="3" t="str">
        <f>IFERROR(__xludf.DUMMYFUNCTION("""COMPUTED_VALUE"""),"Pollard")</f>
        <v>Pollard</v>
      </c>
      <c r="AA462" s="3">
        <v>3.0</v>
      </c>
      <c r="AB462" s="3">
        <f t="shared" si="7"/>
        <v>1</v>
      </c>
      <c r="AC462" s="3">
        <f t="shared" si="8"/>
        <v>0</v>
      </c>
      <c r="AD462" s="3">
        <f t="shared" si="9"/>
        <v>3.33</v>
      </c>
      <c r="AE462" s="3">
        <f t="shared" si="10"/>
        <v>-3</v>
      </c>
      <c r="AF462" s="3">
        <f t="shared" si="11"/>
        <v>-1</v>
      </c>
      <c r="AG462" s="3">
        <f t="shared" si="12"/>
        <v>-0.2</v>
      </c>
    </row>
    <row r="463">
      <c r="A463" s="1" t="s">
        <v>12</v>
      </c>
      <c r="B463" s="1" t="s">
        <v>430</v>
      </c>
      <c r="C463" s="1" t="s">
        <v>20</v>
      </c>
      <c r="D463" s="1" t="s">
        <v>100</v>
      </c>
      <c r="E463" s="1" t="s">
        <v>71</v>
      </c>
      <c r="F463" s="1" t="s">
        <v>608</v>
      </c>
      <c r="G463" s="1">
        <v>1.5</v>
      </c>
      <c r="H463" s="1" t="s">
        <v>60</v>
      </c>
      <c r="I463" s="1">
        <v>-193.0</v>
      </c>
      <c r="J463" s="1">
        <v>-0.23053584358703</v>
      </c>
      <c r="K463" s="1" t="s">
        <v>61</v>
      </c>
      <c r="L463" s="1" t="s">
        <v>61</v>
      </c>
      <c r="M463" s="1" t="s">
        <v>62</v>
      </c>
      <c r="N463" s="1">
        <v>143.0</v>
      </c>
      <c r="O463" s="1">
        <v>0.160316881362139</v>
      </c>
      <c r="P463" s="1" t="s">
        <v>61</v>
      </c>
      <c r="Q463" s="1" t="s">
        <v>61</v>
      </c>
      <c r="R463" s="1">
        <f t="shared" si="1"/>
        <v>0.1603168814</v>
      </c>
      <c r="S463" s="1">
        <f t="shared" si="2"/>
        <v>143</v>
      </c>
      <c r="T463" s="1">
        <f t="shared" si="3"/>
        <v>2.43</v>
      </c>
      <c r="U463" s="1">
        <f t="shared" si="4"/>
        <v>0</v>
      </c>
      <c r="V463" s="3">
        <f t="shared" si="5"/>
        <v>3</v>
      </c>
      <c r="W463" s="3">
        <f t="shared" si="6"/>
        <v>1</v>
      </c>
      <c r="X463" s="3" t="str">
        <f>IFERROR(__xludf.DUMMYFUNCTION("split(B463,"" "")"),"C.")</f>
        <v>C.</v>
      </c>
      <c r="Y463" s="3" t="str">
        <f>IFERROR(__xludf.DUMMYFUNCTION("""COMPUTED_VALUE"""),"Okonkwo")</f>
        <v>Okonkwo</v>
      </c>
      <c r="AA463" s="3">
        <v>3.0</v>
      </c>
      <c r="AB463" s="3">
        <f t="shared" si="7"/>
        <v>1</v>
      </c>
      <c r="AC463" s="3">
        <f t="shared" si="8"/>
        <v>0</v>
      </c>
      <c r="AD463" s="3">
        <f t="shared" si="9"/>
        <v>4.29</v>
      </c>
      <c r="AE463" s="3">
        <f t="shared" si="10"/>
        <v>-3</v>
      </c>
      <c r="AF463" s="3">
        <f t="shared" si="11"/>
        <v>-1</v>
      </c>
      <c r="AG463" s="3">
        <f t="shared" si="12"/>
        <v>-1</v>
      </c>
    </row>
    <row r="464">
      <c r="A464" s="1" t="s">
        <v>8</v>
      </c>
      <c r="B464" s="1" t="s">
        <v>301</v>
      </c>
      <c r="C464" s="1" t="s">
        <v>19</v>
      </c>
      <c r="D464" s="1" t="s">
        <v>100</v>
      </c>
      <c r="E464" s="1" t="s">
        <v>71</v>
      </c>
      <c r="F464" s="1" t="s">
        <v>608</v>
      </c>
      <c r="G464" s="1">
        <v>7.5</v>
      </c>
      <c r="H464" s="1" t="s">
        <v>60</v>
      </c>
      <c r="I464" s="1">
        <v>-133.0</v>
      </c>
      <c r="J464" s="1">
        <v>-0.202608306249987</v>
      </c>
      <c r="K464" s="1" t="s">
        <v>61</v>
      </c>
      <c r="L464" s="1" t="s">
        <v>61</v>
      </c>
      <c r="M464" s="1" t="s">
        <v>62</v>
      </c>
      <c r="N464" s="1">
        <v>100.0</v>
      </c>
      <c r="O464" s="1">
        <v>0.131791676781235</v>
      </c>
      <c r="P464" s="1" t="s">
        <v>61</v>
      </c>
      <c r="Q464" s="1" t="s">
        <v>61</v>
      </c>
      <c r="R464" s="1">
        <f t="shared" si="1"/>
        <v>0.1317916768</v>
      </c>
      <c r="S464" s="1">
        <f t="shared" si="2"/>
        <v>100</v>
      </c>
      <c r="T464" s="1">
        <f t="shared" si="3"/>
        <v>2</v>
      </c>
      <c r="U464" s="1">
        <f t="shared" si="4"/>
        <v>0</v>
      </c>
      <c r="V464" s="3">
        <f t="shared" si="5"/>
        <v>3</v>
      </c>
      <c r="W464" s="3">
        <f t="shared" si="6"/>
        <v>2</v>
      </c>
      <c r="X464" s="3" t="str">
        <f>IFERROR(__xludf.DUMMYFUNCTION("split(B464,"" "")"),"T.")</f>
        <v>T.</v>
      </c>
      <c r="Y464" s="3" t="str">
        <f>IFERROR(__xludf.DUMMYFUNCTION("""COMPUTED_VALUE"""),"Spears")</f>
        <v>Spears</v>
      </c>
      <c r="AA464" s="3">
        <v>6.0</v>
      </c>
      <c r="AB464" s="3">
        <f t="shared" si="7"/>
        <v>0</v>
      </c>
      <c r="AC464" s="3">
        <f t="shared" si="8"/>
        <v>1</v>
      </c>
      <c r="AD464" s="3">
        <f t="shared" si="9"/>
        <v>3</v>
      </c>
      <c r="AE464" s="3">
        <f t="shared" si="10"/>
        <v>3</v>
      </c>
      <c r="AF464" s="3">
        <f t="shared" si="11"/>
        <v>2</v>
      </c>
      <c r="AG464" s="3">
        <f t="shared" si="12"/>
        <v>0.2</v>
      </c>
    </row>
    <row r="465">
      <c r="A465" s="1" t="s">
        <v>12</v>
      </c>
      <c r="B465" s="1" t="s">
        <v>559</v>
      </c>
      <c r="C465" s="1" t="s">
        <v>18</v>
      </c>
      <c r="D465" s="1" t="s">
        <v>100</v>
      </c>
      <c r="E465" s="1" t="s">
        <v>71</v>
      </c>
      <c r="F465" s="1" t="s">
        <v>608</v>
      </c>
      <c r="G465" s="1">
        <v>2.5</v>
      </c>
      <c r="H465" s="1" t="s">
        <v>60</v>
      </c>
      <c r="I465" s="1">
        <v>-102.0</v>
      </c>
      <c r="J465" s="1">
        <v>-0.193844557821782</v>
      </c>
      <c r="K465" s="1" t="s">
        <v>61</v>
      </c>
      <c r="L465" s="1" t="s">
        <v>61</v>
      </c>
      <c r="M465" s="1" t="s">
        <v>62</v>
      </c>
      <c r="N465" s="1">
        <v>-130.0</v>
      </c>
      <c r="O465" s="1">
        <v>0.123675829930434</v>
      </c>
      <c r="P465" s="1" t="s">
        <v>61</v>
      </c>
      <c r="Q465" s="1" t="s">
        <v>61</v>
      </c>
      <c r="R465" s="1">
        <f t="shared" si="1"/>
        <v>0.1236758299</v>
      </c>
      <c r="S465" s="1">
        <f t="shared" si="2"/>
        <v>-130</v>
      </c>
      <c r="T465" s="1">
        <f t="shared" si="3"/>
        <v>1.769230769</v>
      </c>
      <c r="U465" s="1">
        <f t="shared" si="4"/>
        <v>0</v>
      </c>
      <c r="V465" s="3">
        <f t="shared" si="5"/>
        <v>3</v>
      </c>
      <c r="W465" s="3">
        <f t="shared" si="6"/>
        <v>3</v>
      </c>
      <c r="X465" s="3" t="str">
        <f>IFERROR(__xludf.DUMMYFUNCTION("split(B465,"" "")"),"T.")</f>
        <v>T.</v>
      </c>
      <c r="Y465" s="3" t="str">
        <f>IFERROR(__xludf.DUMMYFUNCTION("""COMPUTED_VALUE"""),"Boyd")</f>
        <v>Boyd</v>
      </c>
      <c r="AA465" s="3">
        <v>3.0</v>
      </c>
      <c r="AB465" s="3">
        <f t="shared" si="7"/>
        <v>1</v>
      </c>
      <c r="AC465" s="3">
        <f t="shared" si="8"/>
        <v>0</v>
      </c>
      <c r="AD465" s="3">
        <f t="shared" si="9"/>
        <v>2.307692308</v>
      </c>
      <c r="AE465" s="3">
        <f t="shared" si="10"/>
        <v>-3</v>
      </c>
      <c r="AF465" s="3">
        <f t="shared" si="11"/>
        <v>-3</v>
      </c>
      <c r="AG465" s="3">
        <f t="shared" si="12"/>
        <v>-0.2</v>
      </c>
    </row>
    <row r="466">
      <c r="A466" s="1" t="s">
        <v>12</v>
      </c>
      <c r="B466" s="1" t="s">
        <v>301</v>
      </c>
      <c r="C466" s="1" t="s">
        <v>19</v>
      </c>
      <c r="D466" s="1" t="s">
        <v>100</v>
      </c>
      <c r="E466" s="1" t="s">
        <v>71</v>
      </c>
      <c r="F466" s="1" t="s">
        <v>608</v>
      </c>
      <c r="G466" s="1">
        <v>2.5</v>
      </c>
      <c r="H466" s="1" t="s">
        <v>60</v>
      </c>
      <c r="I466" s="1">
        <v>102.0</v>
      </c>
      <c r="J466" s="1">
        <v>-0.183992960695049</v>
      </c>
      <c r="K466" s="1" t="s">
        <v>61</v>
      </c>
      <c r="L466" s="1" t="s">
        <v>61</v>
      </c>
      <c r="M466" s="1" t="s">
        <v>62</v>
      </c>
      <c r="N466" s="1">
        <v>-136.0</v>
      </c>
      <c r="O466" s="1">
        <v>0.112664282827118</v>
      </c>
      <c r="P466" s="1" t="s">
        <v>61</v>
      </c>
      <c r="Q466" s="1" t="s">
        <v>61</v>
      </c>
      <c r="R466" s="1">
        <f t="shared" si="1"/>
        <v>0.1126642828</v>
      </c>
      <c r="S466" s="1">
        <f t="shared" si="2"/>
        <v>-136</v>
      </c>
      <c r="T466" s="1">
        <f t="shared" si="3"/>
        <v>1.735294118</v>
      </c>
      <c r="U466" s="1">
        <f t="shared" si="4"/>
        <v>0</v>
      </c>
      <c r="V466" s="3">
        <f t="shared" si="5"/>
        <v>3</v>
      </c>
      <c r="W466" s="3">
        <f t="shared" si="6"/>
        <v>3</v>
      </c>
      <c r="X466" s="3" t="str">
        <f>IFERROR(__xludf.DUMMYFUNCTION("split(B466,"" "")"),"T.")</f>
        <v>T.</v>
      </c>
      <c r="Y466" s="3" t="str">
        <f>IFERROR(__xludf.DUMMYFUNCTION("""COMPUTED_VALUE"""),"Spears")</f>
        <v>Spears</v>
      </c>
      <c r="AA466" s="3">
        <v>0.0</v>
      </c>
      <c r="AB466" s="3">
        <f t="shared" si="7"/>
        <v>0</v>
      </c>
      <c r="AC466" s="3">
        <f t="shared" si="8"/>
        <v>1</v>
      </c>
      <c r="AD466" s="3">
        <f t="shared" si="9"/>
        <v>2.205882353</v>
      </c>
      <c r="AE466" s="3">
        <f t="shared" si="10"/>
        <v>2.205882353</v>
      </c>
      <c r="AF466" s="3">
        <f t="shared" si="11"/>
        <v>2.205882353</v>
      </c>
      <c r="AG466" s="3">
        <f t="shared" si="12"/>
        <v>1</v>
      </c>
    </row>
    <row r="467">
      <c r="A467" s="1" t="s">
        <v>8</v>
      </c>
      <c r="B467" s="1" t="s">
        <v>275</v>
      </c>
      <c r="C467" s="1" t="s">
        <v>21</v>
      </c>
      <c r="D467" s="1" t="s">
        <v>100</v>
      </c>
      <c r="E467" s="1" t="s">
        <v>71</v>
      </c>
      <c r="F467" s="1" t="s">
        <v>608</v>
      </c>
      <c r="G467" s="1">
        <v>3.0</v>
      </c>
      <c r="H467" s="1" t="s">
        <v>60</v>
      </c>
      <c r="I467" s="1">
        <v>-118.0</v>
      </c>
      <c r="J467" s="1">
        <v>-0.174222799351783</v>
      </c>
      <c r="K467" s="1" t="s">
        <v>61</v>
      </c>
      <c r="L467" s="1" t="s">
        <v>61</v>
      </c>
      <c r="M467" s="1" t="s">
        <v>62</v>
      </c>
      <c r="N467" s="1">
        <v>-125.0</v>
      </c>
      <c r="O467" s="1">
        <v>0.0891287236593822</v>
      </c>
      <c r="P467" s="1" t="s">
        <v>61</v>
      </c>
      <c r="Q467" s="1" t="s">
        <v>61</v>
      </c>
      <c r="R467" s="1">
        <f t="shared" si="1"/>
        <v>0.08912872366</v>
      </c>
      <c r="S467" s="1">
        <f t="shared" si="2"/>
        <v>-125</v>
      </c>
      <c r="T467" s="1">
        <f t="shared" si="3"/>
        <v>1.8</v>
      </c>
      <c r="U467" s="1">
        <f t="shared" si="4"/>
        <v>0</v>
      </c>
      <c r="V467" s="3">
        <f t="shared" si="5"/>
        <v>2</v>
      </c>
      <c r="W467" s="3">
        <f t="shared" si="6"/>
        <v>3</v>
      </c>
      <c r="X467" s="3" t="str">
        <f>IFERROR(__xludf.DUMMYFUNCTION("split(B467,"" "")"),"W.")</f>
        <v>W.</v>
      </c>
      <c r="Y467" s="3" t="str">
        <f>IFERROR(__xludf.DUMMYFUNCTION("""COMPUTED_VALUE"""),"Levis")</f>
        <v>Levis</v>
      </c>
      <c r="AA467" s="3">
        <v>3.0</v>
      </c>
      <c r="AB467" s="3">
        <f t="shared" si="7"/>
        <v>1</v>
      </c>
      <c r="AC467" s="3">
        <f t="shared" si="8"/>
        <v>0</v>
      </c>
      <c r="AD467" s="3">
        <f t="shared" si="9"/>
        <v>1.6</v>
      </c>
      <c r="AE467" s="3">
        <f t="shared" si="10"/>
        <v>-2</v>
      </c>
      <c r="AF467" s="3">
        <f t="shared" si="11"/>
        <v>-3</v>
      </c>
      <c r="AG467" s="3">
        <f t="shared" si="12"/>
        <v>0</v>
      </c>
    </row>
    <row r="468">
      <c r="A468" s="1" t="s">
        <v>15</v>
      </c>
      <c r="B468" s="1" t="s">
        <v>275</v>
      </c>
      <c r="C468" s="1" t="s">
        <v>21</v>
      </c>
      <c r="D468" s="1" t="s">
        <v>100</v>
      </c>
      <c r="E468" s="1" t="s">
        <v>71</v>
      </c>
      <c r="F468" s="1" t="s">
        <v>608</v>
      </c>
      <c r="G468" s="1">
        <v>18.5</v>
      </c>
      <c r="H468" s="1" t="s">
        <v>60</v>
      </c>
      <c r="I468" s="1">
        <v>-128.0</v>
      </c>
      <c r="J468" s="1">
        <v>-0.143946784035087</v>
      </c>
      <c r="K468" s="1" t="s">
        <v>61</v>
      </c>
      <c r="L468" s="1" t="s">
        <v>61</v>
      </c>
      <c r="M468" s="1" t="s">
        <v>62</v>
      </c>
      <c r="N468" s="1">
        <v>-103.0</v>
      </c>
      <c r="O468" s="1">
        <v>0.0751609003093595</v>
      </c>
      <c r="P468" s="1" t="s">
        <v>61</v>
      </c>
      <c r="Q468" s="1" t="s">
        <v>61</v>
      </c>
      <c r="R468" s="1">
        <f t="shared" si="1"/>
        <v>0.07516090031</v>
      </c>
      <c r="S468" s="1">
        <f t="shared" si="2"/>
        <v>-103</v>
      </c>
      <c r="T468" s="1">
        <f t="shared" si="3"/>
        <v>1.970873786</v>
      </c>
      <c r="U468" s="1">
        <f t="shared" si="4"/>
        <v>0</v>
      </c>
      <c r="V468" s="3">
        <f t="shared" si="5"/>
        <v>2</v>
      </c>
      <c r="W468" s="3">
        <f t="shared" si="6"/>
        <v>2</v>
      </c>
      <c r="X468" s="3" t="str">
        <f>IFERROR(__xludf.DUMMYFUNCTION("split(B468,"" "")"),"W.")</f>
        <v>W.</v>
      </c>
      <c r="Y468" s="3" t="str">
        <f>IFERROR(__xludf.DUMMYFUNCTION("""COMPUTED_VALUE"""),"Levis")</f>
        <v>Levis</v>
      </c>
      <c r="AA468" s="3">
        <v>16.0</v>
      </c>
      <c r="AB468" s="3">
        <f t="shared" si="7"/>
        <v>0</v>
      </c>
      <c r="AC468" s="3">
        <f t="shared" si="8"/>
        <v>1</v>
      </c>
      <c r="AD468" s="3">
        <f t="shared" si="9"/>
        <v>1.941747573</v>
      </c>
      <c r="AE468" s="3">
        <f t="shared" si="10"/>
        <v>1.941747573</v>
      </c>
      <c r="AF468" s="3">
        <f t="shared" si="11"/>
        <v>1.941747573</v>
      </c>
      <c r="AG468" s="3">
        <f t="shared" si="12"/>
        <v>0.1351351351</v>
      </c>
    </row>
    <row r="469">
      <c r="A469" s="1" t="s">
        <v>9</v>
      </c>
      <c r="B469" s="1" t="s">
        <v>340</v>
      </c>
      <c r="C469" s="1" t="s">
        <v>19</v>
      </c>
      <c r="D469" s="1" t="s">
        <v>100</v>
      </c>
      <c r="E469" s="1" t="s">
        <v>71</v>
      </c>
      <c r="F469" s="1" t="s">
        <v>608</v>
      </c>
      <c r="G469" s="1">
        <v>84.5</v>
      </c>
      <c r="H469" s="1" t="s">
        <v>60</v>
      </c>
      <c r="I469" s="1">
        <v>-116.0</v>
      </c>
      <c r="J469" s="1">
        <v>-0.138164145374196</v>
      </c>
      <c r="K469" s="1" t="s">
        <v>61</v>
      </c>
      <c r="L469" s="1" t="s">
        <v>61</v>
      </c>
      <c r="M469" s="1" t="s">
        <v>62</v>
      </c>
      <c r="N469" s="1">
        <v>-119.0</v>
      </c>
      <c r="O469" s="1">
        <v>0.057752821584399</v>
      </c>
      <c r="P469" s="1" t="s">
        <v>61</v>
      </c>
      <c r="Q469" s="1" t="s">
        <v>61</v>
      </c>
      <c r="R469" s="1">
        <f t="shared" si="1"/>
        <v>0.05775282158</v>
      </c>
      <c r="S469" s="1">
        <f t="shared" si="2"/>
        <v>-119</v>
      </c>
      <c r="T469" s="1">
        <f t="shared" si="3"/>
        <v>1.840336134</v>
      </c>
      <c r="U469" s="1">
        <f t="shared" si="4"/>
        <v>0</v>
      </c>
      <c r="V469" s="3">
        <f t="shared" si="5"/>
        <v>2</v>
      </c>
      <c r="W469" s="3">
        <f t="shared" si="6"/>
        <v>3</v>
      </c>
      <c r="X469" s="3" t="str">
        <f>IFERROR(__xludf.DUMMYFUNCTION("split(B469,"" "")"),"T.")</f>
        <v>T.</v>
      </c>
      <c r="Y469" s="3" t="str">
        <f>IFERROR(__xludf.DUMMYFUNCTION("""COMPUTED_VALUE"""),"Pollard")</f>
        <v>Pollard</v>
      </c>
      <c r="AA469" s="3">
        <v>88.0</v>
      </c>
      <c r="AB469" s="3">
        <f t="shared" si="7"/>
        <v>1</v>
      </c>
      <c r="AC469" s="3">
        <f t="shared" si="8"/>
        <v>0</v>
      </c>
      <c r="AD469" s="3">
        <f t="shared" si="9"/>
        <v>1.680672269</v>
      </c>
      <c r="AE469" s="3">
        <f t="shared" si="10"/>
        <v>-2</v>
      </c>
      <c r="AF469" s="3">
        <f t="shared" si="11"/>
        <v>-3</v>
      </c>
      <c r="AG469" s="3">
        <f t="shared" si="12"/>
        <v>-0.04142011834</v>
      </c>
    </row>
    <row r="470">
      <c r="A470" s="1" t="s">
        <v>10</v>
      </c>
      <c r="B470" s="1" t="s">
        <v>340</v>
      </c>
      <c r="C470" s="1" t="s">
        <v>19</v>
      </c>
      <c r="D470" s="1" t="s">
        <v>100</v>
      </c>
      <c r="E470" s="1" t="s">
        <v>71</v>
      </c>
      <c r="F470" s="1" t="s">
        <v>608</v>
      </c>
      <c r="G470" s="1">
        <v>65.5</v>
      </c>
      <c r="H470" s="1" t="s">
        <v>60</v>
      </c>
      <c r="I470" s="1">
        <v>-113.0</v>
      </c>
      <c r="J470" s="1">
        <v>-0.107651601196235</v>
      </c>
      <c r="K470" s="1" t="s">
        <v>61</v>
      </c>
      <c r="L470" s="1" t="s">
        <v>61</v>
      </c>
      <c r="M470" s="1" t="s">
        <v>62</v>
      </c>
      <c r="N470" s="1">
        <v>-113.0</v>
      </c>
      <c r="O470" s="1">
        <v>0.0466359468653355</v>
      </c>
      <c r="P470" s="1" t="s">
        <v>61</v>
      </c>
      <c r="Q470" s="1" t="s">
        <v>61</v>
      </c>
      <c r="R470" s="1">
        <f t="shared" si="1"/>
        <v>0.04663594687</v>
      </c>
      <c r="S470" s="1">
        <f t="shared" si="2"/>
        <v>-113</v>
      </c>
      <c r="T470" s="1">
        <f t="shared" si="3"/>
        <v>1.884955752</v>
      </c>
      <c r="U470" s="1">
        <f t="shared" si="4"/>
        <v>0</v>
      </c>
      <c r="V470" s="3">
        <f t="shared" si="5"/>
        <v>1</v>
      </c>
      <c r="W470" s="3">
        <f t="shared" si="6"/>
        <v>2</v>
      </c>
      <c r="X470" s="3" t="str">
        <f>IFERROR(__xludf.DUMMYFUNCTION("split(B470,"" "")"),"T.")</f>
        <v>T.</v>
      </c>
      <c r="Y470" s="3" t="str">
        <f>IFERROR(__xludf.DUMMYFUNCTION("""COMPUTED_VALUE"""),"Pollard")</f>
        <v>Pollard</v>
      </c>
      <c r="AA470" s="3">
        <v>93.0</v>
      </c>
      <c r="AB470" s="3">
        <f t="shared" si="7"/>
        <v>1</v>
      </c>
      <c r="AC470" s="3">
        <f t="shared" si="8"/>
        <v>0</v>
      </c>
      <c r="AD470" s="3">
        <f t="shared" si="9"/>
        <v>0.8849557522</v>
      </c>
      <c r="AE470" s="3">
        <f t="shared" si="10"/>
        <v>-1</v>
      </c>
      <c r="AF470" s="3">
        <f t="shared" si="11"/>
        <v>-2</v>
      </c>
      <c r="AG470" s="3">
        <f t="shared" si="12"/>
        <v>-0.4198473282</v>
      </c>
    </row>
    <row r="471">
      <c r="A471" s="1" t="s">
        <v>12</v>
      </c>
      <c r="B471" s="1" t="s">
        <v>406</v>
      </c>
      <c r="C471" s="1" t="s">
        <v>18</v>
      </c>
      <c r="D471" s="1" t="s">
        <v>100</v>
      </c>
      <c r="E471" s="1" t="s">
        <v>71</v>
      </c>
      <c r="F471" s="1" t="s">
        <v>608</v>
      </c>
      <c r="G471" s="1">
        <v>3.5</v>
      </c>
      <c r="H471" s="1" t="s">
        <v>60</v>
      </c>
      <c r="I471" s="1">
        <v>100.0</v>
      </c>
      <c r="J471" s="1">
        <v>-0.10555</v>
      </c>
      <c r="K471" s="1" t="s">
        <v>61</v>
      </c>
      <c r="L471" s="1" t="s">
        <v>61</v>
      </c>
      <c r="M471" s="1" t="s">
        <v>62</v>
      </c>
      <c r="N471" s="1">
        <v>-131.0</v>
      </c>
      <c r="O471" s="1">
        <v>0.0384571428571428</v>
      </c>
      <c r="P471" s="1" t="s">
        <v>61</v>
      </c>
      <c r="Q471" s="1" t="s">
        <v>61</v>
      </c>
      <c r="R471" s="1">
        <f t="shared" si="1"/>
        <v>0.03845714286</v>
      </c>
      <c r="S471" s="1">
        <f t="shared" si="2"/>
        <v>-131</v>
      </c>
      <c r="T471" s="1">
        <f t="shared" si="3"/>
        <v>1.763358779</v>
      </c>
      <c r="U471" s="1">
        <f t="shared" si="4"/>
        <v>0</v>
      </c>
      <c r="V471" s="3">
        <f t="shared" si="5"/>
        <v>1</v>
      </c>
      <c r="W471" s="3">
        <f t="shared" si="6"/>
        <v>3</v>
      </c>
      <c r="X471" s="3" t="str">
        <f>IFERROR(__xludf.DUMMYFUNCTION("split(B471,"" "")"),"D.")</f>
        <v>D.</v>
      </c>
      <c r="Y471" s="3" t="str">
        <f>IFERROR(__xludf.DUMMYFUNCTION("""COMPUTED_VALUE"""),"Hopkins")</f>
        <v>Hopkins</v>
      </c>
      <c r="AA471" s="3">
        <v>4.0</v>
      </c>
      <c r="AB471" s="3">
        <f t="shared" si="7"/>
        <v>1</v>
      </c>
      <c r="AC471" s="3">
        <f t="shared" si="8"/>
        <v>0</v>
      </c>
      <c r="AD471" s="3">
        <f t="shared" si="9"/>
        <v>0.7633587786</v>
      </c>
      <c r="AE471" s="3">
        <f t="shared" si="10"/>
        <v>-1</v>
      </c>
      <c r="AF471" s="3">
        <f t="shared" si="11"/>
        <v>-3</v>
      </c>
      <c r="AG471" s="3">
        <f t="shared" si="12"/>
        <v>-0.1428571429</v>
      </c>
    </row>
    <row r="472">
      <c r="A472" s="1" t="s">
        <v>16</v>
      </c>
      <c r="B472" s="1" t="s">
        <v>275</v>
      </c>
      <c r="C472" s="1" t="s">
        <v>21</v>
      </c>
      <c r="D472" s="1" t="s">
        <v>100</v>
      </c>
      <c r="E472" s="1" t="s">
        <v>71</v>
      </c>
      <c r="F472" s="1" t="s">
        <v>608</v>
      </c>
      <c r="G472" s="1">
        <v>29.5</v>
      </c>
      <c r="H472" s="1" t="s">
        <v>60</v>
      </c>
      <c r="I472" s="1">
        <v>-109.0</v>
      </c>
      <c r="J472" s="1">
        <v>-0.101225285550239</v>
      </c>
      <c r="K472" s="1" t="s">
        <v>61</v>
      </c>
      <c r="L472" s="1" t="s">
        <v>61</v>
      </c>
      <c r="M472" s="1" t="s">
        <v>62</v>
      </c>
      <c r="N472" s="1">
        <v>-121.0</v>
      </c>
      <c r="O472" s="1">
        <v>0.0321964636325792</v>
      </c>
      <c r="P472" s="1" t="s">
        <v>61</v>
      </c>
      <c r="Q472" s="1" t="s">
        <v>61</v>
      </c>
      <c r="R472" s="1">
        <f t="shared" si="1"/>
        <v>0.03219646363</v>
      </c>
      <c r="S472" s="1">
        <f t="shared" si="2"/>
        <v>-121</v>
      </c>
      <c r="T472" s="1">
        <f t="shared" si="3"/>
        <v>1.826446281</v>
      </c>
      <c r="U472" s="1">
        <f t="shared" si="4"/>
        <v>0</v>
      </c>
      <c r="V472" s="3">
        <f t="shared" si="5"/>
        <v>1</v>
      </c>
      <c r="W472" s="3">
        <f t="shared" si="6"/>
        <v>3</v>
      </c>
      <c r="X472" s="3" t="str">
        <f>IFERROR(__xludf.DUMMYFUNCTION("split(B472,"" "")"),"W.")</f>
        <v>W.</v>
      </c>
      <c r="Y472" s="3" t="str">
        <f>IFERROR(__xludf.DUMMYFUNCTION("""COMPUTED_VALUE"""),"Levis")</f>
        <v>Levis</v>
      </c>
      <c r="AA472" s="3">
        <v>27.0</v>
      </c>
      <c r="AB472" s="3">
        <f t="shared" si="7"/>
        <v>0</v>
      </c>
      <c r="AC472" s="3">
        <f t="shared" si="8"/>
        <v>1</v>
      </c>
      <c r="AD472" s="3">
        <f t="shared" si="9"/>
        <v>0.826446281</v>
      </c>
      <c r="AE472" s="3">
        <f t="shared" si="10"/>
        <v>0.826446281</v>
      </c>
      <c r="AF472" s="3">
        <f t="shared" si="11"/>
        <v>2.479338843</v>
      </c>
      <c r="AG472" s="3">
        <f t="shared" si="12"/>
        <v>0.08474576271</v>
      </c>
    </row>
    <row r="473">
      <c r="A473" s="1" t="s">
        <v>10</v>
      </c>
      <c r="B473" s="1" t="s">
        <v>275</v>
      </c>
      <c r="C473" s="1" t="s">
        <v>21</v>
      </c>
      <c r="D473" s="1" t="s">
        <v>100</v>
      </c>
      <c r="E473" s="1" t="s">
        <v>71</v>
      </c>
      <c r="F473" s="1" t="s">
        <v>608</v>
      </c>
      <c r="G473" s="1">
        <v>12.5</v>
      </c>
      <c r="H473" s="1" t="s">
        <v>60</v>
      </c>
      <c r="I473" s="1">
        <v>-117.0</v>
      </c>
      <c r="J473" s="1">
        <v>-0.0922548938188199</v>
      </c>
      <c r="K473" s="1" t="s">
        <v>61</v>
      </c>
      <c r="L473" s="1" t="s">
        <v>61</v>
      </c>
      <c r="M473" s="1" t="s">
        <v>62</v>
      </c>
      <c r="N473" s="1">
        <v>-109.0</v>
      </c>
      <c r="O473" s="1">
        <v>0.0315644020811746</v>
      </c>
      <c r="P473" s="1" t="s">
        <v>61</v>
      </c>
      <c r="Q473" s="1" t="s">
        <v>61</v>
      </c>
      <c r="R473" s="1">
        <f t="shared" si="1"/>
        <v>0.03156440208</v>
      </c>
      <c r="S473" s="1">
        <f t="shared" si="2"/>
        <v>-109</v>
      </c>
      <c r="T473" s="1">
        <f t="shared" si="3"/>
        <v>1.917431193</v>
      </c>
      <c r="U473" s="1">
        <f t="shared" si="4"/>
        <v>0</v>
      </c>
      <c r="V473" s="3">
        <f t="shared" si="5"/>
        <v>1</v>
      </c>
      <c r="W473" s="3">
        <f t="shared" si="6"/>
        <v>2</v>
      </c>
      <c r="X473" s="3" t="str">
        <f>IFERROR(__xludf.DUMMYFUNCTION("split(B473,"" "")"),"W.")</f>
        <v>W.</v>
      </c>
      <c r="Y473" s="3" t="str">
        <f>IFERROR(__xludf.DUMMYFUNCTION("""COMPUTED_VALUE"""),"Levis")</f>
        <v>Levis</v>
      </c>
      <c r="AA473" s="3">
        <v>15.0</v>
      </c>
      <c r="AB473" s="3">
        <f t="shared" si="7"/>
        <v>1</v>
      </c>
      <c r="AC473" s="3">
        <f t="shared" si="8"/>
        <v>0</v>
      </c>
      <c r="AD473" s="3">
        <f t="shared" si="9"/>
        <v>0.9174311927</v>
      </c>
      <c r="AE473" s="3">
        <f t="shared" si="10"/>
        <v>-1</v>
      </c>
      <c r="AF473" s="3">
        <f t="shared" si="11"/>
        <v>-2</v>
      </c>
      <c r="AG473" s="3">
        <f t="shared" si="12"/>
        <v>-0.2</v>
      </c>
    </row>
    <row r="474">
      <c r="A474" s="1" t="s">
        <v>12</v>
      </c>
      <c r="B474" s="1" t="s">
        <v>437</v>
      </c>
      <c r="C474" s="1" t="s">
        <v>18</v>
      </c>
      <c r="D474" s="1" t="s">
        <v>100</v>
      </c>
      <c r="E474" s="1" t="s">
        <v>71</v>
      </c>
      <c r="F474" s="1" t="s">
        <v>608</v>
      </c>
      <c r="G474" s="1">
        <v>3.5</v>
      </c>
      <c r="H474" s="1" t="s">
        <v>60</v>
      </c>
      <c r="I474" s="1">
        <v>-104.0</v>
      </c>
      <c r="J474" s="1">
        <v>-0.0971549019607842</v>
      </c>
      <c r="K474" s="1" t="s">
        <v>61</v>
      </c>
      <c r="L474" s="1" t="s">
        <v>61</v>
      </c>
      <c r="M474" s="1" t="s">
        <v>62</v>
      </c>
      <c r="N474" s="1">
        <v>-126.0</v>
      </c>
      <c r="O474" s="1">
        <v>0.0298221238938052</v>
      </c>
      <c r="P474" s="1" t="s">
        <v>61</v>
      </c>
      <c r="Q474" s="1" t="s">
        <v>61</v>
      </c>
      <c r="R474" s="1">
        <f t="shared" si="1"/>
        <v>0.02982212389</v>
      </c>
      <c r="S474" s="1">
        <f t="shared" si="2"/>
        <v>-126</v>
      </c>
      <c r="T474" s="1">
        <f t="shared" si="3"/>
        <v>1.793650794</v>
      </c>
      <c r="U474" s="1">
        <f t="shared" si="4"/>
        <v>0</v>
      </c>
      <c r="V474" s="3">
        <f t="shared" si="5"/>
        <v>1</v>
      </c>
      <c r="W474" s="3">
        <f t="shared" si="6"/>
        <v>3</v>
      </c>
      <c r="X474" s="3" t="str">
        <f>IFERROR(__xludf.DUMMYFUNCTION("split(B474,"" "")"),"C.")</f>
        <v>C.</v>
      </c>
      <c r="Y474" s="3" t="str">
        <f>IFERROR(__xludf.DUMMYFUNCTION("""COMPUTED_VALUE"""),"Ridley")</f>
        <v>Ridley</v>
      </c>
      <c r="AA474" s="3">
        <v>0.0</v>
      </c>
      <c r="AB474" s="3">
        <f t="shared" si="7"/>
        <v>0</v>
      </c>
      <c r="AC474" s="3">
        <f t="shared" si="8"/>
        <v>1</v>
      </c>
      <c r="AD474" s="3">
        <f t="shared" si="9"/>
        <v>0.7936507937</v>
      </c>
      <c r="AE474" s="3">
        <f t="shared" si="10"/>
        <v>0.7936507937</v>
      </c>
      <c r="AF474" s="3">
        <f t="shared" si="11"/>
        <v>2.380952381</v>
      </c>
      <c r="AG474" s="3">
        <f t="shared" si="12"/>
        <v>1</v>
      </c>
    </row>
    <row r="475">
      <c r="A475" s="1" t="s">
        <v>12</v>
      </c>
      <c r="B475" s="1" t="s">
        <v>563</v>
      </c>
      <c r="C475" s="1" t="s">
        <v>20</v>
      </c>
      <c r="D475" s="1" t="s">
        <v>100</v>
      </c>
      <c r="E475" s="1" t="s">
        <v>71</v>
      </c>
      <c r="F475" s="1" t="s">
        <v>608</v>
      </c>
      <c r="G475" s="1">
        <v>1.5</v>
      </c>
      <c r="H475" s="1" t="s">
        <v>60</v>
      </c>
      <c r="I475" s="1">
        <v>144.0</v>
      </c>
      <c r="J475" s="1">
        <v>-0.091920090597377</v>
      </c>
      <c r="K475" s="1" t="s">
        <v>61</v>
      </c>
      <c r="L475" s="1" t="s">
        <v>61</v>
      </c>
      <c r="M475" s="1" t="s">
        <v>62</v>
      </c>
      <c r="N475" s="1">
        <v>-190.0</v>
      </c>
      <c r="O475" s="1">
        <v>0.0269098515348275</v>
      </c>
      <c r="P475" s="1" t="s">
        <v>61</v>
      </c>
      <c r="Q475" s="1" t="s">
        <v>61</v>
      </c>
      <c r="R475" s="1">
        <f t="shared" si="1"/>
        <v>0.02690985153</v>
      </c>
      <c r="S475" s="1">
        <f t="shared" si="2"/>
        <v>-190</v>
      </c>
      <c r="T475" s="1">
        <f t="shared" si="3"/>
        <v>1.526315789</v>
      </c>
      <c r="U475" s="1">
        <f t="shared" si="4"/>
        <v>0</v>
      </c>
      <c r="V475" s="3">
        <f t="shared" si="5"/>
        <v>1</v>
      </c>
      <c r="W475" s="3">
        <f t="shared" si="6"/>
        <v>3</v>
      </c>
      <c r="X475" s="3" t="str">
        <f>IFERROR(__xludf.DUMMYFUNCTION("split(B475,"" "")"),"J.")</f>
        <v>J.</v>
      </c>
      <c r="Y475" s="3" t="str">
        <f>IFERROR(__xludf.DUMMYFUNCTION("""COMPUTED_VALUE"""),"Whyle")</f>
        <v>Whyle</v>
      </c>
      <c r="AA475" s="3">
        <v>1.0</v>
      </c>
      <c r="AB475" s="3">
        <f t="shared" si="7"/>
        <v>0</v>
      </c>
      <c r="AC475" s="3">
        <f t="shared" si="8"/>
        <v>1</v>
      </c>
      <c r="AD475" s="3">
        <f t="shared" si="9"/>
        <v>0.5263157895</v>
      </c>
      <c r="AE475" s="3">
        <f t="shared" si="10"/>
        <v>0.5263157895</v>
      </c>
      <c r="AF475" s="3">
        <f t="shared" si="11"/>
        <v>1.578947368</v>
      </c>
      <c r="AG475" s="3">
        <f t="shared" si="12"/>
        <v>0.3333333333</v>
      </c>
    </row>
    <row r="476">
      <c r="A476" s="1" t="s">
        <v>11</v>
      </c>
      <c r="B476" s="1" t="s">
        <v>559</v>
      </c>
      <c r="C476" s="1" t="s">
        <v>18</v>
      </c>
      <c r="D476" s="1" t="s">
        <v>100</v>
      </c>
      <c r="E476" s="1" t="s">
        <v>71</v>
      </c>
      <c r="F476" s="1" t="s">
        <v>608</v>
      </c>
      <c r="G476" s="1">
        <v>24.5</v>
      </c>
      <c r="H476" s="1" t="s">
        <v>60</v>
      </c>
      <c r="I476" s="1">
        <v>-113.0</v>
      </c>
      <c r="J476" s="1">
        <v>-0.0941264520981408</v>
      </c>
      <c r="K476" s="1" t="s">
        <v>61</v>
      </c>
      <c r="L476" s="1" t="s">
        <v>61</v>
      </c>
      <c r="M476" s="1" t="s">
        <v>62</v>
      </c>
      <c r="N476" s="1">
        <v>-116.0</v>
      </c>
      <c r="O476" s="1">
        <v>0.0266175915944844</v>
      </c>
      <c r="P476" s="1" t="s">
        <v>61</v>
      </c>
      <c r="Q476" s="1" t="s">
        <v>61</v>
      </c>
      <c r="R476" s="1">
        <f t="shared" si="1"/>
        <v>0.02661759159</v>
      </c>
      <c r="S476" s="1">
        <f t="shared" si="2"/>
        <v>-116</v>
      </c>
      <c r="T476" s="1">
        <f t="shared" si="3"/>
        <v>1.862068966</v>
      </c>
      <c r="U476" s="1">
        <f t="shared" si="4"/>
        <v>0</v>
      </c>
      <c r="V476" s="3">
        <f t="shared" si="5"/>
        <v>1</v>
      </c>
      <c r="W476" s="3">
        <f t="shared" si="6"/>
        <v>2</v>
      </c>
      <c r="X476" s="3" t="str">
        <f>IFERROR(__xludf.DUMMYFUNCTION("split(B476,"" "")"),"T.")</f>
        <v>T.</v>
      </c>
      <c r="Y476" s="3" t="str">
        <f>IFERROR(__xludf.DUMMYFUNCTION("""COMPUTED_VALUE"""),"Boyd")</f>
        <v>Boyd</v>
      </c>
      <c r="AA476" s="3">
        <v>19.0</v>
      </c>
      <c r="AB476" s="3">
        <f t="shared" si="7"/>
        <v>0</v>
      </c>
      <c r="AC476" s="3">
        <f t="shared" si="8"/>
        <v>1</v>
      </c>
      <c r="AD476" s="3">
        <f t="shared" si="9"/>
        <v>0.8620689655</v>
      </c>
      <c r="AE476" s="3">
        <f t="shared" si="10"/>
        <v>0.8620689655</v>
      </c>
      <c r="AF476" s="3">
        <f t="shared" si="11"/>
        <v>1.724137931</v>
      </c>
      <c r="AG476" s="3">
        <f t="shared" si="12"/>
        <v>0.2244897959</v>
      </c>
    </row>
    <row r="477">
      <c r="A477" s="1" t="s">
        <v>9</v>
      </c>
      <c r="B477" s="1" t="s">
        <v>559</v>
      </c>
      <c r="C477" s="1" t="s">
        <v>18</v>
      </c>
      <c r="D477" s="1" t="s">
        <v>100</v>
      </c>
      <c r="E477" s="1" t="s">
        <v>71</v>
      </c>
      <c r="F477" s="1" t="s">
        <v>608</v>
      </c>
      <c r="G477" s="1">
        <v>25.5</v>
      </c>
      <c r="H477" s="1" t="s">
        <v>60</v>
      </c>
      <c r="I477" s="1">
        <v>-114.0</v>
      </c>
      <c r="J477" s="1">
        <v>0.0246221333188902</v>
      </c>
      <c r="K477" s="1" t="s">
        <v>61</v>
      </c>
      <c r="L477" s="1" t="s">
        <v>61</v>
      </c>
      <c r="M477" s="1" t="s">
        <v>62</v>
      </c>
      <c r="N477" s="1">
        <v>-118.0</v>
      </c>
      <c r="O477" s="1">
        <v>-0.0986219500260833</v>
      </c>
      <c r="P477" s="1" t="s">
        <v>61</v>
      </c>
      <c r="Q477" s="1" t="s">
        <v>61</v>
      </c>
      <c r="R477" s="1">
        <f t="shared" si="1"/>
        <v>0.02462213332</v>
      </c>
      <c r="S477" s="1">
        <f t="shared" si="2"/>
        <v>-114</v>
      </c>
      <c r="T477" s="1">
        <f t="shared" si="3"/>
        <v>1.877192982</v>
      </c>
      <c r="U477" s="1">
        <f t="shared" si="4"/>
        <v>1</v>
      </c>
      <c r="V477" s="3">
        <f t="shared" si="5"/>
        <v>1</v>
      </c>
      <c r="W477" s="3">
        <f t="shared" si="6"/>
        <v>2</v>
      </c>
      <c r="X477" s="3" t="str">
        <f>IFERROR(__xludf.DUMMYFUNCTION("split(B477,"" "")"),"T.")</f>
        <v>T.</v>
      </c>
      <c r="Y477" s="3" t="str">
        <f>IFERROR(__xludf.DUMMYFUNCTION("""COMPUTED_VALUE"""),"Boyd")</f>
        <v>Boyd</v>
      </c>
      <c r="AA477" s="3">
        <v>19.0</v>
      </c>
      <c r="AB477" s="3">
        <f t="shared" si="7"/>
        <v>0</v>
      </c>
      <c r="AC477" s="3">
        <f t="shared" si="8"/>
        <v>0</v>
      </c>
      <c r="AD477" s="3">
        <f t="shared" si="9"/>
        <v>0.8771929825</v>
      </c>
      <c r="AE477" s="3">
        <f t="shared" si="10"/>
        <v>-1</v>
      </c>
      <c r="AF477" s="3">
        <f t="shared" si="11"/>
        <v>-2</v>
      </c>
      <c r="AG477" s="3">
        <f t="shared" si="12"/>
        <v>-0.2549019608</v>
      </c>
    </row>
    <row r="478">
      <c r="A478" s="1" t="s">
        <v>11</v>
      </c>
      <c r="B478" s="1" t="s">
        <v>340</v>
      </c>
      <c r="C478" s="1" t="s">
        <v>19</v>
      </c>
      <c r="D478" s="1" t="s">
        <v>100</v>
      </c>
      <c r="E478" s="1" t="s">
        <v>71</v>
      </c>
      <c r="F478" s="1" t="s">
        <v>608</v>
      </c>
      <c r="G478" s="1">
        <v>17.5</v>
      </c>
      <c r="H478" s="1" t="s">
        <v>60</v>
      </c>
      <c r="I478" s="1">
        <v>-114.0</v>
      </c>
      <c r="J478" s="1">
        <v>-0.0858000770823658</v>
      </c>
      <c r="K478" s="1" t="s">
        <v>61</v>
      </c>
      <c r="L478" s="1" t="s">
        <v>61</v>
      </c>
      <c r="M478" s="1" t="s">
        <v>62</v>
      </c>
      <c r="N478" s="1">
        <v>-114.0</v>
      </c>
      <c r="O478" s="1">
        <v>0.0204340878738971</v>
      </c>
      <c r="P478" s="1" t="s">
        <v>61</v>
      </c>
      <c r="Q478" s="1" t="s">
        <v>61</v>
      </c>
      <c r="R478" s="1">
        <f t="shared" si="1"/>
        <v>0.02043408787</v>
      </c>
      <c r="S478" s="1">
        <f t="shared" si="2"/>
        <v>-114</v>
      </c>
      <c r="T478" s="1">
        <f t="shared" si="3"/>
        <v>1.877192982</v>
      </c>
      <c r="U478" s="1">
        <f t="shared" si="4"/>
        <v>0</v>
      </c>
      <c r="V478" s="3">
        <f t="shared" si="5"/>
        <v>1</v>
      </c>
      <c r="W478" s="3">
        <f t="shared" si="6"/>
        <v>2</v>
      </c>
      <c r="X478" s="3" t="str">
        <f>IFERROR(__xludf.DUMMYFUNCTION("split(B478,"" "")"),"T.")</f>
        <v>T.</v>
      </c>
      <c r="Y478" s="3" t="str">
        <f>IFERROR(__xludf.DUMMYFUNCTION("""COMPUTED_VALUE"""),"Pollard")</f>
        <v>Pollard</v>
      </c>
      <c r="AA478" s="3">
        <v>-5.0</v>
      </c>
      <c r="AB478" s="3">
        <f t="shared" si="7"/>
        <v>0</v>
      </c>
      <c r="AC478" s="3">
        <f t="shared" si="8"/>
        <v>1</v>
      </c>
      <c r="AD478" s="3">
        <f t="shared" si="9"/>
        <v>0.8771929825</v>
      </c>
      <c r="AE478" s="3">
        <f t="shared" si="10"/>
        <v>0.8771929825</v>
      </c>
      <c r="AF478" s="3">
        <f t="shared" si="11"/>
        <v>1.754385965</v>
      </c>
      <c r="AG478" s="3">
        <f t="shared" si="12"/>
        <v>1.285714286</v>
      </c>
    </row>
    <row r="479">
      <c r="A479" s="1" t="s">
        <v>14</v>
      </c>
      <c r="B479" s="1" t="s">
        <v>275</v>
      </c>
      <c r="C479" s="1" t="s">
        <v>21</v>
      </c>
      <c r="D479" s="1" t="s">
        <v>100</v>
      </c>
      <c r="E479" s="1" t="s">
        <v>71</v>
      </c>
      <c r="F479" s="1" t="s">
        <v>608</v>
      </c>
      <c r="G479" s="1">
        <v>1.5</v>
      </c>
      <c r="H479" s="1" t="s">
        <v>60</v>
      </c>
      <c r="I479" s="1">
        <v>179.0</v>
      </c>
      <c r="J479" s="1">
        <v>0.0185770609318995</v>
      </c>
      <c r="K479" s="1" t="s">
        <v>61</v>
      </c>
      <c r="L479" s="1" t="s">
        <v>61</v>
      </c>
      <c r="M479" s="1" t="s">
        <v>62</v>
      </c>
      <c r="N479" s="1">
        <v>-237.0</v>
      </c>
      <c r="O479" s="1">
        <v>-0.0802640949554895</v>
      </c>
      <c r="P479" s="1" t="s">
        <v>61</v>
      </c>
      <c r="Q479" s="1" t="s">
        <v>61</v>
      </c>
      <c r="R479" s="1">
        <f t="shared" si="1"/>
        <v>0.01857706093</v>
      </c>
      <c r="S479" s="1">
        <f t="shared" si="2"/>
        <v>179</v>
      </c>
      <c r="T479" s="1">
        <f t="shared" si="3"/>
        <v>2.79</v>
      </c>
      <c r="U479" s="1">
        <f t="shared" si="4"/>
        <v>1</v>
      </c>
      <c r="V479" s="3">
        <f t="shared" si="5"/>
        <v>1</v>
      </c>
      <c r="W479" s="3">
        <f t="shared" si="6"/>
        <v>1</v>
      </c>
      <c r="X479" s="3" t="str">
        <f>IFERROR(__xludf.DUMMYFUNCTION("split(B479,"" "")"),"W.")</f>
        <v>W.</v>
      </c>
      <c r="Y479" s="3" t="str">
        <f>IFERROR(__xludf.DUMMYFUNCTION("""COMPUTED_VALUE"""),"Levis")</f>
        <v>Levis</v>
      </c>
      <c r="AA479" s="3">
        <v>1.0</v>
      </c>
      <c r="AB479" s="3">
        <f t="shared" si="7"/>
        <v>0</v>
      </c>
      <c r="AC479" s="3">
        <f t="shared" si="8"/>
        <v>0</v>
      </c>
      <c r="AD479" s="3">
        <f t="shared" si="9"/>
        <v>1.79</v>
      </c>
      <c r="AE479" s="3">
        <f t="shared" si="10"/>
        <v>-1</v>
      </c>
      <c r="AF479" s="3">
        <f t="shared" si="11"/>
        <v>-1</v>
      </c>
      <c r="AG479" s="3">
        <f t="shared" si="12"/>
        <v>-0.3333333333</v>
      </c>
    </row>
    <row r="480">
      <c r="A480" s="1" t="s">
        <v>11</v>
      </c>
      <c r="B480" s="1" t="s">
        <v>563</v>
      </c>
      <c r="C480" s="1" t="s">
        <v>20</v>
      </c>
      <c r="D480" s="1" t="s">
        <v>100</v>
      </c>
      <c r="E480" s="1" t="s">
        <v>71</v>
      </c>
      <c r="F480" s="1" t="s">
        <v>608</v>
      </c>
      <c r="G480" s="1">
        <v>9.5</v>
      </c>
      <c r="H480" s="1" t="s">
        <v>60</v>
      </c>
      <c r="I480" s="1">
        <v>-110.0</v>
      </c>
      <c r="J480" s="1">
        <v>0.0150336939492266</v>
      </c>
      <c r="K480" s="1" t="s">
        <v>61</v>
      </c>
      <c r="L480" s="1" t="s">
        <v>61</v>
      </c>
      <c r="M480" s="1" t="s">
        <v>62</v>
      </c>
      <c r="N480" s="1">
        <v>-114.0</v>
      </c>
      <c r="O480" s="1">
        <v>-0.0715111510815179</v>
      </c>
      <c r="P480" s="1" t="s">
        <v>61</v>
      </c>
      <c r="Q480" s="1" t="s">
        <v>61</v>
      </c>
      <c r="R480" s="1">
        <f t="shared" si="1"/>
        <v>0.01503369395</v>
      </c>
      <c r="S480" s="1">
        <f t="shared" si="2"/>
        <v>-110</v>
      </c>
      <c r="T480" s="1">
        <f t="shared" si="3"/>
        <v>1.909090909</v>
      </c>
      <c r="U480" s="1">
        <f t="shared" si="4"/>
        <v>1</v>
      </c>
      <c r="V480" s="3">
        <f t="shared" si="5"/>
        <v>1</v>
      </c>
      <c r="W480" s="3">
        <f t="shared" si="6"/>
        <v>2</v>
      </c>
      <c r="X480" s="3" t="str">
        <f>IFERROR(__xludf.DUMMYFUNCTION("split(B480,"" "")"),"J.")</f>
        <v>J.</v>
      </c>
      <c r="Y480" s="3" t="str">
        <f>IFERROR(__xludf.DUMMYFUNCTION("""COMPUTED_VALUE"""),"Whyle")</f>
        <v>Whyle</v>
      </c>
      <c r="AA480" s="3">
        <v>2.0</v>
      </c>
      <c r="AB480" s="3">
        <f t="shared" si="7"/>
        <v>0</v>
      </c>
      <c r="AC480" s="3">
        <f t="shared" si="8"/>
        <v>0</v>
      </c>
      <c r="AD480" s="3">
        <f t="shared" si="9"/>
        <v>0.9090909091</v>
      </c>
      <c r="AE480" s="3">
        <f t="shared" si="10"/>
        <v>-1</v>
      </c>
      <c r="AF480" s="3">
        <f t="shared" si="11"/>
        <v>-2</v>
      </c>
      <c r="AG480" s="3">
        <f t="shared" si="12"/>
        <v>-0.7894736842</v>
      </c>
    </row>
    <row r="481">
      <c r="A481" s="1" t="s">
        <v>11</v>
      </c>
      <c r="B481" s="1" t="s">
        <v>406</v>
      </c>
      <c r="C481" s="1" t="s">
        <v>18</v>
      </c>
      <c r="D481" s="1" t="s">
        <v>100</v>
      </c>
      <c r="E481" s="1" t="s">
        <v>71</v>
      </c>
      <c r="F481" s="1" t="s">
        <v>608</v>
      </c>
      <c r="G481" s="1">
        <v>39.5</v>
      </c>
      <c r="H481" s="1" t="s">
        <v>60</v>
      </c>
      <c r="I481" s="1">
        <v>-118.0</v>
      </c>
      <c r="J481" s="1">
        <v>-0.0822910973012843</v>
      </c>
      <c r="K481" s="1" t="s">
        <v>61</v>
      </c>
      <c r="L481" s="1" t="s">
        <v>61</v>
      </c>
      <c r="M481" s="1" t="s">
        <v>62</v>
      </c>
      <c r="N481" s="1">
        <v>-111.0</v>
      </c>
      <c r="O481" s="1">
        <v>0.014911526384962</v>
      </c>
      <c r="P481" s="1" t="s">
        <v>61</v>
      </c>
      <c r="Q481" s="1" t="s">
        <v>61</v>
      </c>
      <c r="R481" s="1">
        <f t="shared" si="1"/>
        <v>0.01491152638</v>
      </c>
      <c r="S481" s="1">
        <f t="shared" si="2"/>
        <v>-111</v>
      </c>
      <c r="T481" s="1">
        <f t="shared" si="3"/>
        <v>1.900900901</v>
      </c>
      <c r="U481" s="1">
        <f t="shared" si="4"/>
        <v>0</v>
      </c>
      <c r="V481" s="3">
        <f t="shared" si="5"/>
        <v>1</v>
      </c>
      <c r="W481" s="3">
        <f t="shared" si="6"/>
        <v>2</v>
      </c>
      <c r="X481" s="3" t="str">
        <f>IFERROR(__xludf.DUMMYFUNCTION("split(B481,"" "")"),"D.")</f>
        <v>D.</v>
      </c>
      <c r="Y481" s="3" t="str">
        <f>IFERROR(__xludf.DUMMYFUNCTION("""COMPUTED_VALUE"""),"Hopkins")</f>
        <v>Hopkins</v>
      </c>
      <c r="AA481" s="3">
        <v>54.0</v>
      </c>
      <c r="AB481" s="3">
        <f t="shared" si="7"/>
        <v>1</v>
      </c>
      <c r="AC481" s="3">
        <f t="shared" si="8"/>
        <v>0</v>
      </c>
      <c r="AD481" s="3">
        <f t="shared" si="9"/>
        <v>0.9009009009</v>
      </c>
      <c r="AE481" s="3">
        <f t="shared" si="10"/>
        <v>-1</v>
      </c>
      <c r="AF481" s="3">
        <f t="shared" si="11"/>
        <v>-2</v>
      </c>
      <c r="AG481" s="3">
        <f t="shared" si="12"/>
        <v>-0.3670886076</v>
      </c>
    </row>
    <row r="482">
      <c r="A482" s="1" t="s">
        <v>11</v>
      </c>
      <c r="B482" s="1" t="s">
        <v>437</v>
      </c>
      <c r="C482" s="1" t="s">
        <v>18</v>
      </c>
      <c r="D482" s="1" t="s">
        <v>100</v>
      </c>
      <c r="E482" s="1" t="s">
        <v>71</v>
      </c>
      <c r="F482" s="1" t="s">
        <v>608</v>
      </c>
      <c r="G482" s="1">
        <v>44.5</v>
      </c>
      <c r="H482" s="1" t="s">
        <v>60</v>
      </c>
      <c r="I482" s="1">
        <v>-118.0</v>
      </c>
      <c r="J482" s="1">
        <v>-0.0745703737937616</v>
      </c>
      <c r="K482" s="1" t="s">
        <v>61</v>
      </c>
      <c r="L482" s="1" t="s">
        <v>61</v>
      </c>
      <c r="M482" s="1" t="s">
        <v>62</v>
      </c>
      <c r="N482" s="1">
        <v>-108.0</v>
      </c>
      <c r="O482" s="1">
        <v>0.0140790126714617</v>
      </c>
      <c r="P482" s="1" t="s">
        <v>61</v>
      </c>
      <c r="Q482" s="1" t="s">
        <v>61</v>
      </c>
      <c r="R482" s="1">
        <f t="shared" si="1"/>
        <v>0.01407901267</v>
      </c>
      <c r="S482" s="1">
        <f t="shared" si="2"/>
        <v>-108</v>
      </c>
      <c r="T482" s="1">
        <f t="shared" si="3"/>
        <v>1.925925926</v>
      </c>
      <c r="U482" s="1">
        <f t="shared" si="4"/>
        <v>0</v>
      </c>
      <c r="V482" s="3">
        <f t="shared" si="5"/>
        <v>1</v>
      </c>
      <c r="W482" s="3">
        <f t="shared" si="6"/>
        <v>2</v>
      </c>
      <c r="X482" s="3" t="str">
        <f>IFERROR(__xludf.DUMMYFUNCTION("split(B482,"" "")"),"C.")</f>
        <v>C.</v>
      </c>
      <c r="Y482" s="3" t="str">
        <f>IFERROR(__xludf.DUMMYFUNCTION("""COMPUTED_VALUE"""),"Ridley")</f>
        <v>Ridley</v>
      </c>
      <c r="AA482" s="3">
        <v>0.0</v>
      </c>
      <c r="AB482" s="3">
        <f t="shared" si="7"/>
        <v>0</v>
      </c>
      <c r="AC482" s="3">
        <f t="shared" si="8"/>
        <v>1</v>
      </c>
      <c r="AD482" s="3">
        <f t="shared" si="9"/>
        <v>0.9259259259</v>
      </c>
      <c r="AE482" s="3">
        <f t="shared" si="10"/>
        <v>0.9259259259</v>
      </c>
      <c r="AF482" s="3">
        <f t="shared" si="11"/>
        <v>1.851851852</v>
      </c>
      <c r="AG482" s="3">
        <f t="shared" si="12"/>
        <v>1</v>
      </c>
    </row>
    <row r="483">
      <c r="A483" s="1" t="s">
        <v>17</v>
      </c>
      <c r="B483" s="1" t="s">
        <v>275</v>
      </c>
      <c r="C483" s="1" t="s">
        <v>21</v>
      </c>
      <c r="D483" s="1" t="s">
        <v>100</v>
      </c>
      <c r="E483" s="1" t="s">
        <v>71</v>
      </c>
      <c r="F483" s="1" t="s">
        <v>608</v>
      </c>
      <c r="G483" s="1">
        <v>0.5</v>
      </c>
      <c r="H483" s="1" t="s">
        <v>60</v>
      </c>
      <c r="I483" s="1">
        <v>-115.0</v>
      </c>
      <c r="J483" s="1">
        <v>-0.0791372093023257</v>
      </c>
      <c r="K483" s="1" t="s">
        <v>61</v>
      </c>
      <c r="L483" s="1" t="s">
        <v>61</v>
      </c>
      <c r="M483" s="1" t="s">
        <v>62</v>
      </c>
      <c r="N483" s="1">
        <v>-113.0</v>
      </c>
      <c r="O483" s="1">
        <v>0.0137305164319249</v>
      </c>
      <c r="P483" s="1" t="s">
        <v>61</v>
      </c>
      <c r="Q483" s="1" t="s">
        <v>61</v>
      </c>
      <c r="R483" s="1">
        <f t="shared" si="1"/>
        <v>0.01373051643</v>
      </c>
      <c r="S483" s="1">
        <f t="shared" si="2"/>
        <v>-113</v>
      </c>
      <c r="T483" s="1">
        <f t="shared" si="3"/>
        <v>1.884955752</v>
      </c>
      <c r="U483" s="1">
        <f t="shared" si="4"/>
        <v>0</v>
      </c>
      <c r="V483" s="3">
        <f t="shared" si="5"/>
        <v>1</v>
      </c>
      <c r="W483" s="3">
        <f t="shared" si="6"/>
        <v>2</v>
      </c>
      <c r="X483" s="3" t="str">
        <f>IFERROR(__xludf.DUMMYFUNCTION("split(B483,"" "")"),"W.")</f>
        <v>W.</v>
      </c>
      <c r="Y483" s="3" t="str">
        <f>IFERROR(__xludf.DUMMYFUNCTION("""COMPUTED_VALUE"""),"Levis")</f>
        <v>Levis</v>
      </c>
      <c r="AA483" s="3">
        <v>1.0</v>
      </c>
      <c r="AB483" s="3">
        <f t="shared" si="7"/>
        <v>1</v>
      </c>
      <c r="AC483" s="3">
        <f t="shared" si="8"/>
        <v>0</v>
      </c>
      <c r="AD483" s="3">
        <f t="shared" si="9"/>
        <v>0.8849557522</v>
      </c>
      <c r="AE483" s="3">
        <f t="shared" si="10"/>
        <v>-1</v>
      </c>
      <c r="AF483" s="3">
        <f t="shared" si="11"/>
        <v>-2</v>
      </c>
      <c r="AG483" s="3">
        <f t="shared" si="12"/>
        <v>-1</v>
      </c>
    </row>
    <row r="484">
      <c r="A484" s="1" t="s">
        <v>9</v>
      </c>
      <c r="B484" s="1" t="s">
        <v>406</v>
      </c>
      <c r="C484" s="1" t="s">
        <v>18</v>
      </c>
      <c r="D484" s="1" t="s">
        <v>100</v>
      </c>
      <c r="E484" s="1" t="s">
        <v>71</v>
      </c>
      <c r="F484" s="1" t="s">
        <v>608</v>
      </c>
      <c r="G484" s="1">
        <v>37.5</v>
      </c>
      <c r="H484" s="1" t="s">
        <v>60</v>
      </c>
      <c r="I484" s="1">
        <v>-115.0</v>
      </c>
      <c r="J484" s="1">
        <v>0.00905232678613243</v>
      </c>
      <c r="K484" s="1" t="s">
        <v>61</v>
      </c>
      <c r="L484" s="1" t="s">
        <v>61</v>
      </c>
      <c r="M484" s="1" t="s">
        <v>62</v>
      </c>
      <c r="N484" s="1">
        <v>-115.0</v>
      </c>
      <c r="O484" s="1">
        <v>-0.0788101758040524</v>
      </c>
      <c r="P484" s="1" t="s">
        <v>61</v>
      </c>
      <c r="Q484" s="1" t="s">
        <v>61</v>
      </c>
      <c r="R484" s="1">
        <f t="shared" si="1"/>
        <v>0.009052326786</v>
      </c>
      <c r="S484" s="1">
        <f t="shared" si="2"/>
        <v>-115</v>
      </c>
      <c r="T484" s="1">
        <f t="shared" si="3"/>
        <v>1.869565217</v>
      </c>
      <c r="U484" s="1">
        <f t="shared" si="4"/>
        <v>1</v>
      </c>
      <c r="V484" s="3">
        <f t="shared" si="5"/>
        <v>1</v>
      </c>
      <c r="W484" s="3">
        <f t="shared" si="6"/>
        <v>2</v>
      </c>
      <c r="X484" s="3" t="str">
        <f>IFERROR(__xludf.DUMMYFUNCTION("split(B484,"" "")"),"D.")</f>
        <v>D.</v>
      </c>
      <c r="Y484" s="3" t="str">
        <f>IFERROR(__xludf.DUMMYFUNCTION("""COMPUTED_VALUE"""),"Hopkins")</f>
        <v>Hopkins</v>
      </c>
      <c r="AA484" s="3">
        <v>54.0</v>
      </c>
      <c r="AB484" s="3">
        <f t="shared" si="7"/>
        <v>1</v>
      </c>
      <c r="AC484" s="3">
        <f t="shared" si="8"/>
        <v>1</v>
      </c>
      <c r="AD484" s="3">
        <f t="shared" si="9"/>
        <v>0.8695652174</v>
      </c>
      <c r="AE484" s="3">
        <f t="shared" si="10"/>
        <v>0.8695652174</v>
      </c>
      <c r="AF484" s="3">
        <f t="shared" si="11"/>
        <v>1.739130435</v>
      </c>
      <c r="AG484" s="3">
        <f t="shared" si="12"/>
        <v>0.44</v>
      </c>
    </row>
    <row r="485">
      <c r="A485" s="1" t="s">
        <v>8</v>
      </c>
      <c r="B485" s="1" t="s">
        <v>340</v>
      </c>
      <c r="C485" s="1" t="s">
        <v>19</v>
      </c>
      <c r="D485" s="1" t="s">
        <v>100</v>
      </c>
      <c r="E485" s="1" t="s">
        <v>71</v>
      </c>
      <c r="F485" s="1" t="s">
        <v>608</v>
      </c>
      <c r="G485" s="1">
        <v>15.5</v>
      </c>
      <c r="H485" s="1" t="s">
        <v>60</v>
      </c>
      <c r="I485" s="1">
        <v>-103.0</v>
      </c>
      <c r="J485" s="1">
        <v>-0.079438210044335</v>
      </c>
      <c r="K485" s="1" t="s">
        <v>61</v>
      </c>
      <c r="L485" s="1" t="s">
        <v>61</v>
      </c>
      <c r="M485" s="1" t="s">
        <v>62</v>
      </c>
      <c r="N485" s="1">
        <v>-130.0</v>
      </c>
      <c r="O485" s="1">
        <v>0.00683888535086951</v>
      </c>
      <c r="P485" s="1" t="s">
        <v>61</v>
      </c>
      <c r="Q485" s="1" t="s">
        <v>61</v>
      </c>
      <c r="R485" s="1">
        <f t="shared" si="1"/>
        <v>0.006838885351</v>
      </c>
      <c r="S485" s="1">
        <f t="shared" si="2"/>
        <v>-130</v>
      </c>
      <c r="T485" s="1">
        <f t="shared" si="3"/>
        <v>1.769230769</v>
      </c>
      <c r="U485" s="1">
        <f t="shared" si="4"/>
        <v>0</v>
      </c>
      <c r="V485" s="3">
        <f t="shared" si="5"/>
        <v>1</v>
      </c>
      <c r="W485" s="3">
        <f t="shared" si="6"/>
        <v>3</v>
      </c>
      <c r="X485" s="3" t="str">
        <f>IFERROR(__xludf.DUMMYFUNCTION("split(B485,"" "")"),"T.")</f>
        <v>T.</v>
      </c>
      <c r="Y485" s="3" t="str">
        <f>IFERROR(__xludf.DUMMYFUNCTION("""COMPUTED_VALUE"""),"Pollard")</f>
        <v>Pollard</v>
      </c>
      <c r="AA485" s="3">
        <v>17.0</v>
      </c>
      <c r="AB485" s="3">
        <f t="shared" si="7"/>
        <v>1</v>
      </c>
      <c r="AC485" s="3">
        <f t="shared" si="8"/>
        <v>0</v>
      </c>
      <c r="AD485" s="3">
        <f t="shared" si="9"/>
        <v>0.7692307692</v>
      </c>
      <c r="AE485" s="3">
        <f t="shared" si="10"/>
        <v>-1</v>
      </c>
      <c r="AF485" s="3">
        <f t="shared" si="11"/>
        <v>-3</v>
      </c>
      <c r="AG485" s="3">
        <f t="shared" si="12"/>
        <v>-0.09677419355</v>
      </c>
    </row>
    <row r="486">
      <c r="A486" s="1" t="s">
        <v>9</v>
      </c>
      <c r="B486" s="1" t="s">
        <v>437</v>
      </c>
      <c r="C486" s="1" t="s">
        <v>18</v>
      </c>
      <c r="D486" s="1" t="s">
        <v>100</v>
      </c>
      <c r="E486" s="1" t="s">
        <v>71</v>
      </c>
      <c r="F486" s="1" t="s">
        <v>608</v>
      </c>
      <c r="G486" s="1">
        <v>47.5</v>
      </c>
      <c r="H486" s="1" t="s">
        <v>60</v>
      </c>
      <c r="I486" s="1">
        <v>-110.0</v>
      </c>
      <c r="J486" s="1">
        <v>0.00187036071667767</v>
      </c>
      <c r="K486" s="1" t="s">
        <v>61</v>
      </c>
      <c r="L486" s="1" t="s">
        <v>61</v>
      </c>
      <c r="M486" s="1" t="s">
        <v>62</v>
      </c>
      <c r="N486" s="1">
        <v>-120.0</v>
      </c>
      <c r="O486" s="1">
        <v>-0.071102413184558</v>
      </c>
      <c r="P486" s="1" t="s">
        <v>61</v>
      </c>
      <c r="Q486" s="1" t="s">
        <v>61</v>
      </c>
      <c r="R486" s="1">
        <f t="shared" si="1"/>
        <v>0.001870360717</v>
      </c>
      <c r="S486" s="1">
        <f t="shared" si="2"/>
        <v>-110</v>
      </c>
      <c r="T486" s="1">
        <f t="shared" si="3"/>
        <v>1.909090909</v>
      </c>
      <c r="U486" s="1">
        <f t="shared" si="4"/>
        <v>1</v>
      </c>
      <c r="V486" s="3">
        <f t="shared" si="5"/>
        <v>1</v>
      </c>
      <c r="W486" s="3">
        <f t="shared" si="6"/>
        <v>2</v>
      </c>
      <c r="X486" s="3" t="str">
        <f>IFERROR(__xludf.DUMMYFUNCTION("split(B486,"" "")"),"C.")</f>
        <v>C.</v>
      </c>
      <c r="Y486" s="3" t="str">
        <f>IFERROR(__xludf.DUMMYFUNCTION("""COMPUTED_VALUE"""),"Ridley")</f>
        <v>Ridley</v>
      </c>
      <c r="AA486" s="3">
        <v>9.0</v>
      </c>
      <c r="AB486" s="3">
        <f t="shared" si="7"/>
        <v>0</v>
      </c>
      <c r="AC486" s="3">
        <f t="shared" si="8"/>
        <v>0</v>
      </c>
      <c r="AD486" s="3">
        <f t="shared" si="9"/>
        <v>0.9090909091</v>
      </c>
      <c r="AE486" s="3">
        <f t="shared" si="10"/>
        <v>-1</v>
      </c>
      <c r="AF486" s="3">
        <f t="shared" si="11"/>
        <v>-2</v>
      </c>
      <c r="AG486" s="3">
        <f t="shared" si="12"/>
        <v>-0.8105263158</v>
      </c>
    </row>
    <row r="487">
      <c r="A487" s="1" t="s">
        <v>12</v>
      </c>
      <c r="B487" s="1" t="s">
        <v>408</v>
      </c>
      <c r="C487" s="1" t="s">
        <v>19</v>
      </c>
      <c r="D487" s="1" t="s">
        <v>114</v>
      </c>
      <c r="E487" s="1" t="s">
        <v>77</v>
      </c>
      <c r="F487" s="1" t="s">
        <v>608</v>
      </c>
      <c r="G487" s="1">
        <v>2.5</v>
      </c>
      <c r="H487" s="1" t="s">
        <v>60</v>
      </c>
      <c r="I487" s="1">
        <v>-170.0</v>
      </c>
      <c r="J487" s="1">
        <v>-0.264464948481481</v>
      </c>
      <c r="K487" s="1" t="s">
        <v>61</v>
      </c>
      <c r="L487" s="1" t="s">
        <v>61</v>
      </c>
      <c r="M487" s="1" t="s">
        <v>62</v>
      </c>
      <c r="N487" s="1">
        <v>130.0</v>
      </c>
      <c r="O487" s="1">
        <v>0.200058852565217</v>
      </c>
      <c r="P487" s="1" t="s">
        <v>61</v>
      </c>
      <c r="Q487" s="1" t="s">
        <v>61</v>
      </c>
      <c r="R487" s="1">
        <f t="shared" si="1"/>
        <v>0.2000588526</v>
      </c>
      <c r="S487" s="1">
        <f t="shared" si="2"/>
        <v>130</v>
      </c>
      <c r="T487" s="1">
        <f t="shared" si="3"/>
        <v>2.3</v>
      </c>
      <c r="U487" s="1">
        <f t="shared" si="4"/>
        <v>0</v>
      </c>
      <c r="V487" s="3">
        <f t="shared" si="5"/>
        <v>3</v>
      </c>
      <c r="W487" s="3">
        <f t="shared" si="6"/>
        <v>1</v>
      </c>
      <c r="X487" s="3" t="str">
        <f>IFERROR(__xludf.DUMMYFUNCTION("split(B487,"" "")"),"A.")</f>
        <v>A.</v>
      </c>
      <c r="Y487" s="3" t="str">
        <f>IFERROR(__xludf.DUMMYFUNCTION("""COMPUTED_VALUE"""),"Ekeler")</f>
        <v>Ekeler</v>
      </c>
      <c r="AA487" s="3">
        <v>4.0</v>
      </c>
      <c r="AB487" s="3">
        <f t="shared" si="7"/>
        <v>1</v>
      </c>
      <c r="AC487" s="3">
        <f t="shared" si="8"/>
        <v>0</v>
      </c>
      <c r="AD487" s="3">
        <f t="shared" si="9"/>
        <v>3.9</v>
      </c>
      <c r="AE487" s="3">
        <f t="shared" si="10"/>
        <v>-3</v>
      </c>
      <c r="AF487" s="3">
        <f t="shared" si="11"/>
        <v>-1</v>
      </c>
      <c r="AG487" s="3">
        <f t="shared" si="12"/>
        <v>-0.6</v>
      </c>
    </row>
    <row r="488">
      <c r="A488" s="1" t="s">
        <v>12</v>
      </c>
      <c r="B488" s="1" t="s">
        <v>604</v>
      </c>
      <c r="C488" s="1" t="s">
        <v>18</v>
      </c>
      <c r="D488" s="1" t="s">
        <v>114</v>
      </c>
      <c r="E488" s="1" t="s">
        <v>77</v>
      </c>
      <c r="F488" s="1" t="s">
        <v>608</v>
      </c>
      <c r="G488" s="1">
        <v>1.5</v>
      </c>
      <c r="H488" s="1" t="s">
        <v>60</v>
      </c>
      <c r="I488" s="1">
        <v>-154.0</v>
      </c>
      <c r="J488" s="1">
        <v>-0.241530780322834</v>
      </c>
      <c r="K488" s="1" t="s">
        <v>61</v>
      </c>
      <c r="L488" s="1" t="s">
        <v>61</v>
      </c>
      <c r="M488" s="1" t="s">
        <v>62</v>
      </c>
      <c r="N488" s="1">
        <v>117.0</v>
      </c>
      <c r="O488" s="1">
        <v>0.174407457152073</v>
      </c>
      <c r="P488" s="1" t="s">
        <v>61</v>
      </c>
      <c r="Q488" s="1" t="s">
        <v>61</v>
      </c>
      <c r="R488" s="1">
        <f t="shared" si="1"/>
        <v>0.1744074572</v>
      </c>
      <c r="S488" s="1">
        <f t="shared" si="2"/>
        <v>117</v>
      </c>
      <c r="T488" s="1">
        <f t="shared" si="3"/>
        <v>2.17</v>
      </c>
      <c r="U488" s="1">
        <f t="shared" si="4"/>
        <v>0</v>
      </c>
      <c r="V488" s="3">
        <f t="shared" si="5"/>
        <v>3</v>
      </c>
      <c r="W488" s="3">
        <f t="shared" si="6"/>
        <v>1</v>
      </c>
      <c r="X488" s="3" t="str">
        <f>IFERROR(__xludf.DUMMYFUNCTION("split(B488,"" "")"),"L.")</f>
        <v>L.</v>
      </c>
      <c r="Y488" s="3" t="str">
        <f>IFERROR(__xludf.DUMMYFUNCTION("""COMPUTED_VALUE"""),"McCaffrey")</f>
        <v>McCaffrey</v>
      </c>
      <c r="AA488" s="3">
        <v>1.0</v>
      </c>
      <c r="AB488" s="3">
        <f t="shared" si="7"/>
        <v>0</v>
      </c>
      <c r="AC488" s="3">
        <f t="shared" si="8"/>
        <v>1</v>
      </c>
      <c r="AD488" s="3">
        <f t="shared" si="9"/>
        <v>3.51</v>
      </c>
      <c r="AE488" s="3">
        <f t="shared" si="10"/>
        <v>3.51</v>
      </c>
      <c r="AF488" s="3">
        <f t="shared" si="11"/>
        <v>1.17</v>
      </c>
      <c r="AG488" s="3">
        <f t="shared" si="12"/>
        <v>0.3333333333</v>
      </c>
    </row>
    <row r="489">
      <c r="A489" s="1" t="s">
        <v>9</v>
      </c>
      <c r="B489" s="1" t="s">
        <v>604</v>
      </c>
      <c r="C489" s="1" t="s">
        <v>18</v>
      </c>
      <c r="D489" s="1" t="s">
        <v>114</v>
      </c>
      <c r="E489" s="1" t="s">
        <v>77</v>
      </c>
      <c r="F489" s="1" t="s">
        <v>608</v>
      </c>
      <c r="G489" s="1">
        <v>17.5</v>
      </c>
      <c r="H489" s="1" t="s">
        <v>60</v>
      </c>
      <c r="I489" s="1">
        <v>-116.0</v>
      </c>
      <c r="J489" s="1">
        <v>0.13883258724305</v>
      </c>
      <c r="K489" s="1" t="s">
        <v>61</v>
      </c>
      <c r="L489" s="1" t="s">
        <v>61</v>
      </c>
      <c r="M489" s="1" t="s">
        <v>62</v>
      </c>
      <c r="N489" s="1">
        <v>-116.0</v>
      </c>
      <c r="O489" s="1">
        <v>-0.212869801201938</v>
      </c>
      <c r="P489" s="1" t="s">
        <v>61</v>
      </c>
      <c r="Q489" s="1" t="s">
        <v>61</v>
      </c>
      <c r="R489" s="1">
        <f t="shared" si="1"/>
        <v>0.1388325872</v>
      </c>
      <c r="S489" s="1">
        <f t="shared" si="2"/>
        <v>-116</v>
      </c>
      <c r="T489" s="1">
        <f t="shared" si="3"/>
        <v>1.862068966</v>
      </c>
      <c r="U489" s="1">
        <f t="shared" si="4"/>
        <v>1</v>
      </c>
      <c r="V489" s="3">
        <f t="shared" si="5"/>
        <v>3</v>
      </c>
      <c r="W489" s="3">
        <f t="shared" si="6"/>
        <v>2</v>
      </c>
      <c r="X489" s="3" t="str">
        <f>IFERROR(__xludf.DUMMYFUNCTION("split(B489,"" "")"),"L.")</f>
        <v>L.</v>
      </c>
      <c r="Y489" s="3" t="str">
        <f>IFERROR(__xludf.DUMMYFUNCTION("""COMPUTED_VALUE"""),"McCaffrey")</f>
        <v>McCaffrey</v>
      </c>
      <c r="AA489" s="3">
        <v>5.0</v>
      </c>
      <c r="AB489" s="3">
        <f t="shared" si="7"/>
        <v>0</v>
      </c>
      <c r="AC489" s="3">
        <f t="shared" si="8"/>
        <v>0</v>
      </c>
      <c r="AD489" s="3">
        <f t="shared" si="9"/>
        <v>2.586206897</v>
      </c>
      <c r="AE489" s="3">
        <f t="shared" si="10"/>
        <v>-3</v>
      </c>
      <c r="AF489" s="3">
        <f t="shared" si="11"/>
        <v>-2</v>
      </c>
      <c r="AG489" s="3">
        <f t="shared" si="12"/>
        <v>-0.7142857143</v>
      </c>
    </row>
    <row r="490">
      <c r="A490" s="1" t="s">
        <v>11</v>
      </c>
      <c r="B490" s="1" t="s">
        <v>626</v>
      </c>
      <c r="C490" s="1" t="s">
        <v>19</v>
      </c>
      <c r="D490" s="1" t="s">
        <v>114</v>
      </c>
      <c r="E490" s="1" t="s">
        <v>77</v>
      </c>
      <c r="F490" s="1" t="s">
        <v>608</v>
      </c>
      <c r="G490" s="1">
        <v>5.5</v>
      </c>
      <c r="H490" s="1" t="s">
        <v>60</v>
      </c>
      <c r="I490" s="1">
        <v>-109.0</v>
      </c>
      <c r="J490" s="1">
        <v>0.123357955749714</v>
      </c>
      <c r="K490" s="1" t="s">
        <v>61</v>
      </c>
      <c r="L490" s="1" t="s">
        <v>61</v>
      </c>
      <c r="M490" s="1" t="s">
        <v>62</v>
      </c>
      <c r="N490" s="1">
        <v>-118.0</v>
      </c>
      <c r="O490" s="1">
        <v>-0.186158894710984</v>
      </c>
      <c r="P490" s="1" t="s">
        <v>61</v>
      </c>
      <c r="Q490" s="1" t="s">
        <v>61</v>
      </c>
      <c r="R490" s="1">
        <f t="shared" si="1"/>
        <v>0.1233579557</v>
      </c>
      <c r="S490" s="1">
        <f t="shared" si="2"/>
        <v>-109</v>
      </c>
      <c r="T490" s="1">
        <f t="shared" si="3"/>
        <v>1.917431193</v>
      </c>
      <c r="U490" s="1">
        <f t="shared" si="4"/>
        <v>1</v>
      </c>
      <c r="V490" s="3">
        <f t="shared" si="5"/>
        <v>3</v>
      </c>
      <c r="W490" s="3">
        <f t="shared" si="6"/>
        <v>2</v>
      </c>
      <c r="X490" s="3" t="str">
        <f>IFERROR(__xludf.DUMMYFUNCTION("split(B490,"" "")"),"J.")</f>
        <v>J.</v>
      </c>
      <c r="Y490" s="3" t="str">
        <f>IFERROR(__xludf.DUMMYFUNCTION("""COMPUTED_VALUE"""),"McNichols")</f>
        <v>McNichols</v>
      </c>
      <c r="AA490" s="3">
        <v>0.0</v>
      </c>
      <c r="AB490" s="3">
        <f t="shared" si="7"/>
        <v>0</v>
      </c>
      <c r="AC490" s="3">
        <f t="shared" si="8"/>
        <v>0</v>
      </c>
      <c r="AD490" s="3">
        <f t="shared" si="9"/>
        <v>2.752293578</v>
      </c>
      <c r="AE490" s="3">
        <f t="shared" si="10"/>
        <v>-3</v>
      </c>
      <c r="AF490" s="3">
        <f t="shared" si="11"/>
        <v>-2</v>
      </c>
      <c r="AG490" s="3">
        <f t="shared" si="12"/>
        <v>-1</v>
      </c>
    </row>
    <row r="491">
      <c r="A491" s="1" t="s">
        <v>8</v>
      </c>
      <c r="B491" s="1" t="s">
        <v>320</v>
      </c>
      <c r="C491" s="1" t="s">
        <v>21</v>
      </c>
      <c r="D491" s="1" t="s">
        <v>114</v>
      </c>
      <c r="E491" s="1" t="s">
        <v>77</v>
      </c>
      <c r="F491" s="1" t="s">
        <v>608</v>
      </c>
      <c r="G491" s="1">
        <v>9.0</v>
      </c>
      <c r="H491" s="1" t="s">
        <v>60</v>
      </c>
      <c r="I491" s="1">
        <v>-123.0</v>
      </c>
      <c r="J491" s="1">
        <v>-0.163191032149874</v>
      </c>
      <c r="K491" s="1" t="s">
        <v>61</v>
      </c>
      <c r="L491" s="1" t="s">
        <v>61</v>
      </c>
      <c r="M491" s="1" t="s">
        <v>62</v>
      </c>
      <c r="N491" s="1">
        <v>-113.0</v>
      </c>
      <c r="O491" s="1">
        <v>0.0866371933870744</v>
      </c>
      <c r="P491" s="1" t="s">
        <v>61</v>
      </c>
      <c r="Q491" s="1" t="s">
        <v>61</v>
      </c>
      <c r="R491" s="1">
        <f t="shared" si="1"/>
        <v>0.08663719339</v>
      </c>
      <c r="S491" s="1">
        <f t="shared" si="2"/>
        <v>-113</v>
      </c>
      <c r="T491" s="1">
        <f t="shared" si="3"/>
        <v>1.884955752</v>
      </c>
      <c r="U491" s="1">
        <f t="shared" si="4"/>
        <v>0</v>
      </c>
      <c r="V491" s="3">
        <f t="shared" si="5"/>
        <v>2</v>
      </c>
      <c r="W491" s="3">
        <f t="shared" si="6"/>
        <v>2</v>
      </c>
      <c r="X491" s="3" t="str">
        <f>IFERROR(__xludf.DUMMYFUNCTION("split(B491,"" "")"),"J.")</f>
        <v>J.</v>
      </c>
      <c r="Y491" s="3" t="str">
        <f>IFERROR(__xludf.DUMMYFUNCTION("""COMPUTED_VALUE"""),"Daniels")</f>
        <v>Daniels</v>
      </c>
      <c r="AA491" s="3">
        <v>6.0</v>
      </c>
      <c r="AB491" s="3">
        <f t="shared" si="7"/>
        <v>0</v>
      </c>
      <c r="AC491" s="3">
        <f t="shared" si="8"/>
        <v>1</v>
      </c>
      <c r="AD491" s="3">
        <f t="shared" si="9"/>
        <v>1.769911504</v>
      </c>
      <c r="AE491" s="3">
        <f t="shared" si="10"/>
        <v>1.769911504</v>
      </c>
      <c r="AF491" s="3">
        <f t="shared" si="11"/>
        <v>1.769911504</v>
      </c>
      <c r="AG491" s="3">
        <f t="shared" si="12"/>
        <v>0.3333333333</v>
      </c>
    </row>
    <row r="492">
      <c r="A492" s="1" t="s">
        <v>12</v>
      </c>
      <c r="B492" s="1" t="s">
        <v>488</v>
      </c>
      <c r="C492" s="1" t="s">
        <v>20</v>
      </c>
      <c r="D492" s="1" t="s">
        <v>114</v>
      </c>
      <c r="E492" s="1" t="s">
        <v>77</v>
      </c>
      <c r="F492" s="1" t="s">
        <v>608</v>
      </c>
      <c r="G492" s="1">
        <v>3.5</v>
      </c>
      <c r="H492" s="1" t="s">
        <v>60</v>
      </c>
      <c r="I492" s="1">
        <v>-114.0</v>
      </c>
      <c r="J492" s="1">
        <v>-0.141157009345794</v>
      </c>
      <c r="K492" s="1" t="s">
        <v>61</v>
      </c>
      <c r="L492" s="1" t="s">
        <v>61</v>
      </c>
      <c r="M492" s="1" t="s">
        <v>62</v>
      </c>
      <c r="N492" s="1">
        <v>-116.0</v>
      </c>
      <c r="O492" s="1">
        <v>0.0714166666666665</v>
      </c>
      <c r="P492" s="1" t="s">
        <v>61</v>
      </c>
      <c r="Q492" s="1" t="s">
        <v>61</v>
      </c>
      <c r="R492" s="1">
        <f t="shared" si="1"/>
        <v>0.07141666667</v>
      </c>
      <c r="S492" s="1">
        <f t="shared" si="2"/>
        <v>-116</v>
      </c>
      <c r="T492" s="1">
        <f t="shared" si="3"/>
        <v>1.862068966</v>
      </c>
      <c r="U492" s="1">
        <f t="shared" si="4"/>
        <v>0</v>
      </c>
      <c r="V492" s="3">
        <f t="shared" si="5"/>
        <v>2</v>
      </c>
      <c r="W492" s="3">
        <f t="shared" si="6"/>
        <v>2</v>
      </c>
      <c r="X492" s="3" t="str">
        <f>IFERROR(__xludf.DUMMYFUNCTION("split(B492,"" "")"),"Z.")</f>
        <v>Z.</v>
      </c>
      <c r="Y492" s="3" t="str">
        <f>IFERROR(__xludf.DUMMYFUNCTION("""COMPUTED_VALUE"""),"Ertz")</f>
        <v>Ertz</v>
      </c>
      <c r="AA492" s="3">
        <v>4.0</v>
      </c>
      <c r="AB492" s="3">
        <f t="shared" si="7"/>
        <v>1</v>
      </c>
      <c r="AC492" s="3">
        <f t="shared" si="8"/>
        <v>0</v>
      </c>
      <c r="AD492" s="3">
        <f t="shared" si="9"/>
        <v>1.724137931</v>
      </c>
      <c r="AE492" s="3">
        <f t="shared" si="10"/>
        <v>-2</v>
      </c>
      <c r="AF492" s="3">
        <f t="shared" si="11"/>
        <v>-2</v>
      </c>
      <c r="AG492" s="3">
        <f t="shared" si="12"/>
        <v>-0.1428571429</v>
      </c>
    </row>
    <row r="493">
      <c r="A493" s="1" t="s">
        <v>8</v>
      </c>
      <c r="B493" s="1" t="s">
        <v>408</v>
      </c>
      <c r="C493" s="1" t="s">
        <v>19</v>
      </c>
      <c r="D493" s="1" t="s">
        <v>114</v>
      </c>
      <c r="E493" s="1" t="s">
        <v>77</v>
      </c>
      <c r="F493" s="1" t="s">
        <v>608</v>
      </c>
      <c r="G493" s="1">
        <v>10.5</v>
      </c>
      <c r="H493" s="1" t="s">
        <v>60</v>
      </c>
      <c r="I493" s="1">
        <v>-115.0</v>
      </c>
      <c r="J493" s="1">
        <v>-0.141076674104655</v>
      </c>
      <c r="K493" s="1" t="s">
        <v>61</v>
      </c>
      <c r="L493" s="1" t="s">
        <v>61</v>
      </c>
      <c r="M493" s="1" t="s">
        <v>62</v>
      </c>
      <c r="N493" s="1">
        <v>-115.0</v>
      </c>
      <c r="O493" s="1">
        <v>0.0713231752203541</v>
      </c>
      <c r="P493" s="1" t="s">
        <v>61</v>
      </c>
      <c r="Q493" s="1" t="s">
        <v>61</v>
      </c>
      <c r="R493" s="1">
        <f t="shared" si="1"/>
        <v>0.07132317522</v>
      </c>
      <c r="S493" s="1">
        <f t="shared" si="2"/>
        <v>-115</v>
      </c>
      <c r="T493" s="1">
        <f t="shared" si="3"/>
        <v>1.869565217</v>
      </c>
      <c r="U493" s="1">
        <f t="shared" si="4"/>
        <v>0</v>
      </c>
      <c r="V493" s="3">
        <f t="shared" si="5"/>
        <v>2</v>
      </c>
      <c r="W493" s="3">
        <f t="shared" si="6"/>
        <v>2</v>
      </c>
      <c r="X493" s="3" t="str">
        <f>IFERROR(__xludf.DUMMYFUNCTION("split(B493,"" "")"),"A.")</f>
        <v>A.</v>
      </c>
      <c r="Y493" s="3" t="str">
        <f>IFERROR(__xludf.DUMMYFUNCTION("""COMPUTED_VALUE"""),"Ekeler")</f>
        <v>Ekeler</v>
      </c>
      <c r="AA493" s="3">
        <v>9.0</v>
      </c>
      <c r="AB493" s="3">
        <f t="shared" si="7"/>
        <v>0</v>
      </c>
      <c r="AC493" s="3">
        <f t="shared" si="8"/>
        <v>1</v>
      </c>
      <c r="AD493" s="3">
        <f t="shared" si="9"/>
        <v>1.739130435</v>
      </c>
      <c r="AE493" s="3">
        <f t="shared" si="10"/>
        <v>1.739130435</v>
      </c>
      <c r="AF493" s="3">
        <f t="shared" si="11"/>
        <v>1.739130435</v>
      </c>
      <c r="AG493" s="3">
        <f t="shared" si="12"/>
        <v>0.1428571429</v>
      </c>
    </row>
    <row r="494">
      <c r="A494" s="1" t="s">
        <v>9</v>
      </c>
      <c r="B494" s="1" t="s">
        <v>561</v>
      </c>
      <c r="C494" s="1" t="s">
        <v>18</v>
      </c>
      <c r="D494" s="1" t="s">
        <v>114</v>
      </c>
      <c r="E494" s="1" t="s">
        <v>77</v>
      </c>
      <c r="F494" s="1" t="s">
        <v>608</v>
      </c>
      <c r="G494" s="1">
        <v>26.5</v>
      </c>
      <c r="H494" s="1" t="s">
        <v>60</v>
      </c>
      <c r="I494" s="1">
        <v>-110.0</v>
      </c>
      <c r="J494" s="1">
        <v>0.0662953161872134</v>
      </c>
      <c r="K494" s="1" t="s">
        <v>61</v>
      </c>
      <c r="L494" s="1" t="s">
        <v>61</v>
      </c>
      <c r="M494" s="1" t="s">
        <v>62</v>
      </c>
      <c r="N494" s="1">
        <v>-120.0</v>
      </c>
      <c r="O494" s="1">
        <v>-0.135560089450808</v>
      </c>
      <c r="P494" s="1" t="s">
        <v>61</v>
      </c>
      <c r="Q494" s="1" t="s">
        <v>61</v>
      </c>
      <c r="R494" s="1">
        <f t="shared" si="1"/>
        <v>0.06629531619</v>
      </c>
      <c r="S494" s="1">
        <f t="shared" si="2"/>
        <v>-110</v>
      </c>
      <c r="T494" s="1">
        <f t="shared" si="3"/>
        <v>1.909090909</v>
      </c>
      <c r="U494" s="1">
        <f t="shared" si="4"/>
        <v>1</v>
      </c>
      <c r="V494" s="3">
        <f t="shared" si="5"/>
        <v>2</v>
      </c>
      <c r="W494" s="3">
        <f t="shared" si="6"/>
        <v>2</v>
      </c>
      <c r="X494" s="3" t="str">
        <f>IFERROR(__xludf.DUMMYFUNCTION("split(B494,"" "")"),"N.")</f>
        <v>N.</v>
      </c>
      <c r="Y494" s="3" t="str">
        <f>IFERROR(__xludf.DUMMYFUNCTION("""COMPUTED_VALUE"""),"Brown")</f>
        <v>Brown</v>
      </c>
      <c r="AA494" s="3">
        <v>58.0</v>
      </c>
      <c r="AB494" s="3">
        <f t="shared" si="7"/>
        <v>1</v>
      </c>
      <c r="AC494" s="3">
        <f t="shared" si="8"/>
        <v>1</v>
      </c>
      <c r="AD494" s="3">
        <f t="shared" si="9"/>
        <v>1.818181818</v>
      </c>
      <c r="AE494" s="3">
        <f t="shared" si="10"/>
        <v>1.818181818</v>
      </c>
      <c r="AF494" s="3">
        <f t="shared" si="11"/>
        <v>1.818181818</v>
      </c>
      <c r="AG494" s="3">
        <f t="shared" si="12"/>
        <v>1.188679245</v>
      </c>
    </row>
    <row r="495">
      <c r="A495" s="1" t="s">
        <v>12</v>
      </c>
      <c r="B495" s="1" t="s">
        <v>249</v>
      </c>
      <c r="C495" s="1" t="s">
        <v>18</v>
      </c>
      <c r="D495" s="1" t="s">
        <v>114</v>
      </c>
      <c r="E495" s="1" t="s">
        <v>77</v>
      </c>
      <c r="F495" s="1" t="s">
        <v>608</v>
      </c>
      <c r="G495" s="1">
        <v>4.5</v>
      </c>
      <c r="H495" s="1" t="s">
        <v>60</v>
      </c>
      <c r="I495" s="1">
        <v>-145.0</v>
      </c>
      <c r="J495" s="1">
        <v>-0.132818367346938</v>
      </c>
      <c r="K495" s="1" t="s">
        <v>61</v>
      </c>
      <c r="L495" s="1" t="s">
        <v>61</v>
      </c>
      <c r="M495" s="1" t="s">
        <v>62</v>
      </c>
      <c r="N495" s="1">
        <v>110.0</v>
      </c>
      <c r="O495" s="1">
        <v>0.0648047619047619</v>
      </c>
      <c r="P495" s="1" t="s">
        <v>61</v>
      </c>
      <c r="Q495" s="1" t="s">
        <v>61</v>
      </c>
      <c r="R495" s="1">
        <f t="shared" si="1"/>
        <v>0.0648047619</v>
      </c>
      <c r="S495" s="1">
        <f t="shared" si="2"/>
        <v>110</v>
      </c>
      <c r="T495" s="1">
        <f t="shared" si="3"/>
        <v>2.1</v>
      </c>
      <c r="U495" s="1">
        <f t="shared" si="4"/>
        <v>0</v>
      </c>
      <c r="V495" s="3">
        <f t="shared" si="5"/>
        <v>2</v>
      </c>
      <c r="W495" s="3">
        <f t="shared" si="6"/>
        <v>2</v>
      </c>
      <c r="X495" s="3" t="str">
        <f>IFERROR(__xludf.DUMMYFUNCTION("split(B495,"" "")"),"T.")</f>
        <v>T.</v>
      </c>
      <c r="Y495" s="3" t="str">
        <f>IFERROR(__xludf.DUMMYFUNCTION("""COMPUTED_VALUE"""),"McLaurin")</f>
        <v>McLaurin</v>
      </c>
      <c r="AA495" s="3">
        <v>6.0</v>
      </c>
      <c r="AB495" s="3">
        <f t="shared" si="7"/>
        <v>1</v>
      </c>
      <c r="AC495" s="3">
        <f t="shared" si="8"/>
        <v>0</v>
      </c>
      <c r="AD495" s="3">
        <f t="shared" si="9"/>
        <v>2.2</v>
      </c>
      <c r="AE495" s="3">
        <f t="shared" si="10"/>
        <v>-2</v>
      </c>
      <c r="AF495" s="3">
        <f t="shared" si="11"/>
        <v>-2</v>
      </c>
      <c r="AG495" s="3">
        <f t="shared" si="12"/>
        <v>-0.3333333333</v>
      </c>
    </row>
    <row r="496">
      <c r="A496" s="1" t="s">
        <v>17</v>
      </c>
      <c r="B496" s="1" t="s">
        <v>320</v>
      </c>
      <c r="C496" s="1" t="s">
        <v>21</v>
      </c>
      <c r="D496" s="1" t="s">
        <v>114</v>
      </c>
      <c r="E496" s="1" t="s">
        <v>77</v>
      </c>
      <c r="F496" s="1" t="s">
        <v>608</v>
      </c>
      <c r="G496" s="1">
        <v>0.5</v>
      </c>
      <c r="H496" s="1" t="s">
        <v>60</v>
      </c>
      <c r="I496" s="1">
        <v>-135.0</v>
      </c>
      <c r="J496" s="1">
        <v>-0.128268085106382</v>
      </c>
      <c r="K496" s="1" t="s">
        <v>61</v>
      </c>
      <c r="L496" s="1" t="s">
        <v>61</v>
      </c>
      <c r="M496" s="1" t="s">
        <v>62</v>
      </c>
      <c r="N496" s="1">
        <v>103.0</v>
      </c>
      <c r="O496" s="1">
        <v>0.0611891625615764</v>
      </c>
      <c r="P496" s="1" t="s">
        <v>61</v>
      </c>
      <c r="Q496" s="1" t="s">
        <v>61</v>
      </c>
      <c r="R496" s="1">
        <f t="shared" si="1"/>
        <v>0.06118916256</v>
      </c>
      <c r="S496" s="1">
        <f t="shared" si="2"/>
        <v>103</v>
      </c>
      <c r="T496" s="1">
        <f t="shared" si="3"/>
        <v>2.03</v>
      </c>
      <c r="U496" s="1">
        <f t="shared" si="4"/>
        <v>0</v>
      </c>
      <c r="V496" s="3">
        <f t="shared" si="5"/>
        <v>2</v>
      </c>
      <c r="W496" s="3">
        <f t="shared" si="6"/>
        <v>2</v>
      </c>
      <c r="X496" s="3" t="str">
        <f>IFERROR(__xludf.DUMMYFUNCTION("split(B496,"" "")"),"J.")</f>
        <v>J.</v>
      </c>
      <c r="Y496" s="3" t="str">
        <f>IFERROR(__xludf.DUMMYFUNCTION("""COMPUTED_VALUE"""),"Daniels")</f>
        <v>Daniels</v>
      </c>
      <c r="AA496" s="3">
        <v>0.0</v>
      </c>
      <c r="AB496" s="3">
        <f t="shared" si="7"/>
        <v>0</v>
      </c>
      <c r="AC496" s="3">
        <f t="shared" si="8"/>
        <v>1</v>
      </c>
      <c r="AD496" s="3">
        <f t="shared" si="9"/>
        <v>2.06</v>
      </c>
      <c r="AE496" s="3">
        <f t="shared" si="10"/>
        <v>2.06</v>
      </c>
      <c r="AF496" s="3">
        <f t="shared" si="11"/>
        <v>2.06</v>
      </c>
      <c r="AG496" s="3">
        <f t="shared" si="12"/>
        <v>1</v>
      </c>
    </row>
    <row r="497">
      <c r="A497" s="1" t="s">
        <v>12</v>
      </c>
      <c r="B497" s="1" t="s">
        <v>561</v>
      </c>
      <c r="C497" s="1" t="s">
        <v>18</v>
      </c>
      <c r="D497" s="1" t="s">
        <v>114</v>
      </c>
      <c r="E497" s="1" t="s">
        <v>77</v>
      </c>
      <c r="F497" s="1" t="s">
        <v>608</v>
      </c>
      <c r="G497" s="1">
        <v>2.5</v>
      </c>
      <c r="H497" s="1" t="s">
        <v>60</v>
      </c>
      <c r="I497" s="1">
        <v>113.0</v>
      </c>
      <c r="J497" s="1">
        <v>-0.120828455057276</v>
      </c>
      <c r="K497" s="1" t="s">
        <v>61</v>
      </c>
      <c r="L497" s="1" t="s">
        <v>61</v>
      </c>
      <c r="M497" s="1" t="s">
        <v>62</v>
      </c>
      <c r="N497" s="1">
        <v>-149.0</v>
      </c>
      <c r="O497" s="1">
        <v>0.0529442612273092</v>
      </c>
      <c r="P497" s="1" t="s">
        <v>61</v>
      </c>
      <c r="Q497" s="1" t="s">
        <v>61</v>
      </c>
      <c r="R497" s="1">
        <f t="shared" si="1"/>
        <v>0.05294426123</v>
      </c>
      <c r="S497" s="1">
        <f t="shared" si="2"/>
        <v>-149</v>
      </c>
      <c r="T497" s="1">
        <f t="shared" si="3"/>
        <v>1.67114094</v>
      </c>
      <c r="U497" s="1">
        <f t="shared" si="4"/>
        <v>0</v>
      </c>
      <c r="V497" s="3">
        <f t="shared" si="5"/>
        <v>2</v>
      </c>
      <c r="W497" s="3">
        <f t="shared" si="6"/>
        <v>3</v>
      </c>
      <c r="X497" s="3" t="str">
        <f>IFERROR(__xludf.DUMMYFUNCTION("split(B497,"" "")"),"N.")</f>
        <v>N.</v>
      </c>
      <c r="Y497" s="3" t="str">
        <f>IFERROR(__xludf.DUMMYFUNCTION("""COMPUTED_VALUE"""),"Brown")</f>
        <v>Brown</v>
      </c>
      <c r="AA497" s="3">
        <v>4.0</v>
      </c>
      <c r="AB497" s="3">
        <f t="shared" si="7"/>
        <v>1</v>
      </c>
      <c r="AC497" s="3">
        <f t="shared" si="8"/>
        <v>0</v>
      </c>
      <c r="AD497" s="3">
        <f t="shared" si="9"/>
        <v>1.342281879</v>
      </c>
      <c r="AE497" s="3">
        <f t="shared" si="10"/>
        <v>-2</v>
      </c>
      <c r="AF497" s="3">
        <f t="shared" si="11"/>
        <v>-3</v>
      </c>
      <c r="AG497" s="3">
        <f t="shared" si="12"/>
        <v>-0.6</v>
      </c>
    </row>
    <row r="498">
      <c r="A498" s="1" t="s">
        <v>11</v>
      </c>
      <c r="B498" s="1" t="s">
        <v>488</v>
      </c>
      <c r="C498" s="1" t="s">
        <v>20</v>
      </c>
      <c r="D498" s="1" t="s">
        <v>114</v>
      </c>
      <c r="E498" s="1" t="s">
        <v>77</v>
      </c>
      <c r="F498" s="1" t="s">
        <v>608</v>
      </c>
      <c r="G498" s="1">
        <v>31.5</v>
      </c>
      <c r="H498" s="1" t="s">
        <v>60</v>
      </c>
      <c r="I498" s="1">
        <v>-121.0</v>
      </c>
      <c r="J498" s="1">
        <v>-0.103369068139095</v>
      </c>
      <c r="K498" s="1" t="s">
        <v>61</v>
      </c>
      <c r="L498" s="1" t="s">
        <v>61</v>
      </c>
      <c r="M498" s="1" t="s">
        <v>62</v>
      </c>
      <c r="N498" s="1">
        <v>-108.0</v>
      </c>
      <c r="O498" s="1">
        <v>0.0366494391738617</v>
      </c>
      <c r="P498" s="1" t="s">
        <v>61</v>
      </c>
      <c r="Q498" s="1" t="s">
        <v>61</v>
      </c>
      <c r="R498" s="1">
        <f t="shared" si="1"/>
        <v>0.03664943917</v>
      </c>
      <c r="S498" s="1">
        <f t="shared" si="2"/>
        <v>-108</v>
      </c>
      <c r="T498" s="1">
        <f t="shared" si="3"/>
        <v>1.925925926</v>
      </c>
      <c r="U498" s="1">
        <f t="shared" si="4"/>
        <v>0</v>
      </c>
      <c r="V498" s="3">
        <f t="shared" si="5"/>
        <v>1</v>
      </c>
      <c r="W498" s="3">
        <f t="shared" si="6"/>
        <v>2</v>
      </c>
      <c r="X498" s="3" t="str">
        <f>IFERROR(__xludf.DUMMYFUNCTION("split(B498,"" "")"),"Z.")</f>
        <v>Z.</v>
      </c>
      <c r="Y498" s="3" t="str">
        <f>IFERROR(__xludf.DUMMYFUNCTION("""COMPUTED_VALUE"""),"Ertz")</f>
        <v>Ertz</v>
      </c>
      <c r="AA498" s="3">
        <v>68.0</v>
      </c>
      <c r="AB498" s="3">
        <f t="shared" si="7"/>
        <v>1</v>
      </c>
      <c r="AC498" s="3">
        <f t="shared" si="8"/>
        <v>0</v>
      </c>
      <c r="AD498" s="3">
        <f t="shared" si="9"/>
        <v>0.9259259259</v>
      </c>
      <c r="AE498" s="3">
        <f t="shared" si="10"/>
        <v>-1</v>
      </c>
      <c r="AF498" s="3">
        <f t="shared" si="11"/>
        <v>-2</v>
      </c>
      <c r="AG498" s="3">
        <f t="shared" si="12"/>
        <v>-1.158730159</v>
      </c>
    </row>
    <row r="499">
      <c r="A499" s="1" t="s">
        <v>10</v>
      </c>
      <c r="B499" s="1" t="s">
        <v>626</v>
      </c>
      <c r="C499" s="1" t="s">
        <v>19</v>
      </c>
      <c r="D499" s="1" t="s">
        <v>114</v>
      </c>
      <c r="E499" s="1" t="s">
        <v>77</v>
      </c>
      <c r="F499" s="1" t="s">
        <v>608</v>
      </c>
      <c r="G499" s="1">
        <v>26.5</v>
      </c>
      <c r="H499" s="1" t="s">
        <v>60</v>
      </c>
      <c r="I499" s="1">
        <v>-116.0</v>
      </c>
      <c r="J499" s="1">
        <v>-0.0995145869095273</v>
      </c>
      <c r="K499" s="1" t="s">
        <v>61</v>
      </c>
      <c r="L499" s="1" t="s">
        <v>61</v>
      </c>
      <c r="M499" s="1" t="s">
        <v>62</v>
      </c>
      <c r="N499" s="1">
        <v>-112.0</v>
      </c>
      <c r="O499" s="1">
        <v>0.0342007210620417</v>
      </c>
      <c r="P499" s="1" t="s">
        <v>61</v>
      </c>
      <c r="Q499" s="1" t="s">
        <v>61</v>
      </c>
      <c r="R499" s="1">
        <f t="shared" si="1"/>
        <v>0.03420072106</v>
      </c>
      <c r="S499" s="1">
        <f t="shared" si="2"/>
        <v>-112</v>
      </c>
      <c r="T499" s="1">
        <f t="shared" si="3"/>
        <v>1.892857143</v>
      </c>
      <c r="U499" s="1">
        <f t="shared" si="4"/>
        <v>0</v>
      </c>
      <c r="V499" s="3">
        <f t="shared" si="5"/>
        <v>1</v>
      </c>
      <c r="W499" s="3">
        <f t="shared" si="6"/>
        <v>2</v>
      </c>
      <c r="X499" s="3" t="str">
        <f>IFERROR(__xludf.DUMMYFUNCTION("split(B499,"" "")"),"J.")</f>
        <v>J.</v>
      </c>
      <c r="Y499" s="3" t="str">
        <f>IFERROR(__xludf.DUMMYFUNCTION("""COMPUTED_VALUE"""),"McNichols")</f>
        <v>McNichols</v>
      </c>
      <c r="AA499" s="3">
        <v>9.0</v>
      </c>
      <c r="AB499" s="3">
        <f t="shared" si="7"/>
        <v>0</v>
      </c>
      <c r="AC499" s="3">
        <f t="shared" si="8"/>
        <v>1</v>
      </c>
      <c r="AD499" s="3">
        <f t="shared" si="9"/>
        <v>0.8928571429</v>
      </c>
      <c r="AE499" s="3">
        <f t="shared" si="10"/>
        <v>0.8928571429</v>
      </c>
      <c r="AF499" s="3">
        <f t="shared" si="11"/>
        <v>1.785714286</v>
      </c>
      <c r="AG499" s="3">
        <f t="shared" si="12"/>
        <v>0.6603773585</v>
      </c>
    </row>
    <row r="500">
      <c r="A500" s="1" t="s">
        <v>11</v>
      </c>
      <c r="B500" s="1" t="s">
        <v>408</v>
      </c>
      <c r="C500" s="1" t="s">
        <v>19</v>
      </c>
      <c r="D500" s="1" t="s">
        <v>114</v>
      </c>
      <c r="E500" s="1" t="s">
        <v>77</v>
      </c>
      <c r="F500" s="1" t="s">
        <v>608</v>
      </c>
      <c r="G500" s="1">
        <v>21.5</v>
      </c>
      <c r="H500" s="1" t="s">
        <v>60</v>
      </c>
      <c r="I500" s="1">
        <v>-122.0</v>
      </c>
      <c r="J500" s="1">
        <v>-0.101499451236756</v>
      </c>
      <c r="K500" s="1" t="s">
        <v>61</v>
      </c>
      <c r="L500" s="1" t="s">
        <v>61</v>
      </c>
      <c r="M500" s="1" t="s">
        <v>62</v>
      </c>
      <c r="N500" s="1">
        <v>-108.0</v>
      </c>
      <c r="O500" s="1">
        <v>0.0327420212909846</v>
      </c>
      <c r="P500" s="1" t="s">
        <v>61</v>
      </c>
      <c r="Q500" s="1" t="s">
        <v>61</v>
      </c>
      <c r="R500" s="1">
        <f t="shared" si="1"/>
        <v>0.03274202129</v>
      </c>
      <c r="S500" s="1">
        <f t="shared" si="2"/>
        <v>-108</v>
      </c>
      <c r="T500" s="1">
        <f t="shared" si="3"/>
        <v>1.925925926</v>
      </c>
      <c r="U500" s="1">
        <f t="shared" si="4"/>
        <v>0</v>
      </c>
      <c r="V500" s="3">
        <f t="shared" si="5"/>
        <v>1</v>
      </c>
      <c r="W500" s="3">
        <f t="shared" si="6"/>
        <v>2</v>
      </c>
      <c r="X500" s="3" t="str">
        <f>IFERROR(__xludf.DUMMYFUNCTION("split(B500,"" "")"),"A.")</f>
        <v>A.</v>
      </c>
      <c r="Y500" s="3" t="str">
        <f>IFERROR(__xludf.DUMMYFUNCTION("""COMPUTED_VALUE"""),"Ekeler")</f>
        <v>Ekeler</v>
      </c>
      <c r="AA500" s="3">
        <v>47.0</v>
      </c>
      <c r="AB500" s="3">
        <f t="shared" si="7"/>
        <v>1</v>
      </c>
      <c r="AC500" s="3">
        <f t="shared" si="8"/>
        <v>0</v>
      </c>
      <c r="AD500" s="3">
        <f t="shared" si="9"/>
        <v>0.9259259259</v>
      </c>
      <c r="AE500" s="3">
        <f t="shared" si="10"/>
        <v>-1</v>
      </c>
      <c r="AF500" s="3">
        <f t="shared" si="11"/>
        <v>-2</v>
      </c>
      <c r="AG500" s="3">
        <f t="shared" si="12"/>
        <v>-1.186046512</v>
      </c>
    </row>
    <row r="501">
      <c r="A501" s="1" t="s">
        <v>9</v>
      </c>
      <c r="B501" s="1" t="s">
        <v>626</v>
      </c>
      <c r="C501" s="1" t="s">
        <v>19</v>
      </c>
      <c r="D501" s="1" t="s">
        <v>114</v>
      </c>
      <c r="E501" s="1" t="s">
        <v>77</v>
      </c>
      <c r="F501" s="1" t="s">
        <v>608</v>
      </c>
      <c r="G501" s="1">
        <v>35.5</v>
      </c>
      <c r="H501" s="1" t="s">
        <v>60</v>
      </c>
      <c r="I501" s="1">
        <v>-113.0</v>
      </c>
      <c r="J501" s="1">
        <v>0.0284377917708166</v>
      </c>
      <c r="K501" s="1" t="s">
        <v>61</v>
      </c>
      <c r="L501" s="1" t="s">
        <v>61</v>
      </c>
      <c r="M501" s="1" t="s">
        <v>62</v>
      </c>
      <c r="N501" s="1">
        <v>-119.0</v>
      </c>
      <c r="O501" s="1">
        <v>-0.102278794886524</v>
      </c>
      <c r="P501" s="1" t="s">
        <v>61</v>
      </c>
      <c r="Q501" s="1" t="s">
        <v>61</v>
      </c>
      <c r="R501" s="1">
        <f t="shared" si="1"/>
        <v>0.02843779177</v>
      </c>
      <c r="S501" s="1">
        <f t="shared" si="2"/>
        <v>-113</v>
      </c>
      <c r="T501" s="1">
        <f t="shared" si="3"/>
        <v>1.884955752</v>
      </c>
      <c r="U501" s="1">
        <f t="shared" si="4"/>
        <v>1</v>
      </c>
      <c r="V501" s="3">
        <f t="shared" si="5"/>
        <v>1</v>
      </c>
      <c r="W501" s="3">
        <f t="shared" si="6"/>
        <v>2</v>
      </c>
      <c r="X501" s="3" t="str">
        <f>IFERROR(__xludf.DUMMYFUNCTION("split(B501,"" "")"),"J.")</f>
        <v>J.</v>
      </c>
      <c r="Y501" s="3" t="str">
        <f>IFERROR(__xludf.DUMMYFUNCTION("""COMPUTED_VALUE"""),"McNichols")</f>
        <v>McNichols</v>
      </c>
      <c r="AA501" s="3">
        <v>9.0</v>
      </c>
      <c r="AB501" s="3">
        <f t="shared" si="7"/>
        <v>0</v>
      </c>
      <c r="AC501" s="3">
        <f t="shared" si="8"/>
        <v>0</v>
      </c>
      <c r="AD501" s="3">
        <f t="shared" si="9"/>
        <v>0.8849557522</v>
      </c>
      <c r="AE501" s="3">
        <f t="shared" si="10"/>
        <v>-1</v>
      </c>
      <c r="AF501" s="3">
        <f t="shared" si="11"/>
        <v>-2</v>
      </c>
      <c r="AG501" s="3">
        <f t="shared" si="12"/>
        <v>-0.7464788732</v>
      </c>
    </row>
    <row r="502">
      <c r="A502" s="1" t="s">
        <v>8</v>
      </c>
      <c r="B502" s="1" t="s">
        <v>264</v>
      </c>
      <c r="C502" s="1" t="s">
        <v>19</v>
      </c>
      <c r="D502" s="1" t="s">
        <v>114</v>
      </c>
      <c r="E502" s="1" t="s">
        <v>77</v>
      </c>
      <c r="F502" s="1" t="s">
        <v>608</v>
      </c>
      <c r="G502" s="1">
        <v>13.5</v>
      </c>
      <c r="H502" s="1" t="s">
        <v>60</v>
      </c>
      <c r="I502" s="1">
        <v>102.0</v>
      </c>
      <c r="J502" s="1">
        <v>-0.0870977971726534</v>
      </c>
      <c r="K502" s="1" t="s">
        <v>61</v>
      </c>
      <c r="L502" s="1" t="s">
        <v>61</v>
      </c>
      <c r="M502" s="1" t="s">
        <v>62</v>
      </c>
      <c r="N502" s="1">
        <v>-132.0</v>
      </c>
      <c r="O502" s="1">
        <v>0.0230888972198964</v>
      </c>
      <c r="P502" s="1" t="s">
        <v>61</v>
      </c>
      <c r="Q502" s="1" t="s">
        <v>61</v>
      </c>
      <c r="R502" s="1">
        <f t="shared" si="1"/>
        <v>0.02308889722</v>
      </c>
      <c r="S502" s="1">
        <f t="shared" si="2"/>
        <v>-132</v>
      </c>
      <c r="T502" s="1">
        <f t="shared" si="3"/>
        <v>1.757575758</v>
      </c>
      <c r="U502" s="1">
        <f t="shared" si="4"/>
        <v>0</v>
      </c>
      <c r="V502" s="3">
        <f t="shared" si="5"/>
        <v>1</v>
      </c>
      <c r="W502" s="3">
        <f t="shared" si="6"/>
        <v>3</v>
      </c>
      <c r="X502" s="3" t="str">
        <f>IFERROR(__xludf.DUMMYFUNCTION("split(B502,"" "")"),"B.")</f>
        <v>B.</v>
      </c>
      <c r="Y502" s="3" t="str">
        <f>IFERROR(__xludf.DUMMYFUNCTION("""COMPUTED_VALUE"""),"Robinson")</f>
        <v>Robinson</v>
      </c>
      <c r="AA502" s="3">
        <v>0.0</v>
      </c>
      <c r="AB502" s="3">
        <f t="shared" si="7"/>
        <v>0</v>
      </c>
      <c r="AC502" s="3">
        <f t="shared" si="8"/>
        <v>1</v>
      </c>
      <c r="AD502" s="3">
        <f t="shared" si="9"/>
        <v>0.7575757576</v>
      </c>
      <c r="AE502" s="3">
        <f t="shared" si="10"/>
        <v>0.7575757576</v>
      </c>
      <c r="AF502" s="3">
        <f t="shared" si="11"/>
        <v>2.272727273</v>
      </c>
      <c r="AG502" s="3">
        <f t="shared" si="12"/>
        <v>1</v>
      </c>
    </row>
    <row r="503">
      <c r="A503" s="1" t="s">
        <v>15</v>
      </c>
      <c r="B503" s="1" t="s">
        <v>320</v>
      </c>
      <c r="C503" s="1" t="s">
        <v>21</v>
      </c>
      <c r="D503" s="1" t="s">
        <v>114</v>
      </c>
      <c r="E503" s="1" t="s">
        <v>77</v>
      </c>
      <c r="F503" s="1" t="s">
        <v>608</v>
      </c>
      <c r="G503" s="1">
        <v>20.5</v>
      </c>
      <c r="H503" s="1" t="s">
        <v>60</v>
      </c>
      <c r="I503" s="1">
        <v>-111.0</v>
      </c>
      <c r="J503" s="1">
        <v>0.0164758293838862</v>
      </c>
      <c r="K503" s="1" t="s">
        <v>61</v>
      </c>
      <c r="L503" s="1" t="s">
        <v>61</v>
      </c>
      <c r="M503" s="1" t="s">
        <v>62</v>
      </c>
      <c r="N503" s="1">
        <v>-118.0</v>
      </c>
      <c r="O503" s="1">
        <v>-0.0838467889908256</v>
      </c>
      <c r="P503" s="1" t="s">
        <v>61</v>
      </c>
      <c r="Q503" s="1" t="s">
        <v>61</v>
      </c>
      <c r="R503" s="1">
        <f t="shared" si="1"/>
        <v>0.01647582938</v>
      </c>
      <c r="S503" s="1">
        <f t="shared" si="2"/>
        <v>-111</v>
      </c>
      <c r="T503" s="1">
        <f t="shared" si="3"/>
        <v>1.900900901</v>
      </c>
      <c r="U503" s="1">
        <f t="shared" si="4"/>
        <v>1</v>
      </c>
      <c r="V503" s="3">
        <f t="shared" si="5"/>
        <v>1</v>
      </c>
      <c r="W503" s="3">
        <f t="shared" si="6"/>
        <v>2</v>
      </c>
      <c r="X503" s="3" t="str">
        <f>IFERROR(__xludf.DUMMYFUNCTION("split(B503,"" "")"),"J.")</f>
        <v>J.</v>
      </c>
      <c r="Y503" s="3" t="str">
        <f>IFERROR(__xludf.DUMMYFUNCTION("""COMPUTED_VALUE"""),"Daniels")</f>
        <v>Daniels</v>
      </c>
      <c r="AA503" s="3">
        <v>24.0</v>
      </c>
      <c r="AB503" s="3">
        <f t="shared" si="7"/>
        <v>1</v>
      </c>
      <c r="AC503" s="3">
        <f t="shared" si="8"/>
        <v>1</v>
      </c>
      <c r="AD503" s="3">
        <f t="shared" si="9"/>
        <v>0.9009009009</v>
      </c>
      <c r="AE503" s="3">
        <f t="shared" si="10"/>
        <v>0.9009009009</v>
      </c>
      <c r="AF503" s="3">
        <f t="shared" si="11"/>
        <v>1.801801802</v>
      </c>
      <c r="AG503" s="3">
        <f t="shared" si="12"/>
        <v>0.1707317073</v>
      </c>
    </row>
    <row r="504">
      <c r="A504" s="1" t="s">
        <v>11</v>
      </c>
      <c r="B504" s="1" t="s">
        <v>249</v>
      </c>
      <c r="C504" s="1" t="s">
        <v>18</v>
      </c>
      <c r="D504" s="1" t="s">
        <v>114</v>
      </c>
      <c r="E504" s="1" t="s">
        <v>77</v>
      </c>
      <c r="F504" s="1" t="s">
        <v>608</v>
      </c>
      <c r="G504" s="1">
        <v>60.5</v>
      </c>
      <c r="H504" s="1" t="s">
        <v>60</v>
      </c>
      <c r="I504" s="1">
        <v>-117.0</v>
      </c>
      <c r="J504" s="1">
        <v>-0.0680854416149381</v>
      </c>
      <c r="K504" s="1" t="s">
        <v>61</v>
      </c>
      <c r="L504" s="1" t="s">
        <v>61</v>
      </c>
      <c r="M504" s="1" t="s">
        <v>62</v>
      </c>
      <c r="N504" s="1">
        <v>-112.0</v>
      </c>
      <c r="O504" s="1">
        <v>5.85040068723619E-4</v>
      </c>
      <c r="P504" s="1" t="s">
        <v>61</v>
      </c>
      <c r="Q504" s="1" t="s">
        <v>61</v>
      </c>
      <c r="R504" s="1">
        <f t="shared" si="1"/>
        <v>0.0005850400687</v>
      </c>
      <c r="S504" s="1">
        <f t="shared" si="2"/>
        <v>-112</v>
      </c>
      <c r="T504" s="1">
        <f t="shared" si="3"/>
        <v>1.892857143</v>
      </c>
      <c r="U504" s="1">
        <f t="shared" si="4"/>
        <v>0</v>
      </c>
      <c r="V504" s="3">
        <f t="shared" si="5"/>
        <v>1</v>
      </c>
      <c r="W504" s="3">
        <f t="shared" si="6"/>
        <v>2</v>
      </c>
      <c r="X504" s="3" t="str">
        <f>IFERROR(__xludf.DUMMYFUNCTION("split(B504,"" "")"),"T.")</f>
        <v>T.</v>
      </c>
      <c r="Y504" s="3" t="str">
        <f>IFERROR(__xludf.DUMMYFUNCTION("""COMPUTED_VALUE"""),"McLaurin")</f>
        <v>McLaurin</v>
      </c>
      <c r="AA504" s="3">
        <v>53.0</v>
      </c>
      <c r="AB504" s="3">
        <f t="shared" si="7"/>
        <v>0</v>
      </c>
      <c r="AC504" s="3">
        <f t="shared" si="8"/>
        <v>1</v>
      </c>
      <c r="AD504" s="3">
        <f t="shared" si="9"/>
        <v>0.8928571429</v>
      </c>
      <c r="AE504" s="3">
        <f t="shared" si="10"/>
        <v>0.8928571429</v>
      </c>
      <c r="AF504" s="3">
        <f t="shared" si="11"/>
        <v>1.785714286</v>
      </c>
      <c r="AG504" s="3">
        <f t="shared" si="12"/>
        <v>0.1239669421</v>
      </c>
    </row>
  </sheetData>
  <conditionalFormatting sqref="AK19:AK30">
    <cfRule type="colorScale" priority="1">
      <colorScale>
        <cfvo type="min"/>
        <cfvo type="max"/>
        <color rgb="FFD9EAD3"/>
        <color rgb="FF57BB8A"/>
      </colorScale>
    </cfRule>
  </conditionalFormatting>
  <conditionalFormatting sqref="AN19:AN30">
    <cfRule type="colorScale" priority="2">
      <colorScale>
        <cfvo type="min"/>
        <cfvo type="percentile" val="50"/>
        <cfvo type="max"/>
        <color rgb="FFDD7E6B"/>
        <color rgb="FFFFFFFF"/>
        <color rgb="FF57BB8A"/>
      </colorScale>
    </cfRule>
  </conditionalFormatting>
  <conditionalFormatting sqref="AG2:AG504">
    <cfRule type="colorScale" priority="3">
      <colorScale>
        <cfvo type="min"/>
        <cfvo type="formula" val="-0.1428571429"/>
        <cfvo type="max"/>
        <color rgb="FFB6D7A8"/>
        <color rgb="FFEFEFEF"/>
        <color rgb="FF93C47D"/>
      </colorScale>
    </cfRule>
  </conditionalFormatting>
  <conditionalFormatting sqref="O1:O992">
    <cfRule type="cellIs" dxfId="0" priority="4" operator="greaterThan">
      <formula>0</formula>
    </cfRule>
  </conditionalFormatting>
  <conditionalFormatting sqref="J1:J992">
    <cfRule type="cellIs" dxfId="0" priority="5" operator="greaterThan">
      <formula>0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SUM(AE2:AE99918)</f>
        <v>0</v>
      </c>
      <c r="AH1" s="2" t="str">
        <f>COUNTIF(AC:AC,1)/COUNT(AC:AC)</f>
        <v>#DIV/0!</v>
      </c>
      <c r="AI1" s="3">
        <f>COUNTIF(AC:AC,1)</f>
        <v>0</v>
      </c>
      <c r="AJ1" s="1">
        <f>COUNT(AC:AC)-AI1</f>
        <v>0</v>
      </c>
      <c r="AK1" s="1">
        <f>SUM(AF2:AF971)</f>
        <v>0</v>
      </c>
      <c r="AL1" s="1"/>
      <c r="AM1" s="1"/>
      <c r="AN1" s="1"/>
      <c r="AO1" s="1"/>
      <c r="AP1" s="1"/>
      <c r="AQ1" s="1"/>
      <c r="AR1" s="1"/>
    </row>
    <row r="2">
      <c r="A2" s="1" t="s">
        <v>12</v>
      </c>
      <c r="B2" s="1" t="s">
        <v>597</v>
      </c>
      <c r="C2" s="1" t="s">
        <v>18</v>
      </c>
      <c r="D2" s="1" t="s">
        <v>66</v>
      </c>
      <c r="E2" s="1" t="s">
        <v>93</v>
      </c>
      <c r="F2" s="1" t="s">
        <v>627</v>
      </c>
      <c r="G2" s="1">
        <v>1.5</v>
      </c>
      <c r="H2" s="1" t="s">
        <v>60</v>
      </c>
      <c r="I2" s="1">
        <v>-166.0</v>
      </c>
      <c r="J2" s="1">
        <v>-0.282954639244361</v>
      </c>
      <c r="K2" s="1" t="s">
        <v>61</v>
      </c>
      <c r="L2" s="1" t="s">
        <v>61</v>
      </c>
      <c r="M2" s="1" t="s">
        <v>62</v>
      </c>
      <c r="N2" s="1">
        <v>126.0</v>
      </c>
      <c r="O2" s="1">
        <v>0.216415637340707</v>
      </c>
      <c r="P2" s="1" t="s">
        <v>61</v>
      </c>
      <c r="Q2" s="1" t="s">
        <v>61</v>
      </c>
    </row>
    <row r="3">
      <c r="A3" s="1" t="s">
        <v>9</v>
      </c>
      <c r="B3" s="1" t="s">
        <v>170</v>
      </c>
      <c r="C3" s="1" t="s">
        <v>18</v>
      </c>
      <c r="D3" s="1" t="s">
        <v>66</v>
      </c>
      <c r="E3" s="1" t="s">
        <v>93</v>
      </c>
      <c r="F3" s="1" t="s">
        <v>627</v>
      </c>
      <c r="G3" s="1">
        <v>16.5</v>
      </c>
      <c r="H3" s="1" t="s">
        <v>60</v>
      </c>
      <c r="I3" s="1">
        <v>-110.0</v>
      </c>
      <c r="J3" s="1">
        <v>0.203543189797716</v>
      </c>
      <c r="K3" s="1" t="s">
        <v>61</v>
      </c>
      <c r="L3" s="1" t="s">
        <v>61</v>
      </c>
      <c r="M3" s="1" t="s">
        <v>62</v>
      </c>
      <c r="N3" s="1">
        <v>-120.0</v>
      </c>
      <c r="O3" s="1">
        <v>-0.272756744677384</v>
      </c>
      <c r="P3" s="1" t="s">
        <v>61</v>
      </c>
      <c r="Q3" s="1" t="s">
        <v>61</v>
      </c>
    </row>
    <row r="4">
      <c r="A4" s="1" t="s">
        <v>12</v>
      </c>
      <c r="B4" s="1" t="s">
        <v>140</v>
      </c>
      <c r="C4" s="1" t="s">
        <v>20</v>
      </c>
      <c r="D4" s="1" t="s">
        <v>66</v>
      </c>
      <c r="E4" s="1" t="s">
        <v>93</v>
      </c>
      <c r="F4" s="1" t="s">
        <v>627</v>
      </c>
      <c r="G4" s="1">
        <v>2.5</v>
      </c>
      <c r="H4" s="1" t="s">
        <v>60</v>
      </c>
      <c r="I4" s="1">
        <v>-151.0</v>
      </c>
      <c r="J4" s="1">
        <v>-0.254992111235059</v>
      </c>
      <c r="K4" s="1" t="s">
        <v>61</v>
      </c>
      <c r="L4" s="1" t="s">
        <v>61</v>
      </c>
      <c r="M4" s="1" t="s">
        <v>62</v>
      </c>
      <c r="N4" s="1">
        <v>115.0</v>
      </c>
      <c r="O4" s="1">
        <v>0.188281953116279</v>
      </c>
      <c r="P4" s="1" t="s">
        <v>61</v>
      </c>
      <c r="Q4" s="1" t="s">
        <v>61</v>
      </c>
    </row>
    <row r="5">
      <c r="A5" s="1" t="s">
        <v>12</v>
      </c>
      <c r="B5" s="1" t="s">
        <v>467</v>
      </c>
      <c r="C5" s="1" t="s">
        <v>18</v>
      </c>
      <c r="D5" s="1" t="s">
        <v>93</v>
      </c>
      <c r="E5" s="1" t="s">
        <v>66</v>
      </c>
      <c r="F5" s="1" t="s">
        <v>627</v>
      </c>
      <c r="G5" s="1">
        <v>2.5</v>
      </c>
      <c r="H5" s="1" t="s">
        <v>60</v>
      </c>
      <c r="I5" s="1">
        <v>-150.0</v>
      </c>
      <c r="J5" s="1">
        <v>-0.24193827832</v>
      </c>
      <c r="K5" s="1" t="s">
        <v>61</v>
      </c>
      <c r="L5" s="1" t="s">
        <v>61</v>
      </c>
      <c r="M5" s="1" t="s">
        <v>62</v>
      </c>
      <c r="N5" s="1">
        <v>114.0</v>
      </c>
      <c r="O5" s="1">
        <v>0.174654998037383</v>
      </c>
      <c r="P5" s="1" t="s">
        <v>61</v>
      </c>
      <c r="Q5" s="1" t="s">
        <v>61</v>
      </c>
    </row>
    <row r="6">
      <c r="A6" s="1" t="s">
        <v>12</v>
      </c>
      <c r="B6" s="1" t="s">
        <v>476</v>
      </c>
      <c r="C6" s="1" t="s">
        <v>19</v>
      </c>
      <c r="D6" s="1" t="s">
        <v>66</v>
      </c>
      <c r="E6" s="1" t="s">
        <v>93</v>
      </c>
      <c r="F6" s="1" t="s">
        <v>627</v>
      </c>
      <c r="G6" s="1">
        <v>2.5</v>
      </c>
      <c r="H6" s="1" t="s">
        <v>60</v>
      </c>
      <c r="I6" s="1">
        <v>-113.0</v>
      </c>
      <c r="J6" s="1">
        <v>-0.234611757840375</v>
      </c>
      <c r="K6" s="1" t="s">
        <v>61</v>
      </c>
      <c r="L6" s="1" t="s">
        <v>61</v>
      </c>
      <c r="M6" s="1" t="s">
        <v>62</v>
      </c>
      <c r="N6" s="1">
        <v>-116.0</v>
      </c>
      <c r="O6" s="1">
        <v>0.167057616329629</v>
      </c>
      <c r="P6" s="1" t="s">
        <v>61</v>
      </c>
      <c r="Q6" s="1" t="s">
        <v>61</v>
      </c>
    </row>
    <row r="7">
      <c r="A7" s="1" t="s">
        <v>8</v>
      </c>
      <c r="B7" s="1" t="s">
        <v>119</v>
      </c>
      <c r="C7" s="1" t="s">
        <v>21</v>
      </c>
      <c r="D7" s="1" t="s">
        <v>93</v>
      </c>
      <c r="E7" s="1" t="s">
        <v>66</v>
      </c>
      <c r="F7" s="1" t="s">
        <v>627</v>
      </c>
      <c r="G7" s="1">
        <v>3.5</v>
      </c>
      <c r="H7" s="1" t="s">
        <v>60</v>
      </c>
      <c r="I7" s="1">
        <v>-121.0</v>
      </c>
      <c r="J7" s="1">
        <v>-0.234152133708727</v>
      </c>
      <c r="K7" s="1" t="s">
        <v>61</v>
      </c>
      <c r="L7" s="1" t="s">
        <v>61</v>
      </c>
      <c r="M7" s="1" t="s">
        <v>62</v>
      </c>
      <c r="N7" s="1">
        <v>-109.0</v>
      </c>
      <c r="O7" s="1">
        <v>0.165115949708589</v>
      </c>
      <c r="P7" s="1" t="s">
        <v>61</v>
      </c>
      <c r="Q7" s="1" t="s">
        <v>61</v>
      </c>
    </row>
    <row r="8">
      <c r="A8" s="1" t="s">
        <v>12</v>
      </c>
      <c r="B8" s="1" t="s">
        <v>628</v>
      </c>
      <c r="C8" s="1" t="s">
        <v>18</v>
      </c>
      <c r="D8" s="1" t="s">
        <v>66</v>
      </c>
      <c r="E8" s="1" t="s">
        <v>93</v>
      </c>
      <c r="F8" s="1" t="s">
        <v>627</v>
      </c>
      <c r="G8" s="1">
        <v>1.5</v>
      </c>
      <c r="H8" s="1" t="s">
        <v>60</v>
      </c>
      <c r="I8" s="1">
        <v>-152.0</v>
      </c>
      <c r="J8" s="1">
        <v>-0.225413456349206</v>
      </c>
      <c r="K8" s="1" t="s">
        <v>61</v>
      </c>
      <c r="L8" s="1" t="s">
        <v>61</v>
      </c>
      <c r="M8" s="1" t="s">
        <v>62</v>
      </c>
      <c r="N8" s="1">
        <v>117.0</v>
      </c>
      <c r="O8" s="1">
        <v>0.16141562672811</v>
      </c>
      <c r="P8" s="1" t="s">
        <v>61</v>
      </c>
      <c r="Q8" s="1" t="s">
        <v>61</v>
      </c>
    </row>
    <row r="9">
      <c r="A9" s="1" t="s">
        <v>14</v>
      </c>
      <c r="B9" s="1" t="s">
        <v>621</v>
      </c>
      <c r="C9" s="1" t="s">
        <v>21</v>
      </c>
      <c r="D9" s="1" t="s">
        <v>66</v>
      </c>
      <c r="E9" s="1" t="s">
        <v>93</v>
      </c>
      <c r="F9" s="1" t="s">
        <v>627</v>
      </c>
      <c r="G9" s="1">
        <v>0.5</v>
      </c>
      <c r="H9" s="1" t="s">
        <v>60</v>
      </c>
      <c r="I9" s="1">
        <v>-237.0</v>
      </c>
      <c r="J9" s="1">
        <v>-0.202762320237388</v>
      </c>
      <c r="K9" s="1" t="s">
        <v>61</v>
      </c>
      <c r="L9" s="1" t="s">
        <v>61</v>
      </c>
      <c r="M9" s="1" t="s">
        <v>62</v>
      </c>
      <c r="N9" s="1">
        <v>180.0</v>
      </c>
      <c r="O9" s="1">
        <v>0.142355006857142</v>
      </c>
      <c r="P9" s="1" t="s">
        <v>61</v>
      </c>
      <c r="Q9" s="1" t="s">
        <v>61</v>
      </c>
    </row>
    <row r="10">
      <c r="A10" s="1" t="s">
        <v>11</v>
      </c>
      <c r="B10" s="1" t="s">
        <v>588</v>
      </c>
      <c r="C10" s="1" t="s">
        <v>19</v>
      </c>
      <c r="D10" s="1" t="s">
        <v>93</v>
      </c>
      <c r="E10" s="1" t="s">
        <v>66</v>
      </c>
      <c r="F10" s="1" t="s">
        <v>627</v>
      </c>
      <c r="G10" s="1">
        <v>5.5</v>
      </c>
      <c r="H10" s="1" t="s">
        <v>60</v>
      </c>
      <c r="I10" s="1">
        <v>-104.0</v>
      </c>
      <c r="J10" s="1">
        <v>0.131536571432882</v>
      </c>
      <c r="K10" s="1" t="s">
        <v>61</v>
      </c>
      <c r="L10" s="1" t="s">
        <v>61</v>
      </c>
      <c r="M10" s="1" t="s">
        <v>62</v>
      </c>
      <c r="N10" s="1">
        <v>-123.0</v>
      </c>
      <c r="O10" s="1">
        <v>-0.192852468627528</v>
      </c>
      <c r="P10" s="1" t="s">
        <v>61</v>
      </c>
      <c r="Q10" s="1" t="s">
        <v>61</v>
      </c>
    </row>
    <row r="11">
      <c r="A11" s="1" t="s">
        <v>9</v>
      </c>
      <c r="B11" s="1" t="s">
        <v>628</v>
      </c>
      <c r="C11" s="1" t="s">
        <v>18</v>
      </c>
      <c r="D11" s="1" t="s">
        <v>66</v>
      </c>
      <c r="E11" s="1" t="s">
        <v>93</v>
      </c>
      <c r="F11" s="1" t="s">
        <v>627</v>
      </c>
      <c r="G11" s="1">
        <v>20.5</v>
      </c>
      <c r="H11" s="1" t="s">
        <v>60</v>
      </c>
      <c r="I11" s="1">
        <v>-110.0</v>
      </c>
      <c r="J11" s="1">
        <v>0.116740542677068</v>
      </c>
      <c r="K11" s="1" t="s">
        <v>61</v>
      </c>
      <c r="L11" s="1" t="s">
        <v>61</v>
      </c>
      <c r="M11" s="1" t="s">
        <v>62</v>
      </c>
      <c r="N11" s="1">
        <v>-120.0</v>
      </c>
      <c r="O11" s="1">
        <v>-0.186011894339187</v>
      </c>
      <c r="P11" s="1" t="s">
        <v>61</v>
      </c>
      <c r="Q11" s="1" t="s">
        <v>61</v>
      </c>
    </row>
    <row r="12">
      <c r="A12" s="1" t="s">
        <v>8</v>
      </c>
      <c r="B12" s="1" t="s">
        <v>353</v>
      </c>
      <c r="C12" s="1" t="s">
        <v>19</v>
      </c>
      <c r="D12" s="1" t="s">
        <v>93</v>
      </c>
      <c r="E12" s="1" t="s">
        <v>66</v>
      </c>
      <c r="F12" s="1" t="s">
        <v>627</v>
      </c>
      <c r="G12" s="1">
        <v>7.5</v>
      </c>
      <c r="H12" s="1" t="s">
        <v>60</v>
      </c>
      <c r="I12" s="1">
        <v>-115.0</v>
      </c>
      <c r="J12" s="1">
        <v>-0.185530898882752</v>
      </c>
      <c r="K12" s="1" t="s">
        <v>61</v>
      </c>
      <c r="L12" s="1" t="s">
        <v>61</v>
      </c>
      <c r="M12" s="1" t="s">
        <v>62</v>
      </c>
      <c r="N12" s="1">
        <v>-115.0</v>
      </c>
      <c r="O12" s="1">
        <v>0.115755533715165</v>
      </c>
      <c r="P12" s="1" t="s">
        <v>61</v>
      </c>
      <c r="Q12" s="1" t="s">
        <v>61</v>
      </c>
    </row>
    <row r="13">
      <c r="A13" s="1" t="s">
        <v>12</v>
      </c>
      <c r="B13" s="1" t="s">
        <v>121</v>
      </c>
      <c r="C13" s="1" t="s">
        <v>18</v>
      </c>
      <c r="D13" s="1" t="s">
        <v>93</v>
      </c>
      <c r="E13" s="1" t="s">
        <v>66</v>
      </c>
      <c r="F13" s="1" t="s">
        <v>627</v>
      </c>
      <c r="G13" s="1">
        <v>3.5</v>
      </c>
      <c r="H13" s="1" t="s">
        <v>60</v>
      </c>
      <c r="I13" s="1">
        <v>-133.0</v>
      </c>
      <c r="J13" s="1">
        <v>-0.176658369098712</v>
      </c>
      <c r="K13" s="1" t="s">
        <v>61</v>
      </c>
      <c r="L13" s="1" t="s">
        <v>61</v>
      </c>
      <c r="M13" s="1" t="s">
        <v>62</v>
      </c>
      <c r="N13" s="1">
        <v>101.0</v>
      </c>
      <c r="O13" s="1">
        <v>0.108337313432835</v>
      </c>
      <c r="P13" s="1" t="s">
        <v>61</v>
      </c>
      <c r="Q13" s="1" t="s">
        <v>61</v>
      </c>
    </row>
    <row r="14">
      <c r="A14" s="1" t="s">
        <v>12</v>
      </c>
      <c r="B14" s="1" t="s">
        <v>383</v>
      </c>
      <c r="C14" s="1" t="s">
        <v>19</v>
      </c>
      <c r="D14" s="1" t="s">
        <v>66</v>
      </c>
      <c r="E14" s="1" t="s">
        <v>93</v>
      </c>
      <c r="F14" s="1" t="s">
        <v>627</v>
      </c>
      <c r="G14" s="1">
        <v>1.5</v>
      </c>
      <c r="H14" s="1" t="s">
        <v>60</v>
      </c>
      <c r="I14" s="1">
        <v>-108.0</v>
      </c>
      <c r="J14" s="1">
        <v>-0.171223059086538</v>
      </c>
      <c r="K14" s="1" t="s">
        <v>61</v>
      </c>
      <c r="L14" s="1" t="s">
        <v>61</v>
      </c>
      <c r="M14" s="1" t="s">
        <v>62</v>
      </c>
      <c r="N14" s="1">
        <v>-122.0</v>
      </c>
      <c r="O14" s="1">
        <v>0.102441637269369</v>
      </c>
      <c r="P14" s="1" t="s">
        <v>61</v>
      </c>
      <c r="Q14" s="1" t="s">
        <v>61</v>
      </c>
    </row>
    <row r="15">
      <c r="A15" s="1" t="s">
        <v>12</v>
      </c>
      <c r="B15" s="1" t="s">
        <v>363</v>
      </c>
      <c r="C15" s="1" t="s">
        <v>20</v>
      </c>
      <c r="D15" s="1" t="s">
        <v>93</v>
      </c>
      <c r="E15" s="1" t="s">
        <v>66</v>
      </c>
      <c r="F15" s="1" t="s">
        <v>627</v>
      </c>
      <c r="G15" s="1">
        <v>4.5</v>
      </c>
      <c r="H15" s="1" t="s">
        <v>60</v>
      </c>
      <c r="I15" s="1">
        <v>-164.0</v>
      </c>
      <c r="J15" s="1">
        <v>-0.164774242424242</v>
      </c>
      <c r="K15" s="1" t="s">
        <v>61</v>
      </c>
      <c r="L15" s="1" t="s">
        <v>61</v>
      </c>
      <c r="M15" s="1" t="s">
        <v>62</v>
      </c>
      <c r="N15" s="1">
        <v>125.0</v>
      </c>
      <c r="O15" s="1">
        <v>0.0991111111111111</v>
      </c>
      <c r="P15" s="1" t="s">
        <v>61</v>
      </c>
      <c r="Q15" s="1" t="s">
        <v>61</v>
      </c>
    </row>
    <row r="16">
      <c r="A16" s="1" t="s">
        <v>12</v>
      </c>
      <c r="B16" s="1" t="s">
        <v>131</v>
      </c>
      <c r="C16" s="1" t="s">
        <v>18</v>
      </c>
      <c r="D16" s="1" t="s">
        <v>66</v>
      </c>
      <c r="E16" s="1" t="s">
        <v>93</v>
      </c>
      <c r="F16" s="1" t="s">
        <v>627</v>
      </c>
      <c r="G16" s="1">
        <v>4.5</v>
      </c>
      <c r="H16" s="1" t="s">
        <v>60</v>
      </c>
      <c r="I16" s="1">
        <v>-124.0</v>
      </c>
      <c r="J16" s="1">
        <v>-0.164816071428571</v>
      </c>
      <c r="K16" s="1" t="s">
        <v>61</v>
      </c>
      <c r="L16" s="1" t="s">
        <v>61</v>
      </c>
      <c r="M16" s="1" t="s">
        <v>62</v>
      </c>
      <c r="N16" s="1">
        <v>-106.0</v>
      </c>
      <c r="O16" s="1">
        <v>0.0966883495145631</v>
      </c>
      <c r="P16" s="1" t="s">
        <v>61</v>
      </c>
      <c r="Q16" s="1" t="s">
        <v>61</v>
      </c>
    </row>
    <row r="17">
      <c r="A17" s="1" t="s">
        <v>11</v>
      </c>
      <c r="B17" s="1" t="s">
        <v>541</v>
      </c>
      <c r="C17" s="1" t="s">
        <v>20</v>
      </c>
      <c r="D17" s="1" t="s">
        <v>93</v>
      </c>
      <c r="E17" s="1" t="s">
        <v>66</v>
      </c>
      <c r="F17" s="1" t="s">
        <v>627</v>
      </c>
      <c r="G17" s="1">
        <v>4.5</v>
      </c>
      <c r="H17" s="1" t="s">
        <v>60</v>
      </c>
      <c r="I17" s="1">
        <v>-114.0</v>
      </c>
      <c r="J17" s="1">
        <v>0.0939800133341486</v>
      </c>
      <c r="K17" s="1" t="s">
        <v>61</v>
      </c>
      <c r="L17" s="1" t="s">
        <v>61</v>
      </c>
      <c r="M17" s="1" t="s">
        <v>62</v>
      </c>
      <c r="N17" s="1">
        <v>-114.0</v>
      </c>
      <c r="O17" s="1">
        <v>-0.159385215200929</v>
      </c>
      <c r="P17" s="1" t="s">
        <v>61</v>
      </c>
      <c r="Q17" s="1" t="s">
        <v>61</v>
      </c>
    </row>
    <row r="18">
      <c r="A18" s="1" t="s">
        <v>8</v>
      </c>
      <c r="B18" s="1" t="s">
        <v>621</v>
      </c>
      <c r="C18" s="1" t="s">
        <v>21</v>
      </c>
      <c r="D18" s="1" t="s">
        <v>66</v>
      </c>
      <c r="E18" s="1" t="s">
        <v>93</v>
      </c>
      <c r="F18" s="1" t="s">
        <v>627</v>
      </c>
      <c r="G18" s="1">
        <v>5.5</v>
      </c>
      <c r="H18" s="1" t="s">
        <v>60</v>
      </c>
      <c r="I18" s="1">
        <v>102.0</v>
      </c>
      <c r="J18" s="1">
        <v>-0.157638527591169</v>
      </c>
      <c r="K18" s="1" t="s">
        <v>61</v>
      </c>
      <c r="L18" s="1" t="s">
        <v>61</v>
      </c>
      <c r="M18" s="1" t="s">
        <v>62</v>
      </c>
      <c r="N18" s="1">
        <v>-136.0</v>
      </c>
      <c r="O18" s="1">
        <v>0.0863304100193005</v>
      </c>
      <c r="P18" s="1" t="s">
        <v>61</v>
      </c>
      <c r="Q18" s="1" t="s">
        <v>61</v>
      </c>
    </row>
    <row r="19">
      <c r="A19" s="1" t="s">
        <v>8</v>
      </c>
      <c r="B19" s="1" t="s">
        <v>476</v>
      </c>
      <c r="C19" s="1" t="s">
        <v>19</v>
      </c>
      <c r="D19" s="1" t="s">
        <v>66</v>
      </c>
      <c r="E19" s="1" t="s">
        <v>93</v>
      </c>
      <c r="F19" s="1" t="s">
        <v>627</v>
      </c>
      <c r="G19" s="1">
        <v>12.5</v>
      </c>
      <c r="H19" s="1" t="s">
        <v>60</v>
      </c>
      <c r="I19" s="1">
        <v>-110.0</v>
      </c>
      <c r="J19" s="1">
        <v>-0.155213845422714</v>
      </c>
      <c r="K19" s="1" t="s">
        <v>61</v>
      </c>
      <c r="L19" s="1" t="s">
        <v>61</v>
      </c>
      <c r="M19" s="1" t="s">
        <v>62</v>
      </c>
      <c r="N19" s="1">
        <v>-120.0</v>
      </c>
      <c r="O19" s="1">
        <v>0.0859358593023819</v>
      </c>
      <c r="P19" s="1" t="s">
        <v>61</v>
      </c>
      <c r="Q19" s="1" t="s">
        <v>61</v>
      </c>
    </row>
    <row r="20">
      <c r="A20" s="1" t="s">
        <v>16</v>
      </c>
      <c r="B20" s="1" t="s">
        <v>621</v>
      </c>
      <c r="C20" s="1" t="s">
        <v>21</v>
      </c>
      <c r="D20" s="1" t="s">
        <v>66</v>
      </c>
      <c r="E20" s="1" t="s">
        <v>93</v>
      </c>
      <c r="F20" s="1" t="s">
        <v>627</v>
      </c>
      <c r="G20" s="1">
        <v>30.5</v>
      </c>
      <c r="H20" s="1" t="s">
        <v>60</v>
      </c>
      <c r="I20" s="1">
        <v>-119.0</v>
      </c>
      <c r="J20" s="1">
        <v>-0.145440162374429</v>
      </c>
      <c r="K20" s="1" t="s">
        <v>61</v>
      </c>
      <c r="L20" s="1" t="s">
        <v>61</v>
      </c>
      <c r="M20" s="1" t="s">
        <v>62</v>
      </c>
      <c r="N20" s="1">
        <v>-110.0</v>
      </c>
      <c r="O20" s="1">
        <v>0.0782312148380951</v>
      </c>
      <c r="P20" s="1" t="s">
        <v>61</v>
      </c>
      <c r="Q20" s="1" t="s">
        <v>61</v>
      </c>
    </row>
    <row r="21">
      <c r="A21" s="1" t="s">
        <v>8</v>
      </c>
      <c r="B21" s="1" t="s">
        <v>588</v>
      </c>
      <c r="C21" s="1" t="s">
        <v>19</v>
      </c>
      <c r="D21" s="1" t="s">
        <v>93</v>
      </c>
      <c r="E21" s="1" t="s">
        <v>66</v>
      </c>
      <c r="F21" s="1" t="s">
        <v>627</v>
      </c>
      <c r="G21" s="1">
        <v>13.5</v>
      </c>
      <c r="H21" s="1" t="s">
        <v>60</v>
      </c>
      <c r="I21" s="1">
        <v>-132.0</v>
      </c>
      <c r="J21" s="1">
        <v>-0.143663211381896</v>
      </c>
      <c r="K21" s="1" t="s">
        <v>61</v>
      </c>
      <c r="L21" s="1" t="s">
        <v>61</v>
      </c>
      <c r="M21" s="1" t="s">
        <v>62</v>
      </c>
      <c r="N21" s="1">
        <v>101.0</v>
      </c>
      <c r="O21" s="1">
        <v>0.0771849006995025</v>
      </c>
      <c r="P21" s="1" t="s">
        <v>61</v>
      </c>
      <c r="Q21" s="1" t="s">
        <v>61</v>
      </c>
    </row>
    <row r="22">
      <c r="A22" s="1" t="s">
        <v>17</v>
      </c>
      <c r="B22" s="1" t="s">
        <v>621</v>
      </c>
      <c r="C22" s="1" t="s">
        <v>21</v>
      </c>
      <c r="D22" s="1" t="s">
        <v>66</v>
      </c>
      <c r="E22" s="1" t="s">
        <v>93</v>
      </c>
      <c r="F22" s="1" t="s">
        <v>627</v>
      </c>
      <c r="G22" s="1">
        <v>0.5</v>
      </c>
      <c r="H22" s="1" t="s">
        <v>60</v>
      </c>
      <c r="I22" s="1">
        <v>-147.0</v>
      </c>
      <c r="J22" s="1">
        <v>-0.142141700404858</v>
      </c>
      <c r="K22" s="1" t="s">
        <v>61</v>
      </c>
      <c r="L22" s="1" t="s">
        <v>61</v>
      </c>
      <c r="M22" s="1" t="s">
        <v>62</v>
      </c>
      <c r="N22" s="1">
        <v>112.0</v>
      </c>
      <c r="O22" s="1">
        <v>0.0753018867924529</v>
      </c>
      <c r="P22" s="1" t="s">
        <v>61</v>
      </c>
      <c r="Q22" s="1" t="s">
        <v>61</v>
      </c>
    </row>
    <row r="23">
      <c r="A23" s="1" t="s">
        <v>9</v>
      </c>
      <c r="B23" s="1" t="s">
        <v>383</v>
      </c>
      <c r="C23" s="1" t="s">
        <v>19</v>
      </c>
      <c r="D23" s="1" t="s">
        <v>66</v>
      </c>
      <c r="E23" s="1" t="s">
        <v>93</v>
      </c>
      <c r="F23" s="1" t="s">
        <v>627</v>
      </c>
      <c r="G23" s="1">
        <v>33.5</v>
      </c>
      <c r="H23" s="1" t="s">
        <v>60</v>
      </c>
      <c r="I23" s="1">
        <v>-121.0</v>
      </c>
      <c r="J23" s="1">
        <v>0.0683006198613263</v>
      </c>
      <c r="K23" s="1" t="s">
        <v>61</v>
      </c>
      <c r="L23" s="1" t="s">
        <v>61</v>
      </c>
      <c r="M23" s="1" t="s">
        <v>62</v>
      </c>
      <c r="N23" s="1">
        <v>-112.0</v>
      </c>
      <c r="O23" s="1">
        <v>-0.144065553906016</v>
      </c>
      <c r="P23" s="1" t="s">
        <v>61</v>
      </c>
      <c r="Q23" s="1" t="s">
        <v>61</v>
      </c>
    </row>
    <row r="24">
      <c r="A24" s="1" t="s">
        <v>12</v>
      </c>
      <c r="B24" s="1" t="s">
        <v>353</v>
      </c>
      <c r="C24" s="1" t="s">
        <v>19</v>
      </c>
      <c r="D24" s="1" t="s">
        <v>93</v>
      </c>
      <c r="E24" s="1" t="s">
        <v>66</v>
      </c>
      <c r="F24" s="1" t="s">
        <v>627</v>
      </c>
      <c r="G24" s="1">
        <v>2.5</v>
      </c>
      <c r="H24" s="1" t="s">
        <v>60</v>
      </c>
      <c r="I24" s="1">
        <v>146.0</v>
      </c>
      <c r="J24" s="1">
        <v>-0.13509975364878</v>
      </c>
      <c r="K24" s="1" t="s">
        <v>61</v>
      </c>
      <c r="L24" s="1" t="s">
        <v>61</v>
      </c>
      <c r="M24" s="1" t="s">
        <v>62</v>
      </c>
      <c r="N24" s="1">
        <v>-196.0</v>
      </c>
      <c r="O24" s="1">
        <v>0.0664330276270268</v>
      </c>
      <c r="P24" s="1" t="s">
        <v>61</v>
      </c>
      <c r="Q24" s="1" t="s">
        <v>61</v>
      </c>
    </row>
    <row r="25">
      <c r="A25" s="1" t="s">
        <v>11</v>
      </c>
      <c r="B25" s="1" t="s">
        <v>131</v>
      </c>
      <c r="C25" s="1" t="s">
        <v>18</v>
      </c>
      <c r="D25" s="1" t="s">
        <v>66</v>
      </c>
      <c r="E25" s="1" t="s">
        <v>93</v>
      </c>
      <c r="F25" s="1" t="s">
        <v>627</v>
      </c>
      <c r="G25" s="1">
        <v>48.5</v>
      </c>
      <c r="H25" s="1" t="s">
        <v>60</v>
      </c>
      <c r="I25" s="1">
        <v>-119.0</v>
      </c>
      <c r="J25" s="1">
        <v>-0.125910016912876</v>
      </c>
      <c r="K25" s="1" t="s">
        <v>61</v>
      </c>
      <c r="L25" s="1" t="s">
        <v>61</v>
      </c>
      <c r="M25" s="1" t="s">
        <v>62</v>
      </c>
      <c r="N25" s="1">
        <v>-110.0</v>
      </c>
      <c r="O25" s="1">
        <v>0.0587546351531428</v>
      </c>
      <c r="P25" s="1" t="s">
        <v>61</v>
      </c>
      <c r="Q25" s="1" t="s">
        <v>61</v>
      </c>
    </row>
    <row r="26">
      <c r="A26" s="1" t="s">
        <v>8</v>
      </c>
      <c r="B26" s="1" t="s">
        <v>383</v>
      </c>
      <c r="C26" s="1" t="s">
        <v>19</v>
      </c>
      <c r="D26" s="1" t="s">
        <v>66</v>
      </c>
      <c r="E26" s="1" t="s">
        <v>93</v>
      </c>
      <c r="F26" s="1" t="s">
        <v>627</v>
      </c>
      <c r="G26" s="1">
        <v>5.5</v>
      </c>
      <c r="H26" s="1" t="s">
        <v>60</v>
      </c>
      <c r="I26" s="1">
        <v>-133.0</v>
      </c>
      <c r="J26" s="1">
        <v>-0.123917228715039</v>
      </c>
      <c r="K26" s="1" t="s">
        <v>61</v>
      </c>
      <c r="L26" s="1" t="s">
        <v>61</v>
      </c>
      <c r="M26" s="1" t="s">
        <v>62</v>
      </c>
      <c r="N26" s="1">
        <v>100.0</v>
      </c>
      <c r="O26" s="1">
        <v>0.0530855714530208</v>
      </c>
      <c r="P26" s="1" t="s">
        <v>61</v>
      </c>
      <c r="Q26" s="1" t="s">
        <v>61</v>
      </c>
    </row>
    <row r="27">
      <c r="A27" s="1" t="s">
        <v>10</v>
      </c>
      <c r="B27" s="1" t="s">
        <v>119</v>
      </c>
      <c r="C27" s="1" t="s">
        <v>21</v>
      </c>
      <c r="D27" s="1" t="s">
        <v>93</v>
      </c>
      <c r="E27" s="1" t="s">
        <v>66</v>
      </c>
      <c r="F27" s="1" t="s">
        <v>627</v>
      </c>
      <c r="G27" s="1">
        <v>12.5</v>
      </c>
      <c r="H27" s="1" t="s">
        <v>60</v>
      </c>
      <c r="I27" s="1">
        <v>-130.0</v>
      </c>
      <c r="J27" s="1">
        <v>-0.124569084267827</v>
      </c>
      <c r="K27" s="1" t="s">
        <v>61</v>
      </c>
      <c r="L27" s="1" t="s">
        <v>61</v>
      </c>
      <c r="M27" s="1" t="s">
        <v>62</v>
      </c>
      <c r="N27" s="1">
        <v>-104.0</v>
      </c>
      <c r="O27" s="1">
        <v>0.0495394360630606</v>
      </c>
      <c r="P27" s="1" t="s">
        <v>61</v>
      </c>
      <c r="Q27" s="1" t="s">
        <v>61</v>
      </c>
    </row>
    <row r="28">
      <c r="A28" s="1" t="s">
        <v>17</v>
      </c>
      <c r="B28" s="1" t="s">
        <v>119</v>
      </c>
      <c r="C28" s="1" t="s">
        <v>21</v>
      </c>
      <c r="D28" s="1" t="s">
        <v>93</v>
      </c>
      <c r="E28" s="1" t="s">
        <v>66</v>
      </c>
      <c r="F28" s="1" t="s">
        <v>627</v>
      </c>
      <c r="G28" s="1">
        <v>0.5</v>
      </c>
      <c r="H28" s="1" t="s">
        <v>60</v>
      </c>
      <c r="I28" s="1">
        <v>-130.0</v>
      </c>
      <c r="J28" s="1">
        <v>-0.117217391304347</v>
      </c>
      <c r="K28" s="1" t="s">
        <v>61</v>
      </c>
      <c r="L28" s="1" t="s">
        <v>61</v>
      </c>
      <c r="M28" s="1" t="s">
        <v>62</v>
      </c>
      <c r="N28" s="1">
        <v>-101.0</v>
      </c>
      <c r="O28" s="1">
        <v>0.0495124378109452</v>
      </c>
      <c r="P28" s="1" t="s">
        <v>61</v>
      </c>
      <c r="Q28" s="1" t="s">
        <v>61</v>
      </c>
    </row>
    <row r="29">
      <c r="A29" s="1" t="s">
        <v>15</v>
      </c>
      <c r="B29" s="1" t="s">
        <v>621</v>
      </c>
      <c r="C29" s="1" t="s">
        <v>21</v>
      </c>
      <c r="D29" s="1" t="s">
        <v>66</v>
      </c>
      <c r="E29" s="1" t="s">
        <v>93</v>
      </c>
      <c r="F29" s="1" t="s">
        <v>627</v>
      </c>
      <c r="G29" s="1">
        <v>19.5</v>
      </c>
      <c r="H29" s="1" t="s">
        <v>60</v>
      </c>
      <c r="I29" s="1">
        <v>-112.0</v>
      </c>
      <c r="J29" s="1">
        <v>-0.117548026839622</v>
      </c>
      <c r="K29" s="1" t="s">
        <v>61</v>
      </c>
      <c r="L29" s="1" t="s">
        <v>61</v>
      </c>
      <c r="M29" s="1" t="s">
        <v>62</v>
      </c>
      <c r="N29" s="1">
        <v>-119.0</v>
      </c>
      <c r="O29" s="1">
        <v>0.0458741562150686</v>
      </c>
      <c r="P29" s="1" t="s">
        <v>61</v>
      </c>
      <c r="Q29" s="1" t="s">
        <v>61</v>
      </c>
    </row>
    <row r="30">
      <c r="A30" s="1" t="s">
        <v>11</v>
      </c>
      <c r="B30" s="1" t="s">
        <v>170</v>
      </c>
      <c r="C30" s="1" t="s">
        <v>18</v>
      </c>
      <c r="D30" s="1" t="s">
        <v>66</v>
      </c>
      <c r="E30" s="1" t="s">
        <v>93</v>
      </c>
      <c r="F30" s="1" t="s">
        <v>627</v>
      </c>
      <c r="G30" s="1">
        <v>15.5</v>
      </c>
      <c r="H30" s="1" t="s">
        <v>60</v>
      </c>
      <c r="I30" s="1">
        <v>-113.0</v>
      </c>
      <c r="J30" s="1">
        <v>0.0432712092540468</v>
      </c>
      <c r="K30" s="1" t="s">
        <v>61</v>
      </c>
      <c r="L30" s="1" t="s">
        <v>61</v>
      </c>
      <c r="M30" s="1" t="s">
        <v>62</v>
      </c>
      <c r="N30" s="1">
        <v>-115.0</v>
      </c>
      <c r="O30" s="1">
        <v>-0.108627849798971</v>
      </c>
      <c r="P30" s="1" t="s">
        <v>61</v>
      </c>
      <c r="Q30" s="1" t="s">
        <v>61</v>
      </c>
    </row>
    <row r="31">
      <c r="A31" s="1" t="s">
        <v>11</v>
      </c>
      <c r="B31" s="1" t="s">
        <v>363</v>
      </c>
      <c r="C31" s="1" t="s">
        <v>20</v>
      </c>
      <c r="D31" s="1" t="s">
        <v>93</v>
      </c>
      <c r="E31" s="1" t="s">
        <v>66</v>
      </c>
      <c r="F31" s="1" t="s">
        <v>627</v>
      </c>
      <c r="G31" s="1">
        <v>49.5</v>
      </c>
      <c r="H31" s="1" t="s">
        <v>60</v>
      </c>
      <c r="I31" s="1">
        <v>-110.0</v>
      </c>
      <c r="J31" s="1">
        <v>-0.104554389667142</v>
      </c>
      <c r="K31" s="1" t="s">
        <v>61</v>
      </c>
      <c r="L31" s="1" t="s">
        <v>61</v>
      </c>
      <c r="M31" s="1" t="s">
        <v>62</v>
      </c>
      <c r="N31" s="1">
        <v>-118.0</v>
      </c>
      <c r="O31" s="1">
        <v>0.0394795962945964</v>
      </c>
      <c r="P31" s="1" t="s">
        <v>61</v>
      </c>
      <c r="Q31" s="1" t="s">
        <v>61</v>
      </c>
    </row>
    <row r="32">
      <c r="A32" s="1" t="s">
        <v>11</v>
      </c>
      <c r="B32" s="1" t="s">
        <v>140</v>
      </c>
      <c r="C32" s="1" t="s">
        <v>20</v>
      </c>
      <c r="D32" s="1" t="s">
        <v>66</v>
      </c>
      <c r="E32" s="1" t="s">
        <v>93</v>
      </c>
      <c r="F32" s="1" t="s">
        <v>627</v>
      </c>
      <c r="G32" s="1">
        <v>28.5</v>
      </c>
      <c r="H32" s="1" t="s">
        <v>60</v>
      </c>
      <c r="I32" s="1">
        <v>-115.0</v>
      </c>
      <c r="J32" s="1">
        <v>-0.097010112059256</v>
      </c>
      <c r="K32" s="1" t="s">
        <v>61</v>
      </c>
      <c r="L32" s="1" t="s">
        <v>61</v>
      </c>
      <c r="M32" s="1" t="s">
        <v>62</v>
      </c>
      <c r="N32" s="1">
        <v>-112.0</v>
      </c>
      <c r="O32" s="1">
        <v>0.0338960140748531</v>
      </c>
      <c r="P32" s="1" t="s">
        <v>61</v>
      </c>
      <c r="Q32" s="1" t="s">
        <v>61</v>
      </c>
    </row>
    <row r="33">
      <c r="A33" s="1" t="s">
        <v>11</v>
      </c>
      <c r="B33" s="1" t="s">
        <v>121</v>
      </c>
      <c r="C33" s="1" t="s">
        <v>18</v>
      </c>
      <c r="D33" s="1" t="s">
        <v>93</v>
      </c>
      <c r="E33" s="1" t="s">
        <v>66</v>
      </c>
      <c r="F33" s="1" t="s">
        <v>627</v>
      </c>
      <c r="G33" s="1">
        <v>42.5</v>
      </c>
      <c r="H33" s="1" t="s">
        <v>60</v>
      </c>
      <c r="I33" s="1">
        <v>-116.0</v>
      </c>
      <c r="J33" s="1">
        <v>-0.102839852388055</v>
      </c>
      <c r="K33" s="1" t="s">
        <v>61</v>
      </c>
      <c r="L33" s="1" t="s">
        <v>61</v>
      </c>
      <c r="M33" s="1" t="s">
        <v>62</v>
      </c>
      <c r="N33" s="1">
        <v>-114.0</v>
      </c>
      <c r="O33" s="1">
        <v>0.0330912368924953</v>
      </c>
      <c r="P33" s="1" t="s">
        <v>61</v>
      </c>
      <c r="Q33" s="1" t="s">
        <v>61</v>
      </c>
    </row>
    <row r="34">
      <c r="A34" s="1" t="s">
        <v>11</v>
      </c>
      <c r="B34" s="1" t="s">
        <v>467</v>
      </c>
      <c r="C34" s="1" t="s">
        <v>18</v>
      </c>
      <c r="D34" s="1" t="s">
        <v>93</v>
      </c>
      <c r="E34" s="1" t="s">
        <v>66</v>
      </c>
      <c r="F34" s="1" t="s">
        <v>627</v>
      </c>
      <c r="G34" s="1">
        <v>34.5</v>
      </c>
      <c r="H34" s="1" t="s">
        <v>60</v>
      </c>
      <c r="I34" s="1">
        <v>-115.0</v>
      </c>
      <c r="J34" s="1">
        <v>-0.0905589859359536</v>
      </c>
      <c r="K34" s="1" t="s">
        <v>61</v>
      </c>
      <c r="L34" s="1" t="s">
        <v>61</v>
      </c>
      <c r="M34" s="1" t="s">
        <v>62</v>
      </c>
      <c r="N34" s="1">
        <v>-112.0</v>
      </c>
      <c r="O34" s="1">
        <v>0.0273958117159321</v>
      </c>
      <c r="P34" s="1" t="s">
        <v>61</v>
      </c>
      <c r="Q34" s="1" t="s">
        <v>61</v>
      </c>
    </row>
    <row r="35">
      <c r="A35" s="1" t="s">
        <v>11</v>
      </c>
      <c r="B35" s="1" t="s">
        <v>552</v>
      </c>
      <c r="C35" s="1" t="s">
        <v>20</v>
      </c>
      <c r="D35" s="1" t="s">
        <v>66</v>
      </c>
      <c r="E35" s="1" t="s">
        <v>93</v>
      </c>
      <c r="F35" s="1" t="s">
        <v>627</v>
      </c>
      <c r="G35" s="1">
        <v>10.5</v>
      </c>
      <c r="H35" s="1" t="s">
        <v>60</v>
      </c>
      <c r="I35" s="1">
        <v>-113.0</v>
      </c>
      <c r="J35" s="1">
        <v>0.0234389705688137</v>
      </c>
      <c r="K35" s="1" t="s">
        <v>61</v>
      </c>
      <c r="L35" s="1" t="s">
        <v>61</v>
      </c>
      <c r="M35" s="1" t="s">
        <v>62</v>
      </c>
      <c r="N35" s="1">
        <v>-115.0</v>
      </c>
      <c r="O35" s="1">
        <v>-0.0888050504224693</v>
      </c>
      <c r="P35" s="1" t="s">
        <v>61</v>
      </c>
      <c r="Q35" s="1" t="s">
        <v>61</v>
      </c>
    </row>
    <row r="36">
      <c r="A36" s="1" t="s">
        <v>11</v>
      </c>
      <c r="B36" s="1" t="s">
        <v>383</v>
      </c>
      <c r="C36" s="1" t="s">
        <v>19</v>
      </c>
      <c r="D36" s="1" t="s">
        <v>66</v>
      </c>
      <c r="E36" s="1" t="s">
        <v>93</v>
      </c>
      <c r="F36" s="1" t="s">
        <v>627</v>
      </c>
      <c r="G36" s="1">
        <v>9.5</v>
      </c>
      <c r="H36" s="1" t="s">
        <v>60</v>
      </c>
      <c r="I36" s="1">
        <v>-109.0</v>
      </c>
      <c r="J36" s="1">
        <v>0.0218096898356574</v>
      </c>
      <c r="K36" s="1" t="s">
        <v>61</v>
      </c>
      <c r="L36" s="1" t="s">
        <v>61</v>
      </c>
      <c r="M36" s="1" t="s">
        <v>62</v>
      </c>
      <c r="N36" s="1">
        <v>-119.0</v>
      </c>
      <c r="O36" s="1">
        <v>-0.0866846208174717</v>
      </c>
      <c r="P36" s="1" t="s">
        <v>61</v>
      </c>
      <c r="Q36" s="1" t="s">
        <v>61</v>
      </c>
    </row>
    <row r="37">
      <c r="A37" s="1" t="s">
        <v>10</v>
      </c>
      <c r="B37" s="1" t="s">
        <v>476</v>
      </c>
      <c r="C37" s="1" t="s">
        <v>19</v>
      </c>
      <c r="D37" s="1" t="s">
        <v>66</v>
      </c>
      <c r="E37" s="1" t="s">
        <v>93</v>
      </c>
      <c r="F37" s="1" t="s">
        <v>627</v>
      </c>
      <c r="G37" s="1">
        <v>47.5</v>
      </c>
      <c r="H37" s="1" t="s">
        <v>60</v>
      </c>
      <c r="I37" s="1">
        <v>-113.0</v>
      </c>
      <c r="J37" s="1">
        <v>-0.0837850084283692</v>
      </c>
      <c r="K37" s="1" t="s">
        <v>61</v>
      </c>
      <c r="L37" s="1" t="s">
        <v>61</v>
      </c>
      <c r="M37" s="1" t="s">
        <v>62</v>
      </c>
      <c r="N37" s="1">
        <v>-114.0</v>
      </c>
      <c r="O37" s="1">
        <v>0.0205943873959235</v>
      </c>
      <c r="P37" s="1" t="s">
        <v>61</v>
      </c>
      <c r="Q37" s="1" t="s">
        <v>61</v>
      </c>
    </row>
    <row r="38">
      <c r="A38" s="1" t="s">
        <v>15</v>
      </c>
      <c r="B38" s="1" t="s">
        <v>119</v>
      </c>
      <c r="C38" s="1" t="s">
        <v>21</v>
      </c>
      <c r="D38" s="1" t="s">
        <v>93</v>
      </c>
      <c r="E38" s="1" t="s">
        <v>66</v>
      </c>
      <c r="F38" s="1" t="s">
        <v>627</v>
      </c>
      <c r="G38" s="1">
        <v>21.5</v>
      </c>
      <c r="H38" s="1" t="s">
        <v>60</v>
      </c>
      <c r="I38" s="1">
        <v>-103.0</v>
      </c>
      <c r="J38" s="1">
        <v>0.0190600985221673</v>
      </c>
      <c r="K38" s="1" t="s">
        <v>61</v>
      </c>
      <c r="L38" s="1" t="s">
        <v>61</v>
      </c>
      <c r="M38" s="1" t="s">
        <v>62</v>
      </c>
      <c r="N38" s="1">
        <v>-128.0</v>
      </c>
      <c r="O38" s="1">
        <v>-0.0878596491228069</v>
      </c>
      <c r="P38" s="1" t="s">
        <v>61</v>
      </c>
      <c r="Q38" s="1" t="s">
        <v>61</v>
      </c>
    </row>
    <row r="39">
      <c r="A39" s="1" t="s">
        <v>9</v>
      </c>
      <c r="B39" s="1" t="s">
        <v>476</v>
      </c>
      <c r="C39" s="1" t="s">
        <v>19</v>
      </c>
      <c r="D39" s="1" t="s">
        <v>66</v>
      </c>
      <c r="E39" s="1" t="s">
        <v>93</v>
      </c>
      <c r="F39" s="1" t="s">
        <v>627</v>
      </c>
      <c r="G39" s="1">
        <v>66.5</v>
      </c>
      <c r="H39" s="1" t="s">
        <v>60</v>
      </c>
      <c r="I39" s="1">
        <v>-117.0</v>
      </c>
      <c r="J39" s="1">
        <v>-0.0911634979427494</v>
      </c>
      <c r="K39" s="1" t="s">
        <v>61</v>
      </c>
      <c r="L39" s="1" t="s">
        <v>61</v>
      </c>
      <c r="M39" s="1" t="s">
        <v>62</v>
      </c>
      <c r="N39" s="1">
        <v>-115.0</v>
      </c>
      <c r="O39" s="1">
        <v>0.0171724228447122</v>
      </c>
      <c r="P39" s="1" t="s">
        <v>61</v>
      </c>
      <c r="Q39" s="1" t="s">
        <v>61</v>
      </c>
    </row>
    <row r="40">
      <c r="A40" s="1" t="s">
        <v>11</v>
      </c>
      <c r="B40" s="1" t="s">
        <v>597</v>
      </c>
      <c r="C40" s="1" t="s">
        <v>18</v>
      </c>
      <c r="D40" s="1" t="s">
        <v>66</v>
      </c>
      <c r="E40" s="1" t="s">
        <v>93</v>
      </c>
      <c r="F40" s="1" t="s">
        <v>627</v>
      </c>
      <c r="G40" s="1">
        <v>18.5</v>
      </c>
      <c r="H40" s="1" t="s">
        <v>60</v>
      </c>
      <c r="I40" s="1">
        <v>-117.0</v>
      </c>
      <c r="J40" s="1">
        <v>-0.0823031265835391</v>
      </c>
      <c r="K40" s="1" t="s">
        <v>61</v>
      </c>
      <c r="L40" s="1" t="s">
        <v>61</v>
      </c>
      <c r="M40" s="1" t="s">
        <v>62</v>
      </c>
      <c r="N40" s="1">
        <v>-112.0</v>
      </c>
      <c r="O40" s="1">
        <v>0.0148501504002989</v>
      </c>
      <c r="P40" s="1" t="s">
        <v>61</v>
      </c>
      <c r="Q40" s="1" t="s">
        <v>61</v>
      </c>
    </row>
    <row r="41">
      <c r="A41" s="1" t="s">
        <v>12</v>
      </c>
      <c r="B41" s="1" t="s">
        <v>588</v>
      </c>
      <c r="C41" s="1" t="s">
        <v>19</v>
      </c>
      <c r="D41" s="1" t="s">
        <v>93</v>
      </c>
      <c r="E41" s="1" t="s">
        <v>66</v>
      </c>
      <c r="F41" s="1" t="s">
        <v>627</v>
      </c>
      <c r="G41" s="1">
        <v>1.5</v>
      </c>
      <c r="H41" s="1" t="s">
        <v>60</v>
      </c>
      <c r="I41" s="1">
        <v>164.0</v>
      </c>
      <c r="J41" s="1">
        <v>0.0144515926884847</v>
      </c>
      <c r="K41" s="1" t="s">
        <v>61</v>
      </c>
      <c r="L41" s="1" t="s">
        <v>61</v>
      </c>
      <c r="M41" s="1" t="s">
        <v>62</v>
      </c>
      <c r="N41" s="1">
        <v>-219.0</v>
      </c>
      <c r="O41" s="1">
        <v>-0.0797534842663323</v>
      </c>
      <c r="P41" s="1" t="s">
        <v>61</v>
      </c>
      <c r="Q41" s="1" t="s">
        <v>61</v>
      </c>
    </row>
    <row r="42">
      <c r="A42" s="1" t="s">
        <v>10</v>
      </c>
      <c r="B42" s="1" t="s">
        <v>383</v>
      </c>
      <c r="C42" s="1" t="s">
        <v>19</v>
      </c>
      <c r="D42" s="1" t="s">
        <v>66</v>
      </c>
      <c r="E42" s="1" t="s">
        <v>93</v>
      </c>
      <c r="F42" s="1" t="s">
        <v>627</v>
      </c>
      <c r="G42" s="1">
        <v>21.5</v>
      </c>
      <c r="H42" s="1" t="s">
        <v>60</v>
      </c>
      <c r="I42" s="1">
        <v>-112.0</v>
      </c>
      <c r="J42" s="1">
        <v>0.0103530051464646</v>
      </c>
      <c r="K42" s="1" t="s">
        <v>61</v>
      </c>
      <c r="L42" s="1" t="s">
        <v>61</v>
      </c>
      <c r="M42" s="1" t="s">
        <v>62</v>
      </c>
      <c r="N42" s="1">
        <v>-116.0</v>
      </c>
      <c r="O42" s="1">
        <v>-0.0756856806741601</v>
      </c>
      <c r="P42" s="1" t="s">
        <v>61</v>
      </c>
      <c r="Q42" s="1" t="s">
        <v>61</v>
      </c>
    </row>
    <row r="43">
      <c r="A43" s="1" t="s">
        <v>10</v>
      </c>
      <c r="B43" s="1" t="s">
        <v>621</v>
      </c>
      <c r="C43" s="1" t="s">
        <v>21</v>
      </c>
      <c r="D43" s="1" t="s">
        <v>66</v>
      </c>
      <c r="E43" s="1" t="s">
        <v>93</v>
      </c>
      <c r="F43" s="1" t="s">
        <v>627</v>
      </c>
      <c r="G43" s="1">
        <v>27.5</v>
      </c>
      <c r="H43" s="1" t="s">
        <v>60</v>
      </c>
      <c r="I43" s="1">
        <v>-117.0</v>
      </c>
      <c r="J43" s="1">
        <v>-0.0746937941178148</v>
      </c>
      <c r="K43" s="1" t="s">
        <v>61</v>
      </c>
      <c r="L43" s="1" t="s">
        <v>61</v>
      </c>
      <c r="M43" s="1" t="s">
        <v>62</v>
      </c>
      <c r="N43" s="1">
        <v>-111.0</v>
      </c>
      <c r="O43" s="1">
        <v>0.00948854592018033</v>
      </c>
      <c r="P43" s="1" t="s">
        <v>61</v>
      </c>
      <c r="Q43" s="1" t="s">
        <v>61</v>
      </c>
    </row>
    <row r="44">
      <c r="A44" s="1" t="s">
        <v>12</v>
      </c>
      <c r="B44" s="1" t="s">
        <v>552</v>
      </c>
      <c r="C44" s="1" t="s">
        <v>20</v>
      </c>
      <c r="D44" s="1" t="s">
        <v>66</v>
      </c>
      <c r="E44" s="1" t="s">
        <v>93</v>
      </c>
      <c r="F44" s="1" t="s">
        <v>627</v>
      </c>
      <c r="G44" s="1">
        <v>1.5</v>
      </c>
      <c r="H44" s="1" t="s">
        <v>60</v>
      </c>
      <c r="I44" s="1">
        <v>130.0</v>
      </c>
      <c r="J44" s="1">
        <v>-0.0747285658265218</v>
      </c>
      <c r="K44" s="1" t="s">
        <v>61</v>
      </c>
      <c r="L44" s="1" t="s">
        <v>61</v>
      </c>
      <c r="M44" s="1" t="s">
        <v>62</v>
      </c>
      <c r="N44" s="1">
        <v>-171.0</v>
      </c>
      <c r="O44" s="1">
        <v>0.00895499557073808</v>
      </c>
      <c r="P44" s="1" t="s">
        <v>61</v>
      </c>
      <c r="Q44" s="1" t="s">
        <v>61</v>
      </c>
    </row>
    <row r="45">
      <c r="A45" s="1" t="s">
        <v>14</v>
      </c>
      <c r="B45" s="1" t="s">
        <v>119</v>
      </c>
      <c r="C45" s="1" t="s">
        <v>21</v>
      </c>
      <c r="D45" s="1" t="s">
        <v>93</v>
      </c>
      <c r="E45" s="1" t="s">
        <v>66</v>
      </c>
      <c r="F45" s="1" t="s">
        <v>627</v>
      </c>
      <c r="G45" s="1">
        <v>1.5</v>
      </c>
      <c r="H45" s="1" t="s">
        <v>60</v>
      </c>
      <c r="I45" s="1">
        <v>-102.0</v>
      </c>
      <c r="J45" s="1">
        <v>-0.0812999999999999</v>
      </c>
      <c r="K45" s="1" t="s">
        <v>61</v>
      </c>
      <c r="L45" s="1" t="s">
        <v>61</v>
      </c>
      <c r="M45" s="1" t="s">
        <v>62</v>
      </c>
      <c r="N45" s="1">
        <v>-132.0</v>
      </c>
      <c r="O45" s="1">
        <v>0.00739137931034483</v>
      </c>
      <c r="P45" s="1" t="s">
        <v>61</v>
      </c>
      <c r="Q45" s="1" t="s">
        <v>61</v>
      </c>
    </row>
    <row r="46">
      <c r="A46" s="1" t="s">
        <v>10</v>
      </c>
      <c r="B46" s="1" t="s">
        <v>385</v>
      </c>
      <c r="C46" s="1" t="s">
        <v>18</v>
      </c>
      <c r="D46" s="1" t="s">
        <v>197</v>
      </c>
      <c r="E46" s="1" t="s">
        <v>146</v>
      </c>
      <c r="F46" s="1" t="s">
        <v>629</v>
      </c>
      <c r="G46" s="1">
        <v>0.5</v>
      </c>
      <c r="H46" s="1" t="s">
        <v>60</v>
      </c>
      <c r="I46" s="1">
        <v>893.0</v>
      </c>
      <c r="J46" s="1">
        <v>0.517344960406512</v>
      </c>
      <c r="K46" s="1" t="s">
        <v>61</v>
      </c>
      <c r="L46" s="1" t="s">
        <v>61</v>
      </c>
      <c r="M46" s="1" t="s">
        <v>62</v>
      </c>
      <c r="N46" s="1">
        <v>-2277.0</v>
      </c>
      <c r="O46" s="1">
        <v>-0.575918111051039</v>
      </c>
      <c r="P46" s="1" t="s">
        <v>61</v>
      </c>
      <c r="Q46" s="1" t="s">
        <v>61</v>
      </c>
    </row>
    <row r="47">
      <c r="A47" s="1" t="s">
        <v>10</v>
      </c>
      <c r="B47" s="1" t="s">
        <v>389</v>
      </c>
      <c r="C47" s="1" t="s">
        <v>18</v>
      </c>
      <c r="D47" s="1" t="s">
        <v>67</v>
      </c>
      <c r="E47" s="1" t="s">
        <v>89</v>
      </c>
      <c r="F47" s="1" t="s">
        <v>629</v>
      </c>
      <c r="G47" s="1">
        <v>0.5</v>
      </c>
      <c r="H47" s="1" t="s">
        <v>60</v>
      </c>
      <c r="I47" s="1">
        <v>769.0</v>
      </c>
      <c r="J47" s="1">
        <v>0.504599166066139</v>
      </c>
      <c r="K47" s="1" t="s">
        <v>61</v>
      </c>
      <c r="L47" s="1" t="s">
        <v>61</v>
      </c>
      <c r="M47" s="1" t="s">
        <v>62</v>
      </c>
      <c r="N47" s="1">
        <v>-1755.0</v>
      </c>
      <c r="O47" s="1">
        <v>-0.565749985223669</v>
      </c>
      <c r="P47" s="1" t="s">
        <v>61</v>
      </c>
      <c r="Q47" s="1" t="s">
        <v>61</v>
      </c>
    </row>
    <row r="48">
      <c r="A48" s="1" t="s">
        <v>10</v>
      </c>
      <c r="B48" s="1" t="s">
        <v>502</v>
      </c>
      <c r="C48" s="1" t="s">
        <v>18</v>
      </c>
      <c r="D48" s="1" t="s">
        <v>89</v>
      </c>
      <c r="E48" s="1" t="s">
        <v>67</v>
      </c>
      <c r="F48" s="1" t="s">
        <v>629</v>
      </c>
      <c r="G48" s="1">
        <v>0.5</v>
      </c>
      <c r="H48" s="1" t="s">
        <v>60</v>
      </c>
      <c r="I48" s="1">
        <v>239.0</v>
      </c>
      <c r="J48" s="1">
        <v>0.317818422881918</v>
      </c>
      <c r="K48" s="1" t="s">
        <v>61</v>
      </c>
      <c r="L48" s="1" t="s">
        <v>61</v>
      </c>
      <c r="M48" s="1" t="s">
        <v>62</v>
      </c>
      <c r="N48" s="1">
        <v>-340.0</v>
      </c>
      <c r="O48" s="1">
        <v>-0.38549288152691</v>
      </c>
      <c r="P48" s="1" t="s">
        <v>61</v>
      </c>
      <c r="Q48" s="1" t="s">
        <v>61</v>
      </c>
    </row>
    <row r="49">
      <c r="A49" s="1" t="s">
        <v>12</v>
      </c>
      <c r="B49" s="1" t="s">
        <v>385</v>
      </c>
      <c r="C49" s="1" t="s">
        <v>18</v>
      </c>
      <c r="D49" s="1" t="s">
        <v>197</v>
      </c>
      <c r="E49" s="1" t="s">
        <v>146</v>
      </c>
      <c r="F49" s="1" t="s">
        <v>629</v>
      </c>
      <c r="G49" s="1">
        <v>7.5</v>
      </c>
      <c r="H49" s="1" t="s">
        <v>60</v>
      </c>
      <c r="I49" s="1">
        <v>116.0</v>
      </c>
      <c r="J49" s="1">
        <v>0.256537037037037</v>
      </c>
      <c r="K49" s="1" t="s">
        <v>61</v>
      </c>
      <c r="L49" s="1" t="s">
        <v>61</v>
      </c>
      <c r="M49" s="1" t="s">
        <v>62</v>
      </c>
      <c r="N49" s="1">
        <v>-153.0</v>
      </c>
      <c r="O49" s="1">
        <v>-0.324243083003952</v>
      </c>
      <c r="P49" s="1" t="s">
        <v>61</v>
      </c>
      <c r="Q49" s="1" t="s">
        <v>61</v>
      </c>
    </row>
    <row r="50">
      <c r="A50" s="1" t="s">
        <v>12</v>
      </c>
      <c r="B50" s="1" t="s">
        <v>389</v>
      </c>
      <c r="C50" s="1" t="s">
        <v>18</v>
      </c>
      <c r="D50" s="1" t="s">
        <v>67</v>
      </c>
      <c r="E50" s="1" t="s">
        <v>89</v>
      </c>
      <c r="F50" s="1" t="s">
        <v>629</v>
      </c>
      <c r="G50" s="1">
        <v>6.5</v>
      </c>
      <c r="H50" s="1" t="s">
        <v>60</v>
      </c>
      <c r="I50" s="1">
        <v>121.0</v>
      </c>
      <c r="J50" s="1">
        <v>0.219356561085972</v>
      </c>
      <c r="K50" s="1" t="s">
        <v>61</v>
      </c>
      <c r="L50" s="1" t="s">
        <v>61</v>
      </c>
      <c r="M50" s="1" t="s">
        <v>62</v>
      </c>
      <c r="N50" s="1">
        <v>-160.0</v>
      </c>
      <c r="O50" s="1">
        <v>-0.287223076923076</v>
      </c>
      <c r="P50" s="1" t="s">
        <v>61</v>
      </c>
      <c r="Q50" s="1" t="s">
        <v>61</v>
      </c>
    </row>
    <row r="51">
      <c r="A51" s="1" t="s">
        <v>12</v>
      </c>
      <c r="B51" s="1" t="s">
        <v>490</v>
      </c>
      <c r="C51" s="1" t="s">
        <v>19</v>
      </c>
      <c r="D51" s="1" t="s">
        <v>82</v>
      </c>
      <c r="E51" s="1" t="s">
        <v>109</v>
      </c>
      <c r="F51" s="1" t="s">
        <v>629</v>
      </c>
      <c r="G51" s="1">
        <v>3.5</v>
      </c>
      <c r="H51" s="1" t="s">
        <v>60</v>
      </c>
      <c r="I51" s="1">
        <v>-150.0</v>
      </c>
      <c r="J51" s="1">
        <v>-0.28008</v>
      </c>
      <c r="K51" s="1" t="s">
        <v>61</v>
      </c>
      <c r="L51" s="1" t="s">
        <v>61</v>
      </c>
      <c r="M51" s="1" t="s">
        <v>62</v>
      </c>
      <c r="N51" s="1">
        <v>115.0</v>
      </c>
      <c r="O51" s="1">
        <v>0.214976744186046</v>
      </c>
      <c r="P51" s="1" t="s">
        <v>61</v>
      </c>
      <c r="Q51" s="1" t="s">
        <v>61</v>
      </c>
    </row>
    <row r="52">
      <c r="A52" s="1" t="s">
        <v>12</v>
      </c>
      <c r="B52" s="1" t="s">
        <v>410</v>
      </c>
      <c r="C52" s="1" t="s">
        <v>20</v>
      </c>
      <c r="D52" s="1" t="s">
        <v>72</v>
      </c>
      <c r="E52" s="1" t="s">
        <v>157</v>
      </c>
      <c r="F52" s="1" t="s">
        <v>629</v>
      </c>
      <c r="G52" s="1">
        <v>3.5</v>
      </c>
      <c r="H52" s="1" t="s">
        <v>60</v>
      </c>
      <c r="I52" s="1">
        <v>-165.0</v>
      </c>
      <c r="J52" s="1">
        <v>-0.277079245283018</v>
      </c>
      <c r="K52" s="1" t="s">
        <v>61</v>
      </c>
      <c r="L52" s="1" t="s">
        <v>61</v>
      </c>
      <c r="M52" s="1" t="s">
        <v>62</v>
      </c>
      <c r="N52" s="1">
        <v>126.0</v>
      </c>
      <c r="O52" s="1">
        <v>0.211966371681415</v>
      </c>
      <c r="P52" s="1" t="s">
        <v>61</v>
      </c>
      <c r="Q52" s="1" t="s">
        <v>61</v>
      </c>
    </row>
    <row r="53">
      <c r="A53" s="1" t="s">
        <v>12</v>
      </c>
      <c r="B53" s="1" t="s">
        <v>340</v>
      </c>
      <c r="C53" s="1" t="s">
        <v>19</v>
      </c>
      <c r="D53" s="1" t="s">
        <v>100</v>
      </c>
      <c r="E53" s="1" t="s">
        <v>104</v>
      </c>
      <c r="F53" s="1" t="s">
        <v>629</v>
      </c>
      <c r="G53" s="1">
        <v>3.5</v>
      </c>
      <c r="H53" s="1" t="s">
        <v>60</v>
      </c>
      <c r="I53" s="1">
        <v>-142.0</v>
      </c>
      <c r="J53" s="1">
        <v>-0.275718181818181</v>
      </c>
      <c r="K53" s="1" t="s">
        <v>61</v>
      </c>
      <c r="L53" s="1" t="s">
        <v>61</v>
      </c>
      <c r="M53" s="1" t="s">
        <v>62</v>
      </c>
      <c r="N53" s="1">
        <v>109.0</v>
      </c>
      <c r="O53" s="1">
        <v>0.210478947368421</v>
      </c>
      <c r="P53" s="1" t="s">
        <v>61</v>
      </c>
      <c r="Q53" s="1" t="s">
        <v>61</v>
      </c>
    </row>
    <row r="54">
      <c r="A54" s="1" t="s">
        <v>12</v>
      </c>
      <c r="B54" s="1" t="s">
        <v>81</v>
      </c>
      <c r="C54" s="1" t="s">
        <v>20</v>
      </c>
      <c r="D54" s="1" t="s">
        <v>82</v>
      </c>
      <c r="E54" s="1" t="s">
        <v>109</v>
      </c>
      <c r="F54" s="1" t="s">
        <v>629</v>
      </c>
      <c r="G54" s="1">
        <v>2.5</v>
      </c>
      <c r="H54" s="1" t="s">
        <v>60</v>
      </c>
      <c r="I54" s="1">
        <v>-175.0</v>
      </c>
      <c r="J54" s="1">
        <v>-0.266425497636363</v>
      </c>
      <c r="K54" s="1" t="s">
        <v>61</v>
      </c>
      <c r="L54" s="1" t="s">
        <v>61</v>
      </c>
      <c r="M54" s="1" t="s">
        <v>62</v>
      </c>
      <c r="N54" s="1">
        <v>133.0</v>
      </c>
      <c r="O54" s="1">
        <v>0.200870437124463</v>
      </c>
      <c r="P54" s="1" t="s">
        <v>61</v>
      </c>
      <c r="Q54" s="1" t="s">
        <v>61</v>
      </c>
    </row>
    <row r="55">
      <c r="A55" s="1" t="s">
        <v>8</v>
      </c>
      <c r="B55" s="1" t="s">
        <v>145</v>
      </c>
      <c r="C55" s="1" t="s">
        <v>21</v>
      </c>
      <c r="D55" s="1" t="s">
        <v>146</v>
      </c>
      <c r="E55" s="1" t="s">
        <v>197</v>
      </c>
      <c r="F55" s="1" t="s">
        <v>629</v>
      </c>
      <c r="G55" s="1">
        <v>3.5</v>
      </c>
      <c r="H55" s="1" t="s">
        <v>60</v>
      </c>
      <c r="I55" s="1">
        <v>-148.0</v>
      </c>
      <c r="J55" s="1">
        <v>-0.271129234248527</v>
      </c>
      <c r="K55" s="1" t="s">
        <v>61</v>
      </c>
      <c r="L55" s="1" t="s">
        <v>61</v>
      </c>
      <c r="M55" s="1" t="s">
        <v>62</v>
      </c>
      <c r="N55" s="1">
        <v>110.0</v>
      </c>
      <c r="O55" s="1">
        <v>0.198156429017309</v>
      </c>
      <c r="P55" s="1" t="s">
        <v>61</v>
      </c>
      <c r="Q55" s="1" t="s">
        <v>61</v>
      </c>
    </row>
    <row r="56">
      <c r="A56" s="1" t="s">
        <v>12</v>
      </c>
      <c r="B56" s="1" t="s">
        <v>568</v>
      </c>
      <c r="C56" s="1" t="s">
        <v>19</v>
      </c>
      <c r="D56" s="1" t="s">
        <v>147</v>
      </c>
      <c r="E56" s="1" t="s">
        <v>156</v>
      </c>
      <c r="F56" s="1" t="s">
        <v>629</v>
      </c>
      <c r="G56" s="1">
        <v>1.5</v>
      </c>
      <c r="H56" s="1" t="s">
        <v>60</v>
      </c>
      <c r="I56" s="1">
        <v>-169.0</v>
      </c>
      <c r="J56" s="1">
        <v>-0.264182657769516</v>
      </c>
      <c r="K56" s="1" t="s">
        <v>61</v>
      </c>
      <c r="L56" s="1" t="s">
        <v>61</v>
      </c>
      <c r="M56" s="1" t="s">
        <v>62</v>
      </c>
      <c r="N56" s="1">
        <v>128.0</v>
      </c>
      <c r="O56" s="1">
        <v>0.197338749736842</v>
      </c>
      <c r="P56" s="1" t="s">
        <v>61</v>
      </c>
      <c r="Q56" s="1" t="s">
        <v>61</v>
      </c>
    </row>
    <row r="57">
      <c r="A57" s="1" t="s">
        <v>12</v>
      </c>
      <c r="B57" s="1" t="s">
        <v>289</v>
      </c>
      <c r="C57" s="1" t="s">
        <v>19</v>
      </c>
      <c r="D57" s="1" t="s">
        <v>94</v>
      </c>
      <c r="E57" s="1" t="s">
        <v>71</v>
      </c>
      <c r="F57" s="1" t="s">
        <v>629</v>
      </c>
      <c r="G57" s="1">
        <v>2.5</v>
      </c>
      <c r="H57" s="1" t="s">
        <v>60</v>
      </c>
      <c r="I57" s="1">
        <v>-168.0</v>
      </c>
      <c r="J57" s="1">
        <v>-0.260163912649253</v>
      </c>
      <c r="K57" s="1" t="s">
        <v>61</v>
      </c>
      <c r="L57" s="1" t="s">
        <v>61</v>
      </c>
      <c r="M57" s="1" t="s">
        <v>62</v>
      </c>
      <c r="N57" s="1">
        <v>127.0</v>
      </c>
      <c r="O57" s="1">
        <v>0.192769288942731</v>
      </c>
      <c r="P57" s="1" t="s">
        <v>61</v>
      </c>
      <c r="Q57" s="1" t="s">
        <v>61</v>
      </c>
    </row>
    <row r="58">
      <c r="A58" s="1" t="s">
        <v>12</v>
      </c>
      <c r="B58" s="1" t="s">
        <v>361</v>
      </c>
      <c r="C58" s="1" t="s">
        <v>19</v>
      </c>
      <c r="D58" s="1" t="s">
        <v>82</v>
      </c>
      <c r="E58" s="1" t="s">
        <v>109</v>
      </c>
      <c r="F58" s="1" t="s">
        <v>629</v>
      </c>
      <c r="G58" s="1">
        <v>1.5</v>
      </c>
      <c r="H58" s="1" t="s">
        <v>60</v>
      </c>
      <c r="I58" s="1">
        <v>-181.0</v>
      </c>
      <c r="J58" s="1">
        <v>-0.248498346950177</v>
      </c>
      <c r="K58" s="1" t="s">
        <v>61</v>
      </c>
      <c r="L58" s="1" t="s">
        <v>61</v>
      </c>
      <c r="M58" s="1" t="s">
        <v>62</v>
      </c>
      <c r="N58" s="1">
        <v>136.0</v>
      </c>
      <c r="O58" s="1">
        <v>0.180654811411017</v>
      </c>
      <c r="P58" s="1" t="s">
        <v>61</v>
      </c>
      <c r="Q58" s="1" t="s">
        <v>61</v>
      </c>
    </row>
    <row r="59">
      <c r="A59" s="1" t="s">
        <v>12</v>
      </c>
      <c r="B59" s="1" t="s">
        <v>477</v>
      </c>
      <c r="C59" s="1" t="s">
        <v>20</v>
      </c>
      <c r="D59" s="1" t="s">
        <v>147</v>
      </c>
      <c r="E59" s="1" t="s">
        <v>156</v>
      </c>
      <c r="F59" s="1" t="s">
        <v>629</v>
      </c>
      <c r="G59" s="1">
        <v>1.5</v>
      </c>
      <c r="H59" s="1" t="s">
        <v>60</v>
      </c>
      <c r="I59" s="1">
        <v>-146.0</v>
      </c>
      <c r="J59" s="1">
        <v>-0.24763024153252</v>
      </c>
      <c r="K59" s="1" t="s">
        <v>61</v>
      </c>
      <c r="L59" s="1" t="s">
        <v>61</v>
      </c>
      <c r="M59" s="1" t="s">
        <v>62</v>
      </c>
      <c r="N59" s="1">
        <v>111.0</v>
      </c>
      <c r="O59" s="1">
        <v>0.180206347947867</v>
      </c>
      <c r="P59" s="1" t="s">
        <v>61</v>
      </c>
      <c r="Q59" s="1" t="s">
        <v>61</v>
      </c>
    </row>
    <row r="60">
      <c r="A60" s="1" t="s">
        <v>12</v>
      </c>
      <c r="B60" s="1" t="s">
        <v>359</v>
      </c>
      <c r="C60" s="1" t="s">
        <v>19</v>
      </c>
      <c r="D60" s="1" t="s">
        <v>72</v>
      </c>
      <c r="E60" s="1" t="s">
        <v>157</v>
      </c>
      <c r="F60" s="1" t="s">
        <v>629</v>
      </c>
      <c r="G60" s="1">
        <v>2.5</v>
      </c>
      <c r="H60" s="1" t="s">
        <v>60</v>
      </c>
      <c r="I60" s="1">
        <v>-136.0</v>
      </c>
      <c r="J60" s="1">
        <v>-0.243027427457627</v>
      </c>
      <c r="K60" s="1" t="s">
        <v>61</v>
      </c>
      <c r="L60" s="1" t="s">
        <v>61</v>
      </c>
      <c r="M60" s="1" t="s">
        <v>62</v>
      </c>
      <c r="N60" s="1">
        <v>104.0</v>
      </c>
      <c r="O60" s="1">
        <v>0.176553298431372</v>
      </c>
      <c r="P60" s="1" t="s">
        <v>61</v>
      </c>
      <c r="Q60" s="1" t="s">
        <v>61</v>
      </c>
    </row>
    <row r="61">
      <c r="A61" s="1" t="s">
        <v>12</v>
      </c>
      <c r="B61" s="1" t="s">
        <v>270</v>
      </c>
      <c r="C61" s="1" t="s">
        <v>19</v>
      </c>
      <c r="D61" s="1" t="s">
        <v>147</v>
      </c>
      <c r="E61" s="1" t="s">
        <v>156</v>
      </c>
      <c r="F61" s="1" t="s">
        <v>629</v>
      </c>
      <c r="G61" s="1">
        <v>1.5</v>
      </c>
      <c r="H61" s="1" t="s">
        <v>60</v>
      </c>
      <c r="I61" s="1">
        <v>-150.0</v>
      </c>
      <c r="J61" s="1">
        <v>-0.240992625004</v>
      </c>
      <c r="K61" s="1" t="s">
        <v>61</v>
      </c>
      <c r="L61" s="1" t="s">
        <v>61</v>
      </c>
      <c r="M61" s="1" t="s">
        <v>62</v>
      </c>
      <c r="N61" s="1">
        <v>115.0</v>
      </c>
      <c r="O61" s="1">
        <v>0.175875145353488</v>
      </c>
      <c r="P61" s="1" t="s">
        <v>61</v>
      </c>
      <c r="Q61" s="1" t="s">
        <v>61</v>
      </c>
    </row>
    <row r="62">
      <c r="A62" s="1" t="s">
        <v>8</v>
      </c>
      <c r="B62" s="1" t="s">
        <v>584</v>
      </c>
      <c r="C62" s="1" t="s">
        <v>19</v>
      </c>
      <c r="D62" s="1" t="s">
        <v>71</v>
      </c>
      <c r="E62" s="1" t="s">
        <v>94</v>
      </c>
      <c r="F62" s="1" t="s">
        <v>629</v>
      </c>
      <c r="G62" s="1">
        <v>7.5</v>
      </c>
      <c r="H62" s="1" t="s">
        <v>60</v>
      </c>
      <c r="I62" s="1">
        <v>-145.0</v>
      </c>
      <c r="J62" s="1">
        <v>-0.238971796752748</v>
      </c>
      <c r="K62" s="1" t="s">
        <v>61</v>
      </c>
      <c r="L62" s="1" t="s">
        <v>61</v>
      </c>
      <c r="M62" s="1" t="s">
        <v>62</v>
      </c>
      <c r="N62" s="1">
        <v>110.0</v>
      </c>
      <c r="O62" s="1">
        <v>0.170950429544873</v>
      </c>
      <c r="P62" s="1" t="s">
        <v>61</v>
      </c>
      <c r="Q62" s="1" t="s">
        <v>61</v>
      </c>
    </row>
    <row r="63">
      <c r="A63" s="1" t="s">
        <v>12</v>
      </c>
      <c r="B63" s="1" t="s">
        <v>168</v>
      </c>
      <c r="C63" s="1" t="s">
        <v>19</v>
      </c>
      <c r="D63" s="1" t="s">
        <v>67</v>
      </c>
      <c r="E63" s="1" t="s">
        <v>89</v>
      </c>
      <c r="F63" s="1" t="s">
        <v>629</v>
      </c>
      <c r="G63" s="1">
        <v>1.5</v>
      </c>
      <c r="H63" s="1" t="s">
        <v>60</v>
      </c>
      <c r="I63" s="1">
        <v>-156.0</v>
      </c>
      <c r="J63" s="1">
        <v>-0.236709483566406</v>
      </c>
      <c r="K63" s="1" t="s">
        <v>61</v>
      </c>
      <c r="L63" s="1" t="s">
        <v>61</v>
      </c>
      <c r="M63" s="1" t="s">
        <v>62</v>
      </c>
      <c r="N63" s="1">
        <v>119.0</v>
      </c>
      <c r="O63" s="1">
        <v>0.170719304990867</v>
      </c>
      <c r="P63" s="1" t="s">
        <v>61</v>
      </c>
      <c r="Q63" s="1" t="s">
        <v>61</v>
      </c>
    </row>
    <row r="64">
      <c r="A64" s="1" t="s">
        <v>10</v>
      </c>
      <c r="B64" s="1" t="s">
        <v>501</v>
      </c>
      <c r="C64" s="1" t="s">
        <v>18</v>
      </c>
      <c r="D64" s="1" t="s">
        <v>109</v>
      </c>
      <c r="E64" s="1" t="s">
        <v>82</v>
      </c>
      <c r="F64" s="1" t="s">
        <v>629</v>
      </c>
      <c r="G64" s="1">
        <v>0.5</v>
      </c>
      <c r="H64" s="1" t="s">
        <v>60</v>
      </c>
      <c r="I64" s="1">
        <v>121.0</v>
      </c>
      <c r="J64" s="1">
        <v>0.160403526916325</v>
      </c>
      <c r="K64" s="1" t="s">
        <v>61</v>
      </c>
      <c r="L64" s="1" t="s">
        <v>61</v>
      </c>
      <c r="M64" s="1" t="s">
        <v>62</v>
      </c>
      <c r="N64" s="1">
        <v>-159.0</v>
      </c>
      <c r="O64" s="1">
        <v>-0.22675450819467</v>
      </c>
      <c r="P64" s="1" t="s">
        <v>61</v>
      </c>
      <c r="Q64" s="1" t="s">
        <v>61</v>
      </c>
    </row>
    <row r="65">
      <c r="A65" s="1" t="s">
        <v>12</v>
      </c>
      <c r="B65" s="1" t="s">
        <v>584</v>
      </c>
      <c r="C65" s="1" t="s">
        <v>19</v>
      </c>
      <c r="D65" s="1" t="s">
        <v>71</v>
      </c>
      <c r="E65" s="1" t="s">
        <v>94</v>
      </c>
      <c r="F65" s="1" t="s">
        <v>629</v>
      </c>
      <c r="G65" s="1">
        <v>1.5</v>
      </c>
      <c r="H65" s="1" t="s">
        <v>60</v>
      </c>
      <c r="I65" s="1">
        <v>-126.0</v>
      </c>
      <c r="J65" s="1">
        <v>-0.225312024637168</v>
      </c>
      <c r="K65" s="1" t="s">
        <v>61</v>
      </c>
      <c r="L65" s="1" t="s">
        <v>61</v>
      </c>
      <c r="M65" s="1" t="s">
        <v>62</v>
      </c>
      <c r="N65" s="1">
        <v>-103.0</v>
      </c>
      <c r="O65" s="1">
        <v>0.160399256625812</v>
      </c>
      <c r="P65" s="1" t="s">
        <v>61</v>
      </c>
      <c r="Q65" s="1" t="s">
        <v>61</v>
      </c>
    </row>
    <row r="66">
      <c r="A66" s="1" t="s">
        <v>12</v>
      </c>
      <c r="B66" s="1" t="s">
        <v>630</v>
      </c>
      <c r="C66" s="1" t="s">
        <v>19</v>
      </c>
      <c r="D66" s="1" t="s">
        <v>89</v>
      </c>
      <c r="E66" s="1" t="s">
        <v>67</v>
      </c>
      <c r="F66" s="1" t="s">
        <v>629</v>
      </c>
      <c r="G66" s="1">
        <v>1.5</v>
      </c>
      <c r="H66" s="1" t="s">
        <v>60</v>
      </c>
      <c r="I66" s="1">
        <v>-145.0</v>
      </c>
      <c r="J66" s="1">
        <v>-0.227928732755101</v>
      </c>
      <c r="K66" s="1" t="s">
        <v>61</v>
      </c>
      <c r="L66" s="1" t="s">
        <v>61</v>
      </c>
      <c r="M66" s="1" t="s">
        <v>62</v>
      </c>
      <c r="N66" s="1">
        <v>110.0</v>
      </c>
      <c r="O66" s="1">
        <v>0.159900188214285</v>
      </c>
      <c r="P66" s="1" t="s">
        <v>61</v>
      </c>
      <c r="Q66" s="1" t="s">
        <v>61</v>
      </c>
    </row>
    <row r="67">
      <c r="A67" s="1" t="s">
        <v>9</v>
      </c>
      <c r="B67" s="1" t="s">
        <v>210</v>
      </c>
      <c r="C67" s="1" t="s">
        <v>18</v>
      </c>
      <c r="D67" s="1" t="s">
        <v>156</v>
      </c>
      <c r="E67" s="1" t="s">
        <v>147</v>
      </c>
      <c r="F67" s="1" t="s">
        <v>629</v>
      </c>
      <c r="G67" s="1">
        <v>13.5</v>
      </c>
      <c r="H67" s="1" t="s">
        <v>60</v>
      </c>
      <c r="I67" s="1">
        <v>-113.0</v>
      </c>
      <c r="J67" s="1">
        <v>0.15964690156428</v>
      </c>
      <c r="K67" s="1" t="s">
        <v>61</v>
      </c>
      <c r="L67" s="1" t="s">
        <v>61</v>
      </c>
      <c r="M67" s="1" t="s">
        <v>62</v>
      </c>
      <c r="N67" s="1">
        <v>-120.0</v>
      </c>
      <c r="O67" s="1">
        <v>-0.235579581999227</v>
      </c>
      <c r="P67" s="1" t="s">
        <v>61</v>
      </c>
      <c r="Q67" s="1" t="s">
        <v>61</v>
      </c>
    </row>
    <row r="68">
      <c r="A68" s="1" t="s">
        <v>8</v>
      </c>
      <c r="B68" s="1" t="s">
        <v>569</v>
      </c>
      <c r="C68" s="1" t="s">
        <v>21</v>
      </c>
      <c r="D68" s="1" t="s">
        <v>94</v>
      </c>
      <c r="E68" s="1" t="s">
        <v>71</v>
      </c>
      <c r="F68" s="1" t="s">
        <v>629</v>
      </c>
      <c r="G68" s="1">
        <v>6.5</v>
      </c>
      <c r="H68" s="1" t="s">
        <v>60</v>
      </c>
      <c r="I68" s="1">
        <v>-106.0</v>
      </c>
      <c r="J68" s="1">
        <v>-0.22660770453434</v>
      </c>
      <c r="K68" s="1" t="s">
        <v>61</v>
      </c>
      <c r="L68" s="1" t="s">
        <v>61</v>
      </c>
      <c r="M68" s="1" t="s">
        <v>62</v>
      </c>
      <c r="N68" s="1">
        <v>-124.0</v>
      </c>
      <c r="O68" s="1">
        <v>0.158465393063625</v>
      </c>
      <c r="P68" s="1" t="s">
        <v>61</v>
      </c>
      <c r="Q68" s="1" t="s">
        <v>61</v>
      </c>
    </row>
    <row r="69">
      <c r="A69" s="1" t="s">
        <v>8</v>
      </c>
      <c r="B69" s="1" t="s">
        <v>270</v>
      </c>
      <c r="C69" s="1" t="s">
        <v>19</v>
      </c>
      <c r="D69" s="1" t="s">
        <v>147</v>
      </c>
      <c r="E69" s="1" t="s">
        <v>156</v>
      </c>
      <c r="F69" s="1" t="s">
        <v>629</v>
      </c>
      <c r="G69" s="1">
        <v>9.5</v>
      </c>
      <c r="H69" s="1" t="s">
        <v>60</v>
      </c>
      <c r="I69" s="1">
        <v>-120.0</v>
      </c>
      <c r="J69" s="1">
        <v>-0.226898115902703</v>
      </c>
      <c r="K69" s="1" t="s">
        <v>61</v>
      </c>
      <c r="L69" s="1" t="s">
        <v>61</v>
      </c>
      <c r="M69" s="1" t="s">
        <v>62</v>
      </c>
      <c r="N69" s="1">
        <v>-110.0</v>
      </c>
      <c r="O69" s="1">
        <v>0.157640685945019</v>
      </c>
      <c r="P69" s="1" t="s">
        <v>61</v>
      </c>
      <c r="Q69" s="1" t="s">
        <v>61</v>
      </c>
    </row>
    <row r="70">
      <c r="A70" s="1" t="s">
        <v>12</v>
      </c>
      <c r="B70" s="1" t="s">
        <v>245</v>
      </c>
      <c r="C70" s="1" t="s">
        <v>18</v>
      </c>
      <c r="D70" s="1" t="s">
        <v>157</v>
      </c>
      <c r="E70" s="1" t="s">
        <v>72</v>
      </c>
      <c r="F70" s="1" t="s">
        <v>629</v>
      </c>
      <c r="G70" s="1">
        <v>1.5</v>
      </c>
      <c r="H70" s="1" t="s">
        <v>60</v>
      </c>
      <c r="I70" s="1">
        <v>-155.0</v>
      </c>
      <c r="J70" s="1">
        <v>-0.219520626211764</v>
      </c>
      <c r="K70" s="1" t="s">
        <v>61</v>
      </c>
      <c r="L70" s="1" t="s">
        <v>61</v>
      </c>
      <c r="M70" s="1" t="s">
        <v>62</v>
      </c>
      <c r="N70" s="1">
        <v>118.0</v>
      </c>
      <c r="O70" s="1">
        <v>0.152975044422018</v>
      </c>
      <c r="P70" s="1" t="s">
        <v>61</v>
      </c>
      <c r="Q70" s="1" t="s">
        <v>61</v>
      </c>
    </row>
    <row r="71">
      <c r="A71" s="1" t="s">
        <v>8</v>
      </c>
      <c r="B71" s="1" t="s">
        <v>168</v>
      </c>
      <c r="C71" s="1" t="s">
        <v>19</v>
      </c>
      <c r="D71" s="1" t="s">
        <v>67</v>
      </c>
      <c r="E71" s="1" t="s">
        <v>89</v>
      </c>
      <c r="F71" s="1" t="s">
        <v>629</v>
      </c>
      <c r="G71" s="1">
        <v>7.5</v>
      </c>
      <c r="H71" s="1" t="s">
        <v>60</v>
      </c>
      <c r="I71" s="1">
        <v>-135.0</v>
      </c>
      <c r="J71" s="1">
        <v>-0.222004662200125</v>
      </c>
      <c r="K71" s="1" t="s">
        <v>61</v>
      </c>
      <c r="L71" s="1" t="s">
        <v>61</v>
      </c>
      <c r="M71" s="1" t="s">
        <v>62</v>
      </c>
      <c r="N71" s="1">
        <v>102.0</v>
      </c>
      <c r="O71" s="1">
        <v>0.152493047609056</v>
      </c>
      <c r="P71" s="1" t="s">
        <v>61</v>
      </c>
      <c r="Q71" s="1" t="s">
        <v>61</v>
      </c>
    </row>
    <row r="72">
      <c r="A72" s="1" t="s">
        <v>8</v>
      </c>
      <c r="B72" s="1" t="s">
        <v>202</v>
      </c>
      <c r="C72" s="1" t="s">
        <v>19</v>
      </c>
      <c r="D72" s="1" t="s">
        <v>109</v>
      </c>
      <c r="E72" s="1" t="s">
        <v>82</v>
      </c>
      <c r="F72" s="1" t="s">
        <v>629</v>
      </c>
      <c r="G72" s="1">
        <v>8.5</v>
      </c>
      <c r="H72" s="1" t="s">
        <v>60</v>
      </c>
      <c r="I72" s="1">
        <v>-107.0</v>
      </c>
      <c r="J72" s="1">
        <v>-0.224852403932208</v>
      </c>
      <c r="K72" s="1" t="s">
        <v>61</v>
      </c>
      <c r="L72" s="1" t="s">
        <v>61</v>
      </c>
      <c r="M72" s="1" t="s">
        <v>62</v>
      </c>
      <c r="N72" s="1">
        <v>-125.0</v>
      </c>
      <c r="O72" s="1">
        <v>0.15238026452204</v>
      </c>
      <c r="P72" s="1" t="s">
        <v>61</v>
      </c>
      <c r="Q72" s="1" t="s">
        <v>61</v>
      </c>
    </row>
    <row r="73">
      <c r="A73" s="1" t="s">
        <v>8</v>
      </c>
      <c r="B73" s="1" t="s">
        <v>260</v>
      </c>
      <c r="C73" s="1" t="s">
        <v>21</v>
      </c>
      <c r="D73" s="1" t="s">
        <v>147</v>
      </c>
      <c r="E73" s="1" t="s">
        <v>156</v>
      </c>
      <c r="F73" s="1" t="s">
        <v>629</v>
      </c>
      <c r="G73" s="1">
        <v>5.5</v>
      </c>
      <c r="H73" s="1" t="s">
        <v>60</v>
      </c>
      <c r="I73" s="1">
        <v>-145.0</v>
      </c>
      <c r="J73" s="1">
        <v>-0.222472877186755</v>
      </c>
      <c r="K73" s="1" t="s">
        <v>61</v>
      </c>
      <c r="L73" s="1" t="s">
        <v>61</v>
      </c>
      <c r="M73" s="1" t="s">
        <v>62</v>
      </c>
      <c r="N73" s="1">
        <v>109.0</v>
      </c>
      <c r="O73" s="1">
        <v>0.152173468472511</v>
      </c>
      <c r="P73" s="1" t="s">
        <v>61</v>
      </c>
      <c r="Q73" s="1" t="s">
        <v>61</v>
      </c>
    </row>
    <row r="74">
      <c r="A74" s="1" t="s">
        <v>12</v>
      </c>
      <c r="B74" s="1" t="s">
        <v>426</v>
      </c>
      <c r="C74" s="1" t="s">
        <v>18</v>
      </c>
      <c r="D74" s="1" t="s">
        <v>104</v>
      </c>
      <c r="E74" s="1" t="s">
        <v>100</v>
      </c>
      <c r="F74" s="1" t="s">
        <v>629</v>
      </c>
      <c r="G74" s="1">
        <v>1.5</v>
      </c>
      <c r="H74" s="1" t="s">
        <v>60</v>
      </c>
      <c r="I74" s="1">
        <v>-152.0</v>
      </c>
      <c r="J74" s="1">
        <v>-0.217473681773809</v>
      </c>
      <c r="K74" s="1" t="s">
        <v>61</v>
      </c>
      <c r="L74" s="1" t="s">
        <v>61</v>
      </c>
      <c r="M74" s="1" t="s">
        <v>62</v>
      </c>
      <c r="N74" s="1">
        <v>116.0</v>
      </c>
      <c r="O74" s="1">
        <v>0.151335962069444</v>
      </c>
      <c r="P74" s="1" t="s">
        <v>61</v>
      </c>
      <c r="Q74" s="1" t="s">
        <v>61</v>
      </c>
    </row>
    <row r="75">
      <c r="A75" s="1" t="s">
        <v>8</v>
      </c>
      <c r="B75" s="1" t="s">
        <v>297</v>
      </c>
      <c r="C75" s="1" t="s">
        <v>21</v>
      </c>
      <c r="D75" s="1" t="s">
        <v>157</v>
      </c>
      <c r="E75" s="1" t="s">
        <v>72</v>
      </c>
      <c r="F75" s="1" t="s">
        <v>629</v>
      </c>
      <c r="G75" s="1">
        <v>2.5</v>
      </c>
      <c r="H75" s="1" t="s">
        <v>60</v>
      </c>
      <c r="I75" s="1">
        <v>-150.0</v>
      </c>
      <c r="J75" s="1">
        <v>-0.220171090073182</v>
      </c>
      <c r="K75" s="1" t="s">
        <v>61</v>
      </c>
      <c r="L75" s="1" t="s">
        <v>61</v>
      </c>
      <c r="M75" s="1" t="s">
        <v>62</v>
      </c>
      <c r="N75" s="1">
        <v>112.0</v>
      </c>
      <c r="O75" s="1">
        <v>0.148485719425923</v>
      </c>
      <c r="P75" s="1" t="s">
        <v>61</v>
      </c>
      <c r="Q75" s="1" t="s">
        <v>61</v>
      </c>
    </row>
    <row r="76">
      <c r="A76" s="1" t="s">
        <v>12</v>
      </c>
      <c r="B76" s="1" t="s">
        <v>579</v>
      </c>
      <c r="C76" s="1" t="s">
        <v>20</v>
      </c>
      <c r="D76" s="1" t="s">
        <v>67</v>
      </c>
      <c r="E76" s="1" t="s">
        <v>89</v>
      </c>
      <c r="F76" s="1" t="s">
        <v>629</v>
      </c>
      <c r="G76" s="1">
        <v>1.5</v>
      </c>
      <c r="H76" s="1" t="s">
        <v>60</v>
      </c>
      <c r="I76" s="1">
        <v>-164.0</v>
      </c>
      <c r="J76" s="1">
        <v>-0.216010989613636</v>
      </c>
      <c r="K76" s="1" t="s">
        <v>61</v>
      </c>
      <c r="L76" s="1" t="s">
        <v>61</v>
      </c>
      <c r="M76" s="1" t="s">
        <v>62</v>
      </c>
      <c r="N76" s="1">
        <v>124.0</v>
      </c>
      <c r="O76" s="1">
        <v>0.148370094901785</v>
      </c>
      <c r="P76" s="1" t="s">
        <v>61</v>
      </c>
      <c r="Q76" s="1" t="s">
        <v>61</v>
      </c>
    </row>
    <row r="77">
      <c r="A77" s="1" t="s">
        <v>8</v>
      </c>
      <c r="B77" s="1" t="s">
        <v>630</v>
      </c>
      <c r="C77" s="1" t="s">
        <v>19</v>
      </c>
      <c r="D77" s="1" t="s">
        <v>89</v>
      </c>
      <c r="E77" s="1" t="s">
        <v>67</v>
      </c>
      <c r="F77" s="1" t="s">
        <v>629</v>
      </c>
      <c r="G77" s="1">
        <v>4.5</v>
      </c>
      <c r="H77" s="1" t="s">
        <v>60</v>
      </c>
      <c r="I77" s="1">
        <v>-117.0</v>
      </c>
      <c r="J77" s="1">
        <v>-0.217611129550314</v>
      </c>
      <c r="K77" s="1" t="s">
        <v>61</v>
      </c>
      <c r="L77" s="1" t="s">
        <v>61</v>
      </c>
      <c r="M77" s="1" t="s">
        <v>62</v>
      </c>
      <c r="N77" s="1">
        <v>-113.0</v>
      </c>
      <c r="O77" s="1">
        <v>0.147930333694988</v>
      </c>
      <c r="P77" s="1" t="s">
        <v>61</v>
      </c>
      <c r="Q77" s="1" t="s">
        <v>61</v>
      </c>
    </row>
    <row r="78">
      <c r="A78" s="1" t="s">
        <v>8</v>
      </c>
      <c r="B78" s="1" t="s">
        <v>293</v>
      </c>
      <c r="C78" s="1" t="s">
        <v>19</v>
      </c>
      <c r="D78" s="1" t="s">
        <v>67</v>
      </c>
      <c r="E78" s="1" t="s">
        <v>89</v>
      </c>
      <c r="F78" s="1" t="s">
        <v>629</v>
      </c>
      <c r="G78" s="1">
        <v>11.5</v>
      </c>
      <c r="H78" s="1" t="s">
        <v>60</v>
      </c>
      <c r="I78" s="1">
        <v>-125.0</v>
      </c>
      <c r="J78" s="1">
        <v>-0.213688792672666</v>
      </c>
      <c r="K78" s="1" t="s">
        <v>61</v>
      </c>
      <c r="L78" s="1" t="s">
        <v>61</v>
      </c>
      <c r="M78" s="1" t="s">
        <v>62</v>
      </c>
      <c r="N78" s="1">
        <v>-105.0</v>
      </c>
      <c r="O78" s="1">
        <v>0.145958425702036</v>
      </c>
      <c r="P78" s="1" t="s">
        <v>61</v>
      </c>
      <c r="Q78" s="1" t="s">
        <v>61</v>
      </c>
    </row>
    <row r="79">
      <c r="A79" s="1" t="s">
        <v>12</v>
      </c>
      <c r="B79" s="1" t="s">
        <v>217</v>
      </c>
      <c r="C79" s="1" t="s">
        <v>18</v>
      </c>
      <c r="D79" s="1" t="s">
        <v>71</v>
      </c>
      <c r="E79" s="1" t="s">
        <v>94</v>
      </c>
      <c r="F79" s="1" t="s">
        <v>629</v>
      </c>
      <c r="G79" s="1">
        <v>1.5</v>
      </c>
      <c r="H79" s="1" t="s">
        <v>60</v>
      </c>
      <c r="I79" s="1">
        <v>-139.0</v>
      </c>
      <c r="J79" s="1">
        <v>-0.212981276108786</v>
      </c>
      <c r="K79" s="1" t="s">
        <v>61</v>
      </c>
      <c r="L79" s="1" t="s">
        <v>61</v>
      </c>
      <c r="M79" s="1" t="s">
        <v>62</v>
      </c>
      <c r="N79" s="1">
        <v>106.0</v>
      </c>
      <c r="O79" s="1">
        <v>0.145953033932038</v>
      </c>
      <c r="P79" s="1" t="s">
        <v>61</v>
      </c>
      <c r="Q79" s="1" t="s">
        <v>61</v>
      </c>
    </row>
    <row r="80">
      <c r="A80" s="1" t="s">
        <v>8</v>
      </c>
      <c r="B80" s="1" t="s">
        <v>500</v>
      </c>
      <c r="C80" s="1" t="s">
        <v>21</v>
      </c>
      <c r="D80" s="1" t="s">
        <v>82</v>
      </c>
      <c r="E80" s="1" t="s">
        <v>109</v>
      </c>
      <c r="F80" s="1" t="s">
        <v>629</v>
      </c>
      <c r="G80" s="1">
        <v>2.5</v>
      </c>
      <c r="H80" s="1" t="s">
        <v>60</v>
      </c>
      <c r="I80" s="1">
        <v>-138.0</v>
      </c>
      <c r="J80" s="1">
        <v>-0.208623507535618</v>
      </c>
      <c r="K80" s="1" t="s">
        <v>61</v>
      </c>
      <c r="L80" s="1" t="s">
        <v>61</v>
      </c>
      <c r="M80" s="1" t="s">
        <v>62</v>
      </c>
      <c r="N80" s="1">
        <v>105.0</v>
      </c>
      <c r="O80" s="1">
        <v>0.140985340455986</v>
      </c>
      <c r="P80" s="1" t="s">
        <v>61</v>
      </c>
      <c r="Q80" s="1" t="s">
        <v>61</v>
      </c>
    </row>
    <row r="81">
      <c r="A81" s="1" t="s">
        <v>9</v>
      </c>
      <c r="B81" s="1" t="s">
        <v>245</v>
      </c>
      <c r="C81" s="1" t="s">
        <v>18</v>
      </c>
      <c r="D81" s="1" t="s">
        <v>157</v>
      </c>
      <c r="E81" s="1" t="s">
        <v>72</v>
      </c>
      <c r="F81" s="1" t="s">
        <v>629</v>
      </c>
      <c r="G81" s="1">
        <v>18.5</v>
      </c>
      <c r="H81" s="1" t="s">
        <v>60</v>
      </c>
      <c r="I81" s="1">
        <v>-113.0</v>
      </c>
      <c r="J81" s="1">
        <v>0.139345292495826</v>
      </c>
      <c r="K81" s="1" t="s">
        <v>61</v>
      </c>
      <c r="L81" s="1" t="s">
        <v>61</v>
      </c>
      <c r="M81" s="1" t="s">
        <v>62</v>
      </c>
      <c r="N81" s="1">
        <v>-120.0</v>
      </c>
      <c r="O81" s="1">
        <v>-0.215277712554242</v>
      </c>
      <c r="P81" s="1" t="s">
        <v>61</v>
      </c>
      <c r="Q81" s="1" t="s">
        <v>61</v>
      </c>
    </row>
    <row r="82">
      <c r="A82" s="1" t="s">
        <v>9</v>
      </c>
      <c r="B82" s="1" t="s">
        <v>502</v>
      </c>
      <c r="C82" s="1" t="s">
        <v>18</v>
      </c>
      <c r="D82" s="1" t="s">
        <v>89</v>
      </c>
      <c r="E82" s="1" t="s">
        <v>67</v>
      </c>
      <c r="F82" s="1" t="s">
        <v>629</v>
      </c>
      <c r="G82" s="1">
        <v>18.5</v>
      </c>
      <c r="H82" s="1" t="s">
        <v>60</v>
      </c>
      <c r="I82" s="1">
        <v>-114.0</v>
      </c>
      <c r="J82" s="1">
        <v>0.138946796796117</v>
      </c>
      <c r="K82" s="1" t="s">
        <v>61</v>
      </c>
      <c r="L82" s="1" t="s">
        <v>61</v>
      </c>
      <c r="M82" s="1" t="s">
        <v>62</v>
      </c>
      <c r="N82" s="1">
        <v>-119.0</v>
      </c>
      <c r="O82" s="1">
        <v>-0.215012800329219</v>
      </c>
      <c r="P82" s="1" t="s">
        <v>61</v>
      </c>
      <c r="Q82" s="1" t="s">
        <v>61</v>
      </c>
    </row>
    <row r="83">
      <c r="A83" s="1" t="s">
        <v>8</v>
      </c>
      <c r="B83" s="1" t="s">
        <v>369</v>
      </c>
      <c r="C83" s="1" t="s">
        <v>21</v>
      </c>
      <c r="D83" s="1" t="s">
        <v>72</v>
      </c>
      <c r="E83" s="1" t="s">
        <v>157</v>
      </c>
      <c r="F83" s="1" t="s">
        <v>629</v>
      </c>
      <c r="G83" s="1">
        <v>2.5</v>
      </c>
      <c r="H83" s="1" t="s">
        <v>60</v>
      </c>
      <c r="I83" s="1">
        <v>-143.0</v>
      </c>
      <c r="J83" s="1">
        <v>-0.20960945333419</v>
      </c>
      <c r="K83" s="1" t="s">
        <v>61</v>
      </c>
      <c r="L83" s="1" t="s">
        <v>61</v>
      </c>
      <c r="M83" s="1" t="s">
        <v>62</v>
      </c>
      <c r="N83" s="1">
        <v>107.0</v>
      </c>
      <c r="O83" s="1">
        <v>0.138045880001005</v>
      </c>
      <c r="P83" s="1" t="s">
        <v>61</v>
      </c>
      <c r="Q83" s="1" t="s">
        <v>61</v>
      </c>
    </row>
    <row r="84">
      <c r="A84" s="1" t="s">
        <v>10</v>
      </c>
      <c r="B84" s="1" t="s">
        <v>441</v>
      </c>
      <c r="C84" s="1" t="s">
        <v>18</v>
      </c>
      <c r="D84" s="1" t="s">
        <v>94</v>
      </c>
      <c r="E84" s="1" t="s">
        <v>71</v>
      </c>
      <c r="F84" s="1" t="s">
        <v>629</v>
      </c>
      <c r="G84" s="1">
        <v>0.5</v>
      </c>
      <c r="H84" s="1" t="s">
        <v>60</v>
      </c>
      <c r="I84" s="1">
        <v>103.0</v>
      </c>
      <c r="J84" s="1">
        <v>0.135597954576846</v>
      </c>
      <c r="K84" s="1" t="s">
        <v>61</v>
      </c>
      <c r="L84" s="1" t="s">
        <v>61</v>
      </c>
      <c r="M84" s="1" t="s">
        <v>62</v>
      </c>
      <c r="N84" s="1">
        <v>-136.0</v>
      </c>
      <c r="O84" s="1">
        <v>-0.204454162352211</v>
      </c>
      <c r="P84" s="1" t="s">
        <v>61</v>
      </c>
      <c r="Q84" s="1" t="s">
        <v>61</v>
      </c>
    </row>
    <row r="85">
      <c r="A85" s="1" t="s">
        <v>12</v>
      </c>
      <c r="B85" s="1" t="s">
        <v>344</v>
      </c>
      <c r="C85" s="1" t="s">
        <v>18</v>
      </c>
      <c r="D85" s="1" t="s">
        <v>157</v>
      </c>
      <c r="E85" s="1" t="s">
        <v>72</v>
      </c>
      <c r="F85" s="1" t="s">
        <v>629</v>
      </c>
      <c r="G85" s="1">
        <v>2.5</v>
      </c>
      <c r="H85" s="1" t="s">
        <v>60</v>
      </c>
      <c r="I85" s="1">
        <v>-109.0</v>
      </c>
      <c r="J85" s="1">
        <v>-0.19992973014354</v>
      </c>
      <c r="K85" s="1" t="s">
        <v>61</v>
      </c>
      <c r="L85" s="1" t="s">
        <v>61</v>
      </c>
      <c r="M85" s="1" t="s">
        <v>62</v>
      </c>
      <c r="N85" s="1">
        <v>-120.0</v>
      </c>
      <c r="O85" s="1">
        <v>0.132943892363636</v>
      </c>
      <c r="P85" s="1" t="s">
        <v>61</v>
      </c>
      <c r="Q85" s="1" t="s">
        <v>61</v>
      </c>
    </row>
    <row r="86">
      <c r="A86" s="1" t="s">
        <v>12</v>
      </c>
      <c r="B86" s="1" t="s">
        <v>549</v>
      </c>
      <c r="C86" s="1" t="s">
        <v>18</v>
      </c>
      <c r="D86" s="1" t="s">
        <v>146</v>
      </c>
      <c r="E86" s="1" t="s">
        <v>197</v>
      </c>
      <c r="F86" s="1" t="s">
        <v>629</v>
      </c>
      <c r="G86" s="1">
        <v>1.5</v>
      </c>
      <c r="H86" s="1" t="s">
        <v>60</v>
      </c>
      <c r="I86" s="1">
        <v>-110.0</v>
      </c>
      <c r="J86" s="1">
        <v>-0.20189590237619</v>
      </c>
      <c r="K86" s="1" t="s">
        <v>61</v>
      </c>
      <c r="L86" s="1" t="s">
        <v>61</v>
      </c>
      <c r="M86" s="1" t="s">
        <v>62</v>
      </c>
      <c r="N86" s="1">
        <v>-120.0</v>
      </c>
      <c r="O86" s="1">
        <v>0.132629851812727</v>
      </c>
      <c r="P86" s="1" t="s">
        <v>61</v>
      </c>
      <c r="Q86" s="1" t="s">
        <v>61</v>
      </c>
    </row>
    <row r="87">
      <c r="A87" s="1" t="s">
        <v>12</v>
      </c>
      <c r="B87" s="1" t="s">
        <v>414</v>
      </c>
      <c r="C87" s="1" t="s">
        <v>18</v>
      </c>
      <c r="D87" s="1" t="s">
        <v>89</v>
      </c>
      <c r="E87" s="1" t="s">
        <v>67</v>
      </c>
      <c r="F87" s="1" t="s">
        <v>629</v>
      </c>
      <c r="G87" s="1">
        <v>2.5</v>
      </c>
      <c r="H87" s="1" t="s">
        <v>60</v>
      </c>
      <c r="I87" s="1">
        <v>-147.0</v>
      </c>
      <c r="J87" s="1">
        <v>-0.198739106842105</v>
      </c>
      <c r="K87" s="1" t="s">
        <v>61</v>
      </c>
      <c r="L87" s="1" t="s">
        <v>61</v>
      </c>
      <c r="M87" s="1" t="s">
        <v>62</v>
      </c>
      <c r="N87" s="1">
        <v>112.0</v>
      </c>
      <c r="O87" s="1">
        <v>0.131898865047169</v>
      </c>
      <c r="P87" s="1" t="s">
        <v>61</v>
      </c>
      <c r="Q87" s="1" t="s">
        <v>61</v>
      </c>
    </row>
    <row r="88">
      <c r="A88" s="1" t="s">
        <v>10</v>
      </c>
      <c r="B88" s="1" t="s">
        <v>241</v>
      </c>
      <c r="C88" s="1" t="s">
        <v>21</v>
      </c>
      <c r="D88" s="1" t="s">
        <v>197</v>
      </c>
      <c r="E88" s="1" t="s">
        <v>146</v>
      </c>
      <c r="F88" s="1" t="s">
        <v>629</v>
      </c>
      <c r="G88" s="1">
        <v>1.5</v>
      </c>
      <c r="H88" s="1" t="s">
        <v>60</v>
      </c>
      <c r="I88" s="1">
        <v>-101.0</v>
      </c>
      <c r="J88" s="1">
        <v>0.128913028173831</v>
      </c>
      <c r="K88" s="1" t="s">
        <v>61</v>
      </c>
      <c r="L88" s="1" t="s">
        <v>61</v>
      </c>
      <c r="M88" s="1" t="s">
        <v>62</v>
      </c>
      <c r="N88" s="1">
        <v>-129.0</v>
      </c>
      <c r="O88" s="1">
        <v>-0.194706218668964</v>
      </c>
      <c r="P88" s="1" t="s">
        <v>61</v>
      </c>
      <c r="Q88" s="1" t="s">
        <v>61</v>
      </c>
    </row>
    <row r="89">
      <c r="A89" s="1" t="s">
        <v>14</v>
      </c>
      <c r="B89" s="1" t="s">
        <v>569</v>
      </c>
      <c r="C89" s="1" t="s">
        <v>21</v>
      </c>
      <c r="D89" s="1" t="s">
        <v>94</v>
      </c>
      <c r="E89" s="1" t="s">
        <v>71</v>
      </c>
      <c r="F89" s="1" t="s">
        <v>629</v>
      </c>
      <c r="G89" s="1">
        <v>0.5</v>
      </c>
      <c r="H89" s="1" t="s">
        <v>60</v>
      </c>
      <c r="I89" s="1">
        <v>-205.0</v>
      </c>
      <c r="J89" s="1">
        <v>-0.190796954229508</v>
      </c>
      <c r="K89" s="1" t="s">
        <v>61</v>
      </c>
      <c r="L89" s="1" t="s">
        <v>61</v>
      </c>
      <c r="M89" s="1" t="s">
        <v>62</v>
      </c>
      <c r="N89" s="1">
        <v>156.0</v>
      </c>
      <c r="O89" s="1">
        <v>0.128034261875</v>
      </c>
      <c r="P89" s="1" t="s">
        <v>61</v>
      </c>
      <c r="Q89" s="1" t="s">
        <v>61</v>
      </c>
    </row>
    <row r="90">
      <c r="A90" s="1" t="s">
        <v>12</v>
      </c>
      <c r="B90" s="1" t="s">
        <v>499</v>
      </c>
      <c r="C90" s="1" t="s">
        <v>18</v>
      </c>
      <c r="D90" s="1" t="s">
        <v>109</v>
      </c>
      <c r="E90" s="1" t="s">
        <v>82</v>
      </c>
      <c r="F90" s="1" t="s">
        <v>629</v>
      </c>
      <c r="G90" s="1">
        <v>6.5</v>
      </c>
      <c r="H90" s="1" t="s">
        <v>60</v>
      </c>
      <c r="I90" s="1">
        <v>-104.0</v>
      </c>
      <c r="J90" s="1">
        <v>0.127647058823529</v>
      </c>
      <c r="K90" s="1" t="s">
        <v>61</v>
      </c>
      <c r="L90" s="1" t="s">
        <v>61</v>
      </c>
      <c r="M90" s="1" t="s">
        <v>62</v>
      </c>
      <c r="N90" s="1">
        <v>-126.0</v>
      </c>
      <c r="O90" s="1">
        <v>-0.194966371681416</v>
      </c>
      <c r="P90" s="1" t="s">
        <v>61</v>
      </c>
      <c r="Q90" s="1" t="s">
        <v>61</v>
      </c>
    </row>
    <row r="91">
      <c r="A91" s="1" t="s">
        <v>12</v>
      </c>
      <c r="B91" s="1" t="s">
        <v>483</v>
      </c>
      <c r="C91" s="1" t="s">
        <v>18</v>
      </c>
      <c r="D91" s="1" t="s">
        <v>147</v>
      </c>
      <c r="E91" s="1" t="s">
        <v>156</v>
      </c>
      <c r="F91" s="1" t="s">
        <v>629</v>
      </c>
      <c r="G91" s="1">
        <v>2.5</v>
      </c>
      <c r="H91" s="1" t="s">
        <v>60</v>
      </c>
      <c r="I91" s="1">
        <v>-113.0</v>
      </c>
      <c r="J91" s="1">
        <v>-0.195761817089201</v>
      </c>
      <c r="K91" s="1" t="s">
        <v>61</v>
      </c>
      <c r="L91" s="1" t="s">
        <v>61</v>
      </c>
      <c r="M91" s="1" t="s">
        <v>62</v>
      </c>
      <c r="N91" s="1">
        <v>-117.0</v>
      </c>
      <c r="O91" s="1">
        <v>0.126081614916129</v>
      </c>
      <c r="P91" s="1" t="s">
        <v>61</v>
      </c>
      <c r="Q91" s="1" t="s">
        <v>61</v>
      </c>
    </row>
    <row r="92">
      <c r="A92" s="1" t="s">
        <v>8</v>
      </c>
      <c r="B92" s="1" t="s">
        <v>200</v>
      </c>
      <c r="C92" s="1" t="s">
        <v>21</v>
      </c>
      <c r="D92" s="1" t="s">
        <v>71</v>
      </c>
      <c r="E92" s="1" t="s">
        <v>94</v>
      </c>
      <c r="F92" s="1" t="s">
        <v>629</v>
      </c>
      <c r="G92" s="1">
        <v>6.5</v>
      </c>
      <c r="H92" s="1" t="s">
        <v>60</v>
      </c>
      <c r="I92" s="1">
        <v>-116.0</v>
      </c>
      <c r="J92" s="1">
        <v>-0.195270504479697</v>
      </c>
      <c r="K92" s="1" t="s">
        <v>61</v>
      </c>
      <c r="L92" s="1" t="s">
        <v>61</v>
      </c>
      <c r="M92" s="1" t="s">
        <v>62</v>
      </c>
      <c r="N92" s="1">
        <v>-114.0</v>
      </c>
      <c r="O92" s="1">
        <v>0.125528229079816</v>
      </c>
      <c r="P92" s="1" t="s">
        <v>61</v>
      </c>
      <c r="Q92" s="1" t="s">
        <v>61</v>
      </c>
    </row>
    <row r="93">
      <c r="A93" s="1" t="s">
        <v>12</v>
      </c>
      <c r="B93" s="1" t="s">
        <v>478</v>
      </c>
      <c r="C93" s="1" t="s">
        <v>18</v>
      </c>
      <c r="D93" s="1" t="s">
        <v>147</v>
      </c>
      <c r="E93" s="1" t="s">
        <v>156</v>
      </c>
      <c r="F93" s="1" t="s">
        <v>629</v>
      </c>
      <c r="G93" s="1">
        <v>6.5</v>
      </c>
      <c r="H93" s="1" t="s">
        <v>60</v>
      </c>
      <c r="I93" s="1">
        <v>-131.0</v>
      </c>
      <c r="J93" s="1">
        <v>0.124857142857142</v>
      </c>
      <c r="K93" s="1" t="s">
        <v>61</v>
      </c>
      <c r="L93" s="1" t="s">
        <v>61</v>
      </c>
      <c r="M93" s="1" t="s">
        <v>62</v>
      </c>
      <c r="N93" s="1">
        <v>100.0</v>
      </c>
      <c r="O93" s="1">
        <v>-0.19195</v>
      </c>
      <c r="P93" s="1" t="s">
        <v>61</v>
      </c>
      <c r="Q93" s="1" t="s">
        <v>61</v>
      </c>
    </row>
    <row r="94">
      <c r="A94" s="1" t="s">
        <v>12</v>
      </c>
      <c r="B94" s="1" t="s">
        <v>293</v>
      </c>
      <c r="C94" s="1" t="s">
        <v>19</v>
      </c>
      <c r="D94" s="1" t="s">
        <v>67</v>
      </c>
      <c r="E94" s="1" t="s">
        <v>89</v>
      </c>
      <c r="F94" s="1" t="s">
        <v>629</v>
      </c>
      <c r="G94" s="1">
        <v>2.5</v>
      </c>
      <c r="H94" s="1" t="s">
        <v>60</v>
      </c>
      <c r="I94" s="1">
        <v>-102.0</v>
      </c>
      <c r="J94" s="1">
        <v>-0.192644479257425</v>
      </c>
      <c r="K94" s="1" t="s">
        <v>61</v>
      </c>
      <c r="L94" s="1" t="s">
        <v>61</v>
      </c>
      <c r="M94" s="1" t="s">
        <v>62</v>
      </c>
      <c r="N94" s="1">
        <v>-129.0</v>
      </c>
      <c r="O94" s="1">
        <v>0.124374377313973</v>
      </c>
      <c r="P94" s="1" t="s">
        <v>61</v>
      </c>
      <c r="Q94" s="1" t="s">
        <v>61</v>
      </c>
    </row>
    <row r="95">
      <c r="A95" s="1" t="s">
        <v>12</v>
      </c>
      <c r="B95" s="1" t="s">
        <v>175</v>
      </c>
      <c r="C95" s="1" t="s">
        <v>18</v>
      </c>
      <c r="D95" s="1" t="s">
        <v>146</v>
      </c>
      <c r="E95" s="1" t="s">
        <v>197</v>
      </c>
      <c r="F95" s="1" t="s">
        <v>629</v>
      </c>
      <c r="G95" s="1">
        <v>3.5</v>
      </c>
      <c r="H95" s="1" t="s">
        <v>60</v>
      </c>
      <c r="I95" s="1">
        <v>-164.0</v>
      </c>
      <c r="J95" s="1">
        <v>-0.186812121212121</v>
      </c>
      <c r="K95" s="1" t="s">
        <v>61</v>
      </c>
      <c r="L95" s="1" t="s">
        <v>61</v>
      </c>
      <c r="M95" s="1" t="s">
        <v>62</v>
      </c>
      <c r="N95" s="1">
        <v>125.0</v>
      </c>
      <c r="O95" s="1">
        <v>0.121155555555555</v>
      </c>
      <c r="P95" s="1" t="s">
        <v>61</v>
      </c>
      <c r="Q95" s="1" t="s">
        <v>61</v>
      </c>
    </row>
    <row r="96">
      <c r="A96" s="1" t="s">
        <v>11</v>
      </c>
      <c r="B96" s="1" t="s">
        <v>550</v>
      </c>
      <c r="C96" s="1" t="s">
        <v>20</v>
      </c>
      <c r="D96" s="1" t="s">
        <v>146</v>
      </c>
      <c r="E96" s="1" t="s">
        <v>197</v>
      </c>
      <c r="F96" s="1" t="s">
        <v>629</v>
      </c>
      <c r="G96" s="1">
        <v>5.5</v>
      </c>
      <c r="H96" s="1" t="s">
        <v>60</v>
      </c>
      <c r="I96" s="1">
        <v>-117.0</v>
      </c>
      <c r="J96" s="1">
        <v>0.120883595754873</v>
      </c>
      <c r="K96" s="1" t="s">
        <v>61</v>
      </c>
      <c r="L96" s="1" t="s">
        <v>61</v>
      </c>
      <c r="M96" s="1" t="s">
        <v>62</v>
      </c>
      <c r="N96" s="1">
        <v>-110.0</v>
      </c>
      <c r="O96" s="1">
        <v>-0.183830020508039</v>
      </c>
      <c r="P96" s="1" t="s">
        <v>61</v>
      </c>
      <c r="Q96" s="1" t="s">
        <v>61</v>
      </c>
    </row>
    <row r="97">
      <c r="A97" s="1" t="s">
        <v>17</v>
      </c>
      <c r="B97" s="1" t="s">
        <v>631</v>
      </c>
      <c r="C97" s="1" t="s">
        <v>21</v>
      </c>
      <c r="D97" s="1" t="s">
        <v>100</v>
      </c>
      <c r="E97" s="1" t="s">
        <v>104</v>
      </c>
      <c r="F97" s="1" t="s">
        <v>629</v>
      </c>
      <c r="G97" s="1">
        <v>0.5</v>
      </c>
      <c r="H97" s="1" t="s">
        <v>60</v>
      </c>
      <c r="I97" s="1">
        <v>-171.0</v>
      </c>
      <c r="J97" s="1">
        <v>-0.186859409594095</v>
      </c>
      <c r="K97" s="1" t="s">
        <v>61</v>
      </c>
      <c r="L97" s="1" t="s">
        <v>61</v>
      </c>
      <c r="M97" s="1" t="s">
        <v>62</v>
      </c>
      <c r="N97" s="1">
        <v>129.0</v>
      </c>
      <c r="O97" s="1">
        <v>0.119175109170305</v>
      </c>
      <c r="P97" s="1" t="s">
        <v>61</v>
      </c>
      <c r="Q97" s="1" t="s">
        <v>61</v>
      </c>
    </row>
    <row r="98">
      <c r="A98" s="1" t="s">
        <v>8</v>
      </c>
      <c r="B98" s="1" t="s">
        <v>632</v>
      </c>
      <c r="C98" s="1" t="s">
        <v>19</v>
      </c>
      <c r="D98" s="1" t="s">
        <v>89</v>
      </c>
      <c r="E98" s="1" t="s">
        <v>67</v>
      </c>
      <c r="F98" s="1" t="s">
        <v>629</v>
      </c>
      <c r="G98" s="1">
        <v>8.5</v>
      </c>
      <c r="H98" s="1" t="s">
        <v>60</v>
      </c>
      <c r="I98" s="1">
        <v>-133.0</v>
      </c>
      <c r="J98" s="1">
        <v>-0.18955662444804</v>
      </c>
      <c r="K98" s="1" t="s">
        <v>61</v>
      </c>
      <c r="L98" s="1" t="s">
        <v>61</v>
      </c>
      <c r="M98" s="1" t="s">
        <v>62</v>
      </c>
      <c r="N98" s="1">
        <v>100.0</v>
      </c>
      <c r="O98" s="1">
        <v>0.118747967481967</v>
      </c>
      <c r="P98" s="1" t="s">
        <v>61</v>
      </c>
      <c r="Q98" s="1" t="s">
        <v>61</v>
      </c>
    </row>
    <row r="99">
      <c r="A99" s="1" t="s">
        <v>14</v>
      </c>
      <c r="B99" s="1" t="s">
        <v>145</v>
      </c>
      <c r="C99" s="1" t="s">
        <v>21</v>
      </c>
      <c r="D99" s="1" t="s">
        <v>146</v>
      </c>
      <c r="E99" s="1" t="s">
        <v>197</v>
      </c>
      <c r="F99" s="1" t="s">
        <v>629</v>
      </c>
      <c r="G99" s="1">
        <v>1.5</v>
      </c>
      <c r="H99" s="1" t="s">
        <v>60</v>
      </c>
      <c r="I99" s="1">
        <v>-144.0</v>
      </c>
      <c r="J99" s="1">
        <v>-0.176363934426229</v>
      </c>
      <c r="K99" s="1" t="s">
        <v>61</v>
      </c>
      <c r="L99" s="1" t="s">
        <v>61</v>
      </c>
      <c r="M99" s="1" t="s">
        <v>62</v>
      </c>
      <c r="N99" s="1">
        <v>112.0</v>
      </c>
      <c r="O99" s="1">
        <v>0.114501886792452</v>
      </c>
      <c r="P99" s="1" t="s">
        <v>61</v>
      </c>
      <c r="Q99" s="1" t="s">
        <v>61</v>
      </c>
    </row>
    <row r="100">
      <c r="A100" s="1" t="s">
        <v>8</v>
      </c>
      <c r="B100" s="1" t="s">
        <v>338</v>
      </c>
      <c r="C100" s="1" t="s">
        <v>21</v>
      </c>
      <c r="D100" s="1" t="s">
        <v>156</v>
      </c>
      <c r="E100" s="1" t="s">
        <v>147</v>
      </c>
      <c r="F100" s="1" t="s">
        <v>629</v>
      </c>
      <c r="G100" s="1">
        <v>9.5</v>
      </c>
      <c r="H100" s="1" t="s">
        <v>60</v>
      </c>
      <c r="I100" s="1">
        <v>-118.0</v>
      </c>
      <c r="J100" s="1">
        <v>-0.18397320184955</v>
      </c>
      <c r="K100" s="1" t="s">
        <v>61</v>
      </c>
      <c r="L100" s="1" t="s">
        <v>61</v>
      </c>
      <c r="M100" s="1" t="s">
        <v>62</v>
      </c>
      <c r="N100" s="1">
        <v>-112.0</v>
      </c>
      <c r="O100" s="1">
        <v>0.114400381903708</v>
      </c>
      <c r="P100" s="1" t="s">
        <v>61</v>
      </c>
      <c r="Q100" s="1" t="s">
        <v>61</v>
      </c>
    </row>
    <row r="101">
      <c r="A101" s="1" t="s">
        <v>12</v>
      </c>
      <c r="B101" s="1" t="s">
        <v>129</v>
      </c>
      <c r="C101" s="1" t="s">
        <v>18</v>
      </c>
      <c r="D101" s="1" t="s">
        <v>72</v>
      </c>
      <c r="E101" s="1" t="s">
        <v>157</v>
      </c>
      <c r="F101" s="1" t="s">
        <v>629</v>
      </c>
      <c r="G101" s="1">
        <v>5.5</v>
      </c>
      <c r="H101" s="1" t="s">
        <v>60</v>
      </c>
      <c r="I101" s="1">
        <v>126.0</v>
      </c>
      <c r="J101" s="1">
        <v>0.114110619469026</v>
      </c>
      <c r="K101" s="1" t="s">
        <v>61</v>
      </c>
      <c r="L101" s="1" t="s">
        <v>61</v>
      </c>
      <c r="M101" s="1" t="s">
        <v>62</v>
      </c>
      <c r="N101" s="1">
        <v>-166.0</v>
      </c>
      <c r="O101" s="1">
        <v>-0.180635338345864</v>
      </c>
      <c r="P101" s="1" t="s">
        <v>61</v>
      </c>
      <c r="Q101" s="1" t="s">
        <v>61</v>
      </c>
    </row>
    <row r="102">
      <c r="A102" s="1" t="s">
        <v>12</v>
      </c>
      <c r="B102" s="1" t="s">
        <v>559</v>
      </c>
      <c r="C102" s="1" t="s">
        <v>18</v>
      </c>
      <c r="D102" s="1" t="s">
        <v>100</v>
      </c>
      <c r="E102" s="1" t="s">
        <v>104</v>
      </c>
      <c r="F102" s="1" t="s">
        <v>629</v>
      </c>
      <c r="G102" s="1">
        <v>2.5</v>
      </c>
      <c r="H102" s="1" t="s">
        <v>60</v>
      </c>
      <c r="I102" s="1">
        <v>-104.0</v>
      </c>
      <c r="J102" s="1">
        <v>-0.181002395686274</v>
      </c>
      <c r="K102" s="1" t="s">
        <v>61</v>
      </c>
      <c r="L102" s="1" t="s">
        <v>61</v>
      </c>
      <c r="M102" s="1" t="s">
        <v>62</v>
      </c>
      <c r="N102" s="1">
        <v>-126.0</v>
      </c>
      <c r="O102" s="1">
        <v>0.113676140651327</v>
      </c>
      <c r="P102" s="1" t="s">
        <v>61</v>
      </c>
      <c r="Q102" s="1" t="s">
        <v>61</v>
      </c>
    </row>
    <row r="103">
      <c r="A103" s="1" t="s">
        <v>11</v>
      </c>
      <c r="B103" s="1" t="s">
        <v>536</v>
      </c>
      <c r="C103" s="1" t="s">
        <v>19</v>
      </c>
      <c r="D103" s="1" t="s">
        <v>157</v>
      </c>
      <c r="E103" s="1" t="s">
        <v>72</v>
      </c>
      <c r="F103" s="1" t="s">
        <v>629</v>
      </c>
      <c r="G103" s="1">
        <v>4.5</v>
      </c>
      <c r="H103" s="1" t="s">
        <v>60</v>
      </c>
      <c r="I103" s="1">
        <v>-115.0</v>
      </c>
      <c r="J103" s="1">
        <v>0.113034338224439</v>
      </c>
      <c r="K103" s="1" t="s">
        <v>61</v>
      </c>
      <c r="L103" s="1" t="s">
        <v>61</v>
      </c>
      <c r="M103" s="1" t="s">
        <v>62</v>
      </c>
      <c r="N103" s="1">
        <v>-112.0</v>
      </c>
      <c r="O103" s="1">
        <v>-0.17623598417191</v>
      </c>
      <c r="P103" s="1" t="s">
        <v>61</v>
      </c>
      <c r="Q103" s="1" t="s">
        <v>61</v>
      </c>
    </row>
    <row r="104">
      <c r="A104" s="1" t="s">
        <v>8</v>
      </c>
      <c r="B104" s="1" t="s">
        <v>434</v>
      </c>
      <c r="C104" s="1" t="s">
        <v>21</v>
      </c>
      <c r="D104" s="1" t="s">
        <v>104</v>
      </c>
      <c r="E104" s="1" t="s">
        <v>100</v>
      </c>
      <c r="F104" s="1" t="s">
        <v>629</v>
      </c>
      <c r="G104" s="1">
        <v>6.5</v>
      </c>
      <c r="H104" s="1" t="s">
        <v>60</v>
      </c>
      <c r="I104" s="1">
        <v>104.0</v>
      </c>
      <c r="J104" s="1">
        <v>-0.176389934497536</v>
      </c>
      <c r="K104" s="1" t="s">
        <v>61</v>
      </c>
      <c r="L104" s="1" t="s">
        <v>61</v>
      </c>
      <c r="M104" s="1" t="s">
        <v>62</v>
      </c>
      <c r="N104" s="1">
        <v>-137.0</v>
      </c>
      <c r="O104" s="1">
        <v>0.108160738775444</v>
      </c>
      <c r="P104" s="1" t="s">
        <v>61</v>
      </c>
      <c r="Q104" s="1" t="s">
        <v>61</v>
      </c>
    </row>
    <row r="105">
      <c r="A105" s="1" t="s">
        <v>12</v>
      </c>
      <c r="B105" s="1" t="s">
        <v>539</v>
      </c>
      <c r="C105" s="1" t="s">
        <v>18</v>
      </c>
      <c r="D105" s="1" t="s">
        <v>71</v>
      </c>
      <c r="E105" s="1" t="s">
        <v>94</v>
      </c>
      <c r="F105" s="1" t="s">
        <v>629</v>
      </c>
      <c r="G105" s="1">
        <v>3.5</v>
      </c>
      <c r="H105" s="1" t="s">
        <v>60</v>
      </c>
      <c r="I105" s="1">
        <v>-178.0</v>
      </c>
      <c r="J105" s="1">
        <v>-0.173859712230215</v>
      </c>
      <c r="K105" s="1" t="s">
        <v>61</v>
      </c>
      <c r="L105" s="1" t="s">
        <v>61</v>
      </c>
      <c r="M105" s="1" t="s">
        <v>62</v>
      </c>
      <c r="N105" s="1">
        <v>135.0</v>
      </c>
      <c r="O105" s="1">
        <v>0.108053191489361</v>
      </c>
      <c r="P105" s="1" t="s">
        <v>61</v>
      </c>
      <c r="Q105" s="1" t="s">
        <v>61</v>
      </c>
    </row>
    <row r="106">
      <c r="A106" s="1" t="s">
        <v>12</v>
      </c>
      <c r="B106" s="1" t="s">
        <v>633</v>
      </c>
      <c r="C106" s="1" t="s">
        <v>20</v>
      </c>
      <c r="D106" s="1" t="s">
        <v>156</v>
      </c>
      <c r="E106" s="1" t="s">
        <v>147</v>
      </c>
      <c r="F106" s="1" t="s">
        <v>629</v>
      </c>
      <c r="G106" s="1">
        <v>2.5</v>
      </c>
      <c r="H106" s="1" t="s">
        <v>60</v>
      </c>
      <c r="I106" s="1">
        <v>-150.0</v>
      </c>
      <c r="J106" s="1">
        <v>-0.17455659292</v>
      </c>
      <c r="K106" s="1" t="s">
        <v>61</v>
      </c>
      <c r="L106" s="1" t="s">
        <v>61</v>
      </c>
      <c r="M106" s="1" t="s">
        <v>62</v>
      </c>
      <c r="N106" s="1">
        <v>114.0</v>
      </c>
      <c r="O106" s="1">
        <v>0.107259571168224</v>
      </c>
      <c r="P106" s="1" t="s">
        <v>61</v>
      </c>
      <c r="Q106" s="1" t="s">
        <v>61</v>
      </c>
    </row>
    <row r="107">
      <c r="A107" s="1" t="s">
        <v>12</v>
      </c>
      <c r="B107" s="1" t="s">
        <v>502</v>
      </c>
      <c r="C107" s="1" t="s">
        <v>18</v>
      </c>
      <c r="D107" s="1" t="s">
        <v>89</v>
      </c>
      <c r="E107" s="1" t="s">
        <v>67</v>
      </c>
      <c r="F107" s="1" t="s">
        <v>629</v>
      </c>
      <c r="G107" s="1">
        <v>1.5</v>
      </c>
      <c r="H107" s="1" t="s">
        <v>60</v>
      </c>
      <c r="I107" s="1">
        <v>-140.0</v>
      </c>
      <c r="J107" s="1">
        <v>-0.175973720449999</v>
      </c>
      <c r="K107" s="1" t="s">
        <v>61</v>
      </c>
      <c r="L107" s="1" t="s">
        <v>61</v>
      </c>
      <c r="M107" s="1" t="s">
        <v>62</v>
      </c>
      <c r="N107" s="1">
        <v>106.0</v>
      </c>
      <c r="O107" s="1">
        <v>0.107210159747572</v>
      </c>
      <c r="P107" s="1" t="s">
        <v>61</v>
      </c>
      <c r="Q107" s="1" t="s">
        <v>61</v>
      </c>
    </row>
    <row r="108">
      <c r="A108" s="1" t="s">
        <v>12</v>
      </c>
      <c r="B108" s="1" t="s">
        <v>235</v>
      </c>
      <c r="C108" s="1" t="s">
        <v>20</v>
      </c>
      <c r="D108" s="1" t="s">
        <v>104</v>
      </c>
      <c r="E108" s="1" t="s">
        <v>100</v>
      </c>
      <c r="F108" s="1" t="s">
        <v>629</v>
      </c>
      <c r="G108" s="1">
        <v>3.5</v>
      </c>
      <c r="H108" s="1" t="s">
        <v>60</v>
      </c>
      <c r="I108" s="1">
        <v>-143.0</v>
      </c>
      <c r="J108" s="1">
        <v>-0.17495390946502</v>
      </c>
      <c r="K108" s="1" t="s">
        <v>61</v>
      </c>
      <c r="L108" s="1" t="s">
        <v>61</v>
      </c>
      <c r="M108" s="1" t="s">
        <v>62</v>
      </c>
      <c r="N108" s="1">
        <v>108.0</v>
      </c>
      <c r="O108" s="1">
        <v>0.105686538461538</v>
      </c>
      <c r="P108" s="1" t="s">
        <v>61</v>
      </c>
      <c r="Q108" s="1" t="s">
        <v>61</v>
      </c>
    </row>
    <row r="109">
      <c r="A109" s="1" t="s">
        <v>12</v>
      </c>
      <c r="B109" s="1" t="s">
        <v>334</v>
      </c>
      <c r="C109" s="1" t="s">
        <v>18</v>
      </c>
      <c r="D109" s="1" t="s">
        <v>82</v>
      </c>
      <c r="E109" s="1" t="s">
        <v>109</v>
      </c>
      <c r="F109" s="1" t="s">
        <v>629</v>
      </c>
      <c r="G109" s="1">
        <v>5.5</v>
      </c>
      <c r="H109" s="1" t="s">
        <v>60</v>
      </c>
      <c r="I109" s="1">
        <v>115.0</v>
      </c>
      <c r="J109" s="1">
        <v>0.105483720930232</v>
      </c>
      <c r="K109" s="1" t="s">
        <v>61</v>
      </c>
      <c r="L109" s="1" t="s">
        <v>61</v>
      </c>
      <c r="M109" s="1" t="s">
        <v>62</v>
      </c>
      <c r="N109" s="1">
        <v>-151.0</v>
      </c>
      <c r="O109" s="1">
        <v>-0.172193625498007</v>
      </c>
      <c r="P109" s="1" t="s">
        <v>61</v>
      </c>
      <c r="Q109" s="1" t="s">
        <v>61</v>
      </c>
    </row>
    <row r="110">
      <c r="A110" s="1" t="s">
        <v>12</v>
      </c>
      <c r="B110" s="1" t="s">
        <v>437</v>
      </c>
      <c r="C110" s="1" t="s">
        <v>18</v>
      </c>
      <c r="D110" s="1" t="s">
        <v>100</v>
      </c>
      <c r="E110" s="1" t="s">
        <v>104</v>
      </c>
      <c r="F110" s="1" t="s">
        <v>629</v>
      </c>
      <c r="G110" s="1">
        <v>3.5</v>
      </c>
      <c r="H110" s="1" t="s">
        <v>60</v>
      </c>
      <c r="I110" s="1">
        <v>-142.0</v>
      </c>
      <c r="J110" s="1">
        <v>-0.172218181818181</v>
      </c>
      <c r="K110" s="1" t="s">
        <v>61</v>
      </c>
      <c r="L110" s="1" t="s">
        <v>61</v>
      </c>
      <c r="M110" s="1" t="s">
        <v>62</v>
      </c>
      <c r="N110" s="1">
        <v>108.0</v>
      </c>
      <c r="O110" s="1">
        <v>0.104678846153846</v>
      </c>
      <c r="P110" s="1" t="s">
        <v>61</v>
      </c>
      <c r="Q110" s="1" t="s">
        <v>61</v>
      </c>
    </row>
    <row r="111">
      <c r="A111" s="1" t="s">
        <v>15</v>
      </c>
      <c r="B111" s="1" t="s">
        <v>631</v>
      </c>
      <c r="C111" s="1" t="s">
        <v>21</v>
      </c>
      <c r="D111" s="1" t="s">
        <v>100</v>
      </c>
      <c r="E111" s="1" t="s">
        <v>104</v>
      </c>
      <c r="F111" s="1" t="s">
        <v>629</v>
      </c>
      <c r="G111" s="1">
        <v>17.5</v>
      </c>
      <c r="H111" s="1" t="s">
        <v>60</v>
      </c>
      <c r="I111" s="1">
        <v>-131.0</v>
      </c>
      <c r="J111" s="1">
        <v>-0.173399268341991</v>
      </c>
      <c r="K111" s="1" t="s">
        <v>61</v>
      </c>
      <c r="L111" s="1" t="s">
        <v>61</v>
      </c>
      <c r="M111" s="1" t="s">
        <v>62</v>
      </c>
      <c r="N111" s="1">
        <v>-101.0</v>
      </c>
      <c r="O111" s="1">
        <v>0.103812091029203</v>
      </c>
      <c r="P111" s="1" t="s">
        <v>61</v>
      </c>
      <c r="Q111" s="1" t="s">
        <v>61</v>
      </c>
    </row>
    <row r="112">
      <c r="A112" s="1" t="s">
        <v>12</v>
      </c>
      <c r="B112" s="1" t="s">
        <v>406</v>
      </c>
      <c r="C112" s="1" t="s">
        <v>18</v>
      </c>
      <c r="D112" s="1" t="s">
        <v>100</v>
      </c>
      <c r="E112" s="1" t="s">
        <v>104</v>
      </c>
      <c r="F112" s="1" t="s">
        <v>629</v>
      </c>
      <c r="G112" s="1">
        <v>3.5</v>
      </c>
      <c r="H112" s="1" t="s">
        <v>60</v>
      </c>
      <c r="I112" s="1">
        <v>-146.0</v>
      </c>
      <c r="J112" s="1">
        <v>-0.170355284552845</v>
      </c>
      <c r="K112" s="1" t="s">
        <v>61</v>
      </c>
      <c r="L112" s="1" t="s">
        <v>61</v>
      </c>
      <c r="M112" s="1" t="s">
        <v>62</v>
      </c>
      <c r="N112" s="1">
        <v>111.0</v>
      </c>
      <c r="O112" s="1">
        <v>0.102918957345971</v>
      </c>
      <c r="P112" s="1" t="s">
        <v>61</v>
      </c>
      <c r="Q112" s="1" t="s">
        <v>61</v>
      </c>
    </row>
    <row r="113">
      <c r="A113" s="1" t="s">
        <v>12</v>
      </c>
      <c r="B113" s="1" t="s">
        <v>304</v>
      </c>
      <c r="C113" s="1" t="s">
        <v>19</v>
      </c>
      <c r="D113" s="1" t="s">
        <v>146</v>
      </c>
      <c r="E113" s="1" t="s">
        <v>197</v>
      </c>
      <c r="F113" s="1" t="s">
        <v>629</v>
      </c>
      <c r="G113" s="1">
        <v>3.5</v>
      </c>
      <c r="H113" s="1" t="s">
        <v>60</v>
      </c>
      <c r="I113" s="1">
        <v>100.0</v>
      </c>
      <c r="J113" s="1">
        <v>-0.1683</v>
      </c>
      <c r="K113" s="1" t="s">
        <v>61</v>
      </c>
      <c r="L113" s="1" t="s">
        <v>61</v>
      </c>
      <c r="M113" s="1" t="s">
        <v>62</v>
      </c>
      <c r="N113" s="1">
        <v>-131.0</v>
      </c>
      <c r="O113" s="1">
        <v>0.101200432900432</v>
      </c>
      <c r="P113" s="1" t="s">
        <v>61</v>
      </c>
      <c r="Q113" s="1" t="s">
        <v>61</v>
      </c>
    </row>
    <row r="114">
      <c r="A114" s="1" t="s">
        <v>11</v>
      </c>
      <c r="B114" s="1" t="s">
        <v>280</v>
      </c>
      <c r="C114" s="1" t="s">
        <v>19</v>
      </c>
      <c r="D114" s="1" t="s">
        <v>94</v>
      </c>
      <c r="E114" s="1" t="s">
        <v>71</v>
      </c>
      <c r="F114" s="1" t="s">
        <v>629</v>
      </c>
      <c r="G114" s="1">
        <v>4.5</v>
      </c>
      <c r="H114" s="1" t="s">
        <v>60</v>
      </c>
      <c r="I114" s="1">
        <v>-118.0</v>
      </c>
      <c r="J114" s="1">
        <v>0.100814881669726</v>
      </c>
      <c r="K114" s="1" t="s">
        <v>61</v>
      </c>
      <c r="L114" s="1" t="s">
        <v>61</v>
      </c>
      <c r="M114" s="1" t="s">
        <v>62</v>
      </c>
      <c r="N114" s="1">
        <v>-109.0</v>
      </c>
      <c r="O114" s="1">
        <v>-0.163589206614164</v>
      </c>
      <c r="P114" s="1" t="s">
        <v>61</v>
      </c>
      <c r="Q114" s="1" t="s">
        <v>61</v>
      </c>
    </row>
    <row r="115">
      <c r="A115" s="1" t="s">
        <v>8</v>
      </c>
      <c r="B115" s="1" t="s">
        <v>393</v>
      </c>
      <c r="C115" s="1" t="s">
        <v>19</v>
      </c>
      <c r="D115" s="1" t="s">
        <v>197</v>
      </c>
      <c r="E115" s="1" t="s">
        <v>146</v>
      </c>
      <c r="F115" s="1" t="s">
        <v>629</v>
      </c>
      <c r="G115" s="1">
        <v>10.5</v>
      </c>
      <c r="H115" s="1" t="s">
        <v>60</v>
      </c>
      <c r="I115" s="1">
        <v>-136.0</v>
      </c>
      <c r="J115" s="1">
        <v>-0.163528729358419</v>
      </c>
      <c r="K115" s="1" t="s">
        <v>61</v>
      </c>
      <c r="L115" s="1" t="s">
        <v>61</v>
      </c>
      <c r="M115" s="1" t="s">
        <v>62</v>
      </c>
      <c r="N115" s="1">
        <v>104.0</v>
      </c>
      <c r="O115" s="1">
        <v>0.097054804551897</v>
      </c>
      <c r="P115" s="1" t="s">
        <v>61</v>
      </c>
      <c r="Q115" s="1" t="s">
        <v>61</v>
      </c>
    </row>
    <row r="116">
      <c r="A116" s="1" t="s">
        <v>14</v>
      </c>
      <c r="B116" s="1" t="s">
        <v>297</v>
      </c>
      <c r="C116" s="1" t="s">
        <v>21</v>
      </c>
      <c r="D116" s="1" t="s">
        <v>157</v>
      </c>
      <c r="E116" s="1" t="s">
        <v>72</v>
      </c>
      <c r="F116" s="1" t="s">
        <v>629</v>
      </c>
      <c r="G116" s="1">
        <v>1.5</v>
      </c>
      <c r="H116" s="1" t="s">
        <v>60</v>
      </c>
      <c r="I116" s="1">
        <v>-181.0</v>
      </c>
      <c r="J116" s="1">
        <v>-0.159092526690391</v>
      </c>
      <c r="K116" s="1" t="s">
        <v>61</v>
      </c>
      <c r="L116" s="1" t="s">
        <v>61</v>
      </c>
      <c r="M116" s="1" t="s">
        <v>62</v>
      </c>
      <c r="N116" s="1">
        <v>139.0</v>
      </c>
      <c r="O116" s="1">
        <v>0.0965481171548116</v>
      </c>
      <c r="P116" s="1" t="s">
        <v>61</v>
      </c>
      <c r="Q116" s="1" t="s">
        <v>61</v>
      </c>
    </row>
    <row r="117">
      <c r="A117" s="1" t="s">
        <v>9</v>
      </c>
      <c r="B117" s="1" t="s">
        <v>426</v>
      </c>
      <c r="C117" s="1" t="s">
        <v>18</v>
      </c>
      <c r="D117" s="1" t="s">
        <v>104</v>
      </c>
      <c r="E117" s="1" t="s">
        <v>100</v>
      </c>
      <c r="F117" s="1" t="s">
        <v>629</v>
      </c>
      <c r="G117" s="1">
        <v>20.5</v>
      </c>
      <c r="H117" s="1" t="s">
        <v>60</v>
      </c>
      <c r="I117" s="1">
        <v>-120.0</v>
      </c>
      <c r="J117" s="1">
        <v>0.0964485838120551</v>
      </c>
      <c r="K117" s="1" t="s">
        <v>61</v>
      </c>
      <c r="L117" s="1" t="s">
        <v>61</v>
      </c>
      <c r="M117" s="1" t="s">
        <v>62</v>
      </c>
      <c r="N117" s="1">
        <v>-113.0</v>
      </c>
      <c r="O117" s="1">
        <v>-0.172403370590032</v>
      </c>
      <c r="P117" s="1" t="s">
        <v>61</v>
      </c>
      <c r="Q117" s="1" t="s">
        <v>61</v>
      </c>
    </row>
    <row r="118">
      <c r="A118" s="1" t="s">
        <v>8</v>
      </c>
      <c r="B118" s="1" t="s">
        <v>462</v>
      </c>
      <c r="C118" s="1" t="s">
        <v>21</v>
      </c>
      <c r="D118" s="1" t="s">
        <v>89</v>
      </c>
      <c r="E118" s="1" t="s">
        <v>67</v>
      </c>
      <c r="F118" s="1" t="s">
        <v>629</v>
      </c>
      <c r="G118" s="1">
        <v>5.5</v>
      </c>
      <c r="H118" s="1" t="s">
        <v>60</v>
      </c>
      <c r="I118" s="1">
        <v>110.0</v>
      </c>
      <c r="J118" s="1">
        <v>-0.165730164648923</v>
      </c>
      <c r="K118" s="1" t="s">
        <v>61</v>
      </c>
      <c r="L118" s="1" t="s">
        <v>61</v>
      </c>
      <c r="M118" s="1" t="s">
        <v>62</v>
      </c>
      <c r="N118" s="1">
        <v>-146.0</v>
      </c>
      <c r="O118" s="1">
        <v>0.0960490335600888</v>
      </c>
      <c r="P118" s="1" t="s">
        <v>61</v>
      </c>
      <c r="Q118" s="1" t="s">
        <v>61</v>
      </c>
    </row>
    <row r="119">
      <c r="A119" s="1" t="s">
        <v>8</v>
      </c>
      <c r="B119" s="1" t="s">
        <v>280</v>
      </c>
      <c r="C119" s="1" t="s">
        <v>19</v>
      </c>
      <c r="D119" s="1" t="s">
        <v>94</v>
      </c>
      <c r="E119" s="1" t="s">
        <v>71</v>
      </c>
      <c r="F119" s="1" t="s">
        <v>629</v>
      </c>
      <c r="G119" s="1">
        <v>8.5</v>
      </c>
      <c r="H119" s="1" t="s">
        <v>60</v>
      </c>
      <c r="I119" s="1">
        <v>-107.0</v>
      </c>
      <c r="J119" s="1">
        <v>-0.163700004595597</v>
      </c>
      <c r="K119" s="1" t="s">
        <v>61</v>
      </c>
      <c r="L119" s="1" t="s">
        <v>61</v>
      </c>
      <c r="M119" s="1" t="s">
        <v>62</v>
      </c>
      <c r="N119" s="1">
        <v>-123.0</v>
      </c>
      <c r="O119" s="1">
        <v>0.0952494716147318</v>
      </c>
      <c r="P119" s="1" t="s">
        <v>61</v>
      </c>
      <c r="Q119" s="1" t="s">
        <v>61</v>
      </c>
    </row>
    <row r="120">
      <c r="A120" s="1" t="s">
        <v>11</v>
      </c>
      <c r="B120" s="1" t="s">
        <v>595</v>
      </c>
      <c r="C120" s="1" t="s">
        <v>18</v>
      </c>
      <c r="D120" s="1" t="s">
        <v>94</v>
      </c>
      <c r="E120" s="1" t="s">
        <v>71</v>
      </c>
      <c r="F120" s="1" t="s">
        <v>629</v>
      </c>
      <c r="G120" s="1">
        <v>7.5</v>
      </c>
      <c r="H120" s="1" t="s">
        <v>60</v>
      </c>
      <c r="I120" s="1">
        <v>-109.0</v>
      </c>
      <c r="J120" s="1">
        <v>0.0943044133517663</v>
      </c>
      <c r="K120" s="1" t="s">
        <v>61</v>
      </c>
      <c r="L120" s="1" t="s">
        <v>61</v>
      </c>
      <c r="M120" s="1" t="s">
        <v>62</v>
      </c>
      <c r="N120" s="1">
        <v>-117.0</v>
      </c>
      <c r="O120" s="1">
        <v>-0.154997839617084</v>
      </c>
      <c r="P120" s="1" t="s">
        <v>61</v>
      </c>
      <c r="Q120" s="1" t="s">
        <v>61</v>
      </c>
    </row>
    <row r="121">
      <c r="A121" s="1" t="s">
        <v>9</v>
      </c>
      <c r="B121" s="1" t="s">
        <v>549</v>
      </c>
      <c r="C121" s="1" t="s">
        <v>18</v>
      </c>
      <c r="D121" s="1" t="s">
        <v>146</v>
      </c>
      <c r="E121" s="1" t="s">
        <v>197</v>
      </c>
      <c r="F121" s="1" t="s">
        <v>629</v>
      </c>
      <c r="G121" s="1">
        <v>18.5</v>
      </c>
      <c r="H121" s="1" t="s">
        <v>60</v>
      </c>
      <c r="I121" s="1">
        <v>-115.0</v>
      </c>
      <c r="J121" s="1">
        <v>0.0940051376219875</v>
      </c>
      <c r="K121" s="1" t="s">
        <v>61</v>
      </c>
      <c r="L121" s="1" t="s">
        <v>61</v>
      </c>
      <c r="M121" s="1" t="s">
        <v>62</v>
      </c>
      <c r="N121" s="1">
        <v>-117.0</v>
      </c>
      <c r="O121" s="1">
        <v>-0.167993904925396</v>
      </c>
      <c r="P121" s="1" t="s">
        <v>61</v>
      </c>
      <c r="Q121" s="1" t="s">
        <v>61</v>
      </c>
    </row>
    <row r="122">
      <c r="A122" s="1" t="s">
        <v>12</v>
      </c>
      <c r="B122" s="1" t="s">
        <v>482</v>
      </c>
      <c r="C122" s="1" t="s">
        <v>18</v>
      </c>
      <c r="D122" s="1" t="s">
        <v>157</v>
      </c>
      <c r="E122" s="1" t="s">
        <v>72</v>
      </c>
      <c r="F122" s="1" t="s">
        <v>629</v>
      </c>
      <c r="G122" s="1">
        <v>3.5</v>
      </c>
      <c r="H122" s="1" t="s">
        <v>60</v>
      </c>
      <c r="I122" s="1">
        <v>-109.0</v>
      </c>
      <c r="J122" s="1">
        <v>-0.162478947368421</v>
      </c>
      <c r="K122" s="1" t="s">
        <v>61</v>
      </c>
      <c r="L122" s="1" t="s">
        <v>61</v>
      </c>
      <c r="M122" s="1" t="s">
        <v>62</v>
      </c>
      <c r="N122" s="1">
        <v>-121.0</v>
      </c>
      <c r="O122" s="1">
        <v>0.093443438914027</v>
      </c>
      <c r="P122" s="1" t="s">
        <v>61</v>
      </c>
      <c r="Q122" s="1" t="s">
        <v>61</v>
      </c>
    </row>
    <row r="123">
      <c r="A123" s="1" t="s">
        <v>11</v>
      </c>
      <c r="B123" s="1" t="s">
        <v>632</v>
      </c>
      <c r="C123" s="1" t="s">
        <v>19</v>
      </c>
      <c r="D123" s="1" t="s">
        <v>89</v>
      </c>
      <c r="E123" s="1" t="s">
        <v>67</v>
      </c>
      <c r="F123" s="1" t="s">
        <v>629</v>
      </c>
      <c r="G123" s="1">
        <v>6.5</v>
      </c>
      <c r="H123" s="1" t="s">
        <v>60</v>
      </c>
      <c r="I123" s="1">
        <v>-105.0</v>
      </c>
      <c r="J123" s="1">
        <v>0.092789629284092</v>
      </c>
      <c r="K123" s="1" t="s">
        <v>61</v>
      </c>
      <c r="L123" s="1" t="s">
        <v>61</v>
      </c>
      <c r="M123" s="1" t="s">
        <v>62</v>
      </c>
      <c r="N123" s="1">
        <v>-125.0</v>
      </c>
      <c r="O123" s="1">
        <v>-0.160524300017993</v>
      </c>
      <c r="P123" s="1" t="s">
        <v>61</v>
      </c>
      <c r="Q123" s="1" t="s">
        <v>61</v>
      </c>
    </row>
    <row r="124">
      <c r="A124" s="1" t="s">
        <v>12</v>
      </c>
      <c r="B124" s="1" t="s">
        <v>504</v>
      </c>
      <c r="C124" s="1" t="s">
        <v>20</v>
      </c>
      <c r="D124" s="1" t="s">
        <v>67</v>
      </c>
      <c r="E124" s="1" t="s">
        <v>89</v>
      </c>
      <c r="F124" s="1" t="s">
        <v>629</v>
      </c>
      <c r="G124" s="1">
        <v>1.5</v>
      </c>
      <c r="H124" s="1" t="s">
        <v>60</v>
      </c>
      <c r="I124" s="1">
        <v>-122.0</v>
      </c>
      <c r="J124" s="1">
        <v>-0.160548457328828</v>
      </c>
      <c r="K124" s="1" t="s">
        <v>61</v>
      </c>
      <c r="L124" s="1" t="s">
        <v>61</v>
      </c>
      <c r="M124" s="1" t="s">
        <v>62</v>
      </c>
      <c r="N124" s="1">
        <v>-108.0</v>
      </c>
      <c r="O124" s="1">
        <v>0.0917679717748076</v>
      </c>
      <c r="P124" s="1" t="s">
        <v>61</v>
      </c>
      <c r="Q124" s="1" t="s">
        <v>61</v>
      </c>
    </row>
    <row r="125">
      <c r="A125" s="1" t="s">
        <v>12</v>
      </c>
      <c r="B125" s="1" t="s">
        <v>442</v>
      </c>
      <c r="C125" s="1" t="s">
        <v>18</v>
      </c>
      <c r="D125" s="1" t="s">
        <v>104</v>
      </c>
      <c r="E125" s="1" t="s">
        <v>100</v>
      </c>
      <c r="F125" s="1" t="s">
        <v>629</v>
      </c>
      <c r="G125" s="1">
        <v>2.5</v>
      </c>
      <c r="H125" s="1" t="s">
        <v>60</v>
      </c>
      <c r="I125" s="1">
        <v>-149.0</v>
      </c>
      <c r="J125" s="1">
        <v>-0.157129759638554</v>
      </c>
      <c r="K125" s="1" t="s">
        <v>61</v>
      </c>
      <c r="L125" s="1" t="s">
        <v>61</v>
      </c>
      <c r="M125" s="1" t="s">
        <v>62</v>
      </c>
      <c r="N125" s="1">
        <v>114.0</v>
      </c>
      <c r="O125" s="1">
        <v>0.0914523838785045</v>
      </c>
      <c r="P125" s="1" t="s">
        <v>61</v>
      </c>
      <c r="Q125" s="1" t="s">
        <v>61</v>
      </c>
    </row>
    <row r="126">
      <c r="A126" s="1" t="s">
        <v>11</v>
      </c>
      <c r="B126" s="1" t="s">
        <v>634</v>
      </c>
      <c r="C126" s="1" t="s">
        <v>18</v>
      </c>
      <c r="D126" s="1" t="s">
        <v>72</v>
      </c>
      <c r="E126" s="1" t="s">
        <v>157</v>
      </c>
      <c r="F126" s="1" t="s">
        <v>629</v>
      </c>
      <c r="G126" s="1">
        <v>7.5</v>
      </c>
      <c r="H126" s="1" t="s">
        <v>60</v>
      </c>
      <c r="I126" s="1">
        <v>-122.0</v>
      </c>
      <c r="J126" s="1">
        <v>0.090751517953813</v>
      </c>
      <c r="K126" s="1" t="s">
        <v>61</v>
      </c>
      <c r="L126" s="1" t="s">
        <v>61</v>
      </c>
      <c r="M126" s="1" t="s">
        <v>62</v>
      </c>
      <c r="N126" s="1">
        <v>-106.0</v>
      </c>
      <c r="O126" s="1">
        <v>-0.154850093227627</v>
      </c>
      <c r="P126" s="1" t="s">
        <v>61</v>
      </c>
      <c r="Q126" s="1" t="s">
        <v>61</v>
      </c>
    </row>
    <row r="127">
      <c r="A127" s="1" t="s">
        <v>12</v>
      </c>
      <c r="B127" s="1" t="s">
        <v>354</v>
      </c>
      <c r="C127" s="1" t="s">
        <v>18</v>
      </c>
      <c r="D127" s="1" t="s">
        <v>147</v>
      </c>
      <c r="E127" s="1" t="s">
        <v>156</v>
      </c>
      <c r="F127" s="1" t="s">
        <v>629</v>
      </c>
      <c r="G127" s="1">
        <v>5.5</v>
      </c>
      <c r="H127" s="1" t="s">
        <v>60</v>
      </c>
      <c r="I127" s="1">
        <v>117.0</v>
      </c>
      <c r="J127" s="1">
        <v>0.0859244239631337</v>
      </c>
      <c r="K127" s="1" t="s">
        <v>61</v>
      </c>
      <c r="L127" s="1" t="s">
        <v>61</v>
      </c>
      <c r="M127" s="1" t="s">
        <v>62</v>
      </c>
      <c r="N127" s="1">
        <v>-153.0</v>
      </c>
      <c r="O127" s="1">
        <v>-0.151503557312253</v>
      </c>
      <c r="P127" s="1" t="s">
        <v>61</v>
      </c>
      <c r="Q127" s="1" t="s">
        <v>61</v>
      </c>
    </row>
    <row r="128">
      <c r="A128" s="1" t="s">
        <v>12</v>
      </c>
      <c r="B128" s="1" t="s">
        <v>108</v>
      </c>
      <c r="C128" s="1" t="s">
        <v>20</v>
      </c>
      <c r="D128" s="1" t="s">
        <v>109</v>
      </c>
      <c r="E128" s="1" t="s">
        <v>82</v>
      </c>
      <c r="F128" s="1" t="s">
        <v>629</v>
      </c>
      <c r="G128" s="1">
        <v>3.5</v>
      </c>
      <c r="H128" s="1" t="s">
        <v>60</v>
      </c>
      <c r="I128" s="1">
        <v>-121.0</v>
      </c>
      <c r="J128" s="1">
        <v>-0.152366063348416</v>
      </c>
      <c r="K128" s="1" t="s">
        <v>61</v>
      </c>
      <c r="L128" s="1" t="s">
        <v>61</v>
      </c>
      <c r="M128" s="1" t="s">
        <v>62</v>
      </c>
      <c r="N128" s="1">
        <v>-108.0</v>
      </c>
      <c r="O128" s="1">
        <v>0.0856173076923078</v>
      </c>
      <c r="P128" s="1" t="s">
        <v>61</v>
      </c>
      <c r="Q128" s="1" t="s">
        <v>61</v>
      </c>
    </row>
    <row r="129">
      <c r="A129" s="1" t="s">
        <v>11</v>
      </c>
      <c r="B129" s="1" t="s">
        <v>540</v>
      </c>
      <c r="C129" s="1" t="s">
        <v>19</v>
      </c>
      <c r="D129" s="1" t="s">
        <v>71</v>
      </c>
      <c r="E129" s="1" t="s">
        <v>94</v>
      </c>
      <c r="F129" s="1" t="s">
        <v>629</v>
      </c>
      <c r="G129" s="1">
        <v>6.5</v>
      </c>
      <c r="H129" s="1" t="s">
        <v>60</v>
      </c>
      <c r="I129" s="1">
        <v>-111.0</v>
      </c>
      <c r="J129" s="1">
        <v>0.0850856627464017</v>
      </c>
      <c r="K129" s="1" t="s">
        <v>61</v>
      </c>
      <c r="L129" s="1" t="s">
        <v>61</v>
      </c>
      <c r="M129" s="1" t="s">
        <v>62</v>
      </c>
      <c r="N129" s="1">
        <v>-116.0</v>
      </c>
      <c r="O129" s="1">
        <v>-0.148142716730598</v>
      </c>
      <c r="P129" s="1" t="s">
        <v>61</v>
      </c>
      <c r="Q129" s="1" t="s">
        <v>61</v>
      </c>
    </row>
    <row r="130">
      <c r="A130" s="1" t="s">
        <v>14</v>
      </c>
      <c r="B130" s="1" t="s">
        <v>275</v>
      </c>
      <c r="C130" s="1" t="s">
        <v>21</v>
      </c>
      <c r="D130" s="1" t="s">
        <v>100</v>
      </c>
      <c r="E130" s="1" t="s">
        <v>104</v>
      </c>
      <c r="F130" s="1" t="s">
        <v>629</v>
      </c>
      <c r="G130" s="1">
        <v>0.5</v>
      </c>
      <c r="H130" s="1" t="s">
        <v>60</v>
      </c>
      <c r="I130" s="1">
        <v>-179.0</v>
      </c>
      <c r="J130" s="1">
        <v>-0.149175195842293</v>
      </c>
      <c r="K130" s="1" t="s">
        <v>61</v>
      </c>
      <c r="L130" s="1" t="s">
        <v>61</v>
      </c>
      <c r="M130" s="1" t="s">
        <v>62</v>
      </c>
      <c r="N130" s="1">
        <v>136.0</v>
      </c>
      <c r="O130" s="1">
        <v>0.0838689815254238</v>
      </c>
      <c r="P130" s="1" t="s">
        <v>61</v>
      </c>
      <c r="Q130" s="1" t="s">
        <v>61</v>
      </c>
    </row>
    <row r="131">
      <c r="A131" s="1" t="s">
        <v>12</v>
      </c>
      <c r="B131" s="1" t="s">
        <v>534</v>
      </c>
      <c r="C131" s="1" t="s">
        <v>18</v>
      </c>
      <c r="D131" s="1" t="s">
        <v>197</v>
      </c>
      <c r="E131" s="1" t="s">
        <v>146</v>
      </c>
      <c r="F131" s="1" t="s">
        <v>629</v>
      </c>
      <c r="G131" s="1">
        <v>2.5</v>
      </c>
      <c r="H131" s="1" t="s">
        <v>60</v>
      </c>
      <c r="I131" s="1">
        <v>147.0</v>
      </c>
      <c r="J131" s="1">
        <v>-0.148514288145749</v>
      </c>
      <c r="K131" s="1" t="s">
        <v>61</v>
      </c>
      <c r="L131" s="1" t="s">
        <v>61</v>
      </c>
      <c r="M131" s="1" t="s">
        <v>62</v>
      </c>
      <c r="N131" s="1">
        <v>-196.0</v>
      </c>
      <c r="O131" s="1">
        <v>0.0815001314054053</v>
      </c>
      <c r="P131" s="1" t="s">
        <v>61</v>
      </c>
      <c r="Q131" s="1" t="s">
        <v>61</v>
      </c>
    </row>
    <row r="132">
      <c r="A132" s="1" t="s">
        <v>14</v>
      </c>
      <c r="B132" s="1" t="s">
        <v>328</v>
      </c>
      <c r="C132" s="1" t="s">
        <v>21</v>
      </c>
      <c r="D132" s="1" t="s">
        <v>109</v>
      </c>
      <c r="E132" s="1" t="s">
        <v>82</v>
      </c>
      <c r="F132" s="1" t="s">
        <v>629</v>
      </c>
      <c r="G132" s="1">
        <v>1.5</v>
      </c>
      <c r="H132" s="1" t="s">
        <v>60</v>
      </c>
      <c r="I132" s="1">
        <v>-168.0</v>
      </c>
      <c r="J132" s="1">
        <v>-0.143002985074626</v>
      </c>
      <c r="K132" s="1" t="s">
        <v>61</v>
      </c>
      <c r="L132" s="1" t="s">
        <v>61</v>
      </c>
      <c r="M132" s="1" t="s">
        <v>62</v>
      </c>
      <c r="N132" s="1">
        <v>129.0</v>
      </c>
      <c r="O132" s="1">
        <v>0.0794624454148471</v>
      </c>
      <c r="P132" s="1" t="s">
        <v>61</v>
      </c>
      <c r="Q132" s="1" t="s">
        <v>61</v>
      </c>
    </row>
    <row r="133">
      <c r="A133" s="1" t="s">
        <v>9</v>
      </c>
      <c r="B133" s="1" t="s">
        <v>490</v>
      </c>
      <c r="C133" s="1" t="s">
        <v>19</v>
      </c>
      <c r="D133" s="1" t="s">
        <v>82</v>
      </c>
      <c r="E133" s="1" t="s">
        <v>109</v>
      </c>
      <c r="F133" s="1" t="s">
        <v>629</v>
      </c>
      <c r="G133" s="1">
        <v>97.5</v>
      </c>
      <c r="H133" s="1" t="s">
        <v>60</v>
      </c>
      <c r="I133" s="1">
        <v>-115.0</v>
      </c>
      <c r="J133" s="1">
        <v>-0.149221527918529</v>
      </c>
      <c r="K133" s="1" t="s">
        <v>61</v>
      </c>
      <c r="L133" s="1" t="s">
        <v>61</v>
      </c>
      <c r="M133" s="1" t="s">
        <v>62</v>
      </c>
      <c r="N133" s="1">
        <v>-115.0</v>
      </c>
      <c r="O133" s="1">
        <v>0.079459015431309</v>
      </c>
      <c r="P133" s="1" t="s">
        <v>61</v>
      </c>
      <c r="Q133" s="1" t="s">
        <v>61</v>
      </c>
    </row>
    <row r="134">
      <c r="A134" s="1" t="s">
        <v>8</v>
      </c>
      <c r="B134" s="1" t="s">
        <v>540</v>
      </c>
      <c r="C134" s="1" t="s">
        <v>19</v>
      </c>
      <c r="D134" s="1" t="s">
        <v>71</v>
      </c>
      <c r="E134" s="1" t="s">
        <v>94</v>
      </c>
      <c r="F134" s="1" t="s">
        <v>629</v>
      </c>
      <c r="G134" s="1">
        <v>13.5</v>
      </c>
      <c r="H134" s="1" t="s">
        <v>60</v>
      </c>
      <c r="I134" s="1">
        <v>-105.0</v>
      </c>
      <c r="J134" s="1">
        <v>-0.146991422285365</v>
      </c>
      <c r="K134" s="1" t="s">
        <v>61</v>
      </c>
      <c r="L134" s="1" t="s">
        <v>61</v>
      </c>
      <c r="M134" s="1" t="s">
        <v>62</v>
      </c>
      <c r="N134" s="1">
        <v>-125.0</v>
      </c>
      <c r="O134" s="1">
        <v>0.0792541198249999</v>
      </c>
      <c r="P134" s="1" t="s">
        <v>61</v>
      </c>
      <c r="Q134" s="1" t="s">
        <v>61</v>
      </c>
    </row>
    <row r="135">
      <c r="A135" s="1" t="s">
        <v>9</v>
      </c>
      <c r="B135" s="1" t="s">
        <v>527</v>
      </c>
      <c r="C135" s="1" t="s">
        <v>18</v>
      </c>
      <c r="D135" s="1" t="s">
        <v>67</v>
      </c>
      <c r="E135" s="1" t="s">
        <v>89</v>
      </c>
      <c r="F135" s="1" t="s">
        <v>629</v>
      </c>
      <c r="G135" s="1">
        <v>23.5</v>
      </c>
      <c r="H135" s="1" t="s">
        <v>60</v>
      </c>
      <c r="I135" s="1">
        <v>-115.0</v>
      </c>
      <c r="J135" s="1">
        <v>0.0788723208558841</v>
      </c>
      <c r="K135" s="1" t="s">
        <v>61</v>
      </c>
      <c r="L135" s="1" t="s">
        <v>61</v>
      </c>
      <c r="M135" s="1" t="s">
        <v>62</v>
      </c>
      <c r="N135" s="1">
        <v>-115.0</v>
      </c>
      <c r="O135" s="1">
        <v>-0.148603168984266</v>
      </c>
      <c r="P135" s="1" t="s">
        <v>61</v>
      </c>
      <c r="Q135" s="1" t="s">
        <v>61</v>
      </c>
    </row>
    <row r="136">
      <c r="A136" s="1" t="s">
        <v>11</v>
      </c>
      <c r="B136" s="1" t="s">
        <v>202</v>
      </c>
      <c r="C136" s="1" t="s">
        <v>19</v>
      </c>
      <c r="D136" s="1" t="s">
        <v>109</v>
      </c>
      <c r="E136" s="1" t="s">
        <v>82</v>
      </c>
      <c r="F136" s="1" t="s">
        <v>629</v>
      </c>
      <c r="G136" s="1">
        <v>6.5</v>
      </c>
      <c r="H136" s="1" t="s">
        <v>60</v>
      </c>
      <c r="I136" s="1">
        <v>-108.0</v>
      </c>
      <c r="J136" s="1">
        <v>0.0785063947952844</v>
      </c>
      <c r="K136" s="1" t="s">
        <v>61</v>
      </c>
      <c r="L136" s="1" t="s">
        <v>61</v>
      </c>
      <c r="M136" s="1" t="s">
        <v>62</v>
      </c>
      <c r="N136" s="1">
        <v>-119.0</v>
      </c>
      <c r="O136" s="1">
        <v>-0.141094953606067</v>
      </c>
      <c r="P136" s="1" t="s">
        <v>61</v>
      </c>
      <c r="Q136" s="1" t="s">
        <v>61</v>
      </c>
    </row>
    <row r="137">
      <c r="A137" s="1" t="s">
        <v>15</v>
      </c>
      <c r="B137" s="1" t="s">
        <v>569</v>
      </c>
      <c r="C137" s="1" t="s">
        <v>21</v>
      </c>
      <c r="D137" s="1" t="s">
        <v>94</v>
      </c>
      <c r="E137" s="1" t="s">
        <v>71</v>
      </c>
      <c r="F137" s="1" t="s">
        <v>629</v>
      </c>
      <c r="G137" s="1">
        <v>17.5</v>
      </c>
      <c r="H137" s="1" t="s">
        <v>60</v>
      </c>
      <c r="I137" s="1">
        <v>-128.0</v>
      </c>
      <c r="J137" s="1">
        <v>-0.146903138701754</v>
      </c>
      <c r="K137" s="1" t="s">
        <v>61</v>
      </c>
      <c r="L137" s="1" t="s">
        <v>61</v>
      </c>
      <c r="M137" s="1" t="s">
        <v>62</v>
      </c>
      <c r="N137" s="1">
        <v>-103.0</v>
      </c>
      <c r="O137" s="1">
        <v>0.0781104093237438</v>
      </c>
      <c r="P137" s="1" t="s">
        <v>61</v>
      </c>
      <c r="Q137" s="1" t="s">
        <v>61</v>
      </c>
    </row>
    <row r="138">
      <c r="A138" s="1" t="s">
        <v>17</v>
      </c>
      <c r="B138" s="1" t="s">
        <v>462</v>
      </c>
      <c r="C138" s="1" t="s">
        <v>21</v>
      </c>
      <c r="D138" s="1" t="s">
        <v>89</v>
      </c>
      <c r="E138" s="1" t="s">
        <v>67</v>
      </c>
      <c r="F138" s="1" t="s">
        <v>629</v>
      </c>
      <c r="G138" s="1">
        <v>0.5</v>
      </c>
      <c r="H138" s="1" t="s">
        <v>60</v>
      </c>
      <c r="I138" s="1">
        <v>-142.0</v>
      </c>
      <c r="J138" s="1">
        <v>-0.147718181818181</v>
      </c>
      <c r="K138" s="1" t="s">
        <v>61</v>
      </c>
      <c r="L138" s="1" t="s">
        <v>61</v>
      </c>
      <c r="M138" s="1" t="s">
        <v>62</v>
      </c>
      <c r="N138" s="1">
        <v>107.0</v>
      </c>
      <c r="O138" s="1">
        <v>0.0778565217391304</v>
      </c>
      <c r="P138" s="1" t="s">
        <v>61</v>
      </c>
      <c r="Q138" s="1" t="s">
        <v>61</v>
      </c>
    </row>
    <row r="139">
      <c r="A139" s="1" t="s">
        <v>12</v>
      </c>
      <c r="B139" s="1" t="s">
        <v>492</v>
      </c>
      <c r="C139" s="1" t="s">
        <v>18</v>
      </c>
      <c r="D139" s="1" t="s">
        <v>156</v>
      </c>
      <c r="E139" s="1" t="s">
        <v>147</v>
      </c>
      <c r="F139" s="1" t="s">
        <v>629</v>
      </c>
      <c r="G139" s="1">
        <v>5.5</v>
      </c>
      <c r="H139" s="1" t="s">
        <v>60</v>
      </c>
      <c r="I139" s="1">
        <v>-107.0</v>
      </c>
      <c r="J139" s="1">
        <v>0.0778434782608695</v>
      </c>
      <c r="K139" s="1" t="s">
        <v>61</v>
      </c>
      <c r="L139" s="1" t="s">
        <v>61</v>
      </c>
      <c r="M139" s="1" t="s">
        <v>62</v>
      </c>
      <c r="N139" s="1">
        <v>-123.0</v>
      </c>
      <c r="O139" s="1">
        <v>-0.146314349775784</v>
      </c>
      <c r="P139" s="1" t="s">
        <v>61</v>
      </c>
      <c r="Q139" s="1" t="s">
        <v>61</v>
      </c>
    </row>
    <row r="140">
      <c r="A140" s="1" t="s">
        <v>14</v>
      </c>
      <c r="B140" s="1" t="s">
        <v>631</v>
      </c>
      <c r="C140" s="1" t="s">
        <v>21</v>
      </c>
      <c r="D140" s="1" t="s">
        <v>100</v>
      </c>
      <c r="E140" s="1" t="s">
        <v>104</v>
      </c>
      <c r="F140" s="1" t="s">
        <v>629</v>
      </c>
      <c r="G140" s="1">
        <v>0.5</v>
      </c>
      <c r="H140" s="1" t="s">
        <v>60</v>
      </c>
      <c r="I140" s="1">
        <v>-183.0</v>
      </c>
      <c r="J140" s="1">
        <v>-0.142340851590106</v>
      </c>
      <c r="K140" s="1" t="s">
        <v>61</v>
      </c>
      <c r="L140" s="1" t="s">
        <v>61</v>
      </c>
      <c r="M140" s="1" t="s">
        <v>62</v>
      </c>
      <c r="N140" s="1">
        <v>139.0</v>
      </c>
      <c r="O140" s="1">
        <v>0.0772872845188283</v>
      </c>
      <c r="P140" s="1" t="s">
        <v>61</v>
      </c>
      <c r="Q140" s="1" t="s">
        <v>61</v>
      </c>
    </row>
    <row r="141">
      <c r="A141" s="1" t="s">
        <v>8</v>
      </c>
      <c r="B141" s="1" t="s">
        <v>304</v>
      </c>
      <c r="C141" s="1" t="s">
        <v>19</v>
      </c>
      <c r="D141" s="1" t="s">
        <v>146</v>
      </c>
      <c r="E141" s="1" t="s">
        <v>197</v>
      </c>
      <c r="F141" s="1" t="s">
        <v>629</v>
      </c>
      <c r="G141" s="1">
        <v>12.5</v>
      </c>
      <c r="H141" s="1" t="s">
        <v>60</v>
      </c>
      <c r="I141" s="1">
        <v>-122.0</v>
      </c>
      <c r="J141" s="1">
        <v>-0.15024893570045</v>
      </c>
      <c r="K141" s="1" t="s">
        <v>61</v>
      </c>
      <c r="L141" s="1" t="s">
        <v>61</v>
      </c>
      <c r="M141" s="1" t="s">
        <v>62</v>
      </c>
      <c r="N141" s="1">
        <v>-110.0</v>
      </c>
      <c r="O141" s="1">
        <v>0.0768897623716666</v>
      </c>
      <c r="P141" s="1" t="s">
        <v>61</v>
      </c>
      <c r="Q141" s="1" t="s">
        <v>61</v>
      </c>
    </row>
    <row r="142">
      <c r="A142" s="1" t="s">
        <v>12</v>
      </c>
      <c r="B142" s="1" t="s">
        <v>155</v>
      </c>
      <c r="C142" s="1" t="s">
        <v>19</v>
      </c>
      <c r="D142" s="1" t="s">
        <v>156</v>
      </c>
      <c r="E142" s="1" t="s">
        <v>147</v>
      </c>
      <c r="F142" s="1" t="s">
        <v>629</v>
      </c>
      <c r="G142" s="1">
        <v>2.5</v>
      </c>
      <c r="H142" s="1" t="s">
        <v>60</v>
      </c>
      <c r="I142" s="1">
        <v>-106.0</v>
      </c>
      <c r="J142" s="1">
        <v>-0.14396072053398</v>
      </c>
      <c r="K142" s="1" t="s">
        <v>61</v>
      </c>
      <c r="L142" s="1" t="s">
        <v>61</v>
      </c>
      <c r="M142" s="1" t="s">
        <v>62</v>
      </c>
      <c r="N142" s="1">
        <v>-124.0</v>
      </c>
      <c r="O142" s="1">
        <v>0.0758258502374999</v>
      </c>
      <c r="P142" s="1" t="s">
        <v>61</v>
      </c>
      <c r="Q142" s="1" t="s">
        <v>61</v>
      </c>
    </row>
    <row r="143">
      <c r="A143" s="1" t="s">
        <v>17</v>
      </c>
      <c r="B143" s="1" t="s">
        <v>275</v>
      </c>
      <c r="C143" s="1" t="s">
        <v>21</v>
      </c>
      <c r="D143" s="1" t="s">
        <v>100</v>
      </c>
      <c r="E143" s="1" t="s">
        <v>104</v>
      </c>
      <c r="F143" s="1" t="s">
        <v>629</v>
      </c>
      <c r="G143" s="1">
        <v>0.5</v>
      </c>
      <c r="H143" s="1" t="s">
        <v>60</v>
      </c>
      <c r="I143" s="1">
        <v>-149.0</v>
      </c>
      <c r="J143" s="1">
        <v>-0.139493574297188</v>
      </c>
      <c r="K143" s="1" t="s">
        <v>61</v>
      </c>
      <c r="L143" s="1" t="s">
        <v>61</v>
      </c>
      <c r="M143" s="1" t="s">
        <v>62</v>
      </c>
      <c r="N143" s="1">
        <v>114.0</v>
      </c>
      <c r="O143" s="1">
        <v>0.0738102803738317</v>
      </c>
      <c r="P143" s="1" t="s">
        <v>61</v>
      </c>
      <c r="Q143" s="1" t="s">
        <v>61</v>
      </c>
    </row>
    <row r="144">
      <c r="A144" s="1" t="s">
        <v>11</v>
      </c>
      <c r="B144" s="1" t="s">
        <v>410</v>
      </c>
      <c r="C144" s="1" t="s">
        <v>20</v>
      </c>
      <c r="D144" s="1" t="s">
        <v>72</v>
      </c>
      <c r="E144" s="1" t="s">
        <v>157</v>
      </c>
      <c r="F144" s="1" t="s">
        <v>629</v>
      </c>
      <c r="G144" s="1">
        <v>37.5</v>
      </c>
      <c r="H144" s="1" t="s">
        <v>60</v>
      </c>
      <c r="I144" s="1">
        <v>-118.0</v>
      </c>
      <c r="J144" s="1">
        <v>-0.136465732007202</v>
      </c>
      <c r="K144" s="1" t="s">
        <v>61</v>
      </c>
      <c r="L144" s="1" t="s">
        <v>61</v>
      </c>
      <c r="M144" s="1" t="s">
        <v>62</v>
      </c>
      <c r="N144" s="1">
        <v>-109.0</v>
      </c>
      <c r="O144" s="1">
        <v>0.0736599703997098</v>
      </c>
      <c r="P144" s="1" t="s">
        <v>61</v>
      </c>
      <c r="Q144" s="1" t="s">
        <v>61</v>
      </c>
    </row>
    <row r="145">
      <c r="A145" s="1" t="s">
        <v>14</v>
      </c>
      <c r="B145" s="1" t="s">
        <v>260</v>
      </c>
      <c r="C145" s="1" t="s">
        <v>21</v>
      </c>
      <c r="D145" s="1" t="s">
        <v>147</v>
      </c>
      <c r="E145" s="1" t="s">
        <v>156</v>
      </c>
      <c r="F145" s="1" t="s">
        <v>629</v>
      </c>
      <c r="G145" s="1">
        <v>1.5</v>
      </c>
      <c r="H145" s="1" t="s">
        <v>60</v>
      </c>
      <c r="I145" s="1">
        <v>197.0</v>
      </c>
      <c r="J145" s="1">
        <v>0.0735996632996632</v>
      </c>
      <c r="K145" s="1" t="s">
        <v>61</v>
      </c>
      <c r="L145" s="1" t="s">
        <v>61</v>
      </c>
      <c r="M145" s="1" t="s">
        <v>62</v>
      </c>
      <c r="N145" s="1">
        <v>-265.0</v>
      </c>
      <c r="O145" s="1">
        <v>-0.136327397260273</v>
      </c>
      <c r="P145" s="1" t="s">
        <v>61</v>
      </c>
      <c r="Q145" s="1" t="s">
        <v>61</v>
      </c>
    </row>
    <row r="146">
      <c r="A146" s="1" t="s">
        <v>12</v>
      </c>
      <c r="B146" s="1" t="s">
        <v>264</v>
      </c>
      <c r="C146" s="1" t="s">
        <v>19</v>
      </c>
      <c r="D146" s="1" t="s">
        <v>109</v>
      </c>
      <c r="E146" s="1" t="s">
        <v>82</v>
      </c>
      <c r="F146" s="1" t="s">
        <v>629</v>
      </c>
      <c r="G146" s="1">
        <v>3.5</v>
      </c>
      <c r="H146" s="1" t="s">
        <v>60</v>
      </c>
      <c r="I146" s="1">
        <v>-116.0</v>
      </c>
      <c r="J146" s="1">
        <v>-0.141037037037037</v>
      </c>
      <c r="K146" s="1" t="s">
        <v>61</v>
      </c>
      <c r="L146" s="1" t="s">
        <v>61</v>
      </c>
      <c r="M146" s="1" t="s">
        <v>62</v>
      </c>
      <c r="N146" s="1">
        <v>-113.0</v>
      </c>
      <c r="O146" s="1">
        <v>0.0734835680751174</v>
      </c>
      <c r="P146" s="1" t="s">
        <v>61</v>
      </c>
      <c r="Q146" s="1" t="s">
        <v>61</v>
      </c>
    </row>
    <row r="147">
      <c r="A147" s="1" t="s">
        <v>8</v>
      </c>
      <c r="B147" s="1" t="s">
        <v>536</v>
      </c>
      <c r="C147" s="1" t="s">
        <v>19</v>
      </c>
      <c r="D147" s="1" t="s">
        <v>157</v>
      </c>
      <c r="E147" s="1" t="s">
        <v>72</v>
      </c>
      <c r="F147" s="1" t="s">
        <v>629</v>
      </c>
      <c r="G147" s="1">
        <v>6.5</v>
      </c>
      <c r="H147" s="1" t="s">
        <v>60</v>
      </c>
      <c r="I147" s="1">
        <v>112.0</v>
      </c>
      <c r="J147" s="1">
        <v>-0.136784605503139</v>
      </c>
      <c r="K147" s="1" t="s">
        <v>61</v>
      </c>
      <c r="L147" s="1" t="s">
        <v>61</v>
      </c>
      <c r="M147" s="1" t="s">
        <v>62</v>
      </c>
      <c r="N147" s="1">
        <v>-148.0</v>
      </c>
      <c r="O147" s="1">
        <v>0.0683105480366681</v>
      </c>
      <c r="P147" s="1" t="s">
        <v>61</v>
      </c>
      <c r="Q147" s="1" t="s">
        <v>61</v>
      </c>
    </row>
    <row r="148">
      <c r="A148" s="1" t="s">
        <v>12</v>
      </c>
      <c r="B148" s="1" t="s">
        <v>498</v>
      </c>
      <c r="C148" s="1" t="s">
        <v>20</v>
      </c>
      <c r="D148" s="1" t="s">
        <v>197</v>
      </c>
      <c r="E148" s="1" t="s">
        <v>146</v>
      </c>
      <c r="F148" s="1" t="s">
        <v>629</v>
      </c>
      <c r="G148" s="1">
        <v>4.5</v>
      </c>
      <c r="H148" s="1" t="s">
        <v>60</v>
      </c>
      <c r="I148" s="1">
        <v>116.0</v>
      </c>
      <c r="J148" s="1">
        <v>0.0671833333333333</v>
      </c>
      <c r="K148" s="1" t="s">
        <v>61</v>
      </c>
      <c r="L148" s="1" t="s">
        <v>61</v>
      </c>
      <c r="M148" s="1" t="s">
        <v>62</v>
      </c>
      <c r="N148" s="1">
        <v>-153.0</v>
      </c>
      <c r="O148" s="1">
        <v>-0.134882608695652</v>
      </c>
      <c r="P148" s="1" t="s">
        <v>61</v>
      </c>
      <c r="Q148" s="1" t="s">
        <v>61</v>
      </c>
    </row>
    <row r="149">
      <c r="A149" s="1" t="s">
        <v>12</v>
      </c>
      <c r="B149" s="1" t="s">
        <v>379</v>
      </c>
      <c r="C149" s="1" t="s">
        <v>18</v>
      </c>
      <c r="D149" s="1" t="s">
        <v>146</v>
      </c>
      <c r="E149" s="1" t="s">
        <v>197</v>
      </c>
      <c r="F149" s="1" t="s">
        <v>629</v>
      </c>
      <c r="G149" s="1">
        <v>6.5</v>
      </c>
      <c r="H149" s="1" t="s">
        <v>60</v>
      </c>
      <c r="I149" s="1">
        <v>-132.0</v>
      </c>
      <c r="J149" s="1">
        <v>0.0658206896551724</v>
      </c>
      <c r="K149" s="1" t="s">
        <v>61</v>
      </c>
      <c r="L149" s="1" t="s">
        <v>61</v>
      </c>
      <c r="M149" s="1" t="s">
        <v>62</v>
      </c>
      <c r="N149" s="1">
        <v>100.0</v>
      </c>
      <c r="O149" s="1">
        <v>-0.1348</v>
      </c>
      <c r="P149" s="1" t="s">
        <v>61</v>
      </c>
      <c r="Q149" s="1" t="s">
        <v>61</v>
      </c>
    </row>
    <row r="150">
      <c r="A150" s="1" t="s">
        <v>15</v>
      </c>
      <c r="B150" s="1" t="s">
        <v>500</v>
      </c>
      <c r="C150" s="1" t="s">
        <v>21</v>
      </c>
      <c r="D150" s="1" t="s">
        <v>82</v>
      </c>
      <c r="E150" s="1" t="s">
        <v>109</v>
      </c>
      <c r="F150" s="1" t="s">
        <v>629</v>
      </c>
      <c r="G150" s="1">
        <v>25.5</v>
      </c>
      <c r="H150" s="1" t="s">
        <v>60</v>
      </c>
      <c r="I150" s="1">
        <v>-118.0</v>
      </c>
      <c r="J150" s="1">
        <v>0.0646073394495413</v>
      </c>
      <c r="K150" s="1" t="s">
        <v>61</v>
      </c>
      <c r="L150" s="1" t="s">
        <v>61</v>
      </c>
      <c r="M150" s="1" t="s">
        <v>62</v>
      </c>
      <c r="N150" s="1">
        <v>-115.0</v>
      </c>
      <c r="O150" s="1">
        <v>-0.140790697674418</v>
      </c>
      <c r="P150" s="1" t="s">
        <v>61</v>
      </c>
      <c r="Q150" s="1" t="s">
        <v>61</v>
      </c>
    </row>
    <row r="151">
      <c r="A151" s="1" t="s">
        <v>12</v>
      </c>
      <c r="B151" s="1" t="s">
        <v>210</v>
      </c>
      <c r="C151" s="1" t="s">
        <v>18</v>
      </c>
      <c r="D151" s="1" t="s">
        <v>156</v>
      </c>
      <c r="E151" s="1" t="s">
        <v>147</v>
      </c>
      <c r="F151" s="1" t="s">
        <v>629</v>
      </c>
      <c r="G151" s="1">
        <v>1.5</v>
      </c>
      <c r="H151" s="1" t="s">
        <v>60</v>
      </c>
      <c r="I151" s="1">
        <v>110.0</v>
      </c>
      <c r="J151" s="1">
        <v>-0.135082797577619</v>
      </c>
      <c r="K151" s="1" t="s">
        <v>61</v>
      </c>
      <c r="L151" s="1" t="s">
        <v>61</v>
      </c>
      <c r="M151" s="1" t="s">
        <v>62</v>
      </c>
      <c r="N151" s="1">
        <v>-147.0</v>
      </c>
      <c r="O151" s="1">
        <v>0.0637495753117812</v>
      </c>
      <c r="P151" s="1" t="s">
        <v>61</v>
      </c>
      <c r="Q151" s="1" t="s">
        <v>61</v>
      </c>
    </row>
    <row r="152">
      <c r="A152" s="1" t="s">
        <v>14</v>
      </c>
      <c r="B152" s="1" t="s">
        <v>462</v>
      </c>
      <c r="C152" s="1" t="s">
        <v>21</v>
      </c>
      <c r="D152" s="1" t="s">
        <v>89</v>
      </c>
      <c r="E152" s="1" t="s">
        <v>67</v>
      </c>
      <c r="F152" s="1" t="s">
        <v>629</v>
      </c>
      <c r="G152" s="1">
        <v>0.5</v>
      </c>
      <c r="H152" s="1" t="s">
        <v>60</v>
      </c>
      <c r="I152" s="1">
        <v>-184.0</v>
      </c>
      <c r="J152" s="1">
        <v>-0.126349105774647</v>
      </c>
      <c r="K152" s="1" t="s">
        <v>61</v>
      </c>
      <c r="L152" s="1" t="s">
        <v>61</v>
      </c>
      <c r="M152" s="1" t="s">
        <v>62</v>
      </c>
      <c r="N152" s="1">
        <v>141.0</v>
      </c>
      <c r="O152" s="1">
        <v>0.0635172034854771</v>
      </c>
      <c r="P152" s="1" t="s">
        <v>61</v>
      </c>
      <c r="Q152" s="1" t="s">
        <v>61</v>
      </c>
    </row>
    <row r="153">
      <c r="A153" s="1" t="s">
        <v>15</v>
      </c>
      <c r="B153" s="1" t="s">
        <v>297</v>
      </c>
      <c r="C153" s="1" t="s">
        <v>21</v>
      </c>
      <c r="D153" s="1" t="s">
        <v>157</v>
      </c>
      <c r="E153" s="1" t="s">
        <v>72</v>
      </c>
      <c r="F153" s="1" t="s">
        <v>629</v>
      </c>
      <c r="G153" s="1">
        <v>22.5</v>
      </c>
      <c r="H153" s="1" t="s">
        <v>60</v>
      </c>
      <c r="I153" s="1">
        <v>100.0</v>
      </c>
      <c r="J153" s="1">
        <v>0.0625999999999999</v>
      </c>
      <c r="K153" s="1" t="s">
        <v>61</v>
      </c>
      <c r="L153" s="1" t="s">
        <v>61</v>
      </c>
      <c r="M153" s="1" t="s">
        <v>62</v>
      </c>
      <c r="N153" s="1">
        <v>-131.0</v>
      </c>
      <c r="O153" s="1">
        <v>-0.129699567099567</v>
      </c>
      <c r="P153" s="1" t="s">
        <v>61</v>
      </c>
      <c r="Q153" s="1" t="s">
        <v>61</v>
      </c>
    </row>
    <row r="154">
      <c r="A154" s="1" t="s">
        <v>8</v>
      </c>
      <c r="B154" s="1" t="s">
        <v>446</v>
      </c>
      <c r="C154" s="1" t="s">
        <v>19</v>
      </c>
      <c r="D154" s="1" t="s">
        <v>197</v>
      </c>
      <c r="E154" s="1" t="s">
        <v>146</v>
      </c>
      <c r="F154" s="1" t="s">
        <v>629</v>
      </c>
      <c r="G154" s="1">
        <v>12.5</v>
      </c>
      <c r="H154" s="1" t="s">
        <v>60</v>
      </c>
      <c r="I154" s="1">
        <v>-115.0</v>
      </c>
      <c r="J154" s="1">
        <v>-0.131776080345116</v>
      </c>
      <c r="K154" s="1" t="s">
        <v>61</v>
      </c>
      <c r="L154" s="1" t="s">
        <v>61</v>
      </c>
      <c r="M154" s="1" t="s">
        <v>62</v>
      </c>
      <c r="N154" s="1">
        <v>-115.0</v>
      </c>
      <c r="O154" s="1">
        <v>0.0620224923968836</v>
      </c>
      <c r="P154" s="1" t="s">
        <v>61</v>
      </c>
      <c r="Q154" s="1" t="s">
        <v>61</v>
      </c>
    </row>
    <row r="155">
      <c r="A155" s="1" t="s">
        <v>10</v>
      </c>
      <c r="B155" s="1" t="s">
        <v>635</v>
      </c>
      <c r="C155" s="1" t="s">
        <v>19</v>
      </c>
      <c r="D155" s="1" t="s">
        <v>94</v>
      </c>
      <c r="E155" s="1" t="s">
        <v>71</v>
      </c>
      <c r="F155" s="1" t="s">
        <v>629</v>
      </c>
      <c r="G155" s="1">
        <v>13.5</v>
      </c>
      <c r="H155" s="1" t="s">
        <v>60</v>
      </c>
      <c r="I155" s="1">
        <v>-108.0</v>
      </c>
      <c r="J155" s="1">
        <v>-0.129761870358361</v>
      </c>
      <c r="K155" s="1" t="s">
        <v>61</v>
      </c>
      <c r="L155" s="1" t="s">
        <v>61</v>
      </c>
      <c r="M155" s="1" t="s">
        <v>62</v>
      </c>
      <c r="N155" s="1">
        <v>-122.0</v>
      </c>
      <c r="O155" s="1">
        <v>0.0610003073069277</v>
      </c>
      <c r="P155" s="1" t="s">
        <v>61</v>
      </c>
      <c r="Q155" s="1" t="s">
        <v>61</v>
      </c>
    </row>
    <row r="156">
      <c r="A156" s="1" t="s">
        <v>12</v>
      </c>
      <c r="B156" s="1" t="s">
        <v>220</v>
      </c>
      <c r="C156" s="1" t="s">
        <v>20</v>
      </c>
      <c r="D156" s="1" t="s">
        <v>94</v>
      </c>
      <c r="E156" s="1" t="s">
        <v>71</v>
      </c>
      <c r="F156" s="1" t="s">
        <v>629</v>
      </c>
      <c r="G156" s="1">
        <v>2.5</v>
      </c>
      <c r="H156" s="1" t="s">
        <v>60</v>
      </c>
      <c r="I156" s="1">
        <v>121.0</v>
      </c>
      <c r="J156" s="1">
        <v>-0.125032259076923</v>
      </c>
      <c r="K156" s="1" t="s">
        <v>61</v>
      </c>
      <c r="L156" s="1" t="s">
        <v>61</v>
      </c>
      <c r="M156" s="1" t="s">
        <v>62</v>
      </c>
      <c r="N156" s="1">
        <v>-158.0</v>
      </c>
      <c r="O156" s="1">
        <v>0.0601337825116279</v>
      </c>
      <c r="P156" s="1" t="s">
        <v>61</v>
      </c>
      <c r="Q156" s="1" t="s">
        <v>61</v>
      </c>
    </row>
    <row r="157">
      <c r="A157" s="1" t="s">
        <v>8</v>
      </c>
      <c r="B157" s="1" t="s">
        <v>318</v>
      </c>
      <c r="C157" s="1" t="s">
        <v>21</v>
      </c>
      <c r="D157" s="1" t="s">
        <v>67</v>
      </c>
      <c r="E157" s="1" t="s">
        <v>89</v>
      </c>
      <c r="F157" s="1" t="s">
        <v>629</v>
      </c>
      <c r="G157" s="1">
        <v>3.5</v>
      </c>
      <c r="H157" s="1" t="s">
        <v>60</v>
      </c>
      <c r="I157" s="1">
        <v>122.0</v>
      </c>
      <c r="J157" s="1">
        <v>-0.127244315050215</v>
      </c>
      <c r="K157" s="1" t="s">
        <v>61</v>
      </c>
      <c r="L157" s="1" t="s">
        <v>61</v>
      </c>
      <c r="M157" s="1" t="s">
        <v>62</v>
      </c>
      <c r="N157" s="1">
        <v>-161.0</v>
      </c>
      <c r="O157" s="1">
        <v>0.0599348755896237</v>
      </c>
      <c r="P157" s="1" t="s">
        <v>61</v>
      </c>
      <c r="Q157" s="1" t="s">
        <v>61</v>
      </c>
    </row>
    <row r="158">
      <c r="A158" s="1" t="s">
        <v>9</v>
      </c>
      <c r="B158" s="1" t="s">
        <v>359</v>
      </c>
      <c r="C158" s="1" t="s">
        <v>19</v>
      </c>
      <c r="D158" s="1" t="s">
        <v>72</v>
      </c>
      <c r="E158" s="1" t="s">
        <v>157</v>
      </c>
      <c r="F158" s="1" t="s">
        <v>629</v>
      </c>
      <c r="G158" s="1">
        <v>87.5</v>
      </c>
      <c r="H158" s="1" t="s">
        <v>60</v>
      </c>
      <c r="I158" s="1">
        <v>-117.0</v>
      </c>
      <c r="J158" s="1">
        <v>-0.133707036518957</v>
      </c>
      <c r="K158" s="1" t="s">
        <v>61</v>
      </c>
      <c r="L158" s="1" t="s">
        <v>61</v>
      </c>
      <c r="M158" s="1" t="s">
        <v>62</v>
      </c>
      <c r="N158" s="1">
        <v>-115.0</v>
      </c>
      <c r="O158" s="1">
        <v>0.0596586788990969</v>
      </c>
      <c r="P158" s="1" t="s">
        <v>61</v>
      </c>
      <c r="Q158" s="1" t="s">
        <v>61</v>
      </c>
    </row>
    <row r="159">
      <c r="A159" s="1" t="s">
        <v>8</v>
      </c>
      <c r="B159" s="1" t="s">
        <v>264</v>
      </c>
      <c r="C159" s="1" t="s">
        <v>19</v>
      </c>
      <c r="D159" s="1" t="s">
        <v>109</v>
      </c>
      <c r="E159" s="1" t="s">
        <v>82</v>
      </c>
      <c r="F159" s="1" t="s">
        <v>629</v>
      </c>
      <c r="G159" s="1">
        <v>13.5</v>
      </c>
      <c r="H159" s="1" t="s">
        <v>60</v>
      </c>
      <c r="I159" s="1">
        <v>-135.0</v>
      </c>
      <c r="J159" s="1">
        <v>-0.123907593395744</v>
      </c>
      <c r="K159" s="1" t="s">
        <v>61</v>
      </c>
      <c r="L159" s="1" t="s">
        <v>61</v>
      </c>
      <c r="M159" s="1" t="s">
        <v>62</v>
      </c>
      <c r="N159" s="1">
        <v>104.0</v>
      </c>
      <c r="O159" s="1">
        <v>0.0592494335686274</v>
      </c>
      <c r="P159" s="1" t="s">
        <v>61</v>
      </c>
      <c r="Q159" s="1" t="s">
        <v>61</v>
      </c>
    </row>
    <row r="160">
      <c r="A160" s="1" t="s">
        <v>8</v>
      </c>
      <c r="B160" s="1" t="s">
        <v>359</v>
      </c>
      <c r="C160" s="1" t="s">
        <v>19</v>
      </c>
      <c r="D160" s="1" t="s">
        <v>72</v>
      </c>
      <c r="E160" s="1" t="s">
        <v>157</v>
      </c>
      <c r="F160" s="1" t="s">
        <v>629</v>
      </c>
      <c r="G160" s="1">
        <v>15.5</v>
      </c>
      <c r="H160" s="1" t="s">
        <v>60</v>
      </c>
      <c r="I160" s="1">
        <v>-123.0</v>
      </c>
      <c r="J160" s="1">
        <v>-0.127659009421524</v>
      </c>
      <c r="K160" s="1" t="s">
        <v>61</v>
      </c>
      <c r="L160" s="1" t="s">
        <v>61</v>
      </c>
      <c r="M160" s="1" t="s">
        <v>62</v>
      </c>
      <c r="N160" s="1">
        <v>-107.0</v>
      </c>
      <c r="O160" s="1">
        <v>0.0591949576718356</v>
      </c>
      <c r="P160" s="1" t="s">
        <v>61</v>
      </c>
      <c r="Q160" s="1" t="s">
        <v>61</v>
      </c>
    </row>
    <row r="161">
      <c r="A161" s="1" t="s">
        <v>12</v>
      </c>
      <c r="B161" s="1" t="s">
        <v>299</v>
      </c>
      <c r="C161" s="1" t="s">
        <v>18</v>
      </c>
      <c r="D161" s="1" t="s">
        <v>89</v>
      </c>
      <c r="E161" s="1" t="s">
        <v>67</v>
      </c>
      <c r="F161" s="1" t="s">
        <v>629</v>
      </c>
      <c r="G161" s="1">
        <v>3.5</v>
      </c>
      <c r="H161" s="1" t="s">
        <v>60</v>
      </c>
      <c r="I161" s="1">
        <v>-150.0</v>
      </c>
      <c r="J161" s="1">
        <v>-0.12538</v>
      </c>
      <c r="K161" s="1" t="s">
        <v>61</v>
      </c>
      <c r="L161" s="1" t="s">
        <v>61</v>
      </c>
      <c r="M161" s="1" t="s">
        <v>62</v>
      </c>
      <c r="N161" s="1">
        <v>114.0</v>
      </c>
      <c r="O161" s="1">
        <v>0.0580700934579438</v>
      </c>
      <c r="P161" s="1" t="s">
        <v>61</v>
      </c>
      <c r="Q161" s="1" t="s">
        <v>61</v>
      </c>
    </row>
    <row r="162">
      <c r="A162" s="1" t="s">
        <v>10</v>
      </c>
      <c r="B162" s="1" t="s">
        <v>359</v>
      </c>
      <c r="C162" s="1" t="s">
        <v>19</v>
      </c>
      <c r="D162" s="1" t="s">
        <v>72</v>
      </c>
      <c r="E162" s="1" t="s">
        <v>157</v>
      </c>
      <c r="F162" s="1" t="s">
        <v>629</v>
      </c>
      <c r="G162" s="1">
        <v>64.5</v>
      </c>
      <c r="H162" s="1" t="s">
        <v>60</v>
      </c>
      <c r="I162" s="1">
        <v>-116.0</v>
      </c>
      <c r="J162" s="1">
        <v>-0.119918237188183</v>
      </c>
      <c r="K162" s="1" t="s">
        <v>61</v>
      </c>
      <c r="L162" s="1" t="s">
        <v>61</v>
      </c>
      <c r="M162" s="1" t="s">
        <v>62</v>
      </c>
      <c r="N162" s="1">
        <v>-111.0</v>
      </c>
      <c r="O162" s="1">
        <v>0.0568390652941588</v>
      </c>
      <c r="P162" s="1" t="s">
        <v>61</v>
      </c>
      <c r="Q162" s="1" t="s">
        <v>61</v>
      </c>
    </row>
    <row r="163">
      <c r="A163" s="1" t="s">
        <v>15</v>
      </c>
      <c r="B163" s="1" t="s">
        <v>462</v>
      </c>
      <c r="C163" s="1" t="s">
        <v>21</v>
      </c>
      <c r="D163" s="1" t="s">
        <v>89</v>
      </c>
      <c r="E163" s="1" t="s">
        <v>67</v>
      </c>
      <c r="F163" s="1" t="s">
        <v>629</v>
      </c>
      <c r="G163" s="1">
        <v>17.5</v>
      </c>
      <c r="H163" s="1" t="s">
        <v>60</v>
      </c>
      <c r="I163" s="1">
        <v>-126.0</v>
      </c>
      <c r="J163" s="1">
        <v>-0.123221672876106</v>
      </c>
      <c r="K163" s="1" t="s">
        <v>61</v>
      </c>
      <c r="L163" s="1" t="s">
        <v>61</v>
      </c>
      <c r="M163" s="1" t="s">
        <v>62</v>
      </c>
      <c r="N163" s="1">
        <v>-104.0</v>
      </c>
      <c r="O163" s="1">
        <v>0.0558955587882353</v>
      </c>
      <c r="P163" s="1" t="s">
        <v>61</v>
      </c>
      <c r="Q163" s="1" t="s">
        <v>61</v>
      </c>
    </row>
    <row r="164">
      <c r="A164" s="1" t="s">
        <v>11</v>
      </c>
      <c r="B164" s="1" t="s">
        <v>534</v>
      </c>
      <c r="C164" s="1" t="s">
        <v>18</v>
      </c>
      <c r="D164" s="1" t="s">
        <v>197</v>
      </c>
      <c r="E164" s="1" t="s">
        <v>146</v>
      </c>
      <c r="F164" s="1" t="s">
        <v>629</v>
      </c>
      <c r="G164" s="1">
        <v>22.5</v>
      </c>
      <c r="H164" s="1" t="s">
        <v>60</v>
      </c>
      <c r="I164" s="1">
        <v>-117.0</v>
      </c>
      <c r="J164" s="1">
        <v>-0.122923376342106</v>
      </c>
      <c r="K164" s="1" t="s">
        <v>61</v>
      </c>
      <c r="L164" s="1" t="s">
        <v>61</v>
      </c>
      <c r="M164" s="1" t="s">
        <v>62</v>
      </c>
      <c r="N164" s="1">
        <v>-112.0</v>
      </c>
      <c r="O164" s="1">
        <v>0.0554587235197427</v>
      </c>
      <c r="P164" s="1" t="s">
        <v>61</v>
      </c>
      <c r="Q164" s="1" t="s">
        <v>61</v>
      </c>
    </row>
    <row r="165">
      <c r="A165" s="1" t="s">
        <v>9</v>
      </c>
      <c r="B165" s="1" t="s">
        <v>379</v>
      </c>
      <c r="C165" s="1" t="s">
        <v>18</v>
      </c>
      <c r="D165" s="1" t="s">
        <v>146</v>
      </c>
      <c r="E165" s="1" t="s">
        <v>197</v>
      </c>
      <c r="F165" s="1" t="s">
        <v>629</v>
      </c>
      <c r="G165" s="1">
        <v>93.5</v>
      </c>
      <c r="H165" s="1" t="s">
        <v>60</v>
      </c>
      <c r="I165" s="1">
        <v>-120.0</v>
      </c>
      <c r="J165" s="1">
        <v>-0.124396606124094</v>
      </c>
      <c r="K165" s="1" t="s">
        <v>61</v>
      </c>
      <c r="L165" s="1" t="s">
        <v>61</v>
      </c>
      <c r="M165" s="1" t="s">
        <v>62</v>
      </c>
      <c r="N165" s="1">
        <v>-110.0</v>
      </c>
      <c r="O165" s="1">
        <v>0.0551991193010998</v>
      </c>
      <c r="P165" s="1" t="s">
        <v>61</v>
      </c>
      <c r="Q165" s="1" t="s">
        <v>61</v>
      </c>
    </row>
    <row r="166">
      <c r="A166" s="1" t="s">
        <v>17</v>
      </c>
      <c r="B166" s="1" t="s">
        <v>297</v>
      </c>
      <c r="C166" s="1" t="s">
        <v>21</v>
      </c>
      <c r="D166" s="1" t="s">
        <v>157</v>
      </c>
      <c r="E166" s="1" t="s">
        <v>72</v>
      </c>
      <c r="F166" s="1" t="s">
        <v>629</v>
      </c>
      <c r="G166" s="1">
        <v>0.5</v>
      </c>
      <c r="H166" s="1" t="s">
        <v>60</v>
      </c>
      <c r="I166" s="1">
        <v>-138.0</v>
      </c>
      <c r="J166" s="1">
        <v>-0.122531932773109</v>
      </c>
      <c r="K166" s="1" t="s">
        <v>61</v>
      </c>
      <c r="L166" s="1" t="s">
        <v>61</v>
      </c>
      <c r="M166" s="1" t="s">
        <v>62</v>
      </c>
      <c r="N166" s="1">
        <v>105.0</v>
      </c>
      <c r="O166" s="1">
        <v>0.0548951219512194</v>
      </c>
      <c r="P166" s="1" t="s">
        <v>61</v>
      </c>
      <c r="Q166" s="1" t="s">
        <v>61</v>
      </c>
    </row>
    <row r="167">
      <c r="A167" s="1" t="s">
        <v>10</v>
      </c>
      <c r="B167" s="1" t="s">
        <v>490</v>
      </c>
      <c r="C167" s="1" t="s">
        <v>19</v>
      </c>
      <c r="D167" s="1" t="s">
        <v>82</v>
      </c>
      <c r="E167" s="1" t="s">
        <v>109</v>
      </c>
      <c r="F167" s="1" t="s">
        <v>629</v>
      </c>
      <c r="G167" s="1">
        <v>68.5</v>
      </c>
      <c r="H167" s="1" t="s">
        <v>60</v>
      </c>
      <c r="I167" s="1">
        <v>-113.0</v>
      </c>
      <c r="J167" s="1">
        <v>-0.11803094838476</v>
      </c>
      <c r="K167" s="1" t="s">
        <v>61</v>
      </c>
      <c r="L167" s="1" t="s">
        <v>61</v>
      </c>
      <c r="M167" s="1" t="s">
        <v>62</v>
      </c>
      <c r="N167" s="1">
        <v>-114.0</v>
      </c>
      <c r="O167" s="1">
        <v>0.0548597876750981</v>
      </c>
      <c r="P167" s="1" t="s">
        <v>61</v>
      </c>
      <c r="Q167" s="1" t="s">
        <v>61</v>
      </c>
    </row>
    <row r="168">
      <c r="A168" s="1" t="s">
        <v>10</v>
      </c>
      <c r="B168" s="1" t="s">
        <v>202</v>
      </c>
      <c r="C168" s="1" t="s">
        <v>19</v>
      </c>
      <c r="D168" s="1" t="s">
        <v>109</v>
      </c>
      <c r="E168" s="1" t="s">
        <v>82</v>
      </c>
      <c r="F168" s="1" t="s">
        <v>629</v>
      </c>
      <c r="G168" s="1">
        <v>40.5</v>
      </c>
      <c r="H168" s="1" t="s">
        <v>60</v>
      </c>
      <c r="I168" s="1">
        <v>-114.0</v>
      </c>
      <c r="J168" s="1">
        <v>-0.119033524598616</v>
      </c>
      <c r="K168" s="1" t="s">
        <v>61</v>
      </c>
      <c r="L168" s="1" t="s">
        <v>61</v>
      </c>
      <c r="M168" s="1" t="s">
        <v>62</v>
      </c>
      <c r="N168" s="1">
        <v>-114.0</v>
      </c>
      <c r="O168" s="1">
        <v>0.0536294947884232</v>
      </c>
      <c r="P168" s="1" t="s">
        <v>61</v>
      </c>
      <c r="Q168" s="1" t="s">
        <v>61</v>
      </c>
    </row>
    <row r="169">
      <c r="A169" s="1" t="s">
        <v>17</v>
      </c>
      <c r="B169" s="1" t="s">
        <v>260</v>
      </c>
      <c r="C169" s="1" t="s">
        <v>21</v>
      </c>
      <c r="D169" s="1" t="s">
        <v>147</v>
      </c>
      <c r="E169" s="1" t="s">
        <v>156</v>
      </c>
      <c r="F169" s="1" t="s">
        <v>629</v>
      </c>
      <c r="G169" s="1">
        <v>0.5</v>
      </c>
      <c r="H169" s="1" t="s">
        <v>60</v>
      </c>
      <c r="I169" s="1">
        <v>-133.0</v>
      </c>
      <c r="J169" s="1">
        <v>-0.121615450643776</v>
      </c>
      <c r="K169" s="1" t="s">
        <v>61</v>
      </c>
      <c r="L169" s="1" t="s">
        <v>61</v>
      </c>
      <c r="M169" s="1" t="s">
        <v>62</v>
      </c>
      <c r="N169" s="1">
        <v>101.0</v>
      </c>
      <c r="O169" s="1">
        <v>0.0532875621890546</v>
      </c>
      <c r="P169" s="1" t="s">
        <v>61</v>
      </c>
      <c r="Q169" s="1" t="s">
        <v>61</v>
      </c>
    </row>
    <row r="170">
      <c r="A170" s="1" t="s">
        <v>15</v>
      </c>
      <c r="B170" s="1" t="s">
        <v>241</v>
      </c>
      <c r="C170" s="1" t="s">
        <v>21</v>
      </c>
      <c r="D170" s="1" t="s">
        <v>197</v>
      </c>
      <c r="E170" s="1" t="s">
        <v>146</v>
      </c>
      <c r="F170" s="1" t="s">
        <v>629</v>
      </c>
      <c r="G170" s="1">
        <v>23.5</v>
      </c>
      <c r="H170" s="1" t="s">
        <v>60</v>
      </c>
      <c r="I170" s="1">
        <v>-118.0</v>
      </c>
      <c r="J170" s="1">
        <v>0.0530073394495412</v>
      </c>
      <c r="K170" s="1" t="s">
        <v>61</v>
      </c>
      <c r="L170" s="1" t="s">
        <v>61</v>
      </c>
      <c r="M170" s="1" t="s">
        <v>62</v>
      </c>
      <c r="N170" s="1">
        <v>-111.0</v>
      </c>
      <c r="O170" s="1">
        <v>-0.120371563981042</v>
      </c>
      <c r="P170" s="1" t="s">
        <v>61</v>
      </c>
      <c r="Q170" s="1" t="s">
        <v>61</v>
      </c>
    </row>
    <row r="171">
      <c r="A171" s="1" t="s">
        <v>14</v>
      </c>
      <c r="B171" s="1" t="s">
        <v>338</v>
      </c>
      <c r="C171" s="1" t="s">
        <v>21</v>
      </c>
      <c r="D171" s="1" t="s">
        <v>156</v>
      </c>
      <c r="E171" s="1" t="s">
        <v>147</v>
      </c>
      <c r="F171" s="1" t="s">
        <v>629</v>
      </c>
      <c r="G171" s="1">
        <v>1.5</v>
      </c>
      <c r="H171" s="1" t="s">
        <v>60</v>
      </c>
      <c r="I171" s="1">
        <v>167.0</v>
      </c>
      <c r="J171" s="1">
        <v>0.0519681647940074</v>
      </c>
      <c r="K171" s="1" t="s">
        <v>61</v>
      </c>
      <c r="L171" s="1" t="s">
        <v>61</v>
      </c>
      <c r="M171" s="1" t="s">
        <v>62</v>
      </c>
      <c r="N171" s="1">
        <v>-219.0</v>
      </c>
      <c r="O171" s="1">
        <v>-0.113020376175548</v>
      </c>
      <c r="P171" s="1" t="s">
        <v>61</v>
      </c>
      <c r="Q171" s="1" t="s">
        <v>61</v>
      </c>
    </row>
    <row r="172">
      <c r="A172" s="1" t="s">
        <v>9</v>
      </c>
      <c r="B172" s="1" t="s">
        <v>414</v>
      </c>
      <c r="C172" s="1" t="s">
        <v>18</v>
      </c>
      <c r="D172" s="1" t="s">
        <v>89</v>
      </c>
      <c r="E172" s="1" t="s">
        <v>67</v>
      </c>
      <c r="F172" s="1" t="s">
        <v>629</v>
      </c>
      <c r="G172" s="1">
        <v>28.5</v>
      </c>
      <c r="H172" s="1" t="s">
        <v>60</v>
      </c>
      <c r="I172" s="1">
        <v>-116.0</v>
      </c>
      <c r="J172" s="1">
        <v>0.0519343448205625</v>
      </c>
      <c r="K172" s="1" t="s">
        <v>61</v>
      </c>
      <c r="L172" s="1" t="s">
        <v>61</v>
      </c>
      <c r="M172" s="1" t="s">
        <v>62</v>
      </c>
      <c r="N172" s="1">
        <v>-116.0</v>
      </c>
      <c r="O172" s="1">
        <v>-0.125987839991852</v>
      </c>
      <c r="P172" s="1" t="s">
        <v>61</v>
      </c>
      <c r="Q172" s="1" t="s">
        <v>61</v>
      </c>
    </row>
    <row r="173">
      <c r="A173" s="1" t="s">
        <v>11</v>
      </c>
      <c r="B173" s="1" t="s">
        <v>446</v>
      </c>
      <c r="C173" s="1" t="s">
        <v>19</v>
      </c>
      <c r="D173" s="1" t="s">
        <v>197</v>
      </c>
      <c r="E173" s="1" t="s">
        <v>146</v>
      </c>
      <c r="F173" s="1" t="s">
        <v>629</v>
      </c>
      <c r="G173" s="1">
        <v>8.5</v>
      </c>
      <c r="H173" s="1" t="s">
        <v>60</v>
      </c>
      <c r="I173" s="1">
        <v>-109.0</v>
      </c>
      <c r="J173" s="1">
        <v>0.0510699234645521</v>
      </c>
      <c r="K173" s="1" t="s">
        <v>61</v>
      </c>
      <c r="L173" s="1" t="s">
        <v>61</v>
      </c>
      <c r="M173" s="1" t="s">
        <v>62</v>
      </c>
      <c r="N173" s="1">
        <v>-118.0</v>
      </c>
      <c r="O173" s="1">
        <v>-0.113819919838659</v>
      </c>
      <c r="P173" s="1" t="s">
        <v>61</v>
      </c>
      <c r="Q173" s="1" t="s">
        <v>61</v>
      </c>
    </row>
    <row r="174">
      <c r="A174" s="1" t="s">
        <v>11</v>
      </c>
      <c r="B174" s="1" t="s">
        <v>490</v>
      </c>
      <c r="C174" s="1" t="s">
        <v>19</v>
      </c>
      <c r="D174" s="1" t="s">
        <v>82</v>
      </c>
      <c r="E174" s="1" t="s">
        <v>109</v>
      </c>
      <c r="F174" s="1" t="s">
        <v>629</v>
      </c>
      <c r="G174" s="1">
        <v>23.5</v>
      </c>
      <c r="H174" s="1" t="s">
        <v>60</v>
      </c>
      <c r="I174" s="1">
        <v>-115.0</v>
      </c>
      <c r="J174" s="1">
        <v>-0.111846713102651</v>
      </c>
      <c r="K174" s="1" t="s">
        <v>61</v>
      </c>
      <c r="L174" s="1" t="s">
        <v>61</v>
      </c>
      <c r="M174" s="1" t="s">
        <v>62</v>
      </c>
      <c r="N174" s="1">
        <v>-111.0</v>
      </c>
      <c r="O174" s="1">
        <v>0.0509180003883779</v>
      </c>
      <c r="P174" s="1" t="s">
        <v>61</v>
      </c>
      <c r="Q174" s="1" t="s">
        <v>61</v>
      </c>
    </row>
    <row r="175">
      <c r="A175" s="1" t="s">
        <v>12</v>
      </c>
      <c r="B175" s="1" t="s">
        <v>446</v>
      </c>
      <c r="C175" s="1" t="s">
        <v>19</v>
      </c>
      <c r="D175" s="1" t="s">
        <v>197</v>
      </c>
      <c r="E175" s="1" t="s">
        <v>146</v>
      </c>
      <c r="F175" s="1" t="s">
        <v>629</v>
      </c>
      <c r="G175" s="1">
        <v>1.5</v>
      </c>
      <c r="H175" s="1" t="s">
        <v>60</v>
      </c>
      <c r="I175" s="1">
        <v>107.0</v>
      </c>
      <c r="J175" s="1">
        <v>-0.116933060932125</v>
      </c>
      <c r="K175" s="1" t="s">
        <v>61</v>
      </c>
      <c r="L175" s="1" t="s">
        <v>61</v>
      </c>
      <c r="M175" s="1" t="s">
        <v>62</v>
      </c>
      <c r="N175" s="1">
        <v>-140.0</v>
      </c>
      <c r="O175" s="1">
        <v>0.0505132439958333</v>
      </c>
      <c r="P175" s="1" t="s">
        <v>61</v>
      </c>
      <c r="Q175" s="1" t="s">
        <v>61</v>
      </c>
    </row>
    <row r="176">
      <c r="A176" s="1" t="s">
        <v>12</v>
      </c>
      <c r="B176" s="1" t="s">
        <v>475</v>
      </c>
      <c r="C176" s="1" t="s">
        <v>18</v>
      </c>
      <c r="D176" s="1" t="s">
        <v>94</v>
      </c>
      <c r="E176" s="1" t="s">
        <v>71</v>
      </c>
      <c r="F176" s="1" t="s">
        <v>629</v>
      </c>
      <c r="G176" s="1">
        <v>3.5</v>
      </c>
      <c r="H176" s="1" t="s">
        <v>60</v>
      </c>
      <c r="I176" s="1">
        <v>-128.0</v>
      </c>
      <c r="J176" s="1">
        <v>-0.118971929824561</v>
      </c>
      <c r="K176" s="1" t="s">
        <v>61</v>
      </c>
      <c r="L176" s="1" t="s">
        <v>61</v>
      </c>
      <c r="M176" s="1" t="s">
        <v>62</v>
      </c>
      <c r="N176" s="1">
        <v>-103.0</v>
      </c>
      <c r="O176" s="1">
        <v>0.0501586206896551</v>
      </c>
      <c r="P176" s="1" t="s">
        <v>61</v>
      </c>
      <c r="Q176" s="1" t="s">
        <v>61</v>
      </c>
    </row>
    <row r="177">
      <c r="A177" s="1" t="s">
        <v>8</v>
      </c>
      <c r="B177" s="1" t="s">
        <v>155</v>
      </c>
      <c r="C177" s="1" t="s">
        <v>19</v>
      </c>
      <c r="D177" s="1" t="s">
        <v>156</v>
      </c>
      <c r="E177" s="1" t="s">
        <v>147</v>
      </c>
      <c r="F177" s="1" t="s">
        <v>629</v>
      </c>
      <c r="G177" s="1">
        <v>17.5</v>
      </c>
      <c r="H177" s="1" t="s">
        <v>60</v>
      </c>
      <c r="I177" s="1">
        <v>-120.0</v>
      </c>
      <c r="J177" s="1">
        <v>0.0479454545454546</v>
      </c>
      <c r="K177" s="1" t="s">
        <v>61</v>
      </c>
      <c r="L177" s="1" t="s">
        <v>61</v>
      </c>
      <c r="M177" s="1" t="s">
        <v>62</v>
      </c>
      <c r="N177" s="1">
        <v>-112.0</v>
      </c>
      <c r="O177" s="1">
        <v>-0.121701886792452</v>
      </c>
      <c r="P177" s="1" t="s">
        <v>61</v>
      </c>
      <c r="Q177" s="1" t="s">
        <v>61</v>
      </c>
    </row>
    <row r="178">
      <c r="A178" s="1" t="s">
        <v>15</v>
      </c>
      <c r="B178" s="1" t="s">
        <v>275</v>
      </c>
      <c r="C178" s="1" t="s">
        <v>21</v>
      </c>
      <c r="D178" s="1" t="s">
        <v>100</v>
      </c>
      <c r="E178" s="1" t="s">
        <v>104</v>
      </c>
      <c r="F178" s="1" t="s">
        <v>629</v>
      </c>
      <c r="G178" s="1">
        <v>16.5</v>
      </c>
      <c r="H178" s="1" t="s">
        <v>60</v>
      </c>
      <c r="I178" s="1">
        <v>-127.0</v>
      </c>
      <c r="J178" s="1">
        <v>-0.106634988312775</v>
      </c>
      <c r="K178" s="1" t="s">
        <v>61</v>
      </c>
      <c r="L178" s="1" t="s">
        <v>61</v>
      </c>
      <c r="M178" s="1" t="s">
        <v>62</v>
      </c>
      <c r="N178" s="1">
        <v>100.0</v>
      </c>
      <c r="O178" s="1">
        <v>0.0471452117349999</v>
      </c>
      <c r="P178" s="1" t="s">
        <v>61</v>
      </c>
      <c r="Q178" s="1" t="s">
        <v>61</v>
      </c>
    </row>
    <row r="179">
      <c r="A179" s="1" t="s">
        <v>10</v>
      </c>
      <c r="B179" s="1" t="s">
        <v>293</v>
      </c>
      <c r="C179" s="1" t="s">
        <v>19</v>
      </c>
      <c r="D179" s="1" t="s">
        <v>67</v>
      </c>
      <c r="E179" s="1" t="s">
        <v>89</v>
      </c>
      <c r="F179" s="1" t="s">
        <v>629</v>
      </c>
      <c r="G179" s="1">
        <v>48.5</v>
      </c>
      <c r="H179" s="1" t="s">
        <v>60</v>
      </c>
      <c r="I179" s="1">
        <v>-116.0</v>
      </c>
      <c r="J179" s="1">
        <v>-0.114025736785734</v>
      </c>
      <c r="K179" s="1" t="s">
        <v>61</v>
      </c>
      <c r="L179" s="1" t="s">
        <v>61</v>
      </c>
      <c r="M179" s="1" t="s">
        <v>62</v>
      </c>
      <c r="N179" s="1">
        <v>-113.0</v>
      </c>
      <c r="O179" s="1">
        <v>0.0464705089670279</v>
      </c>
      <c r="P179" s="1" t="s">
        <v>61</v>
      </c>
      <c r="Q179" s="1" t="s">
        <v>61</v>
      </c>
    </row>
    <row r="180">
      <c r="A180" s="1" t="s">
        <v>11</v>
      </c>
      <c r="B180" s="1" t="s">
        <v>340</v>
      </c>
      <c r="C180" s="1" t="s">
        <v>19</v>
      </c>
      <c r="D180" s="1" t="s">
        <v>100</v>
      </c>
      <c r="E180" s="1" t="s">
        <v>104</v>
      </c>
      <c r="F180" s="1" t="s">
        <v>629</v>
      </c>
      <c r="G180" s="1">
        <v>25.5</v>
      </c>
      <c r="H180" s="1" t="s">
        <v>60</v>
      </c>
      <c r="I180" s="1">
        <v>-111.0</v>
      </c>
      <c r="J180" s="1">
        <v>-0.113738794990341</v>
      </c>
      <c r="K180" s="1" t="s">
        <v>61</v>
      </c>
      <c r="L180" s="1" t="s">
        <v>61</v>
      </c>
      <c r="M180" s="1" t="s">
        <v>62</v>
      </c>
      <c r="N180" s="1">
        <v>-118.0</v>
      </c>
      <c r="O180" s="1">
        <v>0.046412546682088</v>
      </c>
      <c r="P180" s="1" t="s">
        <v>61</v>
      </c>
      <c r="Q180" s="1" t="s">
        <v>61</v>
      </c>
    </row>
    <row r="181">
      <c r="A181" s="1" t="s">
        <v>9</v>
      </c>
      <c r="B181" s="1" t="s">
        <v>536</v>
      </c>
      <c r="C181" s="1" t="s">
        <v>19</v>
      </c>
      <c r="D181" s="1" t="s">
        <v>157</v>
      </c>
      <c r="E181" s="1" t="s">
        <v>72</v>
      </c>
      <c r="F181" s="1" t="s">
        <v>629</v>
      </c>
      <c r="G181" s="1">
        <v>33.5</v>
      </c>
      <c r="H181" s="1" t="s">
        <v>60</v>
      </c>
      <c r="I181" s="1">
        <v>-116.0</v>
      </c>
      <c r="J181" s="1">
        <v>0.0463800596672762</v>
      </c>
      <c r="K181" s="1" t="s">
        <v>61</v>
      </c>
      <c r="L181" s="1" t="s">
        <v>61</v>
      </c>
      <c r="M181" s="1" t="s">
        <v>62</v>
      </c>
      <c r="N181" s="1">
        <v>-119.0</v>
      </c>
      <c r="O181" s="1">
        <v>-0.126746952223181</v>
      </c>
      <c r="P181" s="1" t="s">
        <v>61</v>
      </c>
      <c r="Q181" s="1" t="s">
        <v>61</v>
      </c>
    </row>
    <row r="182">
      <c r="A182" s="1" t="s">
        <v>17</v>
      </c>
      <c r="B182" s="1" t="s">
        <v>318</v>
      </c>
      <c r="C182" s="1" t="s">
        <v>21</v>
      </c>
      <c r="D182" s="1" t="s">
        <v>67</v>
      </c>
      <c r="E182" s="1" t="s">
        <v>89</v>
      </c>
      <c r="F182" s="1" t="s">
        <v>629</v>
      </c>
      <c r="G182" s="1">
        <v>0.5</v>
      </c>
      <c r="H182" s="1" t="s">
        <v>60</v>
      </c>
      <c r="I182" s="1">
        <v>-123.0</v>
      </c>
      <c r="J182" s="1">
        <v>-0.111869506726457</v>
      </c>
      <c r="K182" s="1" t="s">
        <v>61</v>
      </c>
      <c r="L182" s="1" t="s">
        <v>61</v>
      </c>
      <c r="M182" s="1" t="s">
        <v>62</v>
      </c>
      <c r="N182" s="1">
        <v>-106.0</v>
      </c>
      <c r="O182" s="1">
        <v>0.0457368932038835</v>
      </c>
      <c r="P182" s="1" t="s">
        <v>61</v>
      </c>
      <c r="Q182" s="1" t="s">
        <v>61</v>
      </c>
    </row>
    <row r="183">
      <c r="A183" s="1" t="s">
        <v>14</v>
      </c>
      <c r="B183" s="1" t="s">
        <v>200</v>
      </c>
      <c r="C183" s="1" t="s">
        <v>21</v>
      </c>
      <c r="D183" s="1" t="s">
        <v>71</v>
      </c>
      <c r="E183" s="1" t="s">
        <v>94</v>
      </c>
      <c r="F183" s="1" t="s">
        <v>629</v>
      </c>
      <c r="G183" s="1">
        <v>1.5</v>
      </c>
      <c r="H183" s="1" t="s">
        <v>60</v>
      </c>
      <c r="I183" s="1">
        <v>201.0</v>
      </c>
      <c r="J183" s="1">
        <v>0.0454740863787375</v>
      </c>
      <c r="K183" s="1" t="s">
        <v>61</v>
      </c>
      <c r="L183" s="1" t="s">
        <v>61</v>
      </c>
      <c r="M183" s="1" t="s">
        <v>62</v>
      </c>
      <c r="N183" s="1">
        <v>-269.0</v>
      </c>
      <c r="O183" s="1">
        <v>-0.106697289972899</v>
      </c>
      <c r="P183" s="1" t="s">
        <v>61</v>
      </c>
      <c r="Q183" s="1" t="s">
        <v>61</v>
      </c>
    </row>
    <row r="184">
      <c r="A184" s="1" t="s">
        <v>11</v>
      </c>
      <c r="B184" s="1" t="s">
        <v>304</v>
      </c>
      <c r="C184" s="1" t="s">
        <v>19</v>
      </c>
      <c r="D184" s="1" t="s">
        <v>146</v>
      </c>
      <c r="E184" s="1" t="s">
        <v>197</v>
      </c>
      <c r="F184" s="1" t="s">
        <v>629</v>
      </c>
      <c r="G184" s="1">
        <v>23.5</v>
      </c>
      <c r="H184" s="1" t="s">
        <v>60</v>
      </c>
      <c r="I184" s="1">
        <v>-117.0</v>
      </c>
      <c r="J184" s="1">
        <v>-0.11024547823194</v>
      </c>
      <c r="K184" s="1" t="s">
        <v>61</v>
      </c>
      <c r="L184" s="1" t="s">
        <v>61</v>
      </c>
      <c r="M184" s="1" t="s">
        <v>62</v>
      </c>
      <c r="N184" s="1">
        <v>-111.0</v>
      </c>
      <c r="O184" s="1">
        <v>0.0450900158375707</v>
      </c>
      <c r="P184" s="1" t="s">
        <v>61</v>
      </c>
      <c r="Q184" s="1" t="s">
        <v>61</v>
      </c>
    </row>
    <row r="185">
      <c r="A185" s="1" t="s">
        <v>12</v>
      </c>
      <c r="B185" s="1" t="s">
        <v>355</v>
      </c>
      <c r="C185" s="1" t="s">
        <v>18</v>
      </c>
      <c r="D185" s="1" t="s">
        <v>109</v>
      </c>
      <c r="E185" s="1" t="s">
        <v>82</v>
      </c>
      <c r="F185" s="1" t="s">
        <v>629</v>
      </c>
      <c r="G185" s="1">
        <v>4.5</v>
      </c>
      <c r="H185" s="1" t="s">
        <v>60</v>
      </c>
      <c r="I185" s="1">
        <v>-122.0</v>
      </c>
      <c r="J185" s="1">
        <v>-0.112004504504504</v>
      </c>
      <c r="K185" s="1" t="s">
        <v>61</v>
      </c>
      <c r="L185" s="1" t="s">
        <v>61</v>
      </c>
      <c r="M185" s="1" t="s">
        <v>62</v>
      </c>
      <c r="N185" s="1">
        <v>-108.0</v>
      </c>
      <c r="O185" s="1">
        <v>0.0432173076923078</v>
      </c>
      <c r="P185" s="1" t="s">
        <v>61</v>
      </c>
      <c r="Q185" s="1" t="s">
        <v>61</v>
      </c>
    </row>
    <row r="186">
      <c r="A186" s="1" t="s">
        <v>11</v>
      </c>
      <c r="B186" s="1" t="s">
        <v>619</v>
      </c>
      <c r="C186" s="1" t="s">
        <v>18</v>
      </c>
      <c r="D186" s="1" t="s">
        <v>72</v>
      </c>
      <c r="E186" s="1" t="s">
        <v>157</v>
      </c>
      <c r="F186" s="1" t="s">
        <v>629</v>
      </c>
      <c r="G186" s="1">
        <v>15.5</v>
      </c>
      <c r="H186" s="1" t="s">
        <v>60</v>
      </c>
      <c r="I186" s="1">
        <v>-112.0</v>
      </c>
      <c r="J186" s="1">
        <v>0.040398398419264</v>
      </c>
      <c r="K186" s="1" t="s">
        <v>61</v>
      </c>
      <c r="L186" s="1" t="s">
        <v>61</v>
      </c>
      <c r="M186" s="1" t="s">
        <v>62</v>
      </c>
      <c r="N186" s="1">
        <v>-117.0</v>
      </c>
      <c r="O186" s="1">
        <v>-0.107813616331402</v>
      </c>
      <c r="P186" s="1" t="s">
        <v>61</v>
      </c>
      <c r="Q186" s="1" t="s">
        <v>61</v>
      </c>
    </row>
    <row r="187">
      <c r="A187" s="1" t="s">
        <v>16</v>
      </c>
      <c r="B187" s="1" t="s">
        <v>434</v>
      </c>
      <c r="C187" s="1" t="s">
        <v>21</v>
      </c>
      <c r="D187" s="1" t="s">
        <v>104</v>
      </c>
      <c r="E187" s="1" t="s">
        <v>100</v>
      </c>
      <c r="F187" s="1" t="s">
        <v>629</v>
      </c>
      <c r="G187" s="1">
        <v>28.5</v>
      </c>
      <c r="H187" s="1" t="s">
        <v>60</v>
      </c>
      <c r="I187" s="1">
        <v>-110.0</v>
      </c>
      <c r="J187" s="1">
        <v>-0.107208687095238</v>
      </c>
      <c r="K187" s="1" t="s">
        <v>61</v>
      </c>
      <c r="L187" s="1" t="s">
        <v>61</v>
      </c>
      <c r="M187" s="1" t="s">
        <v>62</v>
      </c>
      <c r="N187" s="1">
        <v>-119.0</v>
      </c>
      <c r="O187" s="1">
        <v>0.0400200497949773</v>
      </c>
      <c r="P187" s="1" t="s">
        <v>61</v>
      </c>
      <c r="Q187" s="1" t="s">
        <v>61</v>
      </c>
    </row>
    <row r="188">
      <c r="A188" s="1" t="s">
        <v>11</v>
      </c>
      <c r="B188" s="1" t="s">
        <v>270</v>
      </c>
      <c r="C188" s="1" t="s">
        <v>19</v>
      </c>
      <c r="D188" s="1" t="s">
        <v>147</v>
      </c>
      <c r="E188" s="1" t="s">
        <v>156</v>
      </c>
      <c r="F188" s="1" t="s">
        <v>629</v>
      </c>
      <c r="G188" s="1">
        <v>9.5</v>
      </c>
      <c r="H188" s="1" t="s">
        <v>60</v>
      </c>
      <c r="I188" s="1">
        <v>-103.0</v>
      </c>
      <c r="J188" s="1">
        <v>0.0391956417331027</v>
      </c>
      <c r="K188" s="1" t="s">
        <v>61</v>
      </c>
      <c r="L188" s="1" t="s">
        <v>61</v>
      </c>
      <c r="M188" s="1" t="s">
        <v>62</v>
      </c>
      <c r="N188" s="1">
        <v>-124.0</v>
      </c>
      <c r="O188" s="1">
        <v>-0.100129602397574</v>
      </c>
      <c r="P188" s="1" t="s">
        <v>61</v>
      </c>
      <c r="Q188" s="1" t="s">
        <v>61</v>
      </c>
    </row>
    <row r="189">
      <c r="A189" s="1" t="s">
        <v>9</v>
      </c>
      <c r="B189" s="1" t="s">
        <v>293</v>
      </c>
      <c r="C189" s="1" t="s">
        <v>19</v>
      </c>
      <c r="D189" s="1" t="s">
        <v>67</v>
      </c>
      <c r="E189" s="1" t="s">
        <v>89</v>
      </c>
      <c r="F189" s="1" t="s">
        <v>629</v>
      </c>
      <c r="G189" s="1">
        <v>68.5</v>
      </c>
      <c r="H189" s="1" t="s">
        <v>60</v>
      </c>
      <c r="I189" s="1">
        <v>-114.0</v>
      </c>
      <c r="J189" s="1">
        <v>-0.111034495187282</v>
      </c>
      <c r="K189" s="1" t="s">
        <v>61</v>
      </c>
      <c r="L189" s="1" t="s">
        <v>61</v>
      </c>
      <c r="M189" s="1" t="s">
        <v>62</v>
      </c>
      <c r="N189" s="1">
        <v>-117.0</v>
      </c>
      <c r="O189" s="1">
        <v>0.0391574327418977</v>
      </c>
      <c r="P189" s="1" t="s">
        <v>61</v>
      </c>
      <c r="Q189" s="1" t="s">
        <v>61</v>
      </c>
    </row>
    <row r="190">
      <c r="A190" s="1" t="s">
        <v>9</v>
      </c>
      <c r="B190" s="1" t="s">
        <v>559</v>
      </c>
      <c r="C190" s="1" t="s">
        <v>18</v>
      </c>
      <c r="D190" s="1" t="s">
        <v>100</v>
      </c>
      <c r="E190" s="1" t="s">
        <v>104</v>
      </c>
      <c r="F190" s="1" t="s">
        <v>629</v>
      </c>
      <c r="G190" s="1">
        <v>25.5</v>
      </c>
      <c r="H190" s="1" t="s">
        <v>60</v>
      </c>
      <c r="I190" s="1">
        <v>-110.0</v>
      </c>
      <c r="J190" s="1">
        <v>0.0391158730779358</v>
      </c>
      <c r="K190" s="1" t="s">
        <v>61</v>
      </c>
      <c r="L190" s="1" t="s">
        <v>61</v>
      </c>
      <c r="M190" s="1" t="s">
        <v>62</v>
      </c>
      <c r="N190" s="1">
        <v>-120.0</v>
      </c>
      <c r="O190" s="1">
        <v>-0.108412727343817</v>
      </c>
      <c r="P190" s="1" t="s">
        <v>61</v>
      </c>
      <c r="Q190" s="1" t="s">
        <v>61</v>
      </c>
    </row>
    <row r="191">
      <c r="A191" s="1" t="s">
        <v>10</v>
      </c>
      <c r="B191" s="1" t="s">
        <v>630</v>
      </c>
      <c r="C191" s="1" t="s">
        <v>19</v>
      </c>
      <c r="D191" s="1" t="s">
        <v>89</v>
      </c>
      <c r="E191" s="1" t="s">
        <v>67</v>
      </c>
      <c r="F191" s="1" t="s">
        <v>629</v>
      </c>
      <c r="G191" s="1">
        <v>19.5</v>
      </c>
      <c r="H191" s="1" t="s">
        <v>60</v>
      </c>
      <c r="I191" s="1">
        <v>-108.0</v>
      </c>
      <c r="J191" s="1">
        <v>-0.105262732387104</v>
      </c>
      <c r="K191" s="1" t="s">
        <v>61</v>
      </c>
      <c r="L191" s="1" t="s">
        <v>61</v>
      </c>
      <c r="M191" s="1" t="s">
        <v>62</v>
      </c>
      <c r="N191" s="1">
        <v>-121.0</v>
      </c>
      <c r="O191" s="1">
        <v>0.0385667352361375</v>
      </c>
      <c r="P191" s="1" t="s">
        <v>61</v>
      </c>
      <c r="Q191" s="1" t="s">
        <v>61</v>
      </c>
    </row>
    <row r="192">
      <c r="A192" s="1" t="s">
        <v>15</v>
      </c>
      <c r="B192" s="1" t="s">
        <v>338</v>
      </c>
      <c r="C192" s="1" t="s">
        <v>21</v>
      </c>
      <c r="D192" s="1" t="s">
        <v>156</v>
      </c>
      <c r="E192" s="1" t="s">
        <v>147</v>
      </c>
      <c r="F192" s="1" t="s">
        <v>629</v>
      </c>
      <c r="G192" s="1">
        <v>19.5</v>
      </c>
      <c r="H192" s="1" t="s">
        <v>60</v>
      </c>
      <c r="I192" s="1">
        <v>-109.0</v>
      </c>
      <c r="J192" s="1">
        <v>0.0385209533971292</v>
      </c>
      <c r="K192" s="1" t="s">
        <v>61</v>
      </c>
      <c r="L192" s="1" t="s">
        <v>61</v>
      </c>
      <c r="M192" s="1" t="s">
        <v>62</v>
      </c>
      <c r="N192" s="1">
        <v>-121.0</v>
      </c>
      <c r="O192" s="1">
        <v>-0.10757087739638</v>
      </c>
      <c r="P192" s="1" t="s">
        <v>61</v>
      </c>
      <c r="Q192" s="1" t="s">
        <v>61</v>
      </c>
    </row>
    <row r="193">
      <c r="A193" s="1" t="s">
        <v>15</v>
      </c>
      <c r="B193" s="1" t="s">
        <v>434</v>
      </c>
      <c r="C193" s="1" t="s">
        <v>21</v>
      </c>
      <c r="D193" s="1" t="s">
        <v>104</v>
      </c>
      <c r="E193" s="1" t="s">
        <v>100</v>
      </c>
      <c r="F193" s="1" t="s">
        <v>629</v>
      </c>
      <c r="G193" s="1">
        <v>18.5</v>
      </c>
      <c r="H193" s="1" t="s">
        <v>60</v>
      </c>
      <c r="I193" s="1">
        <v>-125.0</v>
      </c>
      <c r="J193" s="1">
        <v>-0.104699190755555</v>
      </c>
      <c r="K193" s="1" t="s">
        <v>61</v>
      </c>
      <c r="L193" s="1" t="s">
        <v>61</v>
      </c>
      <c r="M193" s="1" t="s">
        <v>62</v>
      </c>
      <c r="N193" s="1">
        <v>-105.0</v>
      </c>
      <c r="O193" s="1">
        <v>0.0369551649560976</v>
      </c>
      <c r="P193" s="1" t="s">
        <v>61</v>
      </c>
      <c r="Q193" s="1" t="s">
        <v>61</v>
      </c>
    </row>
    <row r="194">
      <c r="A194" s="1" t="s">
        <v>13</v>
      </c>
      <c r="B194" s="1" t="s">
        <v>145</v>
      </c>
      <c r="C194" s="1" t="s">
        <v>21</v>
      </c>
      <c r="D194" s="1" t="s">
        <v>146</v>
      </c>
      <c r="E194" s="1" t="s">
        <v>197</v>
      </c>
      <c r="F194" s="1" t="s">
        <v>629</v>
      </c>
      <c r="G194" s="1">
        <v>264.5</v>
      </c>
      <c r="H194" s="1" t="s">
        <v>60</v>
      </c>
      <c r="I194" s="1">
        <v>-114.0</v>
      </c>
      <c r="J194" s="1">
        <v>-0.101903738317756</v>
      </c>
      <c r="K194" s="1" t="s">
        <v>61</v>
      </c>
      <c r="L194" s="1" t="s">
        <v>61</v>
      </c>
      <c r="M194" s="1" t="s">
        <v>62</v>
      </c>
      <c r="N194" s="1">
        <v>-114.0</v>
      </c>
      <c r="O194" s="1">
        <v>0.0364962616822427</v>
      </c>
      <c r="P194" s="1" t="s">
        <v>61</v>
      </c>
      <c r="Q194" s="1" t="s">
        <v>61</v>
      </c>
    </row>
    <row r="195">
      <c r="A195" s="1" t="s">
        <v>10</v>
      </c>
      <c r="B195" s="1" t="s">
        <v>342</v>
      </c>
      <c r="C195" s="1" t="s">
        <v>19</v>
      </c>
      <c r="D195" s="1" t="s">
        <v>104</v>
      </c>
      <c r="E195" s="1" t="s">
        <v>100</v>
      </c>
      <c r="F195" s="1" t="s">
        <v>629</v>
      </c>
      <c r="G195" s="1">
        <v>21.5</v>
      </c>
      <c r="H195" s="1" t="s">
        <v>60</v>
      </c>
      <c r="I195" s="1">
        <v>-110.0</v>
      </c>
      <c r="J195" s="1">
        <v>-0.102870938649261</v>
      </c>
      <c r="K195" s="1" t="s">
        <v>61</v>
      </c>
      <c r="L195" s="1" t="s">
        <v>61</v>
      </c>
      <c r="M195" s="1" t="s">
        <v>62</v>
      </c>
      <c r="N195" s="1">
        <v>-119.0</v>
      </c>
      <c r="O195" s="1">
        <v>0.0357193039655276</v>
      </c>
      <c r="P195" s="1" t="s">
        <v>61</v>
      </c>
      <c r="Q195" s="1" t="s">
        <v>61</v>
      </c>
    </row>
    <row r="196">
      <c r="A196" s="1" t="s">
        <v>13</v>
      </c>
      <c r="B196" s="1" t="s">
        <v>462</v>
      </c>
      <c r="C196" s="1" t="s">
        <v>21</v>
      </c>
      <c r="D196" s="1" t="s">
        <v>89</v>
      </c>
      <c r="E196" s="1" t="s">
        <v>67</v>
      </c>
      <c r="F196" s="1" t="s">
        <v>629</v>
      </c>
      <c r="G196" s="1">
        <v>180.5</v>
      </c>
      <c r="H196" s="1" t="s">
        <v>60</v>
      </c>
      <c r="I196" s="1">
        <v>-113.0</v>
      </c>
      <c r="J196" s="1">
        <v>0.0355737137558682</v>
      </c>
      <c r="K196" s="1" t="s">
        <v>61</v>
      </c>
      <c r="L196" s="1" t="s">
        <v>61</v>
      </c>
      <c r="M196" s="1" t="s">
        <v>62</v>
      </c>
      <c r="N196" s="1">
        <v>-112.0</v>
      </c>
      <c r="O196" s="1">
        <v>-0.0942780431773582</v>
      </c>
      <c r="P196" s="1" t="s">
        <v>61</v>
      </c>
      <c r="Q196" s="1" t="s">
        <v>61</v>
      </c>
    </row>
    <row r="197">
      <c r="A197" s="1" t="s">
        <v>9</v>
      </c>
      <c r="B197" s="1" t="s">
        <v>534</v>
      </c>
      <c r="C197" s="1" t="s">
        <v>18</v>
      </c>
      <c r="D197" s="1" t="s">
        <v>197</v>
      </c>
      <c r="E197" s="1" t="s">
        <v>146</v>
      </c>
      <c r="F197" s="1" t="s">
        <v>629</v>
      </c>
      <c r="G197" s="1">
        <v>23.5</v>
      </c>
      <c r="H197" s="1" t="s">
        <v>60</v>
      </c>
      <c r="I197" s="1">
        <v>-114.0</v>
      </c>
      <c r="J197" s="1">
        <v>0.0355023975018854</v>
      </c>
      <c r="K197" s="1" t="s">
        <v>61</v>
      </c>
      <c r="L197" s="1" t="s">
        <v>61</v>
      </c>
      <c r="M197" s="1" t="s">
        <v>62</v>
      </c>
      <c r="N197" s="1">
        <v>-119.0</v>
      </c>
      <c r="O197" s="1">
        <v>-0.111544888346256</v>
      </c>
      <c r="P197" s="1" t="s">
        <v>61</v>
      </c>
      <c r="Q197" s="1" t="s">
        <v>61</v>
      </c>
    </row>
    <row r="198">
      <c r="A198" s="1" t="s">
        <v>9</v>
      </c>
      <c r="B198" s="1" t="s">
        <v>483</v>
      </c>
      <c r="C198" s="1" t="s">
        <v>18</v>
      </c>
      <c r="D198" s="1" t="s">
        <v>147</v>
      </c>
      <c r="E198" s="1" t="s">
        <v>156</v>
      </c>
      <c r="F198" s="1" t="s">
        <v>629</v>
      </c>
      <c r="G198" s="1">
        <v>30.5</v>
      </c>
      <c r="H198" s="1" t="s">
        <v>60</v>
      </c>
      <c r="I198" s="1">
        <v>-110.0</v>
      </c>
      <c r="J198" s="1">
        <v>0.035050164936723</v>
      </c>
      <c r="K198" s="1" t="s">
        <v>61</v>
      </c>
      <c r="L198" s="1" t="s">
        <v>61</v>
      </c>
      <c r="M198" s="1" t="s">
        <v>62</v>
      </c>
      <c r="N198" s="1">
        <v>-120.0</v>
      </c>
      <c r="O198" s="1">
        <v>-0.1043083707457</v>
      </c>
      <c r="P198" s="1" t="s">
        <v>61</v>
      </c>
      <c r="Q198" s="1" t="s">
        <v>61</v>
      </c>
    </row>
    <row r="199">
      <c r="A199" s="1" t="s">
        <v>10</v>
      </c>
      <c r="B199" s="1" t="s">
        <v>462</v>
      </c>
      <c r="C199" s="1" t="s">
        <v>21</v>
      </c>
      <c r="D199" s="1" t="s">
        <v>89</v>
      </c>
      <c r="E199" s="1" t="s">
        <v>67</v>
      </c>
      <c r="F199" s="1" t="s">
        <v>629</v>
      </c>
      <c r="G199" s="1">
        <v>25.5</v>
      </c>
      <c r="H199" s="1" t="s">
        <v>60</v>
      </c>
      <c r="I199" s="1">
        <v>-115.0</v>
      </c>
      <c r="J199" s="1">
        <v>-0.102557751610649</v>
      </c>
      <c r="K199" s="1" t="s">
        <v>61</v>
      </c>
      <c r="L199" s="1" t="s">
        <v>61</v>
      </c>
      <c r="M199" s="1" t="s">
        <v>62</v>
      </c>
      <c r="N199" s="1">
        <v>-114.0</v>
      </c>
      <c r="O199" s="1">
        <v>0.034989041681169</v>
      </c>
      <c r="P199" s="1" t="s">
        <v>61</v>
      </c>
      <c r="Q199" s="1" t="s">
        <v>61</v>
      </c>
    </row>
    <row r="200">
      <c r="A200" s="1" t="s">
        <v>16</v>
      </c>
      <c r="B200" s="1" t="s">
        <v>200</v>
      </c>
      <c r="C200" s="1" t="s">
        <v>21</v>
      </c>
      <c r="D200" s="1" t="s">
        <v>71</v>
      </c>
      <c r="E200" s="1" t="s">
        <v>94</v>
      </c>
      <c r="F200" s="1" t="s">
        <v>629</v>
      </c>
      <c r="G200" s="1">
        <v>26.5</v>
      </c>
      <c r="H200" s="1" t="s">
        <v>60</v>
      </c>
      <c r="I200" s="1">
        <v>-120.0</v>
      </c>
      <c r="J200" s="1">
        <v>-0.101054282486363</v>
      </c>
      <c r="K200" s="1" t="s">
        <v>61</v>
      </c>
      <c r="L200" s="1" t="s">
        <v>61</v>
      </c>
      <c r="M200" s="1" t="s">
        <v>62</v>
      </c>
      <c r="N200" s="1">
        <v>-109.0</v>
      </c>
      <c r="O200" s="1">
        <v>0.0340685978001434</v>
      </c>
      <c r="P200" s="1" t="s">
        <v>61</v>
      </c>
      <c r="Q200" s="1" t="s">
        <v>61</v>
      </c>
    </row>
    <row r="201">
      <c r="A201" s="1" t="s">
        <v>9</v>
      </c>
      <c r="B201" s="1" t="s">
        <v>391</v>
      </c>
      <c r="C201" s="1" t="s">
        <v>18</v>
      </c>
      <c r="D201" s="1" t="s">
        <v>71</v>
      </c>
      <c r="E201" s="1" t="s">
        <v>94</v>
      </c>
      <c r="F201" s="1" t="s">
        <v>629</v>
      </c>
      <c r="G201" s="1">
        <v>45.5</v>
      </c>
      <c r="H201" s="1" t="s">
        <v>60</v>
      </c>
      <c r="I201" s="1">
        <v>-113.0</v>
      </c>
      <c r="J201" s="1">
        <v>0.0335303014724142</v>
      </c>
      <c r="K201" s="1" t="s">
        <v>61</v>
      </c>
      <c r="L201" s="1" t="s">
        <v>61</v>
      </c>
      <c r="M201" s="1" t="s">
        <v>62</v>
      </c>
      <c r="N201" s="1">
        <v>-120.0</v>
      </c>
      <c r="O201" s="1">
        <v>-0.109444113892495</v>
      </c>
      <c r="P201" s="1" t="s">
        <v>61</v>
      </c>
      <c r="Q201" s="1" t="s">
        <v>61</v>
      </c>
    </row>
    <row r="202">
      <c r="A202" s="1" t="s">
        <v>17</v>
      </c>
      <c r="B202" s="1" t="s">
        <v>241</v>
      </c>
      <c r="C202" s="1" t="s">
        <v>21</v>
      </c>
      <c r="D202" s="1" t="s">
        <v>197</v>
      </c>
      <c r="E202" s="1" t="s">
        <v>146</v>
      </c>
      <c r="F202" s="1" t="s">
        <v>629</v>
      </c>
      <c r="G202" s="1">
        <v>0.5</v>
      </c>
      <c r="H202" s="1" t="s">
        <v>60</v>
      </c>
      <c r="I202" s="1">
        <v>-125.0</v>
      </c>
      <c r="J202" s="1">
        <v>-0.103599999999999</v>
      </c>
      <c r="K202" s="1" t="s">
        <v>61</v>
      </c>
      <c r="L202" s="1" t="s">
        <v>61</v>
      </c>
      <c r="M202" s="1" t="s">
        <v>62</v>
      </c>
      <c r="N202" s="1">
        <v>-106.0</v>
      </c>
      <c r="O202" s="1">
        <v>0.0334883495145631</v>
      </c>
      <c r="P202" s="1" t="s">
        <v>61</v>
      </c>
      <c r="Q202" s="1" t="s">
        <v>61</v>
      </c>
    </row>
    <row r="203">
      <c r="A203" s="1" t="s">
        <v>12</v>
      </c>
      <c r="B203" s="1" t="s">
        <v>550</v>
      </c>
      <c r="C203" s="1" t="s">
        <v>20</v>
      </c>
      <c r="D203" s="1" t="s">
        <v>146</v>
      </c>
      <c r="E203" s="1" t="s">
        <v>197</v>
      </c>
      <c r="F203" s="1" t="s">
        <v>629</v>
      </c>
      <c r="G203" s="1">
        <v>0.5</v>
      </c>
      <c r="H203" s="1" t="s">
        <v>60</v>
      </c>
      <c r="I203" s="1">
        <v>-208.0</v>
      </c>
      <c r="J203" s="1">
        <v>-0.0853205284308442</v>
      </c>
      <c r="K203" s="1" t="s">
        <v>61</v>
      </c>
      <c r="L203" s="1" t="s">
        <v>61</v>
      </c>
      <c r="M203" s="1" t="s">
        <v>62</v>
      </c>
      <c r="N203" s="1">
        <v>165.0</v>
      </c>
      <c r="O203" s="1">
        <v>0.0326366896479244</v>
      </c>
      <c r="P203" s="1" t="s">
        <v>61</v>
      </c>
      <c r="Q203" s="1" t="s">
        <v>61</v>
      </c>
    </row>
    <row r="204">
      <c r="A204" s="1" t="s">
        <v>8</v>
      </c>
      <c r="B204" s="1" t="s">
        <v>361</v>
      </c>
      <c r="C204" s="1" t="s">
        <v>19</v>
      </c>
      <c r="D204" s="1" t="s">
        <v>82</v>
      </c>
      <c r="E204" s="1" t="s">
        <v>109</v>
      </c>
      <c r="F204" s="1" t="s">
        <v>629</v>
      </c>
      <c r="G204" s="1">
        <v>4.5</v>
      </c>
      <c r="H204" s="1" t="s">
        <v>60</v>
      </c>
      <c r="I204" s="1">
        <v>110.0</v>
      </c>
      <c r="J204" s="1">
        <v>-0.105478561699129</v>
      </c>
      <c r="K204" s="1" t="s">
        <v>61</v>
      </c>
      <c r="L204" s="1" t="s">
        <v>61</v>
      </c>
      <c r="M204" s="1" t="s">
        <v>62</v>
      </c>
      <c r="N204" s="1">
        <v>-148.0</v>
      </c>
      <c r="O204" s="1">
        <v>0.0325122323170432</v>
      </c>
      <c r="P204" s="1" t="s">
        <v>61</v>
      </c>
      <c r="Q204" s="1" t="s">
        <v>61</v>
      </c>
    </row>
    <row r="205">
      <c r="A205" s="1" t="s">
        <v>17</v>
      </c>
      <c r="B205" s="1" t="s">
        <v>369</v>
      </c>
      <c r="C205" s="1" t="s">
        <v>21</v>
      </c>
      <c r="D205" s="1" t="s">
        <v>72</v>
      </c>
      <c r="E205" s="1" t="s">
        <v>157</v>
      </c>
      <c r="F205" s="1" t="s">
        <v>629</v>
      </c>
      <c r="G205" s="1">
        <v>0.5</v>
      </c>
      <c r="H205" s="1" t="s">
        <v>60</v>
      </c>
      <c r="I205" s="1">
        <v>-123.0</v>
      </c>
      <c r="J205" s="1">
        <v>-0.100969506726457</v>
      </c>
      <c r="K205" s="1" t="s">
        <v>61</v>
      </c>
      <c r="L205" s="1" t="s">
        <v>61</v>
      </c>
      <c r="M205" s="1" t="s">
        <v>62</v>
      </c>
      <c r="N205" s="1">
        <v>-107.0</v>
      </c>
      <c r="O205" s="1">
        <v>0.0324917874396135</v>
      </c>
      <c r="P205" s="1" t="s">
        <v>61</v>
      </c>
      <c r="Q205" s="1" t="s">
        <v>61</v>
      </c>
    </row>
    <row r="206">
      <c r="A206" s="1" t="s">
        <v>11</v>
      </c>
      <c r="B206" s="1" t="s">
        <v>482</v>
      </c>
      <c r="C206" s="1" t="s">
        <v>18</v>
      </c>
      <c r="D206" s="1" t="s">
        <v>157</v>
      </c>
      <c r="E206" s="1" t="s">
        <v>72</v>
      </c>
      <c r="F206" s="1" t="s">
        <v>629</v>
      </c>
      <c r="G206" s="1">
        <v>41.5</v>
      </c>
      <c r="H206" s="1" t="s">
        <v>60</v>
      </c>
      <c r="I206" s="1">
        <v>-113.0</v>
      </c>
      <c r="J206" s="1">
        <v>-0.097418414326338</v>
      </c>
      <c r="K206" s="1" t="s">
        <v>61</v>
      </c>
      <c r="L206" s="1" t="s">
        <v>61</v>
      </c>
      <c r="M206" s="1" t="s">
        <v>62</v>
      </c>
      <c r="N206" s="1">
        <v>-115.0</v>
      </c>
      <c r="O206" s="1">
        <v>0.031990270233465</v>
      </c>
      <c r="P206" s="1" t="s">
        <v>61</v>
      </c>
      <c r="Q206" s="1" t="s">
        <v>61</v>
      </c>
    </row>
    <row r="207">
      <c r="A207" s="1" t="s">
        <v>15</v>
      </c>
      <c r="B207" s="1" t="s">
        <v>318</v>
      </c>
      <c r="C207" s="1" t="s">
        <v>21</v>
      </c>
      <c r="D207" s="1" t="s">
        <v>67</v>
      </c>
      <c r="E207" s="1" t="s">
        <v>89</v>
      </c>
      <c r="F207" s="1" t="s">
        <v>629</v>
      </c>
      <c r="G207" s="1">
        <v>22.5</v>
      </c>
      <c r="H207" s="1" t="s">
        <v>60</v>
      </c>
      <c r="I207" s="1">
        <v>-117.0</v>
      </c>
      <c r="J207" s="1">
        <v>0.0318677419354839</v>
      </c>
      <c r="K207" s="1" t="s">
        <v>61</v>
      </c>
      <c r="L207" s="1" t="s">
        <v>61</v>
      </c>
      <c r="M207" s="1" t="s">
        <v>62</v>
      </c>
      <c r="N207" s="1">
        <v>-112.0</v>
      </c>
      <c r="O207" s="1">
        <v>-0.0993603773584904</v>
      </c>
      <c r="P207" s="1" t="s">
        <v>61</v>
      </c>
      <c r="Q207" s="1" t="s">
        <v>61</v>
      </c>
    </row>
    <row r="208">
      <c r="A208" s="1" t="s">
        <v>17</v>
      </c>
      <c r="B208" s="1" t="s">
        <v>200</v>
      </c>
      <c r="C208" s="1" t="s">
        <v>21</v>
      </c>
      <c r="D208" s="1" t="s">
        <v>71</v>
      </c>
      <c r="E208" s="1" t="s">
        <v>94</v>
      </c>
      <c r="F208" s="1" t="s">
        <v>629</v>
      </c>
      <c r="G208" s="1">
        <v>0.5</v>
      </c>
      <c r="H208" s="1" t="s">
        <v>60</v>
      </c>
      <c r="I208" s="1">
        <v>-126.0</v>
      </c>
      <c r="J208" s="1">
        <v>-0.0991221238938053</v>
      </c>
      <c r="K208" s="1" t="s">
        <v>61</v>
      </c>
      <c r="L208" s="1" t="s">
        <v>61</v>
      </c>
      <c r="M208" s="1" t="s">
        <v>62</v>
      </c>
      <c r="N208" s="1">
        <v>-104.0</v>
      </c>
      <c r="O208" s="1">
        <v>0.0317960784313725</v>
      </c>
      <c r="P208" s="1" t="s">
        <v>61</v>
      </c>
      <c r="Q208" s="1" t="s">
        <v>61</v>
      </c>
    </row>
    <row r="209">
      <c r="A209" s="1" t="s">
        <v>12</v>
      </c>
      <c r="B209" s="1" t="s">
        <v>187</v>
      </c>
      <c r="C209" s="1" t="s">
        <v>19</v>
      </c>
      <c r="D209" s="1" t="s">
        <v>157</v>
      </c>
      <c r="E209" s="1" t="s">
        <v>72</v>
      </c>
      <c r="F209" s="1" t="s">
        <v>629</v>
      </c>
      <c r="G209" s="1">
        <v>2.5</v>
      </c>
      <c r="H209" s="1" t="s">
        <v>60</v>
      </c>
      <c r="I209" s="1">
        <v>128.0</v>
      </c>
      <c r="J209" s="1">
        <v>-0.0986383697403508</v>
      </c>
      <c r="K209" s="1" t="s">
        <v>61</v>
      </c>
      <c r="L209" s="1" t="s">
        <v>61</v>
      </c>
      <c r="M209" s="1" t="s">
        <v>62</v>
      </c>
      <c r="N209" s="1">
        <v>-170.0</v>
      </c>
      <c r="O209" s="1">
        <v>0.0304051855074075</v>
      </c>
      <c r="P209" s="1" t="s">
        <v>61</v>
      </c>
      <c r="Q209" s="1" t="s">
        <v>61</v>
      </c>
    </row>
    <row r="210">
      <c r="A210" s="1" t="s">
        <v>11</v>
      </c>
      <c r="B210" s="1" t="s">
        <v>435</v>
      </c>
      <c r="C210" s="1" t="s">
        <v>20</v>
      </c>
      <c r="D210" s="1" t="s">
        <v>89</v>
      </c>
      <c r="E210" s="1" t="s">
        <v>67</v>
      </c>
      <c r="F210" s="1" t="s">
        <v>629</v>
      </c>
      <c r="G210" s="1">
        <v>43.5</v>
      </c>
      <c r="H210" s="1" t="s">
        <v>60</v>
      </c>
      <c r="I210" s="1">
        <v>-115.0</v>
      </c>
      <c r="J210" s="1">
        <v>-0.0907027358137211</v>
      </c>
      <c r="K210" s="1" t="s">
        <v>61</v>
      </c>
      <c r="L210" s="1" t="s">
        <v>61</v>
      </c>
      <c r="M210" s="1" t="s">
        <v>62</v>
      </c>
      <c r="N210" s="1">
        <v>-111.0</v>
      </c>
      <c r="O210" s="1">
        <v>0.029806446611313</v>
      </c>
      <c r="P210" s="1" t="s">
        <v>61</v>
      </c>
      <c r="Q210" s="1" t="s">
        <v>61</v>
      </c>
    </row>
    <row r="211">
      <c r="A211" s="1" t="s">
        <v>11</v>
      </c>
      <c r="B211" s="1" t="s">
        <v>235</v>
      </c>
      <c r="C211" s="1" t="s">
        <v>20</v>
      </c>
      <c r="D211" s="1" t="s">
        <v>104</v>
      </c>
      <c r="E211" s="1" t="s">
        <v>100</v>
      </c>
      <c r="F211" s="1" t="s">
        <v>629</v>
      </c>
      <c r="G211" s="1">
        <v>38.5</v>
      </c>
      <c r="H211" s="1" t="s">
        <v>60</v>
      </c>
      <c r="I211" s="1">
        <v>-116.0</v>
      </c>
      <c r="J211" s="1">
        <v>-0.0993239623546298</v>
      </c>
      <c r="K211" s="1" t="s">
        <v>61</v>
      </c>
      <c r="L211" s="1" t="s">
        <v>61</v>
      </c>
      <c r="M211" s="1" t="s">
        <v>62</v>
      </c>
      <c r="N211" s="1">
        <v>-114.0</v>
      </c>
      <c r="O211" s="1">
        <v>0.029588968957589</v>
      </c>
      <c r="P211" s="1" t="s">
        <v>61</v>
      </c>
      <c r="Q211" s="1" t="s">
        <v>61</v>
      </c>
    </row>
    <row r="212">
      <c r="A212" s="1" t="s">
        <v>16</v>
      </c>
      <c r="B212" s="1" t="s">
        <v>569</v>
      </c>
      <c r="C212" s="1" t="s">
        <v>21</v>
      </c>
      <c r="D212" s="1" t="s">
        <v>94</v>
      </c>
      <c r="E212" s="1" t="s">
        <v>71</v>
      </c>
      <c r="F212" s="1" t="s">
        <v>629</v>
      </c>
      <c r="G212" s="1">
        <v>26.5</v>
      </c>
      <c r="H212" s="1" t="s">
        <v>60</v>
      </c>
      <c r="I212" s="1">
        <v>-126.0</v>
      </c>
      <c r="J212" s="1">
        <v>-0.0943217974734513</v>
      </c>
      <c r="K212" s="1" t="s">
        <v>61</v>
      </c>
      <c r="L212" s="1" t="s">
        <v>61</v>
      </c>
      <c r="M212" s="1" t="s">
        <v>62</v>
      </c>
      <c r="N212" s="1">
        <v>-103.0</v>
      </c>
      <c r="O212" s="1">
        <v>0.0294104631323643</v>
      </c>
      <c r="P212" s="1" t="s">
        <v>61</v>
      </c>
      <c r="Q212" s="1" t="s">
        <v>61</v>
      </c>
    </row>
    <row r="213">
      <c r="A213" s="1" t="s">
        <v>9</v>
      </c>
      <c r="B213" s="1" t="s">
        <v>442</v>
      </c>
      <c r="C213" s="1" t="s">
        <v>18</v>
      </c>
      <c r="D213" s="1" t="s">
        <v>104</v>
      </c>
      <c r="E213" s="1" t="s">
        <v>100</v>
      </c>
      <c r="F213" s="1" t="s">
        <v>629</v>
      </c>
      <c r="G213" s="1">
        <v>36.5</v>
      </c>
      <c r="H213" s="1" t="s">
        <v>60</v>
      </c>
      <c r="I213" s="1">
        <v>-115.0</v>
      </c>
      <c r="J213" s="1">
        <v>0.0293941628754794</v>
      </c>
      <c r="K213" s="1" t="s">
        <v>61</v>
      </c>
      <c r="L213" s="1" t="s">
        <v>61</v>
      </c>
      <c r="M213" s="1" t="s">
        <v>62</v>
      </c>
      <c r="N213" s="1">
        <v>-115.0</v>
      </c>
      <c r="O213" s="1">
        <v>-0.0991732873068015</v>
      </c>
      <c r="P213" s="1" t="s">
        <v>61</v>
      </c>
      <c r="Q213" s="1" t="s">
        <v>61</v>
      </c>
    </row>
    <row r="214">
      <c r="A214" s="1" t="s">
        <v>12</v>
      </c>
      <c r="B214" s="1" t="s">
        <v>127</v>
      </c>
      <c r="C214" s="1" t="s">
        <v>18</v>
      </c>
      <c r="D214" s="1" t="s">
        <v>197</v>
      </c>
      <c r="E214" s="1" t="s">
        <v>146</v>
      </c>
      <c r="F214" s="1" t="s">
        <v>629</v>
      </c>
      <c r="G214" s="1">
        <v>3.5</v>
      </c>
      <c r="H214" s="1" t="s">
        <v>60</v>
      </c>
      <c r="I214" s="1">
        <v>-113.0</v>
      </c>
      <c r="J214" s="1">
        <v>-0.0943164319248826</v>
      </c>
      <c r="K214" s="1" t="s">
        <v>61</v>
      </c>
      <c r="L214" s="1" t="s">
        <v>61</v>
      </c>
      <c r="M214" s="1" t="s">
        <v>62</v>
      </c>
      <c r="N214" s="1">
        <v>-115.0</v>
      </c>
      <c r="O214" s="1">
        <v>0.0289162790697673</v>
      </c>
      <c r="P214" s="1" t="s">
        <v>61</v>
      </c>
      <c r="Q214" s="1" t="s">
        <v>61</v>
      </c>
    </row>
    <row r="215">
      <c r="A215" s="1" t="s">
        <v>17</v>
      </c>
      <c r="B215" s="1" t="s">
        <v>145</v>
      </c>
      <c r="C215" s="1" t="s">
        <v>21</v>
      </c>
      <c r="D215" s="1" t="s">
        <v>146</v>
      </c>
      <c r="E215" s="1" t="s">
        <v>197</v>
      </c>
      <c r="F215" s="1" t="s">
        <v>629</v>
      </c>
      <c r="G215" s="1">
        <v>0.5</v>
      </c>
      <c r="H215" s="1" t="s">
        <v>60</v>
      </c>
      <c r="I215" s="1">
        <v>-129.0</v>
      </c>
      <c r="J215" s="1">
        <v>-0.0991187772925764</v>
      </c>
      <c r="K215" s="1" t="s">
        <v>61</v>
      </c>
      <c r="L215" s="1" t="s">
        <v>61</v>
      </c>
      <c r="M215" s="1" t="s">
        <v>62</v>
      </c>
      <c r="N215" s="1">
        <v>-103.0</v>
      </c>
      <c r="O215" s="1">
        <v>0.0284108374384236</v>
      </c>
      <c r="P215" s="1" t="s">
        <v>61</v>
      </c>
      <c r="Q215" s="1" t="s">
        <v>61</v>
      </c>
    </row>
    <row r="216">
      <c r="A216" s="1" t="s">
        <v>9</v>
      </c>
      <c r="B216" s="1" t="s">
        <v>361</v>
      </c>
      <c r="C216" s="1" t="s">
        <v>19</v>
      </c>
      <c r="D216" s="1" t="s">
        <v>82</v>
      </c>
      <c r="E216" s="1" t="s">
        <v>109</v>
      </c>
      <c r="F216" s="1" t="s">
        <v>629</v>
      </c>
      <c r="G216" s="1">
        <v>30.5</v>
      </c>
      <c r="H216" s="1" t="s">
        <v>60</v>
      </c>
      <c r="I216" s="1">
        <v>-126.0</v>
      </c>
      <c r="J216" s="1">
        <v>0.0282784108482175</v>
      </c>
      <c r="K216" s="1" t="s">
        <v>61</v>
      </c>
      <c r="L216" s="1" t="s">
        <v>61</v>
      </c>
      <c r="M216" s="1" t="s">
        <v>62</v>
      </c>
      <c r="N216" s="1">
        <v>-107.0</v>
      </c>
      <c r="O216" s="1">
        <v>-0.102641552228579</v>
      </c>
      <c r="P216" s="1" t="s">
        <v>61</v>
      </c>
      <c r="Q216" s="1" t="s">
        <v>61</v>
      </c>
    </row>
    <row r="217">
      <c r="A217" s="1" t="s">
        <v>15</v>
      </c>
      <c r="B217" s="1" t="s">
        <v>260</v>
      </c>
      <c r="C217" s="1" t="s">
        <v>21</v>
      </c>
      <c r="D217" s="1" t="s">
        <v>147</v>
      </c>
      <c r="E217" s="1" t="s">
        <v>156</v>
      </c>
      <c r="F217" s="1" t="s">
        <v>629</v>
      </c>
      <c r="G217" s="1">
        <v>21.5</v>
      </c>
      <c r="H217" s="1" t="s">
        <v>60</v>
      </c>
      <c r="I217" s="1">
        <v>-116.0</v>
      </c>
      <c r="J217" s="1">
        <v>0.0281629629629629</v>
      </c>
      <c r="K217" s="1" t="s">
        <v>61</v>
      </c>
      <c r="L217" s="1" t="s">
        <v>61</v>
      </c>
      <c r="M217" s="1" t="s">
        <v>62</v>
      </c>
      <c r="N217" s="1">
        <v>-113.0</v>
      </c>
      <c r="O217" s="1">
        <v>-0.0957164319248825</v>
      </c>
      <c r="P217" s="1" t="s">
        <v>61</v>
      </c>
      <c r="Q217" s="1" t="s">
        <v>61</v>
      </c>
    </row>
    <row r="218">
      <c r="A218" s="1" t="s">
        <v>11</v>
      </c>
      <c r="B218" s="1" t="s">
        <v>529</v>
      </c>
      <c r="C218" s="1" t="s">
        <v>18</v>
      </c>
      <c r="D218" s="1" t="s">
        <v>67</v>
      </c>
      <c r="E218" s="1" t="s">
        <v>89</v>
      </c>
      <c r="F218" s="1" t="s">
        <v>629</v>
      </c>
      <c r="G218" s="1">
        <v>61.5</v>
      </c>
      <c r="H218" s="1" t="s">
        <v>60</v>
      </c>
      <c r="I218" s="1">
        <v>-112.0</v>
      </c>
      <c r="J218" s="1">
        <v>-0.095261596348912</v>
      </c>
      <c r="K218" s="1" t="s">
        <v>61</v>
      </c>
      <c r="L218" s="1" t="s">
        <v>61</v>
      </c>
      <c r="M218" s="1" t="s">
        <v>62</v>
      </c>
      <c r="N218" s="1">
        <v>-117.0</v>
      </c>
      <c r="O218" s="1">
        <v>0.0277679675028098</v>
      </c>
      <c r="P218" s="1" t="s">
        <v>61</v>
      </c>
      <c r="Q218" s="1" t="s">
        <v>61</v>
      </c>
    </row>
    <row r="219">
      <c r="A219" s="1" t="s">
        <v>11</v>
      </c>
      <c r="B219" s="1" t="s">
        <v>81</v>
      </c>
      <c r="C219" s="1" t="s">
        <v>20</v>
      </c>
      <c r="D219" s="1" t="s">
        <v>82</v>
      </c>
      <c r="E219" s="1" t="s">
        <v>109</v>
      </c>
      <c r="F219" s="1" t="s">
        <v>629</v>
      </c>
      <c r="G219" s="1">
        <v>28.5</v>
      </c>
      <c r="H219" s="1" t="s">
        <v>60</v>
      </c>
      <c r="I219" s="1">
        <v>-116.0</v>
      </c>
      <c r="J219" s="1">
        <v>-0.0974067564685648</v>
      </c>
      <c r="K219" s="1" t="s">
        <v>61</v>
      </c>
      <c r="L219" s="1" t="s">
        <v>61</v>
      </c>
      <c r="M219" s="1" t="s">
        <v>62</v>
      </c>
      <c r="N219" s="1">
        <v>-114.0</v>
      </c>
      <c r="O219" s="1">
        <v>0.0277452696860721</v>
      </c>
      <c r="P219" s="1" t="s">
        <v>61</v>
      </c>
      <c r="Q219" s="1" t="s">
        <v>61</v>
      </c>
    </row>
    <row r="220">
      <c r="A220" s="1" t="s">
        <v>11</v>
      </c>
      <c r="B220" s="1" t="s">
        <v>501</v>
      </c>
      <c r="C220" s="1" t="s">
        <v>18</v>
      </c>
      <c r="D220" s="1" t="s">
        <v>109</v>
      </c>
      <c r="E220" s="1" t="s">
        <v>82</v>
      </c>
      <c r="F220" s="1" t="s">
        <v>629</v>
      </c>
      <c r="G220" s="1">
        <v>40.5</v>
      </c>
      <c r="H220" s="1" t="s">
        <v>60</v>
      </c>
      <c r="I220" s="1">
        <v>-113.0</v>
      </c>
      <c r="J220" s="1">
        <v>-0.0886475150607982</v>
      </c>
      <c r="K220" s="1" t="s">
        <v>61</v>
      </c>
      <c r="L220" s="1" t="s">
        <v>61</v>
      </c>
      <c r="M220" s="1" t="s">
        <v>62</v>
      </c>
      <c r="N220" s="1">
        <v>-113.0</v>
      </c>
      <c r="O220" s="1">
        <v>0.0276312900522018</v>
      </c>
      <c r="P220" s="1" t="s">
        <v>61</v>
      </c>
      <c r="Q220" s="1" t="s">
        <v>61</v>
      </c>
    </row>
    <row r="221">
      <c r="A221" s="1" t="s">
        <v>9</v>
      </c>
      <c r="B221" s="1" t="s">
        <v>340</v>
      </c>
      <c r="C221" s="1" t="s">
        <v>19</v>
      </c>
      <c r="D221" s="1" t="s">
        <v>100</v>
      </c>
      <c r="E221" s="1" t="s">
        <v>104</v>
      </c>
      <c r="F221" s="1" t="s">
        <v>629</v>
      </c>
      <c r="G221" s="1">
        <v>98.0</v>
      </c>
      <c r="H221" s="1" t="s">
        <v>60</v>
      </c>
      <c r="I221" s="1">
        <v>-114.0</v>
      </c>
      <c r="J221" s="1">
        <v>-0.098108528242327</v>
      </c>
      <c r="K221" s="1" t="s">
        <v>61</v>
      </c>
      <c r="L221" s="1" t="s">
        <v>61</v>
      </c>
      <c r="M221" s="1" t="s">
        <v>62</v>
      </c>
      <c r="N221" s="1">
        <v>-117.0</v>
      </c>
      <c r="O221" s="1">
        <v>0.0267808451976859</v>
      </c>
      <c r="P221" s="1" t="s">
        <v>61</v>
      </c>
      <c r="Q221" s="1" t="s">
        <v>61</v>
      </c>
    </row>
    <row r="222">
      <c r="A222" s="1" t="s">
        <v>11</v>
      </c>
      <c r="B222" s="1" t="s">
        <v>108</v>
      </c>
      <c r="C222" s="1" t="s">
        <v>20</v>
      </c>
      <c r="D222" s="1" t="s">
        <v>109</v>
      </c>
      <c r="E222" s="1" t="s">
        <v>82</v>
      </c>
      <c r="F222" s="1" t="s">
        <v>629</v>
      </c>
      <c r="G222" s="1">
        <v>40.5</v>
      </c>
      <c r="H222" s="1" t="s">
        <v>60</v>
      </c>
      <c r="I222" s="1">
        <v>-119.0</v>
      </c>
      <c r="J222" s="1">
        <v>-0.0961405912616893</v>
      </c>
      <c r="K222" s="1" t="s">
        <v>61</v>
      </c>
      <c r="L222" s="1" t="s">
        <v>61</v>
      </c>
      <c r="M222" s="1" t="s">
        <v>62</v>
      </c>
      <c r="N222" s="1">
        <v>-111.0</v>
      </c>
      <c r="O222" s="1">
        <v>0.0266585555611659</v>
      </c>
      <c r="P222" s="1" t="s">
        <v>61</v>
      </c>
      <c r="Q222" s="1" t="s">
        <v>61</v>
      </c>
    </row>
    <row r="223">
      <c r="A223" s="1" t="s">
        <v>10</v>
      </c>
      <c r="B223" s="1" t="s">
        <v>145</v>
      </c>
      <c r="C223" s="1" t="s">
        <v>21</v>
      </c>
      <c r="D223" s="1" t="s">
        <v>146</v>
      </c>
      <c r="E223" s="1" t="s">
        <v>197</v>
      </c>
      <c r="F223" s="1" t="s">
        <v>629</v>
      </c>
      <c r="G223" s="1">
        <v>13.5</v>
      </c>
      <c r="H223" s="1" t="s">
        <v>60</v>
      </c>
      <c r="I223" s="1">
        <v>-109.0</v>
      </c>
      <c r="J223" s="1">
        <v>-0.0937117210006958</v>
      </c>
      <c r="K223" s="1" t="s">
        <v>61</v>
      </c>
      <c r="L223" s="1" t="s">
        <v>61</v>
      </c>
      <c r="M223" s="1" t="s">
        <v>62</v>
      </c>
      <c r="N223" s="1">
        <v>-121.0</v>
      </c>
      <c r="O223" s="1">
        <v>0.0246953716012036</v>
      </c>
      <c r="P223" s="1" t="s">
        <v>61</v>
      </c>
      <c r="Q223" s="1" t="s">
        <v>61</v>
      </c>
    </row>
    <row r="224">
      <c r="A224" s="1" t="s">
        <v>9</v>
      </c>
      <c r="B224" s="1" t="s">
        <v>499</v>
      </c>
      <c r="C224" s="1" t="s">
        <v>18</v>
      </c>
      <c r="D224" s="1" t="s">
        <v>109</v>
      </c>
      <c r="E224" s="1" t="s">
        <v>82</v>
      </c>
      <c r="F224" s="1" t="s">
        <v>629</v>
      </c>
      <c r="G224" s="1">
        <v>74.5</v>
      </c>
      <c r="H224" s="1" t="s">
        <v>60</v>
      </c>
      <c r="I224" s="1">
        <v>-120.0</v>
      </c>
      <c r="J224" s="1">
        <v>-0.100643013905037</v>
      </c>
      <c r="K224" s="1" t="s">
        <v>61</v>
      </c>
      <c r="L224" s="1" t="s">
        <v>61</v>
      </c>
      <c r="M224" s="1" t="s">
        <v>62</v>
      </c>
      <c r="N224" s="1">
        <v>-113.0</v>
      </c>
      <c r="O224" s="1">
        <v>0.0246533955717954</v>
      </c>
      <c r="P224" s="1" t="s">
        <v>61</v>
      </c>
      <c r="Q224" s="1" t="s">
        <v>61</v>
      </c>
    </row>
    <row r="225">
      <c r="A225" s="1" t="s">
        <v>12</v>
      </c>
      <c r="B225" s="1" t="s">
        <v>202</v>
      </c>
      <c r="C225" s="1" t="s">
        <v>19</v>
      </c>
      <c r="D225" s="1" t="s">
        <v>109</v>
      </c>
      <c r="E225" s="1" t="s">
        <v>82</v>
      </c>
      <c r="F225" s="1" t="s">
        <v>629</v>
      </c>
      <c r="G225" s="1">
        <v>1.5</v>
      </c>
      <c r="H225" s="1" t="s">
        <v>60</v>
      </c>
      <c r="I225" s="1">
        <v>141.0</v>
      </c>
      <c r="J225" s="1">
        <v>-0.0908205081967219</v>
      </c>
      <c r="K225" s="1" t="s">
        <v>61</v>
      </c>
      <c r="L225" s="1" t="s">
        <v>61</v>
      </c>
      <c r="M225" s="1" t="s">
        <v>62</v>
      </c>
      <c r="N225" s="1">
        <v>-187.0</v>
      </c>
      <c r="O225" s="1">
        <v>0.0243128436232403</v>
      </c>
      <c r="P225" s="1" t="s">
        <v>61</v>
      </c>
      <c r="Q225" s="1" t="s">
        <v>61</v>
      </c>
    </row>
    <row r="226">
      <c r="A226" s="1" t="s">
        <v>10</v>
      </c>
      <c r="B226" s="1" t="s">
        <v>540</v>
      </c>
      <c r="C226" s="1" t="s">
        <v>19</v>
      </c>
      <c r="D226" s="1" t="s">
        <v>71</v>
      </c>
      <c r="E226" s="1" t="s">
        <v>94</v>
      </c>
      <c r="F226" s="1" t="s">
        <v>629</v>
      </c>
      <c r="G226" s="1">
        <v>48.5</v>
      </c>
      <c r="H226" s="1" t="s">
        <v>60</v>
      </c>
      <c r="I226" s="1">
        <v>-113.0</v>
      </c>
      <c r="J226" s="1">
        <v>-0.0851552563446131</v>
      </c>
      <c r="K226" s="1" t="s">
        <v>61</v>
      </c>
      <c r="L226" s="1" t="s">
        <v>61</v>
      </c>
      <c r="M226" s="1" t="s">
        <v>62</v>
      </c>
      <c r="N226" s="1">
        <v>-113.0</v>
      </c>
      <c r="O226" s="1">
        <v>0.0241143749411127</v>
      </c>
      <c r="P226" s="1" t="s">
        <v>61</v>
      </c>
      <c r="Q226" s="1" t="s">
        <v>61</v>
      </c>
    </row>
    <row r="227">
      <c r="A227" s="1" t="s">
        <v>16</v>
      </c>
      <c r="B227" s="1" t="s">
        <v>500</v>
      </c>
      <c r="C227" s="1" t="s">
        <v>21</v>
      </c>
      <c r="D227" s="1" t="s">
        <v>82</v>
      </c>
      <c r="E227" s="1" t="s">
        <v>109</v>
      </c>
      <c r="F227" s="1" t="s">
        <v>629</v>
      </c>
      <c r="G227" s="1">
        <v>36.5</v>
      </c>
      <c r="H227" s="1" t="s">
        <v>60</v>
      </c>
      <c r="I227" s="1">
        <v>-125.0</v>
      </c>
      <c r="J227" s="1">
        <v>0.0238888644183331</v>
      </c>
      <c r="K227" s="1" t="s">
        <v>61</v>
      </c>
      <c r="L227" s="1" t="s">
        <v>61</v>
      </c>
      <c r="M227" s="1" t="s">
        <v>62</v>
      </c>
      <c r="N227" s="1">
        <v>-107.0</v>
      </c>
      <c r="O227" s="1">
        <v>-0.0963598821028984</v>
      </c>
      <c r="P227" s="1" t="s">
        <v>61</v>
      </c>
      <c r="Q227" s="1" t="s">
        <v>61</v>
      </c>
    </row>
    <row r="228">
      <c r="A228" s="1" t="s">
        <v>11</v>
      </c>
      <c r="B228" s="1" t="s">
        <v>344</v>
      </c>
      <c r="C228" s="1" t="s">
        <v>18</v>
      </c>
      <c r="D228" s="1" t="s">
        <v>157</v>
      </c>
      <c r="E228" s="1" t="s">
        <v>72</v>
      </c>
      <c r="F228" s="1" t="s">
        <v>629</v>
      </c>
      <c r="G228" s="1">
        <v>31.5</v>
      </c>
      <c r="H228" s="1" t="s">
        <v>60</v>
      </c>
      <c r="I228" s="1">
        <v>-113.0</v>
      </c>
      <c r="J228" s="1">
        <v>-0.0906525311000002</v>
      </c>
      <c r="K228" s="1" t="s">
        <v>61</v>
      </c>
      <c r="L228" s="1" t="s">
        <v>61</v>
      </c>
      <c r="M228" s="1" t="s">
        <v>62</v>
      </c>
      <c r="N228" s="1">
        <v>-116.0</v>
      </c>
      <c r="O228" s="1">
        <v>0.0230746192828891</v>
      </c>
      <c r="P228" s="1" t="s">
        <v>61</v>
      </c>
      <c r="Q228" s="1" t="s">
        <v>61</v>
      </c>
    </row>
    <row r="229">
      <c r="A229" s="1" t="s">
        <v>14</v>
      </c>
      <c r="B229" s="1" t="s">
        <v>318</v>
      </c>
      <c r="C229" s="1" t="s">
        <v>21</v>
      </c>
      <c r="D229" s="1" t="s">
        <v>67</v>
      </c>
      <c r="E229" s="1" t="s">
        <v>89</v>
      </c>
      <c r="F229" s="1" t="s">
        <v>629</v>
      </c>
      <c r="G229" s="1">
        <v>1.5</v>
      </c>
      <c r="H229" s="1" t="s">
        <v>60</v>
      </c>
      <c r="I229" s="1">
        <v>-122.0</v>
      </c>
      <c r="J229" s="1">
        <v>-0.0869945945945944</v>
      </c>
      <c r="K229" s="1" t="s">
        <v>61</v>
      </c>
      <c r="L229" s="1" t="s">
        <v>61</v>
      </c>
      <c r="M229" s="1" t="s">
        <v>62</v>
      </c>
      <c r="N229" s="1">
        <v>-106.0</v>
      </c>
      <c r="O229" s="1">
        <v>0.022888349514563</v>
      </c>
      <c r="P229" s="1" t="s">
        <v>61</v>
      </c>
      <c r="Q229" s="1" t="s">
        <v>61</v>
      </c>
    </row>
    <row r="230">
      <c r="A230" s="1" t="s">
        <v>12</v>
      </c>
      <c r="B230" s="1" t="s">
        <v>585</v>
      </c>
      <c r="C230" s="1" t="s">
        <v>20</v>
      </c>
      <c r="D230" s="1" t="s">
        <v>71</v>
      </c>
      <c r="E230" s="1" t="s">
        <v>94</v>
      </c>
      <c r="F230" s="1" t="s">
        <v>629</v>
      </c>
      <c r="G230" s="1">
        <v>1.5</v>
      </c>
      <c r="H230" s="1" t="s">
        <v>60</v>
      </c>
      <c r="I230" s="1">
        <v>161.0</v>
      </c>
      <c r="J230" s="1">
        <v>-0.0858910500606513</v>
      </c>
      <c r="K230" s="1" t="s">
        <v>61</v>
      </c>
      <c r="L230" s="1" t="s">
        <v>61</v>
      </c>
      <c r="M230" s="1" t="s">
        <v>62</v>
      </c>
      <c r="N230" s="1">
        <v>-213.0</v>
      </c>
      <c r="O230" s="1">
        <v>0.0222431914357508</v>
      </c>
      <c r="P230" s="1" t="s">
        <v>61</v>
      </c>
      <c r="Q230" s="1" t="s">
        <v>61</v>
      </c>
    </row>
    <row r="231">
      <c r="A231" s="1" t="s">
        <v>10</v>
      </c>
      <c r="B231" s="1" t="s">
        <v>270</v>
      </c>
      <c r="C231" s="1" t="s">
        <v>19</v>
      </c>
      <c r="D231" s="1" t="s">
        <v>147</v>
      </c>
      <c r="E231" s="1" t="s">
        <v>156</v>
      </c>
      <c r="F231" s="1" t="s">
        <v>629</v>
      </c>
      <c r="G231" s="1">
        <v>40.5</v>
      </c>
      <c r="H231" s="1" t="s">
        <v>60</v>
      </c>
      <c r="I231" s="1">
        <v>-108.0</v>
      </c>
      <c r="J231" s="1">
        <v>-0.0903643096739663</v>
      </c>
      <c r="K231" s="1" t="s">
        <v>61</v>
      </c>
      <c r="L231" s="1" t="s">
        <v>61</v>
      </c>
      <c r="M231" s="1" t="s">
        <v>62</v>
      </c>
      <c r="N231" s="1">
        <v>-122.0</v>
      </c>
      <c r="O231" s="1">
        <v>0.0216025177810886</v>
      </c>
      <c r="P231" s="1" t="s">
        <v>61</v>
      </c>
      <c r="Q231" s="1" t="s">
        <v>61</v>
      </c>
    </row>
    <row r="232">
      <c r="A232" s="1" t="s">
        <v>11</v>
      </c>
      <c r="B232" s="1" t="s">
        <v>483</v>
      </c>
      <c r="C232" s="1" t="s">
        <v>18</v>
      </c>
      <c r="D232" s="1" t="s">
        <v>147</v>
      </c>
      <c r="E232" s="1" t="s">
        <v>156</v>
      </c>
      <c r="F232" s="1" t="s">
        <v>629</v>
      </c>
      <c r="G232" s="1">
        <v>29.5</v>
      </c>
      <c r="H232" s="1" t="s">
        <v>60</v>
      </c>
      <c r="I232" s="1">
        <v>-115.0</v>
      </c>
      <c r="J232" s="1">
        <v>-0.0903938792173954</v>
      </c>
      <c r="K232" s="1" t="s">
        <v>61</v>
      </c>
      <c r="L232" s="1" t="s">
        <v>61</v>
      </c>
      <c r="M232" s="1" t="s">
        <v>62</v>
      </c>
      <c r="N232" s="1">
        <v>-115.0</v>
      </c>
      <c r="O232" s="1">
        <v>0.0206416610500046</v>
      </c>
      <c r="P232" s="1" t="s">
        <v>61</v>
      </c>
      <c r="Q232" s="1" t="s">
        <v>61</v>
      </c>
    </row>
    <row r="233">
      <c r="A233" s="1" t="s">
        <v>11</v>
      </c>
      <c r="B233" s="1" t="s">
        <v>175</v>
      </c>
      <c r="C233" s="1" t="s">
        <v>18</v>
      </c>
      <c r="D233" s="1" t="s">
        <v>146</v>
      </c>
      <c r="E233" s="1" t="s">
        <v>197</v>
      </c>
      <c r="F233" s="1" t="s">
        <v>629</v>
      </c>
      <c r="G233" s="1">
        <v>50.5</v>
      </c>
      <c r="H233" s="1" t="s">
        <v>60</v>
      </c>
      <c r="I233" s="1">
        <v>-118.0</v>
      </c>
      <c r="J233" s="1">
        <v>-0.0878518886467797</v>
      </c>
      <c r="K233" s="1" t="s">
        <v>61</v>
      </c>
      <c r="L233" s="1" t="s">
        <v>61</v>
      </c>
      <c r="M233" s="1" t="s">
        <v>62</v>
      </c>
      <c r="N233" s="1">
        <v>-111.0</v>
      </c>
      <c r="O233" s="1">
        <v>0.0205546960089619</v>
      </c>
      <c r="P233" s="1" t="s">
        <v>61</v>
      </c>
      <c r="Q233" s="1" t="s">
        <v>61</v>
      </c>
    </row>
    <row r="234">
      <c r="A234" s="1" t="s">
        <v>9</v>
      </c>
      <c r="B234" s="1" t="s">
        <v>304</v>
      </c>
      <c r="C234" s="1" t="s">
        <v>19</v>
      </c>
      <c r="D234" s="1" t="s">
        <v>146</v>
      </c>
      <c r="E234" s="1" t="s">
        <v>197</v>
      </c>
      <c r="F234" s="1" t="s">
        <v>629</v>
      </c>
      <c r="G234" s="1">
        <v>76.0</v>
      </c>
      <c r="H234" s="1" t="s">
        <v>60</v>
      </c>
      <c r="I234" s="1">
        <v>-113.0</v>
      </c>
      <c r="J234" s="1">
        <v>-0.0931382235158562</v>
      </c>
      <c r="K234" s="1" t="s">
        <v>61</v>
      </c>
      <c r="L234" s="1" t="s">
        <v>61</v>
      </c>
      <c r="M234" s="1" t="s">
        <v>62</v>
      </c>
      <c r="N234" s="1">
        <v>-119.0</v>
      </c>
      <c r="O234" s="1">
        <v>0.0202220891075987</v>
      </c>
      <c r="P234" s="1" t="s">
        <v>61</v>
      </c>
      <c r="Q234" s="1" t="s">
        <v>61</v>
      </c>
    </row>
    <row r="235">
      <c r="A235" s="1" t="s">
        <v>10</v>
      </c>
      <c r="B235" s="1" t="s">
        <v>434</v>
      </c>
      <c r="C235" s="1" t="s">
        <v>21</v>
      </c>
      <c r="D235" s="1" t="s">
        <v>104</v>
      </c>
      <c r="E235" s="1" t="s">
        <v>100</v>
      </c>
      <c r="F235" s="1" t="s">
        <v>629</v>
      </c>
      <c r="G235" s="1">
        <v>29.5</v>
      </c>
      <c r="H235" s="1" t="s">
        <v>60</v>
      </c>
      <c r="I235" s="1">
        <v>-111.0</v>
      </c>
      <c r="J235" s="1">
        <v>-0.0874870913470871</v>
      </c>
      <c r="K235" s="1" t="s">
        <v>61</v>
      </c>
      <c r="L235" s="1" t="s">
        <v>61</v>
      </c>
      <c r="M235" s="1" t="s">
        <v>62</v>
      </c>
      <c r="N235" s="1">
        <v>-118.0</v>
      </c>
      <c r="O235" s="1">
        <v>0.0201819174476961</v>
      </c>
      <c r="P235" s="1" t="s">
        <v>61</v>
      </c>
      <c r="Q235" s="1" t="s">
        <v>61</v>
      </c>
    </row>
    <row r="236">
      <c r="A236" s="1" t="s">
        <v>9</v>
      </c>
      <c r="B236" s="1" t="s">
        <v>187</v>
      </c>
      <c r="C236" s="1" t="s">
        <v>19</v>
      </c>
      <c r="D236" s="1" t="s">
        <v>157</v>
      </c>
      <c r="E236" s="1" t="s">
        <v>72</v>
      </c>
      <c r="F236" s="1" t="s">
        <v>629</v>
      </c>
      <c r="G236" s="1">
        <v>83.5</v>
      </c>
      <c r="H236" s="1" t="s">
        <v>60</v>
      </c>
      <c r="I236" s="1">
        <v>-114.0</v>
      </c>
      <c r="J236" s="1">
        <v>-0.0962470877858275</v>
      </c>
      <c r="K236" s="1" t="s">
        <v>61</v>
      </c>
      <c r="L236" s="1" t="s">
        <v>61</v>
      </c>
      <c r="M236" s="1" t="s">
        <v>62</v>
      </c>
      <c r="N236" s="1">
        <v>-119.0</v>
      </c>
      <c r="O236" s="1">
        <v>0.0201638053677575</v>
      </c>
      <c r="P236" s="1" t="s">
        <v>61</v>
      </c>
      <c r="Q236" s="1" t="s">
        <v>61</v>
      </c>
    </row>
    <row r="237">
      <c r="A237" s="1" t="s">
        <v>15</v>
      </c>
      <c r="B237" s="1" t="s">
        <v>145</v>
      </c>
      <c r="C237" s="1" t="s">
        <v>21</v>
      </c>
      <c r="D237" s="1" t="s">
        <v>146</v>
      </c>
      <c r="E237" s="1" t="s">
        <v>197</v>
      </c>
      <c r="F237" s="1" t="s">
        <v>629</v>
      </c>
      <c r="G237" s="1">
        <v>23.5</v>
      </c>
      <c r="H237" s="1" t="s">
        <v>60</v>
      </c>
      <c r="I237" s="1">
        <v>105.0</v>
      </c>
      <c r="J237" s="1">
        <v>0.0197951219512194</v>
      </c>
      <c r="K237" s="1" t="s">
        <v>61</v>
      </c>
      <c r="L237" s="1" t="s">
        <v>61</v>
      </c>
      <c r="M237" s="1" t="s">
        <v>62</v>
      </c>
      <c r="N237" s="1">
        <v>-134.0</v>
      </c>
      <c r="O237" s="1">
        <v>-0.0802495726495727</v>
      </c>
      <c r="P237" s="1" t="s">
        <v>61</v>
      </c>
      <c r="Q237" s="1" t="s">
        <v>61</v>
      </c>
    </row>
    <row r="238">
      <c r="A238" s="1" t="s">
        <v>9</v>
      </c>
      <c r="B238" s="1" t="s">
        <v>299</v>
      </c>
      <c r="C238" s="1" t="s">
        <v>18</v>
      </c>
      <c r="D238" s="1" t="s">
        <v>89</v>
      </c>
      <c r="E238" s="1" t="s">
        <v>67</v>
      </c>
      <c r="F238" s="1" t="s">
        <v>629</v>
      </c>
      <c r="G238" s="1">
        <v>45.5</v>
      </c>
      <c r="H238" s="1" t="s">
        <v>60</v>
      </c>
      <c r="I238" s="1">
        <v>-116.0</v>
      </c>
      <c r="J238" s="1">
        <v>0.0197832536524306</v>
      </c>
      <c r="K238" s="1" t="s">
        <v>61</v>
      </c>
      <c r="L238" s="1" t="s">
        <v>61</v>
      </c>
      <c r="M238" s="1" t="s">
        <v>62</v>
      </c>
      <c r="N238" s="1">
        <v>-116.0</v>
      </c>
      <c r="O238" s="1">
        <v>-0.0938605742368195</v>
      </c>
      <c r="P238" s="1" t="s">
        <v>61</v>
      </c>
      <c r="Q238" s="1" t="s">
        <v>61</v>
      </c>
    </row>
    <row r="239">
      <c r="A239" s="1" t="s">
        <v>11</v>
      </c>
      <c r="B239" s="1" t="s">
        <v>189</v>
      </c>
      <c r="C239" s="1" t="s">
        <v>18</v>
      </c>
      <c r="D239" s="1" t="s">
        <v>104</v>
      </c>
      <c r="E239" s="1" t="s">
        <v>100</v>
      </c>
      <c r="F239" s="1" t="s">
        <v>629</v>
      </c>
      <c r="G239" s="1">
        <v>34.5</v>
      </c>
      <c r="H239" s="1" t="s">
        <v>60</v>
      </c>
      <c r="I239" s="1">
        <v>-116.0</v>
      </c>
      <c r="J239" s="1">
        <v>-0.0887106221709723</v>
      </c>
      <c r="K239" s="1" t="s">
        <v>61</v>
      </c>
      <c r="L239" s="1" t="s">
        <v>61</v>
      </c>
      <c r="M239" s="1" t="s">
        <v>62</v>
      </c>
      <c r="N239" s="1">
        <v>-114.0</v>
      </c>
      <c r="O239" s="1">
        <v>0.018988019482188</v>
      </c>
      <c r="P239" s="1" t="s">
        <v>61</v>
      </c>
      <c r="Q239" s="1" t="s">
        <v>61</v>
      </c>
    </row>
    <row r="240">
      <c r="A240" s="1" t="s">
        <v>16</v>
      </c>
      <c r="B240" s="1" t="s">
        <v>631</v>
      </c>
      <c r="C240" s="1" t="s">
        <v>21</v>
      </c>
      <c r="D240" s="1" t="s">
        <v>100</v>
      </c>
      <c r="E240" s="1" t="s">
        <v>104</v>
      </c>
      <c r="F240" s="1" t="s">
        <v>629</v>
      </c>
      <c r="G240" s="1">
        <v>30.5</v>
      </c>
      <c r="H240" s="1" t="s">
        <v>60</v>
      </c>
      <c r="I240" s="1">
        <v>-106.0</v>
      </c>
      <c r="J240" s="1">
        <v>-0.0868089687378641</v>
      </c>
      <c r="K240" s="1" t="s">
        <v>61</v>
      </c>
      <c r="L240" s="1" t="s">
        <v>61</v>
      </c>
      <c r="M240" s="1" t="s">
        <v>62</v>
      </c>
      <c r="N240" s="1">
        <v>-124.0</v>
      </c>
      <c r="O240" s="1">
        <v>0.0186808704214285</v>
      </c>
      <c r="P240" s="1" t="s">
        <v>61</v>
      </c>
      <c r="Q240" s="1" t="s">
        <v>61</v>
      </c>
    </row>
    <row r="241">
      <c r="A241" s="1" t="s">
        <v>14</v>
      </c>
      <c r="B241" s="1" t="s">
        <v>500</v>
      </c>
      <c r="C241" s="1" t="s">
        <v>21</v>
      </c>
      <c r="D241" s="1" t="s">
        <v>82</v>
      </c>
      <c r="E241" s="1" t="s">
        <v>109</v>
      </c>
      <c r="F241" s="1" t="s">
        <v>629</v>
      </c>
      <c r="G241" s="1">
        <v>1.5</v>
      </c>
      <c r="H241" s="1" t="s">
        <v>60</v>
      </c>
      <c r="I241" s="1">
        <v>-126.0</v>
      </c>
      <c r="J241" s="1">
        <v>-0.0906778761061948</v>
      </c>
      <c r="K241" s="1" t="s">
        <v>61</v>
      </c>
      <c r="L241" s="1" t="s">
        <v>61</v>
      </c>
      <c r="M241" s="1" t="s">
        <v>62</v>
      </c>
      <c r="N241" s="1">
        <v>-106.0</v>
      </c>
      <c r="O241" s="1">
        <v>0.0185854368932039</v>
      </c>
      <c r="P241" s="1" t="s">
        <v>61</v>
      </c>
      <c r="Q241" s="1" t="s">
        <v>61</v>
      </c>
    </row>
    <row r="242">
      <c r="A242" s="1" t="s">
        <v>12</v>
      </c>
      <c r="B242" s="1" t="s">
        <v>435</v>
      </c>
      <c r="C242" s="1" t="s">
        <v>20</v>
      </c>
      <c r="D242" s="1" t="s">
        <v>89</v>
      </c>
      <c r="E242" s="1" t="s">
        <v>67</v>
      </c>
      <c r="F242" s="1" t="s">
        <v>629</v>
      </c>
      <c r="G242" s="1">
        <v>4.5</v>
      </c>
      <c r="H242" s="1" t="s">
        <v>60</v>
      </c>
      <c r="I242" s="1">
        <v>-119.0</v>
      </c>
      <c r="J242" s="1">
        <v>-0.0880333333333331</v>
      </c>
      <c r="K242" s="1" t="s">
        <v>61</v>
      </c>
      <c r="L242" s="1" t="s">
        <v>61</v>
      </c>
      <c r="M242" s="1" t="s">
        <v>62</v>
      </c>
      <c r="N242" s="1">
        <v>-111.0</v>
      </c>
      <c r="O242" s="1">
        <v>0.0185810426540283</v>
      </c>
      <c r="P242" s="1" t="s">
        <v>61</v>
      </c>
      <c r="Q242" s="1" t="s">
        <v>61</v>
      </c>
    </row>
    <row r="243">
      <c r="A243" s="1" t="s">
        <v>11</v>
      </c>
      <c r="B243" s="1" t="s">
        <v>289</v>
      </c>
      <c r="C243" s="1" t="s">
        <v>19</v>
      </c>
      <c r="D243" s="1" t="s">
        <v>94</v>
      </c>
      <c r="E243" s="1" t="s">
        <v>71</v>
      </c>
      <c r="F243" s="1" t="s">
        <v>629</v>
      </c>
      <c r="G243" s="1">
        <v>19.5</v>
      </c>
      <c r="H243" s="1" t="s">
        <v>60</v>
      </c>
      <c r="I243" s="1">
        <v>-117.0</v>
      </c>
      <c r="J243" s="1">
        <v>-0.0852422847908388</v>
      </c>
      <c r="K243" s="1" t="s">
        <v>61</v>
      </c>
      <c r="L243" s="1" t="s">
        <v>61</v>
      </c>
      <c r="M243" s="1" t="s">
        <v>62</v>
      </c>
      <c r="N243" s="1">
        <v>-112.0</v>
      </c>
      <c r="O243" s="1">
        <v>0.0177950419602144</v>
      </c>
      <c r="P243" s="1" t="s">
        <v>61</v>
      </c>
      <c r="Q243" s="1" t="s">
        <v>61</v>
      </c>
    </row>
    <row r="244">
      <c r="A244" s="1" t="s">
        <v>16</v>
      </c>
      <c r="B244" s="1" t="s">
        <v>275</v>
      </c>
      <c r="C244" s="1" t="s">
        <v>21</v>
      </c>
      <c r="D244" s="1" t="s">
        <v>100</v>
      </c>
      <c r="E244" s="1" t="s">
        <v>104</v>
      </c>
      <c r="F244" s="1" t="s">
        <v>629</v>
      </c>
      <c r="G244" s="1">
        <v>28.5</v>
      </c>
      <c r="H244" s="1" t="s">
        <v>60</v>
      </c>
      <c r="I244" s="1">
        <v>-113.0</v>
      </c>
      <c r="J244" s="1">
        <v>-0.0850683358685445</v>
      </c>
      <c r="K244" s="1" t="s">
        <v>61</v>
      </c>
      <c r="L244" s="1" t="s">
        <v>61</v>
      </c>
      <c r="M244" s="1" t="s">
        <v>62</v>
      </c>
      <c r="N244" s="1">
        <v>-116.0</v>
      </c>
      <c r="O244" s="1">
        <v>0.0175079464185183</v>
      </c>
      <c r="P244" s="1" t="s">
        <v>61</v>
      </c>
      <c r="Q244" s="1" t="s">
        <v>61</v>
      </c>
    </row>
    <row r="245">
      <c r="A245" s="1" t="s">
        <v>12</v>
      </c>
      <c r="B245" s="1" t="s">
        <v>540</v>
      </c>
      <c r="C245" s="1" t="s">
        <v>19</v>
      </c>
      <c r="D245" s="1" t="s">
        <v>71</v>
      </c>
      <c r="E245" s="1" t="s">
        <v>94</v>
      </c>
      <c r="F245" s="1" t="s">
        <v>629</v>
      </c>
      <c r="G245" s="1">
        <v>1.5</v>
      </c>
      <c r="H245" s="1" t="s">
        <v>60</v>
      </c>
      <c r="I245" s="1">
        <v>129.0</v>
      </c>
      <c r="J245" s="1">
        <v>-0.0791146899096507</v>
      </c>
      <c r="K245" s="1" t="s">
        <v>61</v>
      </c>
      <c r="L245" s="1" t="s">
        <v>61</v>
      </c>
      <c r="M245" s="1" t="s">
        <v>62</v>
      </c>
      <c r="N245" s="1">
        <v>-167.0</v>
      </c>
      <c r="O245" s="1">
        <v>0.0169579620304493</v>
      </c>
      <c r="P245" s="1" t="s">
        <v>61</v>
      </c>
      <c r="Q245" s="1" t="s">
        <v>61</v>
      </c>
    </row>
    <row r="246">
      <c r="A246" s="1" t="s">
        <v>12</v>
      </c>
      <c r="B246" s="1" t="s">
        <v>527</v>
      </c>
      <c r="C246" s="1" t="s">
        <v>18</v>
      </c>
      <c r="D246" s="1" t="s">
        <v>67</v>
      </c>
      <c r="E246" s="1" t="s">
        <v>89</v>
      </c>
      <c r="F246" s="1" t="s">
        <v>629</v>
      </c>
      <c r="G246" s="1">
        <v>2.5</v>
      </c>
      <c r="H246" s="1" t="s">
        <v>60</v>
      </c>
      <c r="I246" s="1">
        <v>126.0</v>
      </c>
      <c r="J246" s="1">
        <v>-0.0861755226938054</v>
      </c>
      <c r="K246" s="1" t="s">
        <v>61</v>
      </c>
      <c r="L246" s="1" t="s">
        <v>61</v>
      </c>
      <c r="M246" s="1" t="s">
        <v>62</v>
      </c>
      <c r="N246" s="1">
        <v>-168.0</v>
      </c>
      <c r="O246" s="1">
        <v>0.0168316822328358</v>
      </c>
      <c r="P246" s="1" t="s">
        <v>61</v>
      </c>
      <c r="Q246" s="1" t="s">
        <v>61</v>
      </c>
    </row>
    <row r="247">
      <c r="A247" s="1" t="s">
        <v>12</v>
      </c>
      <c r="B247" s="1" t="s">
        <v>458</v>
      </c>
      <c r="C247" s="1" t="s">
        <v>19</v>
      </c>
      <c r="D247" s="1" t="s">
        <v>104</v>
      </c>
      <c r="E247" s="1" t="s">
        <v>100</v>
      </c>
      <c r="F247" s="1" t="s">
        <v>629</v>
      </c>
      <c r="G247" s="1">
        <v>2.5</v>
      </c>
      <c r="H247" s="1" t="s">
        <v>60</v>
      </c>
      <c r="I247" s="1">
        <v>140.0</v>
      </c>
      <c r="J247" s="1">
        <v>-0.08340642595</v>
      </c>
      <c r="K247" s="1" t="s">
        <v>61</v>
      </c>
      <c r="L247" s="1" t="s">
        <v>61</v>
      </c>
      <c r="M247" s="1" t="s">
        <v>62</v>
      </c>
      <c r="N247" s="1">
        <v>-186.0</v>
      </c>
      <c r="O247" s="1">
        <v>0.0163831881720279</v>
      </c>
      <c r="P247" s="1" t="s">
        <v>61</v>
      </c>
      <c r="Q247" s="1" t="s">
        <v>61</v>
      </c>
    </row>
    <row r="248">
      <c r="A248" s="1" t="s">
        <v>9</v>
      </c>
      <c r="B248" s="1" t="s">
        <v>389</v>
      </c>
      <c r="C248" s="1" t="s">
        <v>18</v>
      </c>
      <c r="D248" s="1" t="s">
        <v>67</v>
      </c>
      <c r="E248" s="1" t="s">
        <v>89</v>
      </c>
      <c r="F248" s="1" t="s">
        <v>629</v>
      </c>
      <c r="G248" s="1">
        <v>76.5</v>
      </c>
      <c r="H248" s="1" t="s">
        <v>60</v>
      </c>
      <c r="I248" s="1">
        <v>-120.0</v>
      </c>
      <c r="J248" s="1">
        <v>-0.0853986099441875</v>
      </c>
      <c r="K248" s="1" t="s">
        <v>61</v>
      </c>
      <c r="L248" s="1" t="s">
        <v>61</v>
      </c>
      <c r="M248" s="1" t="s">
        <v>62</v>
      </c>
      <c r="N248" s="1">
        <v>-110.0</v>
      </c>
      <c r="O248" s="1">
        <v>0.0161107790785399</v>
      </c>
      <c r="P248" s="1" t="s">
        <v>61</v>
      </c>
      <c r="Q248" s="1" t="s">
        <v>61</v>
      </c>
    </row>
    <row r="249">
      <c r="A249" s="1" t="s">
        <v>15</v>
      </c>
      <c r="B249" s="1" t="s">
        <v>369</v>
      </c>
      <c r="C249" s="1" t="s">
        <v>21</v>
      </c>
      <c r="D249" s="1" t="s">
        <v>72</v>
      </c>
      <c r="E249" s="1" t="s">
        <v>157</v>
      </c>
      <c r="F249" s="1" t="s">
        <v>629</v>
      </c>
      <c r="G249" s="1">
        <v>23.5</v>
      </c>
      <c r="H249" s="1" t="s">
        <v>60</v>
      </c>
      <c r="I249" s="1">
        <v>-120.0</v>
      </c>
      <c r="J249" s="1">
        <v>0.0141363636363636</v>
      </c>
      <c r="K249" s="1" t="s">
        <v>61</v>
      </c>
      <c r="L249" s="1" t="s">
        <v>61</v>
      </c>
      <c r="M249" s="1" t="s">
        <v>62</v>
      </c>
      <c r="N249" s="1">
        <v>-110.0</v>
      </c>
      <c r="O249" s="1">
        <v>-0.0834142857142858</v>
      </c>
      <c r="P249" s="1" t="s">
        <v>61</v>
      </c>
      <c r="Q249" s="1" t="s">
        <v>61</v>
      </c>
    </row>
    <row r="250">
      <c r="A250" s="1" t="s">
        <v>13</v>
      </c>
      <c r="B250" s="1" t="s">
        <v>275</v>
      </c>
      <c r="C250" s="1" t="s">
        <v>21</v>
      </c>
      <c r="D250" s="1" t="s">
        <v>100</v>
      </c>
      <c r="E250" s="1" t="s">
        <v>104</v>
      </c>
      <c r="F250" s="1" t="s">
        <v>629</v>
      </c>
      <c r="G250" s="1">
        <v>179.5</v>
      </c>
      <c r="H250" s="1" t="s">
        <v>60</v>
      </c>
      <c r="I250" s="1">
        <v>-113.0</v>
      </c>
      <c r="J250" s="1">
        <v>0.0140399864366196</v>
      </c>
      <c r="K250" s="1" t="s">
        <v>61</v>
      </c>
      <c r="L250" s="1" t="s">
        <v>61</v>
      </c>
      <c r="M250" s="1" t="s">
        <v>62</v>
      </c>
      <c r="N250" s="1">
        <v>-119.0</v>
      </c>
      <c r="O250" s="1">
        <v>-0.0879128144387669</v>
      </c>
      <c r="P250" s="1" t="s">
        <v>61</v>
      </c>
      <c r="Q250" s="1" t="s">
        <v>61</v>
      </c>
    </row>
    <row r="251">
      <c r="A251" s="1" t="s">
        <v>11</v>
      </c>
      <c r="B251" s="1" t="s">
        <v>355</v>
      </c>
      <c r="C251" s="1" t="s">
        <v>18</v>
      </c>
      <c r="D251" s="1" t="s">
        <v>109</v>
      </c>
      <c r="E251" s="1" t="s">
        <v>82</v>
      </c>
      <c r="F251" s="1" t="s">
        <v>629</v>
      </c>
      <c r="G251" s="1">
        <v>54.5</v>
      </c>
      <c r="H251" s="1" t="s">
        <v>60</v>
      </c>
      <c r="I251" s="1">
        <v>-117.0</v>
      </c>
      <c r="J251" s="1">
        <v>-0.0837234770898939</v>
      </c>
      <c r="K251" s="1" t="s">
        <v>61</v>
      </c>
      <c r="L251" s="1" t="s">
        <v>61</v>
      </c>
      <c r="M251" s="1" t="s">
        <v>62</v>
      </c>
      <c r="N251" s="1">
        <v>-113.0</v>
      </c>
      <c r="O251" s="1">
        <v>0.0140292141078403</v>
      </c>
      <c r="P251" s="1" t="s">
        <v>61</v>
      </c>
      <c r="Q251" s="1" t="s">
        <v>61</v>
      </c>
    </row>
    <row r="252">
      <c r="A252" s="1" t="s">
        <v>10</v>
      </c>
      <c r="B252" s="1" t="s">
        <v>338</v>
      </c>
      <c r="C252" s="1" t="s">
        <v>21</v>
      </c>
      <c r="D252" s="1" t="s">
        <v>156</v>
      </c>
      <c r="E252" s="1" t="s">
        <v>147</v>
      </c>
      <c r="F252" s="1" t="s">
        <v>629</v>
      </c>
      <c r="G252" s="1">
        <v>38.5</v>
      </c>
      <c r="H252" s="1" t="s">
        <v>60</v>
      </c>
      <c r="I252" s="1">
        <v>-112.0</v>
      </c>
      <c r="J252" s="1">
        <v>-0.0856727216201413</v>
      </c>
      <c r="K252" s="1" t="s">
        <v>61</v>
      </c>
      <c r="L252" s="1" t="s">
        <v>61</v>
      </c>
      <c r="M252" s="1" t="s">
        <v>62</v>
      </c>
      <c r="N252" s="1">
        <v>-119.0</v>
      </c>
      <c r="O252" s="1">
        <v>0.0140170551982159</v>
      </c>
      <c r="P252" s="1" t="s">
        <v>61</v>
      </c>
      <c r="Q252" s="1" t="s">
        <v>61</v>
      </c>
    </row>
    <row r="253">
      <c r="A253" s="1" t="s">
        <v>11</v>
      </c>
      <c r="B253" s="1" t="s">
        <v>539</v>
      </c>
      <c r="C253" s="1" t="s">
        <v>18</v>
      </c>
      <c r="D253" s="1" t="s">
        <v>71</v>
      </c>
      <c r="E253" s="1" t="s">
        <v>94</v>
      </c>
      <c r="F253" s="1" t="s">
        <v>629</v>
      </c>
      <c r="G253" s="1">
        <v>47.5</v>
      </c>
      <c r="H253" s="1" t="s">
        <v>60</v>
      </c>
      <c r="I253" s="1">
        <v>-113.0</v>
      </c>
      <c r="J253" s="1">
        <v>-0.0813121875852112</v>
      </c>
      <c r="K253" s="1" t="s">
        <v>61</v>
      </c>
      <c r="L253" s="1" t="s">
        <v>61</v>
      </c>
      <c r="M253" s="1" t="s">
        <v>62</v>
      </c>
      <c r="N253" s="1">
        <v>-116.0</v>
      </c>
      <c r="O253" s="1">
        <v>0.0137718354639443</v>
      </c>
      <c r="P253" s="1" t="s">
        <v>61</v>
      </c>
      <c r="Q253" s="1" t="s">
        <v>61</v>
      </c>
    </row>
    <row r="254">
      <c r="A254" s="1" t="s">
        <v>11</v>
      </c>
      <c r="B254" s="1" t="s">
        <v>475</v>
      </c>
      <c r="C254" s="1" t="s">
        <v>18</v>
      </c>
      <c r="D254" s="1" t="s">
        <v>94</v>
      </c>
      <c r="E254" s="1" t="s">
        <v>71</v>
      </c>
      <c r="F254" s="1" t="s">
        <v>629</v>
      </c>
      <c r="G254" s="1">
        <v>42.5</v>
      </c>
      <c r="H254" s="1" t="s">
        <v>60</v>
      </c>
      <c r="I254" s="1">
        <v>-110.0</v>
      </c>
      <c r="J254" s="1">
        <v>-0.0611045226233333</v>
      </c>
      <c r="K254" s="1" t="s">
        <v>61</v>
      </c>
      <c r="L254" s="1" t="s">
        <v>61</v>
      </c>
      <c r="M254" s="1" t="s">
        <v>62</v>
      </c>
      <c r="N254" s="1">
        <v>-110.0</v>
      </c>
      <c r="O254" s="1">
        <v>0.0134941639006667</v>
      </c>
      <c r="P254" s="1" t="s">
        <v>61</v>
      </c>
      <c r="Q254" s="1" t="s">
        <v>61</v>
      </c>
    </row>
    <row r="255">
      <c r="A255" s="1" t="s">
        <v>11</v>
      </c>
      <c r="B255" s="1" t="s">
        <v>406</v>
      </c>
      <c r="C255" s="1" t="s">
        <v>18</v>
      </c>
      <c r="D255" s="1" t="s">
        <v>100</v>
      </c>
      <c r="E255" s="1" t="s">
        <v>104</v>
      </c>
      <c r="F255" s="1" t="s">
        <v>629</v>
      </c>
      <c r="G255" s="1">
        <v>43.5</v>
      </c>
      <c r="H255" s="1" t="s">
        <v>60</v>
      </c>
      <c r="I255" s="1">
        <v>-115.0</v>
      </c>
      <c r="J255" s="1">
        <v>-0.080683203445814</v>
      </c>
      <c r="K255" s="1" t="s">
        <v>61</v>
      </c>
      <c r="L255" s="1" t="s">
        <v>61</v>
      </c>
      <c r="M255" s="1" t="s">
        <v>62</v>
      </c>
      <c r="N255" s="1">
        <v>-114.0</v>
      </c>
      <c r="O255" s="1">
        <v>0.013088018348673</v>
      </c>
      <c r="P255" s="1" t="s">
        <v>61</v>
      </c>
      <c r="Q255" s="1" t="s">
        <v>61</v>
      </c>
    </row>
    <row r="256">
      <c r="A256" s="1" t="s">
        <v>9</v>
      </c>
      <c r="B256" s="1" t="s">
        <v>393</v>
      </c>
      <c r="C256" s="1" t="s">
        <v>19</v>
      </c>
      <c r="D256" s="1" t="s">
        <v>197</v>
      </c>
      <c r="E256" s="1" t="s">
        <v>146</v>
      </c>
      <c r="F256" s="1" t="s">
        <v>629</v>
      </c>
      <c r="G256" s="1">
        <v>76.5</v>
      </c>
      <c r="H256" s="1" t="s">
        <v>60</v>
      </c>
      <c r="I256" s="1">
        <v>-115.0</v>
      </c>
      <c r="J256" s="1">
        <v>-0.0870225720503007</v>
      </c>
      <c r="K256" s="1" t="s">
        <v>61</v>
      </c>
      <c r="L256" s="1" t="s">
        <v>61</v>
      </c>
      <c r="M256" s="1" t="s">
        <v>62</v>
      </c>
      <c r="N256" s="1">
        <v>-117.0</v>
      </c>
      <c r="O256" s="1">
        <v>0.0129426866325029</v>
      </c>
      <c r="P256" s="1" t="s">
        <v>61</v>
      </c>
      <c r="Q256" s="1" t="s">
        <v>61</v>
      </c>
    </row>
    <row r="257">
      <c r="A257" s="1" t="s">
        <v>12</v>
      </c>
      <c r="B257" s="1" t="s">
        <v>535</v>
      </c>
      <c r="C257" s="1" t="s">
        <v>20</v>
      </c>
      <c r="D257" s="1" t="s">
        <v>157</v>
      </c>
      <c r="E257" s="1" t="s">
        <v>72</v>
      </c>
      <c r="F257" s="1" t="s">
        <v>629</v>
      </c>
      <c r="G257" s="1">
        <v>3.5</v>
      </c>
      <c r="H257" s="1" t="s">
        <v>60</v>
      </c>
      <c r="I257" s="1">
        <v>-108.0</v>
      </c>
      <c r="J257" s="1">
        <v>-0.0814788461538461</v>
      </c>
      <c r="K257" s="1" t="s">
        <v>61</v>
      </c>
      <c r="L257" s="1" t="s">
        <v>61</v>
      </c>
      <c r="M257" s="1" t="s">
        <v>62</v>
      </c>
      <c r="N257" s="1">
        <v>-122.0</v>
      </c>
      <c r="O257" s="1">
        <v>0.0127054054054055</v>
      </c>
      <c r="P257" s="1" t="s">
        <v>61</v>
      </c>
      <c r="Q257" s="1" t="s">
        <v>61</v>
      </c>
    </row>
    <row r="258">
      <c r="A258" s="1" t="s">
        <v>10</v>
      </c>
      <c r="B258" s="1" t="s">
        <v>584</v>
      </c>
      <c r="C258" s="1" t="s">
        <v>19</v>
      </c>
      <c r="D258" s="1" t="s">
        <v>71</v>
      </c>
      <c r="E258" s="1" t="s">
        <v>94</v>
      </c>
      <c r="F258" s="1" t="s">
        <v>629</v>
      </c>
      <c r="G258" s="1">
        <v>35.5</v>
      </c>
      <c r="H258" s="1" t="s">
        <v>60</v>
      </c>
      <c r="I258" s="1">
        <v>-115.0</v>
      </c>
      <c r="J258" s="1">
        <v>-0.0821389924531493</v>
      </c>
      <c r="K258" s="1" t="s">
        <v>61</v>
      </c>
      <c r="L258" s="1" t="s">
        <v>61</v>
      </c>
      <c r="M258" s="1" t="s">
        <v>62</v>
      </c>
      <c r="N258" s="1">
        <v>-115.0</v>
      </c>
      <c r="O258" s="1">
        <v>0.0124086593811215</v>
      </c>
      <c r="P258" s="1" t="s">
        <v>61</v>
      </c>
      <c r="Q258" s="1" t="s">
        <v>61</v>
      </c>
    </row>
    <row r="259">
      <c r="A259" s="1" t="s">
        <v>17</v>
      </c>
      <c r="B259" s="1" t="s">
        <v>328</v>
      </c>
      <c r="C259" s="1" t="s">
        <v>21</v>
      </c>
      <c r="D259" s="1" t="s">
        <v>109</v>
      </c>
      <c r="E259" s="1" t="s">
        <v>82</v>
      </c>
      <c r="F259" s="1" t="s">
        <v>629</v>
      </c>
      <c r="G259" s="1">
        <v>0.5</v>
      </c>
      <c r="H259" s="1" t="s">
        <v>60</v>
      </c>
      <c r="I259" s="1">
        <v>-112.0</v>
      </c>
      <c r="J259" s="1">
        <v>-0.0796547169811319</v>
      </c>
      <c r="K259" s="1" t="s">
        <v>61</v>
      </c>
      <c r="L259" s="1" t="s">
        <v>61</v>
      </c>
      <c r="M259" s="1" t="s">
        <v>62</v>
      </c>
      <c r="N259" s="1">
        <v>-117.0</v>
      </c>
      <c r="O259" s="1">
        <v>0.0121755760368664</v>
      </c>
      <c r="P259" s="1" t="s">
        <v>61</v>
      </c>
      <c r="Q259" s="1" t="s">
        <v>61</v>
      </c>
    </row>
    <row r="260">
      <c r="A260" s="1" t="s">
        <v>11</v>
      </c>
      <c r="B260" s="1" t="s">
        <v>264</v>
      </c>
      <c r="C260" s="1" t="s">
        <v>19</v>
      </c>
      <c r="D260" s="1" t="s">
        <v>109</v>
      </c>
      <c r="E260" s="1" t="s">
        <v>82</v>
      </c>
      <c r="F260" s="1" t="s">
        <v>629</v>
      </c>
      <c r="G260" s="1">
        <v>24.5</v>
      </c>
      <c r="H260" s="1" t="s">
        <v>60</v>
      </c>
      <c r="I260" s="1">
        <v>-114.0</v>
      </c>
      <c r="J260" s="1">
        <v>-0.0814497629273131</v>
      </c>
      <c r="K260" s="1" t="s">
        <v>61</v>
      </c>
      <c r="L260" s="1" t="s">
        <v>61</v>
      </c>
      <c r="M260" s="1" t="s">
        <v>62</v>
      </c>
      <c r="N260" s="1">
        <v>-116.0</v>
      </c>
      <c r="O260" s="1">
        <v>0.0117829682827601</v>
      </c>
      <c r="P260" s="1" t="s">
        <v>61</v>
      </c>
      <c r="Q260" s="1" t="s">
        <v>61</v>
      </c>
    </row>
    <row r="261">
      <c r="A261" s="1" t="s">
        <v>9</v>
      </c>
      <c r="B261" s="1" t="s">
        <v>568</v>
      </c>
      <c r="C261" s="1" t="s">
        <v>19</v>
      </c>
      <c r="D261" s="1" t="s">
        <v>147</v>
      </c>
      <c r="E261" s="1" t="s">
        <v>156</v>
      </c>
      <c r="F261" s="1" t="s">
        <v>629</v>
      </c>
      <c r="G261" s="1">
        <v>45.5</v>
      </c>
      <c r="H261" s="1" t="s">
        <v>60</v>
      </c>
      <c r="I261" s="1">
        <v>-120.0</v>
      </c>
      <c r="J261" s="1">
        <v>0.0114654020736731</v>
      </c>
      <c r="K261" s="1" t="s">
        <v>61</v>
      </c>
      <c r="L261" s="1" t="s">
        <v>61</v>
      </c>
      <c r="M261" s="1" t="s">
        <v>62</v>
      </c>
      <c r="N261" s="1">
        <v>-115.0</v>
      </c>
      <c r="O261" s="1">
        <v>-0.0918071940680897</v>
      </c>
      <c r="P261" s="1" t="s">
        <v>61</v>
      </c>
      <c r="Q261" s="1" t="s">
        <v>61</v>
      </c>
    </row>
    <row r="262">
      <c r="A262" s="1" t="s">
        <v>12</v>
      </c>
      <c r="B262" s="1" t="s">
        <v>391</v>
      </c>
      <c r="C262" s="1" t="s">
        <v>18</v>
      </c>
      <c r="D262" s="1" t="s">
        <v>71</v>
      </c>
      <c r="E262" s="1" t="s">
        <v>94</v>
      </c>
      <c r="F262" s="1" t="s">
        <v>629</v>
      </c>
      <c r="G262" s="1">
        <v>3.5</v>
      </c>
      <c r="H262" s="1" t="s">
        <v>60</v>
      </c>
      <c r="I262" s="1">
        <v>-161.0</v>
      </c>
      <c r="J262" s="1">
        <v>-0.0785582375478928</v>
      </c>
      <c r="K262" s="1" t="s">
        <v>61</v>
      </c>
      <c r="L262" s="1" t="s">
        <v>61</v>
      </c>
      <c r="M262" s="1" t="s">
        <v>62</v>
      </c>
      <c r="N262" s="1">
        <v>122.0</v>
      </c>
      <c r="O262" s="1">
        <v>0.0112495495495494</v>
      </c>
      <c r="P262" s="1" t="s">
        <v>61</v>
      </c>
      <c r="Q262" s="1" t="s">
        <v>61</v>
      </c>
    </row>
    <row r="263">
      <c r="A263" s="1" t="s">
        <v>12</v>
      </c>
      <c r="B263" s="1" t="s">
        <v>310</v>
      </c>
      <c r="C263" s="1" t="s">
        <v>18</v>
      </c>
      <c r="D263" s="1" t="s">
        <v>72</v>
      </c>
      <c r="E263" s="1" t="s">
        <v>157</v>
      </c>
      <c r="F263" s="1" t="s">
        <v>629</v>
      </c>
      <c r="G263" s="1">
        <v>5.5</v>
      </c>
      <c r="H263" s="1" t="s">
        <v>60</v>
      </c>
      <c r="I263" s="1">
        <v>-154.0</v>
      </c>
      <c r="J263" s="1">
        <v>0.0112401574803149</v>
      </c>
      <c r="K263" s="1" t="s">
        <v>61</v>
      </c>
      <c r="L263" s="1" t="s">
        <v>61</v>
      </c>
      <c r="M263" s="1" t="s">
        <v>62</v>
      </c>
      <c r="N263" s="1">
        <v>118.0</v>
      </c>
      <c r="O263" s="1">
        <v>-0.0762614678899083</v>
      </c>
      <c r="P263" s="1" t="s">
        <v>61</v>
      </c>
      <c r="Q263" s="1" t="s">
        <v>61</v>
      </c>
    </row>
    <row r="264">
      <c r="A264" s="1" t="s">
        <v>9</v>
      </c>
      <c r="B264" s="1" t="s">
        <v>344</v>
      </c>
      <c r="C264" s="1" t="s">
        <v>18</v>
      </c>
      <c r="D264" s="1" t="s">
        <v>157</v>
      </c>
      <c r="E264" s="1" t="s">
        <v>72</v>
      </c>
      <c r="F264" s="1" t="s">
        <v>629</v>
      </c>
      <c r="G264" s="1">
        <v>32.5</v>
      </c>
      <c r="H264" s="1" t="s">
        <v>60</v>
      </c>
      <c r="I264" s="1">
        <v>-117.0</v>
      </c>
      <c r="J264" s="1">
        <v>0.0106038940270319</v>
      </c>
      <c r="K264" s="1" t="s">
        <v>61</v>
      </c>
      <c r="L264" s="1" t="s">
        <v>61</v>
      </c>
      <c r="M264" s="1" t="s">
        <v>62</v>
      </c>
      <c r="N264" s="1">
        <v>-115.0</v>
      </c>
      <c r="O264" s="1">
        <v>-0.0846218686253295</v>
      </c>
      <c r="P264" s="1" t="s">
        <v>61</v>
      </c>
      <c r="Q264" s="1" t="s">
        <v>61</v>
      </c>
    </row>
    <row r="265">
      <c r="A265" s="1" t="s">
        <v>10</v>
      </c>
      <c r="B265" s="1" t="s">
        <v>631</v>
      </c>
      <c r="C265" s="1" t="s">
        <v>21</v>
      </c>
      <c r="D265" s="1" t="s">
        <v>100</v>
      </c>
      <c r="E265" s="1" t="s">
        <v>104</v>
      </c>
      <c r="F265" s="1" t="s">
        <v>629</v>
      </c>
      <c r="G265" s="1">
        <v>5.5</v>
      </c>
      <c r="H265" s="1" t="s">
        <v>60</v>
      </c>
      <c r="I265" s="1">
        <v>-121.0</v>
      </c>
      <c r="J265" s="1">
        <v>0.0100682458771163</v>
      </c>
      <c r="K265" s="1" t="s">
        <v>61</v>
      </c>
      <c r="L265" s="1" t="s">
        <v>61</v>
      </c>
      <c r="M265" s="1" t="s">
        <v>62</v>
      </c>
      <c r="N265" s="1">
        <v>-108.0</v>
      </c>
      <c r="O265" s="1">
        <v>-0.0767778121439909</v>
      </c>
      <c r="P265" s="1" t="s">
        <v>61</v>
      </c>
      <c r="Q265" s="1" t="s">
        <v>61</v>
      </c>
    </row>
    <row r="266">
      <c r="A266" s="1" t="s">
        <v>11</v>
      </c>
      <c r="B266" s="1" t="s">
        <v>441</v>
      </c>
      <c r="C266" s="1" t="s">
        <v>18</v>
      </c>
      <c r="D266" s="1" t="s">
        <v>94</v>
      </c>
      <c r="E266" s="1" t="s">
        <v>71</v>
      </c>
      <c r="F266" s="1" t="s">
        <v>629</v>
      </c>
      <c r="G266" s="1">
        <v>58.5</v>
      </c>
      <c r="H266" s="1" t="s">
        <v>60</v>
      </c>
      <c r="I266" s="1">
        <v>-120.0</v>
      </c>
      <c r="J266" s="1">
        <v>-0.0765645799330713</v>
      </c>
      <c r="K266" s="1" t="s">
        <v>61</v>
      </c>
      <c r="L266" s="1" t="s">
        <v>61</v>
      </c>
      <c r="M266" s="1" t="s">
        <v>62</v>
      </c>
      <c r="N266" s="1">
        <v>-109.0</v>
      </c>
      <c r="O266" s="1">
        <v>0.00956455159023772</v>
      </c>
      <c r="P266" s="1" t="s">
        <v>61</v>
      </c>
      <c r="Q266" s="1" t="s">
        <v>61</v>
      </c>
    </row>
    <row r="267">
      <c r="A267" s="1" t="s">
        <v>13</v>
      </c>
      <c r="B267" s="1" t="s">
        <v>260</v>
      </c>
      <c r="C267" s="1" t="s">
        <v>21</v>
      </c>
      <c r="D267" s="1" t="s">
        <v>147</v>
      </c>
      <c r="E267" s="1" t="s">
        <v>156</v>
      </c>
      <c r="F267" s="1" t="s">
        <v>629</v>
      </c>
      <c r="G267" s="1">
        <v>207.5</v>
      </c>
      <c r="H267" s="1" t="s">
        <v>60</v>
      </c>
      <c r="I267" s="1">
        <v>-112.0</v>
      </c>
      <c r="J267" s="1">
        <v>0.00908445990565987</v>
      </c>
      <c r="K267" s="1" t="s">
        <v>61</v>
      </c>
      <c r="L267" s="1" t="s">
        <v>61</v>
      </c>
      <c r="M267" s="1" t="s">
        <v>62</v>
      </c>
      <c r="N267" s="1">
        <v>-113.0</v>
      </c>
      <c r="O267" s="1">
        <v>-0.0678511981924877</v>
      </c>
      <c r="P267" s="1" t="s">
        <v>61</v>
      </c>
      <c r="Q267" s="1" t="s">
        <v>61</v>
      </c>
    </row>
    <row r="268">
      <c r="A268" s="1" t="s">
        <v>11</v>
      </c>
      <c r="B268" s="1" t="s">
        <v>549</v>
      </c>
      <c r="C268" s="1" t="s">
        <v>18</v>
      </c>
      <c r="D268" s="1" t="s">
        <v>146</v>
      </c>
      <c r="E268" s="1" t="s">
        <v>197</v>
      </c>
      <c r="F268" s="1" t="s">
        <v>629</v>
      </c>
      <c r="G268" s="1">
        <v>17.5</v>
      </c>
      <c r="H268" s="1" t="s">
        <v>60</v>
      </c>
      <c r="I268" s="1">
        <v>-111.0</v>
      </c>
      <c r="J268" s="1">
        <v>-0.0760697378049773</v>
      </c>
      <c r="K268" s="1" t="s">
        <v>61</v>
      </c>
      <c r="L268" s="1" t="s">
        <v>61</v>
      </c>
      <c r="M268" s="1" t="s">
        <v>62</v>
      </c>
      <c r="N268" s="1">
        <v>-118.0</v>
      </c>
      <c r="O268" s="1">
        <v>0.008762097792125</v>
      </c>
      <c r="P268" s="1" t="s">
        <v>61</v>
      </c>
      <c r="Q268" s="1" t="s">
        <v>61</v>
      </c>
    </row>
    <row r="269">
      <c r="A269" s="1" t="s">
        <v>11</v>
      </c>
      <c r="B269" s="1" t="s">
        <v>168</v>
      </c>
      <c r="C269" s="1" t="s">
        <v>19</v>
      </c>
      <c r="D269" s="1" t="s">
        <v>67</v>
      </c>
      <c r="E269" s="1" t="s">
        <v>89</v>
      </c>
      <c r="F269" s="1" t="s">
        <v>629</v>
      </c>
      <c r="G269" s="1">
        <v>10.5</v>
      </c>
      <c r="H269" s="1" t="s">
        <v>60</v>
      </c>
      <c r="I269" s="1">
        <v>-114.0</v>
      </c>
      <c r="J269" s="1">
        <v>0.00869228477880246</v>
      </c>
      <c r="K269" s="1" t="s">
        <v>61</v>
      </c>
      <c r="L269" s="1" t="s">
        <v>61</v>
      </c>
      <c r="M269" s="1" t="s">
        <v>62</v>
      </c>
      <c r="N269" s="1">
        <v>-112.0</v>
      </c>
      <c r="O269" s="1">
        <v>-0.0696786736593554</v>
      </c>
      <c r="P269" s="1" t="s">
        <v>61</v>
      </c>
      <c r="Q269" s="1" t="s">
        <v>61</v>
      </c>
    </row>
    <row r="270">
      <c r="A270" s="1" t="s">
        <v>8</v>
      </c>
      <c r="B270" s="1" t="s">
        <v>490</v>
      </c>
      <c r="C270" s="1" t="s">
        <v>19</v>
      </c>
      <c r="D270" s="1" t="s">
        <v>82</v>
      </c>
      <c r="E270" s="1" t="s">
        <v>109</v>
      </c>
      <c r="F270" s="1" t="s">
        <v>629</v>
      </c>
      <c r="G270" s="1">
        <v>15.5</v>
      </c>
      <c r="H270" s="1" t="s">
        <v>60</v>
      </c>
      <c r="I270" s="1">
        <v>102.0</v>
      </c>
      <c r="J270" s="1">
        <v>-0.0781978319199999</v>
      </c>
      <c r="K270" s="1" t="s">
        <v>61</v>
      </c>
      <c r="L270" s="1" t="s">
        <v>61</v>
      </c>
      <c r="M270" s="1" t="s">
        <v>62</v>
      </c>
      <c r="N270" s="1">
        <v>-135.0</v>
      </c>
      <c r="O270" s="1">
        <v>0.00865936071999995</v>
      </c>
      <c r="P270" s="1" t="s">
        <v>61</v>
      </c>
      <c r="Q270" s="1" t="s">
        <v>61</v>
      </c>
    </row>
    <row r="271">
      <c r="A271" s="1" t="s">
        <v>11</v>
      </c>
      <c r="B271" s="1" t="s">
        <v>359</v>
      </c>
      <c r="C271" s="1" t="s">
        <v>19</v>
      </c>
      <c r="D271" s="1" t="s">
        <v>72</v>
      </c>
      <c r="E271" s="1" t="s">
        <v>157</v>
      </c>
      <c r="F271" s="1" t="s">
        <v>629</v>
      </c>
      <c r="G271" s="1">
        <v>18.5</v>
      </c>
      <c r="H271" s="1" t="s">
        <v>60</v>
      </c>
      <c r="I271" s="1">
        <v>-109.0</v>
      </c>
      <c r="J271" s="1">
        <v>-0.0670384025025453</v>
      </c>
      <c r="K271" s="1" t="s">
        <v>61</v>
      </c>
      <c r="L271" s="1" t="s">
        <v>61</v>
      </c>
      <c r="M271" s="1" t="s">
        <v>62</v>
      </c>
      <c r="N271" s="1">
        <v>-116.0</v>
      </c>
      <c r="O271" s="1">
        <v>0.00853236251257916</v>
      </c>
      <c r="P271" s="1" t="s">
        <v>61</v>
      </c>
      <c r="Q271" s="1" t="s">
        <v>61</v>
      </c>
    </row>
    <row r="272">
      <c r="A272" s="1" t="s">
        <v>11</v>
      </c>
      <c r="B272" s="1" t="s">
        <v>487</v>
      </c>
      <c r="C272" s="1" t="s">
        <v>18</v>
      </c>
      <c r="D272" s="1" t="s">
        <v>157</v>
      </c>
      <c r="E272" s="1" t="s">
        <v>72</v>
      </c>
      <c r="F272" s="1" t="s">
        <v>629</v>
      </c>
      <c r="G272" s="1">
        <v>56.5</v>
      </c>
      <c r="H272" s="1" t="s">
        <v>60</v>
      </c>
      <c r="I272" s="1">
        <v>-114.0</v>
      </c>
      <c r="J272" s="1">
        <v>-0.0734602967327843</v>
      </c>
      <c r="K272" s="1" t="s">
        <v>61</v>
      </c>
      <c r="L272" s="1" t="s">
        <v>61</v>
      </c>
      <c r="M272" s="1" t="s">
        <v>62</v>
      </c>
      <c r="N272" s="1">
        <v>-114.0</v>
      </c>
      <c r="O272" s="1">
        <v>0.00804526971121433</v>
      </c>
      <c r="P272" s="1" t="s">
        <v>61</v>
      </c>
      <c r="Q272" s="1" t="s">
        <v>61</v>
      </c>
    </row>
    <row r="273">
      <c r="A273" s="1" t="s">
        <v>9</v>
      </c>
      <c r="B273" s="1" t="s">
        <v>264</v>
      </c>
      <c r="C273" s="1" t="s">
        <v>19</v>
      </c>
      <c r="D273" s="1" t="s">
        <v>109</v>
      </c>
      <c r="E273" s="1" t="s">
        <v>82</v>
      </c>
      <c r="F273" s="1" t="s">
        <v>629</v>
      </c>
      <c r="G273" s="1">
        <v>93.5</v>
      </c>
      <c r="H273" s="1" t="s">
        <v>60</v>
      </c>
      <c r="I273" s="1">
        <v>-117.0</v>
      </c>
      <c r="J273" s="1">
        <v>-0.0815667362196563</v>
      </c>
      <c r="K273" s="1" t="s">
        <v>61</v>
      </c>
      <c r="L273" s="1" t="s">
        <v>61</v>
      </c>
      <c r="M273" s="1" t="s">
        <v>62</v>
      </c>
      <c r="N273" s="1">
        <v>-115.0</v>
      </c>
      <c r="O273" s="1">
        <v>0.00751137422216385</v>
      </c>
      <c r="P273" s="1" t="s">
        <v>61</v>
      </c>
      <c r="Q273" s="1" t="s">
        <v>61</v>
      </c>
    </row>
    <row r="274">
      <c r="A274" s="1" t="s">
        <v>11</v>
      </c>
      <c r="B274" s="1" t="s">
        <v>220</v>
      </c>
      <c r="C274" s="1" t="s">
        <v>20</v>
      </c>
      <c r="D274" s="1" t="s">
        <v>94</v>
      </c>
      <c r="E274" s="1" t="s">
        <v>71</v>
      </c>
      <c r="F274" s="1" t="s">
        <v>629</v>
      </c>
      <c r="G274" s="1">
        <v>18.5</v>
      </c>
      <c r="H274" s="1" t="s">
        <v>60</v>
      </c>
      <c r="I274" s="1">
        <v>-119.0</v>
      </c>
      <c r="J274" s="1">
        <v>-0.0743960893929862</v>
      </c>
      <c r="K274" s="1" t="s">
        <v>61</v>
      </c>
      <c r="L274" s="1" t="s">
        <v>61</v>
      </c>
      <c r="M274" s="1" t="s">
        <v>62</v>
      </c>
      <c r="N274" s="1">
        <v>-110.0</v>
      </c>
      <c r="O274" s="1">
        <v>0.00723951397509703</v>
      </c>
      <c r="P274" s="1" t="s">
        <v>61</v>
      </c>
      <c r="Q274" s="1" t="s">
        <v>61</v>
      </c>
    </row>
    <row r="275">
      <c r="A275" s="1" t="s">
        <v>9</v>
      </c>
      <c r="B275" s="1" t="s">
        <v>458</v>
      </c>
      <c r="C275" s="1" t="s">
        <v>19</v>
      </c>
      <c r="D275" s="1" t="s">
        <v>104</v>
      </c>
      <c r="E275" s="1" t="s">
        <v>100</v>
      </c>
      <c r="F275" s="1" t="s">
        <v>629</v>
      </c>
      <c r="G275" s="1">
        <v>76.5</v>
      </c>
      <c r="H275" s="1" t="s">
        <v>60</v>
      </c>
      <c r="I275" s="1">
        <v>-113.0</v>
      </c>
      <c r="J275" s="1">
        <v>-0.0830538902434643</v>
      </c>
      <c r="K275" s="1" t="s">
        <v>61</v>
      </c>
      <c r="L275" s="1" t="s">
        <v>61</v>
      </c>
      <c r="M275" s="1" t="s">
        <v>62</v>
      </c>
      <c r="N275" s="1">
        <v>-120.0</v>
      </c>
      <c r="O275" s="1">
        <v>0.00705661066467933</v>
      </c>
      <c r="P275" s="1" t="s">
        <v>61</v>
      </c>
      <c r="Q275" s="1" t="s">
        <v>61</v>
      </c>
    </row>
    <row r="276">
      <c r="A276" s="1" t="s">
        <v>12</v>
      </c>
      <c r="B276" s="1" t="s">
        <v>487</v>
      </c>
      <c r="C276" s="1" t="s">
        <v>18</v>
      </c>
      <c r="D276" s="1" t="s">
        <v>157</v>
      </c>
      <c r="E276" s="1" t="s">
        <v>72</v>
      </c>
      <c r="F276" s="1" t="s">
        <v>629</v>
      </c>
      <c r="G276" s="1">
        <v>4.5</v>
      </c>
      <c r="H276" s="1" t="s">
        <v>60</v>
      </c>
      <c r="I276" s="1">
        <v>-128.0</v>
      </c>
      <c r="J276" s="1">
        <v>-0.0757035087719297</v>
      </c>
      <c r="K276" s="1" t="s">
        <v>61</v>
      </c>
      <c r="L276" s="1" t="s">
        <v>61</v>
      </c>
      <c r="M276" s="1" t="s">
        <v>62</v>
      </c>
      <c r="N276" s="1">
        <v>-103.0</v>
      </c>
      <c r="O276" s="1">
        <v>0.00691083743842357</v>
      </c>
      <c r="P276" s="1" t="s">
        <v>61</v>
      </c>
      <c r="Q276" s="1" t="s">
        <v>61</v>
      </c>
    </row>
    <row r="277">
      <c r="A277" s="1" t="s">
        <v>10</v>
      </c>
      <c r="B277" s="1" t="s">
        <v>280</v>
      </c>
      <c r="C277" s="1" t="s">
        <v>19</v>
      </c>
      <c r="D277" s="1" t="s">
        <v>94</v>
      </c>
      <c r="E277" s="1" t="s">
        <v>71</v>
      </c>
      <c r="F277" s="1" t="s">
        <v>629</v>
      </c>
      <c r="G277" s="1">
        <v>36.5</v>
      </c>
      <c r="H277" s="1" t="s">
        <v>60</v>
      </c>
      <c r="I277" s="1">
        <v>-118.0</v>
      </c>
      <c r="J277" s="1">
        <v>-0.0741595429470274</v>
      </c>
      <c r="K277" s="1" t="s">
        <v>61</v>
      </c>
      <c r="L277" s="1" t="s">
        <v>61</v>
      </c>
      <c r="M277" s="1" t="s">
        <v>62</v>
      </c>
      <c r="N277" s="1">
        <v>-111.0</v>
      </c>
      <c r="O277" s="1">
        <v>0.00681906627350581</v>
      </c>
      <c r="P277" s="1" t="s">
        <v>61</v>
      </c>
      <c r="Q277" s="1" t="s">
        <v>61</v>
      </c>
    </row>
    <row r="278">
      <c r="A278" s="1" t="s">
        <v>13</v>
      </c>
      <c r="B278" s="1" t="s">
        <v>631</v>
      </c>
      <c r="C278" s="1" t="s">
        <v>21</v>
      </c>
      <c r="D278" s="1" t="s">
        <v>100</v>
      </c>
      <c r="E278" s="1" t="s">
        <v>104</v>
      </c>
      <c r="F278" s="1" t="s">
        <v>629</v>
      </c>
      <c r="G278" s="1">
        <v>185.5</v>
      </c>
      <c r="H278" s="1" t="s">
        <v>60</v>
      </c>
      <c r="I278" s="1">
        <v>-113.0</v>
      </c>
      <c r="J278" s="1">
        <v>0.00678494737089196</v>
      </c>
      <c r="K278" s="1" t="s">
        <v>61</v>
      </c>
      <c r="L278" s="1" t="s">
        <v>61</v>
      </c>
      <c r="M278" s="1" t="s">
        <v>62</v>
      </c>
      <c r="N278" s="1">
        <v>-113.0</v>
      </c>
      <c r="O278" s="1">
        <v>-0.0677009905291078</v>
      </c>
      <c r="P278" s="1" t="s">
        <v>61</v>
      </c>
      <c r="Q278" s="1" t="s">
        <v>61</v>
      </c>
    </row>
    <row r="279">
      <c r="A279" s="1" t="s">
        <v>10</v>
      </c>
      <c r="B279" s="1" t="s">
        <v>530</v>
      </c>
      <c r="C279" s="1" t="s">
        <v>19</v>
      </c>
      <c r="D279" s="1" t="s">
        <v>89</v>
      </c>
      <c r="E279" s="1" t="s">
        <v>67</v>
      </c>
      <c r="F279" s="1" t="s">
        <v>629</v>
      </c>
      <c r="G279" s="1">
        <v>25.5</v>
      </c>
      <c r="H279" s="1" t="s">
        <v>60</v>
      </c>
      <c r="I279" s="1">
        <v>-110.0</v>
      </c>
      <c r="J279" s="1">
        <v>-0.0697544783522854</v>
      </c>
      <c r="K279" s="1" t="s">
        <v>61</v>
      </c>
      <c r="L279" s="1" t="s">
        <v>61</v>
      </c>
      <c r="M279" s="1" t="s">
        <v>62</v>
      </c>
      <c r="N279" s="1">
        <v>-117.0</v>
      </c>
      <c r="O279" s="1">
        <v>0.00676716742468452</v>
      </c>
      <c r="P279" s="1" t="s">
        <v>61</v>
      </c>
      <c r="Q279" s="1" t="s">
        <v>61</v>
      </c>
    </row>
    <row r="280">
      <c r="A280" s="1" t="s">
        <v>13</v>
      </c>
      <c r="B280" s="1" t="s">
        <v>338</v>
      </c>
      <c r="C280" s="1" t="s">
        <v>21</v>
      </c>
      <c r="D280" s="1" t="s">
        <v>156</v>
      </c>
      <c r="E280" s="1" t="s">
        <v>147</v>
      </c>
      <c r="F280" s="1" t="s">
        <v>629</v>
      </c>
      <c r="G280" s="1">
        <v>217.5</v>
      </c>
      <c r="H280" s="1" t="s">
        <v>60</v>
      </c>
      <c r="I280" s="1">
        <v>-113.0</v>
      </c>
      <c r="J280" s="1">
        <v>0.00672863849765237</v>
      </c>
      <c r="K280" s="1" t="s">
        <v>61</v>
      </c>
      <c r="L280" s="1" t="s">
        <v>61</v>
      </c>
      <c r="M280" s="1" t="s">
        <v>62</v>
      </c>
      <c r="N280" s="1">
        <v>-113.0</v>
      </c>
      <c r="O280" s="1">
        <v>-0.067871361502347</v>
      </c>
      <c r="P280" s="1" t="s">
        <v>61</v>
      </c>
      <c r="Q280" s="1" t="s">
        <v>61</v>
      </c>
    </row>
    <row r="281">
      <c r="A281" s="1" t="s">
        <v>14</v>
      </c>
      <c r="B281" s="1" t="s">
        <v>369</v>
      </c>
      <c r="C281" s="1" t="s">
        <v>21</v>
      </c>
      <c r="D281" s="1" t="s">
        <v>72</v>
      </c>
      <c r="E281" s="1" t="s">
        <v>157</v>
      </c>
      <c r="F281" s="1" t="s">
        <v>629</v>
      </c>
      <c r="G281" s="1">
        <v>1.5</v>
      </c>
      <c r="H281" s="1" t="s">
        <v>60</v>
      </c>
      <c r="I281" s="1">
        <v>-112.0</v>
      </c>
      <c r="J281" s="1">
        <v>-0.0762018867924527</v>
      </c>
      <c r="K281" s="1" t="s">
        <v>61</v>
      </c>
      <c r="L281" s="1" t="s">
        <v>61</v>
      </c>
      <c r="M281" s="1" t="s">
        <v>62</v>
      </c>
      <c r="N281" s="1">
        <v>-118.0</v>
      </c>
      <c r="O281" s="1">
        <v>0.00661559633027519</v>
      </c>
      <c r="P281" s="1" t="s">
        <v>61</v>
      </c>
      <c r="Q281" s="1" t="s">
        <v>61</v>
      </c>
    </row>
    <row r="282">
      <c r="A282" s="1" t="s">
        <v>11</v>
      </c>
      <c r="B282" s="1" t="s">
        <v>630</v>
      </c>
      <c r="C282" s="1" t="s">
        <v>19</v>
      </c>
      <c r="D282" s="1" t="s">
        <v>89</v>
      </c>
      <c r="E282" s="1" t="s">
        <v>67</v>
      </c>
      <c r="F282" s="1" t="s">
        <v>629</v>
      </c>
      <c r="G282" s="1">
        <v>10.5</v>
      </c>
      <c r="H282" s="1" t="s">
        <v>60</v>
      </c>
      <c r="I282" s="1">
        <v>-114.0</v>
      </c>
      <c r="J282" s="1">
        <v>0.00633690881369708</v>
      </c>
      <c r="K282" s="1" t="s">
        <v>61</v>
      </c>
      <c r="L282" s="1" t="s">
        <v>61</v>
      </c>
      <c r="M282" s="1" t="s">
        <v>62</v>
      </c>
      <c r="N282" s="1">
        <v>-116.0</v>
      </c>
      <c r="O282" s="1">
        <v>-0.0760614177958896</v>
      </c>
      <c r="P282" s="1" t="s">
        <v>61</v>
      </c>
      <c r="Q282" s="1" t="s">
        <v>61</v>
      </c>
    </row>
    <row r="283">
      <c r="A283" s="1" t="s">
        <v>10</v>
      </c>
      <c r="B283" s="1" t="s">
        <v>187</v>
      </c>
      <c r="C283" s="1" t="s">
        <v>19</v>
      </c>
      <c r="D283" s="1" t="s">
        <v>157</v>
      </c>
      <c r="E283" s="1" t="s">
        <v>72</v>
      </c>
      <c r="F283" s="1" t="s">
        <v>629</v>
      </c>
      <c r="G283" s="1">
        <v>65.5</v>
      </c>
      <c r="H283" s="1" t="s">
        <v>60</v>
      </c>
      <c r="I283" s="1">
        <v>-109.0</v>
      </c>
      <c r="J283" s="1">
        <v>-0.0732665332434908</v>
      </c>
      <c r="K283" s="1" t="s">
        <v>61</v>
      </c>
      <c r="L283" s="1" t="s">
        <v>61</v>
      </c>
      <c r="M283" s="1" t="s">
        <v>62</v>
      </c>
      <c r="N283" s="1">
        <v>-120.0</v>
      </c>
      <c r="O283" s="1">
        <v>0.00631357890187367</v>
      </c>
      <c r="P283" s="1" t="s">
        <v>61</v>
      </c>
      <c r="Q283" s="1" t="s">
        <v>61</v>
      </c>
    </row>
    <row r="284">
      <c r="A284" s="1" t="s">
        <v>10</v>
      </c>
      <c r="B284" s="1" t="s">
        <v>260</v>
      </c>
      <c r="C284" s="1" t="s">
        <v>21</v>
      </c>
      <c r="D284" s="1" t="s">
        <v>147</v>
      </c>
      <c r="E284" s="1" t="s">
        <v>156</v>
      </c>
      <c r="F284" s="1" t="s">
        <v>629</v>
      </c>
      <c r="G284" s="1">
        <v>27.5</v>
      </c>
      <c r="H284" s="1" t="s">
        <v>60</v>
      </c>
      <c r="I284" s="1">
        <v>-116.0</v>
      </c>
      <c r="J284" s="1">
        <v>-0.0715683657546483</v>
      </c>
      <c r="K284" s="1" t="s">
        <v>61</v>
      </c>
      <c r="L284" s="1" t="s">
        <v>61</v>
      </c>
      <c r="M284" s="1" t="s">
        <v>62</v>
      </c>
      <c r="N284" s="1">
        <v>-112.0</v>
      </c>
      <c r="O284" s="1">
        <v>0.00624797661964393</v>
      </c>
      <c r="P284" s="1" t="s">
        <v>61</v>
      </c>
      <c r="Q284" s="1" t="s">
        <v>61</v>
      </c>
    </row>
    <row r="285">
      <c r="A285" s="1" t="s">
        <v>10</v>
      </c>
      <c r="B285" s="1" t="s">
        <v>340</v>
      </c>
      <c r="C285" s="1" t="s">
        <v>19</v>
      </c>
      <c r="D285" s="1" t="s">
        <v>100</v>
      </c>
      <c r="E285" s="1" t="s">
        <v>104</v>
      </c>
      <c r="F285" s="1" t="s">
        <v>629</v>
      </c>
      <c r="G285" s="1">
        <v>70.5</v>
      </c>
      <c r="H285" s="1" t="s">
        <v>60</v>
      </c>
      <c r="I285" s="1">
        <v>-116.0</v>
      </c>
      <c r="J285" s="1">
        <v>-0.0737786943973378</v>
      </c>
      <c r="K285" s="1" t="s">
        <v>61</v>
      </c>
      <c r="L285" s="1" t="s">
        <v>61</v>
      </c>
      <c r="M285" s="1" t="s">
        <v>62</v>
      </c>
      <c r="N285" s="1">
        <v>-113.0</v>
      </c>
      <c r="O285" s="1">
        <v>0.00624396571234675</v>
      </c>
      <c r="P285" s="1" t="s">
        <v>61</v>
      </c>
      <c r="Q285" s="1" t="s">
        <v>61</v>
      </c>
    </row>
    <row r="286">
      <c r="A286" s="1" t="s">
        <v>9</v>
      </c>
      <c r="B286" s="1" t="s">
        <v>529</v>
      </c>
      <c r="C286" s="1" t="s">
        <v>18</v>
      </c>
      <c r="D286" s="1" t="s">
        <v>67</v>
      </c>
      <c r="E286" s="1" t="s">
        <v>89</v>
      </c>
      <c r="F286" s="1" t="s">
        <v>629</v>
      </c>
      <c r="G286" s="1">
        <v>61.5</v>
      </c>
      <c r="H286" s="1" t="s">
        <v>60</v>
      </c>
      <c r="I286" s="1">
        <v>-116.0</v>
      </c>
      <c r="J286" s="1">
        <v>-0.0802134295602184</v>
      </c>
      <c r="K286" s="1" t="s">
        <v>61</v>
      </c>
      <c r="L286" s="1" t="s">
        <v>61</v>
      </c>
      <c r="M286" s="1" t="s">
        <v>62</v>
      </c>
      <c r="N286" s="1">
        <v>-116.0</v>
      </c>
      <c r="O286" s="1">
        <v>0.00615157828985324</v>
      </c>
      <c r="P286" s="1" t="s">
        <v>61</v>
      </c>
      <c r="Q286" s="1" t="s">
        <v>61</v>
      </c>
    </row>
    <row r="287">
      <c r="A287" s="1" t="s">
        <v>12</v>
      </c>
      <c r="B287" s="1" t="s">
        <v>189</v>
      </c>
      <c r="C287" s="1" t="s">
        <v>18</v>
      </c>
      <c r="D287" s="1" t="s">
        <v>104</v>
      </c>
      <c r="E287" s="1" t="s">
        <v>100</v>
      </c>
      <c r="F287" s="1" t="s">
        <v>629</v>
      </c>
      <c r="G287" s="1">
        <v>3.5</v>
      </c>
      <c r="H287" s="1" t="s">
        <v>60</v>
      </c>
      <c r="I287" s="1">
        <v>124.0</v>
      </c>
      <c r="J287" s="1">
        <v>-0.0733285714285714</v>
      </c>
      <c r="K287" s="1" t="s">
        <v>61</v>
      </c>
      <c r="L287" s="1" t="s">
        <v>61</v>
      </c>
      <c r="M287" s="1" t="s">
        <v>62</v>
      </c>
      <c r="N287" s="1">
        <v>-164.0</v>
      </c>
      <c r="O287" s="1">
        <v>0.00568787878787879</v>
      </c>
      <c r="P287" s="1" t="s">
        <v>61</v>
      </c>
      <c r="Q287" s="1" t="s">
        <v>61</v>
      </c>
    </row>
    <row r="288">
      <c r="A288" s="1" t="s">
        <v>14</v>
      </c>
      <c r="B288" s="1" t="s">
        <v>434</v>
      </c>
      <c r="C288" s="1" t="s">
        <v>21</v>
      </c>
      <c r="D288" s="1" t="s">
        <v>104</v>
      </c>
      <c r="E288" s="1" t="s">
        <v>100</v>
      </c>
      <c r="F288" s="1" t="s">
        <v>629</v>
      </c>
      <c r="G288" s="1">
        <v>1.5</v>
      </c>
      <c r="H288" s="1" t="s">
        <v>60</v>
      </c>
      <c r="I288" s="1">
        <v>-103.0</v>
      </c>
      <c r="J288" s="1">
        <v>-0.0705891625615763</v>
      </c>
      <c r="K288" s="1" t="s">
        <v>61</v>
      </c>
      <c r="L288" s="1" t="s">
        <v>61</v>
      </c>
      <c r="M288" s="1" t="s">
        <v>62</v>
      </c>
      <c r="N288" s="1">
        <v>-126.0</v>
      </c>
      <c r="O288" s="1">
        <v>0.00567787610619463</v>
      </c>
      <c r="P288" s="1" t="s">
        <v>61</v>
      </c>
      <c r="Q288" s="1" t="s">
        <v>61</v>
      </c>
    </row>
    <row r="289">
      <c r="A289" s="1" t="s">
        <v>10</v>
      </c>
      <c r="B289" s="1" t="s">
        <v>168</v>
      </c>
      <c r="C289" s="1" t="s">
        <v>19</v>
      </c>
      <c r="D289" s="1" t="s">
        <v>67</v>
      </c>
      <c r="E289" s="1" t="s">
        <v>89</v>
      </c>
      <c r="F289" s="1" t="s">
        <v>629</v>
      </c>
      <c r="G289" s="1">
        <v>30.5</v>
      </c>
      <c r="H289" s="1" t="s">
        <v>60</v>
      </c>
      <c r="I289" s="1">
        <v>-122.0</v>
      </c>
      <c r="J289" s="1">
        <v>-0.0788288978821865</v>
      </c>
      <c r="K289" s="1" t="s">
        <v>61</v>
      </c>
      <c r="L289" s="1" t="s">
        <v>61</v>
      </c>
      <c r="M289" s="1" t="s">
        <v>62</v>
      </c>
      <c r="N289" s="1">
        <v>-110.0</v>
      </c>
      <c r="O289" s="1">
        <v>0.00551531839442831</v>
      </c>
      <c r="P289" s="1" t="s">
        <v>61</v>
      </c>
      <c r="Q289" s="1" t="s">
        <v>61</v>
      </c>
    </row>
    <row r="290">
      <c r="A290" s="1" t="s">
        <v>10</v>
      </c>
      <c r="B290" s="1" t="s">
        <v>446</v>
      </c>
      <c r="C290" s="1" t="s">
        <v>19</v>
      </c>
      <c r="D290" s="1" t="s">
        <v>197</v>
      </c>
      <c r="E290" s="1" t="s">
        <v>146</v>
      </c>
      <c r="F290" s="1" t="s">
        <v>629</v>
      </c>
      <c r="G290" s="1">
        <v>51.5</v>
      </c>
      <c r="H290" s="1" t="s">
        <v>60</v>
      </c>
      <c r="I290" s="1">
        <v>-117.0</v>
      </c>
      <c r="J290" s="1">
        <v>-0.0706677077420201</v>
      </c>
      <c r="K290" s="1" t="s">
        <v>61</v>
      </c>
      <c r="L290" s="1" t="s">
        <v>61</v>
      </c>
      <c r="M290" s="1" t="s">
        <v>62</v>
      </c>
      <c r="N290" s="1">
        <v>-111.0</v>
      </c>
      <c r="O290" s="1">
        <v>0.00542802400608211</v>
      </c>
      <c r="P290" s="1" t="s">
        <v>61</v>
      </c>
      <c r="Q290" s="1" t="s">
        <v>61</v>
      </c>
    </row>
    <row r="291">
      <c r="A291" s="1" t="s">
        <v>16</v>
      </c>
      <c r="B291" s="1" t="s">
        <v>241</v>
      </c>
      <c r="C291" s="1" t="s">
        <v>21</v>
      </c>
      <c r="D291" s="1" t="s">
        <v>197</v>
      </c>
      <c r="E291" s="1" t="s">
        <v>146</v>
      </c>
      <c r="F291" s="1" t="s">
        <v>629</v>
      </c>
      <c r="G291" s="1">
        <v>35.5</v>
      </c>
      <c r="H291" s="1" t="s">
        <v>60</v>
      </c>
      <c r="I291" s="1">
        <v>-115.0</v>
      </c>
      <c r="J291" s="1">
        <v>0.00525568988720936</v>
      </c>
      <c r="K291" s="1" t="s">
        <v>61</v>
      </c>
      <c r="L291" s="1" t="s">
        <v>61</v>
      </c>
      <c r="M291" s="1" t="s">
        <v>62</v>
      </c>
      <c r="N291" s="1">
        <v>-115.0</v>
      </c>
      <c r="O291" s="1">
        <v>-0.0750440781627907</v>
      </c>
      <c r="P291" s="1" t="s">
        <v>61</v>
      </c>
      <c r="Q291" s="1" t="s">
        <v>61</v>
      </c>
    </row>
    <row r="292">
      <c r="A292" s="1" t="s">
        <v>15</v>
      </c>
      <c r="B292" s="1" t="s">
        <v>328</v>
      </c>
      <c r="C292" s="1" t="s">
        <v>21</v>
      </c>
      <c r="D292" s="1" t="s">
        <v>109</v>
      </c>
      <c r="E292" s="1" t="s">
        <v>82</v>
      </c>
      <c r="F292" s="1" t="s">
        <v>629</v>
      </c>
      <c r="G292" s="1">
        <v>24.5</v>
      </c>
      <c r="H292" s="1" t="s">
        <v>60</v>
      </c>
      <c r="I292" s="1">
        <v>-108.0</v>
      </c>
      <c r="J292" s="1">
        <v>0.00516538461538462</v>
      </c>
      <c r="K292" s="1" t="s">
        <v>61</v>
      </c>
      <c r="L292" s="1" t="s">
        <v>61</v>
      </c>
      <c r="M292" s="1" t="s">
        <v>62</v>
      </c>
      <c r="N292" s="1">
        <v>-122.0</v>
      </c>
      <c r="O292" s="1">
        <v>-0.0739594594594593</v>
      </c>
      <c r="P292" s="1" t="s">
        <v>61</v>
      </c>
      <c r="Q292" s="1" t="s">
        <v>61</v>
      </c>
    </row>
    <row r="293">
      <c r="A293" s="1" t="s">
        <v>9</v>
      </c>
      <c r="B293" s="1" t="s">
        <v>630</v>
      </c>
      <c r="C293" s="1" t="s">
        <v>19</v>
      </c>
      <c r="D293" s="1" t="s">
        <v>89</v>
      </c>
      <c r="E293" s="1" t="s">
        <v>67</v>
      </c>
      <c r="F293" s="1" t="s">
        <v>629</v>
      </c>
      <c r="G293" s="1">
        <v>33.5</v>
      </c>
      <c r="H293" s="1" t="s">
        <v>60</v>
      </c>
      <c r="I293" s="1">
        <v>-116.0</v>
      </c>
      <c r="J293" s="1">
        <v>0.00475436404048712</v>
      </c>
      <c r="K293" s="1" t="s">
        <v>61</v>
      </c>
      <c r="L293" s="1" t="s">
        <v>61</v>
      </c>
      <c r="M293" s="1" t="s">
        <v>62</v>
      </c>
      <c r="N293" s="1">
        <v>-117.0</v>
      </c>
      <c r="O293" s="1">
        <v>-0.0809934141949859</v>
      </c>
      <c r="P293" s="1" t="s">
        <v>61</v>
      </c>
      <c r="Q293" s="1" t="s">
        <v>61</v>
      </c>
    </row>
    <row r="294">
      <c r="A294" s="1" t="s">
        <v>11</v>
      </c>
      <c r="B294" s="1" t="s">
        <v>379</v>
      </c>
      <c r="C294" s="1" t="s">
        <v>18</v>
      </c>
      <c r="D294" s="1" t="s">
        <v>146</v>
      </c>
      <c r="E294" s="1" t="s">
        <v>197</v>
      </c>
      <c r="F294" s="1" t="s">
        <v>629</v>
      </c>
      <c r="G294" s="1">
        <v>93.5</v>
      </c>
      <c r="H294" s="1" t="s">
        <v>60</v>
      </c>
      <c r="I294" s="1">
        <v>-119.0</v>
      </c>
      <c r="J294" s="1">
        <v>-0.0716219266111826</v>
      </c>
      <c r="K294" s="1" t="s">
        <v>61</v>
      </c>
      <c r="L294" s="1" t="s">
        <v>61</v>
      </c>
      <c r="M294" s="1" t="s">
        <v>62</v>
      </c>
      <c r="N294" s="1">
        <v>-110.0</v>
      </c>
      <c r="O294" s="1">
        <v>0.00445282879029562</v>
      </c>
      <c r="P294" s="1" t="s">
        <v>61</v>
      </c>
      <c r="Q294" s="1" t="s">
        <v>61</v>
      </c>
    </row>
    <row r="295">
      <c r="A295" s="1" t="s">
        <v>11</v>
      </c>
      <c r="B295" s="1" t="s">
        <v>437</v>
      </c>
      <c r="C295" s="1" t="s">
        <v>18</v>
      </c>
      <c r="D295" s="1" t="s">
        <v>100</v>
      </c>
      <c r="E295" s="1" t="s">
        <v>104</v>
      </c>
      <c r="F295" s="1" t="s">
        <v>629</v>
      </c>
      <c r="G295" s="1">
        <v>41.5</v>
      </c>
      <c r="H295" s="1" t="s">
        <v>60</v>
      </c>
      <c r="I295" s="1">
        <v>-119.0</v>
      </c>
      <c r="J295" s="1">
        <v>-0.0691988467884932</v>
      </c>
      <c r="K295" s="1" t="s">
        <v>61</v>
      </c>
      <c r="L295" s="1" t="s">
        <v>61</v>
      </c>
      <c r="M295" s="1" t="s">
        <v>62</v>
      </c>
      <c r="N295" s="1">
        <v>-109.0</v>
      </c>
      <c r="O295" s="1">
        <v>0.00433304908821075</v>
      </c>
      <c r="P295" s="1" t="s">
        <v>61</v>
      </c>
      <c r="Q295" s="1" t="s">
        <v>61</v>
      </c>
    </row>
    <row r="296">
      <c r="A296" s="1" t="s">
        <v>10</v>
      </c>
      <c r="B296" s="1" t="s">
        <v>569</v>
      </c>
      <c r="C296" s="1" t="s">
        <v>21</v>
      </c>
      <c r="D296" s="1" t="s">
        <v>94</v>
      </c>
      <c r="E296" s="1" t="s">
        <v>71</v>
      </c>
      <c r="F296" s="1" t="s">
        <v>629</v>
      </c>
      <c r="G296" s="1">
        <v>27.5</v>
      </c>
      <c r="H296" s="1" t="s">
        <v>60</v>
      </c>
      <c r="I296" s="1">
        <v>-108.0</v>
      </c>
      <c r="J296" s="1">
        <v>-0.0721746423919592</v>
      </c>
      <c r="K296" s="1" t="s">
        <v>61</v>
      </c>
      <c r="L296" s="1" t="s">
        <v>61</v>
      </c>
      <c r="M296" s="1" t="s">
        <v>62</v>
      </c>
      <c r="N296" s="1">
        <v>-122.0</v>
      </c>
      <c r="O296" s="1">
        <v>0.00341490654677301</v>
      </c>
      <c r="P296" s="1" t="s">
        <v>61</v>
      </c>
      <c r="Q296" s="1" t="s">
        <v>61</v>
      </c>
    </row>
    <row r="297">
      <c r="A297" s="1" t="s">
        <v>10</v>
      </c>
      <c r="B297" s="1" t="s">
        <v>275</v>
      </c>
      <c r="C297" s="1" t="s">
        <v>21</v>
      </c>
      <c r="D297" s="1" t="s">
        <v>100</v>
      </c>
      <c r="E297" s="1" t="s">
        <v>104</v>
      </c>
      <c r="F297" s="1" t="s">
        <v>629</v>
      </c>
      <c r="G297" s="1">
        <v>11.5</v>
      </c>
      <c r="H297" s="1" t="s">
        <v>60</v>
      </c>
      <c r="I297" s="1">
        <v>-117.0</v>
      </c>
      <c r="J297" s="1">
        <v>-0.0707584687030513</v>
      </c>
      <c r="K297" s="1" t="s">
        <v>61</v>
      </c>
      <c r="L297" s="1" t="s">
        <v>61</v>
      </c>
      <c r="M297" s="1" t="s">
        <v>62</v>
      </c>
      <c r="N297" s="1">
        <v>-112.0</v>
      </c>
      <c r="O297" s="1">
        <v>0.0032989539320265</v>
      </c>
      <c r="P297" s="1" t="s">
        <v>61</v>
      </c>
      <c r="Q297" s="1" t="s">
        <v>61</v>
      </c>
    </row>
    <row r="298">
      <c r="A298" s="1" t="s">
        <v>10</v>
      </c>
      <c r="B298" s="1" t="s">
        <v>393</v>
      </c>
      <c r="C298" s="1" t="s">
        <v>19</v>
      </c>
      <c r="D298" s="1" t="s">
        <v>197</v>
      </c>
      <c r="E298" s="1" t="s">
        <v>146</v>
      </c>
      <c r="F298" s="1" t="s">
        <v>629</v>
      </c>
      <c r="G298" s="1">
        <v>49.5</v>
      </c>
      <c r="H298" s="1" t="s">
        <v>60</v>
      </c>
      <c r="I298" s="1">
        <v>-117.0</v>
      </c>
      <c r="J298" s="1">
        <v>-0.0729726068709635</v>
      </c>
      <c r="K298" s="1" t="s">
        <v>61</v>
      </c>
      <c r="L298" s="1" t="s">
        <v>61</v>
      </c>
      <c r="M298" s="1" t="s">
        <v>62</v>
      </c>
      <c r="N298" s="1">
        <v>-113.0</v>
      </c>
      <c r="O298" s="1">
        <v>0.00325570030458888</v>
      </c>
      <c r="P298" s="1" t="s">
        <v>61</v>
      </c>
      <c r="Q298" s="1" t="s">
        <v>61</v>
      </c>
    </row>
    <row r="299">
      <c r="A299" s="1" t="s">
        <v>9</v>
      </c>
      <c r="B299" s="1" t="s">
        <v>189</v>
      </c>
      <c r="C299" s="1" t="s">
        <v>18</v>
      </c>
      <c r="D299" s="1" t="s">
        <v>104</v>
      </c>
      <c r="E299" s="1" t="s">
        <v>100</v>
      </c>
      <c r="F299" s="1" t="s">
        <v>629</v>
      </c>
      <c r="G299" s="1">
        <v>35.5</v>
      </c>
      <c r="H299" s="1" t="s">
        <v>60</v>
      </c>
      <c r="I299" s="1">
        <v>-115.0</v>
      </c>
      <c r="J299" s="1">
        <v>0.00284904569754629</v>
      </c>
      <c r="K299" s="1" t="s">
        <v>61</v>
      </c>
      <c r="L299" s="1" t="s">
        <v>61</v>
      </c>
      <c r="M299" s="1" t="s">
        <v>62</v>
      </c>
      <c r="N299" s="1">
        <v>-115.0</v>
      </c>
      <c r="O299" s="1">
        <v>-0.0726364025521784</v>
      </c>
      <c r="P299" s="1" t="s">
        <v>61</v>
      </c>
      <c r="Q299" s="1" t="s">
        <v>61</v>
      </c>
    </row>
    <row r="300">
      <c r="A300" s="1" t="s">
        <v>9</v>
      </c>
      <c r="B300" s="1" t="s">
        <v>155</v>
      </c>
      <c r="C300" s="1" t="s">
        <v>19</v>
      </c>
      <c r="D300" s="1" t="s">
        <v>156</v>
      </c>
      <c r="E300" s="1" t="s">
        <v>147</v>
      </c>
      <c r="F300" s="1" t="s">
        <v>629</v>
      </c>
      <c r="G300" s="1">
        <v>100.0</v>
      </c>
      <c r="H300" s="1" t="s">
        <v>60</v>
      </c>
      <c r="I300" s="1">
        <v>-121.0</v>
      </c>
      <c r="J300" s="1">
        <v>-0.0783481546064135</v>
      </c>
      <c r="K300" s="1" t="s">
        <v>61</v>
      </c>
      <c r="L300" s="1" t="s">
        <v>61</v>
      </c>
      <c r="M300" s="1" t="s">
        <v>62</v>
      </c>
      <c r="N300" s="1">
        <v>-112.0</v>
      </c>
      <c r="O300" s="1">
        <v>0.0027922216437145</v>
      </c>
      <c r="P300" s="1" t="s">
        <v>61</v>
      </c>
      <c r="Q300" s="1" t="s">
        <v>61</v>
      </c>
    </row>
    <row r="301">
      <c r="A301" s="1" t="s">
        <v>9</v>
      </c>
      <c r="B301" s="1" t="s">
        <v>385</v>
      </c>
      <c r="C301" s="1" t="s">
        <v>18</v>
      </c>
      <c r="D301" s="1" t="s">
        <v>197</v>
      </c>
      <c r="E301" s="1" t="s">
        <v>146</v>
      </c>
      <c r="F301" s="1" t="s">
        <v>629</v>
      </c>
      <c r="G301" s="1">
        <v>75.5</v>
      </c>
      <c r="H301" s="1" t="s">
        <v>60</v>
      </c>
      <c r="I301" s="1">
        <v>-115.0</v>
      </c>
      <c r="J301" s="1">
        <v>-0.0722546777226729</v>
      </c>
      <c r="K301" s="1" t="s">
        <v>61</v>
      </c>
      <c r="L301" s="1" t="s">
        <v>61</v>
      </c>
      <c r="M301" s="1" t="s">
        <v>62</v>
      </c>
      <c r="N301" s="1">
        <v>-115.0</v>
      </c>
      <c r="O301" s="1">
        <v>0.00249787938107382</v>
      </c>
      <c r="P301" s="1" t="s">
        <v>61</v>
      </c>
      <c r="Q301" s="1" t="s">
        <v>61</v>
      </c>
    </row>
    <row r="302">
      <c r="A302" s="1" t="s">
        <v>11</v>
      </c>
      <c r="B302" s="1" t="s">
        <v>480</v>
      </c>
      <c r="C302" s="1" t="s">
        <v>18</v>
      </c>
      <c r="D302" s="1" t="s">
        <v>82</v>
      </c>
      <c r="E302" s="1" t="s">
        <v>109</v>
      </c>
      <c r="F302" s="1" t="s">
        <v>629</v>
      </c>
      <c r="G302" s="1">
        <v>47.5</v>
      </c>
      <c r="H302" s="1" t="s">
        <v>60</v>
      </c>
      <c r="I302" s="1">
        <v>-114.0</v>
      </c>
      <c r="J302" s="1">
        <v>-0.0677452539461679</v>
      </c>
      <c r="K302" s="1" t="s">
        <v>61</v>
      </c>
      <c r="L302" s="1" t="s">
        <v>61</v>
      </c>
      <c r="M302" s="1" t="s">
        <v>62</v>
      </c>
      <c r="N302" s="1">
        <v>-114.0</v>
      </c>
      <c r="O302" s="1">
        <v>0.0023570583288317</v>
      </c>
      <c r="P302" s="1" t="s">
        <v>61</v>
      </c>
      <c r="Q302" s="1" t="s">
        <v>61</v>
      </c>
    </row>
    <row r="303">
      <c r="A303" s="1" t="s">
        <v>12</v>
      </c>
      <c r="B303" s="1" t="s">
        <v>507</v>
      </c>
      <c r="C303" s="1" t="s">
        <v>18</v>
      </c>
      <c r="D303" s="1" t="s">
        <v>156</v>
      </c>
      <c r="E303" s="1" t="s">
        <v>147</v>
      </c>
      <c r="F303" s="1" t="s">
        <v>629</v>
      </c>
      <c r="G303" s="1">
        <v>4.5</v>
      </c>
      <c r="H303" s="1" t="s">
        <v>60</v>
      </c>
      <c r="I303" s="1">
        <v>-150.0</v>
      </c>
      <c r="J303" s="1">
        <v>-0.06944</v>
      </c>
      <c r="K303" s="1" t="s">
        <v>61</v>
      </c>
      <c r="L303" s="1" t="s">
        <v>61</v>
      </c>
      <c r="M303" s="1" t="s">
        <v>62</v>
      </c>
      <c r="N303" s="1">
        <v>114.0</v>
      </c>
      <c r="O303" s="1">
        <v>0.00215700934579432</v>
      </c>
      <c r="P303" s="1" t="s">
        <v>61</v>
      </c>
      <c r="Q303" s="1" t="s">
        <v>61</v>
      </c>
    </row>
    <row r="304">
      <c r="A304" s="1" t="s">
        <v>9</v>
      </c>
      <c r="B304" s="1" t="s">
        <v>507</v>
      </c>
      <c r="C304" s="1" t="s">
        <v>18</v>
      </c>
      <c r="D304" s="1" t="s">
        <v>156</v>
      </c>
      <c r="E304" s="1" t="s">
        <v>147</v>
      </c>
      <c r="F304" s="1" t="s">
        <v>629</v>
      </c>
      <c r="G304" s="1">
        <v>56.5</v>
      </c>
      <c r="H304" s="1" t="s">
        <v>60</v>
      </c>
      <c r="I304" s="1">
        <v>-115.0</v>
      </c>
      <c r="J304" s="1">
        <v>0.00185645622105834</v>
      </c>
      <c r="K304" s="1" t="s">
        <v>61</v>
      </c>
      <c r="L304" s="1" t="s">
        <v>61</v>
      </c>
      <c r="M304" s="1" t="s">
        <v>62</v>
      </c>
      <c r="N304" s="1">
        <v>-115.0</v>
      </c>
      <c r="O304" s="1">
        <v>-0.0715849246542172</v>
      </c>
      <c r="P304" s="1" t="s">
        <v>61</v>
      </c>
      <c r="Q304" s="1" t="s">
        <v>61</v>
      </c>
    </row>
    <row r="305">
      <c r="A305" s="1" t="s">
        <v>15</v>
      </c>
      <c r="B305" s="1" t="s">
        <v>200</v>
      </c>
      <c r="C305" s="1" t="s">
        <v>21</v>
      </c>
      <c r="D305" s="1" t="s">
        <v>71</v>
      </c>
      <c r="E305" s="1" t="s">
        <v>94</v>
      </c>
      <c r="F305" s="1" t="s">
        <v>629</v>
      </c>
      <c r="G305" s="1">
        <v>16.5</v>
      </c>
      <c r="H305" s="1" t="s">
        <v>60</v>
      </c>
      <c r="I305" s="1">
        <v>104.0</v>
      </c>
      <c r="J305" s="1">
        <v>-0.0700946599090194</v>
      </c>
      <c r="K305" s="1" t="s">
        <v>61</v>
      </c>
      <c r="L305" s="1" t="s">
        <v>61</v>
      </c>
      <c r="M305" s="1" t="s">
        <v>62</v>
      </c>
      <c r="N305" s="1">
        <v>-137.0</v>
      </c>
      <c r="O305" s="1">
        <v>0.00185270833890294</v>
      </c>
      <c r="P305" s="1" t="s">
        <v>61</v>
      </c>
      <c r="Q305" s="1" t="s">
        <v>61</v>
      </c>
    </row>
    <row r="306">
      <c r="A306" s="1" t="s">
        <v>12</v>
      </c>
      <c r="B306" s="1" t="s">
        <v>632</v>
      </c>
      <c r="C306" s="1" t="s">
        <v>19</v>
      </c>
      <c r="D306" s="1" t="s">
        <v>89</v>
      </c>
      <c r="E306" s="1" t="s">
        <v>67</v>
      </c>
      <c r="F306" s="1" t="s">
        <v>629</v>
      </c>
      <c r="G306" s="1">
        <v>1.5</v>
      </c>
      <c r="H306" s="1" t="s">
        <v>60</v>
      </c>
      <c r="I306" s="1">
        <v>141.0</v>
      </c>
      <c r="J306" s="1">
        <v>-0.074287730069585</v>
      </c>
      <c r="K306" s="1" t="s">
        <v>61</v>
      </c>
      <c r="L306" s="1" t="s">
        <v>61</v>
      </c>
      <c r="M306" s="1" t="s">
        <v>62</v>
      </c>
      <c r="N306" s="1">
        <v>-192.0</v>
      </c>
      <c r="O306" s="1">
        <v>0.00182191406246579</v>
      </c>
      <c r="P306" s="1" t="s">
        <v>61</v>
      </c>
      <c r="Q306" s="1" t="s">
        <v>61</v>
      </c>
    </row>
    <row r="307">
      <c r="A307" s="1" t="s">
        <v>11</v>
      </c>
      <c r="B307" s="1" t="s">
        <v>559</v>
      </c>
      <c r="C307" s="1" t="s">
        <v>18</v>
      </c>
      <c r="D307" s="1" t="s">
        <v>100</v>
      </c>
      <c r="E307" s="1" t="s">
        <v>104</v>
      </c>
      <c r="F307" s="1" t="s">
        <v>629</v>
      </c>
      <c r="G307" s="1">
        <v>24.5</v>
      </c>
      <c r="H307" s="1" t="s">
        <v>60</v>
      </c>
      <c r="I307" s="1">
        <v>-106.0</v>
      </c>
      <c r="J307" s="1">
        <v>-0.0718883063819855</v>
      </c>
      <c r="K307" s="1" t="s">
        <v>61</v>
      </c>
      <c r="L307" s="1" t="s">
        <v>61</v>
      </c>
      <c r="M307" s="1" t="s">
        <v>62</v>
      </c>
      <c r="N307" s="1">
        <v>-125.0</v>
      </c>
      <c r="O307" s="1">
        <v>0.0017877284149389</v>
      </c>
      <c r="P307" s="1" t="s">
        <v>61</v>
      </c>
      <c r="Q307" s="1" t="s">
        <v>61</v>
      </c>
    </row>
    <row r="308">
      <c r="A308" s="1" t="s">
        <v>9</v>
      </c>
      <c r="B308" s="1" t="s">
        <v>487</v>
      </c>
      <c r="C308" s="1" t="s">
        <v>18</v>
      </c>
      <c r="D308" s="1" t="s">
        <v>157</v>
      </c>
      <c r="E308" s="1" t="s">
        <v>72</v>
      </c>
      <c r="F308" s="1" t="s">
        <v>629</v>
      </c>
      <c r="G308" s="1">
        <v>65.5</v>
      </c>
      <c r="H308" s="1" t="s">
        <v>60</v>
      </c>
      <c r="I308" s="1">
        <v>-116.0</v>
      </c>
      <c r="J308" s="1">
        <v>-0.075399552303339</v>
      </c>
      <c r="K308" s="1" t="s">
        <v>61</v>
      </c>
      <c r="L308" s="1" t="s">
        <v>61</v>
      </c>
      <c r="M308" s="1" t="s">
        <v>62</v>
      </c>
      <c r="N308" s="1">
        <v>-116.0</v>
      </c>
      <c r="O308" s="1">
        <v>0.00135148067187307</v>
      </c>
      <c r="P308" s="1" t="s">
        <v>61</v>
      </c>
      <c r="Q308" s="1" t="s">
        <v>61</v>
      </c>
    </row>
    <row r="309">
      <c r="A309" s="1" t="s">
        <v>10</v>
      </c>
      <c r="B309" s="1" t="s">
        <v>264</v>
      </c>
      <c r="C309" s="1" t="s">
        <v>19</v>
      </c>
      <c r="D309" s="1" t="s">
        <v>109</v>
      </c>
      <c r="E309" s="1" t="s">
        <v>82</v>
      </c>
      <c r="F309" s="1" t="s">
        <v>629</v>
      </c>
      <c r="G309" s="1">
        <v>64.5</v>
      </c>
      <c r="H309" s="1" t="s">
        <v>60</v>
      </c>
      <c r="I309" s="1">
        <v>-115.0</v>
      </c>
      <c r="J309" s="1">
        <v>-0.0709866660361583</v>
      </c>
      <c r="K309" s="1" t="s">
        <v>61</v>
      </c>
      <c r="L309" s="1" t="s">
        <v>61</v>
      </c>
      <c r="M309" s="1" t="s">
        <v>62</v>
      </c>
      <c r="N309" s="1">
        <v>-115.0</v>
      </c>
      <c r="O309" s="1">
        <v>0.00120440169979696</v>
      </c>
      <c r="P309" s="1" t="s">
        <v>61</v>
      </c>
      <c r="Q309" s="1" t="s">
        <v>61</v>
      </c>
    </row>
    <row r="310">
      <c r="A310" s="1" t="s">
        <v>12</v>
      </c>
      <c r="B310" s="1" t="s">
        <v>536</v>
      </c>
      <c r="C310" s="1" t="s">
        <v>19</v>
      </c>
      <c r="D310" s="1" t="s">
        <v>157</v>
      </c>
      <c r="E310" s="1" t="s">
        <v>72</v>
      </c>
      <c r="F310" s="1" t="s">
        <v>629</v>
      </c>
      <c r="G310" s="1">
        <v>1.5</v>
      </c>
      <c r="H310" s="1" t="s">
        <v>60</v>
      </c>
      <c r="I310" s="1">
        <v>182.0</v>
      </c>
      <c r="J310" s="1">
        <v>0.0012015013158157</v>
      </c>
      <c r="K310" s="1" t="s">
        <v>61</v>
      </c>
      <c r="L310" s="1" t="s">
        <v>61</v>
      </c>
      <c r="M310" s="1" t="s">
        <v>62</v>
      </c>
      <c r="N310" s="1">
        <v>-246.0</v>
      </c>
      <c r="O310" s="1">
        <v>-0.0667952510525433</v>
      </c>
      <c r="P310" s="1" t="s">
        <v>61</v>
      </c>
      <c r="Q310" s="1" t="s">
        <v>61</v>
      </c>
    </row>
    <row r="311">
      <c r="A311" s="1" t="s">
        <v>11</v>
      </c>
      <c r="B311" s="1" t="s">
        <v>535</v>
      </c>
      <c r="C311" s="1" t="s">
        <v>20</v>
      </c>
      <c r="D311" s="1" t="s">
        <v>157</v>
      </c>
      <c r="E311" s="1" t="s">
        <v>72</v>
      </c>
      <c r="F311" s="1" t="s">
        <v>629</v>
      </c>
      <c r="G311" s="1">
        <v>34.5</v>
      </c>
      <c r="H311" s="1" t="s">
        <v>60</v>
      </c>
      <c r="I311" s="1">
        <v>-108.0</v>
      </c>
      <c r="J311" s="1">
        <v>-0.0699624007199039</v>
      </c>
      <c r="K311" s="1" t="s">
        <v>61</v>
      </c>
      <c r="L311" s="1" t="s">
        <v>61</v>
      </c>
      <c r="M311" s="1" t="s">
        <v>62</v>
      </c>
      <c r="N311" s="1">
        <v>-122.0</v>
      </c>
      <c r="O311" s="1">
        <v>0.00119956574649926</v>
      </c>
      <c r="P311" s="1" t="s">
        <v>61</v>
      </c>
      <c r="Q311" s="1" t="s">
        <v>61</v>
      </c>
    </row>
    <row r="312">
      <c r="A312" s="1" t="s">
        <v>9</v>
      </c>
      <c r="B312" s="1" t="s">
        <v>127</v>
      </c>
      <c r="C312" s="1" t="s">
        <v>18</v>
      </c>
      <c r="D312" s="1" t="s">
        <v>197</v>
      </c>
      <c r="E312" s="1" t="s">
        <v>146</v>
      </c>
      <c r="F312" s="1" t="s">
        <v>629</v>
      </c>
      <c r="G312" s="1">
        <v>51.5</v>
      </c>
      <c r="H312" s="1" t="s">
        <v>60</v>
      </c>
      <c r="I312" s="1">
        <v>-119.0</v>
      </c>
      <c r="J312" s="1">
        <v>0.00118879222615331</v>
      </c>
      <c r="K312" s="1" t="s">
        <v>61</v>
      </c>
      <c r="L312" s="1" t="s">
        <v>61</v>
      </c>
      <c r="M312" s="1" t="s">
        <v>62</v>
      </c>
      <c r="N312" s="1">
        <v>-114.0</v>
      </c>
      <c r="O312" s="1">
        <v>-0.0772893638653338</v>
      </c>
      <c r="P312" s="1" t="s">
        <v>61</v>
      </c>
      <c r="Q312" s="1" t="s">
        <v>61</v>
      </c>
    </row>
    <row r="313">
      <c r="A313" s="1" t="s">
        <v>9</v>
      </c>
      <c r="B313" s="1" t="s">
        <v>475</v>
      </c>
      <c r="C313" s="1" t="s">
        <v>18</v>
      </c>
      <c r="D313" s="1" t="s">
        <v>94</v>
      </c>
      <c r="E313" s="1" t="s">
        <v>71</v>
      </c>
      <c r="F313" s="1" t="s">
        <v>629</v>
      </c>
      <c r="G313" s="1">
        <v>41.5</v>
      </c>
      <c r="H313" s="1" t="s">
        <v>60</v>
      </c>
      <c r="I313" s="1">
        <v>-115.0</v>
      </c>
      <c r="J313" s="1">
        <v>0.00117352373075274</v>
      </c>
      <c r="K313" s="1" t="s">
        <v>61</v>
      </c>
      <c r="L313" s="1" t="s">
        <v>61</v>
      </c>
      <c r="M313" s="1" t="s">
        <v>62</v>
      </c>
      <c r="N313" s="1">
        <v>-115.0</v>
      </c>
      <c r="O313" s="1">
        <v>-0.0708895522903658</v>
      </c>
      <c r="P313" s="1" t="s">
        <v>61</v>
      </c>
      <c r="Q313" s="1" t="s">
        <v>61</v>
      </c>
    </row>
    <row r="314">
      <c r="A314" s="1" t="s">
        <v>10</v>
      </c>
      <c r="B314" s="1" t="s">
        <v>326</v>
      </c>
      <c r="C314" s="1" t="s">
        <v>20</v>
      </c>
      <c r="D314" s="1" t="s">
        <v>76</v>
      </c>
      <c r="E314" s="1" t="s">
        <v>164</v>
      </c>
      <c r="F314" s="1" t="s">
        <v>636</v>
      </c>
      <c r="G314" s="1">
        <v>0.5</v>
      </c>
      <c r="H314" s="1" t="s">
        <v>60</v>
      </c>
      <c r="I314" s="1">
        <v>644.0</v>
      </c>
      <c r="J314" s="1">
        <v>0.478304802773028</v>
      </c>
      <c r="K314" s="1" t="s">
        <v>61</v>
      </c>
      <c r="L314" s="1" t="s">
        <v>61</v>
      </c>
      <c r="M314" s="1" t="s">
        <v>62</v>
      </c>
      <c r="N314" s="1">
        <v>-1250.0</v>
      </c>
      <c r="O314" s="1">
        <v>-0.538605413594336</v>
      </c>
      <c r="P314" s="1" t="s">
        <v>61</v>
      </c>
      <c r="Q314" s="1" t="s">
        <v>61</v>
      </c>
    </row>
    <row r="315">
      <c r="A315" s="1" t="s">
        <v>12</v>
      </c>
      <c r="B315" s="1" t="s">
        <v>523</v>
      </c>
      <c r="C315" s="1" t="s">
        <v>20</v>
      </c>
      <c r="D315" s="1" t="s">
        <v>57</v>
      </c>
      <c r="E315" s="1" t="s">
        <v>114</v>
      </c>
      <c r="F315" s="1" t="s">
        <v>637</v>
      </c>
      <c r="G315" s="1">
        <v>2.5</v>
      </c>
      <c r="H315" s="1" t="s">
        <v>60</v>
      </c>
      <c r="I315" s="1">
        <v>-172.0</v>
      </c>
      <c r="J315" s="1">
        <v>-0.361950305661764</v>
      </c>
      <c r="K315" s="1" t="s">
        <v>61</v>
      </c>
      <c r="L315" s="1" t="s">
        <v>61</v>
      </c>
      <c r="M315" s="1" t="s">
        <v>62</v>
      </c>
      <c r="N315" s="1">
        <v>130.0</v>
      </c>
      <c r="O315" s="1">
        <v>0.294814274521739</v>
      </c>
      <c r="P315" s="1" t="s">
        <v>61</v>
      </c>
      <c r="Q315" s="1" t="s">
        <v>61</v>
      </c>
    </row>
    <row r="316">
      <c r="A316" s="1" t="s">
        <v>10</v>
      </c>
      <c r="B316" s="1" t="s">
        <v>249</v>
      </c>
      <c r="C316" s="1" t="s">
        <v>18</v>
      </c>
      <c r="D316" s="1" t="s">
        <v>114</v>
      </c>
      <c r="E316" s="1" t="s">
        <v>57</v>
      </c>
      <c r="F316" s="1" t="s">
        <v>637</v>
      </c>
      <c r="G316" s="1">
        <v>0.5</v>
      </c>
      <c r="H316" s="1" t="s">
        <v>60</v>
      </c>
      <c r="I316" s="1">
        <v>192.0</v>
      </c>
      <c r="J316" s="1">
        <v>0.270364611516855</v>
      </c>
      <c r="K316" s="1" t="s">
        <v>61</v>
      </c>
      <c r="L316" s="1" t="s">
        <v>61</v>
      </c>
      <c r="M316" s="1" t="s">
        <v>62</v>
      </c>
      <c r="N316" s="1">
        <v>-248.0</v>
      </c>
      <c r="O316" s="1">
        <v>-0.325443063152606</v>
      </c>
      <c r="P316" s="1" t="s">
        <v>61</v>
      </c>
      <c r="Q316" s="1" t="s">
        <v>61</v>
      </c>
    </row>
    <row r="317">
      <c r="A317" s="1" t="s">
        <v>12</v>
      </c>
      <c r="B317" s="1" t="s">
        <v>473</v>
      </c>
      <c r="C317" s="1" t="s">
        <v>19</v>
      </c>
      <c r="D317" s="1" t="s">
        <v>134</v>
      </c>
      <c r="E317" s="1" t="s">
        <v>196</v>
      </c>
      <c r="F317" s="1" t="s">
        <v>637</v>
      </c>
      <c r="G317" s="1">
        <v>1.5</v>
      </c>
      <c r="H317" s="1" t="s">
        <v>60</v>
      </c>
      <c r="I317" s="1">
        <v>-195.0</v>
      </c>
      <c r="J317" s="1">
        <v>-0.293377785749152</v>
      </c>
      <c r="K317" s="1" t="s">
        <v>61</v>
      </c>
      <c r="L317" s="1" t="s">
        <v>61</v>
      </c>
      <c r="M317" s="1" t="s">
        <v>62</v>
      </c>
      <c r="N317" s="1">
        <v>147.0</v>
      </c>
      <c r="O317" s="1">
        <v>0.227514359497975</v>
      </c>
      <c r="P317" s="1" t="s">
        <v>61</v>
      </c>
      <c r="Q317" s="1" t="s">
        <v>61</v>
      </c>
    </row>
    <row r="318">
      <c r="A318" s="1" t="s">
        <v>12</v>
      </c>
      <c r="B318" s="1" t="s">
        <v>326</v>
      </c>
      <c r="C318" s="1" t="s">
        <v>20</v>
      </c>
      <c r="D318" s="1" t="s">
        <v>76</v>
      </c>
      <c r="E318" s="1" t="s">
        <v>164</v>
      </c>
      <c r="F318" s="1" t="s">
        <v>636</v>
      </c>
      <c r="G318" s="1">
        <v>6.5</v>
      </c>
      <c r="H318" s="1" t="s">
        <v>60</v>
      </c>
      <c r="I318" s="1">
        <v>115.0</v>
      </c>
      <c r="J318" s="1">
        <v>0.213783720930232</v>
      </c>
      <c r="K318" s="1" t="s">
        <v>61</v>
      </c>
      <c r="L318" s="1" t="s">
        <v>61</v>
      </c>
      <c r="M318" s="1" t="s">
        <v>62</v>
      </c>
      <c r="N318" s="1">
        <v>-151.0</v>
      </c>
      <c r="O318" s="1">
        <v>-0.280493625498008</v>
      </c>
      <c r="P318" s="1" t="s">
        <v>61</v>
      </c>
      <c r="Q318" s="1" t="s">
        <v>61</v>
      </c>
    </row>
    <row r="319">
      <c r="A319" s="1" t="s">
        <v>12</v>
      </c>
      <c r="B319" s="1" t="s">
        <v>237</v>
      </c>
      <c r="C319" s="1" t="s">
        <v>18</v>
      </c>
      <c r="D319" s="1" t="s">
        <v>76</v>
      </c>
      <c r="E319" s="1" t="s">
        <v>164</v>
      </c>
      <c r="F319" s="1" t="s">
        <v>636</v>
      </c>
      <c r="G319" s="1">
        <v>1.5</v>
      </c>
      <c r="H319" s="1" t="s">
        <v>60</v>
      </c>
      <c r="I319" s="1">
        <v>-170.0</v>
      </c>
      <c r="J319" s="1">
        <v>-0.274634247122222</v>
      </c>
      <c r="K319" s="1" t="s">
        <v>61</v>
      </c>
      <c r="L319" s="1" t="s">
        <v>61</v>
      </c>
      <c r="M319" s="1" t="s">
        <v>62</v>
      </c>
      <c r="N319" s="1">
        <v>128.0</v>
      </c>
      <c r="O319" s="1">
        <v>0.206427397907894</v>
      </c>
      <c r="P319" s="1" t="s">
        <v>61</v>
      </c>
      <c r="Q319" s="1" t="s">
        <v>61</v>
      </c>
    </row>
    <row r="320">
      <c r="A320" s="1" t="s">
        <v>8</v>
      </c>
      <c r="B320" s="1" t="s">
        <v>408</v>
      </c>
      <c r="C320" s="1" t="s">
        <v>19</v>
      </c>
      <c r="D320" s="1" t="s">
        <v>114</v>
      </c>
      <c r="E320" s="1" t="s">
        <v>57</v>
      </c>
      <c r="F320" s="1" t="s">
        <v>637</v>
      </c>
      <c r="G320" s="1">
        <v>8.5</v>
      </c>
      <c r="H320" s="1" t="s">
        <v>60</v>
      </c>
      <c r="I320" s="1">
        <v>-105.0</v>
      </c>
      <c r="J320" s="1">
        <v>-0.268480596009163</v>
      </c>
      <c r="K320" s="1" t="s">
        <v>61</v>
      </c>
      <c r="L320" s="1" t="s">
        <v>61</v>
      </c>
      <c r="M320" s="1" t="s">
        <v>62</v>
      </c>
      <c r="N320" s="1">
        <v>-125.0</v>
      </c>
      <c r="O320" s="1">
        <v>0.200741789899324</v>
      </c>
      <c r="P320" s="1" t="s">
        <v>61</v>
      </c>
      <c r="Q320" s="1" t="s">
        <v>61</v>
      </c>
    </row>
    <row r="321">
      <c r="A321" s="1" t="s">
        <v>12</v>
      </c>
      <c r="B321" s="1" t="s">
        <v>470</v>
      </c>
      <c r="C321" s="1" t="s">
        <v>20</v>
      </c>
      <c r="D321" s="1" t="s">
        <v>196</v>
      </c>
      <c r="E321" s="1" t="s">
        <v>134</v>
      </c>
      <c r="F321" s="1" t="s">
        <v>637</v>
      </c>
      <c r="G321" s="1">
        <v>3.5</v>
      </c>
      <c r="H321" s="1" t="s">
        <v>60</v>
      </c>
      <c r="I321" s="1">
        <v>-150.0</v>
      </c>
      <c r="J321" s="1">
        <v>-0.264659999999999</v>
      </c>
      <c r="K321" s="1" t="s">
        <v>61</v>
      </c>
      <c r="L321" s="1" t="s">
        <v>61</v>
      </c>
      <c r="M321" s="1" t="s">
        <v>62</v>
      </c>
      <c r="N321" s="1">
        <v>114.0</v>
      </c>
      <c r="O321" s="1">
        <v>0.197363551401869</v>
      </c>
      <c r="P321" s="1" t="s">
        <v>61</v>
      </c>
      <c r="Q321" s="1" t="s">
        <v>61</v>
      </c>
    </row>
    <row r="322">
      <c r="A322" s="1" t="s">
        <v>12</v>
      </c>
      <c r="B322" s="1" t="s">
        <v>521</v>
      </c>
      <c r="C322" s="1" t="s">
        <v>19</v>
      </c>
      <c r="D322" s="1" t="s">
        <v>57</v>
      </c>
      <c r="E322" s="1" t="s">
        <v>114</v>
      </c>
      <c r="F322" s="1" t="s">
        <v>637</v>
      </c>
      <c r="G322" s="1">
        <v>1.5</v>
      </c>
      <c r="H322" s="1" t="s">
        <v>60</v>
      </c>
      <c r="I322" s="1">
        <v>-159.0</v>
      </c>
      <c r="J322" s="1">
        <v>-0.255292530459459</v>
      </c>
      <c r="K322" s="1" t="s">
        <v>61</v>
      </c>
      <c r="L322" s="1" t="s">
        <v>61</v>
      </c>
      <c r="M322" s="1" t="s">
        <v>62</v>
      </c>
      <c r="N322" s="1">
        <v>121.0</v>
      </c>
      <c r="O322" s="1">
        <v>0.188903010809954</v>
      </c>
      <c r="P322" s="1" t="s">
        <v>61</v>
      </c>
      <c r="Q322" s="1" t="s">
        <v>61</v>
      </c>
    </row>
    <row r="323">
      <c r="A323" s="1" t="s">
        <v>8</v>
      </c>
      <c r="B323" s="1" t="s">
        <v>591</v>
      </c>
      <c r="C323" s="1" t="s">
        <v>19</v>
      </c>
      <c r="D323" s="1" t="s">
        <v>76</v>
      </c>
      <c r="E323" s="1" t="s">
        <v>164</v>
      </c>
      <c r="F323" s="1" t="s">
        <v>636</v>
      </c>
      <c r="G323" s="1">
        <v>12.5</v>
      </c>
      <c r="H323" s="1" t="s">
        <v>60</v>
      </c>
      <c r="I323" s="1">
        <v>-155.0</v>
      </c>
      <c r="J323" s="1">
        <v>-0.250942825856392</v>
      </c>
      <c r="K323" s="1" t="s">
        <v>61</v>
      </c>
      <c r="L323" s="1" t="s">
        <v>61</v>
      </c>
      <c r="M323" s="1" t="s">
        <v>62</v>
      </c>
      <c r="N323" s="1">
        <v>117.0</v>
      </c>
      <c r="O323" s="1">
        <v>0.182270140983318</v>
      </c>
      <c r="P323" s="1" t="s">
        <v>61</v>
      </c>
      <c r="Q323" s="1" t="s">
        <v>61</v>
      </c>
    </row>
    <row r="324">
      <c r="A324" s="1" t="s">
        <v>12</v>
      </c>
      <c r="B324" s="1" t="s">
        <v>638</v>
      </c>
      <c r="C324" s="1" t="s">
        <v>18</v>
      </c>
      <c r="D324" s="1" t="s">
        <v>57</v>
      </c>
      <c r="E324" s="1" t="s">
        <v>114</v>
      </c>
      <c r="F324" s="1" t="s">
        <v>637</v>
      </c>
      <c r="G324" s="1">
        <v>1.5</v>
      </c>
      <c r="H324" s="1" t="s">
        <v>60</v>
      </c>
      <c r="I324" s="1">
        <v>-162.0</v>
      </c>
      <c r="J324" s="1">
        <v>-0.243658013038167</v>
      </c>
      <c r="K324" s="1" t="s">
        <v>61</v>
      </c>
      <c r="L324" s="1" t="s">
        <v>61</v>
      </c>
      <c r="M324" s="1" t="s">
        <v>62</v>
      </c>
      <c r="N324" s="1">
        <v>123.0</v>
      </c>
      <c r="O324" s="1">
        <v>0.176913450295964</v>
      </c>
      <c r="P324" s="1" t="s">
        <v>61</v>
      </c>
      <c r="Q324" s="1" t="s">
        <v>61</v>
      </c>
    </row>
    <row r="325">
      <c r="A325" s="1" t="s">
        <v>12</v>
      </c>
      <c r="B325" s="1" t="s">
        <v>561</v>
      </c>
      <c r="C325" s="1" t="s">
        <v>18</v>
      </c>
      <c r="D325" s="1" t="s">
        <v>114</v>
      </c>
      <c r="E325" s="1" t="s">
        <v>57</v>
      </c>
      <c r="F325" s="1" t="s">
        <v>637</v>
      </c>
      <c r="G325" s="1">
        <v>2.5</v>
      </c>
      <c r="H325" s="1" t="s">
        <v>60</v>
      </c>
      <c r="I325" s="1">
        <v>-136.0</v>
      </c>
      <c r="J325" s="1">
        <v>-0.241512148940678</v>
      </c>
      <c r="K325" s="1" t="s">
        <v>61</v>
      </c>
      <c r="L325" s="1" t="s">
        <v>61</v>
      </c>
      <c r="M325" s="1" t="s">
        <v>62</v>
      </c>
      <c r="N325" s="1">
        <v>104.0</v>
      </c>
      <c r="O325" s="1">
        <v>0.175051309558823</v>
      </c>
      <c r="P325" s="1" t="s">
        <v>61</v>
      </c>
      <c r="Q325" s="1" t="s">
        <v>61</v>
      </c>
    </row>
    <row r="326">
      <c r="A326" s="1" t="s">
        <v>9</v>
      </c>
      <c r="B326" s="1" t="s">
        <v>604</v>
      </c>
      <c r="C326" s="1" t="s">
        <v>18</v>
      </c>
      <c r="D326" s="1" t="s">
        <v>114</v>
      </c>
      <c r="E326" s="1" t="s">
        <v>57</v>
      </c>
      <c r="F326" s="1" t="s">
        <v>637</v>
      </c>
      <c r="G326" s="1">
        <v>13.5</v>
      </c>
      <c r="H326" s="1" t="s">
        <v>60</v>
      </c>
      <c r="I326" s="1">
        <v>-113.0</v>
      </c>
      <c r="J326" s="1">
        <v>0.166050927384797</v>
      </c>
      <c r="K326" s="1" t="s">
        <v>61</v>
      </c>
      <c r="L326" s="1" t="s">
        <v>61</v>
      </c>
      <c r="M326" s="1" t="s">
        <v>62</v>
      </c>
      <c r="N326" s="1">
        <v>-120.0</v>
      </c>
      <c r="O326" s="1">
        <v>-0.241984259270701</v>
      </c>
      <c r="P326" s="1" t="s">
        <v>61</v>
      </c>
      <c r="Q326" s="1" t="s">
        <v>61</v>
      </c>
    </row>
    <row r="327">
      <c r="A327" s="1" t="s">
        <v>12</v>
      </c>
      <c r="B327" s="1" t="s">
        <v>606</v>
      </c>
      <c r="C327" s="1" t="s">
        <v>18</v>
      </c>
      <c r="D327" s="1" t="s">
        <v>114</v>
      </c>
      <c r="E327" s="1" t="s">
        <v>57</v>
      </c>
      <c r="F327" s="1" t="s">
        <v>637</v>
      </c>
      <c r="G327" s="1">
        <v>1.5</v>
      </c>
      <c r="H327" s="1" t="s">
        <v>60</v>
      </c>
      <c r="I327" s="1">
        <v>-122.0</v>
      </c>
      <c r="J327" s="1">
        <v>-0.224136004513513</v>
      </c>
      <c r="K327" s="1" t="s">
        <v>61</v>
      </c>
      <c r="L327" s="1" t="s">
        <v>61</v>
      </c>
      <c r="M327" s="1" t="s">
        <v>62</v>
      </c>
      <c r="N327" s="1">
        <v>-108.0</v>
      </c>
      <c r="O327" s="1">
        <v>0.155353617510384</v>
      </c>
      <c r="P327" s="1" t="s">
        <v>61</v>
      </c>
      <c r="Q327" s="1" t="s">
        <v>61</v>
      </c>
    </row>
    <row r="328">
      <c r="A328" s="1" t="s">
        <v>12</v>
      </c>
      <c r="B328" s="1" t="s">
        <v>468</v>
      </c>
      <c r="C328" s="1" t="s">
        <v>20</v>
      </c>
      <c r="D328" s="1" t="s">
        <v>76</v>
      </c>
      <c r="E328" s="1" t="s">
        <v>164</v>
      </c>
      <c r="F328" s="1" t="s">
        <v>636</v>
      </c>
      <c r="G328" s="1">
        <v>1.5</v>
      </c>
      <c r="H328" s="1" t="s">
        <v>60</v>
      </c>
      <c r="I328" s="1">
        <v>-158.0</v>
      </c>
      <c r="J328" s="1">
        <v>-0.21307954614341</v>
      </c>
      <c r="K328" s="1" t="s">
        <v>61</v>
      </c>
      <c r="L328" s="1" t="s">
        <v>61</v>
      </c>
      <c r="M328" s="1" t="s">
        <v>62</v>
      </c>
      <c r="N328" s="1">
        <v>120.0</v>
      </c>
      <c r="O328" s="1">
        <v>0.146144195022727</v>
      </c>
      <c r="P328" s="1" t="s">
        <v>61</v>
      </c>
      <c r="Q328" s="1" t="s">
        <v>61</v>
      </c>
    </row>
    <row r="329">
      <c r="A329" s="1" t="s">
        <v>12</v>
      </c>
      <c r="B329" s="1" t="s">
        <v>266</v>
      </c>
      <c r="C329" s="1" t="s">
        <v>19</v>
      </c>
      <c r="D329" s="1" t="s">
        <v>57</v>
      </c>
      <c r="E329" s="1" t="s">
        <v>114</v>
      </c>
      <c r="F329" s="1" t="s">
        <v>637</v>
      </c>
      <c r="G329" s="1">
        <v>3.5</v>
      </c>
      <c r="H329" s="1" t="s">
        <v>60</v>
      </c>
      <c r="I329" s="1">
        <v>-125.0</v>
      </c>
      <c r="J329" s="1">
        <v>-0.2127</v>
      </c>
      <c r="K329" s="1" t="s">
        <v>61</v>
      </c>
      <c r="L329" s="1" t="s">
        <v>61</v>
      </c>
      <c r="M329" s="1" t="s">
        <v>62</v>
      </c>
      <c r="N329" s="1">
        <v>-106.0</v>
      </c>
      <c r="O329" s="1">
        <v>0.142588349514563</v>
      </c>
      <c r="P329" s="1" t="s">
        <v>61</v>
      </c>
      <c r="Q329" s="1" t="s">
        <v>61</v>
      </c>
    </row>
    <row r="330">
      <c r="A330" s="1" t="s">
        <v>11</v>
      </c>
      <c r="B330" s="1" t="s">
        <v>133</v>
      </c>
      <c r="C330" s="1" t="s">
        <v>19</v>
      </c>
      <c r="D330" s="1" t="s">
        <v>134</v>
      </c>
      <c r="E330" s="1" t="s">
        <v>196</v>
      </c>
      <c r="F330" s="1" t="s">
        <v>637</v>
      </c>
      <c r="G330" s="1">
        <v>3.5</v>
      </c>
      <c r="H330" s="1" t="s">
        <v>60</v>
      </c>
      <c r="I330" s="1">
        <v>-109.0</v>
      </c>
      <c r="J330" s="1">
        <v>0.140007902659655</v>
      </c>
      <c r="K330" s="1" t="s">
        <v>61</v>
      </c>
      <c r="L330" s="1" t="s">
        <v>61</v>
      </c>
      <c r="M330" s="1" t="s">
        <v>62</v>
      </c>
      <c r="N330" s="1">
        <v>-117.0</v>
      </c>
      <c r="O330" s="1">
        <v>-0.200689084964818</v>
      </c>
      <c r="P330" s="1" t="s">
        <v>61</v>
      </c>
      <c r="Q330" s="1" t="s">
        <v>61</v>
      </c>
    </row>
    <row r="331">
      <c r="A331" s="1" t="s">
        <v>12</v>
      </c>
      <c r="B331" s="1" t="s">
        <v>594</v>
      </c>
      <c r="C331" s="1" t="s">
        <v>20</v>
      </c>
      <c r="D331" s="1" t="s">
        <v>134</v>
      </c>
      <c r="E331" s="1" t="s">
        <v>196</v>
      </c>
      <c r="F331" s="1" t="s">
        <v>637</v>
      </c>
      <c r="G331" s="1">
        <v>1.5</v>
      </c>
      <c r="H331" s="1" t="s">
        <v>60</v>
      </c>
      <c r="I331" s="1">
        <v>-124.0</v>
      </c>
      <c r="J331" s="1">
        <v>-0.204664191138392</v>
      </c>
      <c r="K331" s="1" t="s">
        <v>61</v>
      </c>
      <c r="L331" s="1" t="s">
        <v>61</v>
      </c>
      <c r="M331" s="1" t="s">
        <v>62</v>
      </c>
      <c r="N331" s="1">
        <v>-105.0</v>
      </c>
      <c r="O331" s="1">
        <v>0.138896574418292</v>
      </c>
      <c r="P331" s="1" t="s">
        <v>61</v>
      </c>
      <c r="Q331" s="1" t="s">
        <v>61</v>
      </c>
    </row>
    <row r="332">
      <c r="A332" s="1" t="s">
        <v>9</v>
      </c>
      <c r="B332" s="1" t="s">
        <v>606</v>
      </c>
      <c r="C332" s="1" t="s">
        <v>18</v>
      </c>
      <c r="D332" s="1" t="s">
        <v>114</v>
      </c>
      <c r="E332" s="1" t="s">
        <v>57</v>
      </c>
      <c r="F332" s="1" t="s">
        <v>637</v>
      </c>
      <c r="G332" s="1">
        <v>16.5</v>
      </c>
      <c r="H332" s="1" t="s">
        <v>60</v>
      </c>
      <c r="I332" s="1">
        <v>-113.0</v>
      </c>
      <c r="J332" s="1">
        <v>0.132988256606023</v>
      </c>
      <c r="K332" s="1" t="s">
        <v>61</v>
      </c>
      <c r="L332" s="1" t="s">
        <v>61</v>
      </c>
      <c r="M332" s="1" t="s">
        <v>62</v>
      </c>
      <c r="N332" s="1">
        <v>-120.0</v>
      </c>
      <c r="O332" s="1">
        <v>-0.208959992674998</v>
      </c>
      <c r="P332" s="1" t="s">
        <v>61</v>
      </c>
      <c r="Q332" s="1" t="s">
        <v>61</v>
      </c>
    </row>
    <row r="333">
      <c r="A333" s="1" t="s">
        <v>9</v>
      </c>
      <c r="B333" s="1" t="s">
        <v>639</v>
      </c>
      <c r="C333" s="1" t="s">
        <v>18</v>
      </c>
      <c r="D333" s="1" t="s">
        <v>164</v>
      </c>
      <c r="E333" s="1" t="s">
        <v>76</v>
      </c>
      <c r="F333" s="1" t="s">
        <v>636</v>
      </c>
      <c r="G333" s="1">
        <v>16.5</v>
      </c>
      <c r="H333" s="1" t="s">
        <v>60</v>
      </c>
      <c r="I333" s="1">
        <v>-115.0</v>
      </c>
      <c r="J333" s="1">
        <v>0.129903211836396</v>
      </c>
      <c r="K333" s="1" t="s">
        <v>61</v>
      </c>
      <c r="L333" s="1" t="s">
        <v>61</v>
      </c>
      <c r="M333" s="1" t="s">
        <v>62</v>
      </c>
      <c r="N333" s="1">
        <v>-118.0</v>
      </c>
      <c r="O333" s="1">
        <v>-0.20600369193988</v>
      </c>
      <c r="P333" s="1" t="s">
        <v>61</v>
      </c>
      <c r="Q333" s="1" t="s">
        <v>61</v>
      </c>
    </row>
    <row r="334">
      <c r="A334" s="1" t="s">
        <v>14</v>
      </c>
      <c r="B334" s="1" t="s">
        <v>320</v>
      </c>
      <c r="C334" s="1" t="s">
        <v>21</v>
      </c>
      <c r="D334" s="1" t="s">
        <v>114</v>
      </c>
      <c r="E334" s="1" t="s">
        <v>57</v>
      </c>
      <c r="F334" s="1" t="s">
        <v>637</v>
      </c>
      <c r="G334" s="1">
        <v>1.5</v>
      </c>
      <c r="H334" s="1" t="s">
        <v>60</v>
      </c>
      <c r="I334" s="1">
        <v>-144.0</v>
      </c>
      <c r="J334" s="1">
        <v>-0.180422950819672</v>
      </c>
      <c r="K334" s="1" t="s">
        <v>61</v>
      </c>
      <c r="L334" s="1" t="s">
        <v>61</v>
      </c>
      <c r="M334" s="1" t="s">
        <v>62</v>
      </c>
      <c r="N334" s="1">
        <v>112.0</v>
      </c>
      <c r="O334" s="1">
        <v>0.118554716981132</v>
      </c>
      <c r="P334" s="1" t="s">
        <v>61</v>
      </c>
      <c r="Q334" s="1" t="s">
        <v>61</v>
      </c>
    </row>
    <row r="335">
      <c r="A335" s="1" t="s">
        <v>9</v>
      </c>
      <c r="B335" s="1" t="s">
        <v>638</v>
      </c>
      <c r="C335" s="1" t="s">
        <v>18</v>
      </c>
      <c r="D335" s="1" t="s">
        <v>57</v>
      </c>
      <c r="E335" s="1" t="s">
        <v>114</v>
      </c>
      <c r="F335" s="1" t="s">
        <v>637</v>
      </c>
      <c r="G335" s="1">
        <v>19.5</v>
      </c>
      <c r="H335" s="1" t="s">
        <v>60</v>
      </c>
      <c r="I335" s="1">
        <v>-117.0</v>
      </c>
      <c r="J335" s="1">
        <v>0.113987271880774</v>
      </c>
      <c r="K335" s="1" t="s">
        <v>61</v>
      </c>
      <c r="L335" s="1" t="s">
        <v>61</v>
      </c>
      <c r="M335" s="1" t="s">
        <v>62</v>
      </c>
      <c r="N335" s="1">
        <v>-115.0</v>
      </c>
      <c r="O335" s="1">
        <v>-0.188018645106266</v>
      </c>
      <c r="P335" s="1" t="s">
        <v>61</v>
      </c>
      <c r="Q335" s="1" t="s">
        <v>61</v>
      </c>
    </row>
    <row r="336">
      <c r="A336" s="1" t="s">
        <v>12</v>
      </c>
      <c r="B336" s="1" t="s">
        <v>639</v>
      </c>
      <c r="C336" s="1" t="s">
        <v>18</v>
      </c>
      <c r="D336" s="1" t="s">
        <v>164</v>
      </c>
      <c r="E336" s="1" t="s">
        <v>76</v>
      </c>
      <c r="F336" s="1" t="s">
        <v>636</v>
      </c>
      <c r="G336" s="1">
        <v>1.5</v>
      </c>
      <c r="H336" s="1" t="s">
        <v>60</v>
      </c>
      <c r="I336" s="1">
        <v>-101.0</v>
      </c>
      <c r="J336" s="1">
        <v>-0.181273463970149</v>
      </c>
      <c r="K336" s="1" t="s">
        <v>61</v>
      </c>
      <c r="L336" s="1" t="s">
        <v>61</v>
      </c>
      <c r="M336" s="1" t="s">
        <v>62</v>
      </c>
      <c r="N336" s="1">
        <v>-133.0</v>
      </c>
      <c r="O336" s="1">
        <v>0.107968373919055</v>
      </c>
      <c r="P336" s="1" t="s">
        <v>61</v>
      </c>
      <c r="Q336" s="1" t="s">
        <v>61</v>
      </c>
    </row>
    <row r="337">
      <c r="A337" s="1" t="s">
        <v>12</v>
      </c>
      <c r="B337" s="1" t="s">
        <v>284</v>
      </c>
      <c r="C337" s="1" t="s">
        <v>18</v>
      </c>
      <c r="D337" s="1" t="s">
        <v>196</v>
      </c>
      <c r="E337" s="1" t="s">
        <v>134</v>
      </c>
      <c r="F337" s="1" t="s">
        <v>637</v>
      </c>
      <c r="G337" s="1">
        <v>2.5</v>
      </c>
      <c r="H337" s="1" t="s">
        <v>60</v>
      </c>
      <c r="I337" s="1">
        <v>-126.0</v>
      </c>
      <c r="J337" s="1">
        <v>-0.172963859070796</v>
      </c>
      <c r="K337" s="1" t="s">
        <v>61</v>
      </c>
      <c r="L337" s="1" t="s">
        <v>61</v>
      </c>
      <c r="M337" s="1" t="s">
        <v>62</v>
      </c>
      <c r="N337" s="1">
        <v>-104.0</v>
      </c>
      <c r="O337" s="1">
        <v>0.10564416390196</v>
      </c>
      <c r="P337" s="1" t="s">
        <v>61</v>
      </c>
      <c r="Q337" s="1" t="s">
        <v>61</v>
      </c>
    </row>
    <row r="338">
      <c r="A338" s="1" t="s">
        <v>12</v>
      </c>
      <c r="B338" s="1" t="s">
        <v>368</v>
      </c>
      <c r="C338" s="1" t="s">
        <v>19</v>
      </c>
      <c r="D338" s="1" t="s">
        <v>196</v>
      </c>
      <c r="E338" s="1" t="s">
        <v>134</v>
      </c>
      <c r="F338" s="1" t="s">
        <v>637</v>
      </c>
      <c r="G338" s="1">
        <v>2.5</v>
      </c>
      <c r="H338" s="1" t="s">
        <v>60</v>
      </c>
      <c r="I338" s="1">
        <v>-104.0</v>
      </c>
      <c r="J338" s="1">
        <v>-0.173302258284313</v>
      </c>
      <c r="K338" s="1" t="s">
        <v>61</v>
      </c>
      <c r="L338" s="1" t="s">
        <v>61</v>
      </c>
      <c r="M338" s="1" t="s">
        <v>62</v>
      </c>
      <c r="N338" s="1">
        <v>-127.0</v>
      </c>
      <c r="O338" s="1">
        <v>0.104026736018942</v>
      </c>
      <c r="P338" s="1" t="s">
        <v>61</v>
      </c>
      <c r="Q338" s="1" t="s">
        <v>61</v>
      </c>
    </row>
    <row r="339">
      <c r="A339" s="1" t="s">
        <v>12</v>
      </c>
      <c r="B339" s="1" t="s">
        <v>264</v>
      </c>
      <c r="C339" s="1" t="s">
        <v>19</v>
      </c>
      <c r="D339" s="1" t="s">
        <v>114</v>
      </c>
      <c r="E339" s="1" t="s">
        <v>57</v>
      </c>
      <c r="F339" s="1" t="s">
        <v>637</v>
      </c>
      <c r="G339" s="1">
        <v>1.5</v>
      </c>
      <c r="H339" s="1" t="s">
        <v>60</v>
      </c>
      <c r="I339" s="1">
        <v>-125.0</v>
      </c>
      <c r="J339" s="1">
        <v>-0.170943427191111</v>
      </c>
      <c r="K339" s="1" t="s">
        <v>61</v>
      </c>
      <c r="L339" s="1" t="s">
        <v>61</v>
      </c>
      <c r="M339" s="1" t="s">
        <v>62</v>
      </c>
      <c r="N339" s="1">
        <v>-106.0</v>
      </c>
      <c r="O339" s="1">
        <v>0.100838628082912</v>
      </c>
      <c r="P339" s="1" t="s">
        <v>61</v>
      </c>
      <c r="Q339" s="1" t="s">
        <v>61</v>
      </c>
    </row>
    <row r="340">
      <c r="A340" s="1" t="s">
        <v>11</v>
      </c>
      <c r="B340" s="1" t="s">
        <v>497</v>
      </c>
      <c r="C340" s="1" t="s">
        <v>19</v>
      </c>
      <c r="D340" s="1" t="s">
        <v>164</v>
      </c>
      <c r="E340" s="1" t="s">
        <v>76</v>
      </c>
      <c r="F340" s="1" t="s">
        <v>636</v>
      </c>
      <c r="G340" s="1">
        <v>9.5</v>
      </c>
      <c r="H340" s="1" t="s">
        <v>60</v>
      </c>
      <c r="I340" s="1">
        <v>-110.0</v>
      </c>
      <c r="J340" s="1">
        <v>0.0998343998166949</v>
      </c>
      <c r="K340" s="1" t="s">
        <v>61</v>
      </c>
      <c r="L340" s="1" t="s">
        <v>61</v>
      </c>
      <c r="M340" s="1" t="s">
        <v>62</v>
      </c>
      <c r="N340" s="1">
        <v>-118.0</v>
      </c>
      <c r="O340" s="1">
        <v>-0.164879652635674</v>
      </c>
      <c r="P340" s="1" t="s">
        <v>61</v>
      </c>
      <c r="Q340" s="1" t="s">
        <v>61</v>
      </c>
    </row>
    <row r="341">
      <c r="A341" s="1" t="s">
        <v>8</v>
      </c>
      <c r="B341" s="1" t="s">
        <v>75</v>
      </c>
      <c r="C341" s="1" t="s">
        <v>21</v>
      </c>
      <c r="D341" s="1" t="s">
        <v>76</v>
      </c>
      <c r="E341" s="1" t="s">
        <v>164</v>
      </c>
      <c r="F341" s="1" t="s">
        <v>636</v>
      </c>
      <c r="G341" s="1">
        <v>4.5</v>
      </c>
      <c r="H341" s="1" t="s">
        <v>60</v>
      </c>
      <c r="I341" s="1">
        <v>-110.0</v>
      </c>
      <c r="J341" s="1">
        <v>-0.167200492963219</v>
      </c>
      <c r="K341" s="1" t="s">
        <v>61</v>
      </c>
      <c r="L341" s="1" t="s">
        <v>61</v>
      </c>
      <c r="M341" s="1" t="s">
        <v>62</v>
      </c>
      <c r="N341" s="1">
        <v>-123.0</v>
      </c>
      <c r="O341" s="1">
        <v>0.0918200328807158</v>
      </c>
      <c r="P341" s="1" t="s">
        <v>61</v>
      </c>
      <c r="Q341" s="1" t="s">
        <v>61</v>
      </c>
    </row>
    <row r="342">
      <c r="A342" s="1" t="s">
        <v>12</v>
      </c>
      <c r="B342" s="1" t="s">
        <v>640</v>
      </c>
      <c r="C342" s="1" t="s">
        <v>18</v>
      </c>
      <c r="D342" s="1" t="s">
        <v>134</v>
      </c>
      <c r="E342" s="1" t="s">
        <v>196</v>
      </c>
      <c r="F342" s="1" t="s">
        <v>637</v>
      </c>
      <c r="G342" s="1">
        <v>1.5</v>
      </c>
      <c r="H342" s="1" t="s">
        <v>60</v>
      </c>
      <c r="I342" s="1">
        <v>122.0</v>
      </c>
      <c r="J342" s="1">
        <v>-0.154239579222792</v>
      </c>
      <c r="K342" s="1" t="s">
        <v>61</v>
      </c>
      <c r="L342" s="1" t="s">
        <v>61</v>
      </c>
      <c r="M342" s="1" t="s">
        <v>62</v>
      </c>
      <c r="N342" s="1">
        <v>-158.0</v>
      </c>
      <c r="O342" s="1">
        <v>0.0913847846237985</v>
      </c>
      <c r="P342" s="1" t="s">
        <v>61</v>
      </c>
      <c r="Q342" s="1" t="s">
        <v>61</v>
      </c>
    </row>
    <row r="343">
      <c r="A343" s="1" t="s">
        <v>12</v>
      </c>
      <c r="B343" s="1" t="s">
        <v>590</v>
      </c>
      <c r="C343" s="1" t="s">
        <v>18</v>
      </c>
      <c r="D343" s="1" t="s">
        <v>76</v>
      </c>
      <c r="E343" s="1" t="s">
        <v>164</v>
      </c>
      <c r="F343" s="1" t="s">
        <v>636</v>
      </c>
      <c r="G343" s="1">
        <v>3.5</v>
      </c>
      <c r="H343" s="1" t="s">
        <v>60</v>
      </c>
      <c r="I343" s="1">
        <v>-152.0</v>
      </c>
      <c r="J343" s="1">
        <v>-0.150014285714285</v>
      </c>
      <c r="K343" s="1" t="s">
        <v>61</v>
      </c>
      <c r="L343" s="1" t="s">
        <v>61</v>
      </c>
      <c r="M343" s="1" t="s">
        <v>62</v>
      </c>
      <c r="N343" s="1">
        <v>117.0</v>
      </c>
      <c r="O343" s="1">
        <v>0.0860165898617512</v>
      </c>
      <c r="P343" s="1" t="s">
        <v>61</v>
      </c>
      <c r="Q343" s="1" t="s">
        <v>61</v>
      </c>
    </row>
    <row r="344">
      <c r="A344" s="1" t="s">
        <v>10</v>
      </c>
      <c r="B344" s="1" t="s">
        <v>620</v>
      </c>
      <c r="C344" s="1" t="s">
        <v>21</v>
      </c>
      <c r="D344" s="1" t="s">
        <v>134</v>
      </c>
      <c r="E344" s="1" t="s">
        <v>196</v>
      </c>
      <c r="F344" s="1" t="s">
        <v>637</v>
      </c>
      <c r="G344" s="1">
        <v>1.5</v>
      </c>
      <c r="H344" s="1" t="s">
        <v>60</v>
      </c>
      <c r="I344" s="1">
        <v>-106.0</v>
      </c>
      <c r="J344" s="1">
        <v>0.0833947545263603</v>
      </c>
      <c r="K344" s="1" t="s">
        <v>61</v>
      </c>
      <c r="L344" s="1" t="s">
        <v>61</v>
      </c>
      <c r="M344" s="1" t="s">
        <v>62</v>
      </c>
      <c r="N344" s="1">
        <v>-125.0</v>
      </c>
      <c r="O344" s="1">
        <v>-0.153507331418244</v>
      </c>
      <c r="P344" s="1" t="s">
        <v>61</v>
      </c>
      <c r="Q344" s="1" t="s">
        <v>61</v>
      </c>
    </row>
    <row r="345">
      <c r="A345" s="1" t="s">
        <v>12</v>
      </c>
      <c r="B345" s="1" t="s">
        <v>353</v>
      </c>
      <c r="C345" s="1" t="s">
        <v>18</v>
      </c>
      <c r="D345" s="1" t="s">
        <v>57</v>
      </c>
      <c r="E345" s="1" t="s">
        <v>114</v>
      </c>
      <c r="F345" s="1" t="s">
        <v>637</v>
      </c>
      <c r="G345" s="1">
        <v>5.5</v>
      </c>
      <c r="H345" s="1" t="s">
        <v>60</v>
      </c>
      <c r="I345" s="1">
        <v>-105.0</v>
      </c>
      <c r="J345" s="1">
        <v>0.0832073170731707</v>
      </c>
      <c r="K345" s="1" t="s">
        <v>61</v>
      </c>
      <c r="L345" s="1" t="s">
        <v>61</v>
      </c>
      <c r="M345" s="1" t="s">
        <v>62</v>
      </c>
      <c r="N345" s="1">
        <v>-126.0</v>
      </c>
      <c r="O345" s="1">
        <v>-0.152910619469026</v>
      </c>
      <c r="P345" s="1" t="s">
        <v>61</v>
      </c>
      <c r="Q345" s="1" t="s">
        <v>61</v>
      </c>
    </row>
    <row r="346">
      <c r="A346" s="1" t="s">
        <v>8</v>
      </c>
      <c r="B346" s="1" t="s">
        <v>473</v>
      </c>
      <c r="C346" s="1" t="s">
        <v>19</v>
      </c>
      <c r="D346" s="1" t="s">
        <v>134</v>
      </c>
      <c r="E346" s="1" t="s">
        <v>196</v>
      </c>
      <c r="F346" s="1" t="s">
        <v>637</v>
      </c>
      <c r="G346" s="1">
        <v>10.5</v>
      </c>
      <c r="H346" s="1" t="s">
        <v>60</v>
      </c>
      <c r="I346" s="1">
        <v>101.0</v>
      </c>
      <c r="J346" s="1">
        <v>-0.147011901331094</v>
      </c>
      <c r="K346" s="1" t="s">
        <v>61</v>
      </c>
      <c r="L346" s="1" t="s">
        <v>61</v>
      </c>
      <c r="M346" s="1" t="s">
        <v>62</v>
      </c>
      <c r="N346" s="1">
        <v>-131.0</v>
      </c>
      <c r="O346" s="1">
        <v>0.082386969009003</v>
      </c>
      <c r="P346" s="1" t="s">
        <v>61</v>
      </c>
      <c r="Q346" s="1" t="s">
        <v>61</v>
      </c>
    </row>
    <row r="347">
      <c r="A347" s="1" t="s">
        <v>11</v>
      </c>
      <c r="B347" s="1" t="s">
        <v>523</v>
      </c>
      <c r="C347" s="1" t="s">
        <v>20</v>
      </c>
      <c r="D347" s="1" t="s">
        <v>57</v>
      </c>
      <c r="E347" s="1" t="s">
        <v>114</v>
      </c>
      <c r="F347" s="1" t="s">
        <v>637</v>
      </c>
      <c r="G347" s="1">
        <v>28.5</v>
      </c>
      <c r="H347" s="1" t="s">
        <v>60</v>
      </c>
      <c r="I347" s="1">
        <v>-108.0</v>
      </c>
      <c r="J347" s="1">
        <v>-0.143004506778601</v>
      </c>
      <c r="K347" s="1" t="s">
        <v>61</v>
      </c>
      <c r="L347" s="1" t="s">
        <v>61</v>
      </c>
      <c r="M347" s="1" t="s">
        <v>62</v>
      </c>
      <c r="N347" s="1">
        <v>-121.0</v>
      </c>
      <c r="O347" s="1">
        <v>0.0762865441902186</v>
      </c>
      <c r="P347" s="1" t="s">
        <v>61</v>
      </c>
      <c r="Q347" s="1" t="s">
        <v>61</v>
      </c>
    </row>
    <row r="348">
      <c r="A348" s="1" t="s">
        <v>12</v>
      </c>
      <c r="B348" s="1" t="s">
        <v>604</v>
      </c>
      <c r="C348" s="1" t="s">
        <v>18</v>
      </c>
      <c r="D348" s="1" t="s">
        <v>114</v>
      </c>
      <c r="E348" s="1" t="s">
        <v>57</v>
      </c>
      <c r="F348" s="1" t="s">
        <v>637</v>
      </c>
      <c r="G348" s="1">
        <v>1.5</v>
      </c>
      <c r="H348" s="1" t="s">
        <v>60</v>
      </c>
      <c r="I348" s="1">
        <v>-101.0</v>
      </c>
      <c r="J348" s="1">
        <v>-0.145628379303482</v>
      </c>
      <c r="K348" s="1" t="s">
        <v>61</v>
      </c>
      <c r="L348" s="1" t="s">
        <v>61</v>
      </c>
      <c r="M348" s="1" t="s">
        <v>62</v>
      </c>
      <c r="N348" s="1">
        <v>-131.0</v>
      </c>
      <c r="O348" s="1">
        <v>0.0760469591099567</v>
      </c>
      <c r="P348" s="1" t="s">
        <v>61</v>
      </c>
      <c r="Q348" s="1" t="s">
        <v>61</v>
      </c>
    </row>
    <row r="349">
      <c r="A349" s="1" t="s">
        <v>14</v>
      </c>
      <c r="B349" s="1" t="s">
        <v>620</v>
      </c>
      <c r="C349" s="1" t="s">
        <v>21</v>
      </c>
      <c r="D349" s="1" t="s">
        <v>134</v>
      </c>
      <c r="E349" s="1" t="s">
        <v>196</v>
      </c>
      <c r="F349" s="1" t="s">
        <v>637</v>
      </c>
      <c r="G349" s="1">
        <v>1.5</v>
      </c>
      <c r="H349" s="1" t="s">
        <v>60</v>
      </c>
      <c r="I349" s="1">
        <v>202.0</v>
      </c>
      <c r="J349" s="1">
        <v>0.0754741721854304</v>
      </c>
      <c r="K349" s="1" t="s">
        <v>61</v>
      </c>
      <c r="L349" s="1" t="s">
        <v>61</v>
      </c>
      <c r="M349" s="1" t="s">
        <v>62</v>
      </c>
      <c r="N349" s="1">
        <v>-274.0</v>
      </c>
      <c r="O349" s="1">
        <v>-0.139220320855615</v>
      </c>
      <c r="P349" s="1" t="s">
        <v>61</v>
      </c>
      <c r="Q349" s="1" t="s">
        <v>61</v>
      </c>
    </row>
    <row r="350">
      <c r="A350" s="1" t="s">
        <v>12</v>
      </c>
      <c r="B350" s="1" t="s">
        <v>641</v>
      </c>
      <c r="C350" s="1" t="s">
        <v>19</v>
      </c>
      <c r="D350" s="1" t="s">
        <v>134</v>
      </c>
      <c r="E350" s="1" t="s">
        <v>196</v>
      </c>
      <c r="F350" s="1" t="s">
        <v>637</v>
      </c>
      <c r="G350" s="1">
        <v>1.5</v>
      </c>
      <c r="H350" s="1" t="s">
        <v>60</v>
      </c>
      <c r="I350" s="1">
        <v>119.0</v>
      </c>
      <c r="J350" s="1">
        <v>-0.141206809675662</v>
      </c>
      <c r="K350" s="1" t="s">
        <v>61</v>
      </c>
      <c r="L350" s="1" t="s">
        <v>61</v>
      </c>
      <c r="M350" s="1" t="s">
        <v>62</v>
      </c>
      <c r="N350" s="1">
        <v>-156.0</v>
      </c>
      <c r="O350" s="1">
        <v>0.0752090810714063</v>
      </c>
      <c r="P350" s="1" t="s">
        <v>61</v>
      </c>
      <c r="Q350" s="1" t="s">
        <v>61</v>
      </c>
    </row>
    <row r="351">
      <c r="A351" s="1" t="s">
        <v>8</v>
      </c>
      <c r="B351" s="1" t="s">
        <v>262</v>
      </c>
      <c r="C351" s="1" t="s">
        <v>21</v>
      </c>
      <c r="D351" s="1" t="s">
        <v>164</v>
      </c>
      <c r="E351" s="1" t="s">
        <v>76</v>
      </c>
      <c r="F351" s="1" t="s">
        <v>636</v>
      </c>
      <c r="G351" s="1">
        <v>4.5</v>
      </c>
      <c r="H351" s="1" t="s">
        <v>60</v>
      </c>
      <c r="I351" s="1">
        <v>115.0</v>
      </c>
      <c r="J351" s="1">
        <v>-0.145770597068013</v>
      </c>
      <c r="K351" s="1" t="s">
        <v>61</v>
      </c>
      <c r="L351" s="1" t="s">
        <v>61</v>
      </c>
      <c r="M351" s="1" t="s">
        <v>62</v>
      </c>
      <c r="N351" s="1">
        <v>-154.0</v>
      </c>
      <c r="O351" s="1">
        <v>0.074375709309207</v>
      </c>
      <c r="P351" s="1" t="s">
        <v>61</v>
      </c>
      <c r="Q351" s="1" t="s">
        <v>61</v>
      </c>
    </row>
    <row r="352">
      <c r="A352" s="1" t="s">
        <v>8</v>
      </c>
      <c r="B352" s="1" t="s">
        <v>320</v>
      </c>
      <c r="C352" s="1" t="s">
        <v>21</v>
      </c>
      <c r="D352" s="1" t="s">
        <v>114</v>
      </c>
      <c r="E352" s="1" t="s">
        <v>57</v>
      </c>
      <c r="F352" s="1" t="s">
        <v>637</v>
      </c>
      <c r="G352" s="1">
        <v>9.5</v>
      </c>
      <c r="H352" s="1" t="s">
        <v>60</v>
      </c>
      <c r="I352" s="1">
        <v>-112.0</v>
      </c>
      <c r="J352" s="1">
        <v>-0.142544961491481</v>
      </c>
      <c r="K352" s="1" t="s">
        <v>61</v>
      </c>
      <c r="L352" s="1" t="s">
        <v>61</v>
      </c>
      <c r="M352" s="1" t="s">
        <v>62</v>
      </c>
      <c r="N352" s="1">
        <v>-118.0</v>
      </c>
      <c r="O352" s="1">
        <v>0.072965025535362</v>
      </c>
      <c r="P352" s="1" t="s">
        <v>61</v>
      </c>
      <c r="Q352" s="1" t="s">
        <v>61</v>
      </c>
    </row>
    <row r="353">
      <c r="A353" s="1" t="s">
        <v>10</v>
      </c>
      <c r="B353" s="1" t="s">
        <v>295</v>
      </c>
      <c r="C353" s="1" t="s">
        <v>18</v>
      </c>
      <c r="D353" s="1" t="s">
        <v>76</v>
      </c>
      <c r="E353" s="1" t="s">
        <v>164</v>
      </c>
      <c r="F353" s="1" t="s">
        <v>636</v>
      </c>
      <c r="G353" s="1">
        <v>3.5</v>
      </c>
      <c r="H353" s="1" t="s">
        <v>60</v>
      </c>
      <c r="I353" s="1">
        <v>101.0</v>
      </c>
      <c r="J353" s="1">
        <v>0.072689749033379</v>
      </c>
      <c r="K353" s="1" t="s">
        <v>61</v>
      </c>
      <c r="L353" s="1" t="s">
        <v>61</v>
      </c>
      <c r="M353" s="1" t="s">
        <v>62</v>
      </c>
      <c r="N353" s="1">
        <v>-132.0</v>
      </c>
      <c r="O353" s="1">
        <v>-0.139154763628952</v>
      </c>
      <c r="P353" s="1" t="s">
        <v>61</v>
      </c>
      <c r="Q353" s="1" t="s">
        <v>61</v>
      </c>
    </row>
    <row r="354">
      <c r="A354" s="1" t="s">
        <v>8</v>
      </c>
      <c r="B354" s="1" t="s">
        <v>133</v>
      </c>
      <c r="C354" s="1" t="s">
        <v>19</v>
      </c>
      <c r="D354" s="1" t="s">
        <v>134</v>
      </c>
      <c r="E354" s="1" t="s">
        <v>196</v>
      </c>
      <c r="F354" s="1" t="s">
        <v>637</v>
      </c>
      <c r="G354" s="1">
        <v>7.5</v>
      </c>
      <c r="H354" s="1" t="s">
        <v>60</v>
      </c>
      <c r="I354" s="1">
        <v>-105.0</v>
      </c>
      <c r="J354" s="1">
        <v>-0.139386591520763</v>
      </c>
      <c r="K354" s="1" t="s">
        <v>61</v>
      </c>
      <c r="L354" s="1" t="s">
        <v>61</v>
      </c>
      <c r="M354" s="1" t="s">
        <v>62</v>
      </c>
      <c r="N354" s="1">
        <v>-125.0</v>
      </c>
      <c r="O354" s="1">
        <v>0.0716347292319805</v>
      </c>
      <c r="P354" s="1" t="s">
        <v>61</v>
      </c>
      <c r="Q354" s="1" t="s">
        <v>61</v>
      </c>
    </row>
    <row r="355">
      <c r="A355" s="1" t="s">
        <v>17</v>
      </c>
      <c r="B355" s="1" t="s">
        <v>620</v>
      </c>
      <c r="C355" s="1" t="s">
        <v>21</v>
      </c>
      <c r="D355" s="1" t="s">
        <v>134</v>
      </c>
      <c r="E355" s="1" t="s">
        <v>196</v>
      </c>
      <c r="F355" s="1" t="s">
        <v>637</v>
      </c>
      <c r="G355" s="1">
        <v>0.5</v>
      </c>
      <c r="H355" s="1" t="s">
        <v>60</v>
      </c>
      <c r="I355" s="1">
        <v>-148.0</v>
      </c>
      <c r="J355" s="1">
        <v>-0.137874193548387</v>
      </c>
      <c r="K355" s="1" t="s">
        <v>61</v>
      </c>
      <c r="L355" s="1" t="s">
        <v>61</v>
      </c>
      <c r="M355" s="1" t="s">
        <v>62</v>
      </c>
      <c r="N355" s="1">
        <v>112.0</v>
      </c>
      <c r="O355" s="1">
        <v>0.0694018867924529</v>
      </c>
      <c r="P355" s="1" t="s">
        <v>61</v>
      </c>
      <c r="Q355" s="1" t="s">
        <v>61</v>
      </c>
    </row>
    <row r="356">
      <c r="A356" s="1" t="s">
        <v>12</v>
      </c>
      <c r="B356" s="1" t="s">
        <v>496</v>
      </c>
      <c r="C356" s="1" t="s">
        <v>18</v>
      </c>
      <c r="D356" s="1" t="s">
        <v>164</v>
      </c>
      <c r="E356" s="1" t="s">
        <v>76</v>
      </c>
      <c r="F356" s="1" t="s">
        <v>636</v>
      </c>
      <c r="G356" s="1">
        <v>4.5</v>
      </c>
      <c r="H356" s="1" t="s">
        <v>60</v>
      </c>
      <c r="I356" s="1">
        <v>122.0</v>
      </c>
      <c r="J356" s="1">
        <v>0.0687594594594593</v>
      </c>
      <c r="K356" s="1" t="s">
        <v>61</v>
      </c>
      <c r="L356" s="1" t="s">
        <v>61</v>
      </c>
      <c r="M356" s="1" t="s">
        <v>62</v>
      </c>
      <c r="N356" s="1">
        <v>-160.0</v>
      </c>
      <c r="O356" s="1">
        <v>-0.134607692307692</v>
      </c>
      <c r="P356" s="1" t="s">
        <v>61</v>
      </c>
      <c r="Q356" s="1" t="s">
        <v>61</v>
      </c>
    </row>
    <row r="357">
      <c r="A357" s="1" t="s">
        <v>15</v>
      </c>
      <c r="B357" s="1" t="s">
        <v>75</v>
      </c>
      <c r="C357" s="1" t="s">
        <v>21</v>
      </c>
      <c r="D357" s="1" t="s">
        <v>76</v>
      </c>
      <c r="E357" s="1" t="s">
        <v>164</v>
      </c>
      <c r="F357" s="1" t="s">
        <v>636</v>
      </c>
      <c r="G357" s="1">
        <v>22.5</v>
      </c>
      <c r="H357" s="1" t="s">
        <v>60</v>
      </c>
      <c r="I357" s="1">
        <v>-132.0</v>
      </c>
      <c r="J357" s="1">
        <v>0.0685775862068964</v>
      </c>
      <c r="K357" s="1" t="s">
        <v>61</v>
      </c>
      <c r="L357" s="1" t="s">
        <v>61</v>
      </c>
      <c r="M357" s="1" t="s">
        <v>62</v>
      </c>
      <c r="N357" s="1">
        <v>101.0</v>
      </c>
      <c r="O357" s="1">
        <v>-0.135062189054726</v>
      </c>
      <c r="P357" s="1" t="s">
        <v>61</v>
      </c>
      <c r="Q357" s="1" t="s">
        <v>61</v>
      </c>
    </row>
    <row r="358">
      <c r="A358" s="1" t="s">
        <v>11</v>
      </c>
      <c r="B358" s="1" t="s">
        <v>470</v>
      </c>
      <c r="C358" s="1" t="s">
        <v>20</v>
      </c>
      <c r="D358" s="1" t="s">
        <v>196</v>
      </c>
      <c r="E358" s="1" t="s">
        <v>134</v>
      </c>
      <c r="F358" s="1" t="s">
        <v>637</v>
      </c>
      <c r="G358" s="1">
        <v>36.5</v>
      </c>
      <c r="H358" s="1" t="s">
        <v>60</v>
      </c>
      <c r="I358" s="1">
        <v>-115.0</v>
      </c>
      <c r="J358" s="1">
        <v>-0.128817763284046</v>
      </c>
      <c r="K358" s="1" t="s">
        <v>61</v>
      </c>
      <c r="L358" s="1" t="s">
        <v>61</v>
      </c>
      <c r="M358" s="1" t="s">
        <v>62</v>
      </c>
      <c r="N358" s="1">
        <v>-111.0</v>
      </c>
      <c r="O358" s="1">
        <v>0.0678705474101075</v>
      </c>
      <c r="P358" s="1" t="s">
        <v>61</v>
      </c>
      <c r="Q358" s="1" t="s">
        <v>61</v>
      </c>
    </row>
    <row r="359">
      <c r="A359" s="1" t="s">
        <v>12</v>
      </c>
      <c r="B359" s="1" t="s">
        <v>408</v>
      </c>
      <c r="C359" s="1" t="s">
        <v>19</v>
      </c>
      <c r="D359" s="1" t="s">
        <v>114</v>
      </c>
      <c r="E359" s="1" t="s">
        <v>57</v>
      </c>
      <c r="F359" s="1" t="s">
        <v>637</v>
      </c>
      <c r="G359" s="1">
        <v>2.5</v>
      </c>
      <c r="H359" s="1" t="s">
        <v>60</v>
      </c>
      <c r="I359" s="1">
        <v>106.0</v>
      </c>
      <c r="J359" s="1">
        <v>-0.135131945691262</v>
      </c>
      <c r="K359" s="1" t="s">
        <v>61</v>
      </c>
      <c r="L359" s="1" t="s">
        <v>61</v>
      </c>
      <c r="M359" s="1" t="s">
        <v>62</v>
      </c>
      <c r="N359" s="1">
        <v>-140.0</v>
      </c>
      <c r="O359" s="1">
        <v>0.0663476931500001</v>
      </c>
      <c r="P359" s="1" t="s">
        <v>61</v>
      </c>
      <c r="Q359" s="1" t="s">
        <v>61</v>
      </c>
    </row>
    <row r="360">
      <c r="A360" s="1" t="s">
        <v>9</v>
      </c>
      <c r="B360" s="1" t="s">
        <v>593</v>
      </c>
      <c r="C360" s="1" t="s">
        <v>18</v>
      </c>
      <c r="D360" s="1" t="s">
        <v>134</v>
      </c>
      <c r="E360" s="1" t="s">
        <v>196</v>
      </c>
      <c r="F360" s="1" t="s">
        <v>637</v>
      </c>
      <c r="G360" s="1">
        <v>30.5</v>
      </c>
      <c r="H360" s="1" t="s">
        <v>60</v>
      </c>
      <c r="I360" s="1">
        <v>-114.0</v>
      </c>
      <c r="J360" s="1">
        <v>0.0644558379284223</v>
      </c>
      <c r="K360" s="1" t="s">
        <v>61</v>
      </c>
      <c r="L360" s="1" t="s">
        <v>61</v>
      </c>
      <c r="M360" s="1" t="s">
        <v>62</v>
      </c>
      <c r="N360" s="1">
        <v>-119.0</v>
      </c>
      <c r="O360" s="1">
        <v>-0.14050703053357</v>
      </c>
      <c r="P360" s="1" t="s">
        <v>61</v>
      </c>
      <c r="Q360" s="1" t="s">
        <v>61</v>
      </c>
    </row>
    <row r="361">
      <c r="A361" s="1" t="s">
        <v>9</v>
      </c>
      <c r="B361" s="1" t="s">
        <v>237</v>
      </c>
      <c r="C361" s="1" t="s">
        <v>18</v>
      </c>
      <c r="D361" s="1" t="s">
        <v>76</v>
      </c>
      <c r="E361" s="1" t="s">
        <v>164</v>
      </c>
      <c r="F361" s="1" t="s">
        <v>636</v>
      </c>
      <c r="G361" s="1">
        <v>22.5</v>
      </c>
      <c r="H361" s="1" t="s">
        <v>60</v>
      </c>
      <c r="I361" s="1">
        <v>-115.0</v>
      </c>
      <c r="J361" s="1">
        <v>0.0640045976276603</v>
      </c>
      <c r="K361" s="1" t="s">
        <v>61</v>
      </c>
      <c r="L361" s="1" t="s">
        <v>61</v>
      </c>
      <c r="M361" s="1" t="s">
        <v>62</v>
      </c>
      <c r="N361" s="1">
        <v>-115.0</v>
      </c>
      <c r="O361" s="1">
        <v>-0.133800287271809</v>
      </c>
      <c r="P361" s="1" t="s">
        <v>61</v>
      </c>
      <c r="Q361" s="1" t="s">
        <v>61</v>
      </c>
    </row>
    <row r="362">
      <c r="A362" s="1" t="s">
        <v>10</v>
      </c>
      <c r="B362" s="1" t="s">
        <v>262</v>
      </c>
      <c r="C362" s="1" t="s">
        <v>21</v>
      </c>
      <c r="D362" s="1" t="s">
        <v>164</v>
      </c>
      <c r="E362" s="1" t="s">
        <v>76</v>
      </c>
      <c r="F362" s="1" t="s">
        <v>636</v>
      </c>
      <c r="G362" s="1">
        <v>16.5</v>
      </c>
      <c r="H362" s="1" t="s">
        <v>60</v>
      </c>
      <c r="I362" s="1">
        <v>-120.0</v>
      </c>
      <c r="J362" s="1">
        <v>-0.132940819290249</v>
      </c>
      <c r="K362" s="1" t="s">
        <v>61</v>
      </c>
      <c r="L362" s="1" t="s">
        <v>61</v>
      </c>
      <c r="M362" s="1" t="s">
        <v>62</v>
      </c>
      <c r="N362" s="1">
        <v>-110.0</v>
      </c>
      <c r="O362" s="1">
        <v>0.0636898965154306</v>
      </c>
      <c r="P362" s="1" t="s">
        <v>61</v>
      </c>
      <c r="Q362" s="1" t="s">
        <v>61</v>
      </c>
    </row>
    <row r="363">
      <c r="A363" s="1" t="s">
        <v>12</v>
      </c>
      <c r="B363" s="1" t="s">
        <v>249</v>
      </c>
      <c r="C363" s="1" t="s">
        <v>18</v>
      </c>
      <c r="D363" s="1" t="s">
        <v>114</v>
      </c>
      <c r="E363" s="1" t="s">
        <v>57</v>
      </c>
      <c r="F363" s="1" t="s">
        <v>637</v>
      </c>
      <c r="G363" s="1">
        <v>4.5</v>
      </c>
      <c r="H363" s="1" t="s">
        <v>60</v>
      </c>
      <c r="I363" s="1">
        <v>-155.0</v>
      </c>
      <c r="J363" s="1">
        <v>-0.129703921568627</v>
      </c>
      <c r="K363" s="1" t="s">
        <v>61</v>
      </c>
      <c r="L363" s="1" t="s">
        <v>61</v>
      </c>
      <c r="M363" s="1" t="s">
        <v>62</v>
      </c>
      <c r="N363" s="1">
        <v>118.0</v>
      </c>
      <c r="O363" s="1">
        <v>0.0631385321100916</v>
      </c>
      <c r="P363" s="1" t="s">
        <v>61</v>
      </c>
      <c r="Q363" s="1" t="s">
        <v>61</v>
      </c>
    </row>
    <row r="364">
      <c r="A364" s="1" t="s">
        <v>10</v>
      </c>
      <c r="B364" s="1" t="s">
        <v>408</v>
      </c>
      <c r="C364" s="1" t="s">
        <v>19</v>
      </c>
      <c r="D364" s="1" t="s">
        <v>114</v>
      </c>
      <c r="E364" s="1" t="s">
        <v>57</v>
      </c>
      <c r="F364" s="1" t="s">
        <v>637</v>
      </c>
      <c r="G364" s="1">
        <v>25.5</v>
      </c>
      <c r="H364" s="1" t="s">
        <v>60</v>
      </c>
      <c r="I364" s="1">
        <v>-120.0</v>
      </c>
      <c r="J364" s="1">
        <v>-0.131896271634511</v>
      </c>
      <c r="K364" s="1" t="s">
        <v>61</v>
      </c>
      <c r="L364" s="1" t="s">
        <v>61</v>
      </c>
      <c r="M364" s="1" t="s">
        <v>62</v>
      </c>
      <c r="N364" s="1">
        <v>-110.0</v>
      </c>
      <c r="O364" s="1">
        <v>0.0626233225502468</v>
      </c>
      <c r="P364" s="1" t="s">
        <v>61</v>
      </c>
      <c r="Q364" s="1" t="s">
        <v>61</v>
      </c>
    </row>
    <row r="365">
      <c r="A365" s="1" t="s">
        <v>8</v>
      </c>
      <c r="B365" s="1" t="s">
        <v>522</v>
      </c>
      <c r="C365" s="1" t="s">
        <v>21</v>
      </c>
      <c r="D365" s="1" t="s">
        <v>57</v>
      </c>
      <c r="E365" s="1" t="s">
        <v>114</v>
      </c>
      <c r="F365" s="1" t="s">
        <v>637</v>
      </c>
      <c r="G365" s="1">
        <v>1.5</v>
      </c>
      <c r="H365" s="1" t="s">
        <v>60</v>
      </c>
      <c r="I365" s="1">
        <v>-175.0</v>
      </c>
      <c r="J365" s="1">
        <v>-0.129927766796182</v>
      </c>
      <c r="K365" s="1" t="s">
        <v>61</v>
      </c>
      <c r="L365" s="1" t="s">
        <v>61</v>
      </c>
      <c r="M365" s="1" t="s">
        <v>62</v>
      </c>
      <c r="N365" s="1">
        <v>132.0</v>
      </c>
      <c r="O365" s="1">
        <v>0.0625415339178889</v>
      </c>
      <c r="P365" s="1" t="s">
        <v>61</v>
      </c>
      <c r="Q365" s="1" t="s">
        <v>61</v>
      </c>
    </row>
    <row r="366">
      <c r="A366" s="1" t="s">
        <v>8</v>
      </c>
      <c r="B366" s="1" t="s">
        <v>266</v>
      </c>
      <c r="C366" s="1" t="s">
        <v>19</v>
      </c>
      <c r="D366" s="1" t="s">
        <v>57</v>
      </c>
      <c r="E366" s="1" t="s">
        <v>114</v>
      </c>
      <c r="F366" s="1" t="s">
        <v>637</v>
      </c>
      <c r="G366" s="1">
        <v>15.5</v>
      </c>
      <c r="H366" s="1" t="s">
        <v>60</v>
      </c>
      <c r="I366" s="1">
        <v>-122.0</v>
      </c>
      <c r="J366" s="1">
        <v>-0.126814233103603</v>
      </c>
      <c r="K366" s="1" t="s">
        <v>61</v>
      </c>
      <c r="L366" s="1" t="s">
        <v>61</v>
      </c>
      <c r="M366" s="1" t="s">
        <v>62</v>
      </c>
      <c r="N366" s="1">
        <v>-108.0</v>
      </c>
      <c r="O366" s="1">
        <v>0.0580132525428845</v>
      </c>
      <c r="P366" s="1" t="s">
        <v>61</v>
      </c>
      <c r="Q366" s="1" t="s">
        <v>61</v>
      </c>
    </row>
    <row r="367">
      <c r="A367" s="1" t="s">
        <v>12</v>
      </c>
      <c r="B367" s="1" t="s">
        <v>332</v>
      </c>
      <c r="C367" s="1" t="s">
        <v>20</v>
      </c>
      <c r="D367" s="1" t="s">
        <v>164</v>
      </c>
      <c r="E367" s="1" t="s">
        <v>76</v>
      </c>
      <c r="F367" s="1" t="s">
        <v>636</v>
      </c>
      <c r="G367" s="1">
        <v>4.5</v>
      </c>
      <c r="H367" s="1" t="s">
        <v>60</v>
      </c>
      <c r="I367" s="1">
        <v>-117.0</v>
      </c>
      <c r="J367" s="1">
        <v>-0.127570506912442</v>
      </c>
      <c r="K367" s="1" t="s">
        <v>61</v>
      </c>
      <c r="L367" s="1" t="s">
        <v>61</v>
      </c>
      <c r="M367" s="1" t="s">
        <v>62</v>
      </c>
      <c r="N367" s="1">
        <v>-113.0</v>
      </c>
      <c r="O367" s="1">
        <v>0.0578835680751174</v>
      </c>
      <c r="P367" s="1" t="s">
        <v>61</v>
      </c>
      <c r="Q367" s="1" t="s">
        <v>61</v>
      </c>
    </row>
    <row r="368">
      <c r="A368" s="1" t="s">
        <v>17</v>
      </c>
      <c r="B368" s="1" t="s">
        <v>522</v>
      </c>
      <c r="C368" s="1" t="s">
        <v>21</v>
      </c>
      <c r="D368" s="1" t="s">
        <v>57</v>
      </c>
      <c r="E368" s="1" t="s">
        <v>114</v>
      </c>
      <c r="F368" s="1" t="s">
        <v>637</v>
      </c>
      <c r="G368" s="1">
        <v>0.5</v>
      </c>
      <c r="H368" s="1" t="s">
        <v>60</v>
      </c>
      <c r="I368" s="1">
        <v>-145.0</v>
      </c>
      <c r="J368" s="1">
        <v>-0.128095918367346</v>
      </c>
      <c r="K368" s="1" t="s">
        <v>61</v>
      </c>
      <c r="L368" s="1" t="s">
        <v>61</v>
      </c>
      <c r="M368" s="1" t="s">
        <v>62</v>
      </c>
      <c r="N368" s="1">
        <v>109.0</v>
      </c>
      <c r="O368" s="1">
        <v>0.0577832535885167</v>
      </c>
      <c r="P368" s="1" t="s">
        <v>61</v>
      </c>
      <c r="Q368" s="1" t="s">
        <v>61</v>
      </c>
    </row>
    <row r="369">
      <c r="A369" s="1" t="s">
        <v>10</v>
      </c>
      <c r="B369" s="1" t="s">
        <v>591</v>
      </c>
      <c r="C369" s="1" t="s">
        <v>19</v>
      </c>
      <c r="D369" s="1" t="s">
        <v>76</v>
      </c>
      <c r="E369" s="1" t="s">
        <v>164</v>
      </c>
      <c r="F369" s="1" t="s">
        <v>636</v>
      </c>
      <c r="G369" s="1">
        <v>52.5</v>
      </c>
      <c r="H369" s="1" t="s">
        <v>60</v>
      </c>
      <c r="I369" s="1">
        <v>-120.0</v>
      </c>
      <c r="J369" s="1">
        <v>-0.12418363758336</v>
      </c>
      <c r="K369" s="1" t="s">
        <v>61</v>
      </c>
      <c r="L369" s="1" t="s">
        <v>61</v>
      </c>
      <c r="M369" s="1" t="s">
        <v>62</v>
      </c>
      <c r="N369" s="1">
        <v>-109.0</v>
      </c>
      <c r="O369" s="1">
        <v>0.0572022272897505</v>
      </c>
      <c r="P369" s="1" t="s">
        <v>61</v>
      </c>
      <c r="Q369" s="1" t="s">
        <v>61</v>
      </c>
    </row>
    <row r="370">
      <c r="A370" s="1" t="s">
        <v>11</v>
      </c>
      <c r="B370" s="1" t="s">
        <v>332</v>
      </c>
      <c r="C370" s="1" t="s">
        <v>20</v>
      </c>
      <c r="D370" s="1" t="s">
        <v>164</v>
      </c>
      <c r="E370" s="1" t="s">
        <v>76</v>
      </c>
      <c r="F370" s="1" t="s">
        <v>636</v>
      </c>
      <c r="G370" s="1">
        <v>55.5</v>
      </c>
      <c r="H370" s="1" t="s">
        <v>60</v>
      </c>
      <c r="I370" s="1">
        <v>-118.0</v>
      </c>
      <c r="J370" s="1">
        <v>-0.117638211748064</v>
      </c>
      <c r="K370" s="1" t="s">
        <v>61</v>
      </c>
      <c r="L370" s="1" t="s">
        <v>61</v>
      </c>
      <c r="M370" s="1" t="s">
        <v>62</v>
      </c>
      <c r="N370" s="1">
        <v>-108.0</v>
      </c>
      <c r="O370" s="1">
        <v>0.0571167008483652</v>
      </c>
      <c r="P370" s="1" t="s">
        <v>61</v>
      </c>
      <c r="Q370" s="1" t="s">
        <v>61</v>
      </c>
    </row>
    <row r="371">
      <c r="A371" s="1" t="s">
        <v>12</v>
      </c>
      <c r="B371" s="1" t="s">
        <v>163</v>
      </c>
      <c r="C371" s="1" t="s">
        <v>19</v>
      </c>
      <c r="D371" s="1" t="s">
        <v>164</v>
      </c>
      <c r="E371" s="1" t="s">
        <v>76</v>
      </c>
      <c r="F371" s="1" t="s">
        <v>636</v>
      </c>
      <c r="G371" s="1">
        <v>1.5</v>
      </c>
      <c r="H371" s="1" t="s">
        <v>60</v>
      </c>
      <c r="I371" s="1">
        <v>130.0</v>
      </c>
      <c r="J371" s="1">
        <v>-0.12476893141826</v>
      </c>
      <c r="K371" s="1" t="s">
        <v>61</v>
      </c>
      <c r="L371" s="1" t="s">
        <v>61</v>
      </c>
      <c r="M371" s="1" t="s">
        <v>62</v>
      </c>
      <c r="N371" s="1">
        <v>-173.0</v>
      </c>
      <c r="O371" s="1">
        <v>0.0562850318718679</v>
      </c>
      <c r="P371" s="1" t="s">
        <v>61</v>
      </c>
      <c r="Q371" s="1" t="s">
        <v>61</v>
      </c>
    </row>
    <row r="372">
      <c r="A372" s="1" t="s">
        <v>10</v>
      </c>
      <c r="B372" s="1" t="s">
        <v>266</v>
      </c>
      <c r="C372" s="1" t="s">
        <v>19</v>
      </c>
      <c r="D372" s="1" t="s">
        <v>57</v>
      </c>
      <c r="E372" s="1" t="s">
        <v>114</v>
      </c>
      <c r="F372" s="1" t="s">
        <v>637</v>
      </c>
      <c r="G372" s="1">
        <v>70.5</v>
      </c>
      <c r="H372" s="1" t="s">
        <v>60</v>
      </c>
      <c r="I372" s="1">
        <v>-115.0</v>
      </c>
      <c r="J372" s="1">
        <v>-0.116236191156271</v>
      </c>
      <c r="K372" s="1" t="s">
        <v>61</v>
      </c>
      <c r="L372" s="1" t="s">
        <v>61</v>
      </c>
      <c r="M372" s="1" t="s">
        <v>62</v>
      </c>
      <c r="N372" s="1">
        <v>-111.0</v>
      </c>
      <c r="O372" s="1">
        <v>0.0552786074679144</v>
      </c>
      <c r="P372" s="1" t="s">
        <v>61</v>
      </c>
      <c r="Q372" s="1" t="s">
        <v>61</v>
      </c>
    </row>
    <row r="373">
      <c r="A373" s="1" t="s">
        <v>11</v>
      </c>
      <c r="B373" s="1" t="s">
        <v>641</v>
      </c>
      <c r="C373" s="1" t="s">
        <v>19</v>
      </c>
      <c r="D373" s="1" t="s">
        <v>134</v>
      </c>
      <c r="E373" s="1" t="s">
        <v>196</v>
      </c>
      <c r="F373" s="1" t="s">
        <v>637</v>
      </c>
      <c r="G373" s="1">
        <v>7.5</v>
      </c>
      <c r="H373" s="1" t="s">
        <v>60</v>
      </c>
      <c r="I373" s="1">
        <v>-109.0</v>
      </c>
      <c r="J373" s="1">
        <v>0.0550572344829383</v>
      </c>
      <c r="K373" s="1" t="s">
        <v>61</v>
      </c>
      <c r="L373" s="1" t="s">
        <v>61</v>
      </c>
      <c r="M373" s="1" t="s">
        <v>62</v>
      </c>
      <c r="N373" s="1">
        <v>-116.0</v>
      </c>
      <c r="O373" s="1">
        <v>-0.113599462629831</v>
      </c>
      <c r="P373" s="1" t="s">
        <v>61</v>
      </c>
      <c r="Q373" s="1" t="s">
        <v>61</v>
      </c>
    </row>
    <row r="374">
      <c r="A374" s="1" t="s">
        <v>12</v>
      </c>
      <c r="B374" s="1" t="s">
        <v>591</v>
      </c>
      <c r="C374" s="1" t="s">
        <v>19</v>
      </c>
      <c r="D374" s="1" t="s">
        <v>76</v>
      </c>
      <c r="E374" s="1" t="s">
        <v>164</v>
      </c>
      <c r="F374" s="1" t="s">
        <v>636</v>
      </c>
      <c r="G374" s="1">
        <v>2.5</v>
      </c>
      <c r="H374" s="1" t="s">
        <v>60</v>
      </c>
      <c r="I374" s="1">
        <v>140.0</v>
      </c>
      <c r="J374" s="1">
        <v>-0.120419163866666</v>
      </c>
      <c r="K374" s="1" t="s">
        <v>61</v>
      </c>
      <c r="L374" s="1" t="s">
        <v>61</v>
      </c>
      <c r="M374" s="1" t="s">
        <v>62</v>
      </c>
      <c r="N374" s="1">
        <v>-185.0</v>
      </c>
      <c r="O374" s="1">
        <v>0.0546356109192982</v>
      </c>
      <c r="P374" s="1" t="s">
        <v>61</v>
      </c>
      <c r="Q374" s="1" t="s">
        <v>61</v>
      </c>
    </row>
    <row r="375">
      <c r="A375" s="1" t="s">
        <v>11</v>
      </c>
      <c r="B375" s="1" t="s">
        <v>561</v>
      </c>
      <c r="C375" s="1" t="s">
        <v>18</v>
      </c>
      <c r="D375" s="1" t="s">
        <v>114</v>
      </c>
      <c r="E375" s="1" t="s">
        <v>57</v>
      </c>
      <c r="F375" s="1" t="s">
        <v>637</v>
      </c>
      <c r="G375" s="1">
        <v>33.5</v>
      </c>
      <c r="H375" s="1" t="s">
        <v>60</v>
      </c>
      <c r="I375" s="1">
        <v>-120.0</v>
      </c>
      <c r="J375" s="1">
        <v>-0.121451590950363</v>
      </c>
      <c r="K375" s="1" t="s">
        <v>61</v>
      </c>
      <c r="L375" s="1" t="s">
        <v>61</v>
      </c>
      <c r="M375" s="1" t="s">
        <v>62</v>
      </c>
      <c r="N375" s="1">
        <v>-109.0</v>
      </c>
      <c r="O375" s="1">
        <v>0.0545090192146279</v>
      </c>
      <c r="P375" s="1" t="s">
        <v>61</v>
      </c>
      <c r="Q375" s="1" t="s">
        <v>61</v>
      </c>
    </row>
    <row r="376">
      <c r="A376" s="1" t="s">
        <v>10</v>
      </c>
      <c r="B376" s="1" t="s">
        <v>75</v>
      </c>
      <c r="C376" s="1" t="s">
        <v>21</v>
      </c>
      <c r="D376" s="1" t="s">
        <v>76</v>
      </c>
      <c r="E376" s="1" t="s">
        <v>164</v>
      </c>
      <c r="F376" s="1" t="s">
        <v>636</v>
      </c>
      <c r="G376" s="1">
        <v>21.5</v>
      </c>
      <c r="H376" s="1" t="s">
        <v>60</v>
      </c>
      <c r="I376" s="1">
        <v>-115.0</v>
      </c>
      <c r="J376" s="1">
        <v>-0.117927173476878</v>
      </c>
      <c r="K376" s="1" t="s">
        <v>61</v>
      </c>
      <c r="L376" s="1" t="s">
        <v>61</v>
      </c>
      <c r="M376" s="1" t="s">
        <v>62</v>
      </c>
      <c r="N376" s="1">
        <v>-113.0</v>
      </c>
      <c r="O376" s="1">
        <v>0.0525893746300828</v>
      </c>
      <c r="P376" s="1" t="s">
        <v>61</v>
      </c>
      <c r="Q376" s="1" t="s">
        <v>61</v>
      </c>
    </row>
    <row r="377">
      <c r="A377" s="1" t="s">
        <v>9</v>
      </c>
      <c r="B377" s="1" t="s">
        <v>266</v>
      </c>
      <c r="C377" s="1" t="s">
        <v>19</v>
      </c>
      <c r="D377" s="1" t="s">
        <v>57</v>
      </c>
      <c r="E377" s="1" t="s">
        <v>114</v>
      </c>
      <c r="F377" s="1" t="s">
        <v>637</v>
      </c>
      <c r="G377" s="1">
        <v>94.5</v>
      </c>
      <c r="H377" s="1" t="s">
        <v>60</v>
      </c>
      <c r="I377" s="1">
        <v>-118.0</v>
      </c>
      <c r="J377" s="1">
        <v>-0.126359459891686</v>
      </c>
      <c r="K377" s="1" t="s">
        <v>61</v>
      </c>
      <c r="L377" s="1" t="s">
        <v>61</v>
      </c>
      <c r="M377" s="1" t="s">
        <v>62</v>
      </c>
      <c r="N377" s="1">
        <v>-114.0</v>
      </c>
      <c r="O377" s="1">
        <v>0.0523922109926816</v>
      </c>
      <c r="P377" s="1" t="s">
        <v>61</v>
      </c>
      <c r="Q377" s="1" t="s">
        <v>61</v>
      </c>
    </row>
    <row r="378">
      <c r="A378" s="1" t="s">
        <v>9</v>
      </c>
      <c r="B378" s="1" t="s">
        <v>133</v>
      </c>
      <c r="C378" s="1" t="s">
        <v>19</v>
      </c>
      <c r="D378" s="1" t="s">
        <v>134</v>
      </c>
      <c r="E378" s="1" t="s">
        <v>196</v>
      </c>
      <c r="F378" s="1" t="s">
        <v>637</v>
      </c>
      <c r="G378" s="1">
        <v>34.5</v>
      </c>
      <c r="H378" s="1" t="s">
        <v>60</v>
      </c>
      <c r="I378" s="1">
        <v>-114.0</v>
      </c>
      <c r="J378" s="1">
        <v>0.0515420604918305</v>
      </c>
      <c r="K378" s="1" t="s">
        <v>61</v>
      </c>
      <c r="L378" s="1" t="s">
        <v>61</v>
      </c>
      <c r="M378" s="1" t="s">
        <v>62</v>
      </c>
      <c r="N378" s="1">
        <v>-119.0</v>
      </c>
      <c r="O378" s="1">
        <v>-0.127574726597486</v>
      </c>
      <c r="P378" s="1" t="s">
        <v>61</v>
      </c>
      <c r="Q378" s="1" t="s">
        <v>61</v>
      </c>
    </row>
    <row r="379">
      <c r="A379" s="1" t="s">
        <v>9</v>
      </c>
      <c r="B379" s="1" t="s">
        <v>521</v>
      </c>
      <c r="C379" s="1" t="s">
        <v>19</v>
      </c>
      <c r="D379" s="1" t="s">
        <v>57</v>
      </c>
      <c r="E379" s="1" t="s">
        <v>114</v>
      </c>
      <c r="F379" s="1" t="s">
        <v>637</v>
      </c>
      <c r="G379" s="1">
        <v>28.5</v>
      </c>
      <c r="H379" s="1" t="s">
        <v>60</v>
      </c>
      <c r="I379" s="1">
        <v>-118.0</v>
      </c>
      <c r="J379" s="1">
        <v>0.0508768956371318</v>
      </c>
      <c r="K379" s="1" t="s">
        <v>61</v>
      </c>
      <c r="L379" s="1" t="s">
        <v>61</v>
      </c>
      <c r="M379" s="1" t="s">
        <v>62</v>
      </c>
      <c r="N379" s="1">
        <v>-115.0</v>
      </c>
      <c r="O379" s="1">
        <v>-0.127038594121995</v>
      </c>
      <c r="P379" s="1" t="s">
        <v>61</v>
      </c>
      <c r="Q379" s="1" t="s">
        <v>61</v>
      </c>
    </row>
    <row r="380">
      <c r="A380" s="1" t="s">
        <v>9</v>
      </c>
      <c r="B380" s="1" t="s">
        <v>591</v>
      </c>
      <c r="C380" s="1" t="s">
        <v>19</v>
      </c>
      <c r="D380" s="1" t="s">
        <v>76</v>
      </c>
      <c r="E380" s="1" t="s">
        <v>164</v>
      </c>
      <c r="F380" s="1" t="s">
        <v>636</v>
      </c>
      <c r="G380" s="1">
        <v>68.5</v>
      </c>
      <c r="H380" s="1" t="s">
        <v>60</v>
      </c>
      <c r="I380" s="1">
        <v>-120.0</v>
      </c>
      <c r="J380" s="1">
        <v>-0.125814980993243</v>
      </c>
      <c r="K380" s="1" t="s">
        <v>61</v>
      </c>
      <c r="L380" s="1" t="s">
        <v>61</v>
      </c>
      <c r="M380" s="1" t="s">
        <v>62</v>
      </c>
      <c r="N380" s="1">
        <v>-114.0</v>
      </c>
      <c r="O380" s="1">
        <v>0.0476777440799327</v>
      </c>
      <c r="P380" s="1" t="s">
        <v>61</v>
      </c>
      <c r="Q380" s="1" t="s">
        <v>61</v>
      </c>
    </row>
    <row r="381">
      <c r="A381" s="1" t="s">
        <v>8</v>
      </c>
      <c r="B381" s="1" t="s">
        <v>368</v>
      </c>
      <c r="C381" s="1" t="s">
        <v>19</v>
      </c>
      <c r="D381" s="1" t="s">
        <v>196</v>
      </c>
      <c r="E381" s="1" t="s">
        <v>134</v>
      </c>
      <c r="F381" s="1" t="s">
        <v>637</v>
      </c>
      <c r="G381" s="1">
        <v>19.5</v>
      </c>
      <c r="H381" s="1" t="s">
        <v>60</v>
      </c>
      <c r="I381" s="1">
        <v>-121.0</v>
      </c>
      <c r="J381" s="1">
        <v>0.0451324743583709</v>
      </c>
      <c r="K381" s="1" t="s">
        <v>61</v>
      </c>
      <c r="L381" s="1" t="s">
        <v>61</v>
      </c>
      <c r="M381" s="1" t="s">
        <v>62</v>
      </c>
      <c r="N381" s="1">
        <v>-111.0</v>
      </c>
      <c r="O381" s="1">
        <v>-0.118717691563981</v>
      </c>
      <c r="P381" s="1" t="s">
        <v>61</v>
      </c>
      <c r="Q381" s="1" t="s">
        <v>61</v>
      </c>
    </row>
    <row r="382">
      <c r="A382" s="1" t="s">
        <v>9</v>
      </c>
      <c r="B382" s="1" t="s">
        <v>295</v>
      </c>
      <c r="C382" s="1" t="s">
        <v>18</v>
      </c>
      <c r="D382" s="1" t="s">
        <v>76</v>
      </c>
      <c r="E382" s="1" t="s">
        <v>164</v>
      </c>
      <c r="F382" s="1" t="s">
        <v>636</v>
      </c>
      <c r="G382" s="1">
        <v>48.5</v>
      </c>
      <c r="H382" s="1" t="s">
        <v>60</v>
      </c>
      <c r="I382" s="1">
        <v>-114.0</v>
      </c>
      <c r="J382" s="1">
        <v>0.0447776320094875</v>
      </c>
      <c r="K382" s="1" t="s">
        <v>61</v>
      </c>
      <c r="L382" s="1" t="s">
        <v>61</v>
      </c>
      <c r="M382" s="1" t="s">
        <v>62</v>
      </c>
      <c r="N382" s="1">
        <v>-121.0</v>
      </c>
      <c r="O382" s="1">
        <v>-0.124962814626863</v>
      </c>
      <c r="P382" s="1" t="s">
        <v>61</v>
      </c>
      <c r="Q382" s="1" t="s">
        <v>61</v>
      </c>
    </row>
    <row r="383">
      <c r="A383" s="1" t="s">
        <v>11</v>
      </c>
      <c r="B383" s="1" t="s">
        <v>264</v>
      </c>
      <c r="C383" s="1" t="s">
        <v>19</v>
      </c>
      <c r="D383" s="1" t="s">
        <v>114</v>
      </c>
      <c r="E383" s="1" t="s">
        <v>57</v>
      </c>
      <c r="F383" s="1" t="s">
        <v>637</v>
      </c>
      <c r="G383" s="1">
        <v>9.5</v>
      </c>
      <c r="H383" s="1" t="s">
        <v>60</v>
      </c>
      <c r="I383" s="1">
        <v>-107.0</v>
      </c>
      <c r="J383" s="1">
        <v>0.0422897344131217</v>
      </c>
      <c r="K383" s="1" t="s">
        <v>61</v>
      </c>
      <c r="L383" s="1" t="s">
        <v>61</v>
      </c>
      <c r="M383" s="1" t="s">
        <v>62</v>
      </c>
      <c r="N383" s="1">
        <v>-121.0</v>
      </c>
      <c r="O383" s="1">
        <v>-0.106668980897984</v>
      </c>
      <c r="P383" s="1" t="s">
        <v>61</v>
      </c>
      <c r="Q383" s="1" t="s">
        <v>61</v>
      </c>
    </row>
    <row r="384">
      <c r="A384" s="1" t="s">
        <v>17</v>
      </c>
      <c r="B384" s="1" t="s">
        <v>75</v>
      </c>
      <c r="C384" s="1" t="s">
        <v>21</v>
      </c>
      <c r="D384" s="1" t="s">
        <v>76</v>
      </c>
      <c r="E384" s="1" t="s">
        <v>164</v>
      </c>
      <c r="F384" s="1" t="s">
        <v>636</v>
      </c>
      <c r="G384" s="1">
        <v>0.5</v>
      </c>
      <c r="H384" s="1" t="s">
        <v>60</v>
      </c>
      <c r="I384" s="1">
        <v>-125.0</v>
      </c>
      <c r="J384" s="1">
        <v>-0.106855555555555</v>
      </c>
      <c r="K384" s="1" t="s">
        <v>61</v>
      </c>
      <c r="L384" s="1" t="s">
        <v>61</v>
      </c>
      <c r="M384" s="1" t="s">
        <v>62</v>
      </c>
      <c r="N384" s="1">
        <v>-104.0</v>
      </c>
      <c r="O384" s="1">
        <v>0.0414960784313727</v>
      </c>
      <c r="P384" s="1" t="s">
        <v>61</v>
      </c>
      <c r="Q384" s="1" t="s">
        <v>61</v>
      </c>
    </row>
    <row r="385">
      <c r="A385" s="1" t="s">
        <v>12</v>
      </c>
      <c r="B385" s="1" t="s">
        <v>357</v>
      </c>
      <c r="C385" s="1" t="s">
        <v>18</v>
      </c>
      <c r="D385" s="1" t="s">
        <v>57</v>
      </c>
      <c r="E385" s="1" t="s">
        <v>114</v>
      </c>
      <c r="F385" s="1" t="s">
        <v>637</v>
      </c>
      <c r="G385" s="1">
        <v>3.5</v>
      </c>
      <c r="H385" s="1" t="s">
        <v>60</v>
      </c>
      <c r="I385" s="1">
        <v>-112.0</v>
      </c>
      <c r="J385" s="1">
        <v>-0.108254716981132</v>
      </c>
      <c r="K385" s="1" t="s">
        <v>61</v>
      </c>
      <c r="L385" s="1" t="s">
        <v>61</v>
      </c>
      <c r="M385" s="1" t="s">
        <v>62</v>
      </c>
      <c r="N385" s="1">
        <v>-118.0</v>
      </c>
      <c r="O385" s="1">
        <v>0.0386614678899083</v>
      </c>
      <c r="P385" s="1" t="s">
        <v>61</v>
      </c>
      <c r="Q385" s="1" t="s">
        <v>61</v>
      </c>
    </row>
    <row r="386">
      <c r="A386" s="1" t="s">
        <v>10</v>
      </c>
      <c r="B386" s="1" t="s">
        <v>496</v>
      </c>
      <c r="C386" s="1" t="s">
        <v>18</v>
      </c>
      <c r="D386" s="1" t="s">
        <v>164</v>
      </c>
      <c r="E386" s="1" t="s">
        <v>76</v>
      </c>
      <c r="F386" s="1" t="s">
        <v>636</v>
      </c>
      <c r="G386" s="1">
        <v>12.5</v>
      </c>
      <c r="H386" s="1" t="s">
        <v>60</v>
      </c>
      <c r="I386" s="1">
        <v>-113.0</v>
      </c>
      <c r="J386" s="1">
        <v>-0.104054594430127</v>
      </c>
      <c r="K386" s="1" t="s">
        <v>61</v>
      </c>
      <c r="L386" s="1" t="s">
        <v>61</v>
      </c>
      <c r="M386" s="1" t="s">
        <v>62</v>
      </c>
      <c r="N386" s="1">
        <v>-116.0</v>
      </c>
      <c r="O386" s="1">
        <v>0.0365066166286849</v>
      </c>
      <c r="P386" s="1" t="s">
        <v>61</v>
      </c>
      <c r="Q386" s="1" t="s">
        <v>61</v>
      </c>
    </row>
    <row r="387">
      <c r="A387" s="1" t="s">
        <v>15</v>
      </c>
      <c r="B387" s="1" t="s">
        <v>262</v>
      </c>
      <c r="C387" s="1" t="s">
        <v>21</v>
      </c>
      <c r="D387" s="1" t="s">
        <v>164</v>
      </c>
      <c r="E387" s="1" t="s">
        <v>76</v>
      </c>
      <c r="F387" s="1" t="s">
        <v>636</v>
      </c>
      <c r="G387" s="1">
        <v>19.5</v>
      </c>
      <c r="H387" s="1" t="s">
        <v>60</v>
      </c>
      <c r="I387" s="1">
        <v>-123.0</v>
      </c>
      <c r="J387" s="1">
        <v>0.0349753363228699</v>
      </c>
      <c r="K387" s="1" t="s">
        <v>61</v>
      </c>
      <c r="L387" s="1" t="s">
        <v>61</v>
      </c>
      <c r="M387" s="1" t="s">
        <v>62</v>
      </c>
      <c r="N387" s="1">
        <v>-107.0</v>
      </c>
      <c r="O387" s="1">
        <v>-0.103459903381642</v>
      </c>
      <c r="P387" s="1" t="s">
        <v>61</v>
      </c>
      <c r="Q387" s="1" t="s">
        <v>61</v>
      </c>
    </row>
    <row r="388">
      <c r="A388" s="1" t="s">
        <v>15</v>
      </c>
      <c r="B388" s="1" t="s">
        <v>247</v>
      </c>
      <c r="C388" s="1" t="s">
        <v>21</v>
      </c>
      <c r="D388" s="1" t="s">
        <v>196</v>
      </c>
      <c r="E388" s="1" t="s">
        <v>134</v>
      </c>
      <c r="F388" s="1" t="s">
        <v>637</v>
      </c>
      <c r="G388" s="1">
        <v>20.5</v>
      </c>
      <c r="H388" s="1" t="s">
        <v>60</v>
      </c>
      <c r="I388" s="1">
        <v>-111.0</v>
      </c>
      <c r="J388" s="1">
        <v>0.0325862559241706</v>
      </c>
      <c r="K388" s="1" t="s">
        <v>61</v>
      </c>
      <c r="L388" s="1" t="s">
        <v>61</v>
      </c>
      <c r="M388" s="1" t="s">
        <v>62</v>
      </c>
      <c r="N388" s="1">
        <v>-118.0</v>
      </c>
      <c r="O388" s="1">
        <v>-0.0999302752293578</v>
      </c>
      <c r="P388" s="1" t="s">
        <v>61</v>
      </c>
      <c r="Q388" s="1" t="s">
        <v>61</v>
      </c>
    </row>
    <row r="389">
      <c r="A389" s="1" t="s">
        <v>15</v>
      </c>
      <c r="B389" s="1" t="s">
        <v>620</v>
      </c>
      <c r="C389" s="1" t="s">
        <v>21</v>
      </c>
      <c r="D389" s="1" t="s">
        <v>134</v>
      </c>
      <c r="E389" s="1" t="s">
        <v>196</v>
      </c>
      <c r="F389" s="1" t="s">
        <v>637</v>
      </c>
      <c r="G389" s="1">
        <v>21.5</v>
      </c>
      <c r="H389" s="1" t="s">
        <v>60</v>
      </c>
      <c r="I389" s="1">
        <v>-111.0</v>
      </c>
      <c r="J389" s="1">
        <v>0.0323440758293839</v>
      </c>
      <c r="K389" s="1" t="s">
        <v>61</v>
      </c>
      <c r="L389" s="1" t="s">
        <v>61</v>
      </c>
      <c r="M389" s="1" t="s">
        <v>62</v>
      </c>
      <c r="N389" s="1">
        <v>-118.0</v>
      </c>
      <c r="O389" s="1">
        <v>-0.0996678899082567</v>
      </c>
      <c r="P389" s="1" t="s">
        <v>61</v>
      </c>
      <c r="Q389" s="1" t="s">
        <v>61</v>
      </c>
    </row>
    <row r="390">
      <c r="A390" s="1" t="s">
        <v>12</v>
      </c>
      <c r="B390" s="1" t="s">
        <v>295</v>
      </c>
      <c r="C390" s="1" t="s">
        <v>18</v>
      </c>
      <c r="D390" s="1" t="s">
        <v>76</v>
      </c>
      <c r="E390" s="1" t="s">
        <v>164</v>
      </c>
      <c r="F390" s="1" t="s">
        <v>636</v>
      </c>
      <c r="G390" s="1">
        <v>3.5</v>
      </c>
      <c r="H390" s="1" t="s">
        <v>60</v>
      </c>
      <c r="I390" s="1">
        <v>103.0</v>
      </c>
      <c r="J390" s="1">
        <v>0.0305384236453202</v>
      </c>
      <c r="K390" s="1" t="s">
        <v>61</v>
      </c>
      <c r="L390" s="1" t="s">
        <v>61</v>
      </c>
      <c r="M390" s="1" t="s">
        <v>62</v>
      </c>
      <c r="N390" s="1">
        <v>-136.0</v>
      </c>
      <c r="O390" s="1">
        <v>-0.0994135593220338</v>
      </c>
      <c r="P390" s="1" t="s">
        <v>61</v>
      </c>
      <c r="Q390" s="1" t="s">
        <v>61</v>
      </c>
    </row>
    <row r="391">
      <c r="A391" s="1" t="s">
        <v>8</v>
      </c>
      <c r="B391" s="1" t="s">
        <v>521</v>
      </c>
      <c r="C391" s="1" t="s">
        <v>19</v>
      </c>
      <c r="D391" s="1" t="s">
        <v>57</v>
      </c>
      <c r="E391" s="1" t="s">
        <v>114</v>
      </c>
      <c r="F391" s="1" t="s">
        <v>637</v>
      </c>
      <c r="G391" s="1">
        <v>4.5</v>
      </c>
      <c r="H391" s="1" t="s">
        <v>60</v>
      </c>
      <c r="I391" s="1">
        <v>110.0</v>
      </c>
      <c r="J391" s="1">
        <v>-0.106678750848887</v>
      </c>
      <c r="K391" s="1" t="s">
        <v>61</v>
      </c>
      <c r="L391" s="1" t="s">
        <v>61</v>
      </c>
      <c r="M391" s="1" t="s">
        <v>62</v>
      </c>
      <c r="N391" s="1">
        <v>-150.0</v>
      </c>
      <c r="O391" s="1">
        <v>0.0304865691541802</v>
      </c>
      <c r="P391" s="1" t="s">
        <v>61</v>
      </c>
      <c r="Q391" s="1" t="s">
        <v>61</v>
      </c>
    </row>
    <row r="392">
      <c r="A392" s="1" t="s">
        <v>11</v>
      </c>
      <c r="B392" s="1" t="s">
        <v>488</v>
      </c>
      <c r="C392" s="1" t="s">
        <v>20</v>
      </c>
      <c r="D392" s="1" t="s">
        <v>114</v>
      </c>
      <c r="E392" s="1" t="s">
        <v>57</v>
      </c>
      <c r="F392" s="1" t="s">
        <v>637</v>
      </c>
      <c r="G392" s="1">
        <v>31.5</v>
      </c>
      <c r="H392" s="1" t="s">
        <v>60</v>
      </c>
      <c r="I392" s="1">
        <v>-114.0</v>
      </c>
      <c r="J392" s="1">
        <v>-0.0970173330159813</v>
      </c>
      <c r="K392" s="1" t="s">
        <v>61</v>
      </c>
      <c r="L392" s="1" t="s">
        <v>61</v>
      </c>
      <c r="M392" s="1" t="s">
        <v>62</v>
      </c>
      <c r="N392" s="1">
        <v>-115.0</v>
      </c>
      <c r="O392" s="1">
        <v>0.0294523658535024</v>
      </c>
      <c r="P392" s="1" t="s">
        <v>61</v>
      </c>
      <c r="Q392" s="1" t="s">
        <v>61</v>
      </c>
    </row>
    <row r="393">
      <c r="A393" s="1" t="s">
        <v>8</v>
      </c>
      <c r="B393" s="1" t="s">
        <v>497</v>
      </c>
      <c r="C393" s="1" t="s">
        <v>19</v>
      </c>
      <c r="D393" s="1" t="s">
        <v>164</v>
      </c>
      <c r="E393" s="1" t="s">
        <v>76</v>
      </c>
      <c r="F393" s="1" t="s">
        <v>636</v>
      </c>
      <c r="G393" s="1">
        <v>15.5</v>
      </c>
      <c r="H393" s="1" t="s">
        <v>60</v>
      </c>
      <c r="I393" s="1">
        <v>-103.0</v>
      </c>
      <c r="J393" s="1">
        <v>0.0279609672906402</v>
      </c>
      <c r="K393" s="1" t="s">
        <v>61</v>
      </c>
      <c r="L393" s="1" t="s">
        <v>61</v>
      </c>
      <c r="M393" s="1" t="s">
        <v>62</v>
      </c>
      <c r="N393" s="1">
        <v>-128.0</v>
      </c>
      <c r="O393" s="1">
        <v>-0.0967606392140351</v>
      </c>
      <c r="P393" s="1" t="s">
        <v>61</v>
      </c>
      <c r="Q393" s="1" t="s">
        <v>61</v>
      </c>
    </row>
    <row r="394">
      <c r="A394" s="1" t="s">
        <v>10</v>
      </c>
      <c r="B394" s="1" t="s">
        <v>522</v>
      </c>
      <c r="C394" s="1" t="s">
        <v>21</v>
      </c>
      <c r="D394" s="1" t="s">
        <v>57</v>
      </c>
      <c r="E394" s="1" t="s">
        <v>114</v>
      </c>
      <c r="F394" s="1" t="s">
        <v>637</v>
      </c>
      <c r="G394" s="1">
        <v>4.5</v>
      </c>
      <c r="H394" s="1" t="s">
        <v>60</v>
      </c>
      <c r="I394" s="1">
        <v>-119.0</v>
      </c>
      <c r="J394" s="1">
        <v>0.023195967112172</v>
      </c>
      <c r="K394" s="1" t="s">
        <v>61</v>
      </c>
      <c r="L394" s="1" t="s">
        <v>61</v>
      </c>
      <c r="M394" s="1" t="s">
        <v>62</v>
      </c>
      <c r="N394" s="1">
        <v>-110.0</v>
      </c>
      <c r="O394" s="1">
        <v>-0.0903513737015346</v>
      </c>
      <c r="P394" s="1" t="s">
        <v>61</v>
      </c>
      <c r="Q394" s="1" t="s">
        <v>61</v>
      </c>
    </row>
    <row r="395">
      <c r="A395" s="1" t="s">
        <v>11</v>
      </c>
      <c r="B395" s="1" t="s">
        <v>266</v>
      </c>
      <c r="C395" s="1" t="s">
        <v>19</v>
      </c>
      <c r="D395" s="1" t="s">
        <v>57</v>
      </c>
      <c r="E395" s="1" t="s">
        <v>114</v>
      </c>
      <c r="F395" s="1" t="s">
        <v>637</v>
      </c>
      <c r="G395" s="1">
        <v>21.5</v>
      </c>
      <c r="H395" s="1" t="s">
        <v>60</v>
      </c>
      <c r="I395" s="1">
        <v>-115.0</v>
      </c>
      <c r="J395" s="1">
        <v>-0.0892345709911816</v>
      </c>
      <c r="K395" s="1" t="s">
        <v>61</v>
      </c>
      <c r="L395" s="1" t="s">
        <v>61</v>
      </c>
      <c r="M395" s="1" t="s">
        <v>62</v>
      </c>
      <c r="N395" s="1">
        <v>-114.0</v>
      </c>
      <c r="O395" s="1">
        <v>0.0216624922894327</v>
      </c>
      <c r="P395" s="1" t="s">
        <v>61</v>
      </c>
      <c r="Q395" s="1" t="s">
        <v>61</v>
      </c>
    </row>
    <row r="396">
      <c r="A396" s="1" t="s">
        <v>16</v>
      </c>
      <c r="B396" s="1" t="s">
        <v>75</v>
      </c>
      <c r="C396" s="1" t="s">
        <v>21</v>
      </c>
      <c r="D396" s="1" t="s">
        <v>76</v>
      </c>
      <c r="E396" s="1" t="s">
        <v>164</v>
      </c>
      <c r="F396" s="1" t="s">
        <v>636</v>
      </c>
      <c r="G396" s="1">
        <v>34.5</v>
      </c>
      <c r="H396" s="1" t="s">
        <v>60</v>
      </c>
      <c r="I396" s="1">
        <v>-121.0</v>
      </c>
      <c r="J396" s="1">
        <v>0.0208432464747509</v>
      </c>
      <c r="K396" s="1" t="s">
        <v>61</v>
      </c>
      <c r="L396" s="1" t="s">
        <v>61</v>
      </c>
      <c r="M396" s="1" t="s">
        <v>62</v>
      </c>
      <c r="N396" s="1">
        <v>-109.0</v>
      </c>
      <c r="O396" s="1">
        <v>-0.0898787791961721</v>
      </c>
      <c r="P396" s="1" t="s">
        <v>61</v>
      </c>
      <c r="Q396" s="1" t="s">
        <v>61</v>
      </c>
    </row>
    <row r="397">
      <c r="A397" s="1" t="s">
        <v>9</v>
      </c>
      <c r="B397" s="1" t="s">
        <v>497</v>
      </c>
      <c r="C397" s="1" t="s">
        <v>19</v>
      </c>
      <c r="D397" s="1" t="s">
        <v>164</v>
      </c>
      <c r="E397" s="1" t="s">
        <v>76</v>
      </c>
      <c r="F397" s="1" t="s">
        <v>636</v>
      </c>
      <c r="G397" s="1">
        <v>76.5</v>
      </c>
      <c r="H397" s="1" t="s">
        <v>60</v>
      </c>
      <c r="I397" s="1">
        <v>-110.0</v>
      </c>
      <c r="J397" s="1">
        <v>0.0192692784887228</v>
      </c>
      <c r="K397" s="1" t="s">
        <v>61</v>
      </c>
      <c r="L397" s="1" t="s">
        <v>61</v>
      </c>
      <c r="M397" s="1" t="s">
        <v>62</v>
      </c>
      <c r="N397" s="1">
        <v>-123.0</v>
      </c>
      <c r="O397" s="1">
        <v>-0.0945828141484176</v>
      </c>
      <c r="P397" s="1" t="s">
        <v>61</v>
      </c>
      <c r="Q397" s="1" t="s">
        <v>61</v>
      </c>
    </row>
    <row r="398">
      <c r="A398" s="1" t="s">
        <v>10</v>
      </c>
      <c r="B398" s="1" t="s">
        <v>320</v>
      </c>
      <c r="C398" s="1" t="s">
        <v>21</v>
      </c>
      <c r="D398" s="1" t="s">
        <v>114</v>
      </c>
      <c r="E398" s="1" t="s">
        <v>57</v>
      </c>
      <c r="F398" s="1" t="s">
        <v>637</v>
      </c>
      <c r="G398" s="1">
        <v>48.5</v>
      </c>
      <c r="H398" s="1" t="s">
        <v>60</v>
      </c>
      <c r="I398" s="1">
        <v>-117.0</v>
      </c>
      <c r="J398" s="1">
        <v>-0.0863173131104863</v>
      </c>
      <c r="K398" s="1" t="s">
        <v>61</v>
      </c>
      <c r="L398" s="1" t="s">
        <v>61</v>
      </c>
      <c r="M398" s="1" t="s">
        <v>62</v>
      </c>
      <c r="N398" s="1">
        <v>-112.0</v>
      </c>
      <c r="O398" s="1">
        <v>0.0188224259676894</v>
      </c>
      <c r="P398" s="1" t="s">
        <v>61</v>
      </c>
      <c r="Q398" s="1" t="s">
        <v>61</v>
      </c>
    </row>
    <row r="399">
      <c r="A399" s="1" t="s">
        <v>16</v>
      </c>
      <c r="B399" s="1" t="s">
        <v>320</v>
      </c>
      <c r="C399" s="1" t="s">
        <v>21</v>
      </c>
      <c r="D399" s="1" t="s">
        <v>114</v>
      </c>
      <c r="E399" s="1" t="s">
        <v>57</v>
      </c>
      <c r="F399" s="1" t="s">
        <v>637</v>
      </c>
      <c r="G399" s="1">
        <v>29.5</v>
      </c>
      <c r="H399" s="1" t="s">
        <v>60</v>
      </c>
      <c r="I399" s="1">
        <v>102.0</v>
      </c>
      <c r="J399" s="1">
        <v>-0.0843985619009901</v>
      </c>
      <c r="K399" s="1" t="s">
        <v>61</v>
      </c>
      <c r="L399" s="1" t="s">
        <v>61</v>
      </c>
      <c r="M399" s="1" t="s">
        <v>62</v>
      </c>
      <c r="N399" s="1">
        <v>-134.0</v>
      </c>
      <c r="O399" s="1">
        <v>0.0167060614017093</v>
      </c>
      <c r="P399" s="1" t="s">
        <v>61</v>
      </c>
      <c r="Q399" s="1" t="s">
        <v>61</v>
      </c>
    </row>
    <row r="400">
      <c r="A400" s="1" t="s">
        <v>10</v>
      </c>
      <c r="B400" s="1" t="s">
        <v>473</v>
      </c>
      <c r="C400" s="1" t="s">
        <v>19</v>
      </c>
      <c r="D400" s="1" t="s">
        <v>134</v>
      </c>
      <c r="E400" s="1" t="s">
        <v>196</v>
      </c>
      <c r="F400" s="1" t="s">
        <v>637</v>
      </c>
      <c r="G400" s="1">
        <v>37.5</v>
      </c>
      <c r="H400" s="1" t="s">
        <v>60</v>
      </c>
      <c r="I400" s="1">
        <v>-110.0</v>
      </c>
      <c r="J400" s="1">
        <v>-0.0836807389248647</v>
      </c>
      <c r="K400" s="1" t="s">
        <v>61</v>
      </c>
      <c r="L400" s="1" t="s">
        <v>61</v>
      </c>
      <c r="M400" s="1" t="s">
        <v>62</v>
      </c>
      <c r="N400" s="1">
        <v>-119.0</v>
      </c>
      <c r="O400" s="1">
        <v>0.0165013891105648</v>
      </c>
      <c r="P400" s="1" t="s">
        <v>61</v>
      </c>
      <c r="Q400" s="1" t="s">
        <v>61</v>
      </c>
    </row>
    <row r="401">
      <c r="A401" s="1" t="s">
        <v>15</v>
      </c>
      <c r="B401" s="1" t="s">
        <v>522</v>
      </c>
      <c r="C401" s="1" t="s">
        <v>21</v>
      </c>
      <c r="D401" s="1" t="s">
        <v>57</v>
      </c>
      <c r="E401" s="1" t="s">
        <v>114</v>
      </c>
      <c r="F401" s="1" t="s">
        <v>637</v>
      </c>
      <c r="G401" s="1">
        <v>22.5</v>
      </c>
      <c r="H401" s="1" t="s">
        <v>60</v>
      </c>
      <c r="I401" s="1">
        <v>-120.0</v>
      </c>
      <c r="J401" s="1">
        <v>0.0146545454545454</v>
      </c>
      <c r="K401" s="1" t="s">
        <v>61</v>
      </c>
      <c r="L401" s="1" t="s">
        <v>61</v>
      </c>
      <c r="M401" s="1" t="s">
        <v>62</v>
      </c>
      <c r="N401" s="1">
        <v>-109.0</v>
      </c>
      <c r="O401" s="1">
        <v>-0.0816267942583731</v>
      </c>
      <c r="P401" s="1" t="s">
        <v>61</v>
      </c>
      <c r="Q401" s="1" t="s">
        <v>61</v>
      </c>
    </row>
    <row r="402">
      <c r="A402" s="1" t="s">
        <v>12</v>
      </c>
      <c r="B402" s="1" t="s">
        <v>488</v>
      </c>
      <c r="C402" s="1" t="s">
        <v>20</v>
      </c>
      <c r="D402" s="1" t="s">
        <v>114</v>
      </c>
      <c r="E402" s="1" t="s">
        <v>57</v>
      </c>
      <c r="F402" s="1" t="s">
        <v>637</v>
      </c>
      <c r="G402" s="1">
        <v>3.5</v>
      </c>
      <c r="H402" s="1" t="s">
        <v>60</v>
      </c>
      <c r="I402" s="1">
        <v>123.0</v>
      </c>
      <c r="J402" s="1">
        <v>-0.0798408071748879</v>
      </c>
      <c r="K402" s="1" t="s">
        <v>61</v>
      </c>
      <c r="L402" s="1" t="s">
        <v>61</v>
      </c>
      <c r="M402" s="1" t="s">
        <v>62</v>
      </c>
      <c r="N402" s="1">
        <v>-161.0</v>
      </c>
      <c r="O402" s="1">
        <v>0.0145651340996166</v>
      </c>
      <c r="P402" s="1" t="s">
        <v>61</v>
      </c>
      <c r="Q402" s="1" t="s">
        <v>61</v>
      </c>
    </row>
    <row r="403">
      <c r="A403" s="1" t="s">
        <v>13</v>
      </c>
      <c r="B403" s="1" t="s">
        <v>320</v>
      </c>
      <c r="C403" s="1" t="s">
        <v>21</v>
      </c>
      <c r="D403" s="1" t="s">
        <v>114</v>
      </c>
      <c r="E403" s="1" t="s">
        <v>57</v>
      </c>
      <c r="F403" s="1" t="s">
        <v>637</v>
      </c>
      <c r="G403" s="1">
        <v>235.5</v>
      </c>
      <c r="H403" s="1" t="s">
        <v>60</v>
      </c>
      <c r="I403" s="1">
        <v>-118.0</v>
      </c>
      <c r="J403" s="1">
        <v>-0.0710798165137616</v>
      </c>
      <c r="K403" s="1" t="s">
        <v>61</v>
      </c>
      <c r="L403" s="1" t="s">
        <v>61</v>
      </c>
      <c r="M403" s="1" t="s">
        <v>62</v>
      </c>
      <c r="N403" s="1">
        <v>-107.0</v>
      </c>
      <c r="O403" s="1">
        <v>0.0128231884057973</v>
      </c>
      <c r="P403" s="1" t="s">
        <v>61</v>
      </c>
      <c r="Q403" s="1" t="s">
        <v>61</v>
      </c>
    </row>
    <row r="404">
      <c r="A404" s="1" t="s">
        <v>11</v>
      </c>
      <c r="B404" s="1" t="s">
        <v>237</v>
      </c>
      <c r="C404" s="1" t="s">
        <v>18</v>
      </c>
      <c r="D404" s="1" t="s">
        <v>76</v>
      </c>
      <c r="E404" s="1" t="s">
        <v>164</v>
      </c>
      <c r="F404" s="1" t="s">
        <v>636</v>
      </c>
      <c r="G404" s="1">
        <v>22.5</v>
      </c>
      <c r="H404" s="1" t="s">
        <v>60</v>
      </c>
      <c r="I404" s="1">
        <v>-114.0</v>
      </c>
      <c r="J404" s="1">
        <v>-0.0815275947493318</v>
      </c>
      <c r="K404" s="1" t="s">
        <v>61</v>
      </c>
      <c r="L404" s="1" t="s">
        <v>61</v>
      </c>
      <c r="M404" s="1" t="s">
        <v>62</v>
      </c>
      <c r="N404" s="1">
        <v>-116.0</v>
      </c>
      <c r="O404" s="1">
        <v>0.0118127135211765</v>
      </c>
      <c r="P404" s="1" t="s">
        <v>61</v>
      </c>
      <c r="Q404" s="1" t="s">
        <v>61</v>
      </c>
    </row>
    <row r="405">
      <c r="A405" s="1" t="s">
        <v>11</v>
      </c>
      <c r="B405" s="1" t="s">
        <v>285</v>
      </c>
      <c r="C405" s="1" t="s">
        <v>18</v>
      </c>
      <c r="D405" s="1" t="s">
        <v>164</v>
      </c>
      <c r="E405" s="1" t="s">
        <v>76</v>
      </c>
      <c r="F405" s="1" t="s">
        <v>636</v>
      </c>
      <c r="G405" s="1">
        <v>35.5</v>
      </c>
      <c r="H405" s="1" t="s">
        <v>60</v>
      </c>
      <c r="I405" s="1">
        <v>-105.0</v>
      </c>
      <c r="J405" s="1">
        <v>-0.0791781363842441</v>
      </c>
      <c r="K405" s="1" t="s">
        <v>61</v>
      </c>
      <c r="L405" s="1" t="s">
        <v>61</v>
      </c>
      <c r="M405" s="1" t="s">
        <v>62</v>
      </c>
      <c r="N405" s="1">
        <v>-125.0</v>
      </c>
      <c r="O405" s="1">
        <v>0.0114514982987223</v>
      </c>
      <c r="P405" s="1" t="s">
        <v>61</v>
      </c>
      <c r="Q405" s="1" t="s">
        <v>61</v>
      </c>
    </row>
    <row r="406">
      <c r="A406" s="1" t="s">
        <v>11</v>
      </c>
      <c r="B406" s="1" t="s">
        <v>494</v>
      </c>
      <c r="C406" s="1" t="s">
        <v>20</v>
      </c>
      <c r="D406" s="1" t="s">
        <v>134</v>
      </c>
      <c r="E406" s="1" t="s">
        <v>196</v>
      </c>
      <c r="F406" s="1" t="s">
        <v>637</v>
      </c>
      <c r="G406" s="1">
        <v>60.5</v>
      </c>
      <c r="H406" s="1" t="s">
        <v>60</v>
      </c>
      <c r="I406" s="1">
        <v>-120.0</v>
      </c>
      <c r="J406" s="1">
        <v>-0.079363394083325</v>
      </c>
      <c r="K406" s="1" t="s">
        <v>61</v>
      </c>
      <c r="L406" s="1" t="s">
        <v>61</v>
      </c>
      <c r="M406" s="1" t="s">
        <v>62</v>
      </c>
      <c r="N406" s="1">
        <v>-110.0</v>
      </c>
      <c r="O406" s="1">
        <v>0.0100844370924261</v>
      </c>
      <c r="P406" s="1" t="s">
        <v>61</v>
      </c>
      <c r="Q406" s="1" t="s">
        <v>61</v>
      </c>
    </row>
    <row r="407">
      <c r="A407" s="1" t="s">
        <v>16</v>
      </c>
      <c r="B407" s="1" t="s">
        <v>247</v>
      </c>
      <c r="C407" s="1" t="s">
        <v>21</v>
      </c>
      <c r="D407" s="1" t="s">
        <v>196</v>
      </c>
      <c r="E407" s="1" t="s">
        <v>134</v>
      </c>
      <c r="F407" s="1" t="s">
        <v>637</v>
      </c>
      <c r="G407" s="1">
        <v>29.5</v>
      </c>
      <c r="H407" s="1" t="s">
        <v>60</v>
      </c>
      <c r="I407" s="1">
        <v>-131.0</v>
      </c>
      <c r="J407" s="1">
        <v>-0.0714533541125542</v>
      </c>
      <c r="K407" s="1" t="s">
        <v>61</v>
      </c>
      <c r="L407" s="1" t="s">
        <v>61</v>
      </c>
      <c r="M407" s="1" t="s">
        <v>62</v>
      </c>
      <c r="N407" s="1">
        <v>102.0</v>
      </c>
      <c r="O407" s="1">
        <v>0.00929764752475242</v>
      </c>
      <c r="P407" s="1" t="s">
        <v>61</v>
      </c>
      <c r="Q407" s="1" t="s">
        <v>61</v>
      </c>
    </row>
    <row r="408">
      <c r="A408" s="1" t="s">
        <v>11</v>
      </c>
      <c r="B408" s="1" t="s">
        <v>521</v>
      </c>
      <c r="C408" s="1" t="s">
        <v>19</v>
      </c>
      <c r="D408" s="1" t="s">
        <v>57</v>
      </c>
      <c r="E408" s="1" t="s">
        <v>114</v>
      </c>
      <c r="F408" s="1" t="s">
        <v>637</v>
      </c>
      <c r="G408" s="1">
        <v>10.5</v>
      </c>
      <c r="H408" s="1" t="s">
        <v>60</v>
      </c>
      <c r="I408" s="1">
        <v>-112.0</v>
      </c>
      <c r="J408" s="1">
        <v>0.0087421910241785</v>
      </c>
      <c r="K408" s="1" t="s">
        <v>61</v>
      </c>
      <c r="L408" s="1" t="s">
        <v>61</v>
      </c>
      <c r="M408" s="1" t="s">
        <v>62</v>
      </c>
      <c r="N408" s="1">
        <v>-116.0</v>
      </c>
      <c r="O408" s="1">
        <v>-0.0740595167438241</v>
      </c>
      <c r="P408" s="1" t="s">
        <v>61</v>
      </c>
      <c r="Q408" s="1" t="s">
        <v>61</v>
      </c>
    </row>
    <row r="409">
      <c r="A409" s="1" t="s">
        <v>14</v>
      </c>
      <c r="B409" s="1" t="s">
        <v>247</v>
      </c>
      <c r="C409" s="1" t="s">
        <v>21</v>
      </c>
      <c r="D409" s="1" t="s">
        <v>196</v>
      </c>
      <c r="E409" s="1" t="s">
        <v>134</v>
      </c>
      <c r="F409" s="1" t="s">
        <v>637</v>
      </c>
      <c r="G409" s="1">
        <v>1.5</v>
      </c>
      <c r="H409" s="1" t="s">
        <v>60</v>
      </c>
      <c r="I409" s="1">
        <v>-107.0</v>
      </c>
      <c r="J409" s="1">
        <v>-0.0760082125603863</v>
      </c>
      <c r="K409" s="1" t="s">
        <v>61</v>
      </c>
      <c r="L409" s="1" t="s">
        <v>61</v>
      </c>
      <c r="M409" s="1" t="s">
        <v>62</v>
      </c>
      <c r="N409" s="1">
        <v>-123.0</v>
      </c>
      <c r="O409" s="1">
        <v>0.0075304932735426</v>
      </c>
      <c r="P409" s="1" t="s">
        <v>61</v>
      </c>
      <c r="Q409" s="1" t="s">
        <v>61</v>
      </c>
    </row>
    <row r="410">
      <c r="A410" s="1" t="s">
        <v>17</v>
      </c>
      <c r="B410" s="1" t="s">
        <v>262</v>
      </c>
      <c r="C410" s="1" t="s">
        <v>21</v>
      </c>
      <c r="D410" s="1" t="s">
        <v>164</v>
      </c>
      <c r="E410" s="1" t="s">
        <v>76</v>
      </c>
      <c r="F410" s="1" t="s">
        <v>636</v>
      </c>
      <c r="G410" s="1">
        <v>0.5</v>
      </c>
      <c r="H410" s="1" t="s">
        <v>60</v>
      </c>
      <c r="I410" s="1">
        <v>-107.0</v>
      </c>
      <c r="J410" s="1">
        <v>-0.0717599033816424</v>
      </c>
      <c r="K410" s="1" t="s">
        <v>61</v>
      </c>
      <c r="L410" s="1" t="s">
        <v>61</v>
      </c>
      <c r="M410" s="1" t="s">
        <v>62</v>
      </c>
      <c r="N410" s="1">
        <v>-122.0</v>
      </c>
      <c r="O410" s="1">
        <v>0.00529549549549546</v>
      </c>
      <c r="P410" s="1" t="s">
        <v>61</v>
      </c>
      <c r="Q410" s="1" t="s">
        <v>61</v>
      </c>
    </row>
    <row r="411">
      <c r="A411" s="1" t="s">
        <v>8</v>
      </c>
      <c r="B411" s="1" t="s">
        <v>620</v>
      </c>
      <c r="C411" s="1" t="s">
        <v>21</v>
      </c>
      <c r="D411" s="1" t="s">
        <v>134</v>
      </c>
      <c r="E411" s="1" t="s">
        <v>196</v>
      </c>
      <c r="F411" s="1" t="s">
        <v>637</v>
      </c>
      <c r="G411" s="1">
        <v>1.5</v>
      </c>
      <c r="H411" s="1" t="s">
        <v>60</v>
      </c>
      <c r="I411" s="1">
        <v>112.0</v>
      </c>
      <c r="J411" s="1">
        <v>0.00426877480927029</v>
      </c>
      <c r="K411" s="1" t="s">
        <v>61</v>
      </c>
      <c r="L411" s="1" t="s">
        <v>61</v>
      </c>
      <c r="M411" s="1" t="s">
        <v>62</v>
      </c>
      <c r="N411" s="1">
        <v>-150.0</v>
      </c>
      <c r="O411" s="1">
        <v>-0.0759759656762427</v>
      </c>
      <c r="P411" s="1" t="s">
        <v>61</v>
      </c>
      <c r="Q411" s="1" t="s">
        <v>61</v>
      </c>
    </row>
    <row r="412">
      <c r="A412" s="1" t="s">
        <v>12</v>
      </c>
      <c r="B412" s="1" t="s">
        <v>494</v>
      </c>
      <c r="C412" s="1" t="s">
        <v>20</v>
      </c>
      <c r="D412" s="1" t="s">
        <v>134</v>
      </c>
      <c r="E412" s="1" t="s">
        <v>196</v>
      </c>
      <c r="F412" s="1" t="s">
        <v>637</v>
      </c>
      <c r="G412" s="1">
        <v>5.5</v>
      </c>
      <c r="H412" s="1" t="s">
        <v>60</v>
      </c>
      <c r="I412" s="1">
        <v>-142.0</v>
      </c>
      <c r="J412" s="1">
        <v>0.00422314049586769</v>
      </c>
      <c r="K412" s="1" t="s">
        <v>61</v>
      </c>
      <c r="L412" s="1" t="s">
        <v>61</v>
      </c>
      <c r="M412" s="1" t="s">
        <v>62</v>
      </c>
      <c r="N412" s="1">
        <v>108.0</v>
      </c>
      <c r="O412" s="1">
        <v>-0.0717692307692307</v>
      </c>
      <c r="P412" s="1" t="s">
        <v>61</v>
      </c>
      <c r="Q412" s="1" t="s">
        <v>61</v>
      </c>
    </row>
    <row r="413">
      <c r="A413" s="1" t="s">
        <v>11</v>
      </c>
      <c r="B413" s="1" t="s">
        <v>295</v>
      </c>
      <c r="C413" s="1" t="s">
        <v>18</v>
      </c>
      <c r="D413" s="1" t="s">
        <v>76</v>
      </c>
      <c r="E413" s="1" t="s">
        <v>164</v>
      </c>
      <c r="F413" s="1" t="s">
        <v>636</v>
      </c>
      <c r="G413" s="1">
        <v>40.5</v>
      </c>
      <c r="H413" s="1" t="s">
        <v>60</v>
      </c>
      <c r="I413" s="1">
        <v>-116.0</v>
      </c>
      <c r="J413" s="1">
        <v>0.00382241207120359</v>
      </c>
      <c r="K413" s="1" t="s">
        <v>61</v>
      </c>
      <c r="L413" s="1" t="s">
        <v>61</v>
      </c>
      <c r="M413" s="1" t="s">
        <v>62</v>
      </c>
      <c r="N413" s="1">
        <v>-114.0</v>
      </c>
      <c r="O413" s="1">
        <v>-0.0735491941505325</v>
      </c>
      <c r="P413" s="1" t="s">
        <v>61</v>
      </c>
      <c r="Q413" s="1" t="s">
        <v>61</v>
      </c>
    </row>
    <row r="414">
      <c r="A414" s="1" t="s">
        <v>9</v>
      </c>
      <c r="B414" s="1" t="s">
        <v>357</v>
      </c>
      <c r="C414" s="1" t="s">
        <v>18</v>
      </c>
      <c r="D414" s="1" t="s">
        <v>57</v>
      </c>
      <c r="E414" s="1" t="s">
        <v>114</v>
      </c>
      <c r="F414" s="1" t="s">
        <v>637</v>
      </c>
      <c r="G414" s="1">
        <v>43.5</v>
      </c>
      <c r="H414" s="1" t="s">
        <v>60</v>
      </c>
      <c r="I414" s="1">
        <v>-115.0</v>
      </c>
      <c r="J414" s="1">
        <v>0.00216785979580858</v>
      </c>
      <c r="K414" s="1" t="s">
        <v>61</v>
      </c>
      <c r="L414" s="1" t="s">
        <v>61</v>
      </c>
      <c r="M414" s="1" t="s">
        <v>62</v>
      </c>
      <c r="N414" s="1">
        <v>-120.0</v>
      </c>
      <c r="O414" s="1">
        <v>-0.0824286719423574</v>
      </c>
      <c r="P414" s="1" t="s">
        <v>61</v>
      </c>
      <c r="Q414" s="1" t="s">
        <v>61</v>
      </c>
    </row>
    <row r="415">
      <c r="A415" s="1" t="s">
        <v>9</v>
      </c>
      <c r="B415" s="1" t="s">
        <v>368</v>
      </c>
      <c r="C415" s="1" t="s">
        <v>19</v>
      </c>
      <c r="D415" s="1" t="s">
        <v>196</v>
      </c>
      <c r="E415" s="1" t="s">
        <v>134</v>
      </c>
      <c r="F415" s="1" t="s">
        <v>637</v>
      </c>
      <c r="G415" s="1">
        <v>113.5</v>
      </c>
      <c r="H415" s="1" t="s">
        <v>60</v>
      </c>
      <c r="I415" s="1">
        <v>-113.0</v>
      </c>
      <c r="J415" s="1">
        <v>-0.0757553218320281</v>
      </c>
      <c r="K415" s="1" t="s">
        <v>61</v>
      </c>
      <c r="L415" s="1" t="s">
        <v>61</v>
      </c>
      <c r="M415" s="1" t="s">
        <v>62</v>
      </c>
      <c r="N415" s="1">
        <v>-119.0</v>
      </c>
      <c r="O415" s="1">
        <v>0.00186595494580921</v>
      </c>
      <c r="P415" s="1" t="s">
        <v>61</v>
      </c>
      <c r="Q415" s="1" t="s">
        <v>61</v>
      </c>
    </row>
    <row r="416">
      <c r="A416" s="1" t="s">
        <v>16</v>
      </c>
      <c r="B416" s="1" t="s">
        <v>522</v>
      </c>
      <c r="C416" s="1" t="s">
        <v>21</v>
      </c>
      <c r="D416" s="1" t="s">
        <v>57</v>
      </c>
      <c r="E416" s="1" t="s">
        <v>114</v>
      </c>
      <c r="F416" s="1" t="s">
        <v>637</v>
      </c>
      <c r="G416" s="1">
        <v>35.5</v>
      </c>
      <c r="H416" s="1" t="s">
        <v>60</v>
      </c>
      <c r="I416" s="1">
        <v>-107.0</v>
      </c>
      <c r="J416" s="1">
        <v>0.00164330131285028</v>
      </c>
      <c r="K416" s="1" t="s">
        <v>61</v>
      </c>
      <c r="L416" s="1" t="s">
        <v>61</v>
      </c>
      <c r="M416" s="1" t="s">
        <v>62</v>
      </c>
      <c r="N416" s="1">
        <v>-123.0</v>
      </c>
      <c r="O416" s="1">
        <v>-0.0701141962690584</v>
      </c>
      <c r="P416" s="1" t="s">
        <v>61</v>
      </c>
      <c r="Q416" s="1" t="s">
        <v>61</v>
      </c>
    </row>
    <row r="417">
      <c r="A417" s="1" t="s">
        <v>12</v>
      </c>
      <c r="B417" s="1" t="s">
        <v>593</v>
      </c>
      <c r="C417" s="1" t="s">
        <v>18</v>
      </c>
      <c r="D417" s="1" t="s">
        <v>134</v>
      </c>
      <c r="E417" s="1" t="s">
        <v>196</v>
      </c>
      <c r="F417" s="1" t="s">
        <v>637</v>
      </c>
      <c r="G417" s="1">
        <v>2.5</v>
      </c>
      <c r="H417" s="1" t="s">
        <v>60</v>
      </c>
      <c r="I417" s="1">
        <v>115.0</v>
      </c>
      <c r="J417" s="1">
        <v>-0.0667197589581394</v>
      </c>
      <c r="K417" s="1" t="s">
        <v>61</v>
      </c>
      <c r="L417" s="1" t="s">
        <v>61</v>
      </c>
      <c r="M417" s="1" t="s">
        <v>62</v>
      </c>
      <c r="N417" s="1">
        <v>-150.0</v>
      </c>
      <c r="O417" s="1">
        <v>0.0016160774399998</v>
      </c>
      <c r="P417" s="1" t="s">
        <v>61</v>
      </c>
      <c r="Q417" s="1" t="s">
        <v>61</v>
      </c>
    </row>
    <row r="418">
      <c r="A418" s="1" t="s">
        <v>12</v>
      </c>
      <c r="B418" s="1" t="s">
        <v>255</v>
      </c>
      <c r="C418" s="1" t="s">
        <v>18</v>
      </c>
      <c r="D418" s="1" t="s">
        <v>164</v>
      </c>
      <c r="E418" s="1" t="s">
        <v>76</v>
      </c>
      <c r="F418" s="1" t="s">
        <v>636</v>
      </c>
      <c r="G418" s="1">
        <v>4.5</v>
      </c>
      <c r="H418" s="1" t="s">
        <v>60</v>
      </c>
      <c r="I418" s="1">
        <v>-112.0</v>
      </c>
      <c r="J418" s="1">
        <v>8.98113207547179E-4</v>
      </c>
      <c r="K418" s="1" t="s">
        <v>61</v>
      </c>
      <c r="L418" s="1" t="s">
        <v>61</v>
      </c>
      <c r="M418" s="1" t="s">
        <v>62</v>
      </c>
      <c r="N418" s="1">
        <v>-119.0</v>
      </c>
      <c r="O418" s="1">
        <v>-0.0725789954337898</v>
      </c>
      <c r="P418" s="1" t="s">
        <v>61</v>
      </c>
      <c r="Q418" s="1" t="s">
        <v>61</v>
      </c>
    </row>
    <row r="419">
      <c r="A419" s="1" t="s">
        <v>10</v>
      </c>
      <c r="B419" s="1" t="s">
        <v>497</v>
      </c>
      <c r="C419" s="1" t="s">
        <v>19</v>
      </c>
      <c r="D419" s="1" t="s">
        <v>164</v>
      </c>
      <c r="E419" s="1" t="s">
        <v>76</v>
      </c>
      <c r="F419" s="1" t="s">
        <v>636</v>
      </c>
      <c r="G419" s="1">
        <v>60.5</v>
      </c>
      <c r="H419" s="1" t="s">
        <v>60</v>
      </c>
      <c r="I419" s="1">
        <v>-110.0</v>
      </c>
      <c r="J419" s="1">
        <v>5.42234902730642E-4</v>
      </c>
      <c r="K419" s="1" t="s">
        <v>61</v>
      </c>
      <c r="L419" s="1" t="s">
        <v>61</v>
      </c>
      <c r="M419" s="1" t="s">
        <v>62</v>
      </c>
      <c r="N419" s="1">
        <v>-117.0</v>
      </c>
      <c r="O419" s="1">
        <v>-0.0635293456401627</v>
      </c>
      <c r="P419" s="1" t="s">
        <v>61</v>
      </c>
      <c r="Q419" s="1" t="s">
        <v>61</v>
      </c>
    </row>
    <row r="420">
      <c r="A420" s="1" t="s">
        <v>9</v>
      </c>
      <c r="B420" s="1" t="s">
        <v>249</v>
      </c>
      <c r="C420" s="1" t="s">
        <v>18</v>
      </c>
      <c r="D420" s="1" t="s">
        <v>114</v>
      </c>
      <c r="E420" s="1" t="s">
        <v>57</v>
      </c>
      <c r="F420" s="1" t="s">
        <v>637</v>
      </c>
      <c r="G420" s="1">
        <v>67.5</v>
      </c>
      <c r="H420" s="1" t="s">
        <v>60</v>
      </c>
      <c r="I420" s="1">
        <v>-116.0</v>
      </c>
      <c r="J420" s="1">
        <v>-0.0746121193509923</v>
      </c>
      <c r="K420" s="1" t="s">
        <v>61</v>
      </c>
      <c r="L420" s="1" t="s">
        <v>61</v>
      </c>
      <c r="M420" s="1" t="s">
        <v>62</v>
      </c>
      <c r="N420" s="1">
        <v>-116.0</v>
      </c>
      <c r="O420" s="1">
        <v>5.34058447150931E-4</v>
      </c>
      <c r="P420" s="1" t="s">
        <v>61</v>
      </c>
      <c r="Q420" s="1" t="s">
        <v>61</v>
      </c>
    </row>
    <row r="421">
      <c r="A421" s="1" t="s">
        <v>12</v>
      </c>
      <c r="B421" s="1" t="s">
        <v>486</v>
      </c>
      <c r="C421" s="1" t="s">
        <v>18</v>
      </c>
      <c r="D421" s="1" t="s">
        <v>134</v>
      </c>
      <c r="E421" s="1" t="s">
        <v>196</v>
      </c>
      <c r="F421" s="1" t="s">
        <v>637</v>
      </c>
      <c r="G421" s="1">
        <v>3.5</v>
      </c>
      <c r="H421" s="1" t="s">
        <v>60</v>
      </c>
      <c r="I421" s="1">
        <v>-112.0</v>
      </c>
      <c r="J421" s="1">
        <v>-0.0697018867924527</v>
      </c>
      <c r="K421" s="1" t="s">
        <v>61</v>
      </c>
      <c r="L421" s="1" t="s">
        <v>61</v>
      </c>
      <c r="M421" s="1" t="s">
        <v>62</v>
      </c>
      <c r="N421" s="1">
        <v>-118.0</v>
      </c>
      <c r="O421" s="1">
        <v>1.15596330275358E-4</v>
      </c>
      <c r="P421" s="1" t="s">
        <v>61</v>
      </c>
      <c r="Q421" s="1" t="s">
        <v>61</v>
      </c>
    </row>
    <row r="422">
      <c r="A422" s="1" t="s">
        <v>9</v>
      </c>
      <c r="B422" s="1" t="s">
        <v>403</v>
      </c>
      <c r="C422" s="1" t="s">
        <v>18</v>
      </c>
      <c r="D422" s="1" t="s">
        <v>110</v>
      </c>
      <c r="E422" s="1" t="s">
        <v>165</v>
      </c>
      <c r="F422" s="1" t="s">
        <v>642</v>
      </c>
      <c r="G422" s="1">
        <v>16.5</v>
      </c>
      <c r="H422" s="1" t="s">
        <v>60</v>
      </c>
      <c r="I422" s="1">
        <v>-110.0</v>
      </c>
      <c r="J422" s="1">
        <v>0.159193425769455</v>
      </c>
      <c r="K422" s="1" t="s">
        <v>61</v>
      </c>
      <c r="L422" s="1" t="s">
        <v>61</v>
      </c>
      <c r="M422" s="1" t="s">
        <v>62</v>
      </c>
      <c r="N422" s="1">
        <v>-120.0</v>
      </c>
      <c r="O422" s="1">
        <v>-0.228443378608649</v>
      </c>
      <c r="P422" s="1" t="s">
        <v>61</v>
      </c>
      <c r="Q422" s="1" t="s">
        <v>61</v>
      </c>
    </row>
    <row r="423">
      <c r="A423" s="1" t="s">
        <v>9</v>
      </c>
      <c r="B423" s="1" t="s">
        <v>600</v>
      </c>
      <c r="C423" s="1" t="s">
        <v>18</v>
      </c>
      <c r="D423" s="1" t="s">
        <v>110</v>
      </c>
      <c r="E423" s="1" t="s">
        <v>165</v>
      </c>
      <c r="F423" s="1" t="s">
        <v>642</v>
      </c>
      <c r="G423" s="1">
        <v>16.5</v>
      </c>
      <c r="H423" s="1" t="s">
        <v>60</v>
      </c>
      <c r="I423" s="1">
        <v>-118.0</v>
      </c>
      <c r="J423" s="1">
        <v>0.14618709670656</v>
      </c>
      <c r="K423" s="1" t="s">
        <v>61</v>
      </c>
      <c r="L423" s="1" t="s">
        <v>61</v>
      </c>
      <c r="M423" s="1" t="s">
        <v>62</v>
      </c>
      <c r="N423" s="1">
        <v>-115.0</v>
      </c>
      <c r="O423" s="1">
        <v>-0.222317279741091</v>
      </c>
      <c r="P423" s="1" t="s">
        <v>61</v>
      </c>
      <c r="Q423" s="1" t="s">
        <v>61</v>
      </c>
    </row>
    <row r="424">
      <c r="A424" s="1" t="s">
        <v>8</v>
      </c>
      <c r="B424" s="1" t="s">
        <v>214</v>
      </c>
      <c r="C424" s="1" t="s">
        <v>21</v>
      </c>
      <c r="D424" s="1" t="s">
        <v>110</v>
      </c>
      <c r="E424" s="1" t="s">
        <v>165</v>
      </c>
      <c r="F424" s="1" t="s">
        <v>642</v>
      </c>
      <c r="G424" s="1">
        <v>4.5</v>
      </c>
      <c r="H424" s="1" t="s">
        <v>60</v>
      </c>
      <c r="I424" s="1">
        <v>-120.0</v>
      </c>
      <c r="J424" s="1">
        <v>-0.202201862660807</v>
      </c>
      <c r="K424" s="1" t="s">
        <v>61</v>
      </c>
      <c r="L424" s="1" t="s">
        <v>61</v>
      </c>
      <c r="M424" s="1" t="s">
        <v>62</v>
      </c>
      <c r="N424" s="1">
        <v>-110.0</v>
      </c>
      <c r="O424" s="1">
        <v>0.132929765542454</v>
      </c>
      <c r="P424" s="1" t="s">
        <v>61</v>
      </c>
      <c r="Q424" s="1" t="s">
        <v>61</v>
      </c>
    </row>
    <row r="425">
      <c r="A425" s="1" t="s">
        <v>11</v>
      </c>
      <c r="B425" s="1" t="s">
        <v>554</v>
      </c>
      <c r="C425" s="1" t="s">
        <v>19</v>
      </c>
      <c r="D425" s="1" t="s">
        <v>165</v>
      </c>
      <c r="E425" s="1" t="s">
        <v>110</v>
      </c>
      <c r="F425" s="1" t="s">
        <v>642</v>
      </c>
      <c r="G425" s="1">
        <v>4.5</v>
      </c>
      <c r="H425" s="1" t="s">
        <v>60</v>
      </c>
      <c r="I425" s="1">
        <v>-108.0</v>
      </c>
      <c r="J425" s="1">
        <v>0.130008195916537</v>
      </c>
      <c r="K425" s="1" t="s">
        <v>61</v>
      </c>
      <c r="L425" s="1" t="s">
        <v>61</v>
      </c>
      <c r="M425" s="1" t="s">
        <v>62</v>
      </c>
      <c r="N425" s="1">
        <v>-118.0</v>
      </c>
      <c r="O425" s="1">
        <v>-0.190490511953004</v>
      </c>
      <c r="P425" s="1" t="s">
        <v>61</v>
      </c>
      <c r="Q425" s="1" t="s">
        <v>61</v>
      </c>
    </row>
    <row r="426">
      <c r="A426" s="1" t="s">
        <v>12</v>
      </c>
      <c r="B426" s="1" t="s">
        <v>305</v>
      </c>
      <c r="C426" s="1" t="s">
        <v>20</v>
      </c>
      <c r="D426" s="1" t="s">
        <v>165</v>
      </c>
      <c r="E426" s="1" t="s">
        <v>110</v>
      </c>
      <c r="F426" s="1" t="s">
        <v>642</v>
      </c>
      <c r="G426" s="1">
        <v>2.5</v>
      </c>
      <c r="H426" s="1" t="s">
        <v>60</v>
      </c>
      <c r="I426" s="1">
        <v>-103.0</v>
      </c>
      <c r="J426" s="1">
        <v>-0.176487593300492</v>
      </c>
      <c r="K426" s="1" t="s">
        <v>61</v>
      </c>
      <c r="L426" s="1" t="s">
        <v>61</v>
      </c>
      <c r="M426" s="1" t="s">
        <v>62</v>
      </c>
      <c r="N426" s="1">
        <v>-128.0</v>
      </c>
      <c r="O426" s="1">
        <v>0.107694702821052</v>
      </c>
      <c r="P426" s="1" t="s">
        <v>61</v>
      </c>
      <c r="Q426" s="1" t="s">
        <v>61</v>
      </c>
    </row>
    <row r="427">
      <c r="A427" s="1" t="s">
        <v>12</v>
      </c>
      <c r="B427" s="1" t="s">
        <v>336</v>
      </c>
      <c r="C427" s="1" t="s">
        <v>19</v>
      </c>
      <c r="D427" s="1" t="s">
        <v>165</v>
      </c>
      <c r="E427" s="1" t="s">
        <v>110</v>
      </c>
      <c r="F427" s="1" t="s">
        <v>642</v>
      </c>
      <c r="G427" s="1">
        <v>3.5</v>
      </c>
      <c r="H427" s="1" t="s">
        <v>60</v>
      </c>
      <c r="I427" s="1">
        <v>-134.0</v>
      </c>
      <c r="J427" s="1">
        <v>-0.161606837606837</v>
      </c>
      <c r="K427" s="1" t="s">
        <v>61</v>
      </c>
      <c r="L427" s="1" t="s">
        <v>61</v>
      </c>
      <c r="M427" s="1" t="s">
        <v>62</v>
      </c>
      <c r="N427" s="1">
        <v>103.0</v>
      </c>
      <c r="O427" s="1">
        <v>0.0963399014778325</v>
      </c>
      <c r="P427" s="1" t="s">
        <v>61</v>
      </c>
      <c r="Q427" s="1" t="s">
        <v>61</v>
      </c>
    </row>
    <row r="428">
      <c r="A428" s="1" t="s">
        <v>10</v>
      </c>
      <c r="B428" s="1" t="s">
        <v>330</v>
      </c>
      <c r="C428" s="1" t="s">
        <v>21</v>
      </c>
      <c r="D428" s="1" t="s">
        <v>165</v>
      </c>
      <c r="E428" s="1" t="s">
        <v>110</v>
      </c>
      <c r="F428" s="1" t="s">
        <v>642</v>
      </c>
      <c r="G428" s="1">
        <v>2.5</v>
      </c>
      <c r="H428" s="1" t="s">
        <v>60</v>
      </c>
      <c r="I428" s="1">
        <v>-110.0</v>
      </c>
      <c r="J428" s="1">
        <v>0.0958645866941301</v>
      </c>
      <c r="K428" s="1" t="s">
        <v>61</v>
      </c>
      <c r="L428" s="1" t="s">
        <v>61</v>
      </c>
      <c r="M428" s="1" t="s">
        <v>62</v>
      </c>
      <c r="N428" s="1">
        <v>-118.0</v>
      </c>
      <c r="O428" s="1">
        <v>-0.160900296251401</v>
      </c>
      <c r="P428" s="1" t="s">
        <v>61</v>
      </c>
      <c r="Q428" s="1" t="s">
        <v>61</v>
      </c>
    </row>
    <row r="429">
      <c r="A429" s="1" t="s">
        <v>14</v>
      </c>
      <c r="B429" s="1" t="s">
        <v>214</v>
      </c>
      <c r="C429" s="1" t="s">
        <v>21</v>
      </c>
      <c r="D429" s="1" t="s">
        <v>110</v>
      </c>
      <c r="E429" s="1" t="s">
        <v>165</v>
      </c>
      <c r="F429" s="1" t="s">
        <v>642</v>
      </c>
      <c r="G429" s="1">
        <v>0.5</v>
      </c>
      <c r="H429" s="1" t="s">
        <v>60</v>
      </c>
      <c r="I429" s="1">
        <v>-217.0</v>
      </c>
      <c r="J429" s="1">
        <v>-0.146474132492113</v>
      </c>
      <c r="K429" s="1" t="s">
        <v>61</v>
      </c>
      <c r="L429" s="1" t="s">
        <v>61</v>
      </c>
      <c r="M429" s="1" t="s">
        <v>62</v>
      </c>
      <c r="N429" s="1">
        <v>166.0</v>
      </c>
      <c r="O429" s="1">
        <v>0.0859977443609023</v>
      </c>
      <c r="P429" s="1" t="s">
        <v>61</v>
      </c>
      <c r="Q429" s="1" t="s">
        <v>61</v>
      </c>
    </row>
    <row r="430">
      <c r="A430" s="1" t="s">
        <v>12</v>
      </c>
      <c r="B430" s="1" t="s">
        <v>403</v>
      </c>
      <c r="C430" s="1" t="s">
        <v>18</v>
      </c>
      <c r="D430" s="1" t="s">
        <v>110</v>
      </c>
      <c r="E430" s="1" t="s">
        <v>165</v>
      </c>
      <c r="F430" s="1" t="s">
        <v>642</v>
      </c>
      <c r="G430" s="1">
        <v>1.5</v>
      </c>
      <c r="H430" s="1" t="s">
        <v>60</v>
      </c>
      <c r="I430" s="1">
        <v>103.0</v>
      </c>
      <c r="J430" s="1">
        <v>-0.140653014791724</v>
      </c>
      <c r="K430" s="1" t="s">
        <v>61</v>
      </c>
      <c r="L430" s="1" t="s">
        <v>61</v>
      </c>
      <c r="M430" s="1" t="s">
        <v>62</v>
      </c>
      <c r="N430" s="1">
        <v>-132.0</v>
      </c>
      <c r="O430" s="1">
        <v>0.0790817787227585</v>
      </c>
      <c r="P430" s="1" t="s">
        <v>61</v>
      </c>
      <c r="Q430" s="1" t="s">
        <v>61</v>
      </c>
    </row>
    <row r="431">
      <c r="A431" s="1" t="s">
        <v>12</v>
      </c>
      <c r="B431" s="1" t="s">
        <v>291</v>
      </c>
      <c r="C431" s="1" t="s">
        <v>18</v>
      </c>
      <c r="D431" s="1" t="s">
        <v>165</v>
      </c>
      <c r="E431" s="1" t="s">
        <v>110</v>
      </c>
      <c r="F431" s="1" t="s">
        <v>642</v>
      </c>
      <c r="G431" s="1">
        <v>2.5</v>
      </c>
      <c r="H431" s="1" t="s">
        <v>60</v>
      </c>
      <c r="I431" s="1">
        <v>-110.0</v>
      </c>
      <c r="J431" s="1">
        <v>-0.148054672904761</v>
      </c>
      <c r="K431" s="1" t="s">
        <v>61</v>
      </c>
      <c r="L431" s="1" t="s">
        <v>61</v>
      </c>
      <c r="M431" s="1" t="s">
        <v>62</v>
      </c>
      <c r="N431" s="1">
        <v>-121.0</v>
      </c>
      <c r="O431" s="1">
        <v>0.0767405990276017</v>
      </c>
      <c r="P431" s="1" t="s">
        <v>61</v>
      </c>
      <c r="Q431" s="1" t="s">
        <v>61</v>
      </c>
    </row>
    <row r="432">
      <c r="A432" s="1" t="s">
        <v>9</v>
      </c>
      <c r="B432" s="1" t="s">
        <v>291</v>
      </c>
      <c r="C432" s="1" t="s">
        <v>18</v>
      </c>
      <c r="D432" s="1" t="s">
        <v>165</v>
      </c>
      <c r="E432" s="1" t="s">
        <v>110</v>
      </c>
      <c r="F432" s="1" t="s">
        <v>642</v>
      </c>
      <c r="G432" s="1">
        <v>26.5</v>
      </c>
      <c r="H432" s="1" t="s">
        <v>60</v>
      </c>
      <c r="I432" s="1">
        <v>-115.0</v>
      </c>
      <c r="J432" s="1">
        <v>0.0704335913100351</v>
      </c>
      <c r="K432" s="1" t="s">
        <v>61</v>
      </c>
      <c r="L432" s="1" t="s">
        <v>61</v>
      </c>
      <c r="M432" s="1" t="s">
        <v>62</v>
      </c>
      <c r="N432" s="1">
        <v>-115.0</v>
      </c>
      <c r="O432" s="1">
        <v>-0.14017363000654</v>
      </c>
      <c r="P432" s="1" t="s">
        <v>61</v>
      </c>
      <c r="Q432" s="1" t="s">
        <v>61</v>
      </c>
    </row>
    <row r="433">
      <c r="A433" s="1" t="s">
        <v>9</v>
      </c>
      <c r="B433" s="1" t="s">
        <v>554</v>
      </c>
      <c r="C433" s="1" t="s">
        <v>19</v>
      </c>
      <c r="D433" s="1" t="s">
        <v>165</v>
      </c>
      <c r="E433" s="1" t="s">
        <v>110</v>
      </c>
      <c r="F433" s="1" t="s">
        <v>642</v>
      </c>
      <c r="G433" s="1">
        <v>28.5</v>
      </c>
      <c r="H433" s="1" t="s">
        <v>60</v>
      </c>
      <c r="I433" s="1">
        <v>-115.0</v>
      </c>
      <c r="J433" s="1">
        <v>0.0689885566781141</v>
      </c>
      <c r="K433" s="1" t="s">
        <v>61</v>
      </c>
      <c r="L433" s="1" t="s">
        <v>61</v>
      </c>
      <c r="M433" s="1" t="s">
        <v>62</v>
      </c>
      <c r="N433" s="1">
        <v>-118.0</v>
      </c>
      <c r="O433" s="1">
        <v>-0.145119389124943</v>
      </c>
      <c r="P433" s="1" t="s">
        <v>61</v>
      </c>
      <c r="Q433" s="1" t="s">
        <v>61</v>
      </c>
    </row>
    <row r="434">
      <c r="A434" s="1" t="s">
        <v>8</v>
      </c>
      <c r="B434" s="1" t="s">
        <v>123</v>
      </c>
      <c r="C434" s="1" t="s">
        <v>19</v>
      </c>
      <c r="D434" s="1" t="s">
        <v>110</v>
      </c>
      <c r="E434" s="1" t="s">
        <v>165</v>
      </c>
      <c r="F434" s="1" t="s">
        <v>642</v>
      </c>
      <c r="G434" s="1">
        <v>14.5</v>
      </c>
      <c r="H434" s="1" t="s">
        <v>60</v>
      </c>
      <c r="I434" s="1">
        <v>-133.0</v>
      </c>
      <c r="J434" s="1">
        <v>-0.131672433266094</v>
      </c>
      <c r="K434" s="1" t="s">
        <v>61</v>
      </c>
      <c r="L434" s="1" t="s">
        <v>61</v>
      </c>
      <c r="M434" s="1" t="s">
        <v>62</v>
      </c>
      <c r="N434" s="1">
        <v>100.0</v>
      </c>
      <c r="O434" s="1">
        <v>0.0608498847549999</v>
      </c>
      <c r="P434" s="1" t="s">
        <v>61</v>
      </c>
      <c r="Q434" s="1" t="s">
        <v>61</v>
      </c>
    </row>
    <row r="435">
      <c r="A435" s="1" t="s">
        <v>12</v>
      </c>
      <c r="B435" s="1" t="s">
        <v>123</v>
      </c>
      <c r="C435" s="1" t="s">
        <v>19</v>
      </c>
      <c r="D435" s="1" t="s">
        <v>110</v>
      </c>
      <c r="E435" s="1" t="s">
        <v>165</v>
      </c>
      <c r="F435" s="1" t="s">
        <v>642</v>
      </c>
      <c r="G435" s="1">
        <v>2.5</v>
      </c>
      <c r="H435" s="1" t="s">
        <v>60</v>
      </c>
      <c r="I435" s="1">
        <v>117.0</v>
      </c>
      <c r="J435" s="1">
        <v>-0.124081575502765</v>
      </c>
      <c r="K435" s="1" t="s">
        <v>61</v>
      </c>
      <c r="L435" s="1" t="s">
        <v>61</v>
      </c>
      <c r="M435" s="1" t="s">
        <v>62</v>
      </c>
      <c r="N435" s="1">
        <v>-154.0</v>
      </c>
      <c r="O435" s="1">
        <v>0.0569593542685039</v>
      </c>
      <c r="P435" s="1" t="s">
        <v>61</v>
      </c>
      <c r="Q435" s="1" t="s">
        <v>61</v>
      </c>
    </row>
    <row r="436">
      <c r="A436" s="1" t="s">
        <v>12</v>
      </c>
      <c r="B436" s="1" t="s">
        <v>600</v>
      </c>
      <c r="C436" s="1" t="s">
        <v>18</v>
      </c>
      <c r="D436" s="1" t="s">
        <v>110</v>
      </c>
      <c r="E436" s="1" t="s">
        <v>165</v>
      </c>
      <c r="F436" s="1" t="s">
        <v>642</v>
      </c>
      <c r="G436" s="1">
        <v>1.5</v>
      </c>
      <c r="H436" s="1" t="s">
        <v>60</v>
      </c>
      <c r="I436" s="1">
        <v>107.0</v>
      </c>
      <c r="J436" s="1">
        <v>-0.124682325512318</v>
      </c>
      <c r="K436" s="1" t="s">
        <v>61</v>
      </c>
      <c r="L436" s="1" t="s">
        <v>61</v>
      </c>
      <c r="M436" s="1" t="s">
        <v>62</v>
      </c>
      <c r="N436" s="1">
        <v>-141.0</v>
      </c>
      <c r="O436" s="1">
        <v>0.0565270498595436</v>
      </c>
      <c r="P436" s="1" t="s">
        <v>61</v>
      </c>
      <c r="Q436" s="1" t="s">
        <v>61</v>
      </c>
    </row>
    <row r="437">
      <c r="A437" s="1" t="s">
        <v>12</v>
      </c>
      <c r="B437" s="1" t="s">
        <v>479</v>
      </c>
      <c r="C437" s="1" t="s">
        <v>18</v>
      </c>
      <c r="D437" s="1" t="s">
        <v>165</v>
      </c>
      <c r="E437" s="1" t="s">
        <v>110</v>
      </c>
      <c r="F437" s="1" t="s">
        <v>642</v>
      </c>
      <c r="G437" s="1">
        <v>4.5</v>
      </c>
      <c r="H437" s="1" t="s">
        <v>60</v>
      </c>
      <c r="I437" s="1">
        <v>-133.0</v>
      </c>
      <c r="J437" s="1">
        <v>-0.117658369098712</v>
      </c>
      <c r="K437" s="1" t="s">
        <v>61</v>
      </c>
      <c r="L437" s="1" t="s">
        <v>61</v>
      </c>
      <c r="M437" s="1" t="s">
        <v>62</v>
      </c>
      <c r="N437" s="1">
        <v>103.0</v>
      </c>
      <c r="O437" s="1">
        <v>0.0542384236453201</v>
      </c>
      <c r="P437" s="1" t="s">
        <v>61</v>
      </c>
      <c r="Q437" s="1" t="s">
        <v>61</v>
      </c>
    </row>
    <row r="438">
      <c r="A438" s="1" t="s">
        <v>13</v>
      </c>
      <c r="B438" s="1" t="s">
        <v>214</v>
      </c>
      <c r="C438" s="1" t="s">
        <v>21</v>
      </c>
      <c r="D438" s="1" t="s">
        <v>110</v>
      </c>
      <c r="E438" s="1" t="s">
        <v>165</v>
      </c>
      <c r="F438" s="1" t="s">
        <v>642</v>
      </c>
      <c r="G438" s="1">
        <v>175.5</v>
      </c>
      <c r="H438" s="1" t="s">
        <v>60</v>
      </c>
      <c r="I438" s="1">
        <v>-113.0</v>
      </c>
      <c r="J438" s="1">
        <v>0.0483673474647885</v>
      </c>
      <c r="K438" s="1" t="s">
        <v>61</v>
      </c>
      <c r="L438" s="1" t="s">
        <v>61</v>
      </c>
      <c r="M438" s="1" t="s">
        <v>62</v>
      </c>
      <c r="N438" s="1">
        <v>-114.0</v>
      </c>
      <c r="O438" s="1">
        <v>-0.111524538838317</v>
      </c>
      <c r="P438" s="1" t="s">
        <v>61</v>
      </c>
      <c r="Q438" s="1" t="s">
        <v>61</v>
      </c>
    </row>
    <row r="439">
      <c r="A439" s="1" t="s">
        <v>15</v>
      </c>
      <c r="B439" s="1" t="s">
        <v>330</v>
      </c>
      <c r="C439" s="1" t="s">
        <v>21</v>
      </c>
      <c r="D439" s="1" t="s">
        <v>165</v>
      </c>
      <c r="E439" s="1" t="s">
        <v>110</v>
      </c>
      <c r="F439" s="1" t="s">
        <v>642</v>
      </c>
      <c r="G439" s="1">
        <v>21.5</v>
      </c>
      <c r="H439" s="1" t="s">
        <v>60</v>
      </c>
      <c r="I439" s="1">
        <v>-106.0</v>
      </c>
      <c r="J439" s="1">
        <v>0.0479427184466019</v>
      </c>
      <c r="K439" s="1" t="s">
        <v>61</v>
      </c>
      <c r="L439" s="1" t="s">
        <v>61</v>
      </c>
      <c r="M439" s="1" t="s">
        <v>62</v>
      </c>
      <c r="N439" s="1">
        <v>-124.0</v>
      </c>
      <c r="O439" s="1">
        <v>-0.116049999999999</v>
      </c>
      <c r="P439" s="1" t="s">
        <v>61</v>
      </c>
      <c r="Q439" s="1" t="s">
        <v>61</v>
      </c>
    </row>
    <row r="440">
      <c r="A440" s="1" t="s">
        <v>11</v>
      </c>
      <c r="B440" s="1" t="s">
        <v>479</v>
      </c>
      <c r="C440" s="1" t="s">
        <v>18</v>
      </c>
      <c r="D440" s="1" t="s">
        <v>165</v>
      </c>
      <c r="E440" s="1" t="s">
        <v>110</v>
      </c>
      <c r="F440" s="1" t="s">
        <v>642</v>
      </c>
      <c r="G440" s="1">
        <v>54.5</v>
      </c>
      <c r="H440" s="1" t="s">
        <v>60</v>
      </c>
      <c r="I440" s="1">
        <v>-125.0</v>
      </c>
      <c r="J440" s="1">
        <v>-0.118855256219444</v>
      </c>
      <c r="K440" s="1" t="s">
        <v>61</v>
      </c>
      <c r="L440" s="1" t="s">
        <v>61</v>
      </c>
      <c r="M440" s="1" t="s">
        <v>62</v>
      </c>
      <c r="N440" s="1">
        <v>-108.0</v>
      </c>
      <c r="O440" s="1">
        <v>0.0440685761072114</v>
      </c>
      <c r="P440" s="1" t="s">
        <v>61</v>
      </c>
      <c r="Q440" s="1" t="s">
        <v>61</v>
      </c>
    </row>
    <row r="441">
      <c r="A441" s="1" t="s">
        <v>10</v>
      </c>
      <c r="B441" s="1" t="s">
        <v>214</v>
      </c>
      <c r="C441" s="1" t="s">
        <v>21</v>
      </c>
      <c r="D441" s="1" t="s">
        <v>110</v>
      </c>
      <c r="E441" s="1" t="s">
        <v>165</v>
      </c>
      <c r="F441" s="1" t="s">
        <v>642</v>
      </c>
      <c r="G441" s="1">
        <v>19.5</v>
      </c>
      <c r="H441" s="1" t="s">
        <v>60</v>
      </c>
      <c r="I441" s="1">
        <v>-113.0</v>
      </c>
      <c r="J441" s="1">
        <v>-0.101452619190686</v>
      </c>
      <c r="K441" s="1" t="s">
        <v>61</v>
      </c>
      <c r="L441" s="1" t="s">
        <v>61</v>
      </c>
      <c r="M441" s="1" t="s">
        <v>62</v>
      </c>
      <c r="N441" s="1">
        <v>-115.0</v>
      </c>
      <c r="O441" s="1">
        <v>0.0360575073058545</v>
      </c>
      <c r="P441" s="1" t="s">
        <v>61</v>
      </c>
      <c r="Q441" s="1" t="s">
        <v>61</v>
      </c>
    </row>
    <row r="442">
      <c r="A442" s="1" t="s">
        <v>9</v>
      </c>
      <c r="B442" s="1" t="s">
        <v>415</v>
      </c>
      <c r="C442" s="1" t="s">
        <v>18</v>
      </c>
      <c r="D442" s="1" t="s">
        <v>110</v>
      </c>
      <c r="E442" s="1" t="s">
        <v>165</v>
      </c>
      <c r="F442" s="1" t="s">
        <v>642</v>
      </c>
      <c r="G442" s="1">
        <v>51.5</v>
      </c>
      <c r="H442" s="1" t="s">
        <v>60</v>
      </c>
      <c r="I442" s="1">
        <v>-115.0</v>
      </c>
      <c r="J442" s="1">
        <v>0.0340418920988213</v>
      </c>
      <c r="K442" s="1" t="s">
        <v>61</v>
      </c>
      <c r="L442" s="1" t="s">
        <v>61</v>
      </c>
      <c r="M442" s="1" t="s">
        <v>62</v>
      </c>
      <c r="N442" s="1">
        <v>-118.0</v>
      </c>
      <c r="O442" s="1">
        <v>-0.110197834979224</v>
      </c>
      <c r="P442" s="1" t="s">
        <v>61</v>
      </c>
      <c r="Q442" s="1" t="s">
        <v>61</v>
      </c>
    </row>
    <row r="443">
      <c r="A443" s="1" t="s">
        <v>12</v>
      </c>
      <c r="B443" s="1" t="s">
        <v>322</v>
      </c>
      <c r="C443" s="1" t="s">
        <v>18</v>
      </c>
      <c r="D443" s="1" t="s">
        <v>165</v>
      </c>
      <c r="E443" s="1" t="s">
        <v>110</v>
      </c>
      <c r="F443" s="1" t="s">
        <v>642</v>
      </c>
      <c r="G443" s="1">
        <v>4.5</v>
      </c>
      <c r="H443" s="1" t="s">
        <v>60</v>
      </c>
      <c r="I443" s="1">
        <v>-156.0</v>
      </c>
      <c r="J443" s="1">
        <v>-0.0920359375</v>
      </c>
      <c r="K443" s="1" t="s">
        <v>61</v>
      </c>
      <c r="L443" s="1" t="s">
        <v>61</v>
      </c>
      <c r="M443" s="1" t="s">
        <v>62</v>
      </c>
      <c r="N443" s="1">
        <v>120.0</v>
      </c>
      <c r="O443" s="1">
        <v>0.0281090909090909</v>
      </c>
      <c r="P443" s="1" t="s">
        <v>61</v>
      </c>
      <c r="Q443" s="1" t="s">
        <v>61</v>
      </c>
    </row>
    <row r="444">
      <c r="A444" s="1" t="s">
        <v>15</v>
      </c>
      <c r="B444" s="1" t="s">
        <v>214</v>
      </c>
      <c r="C444" s="1" t="s">
        <v>21</v>
      </c>
      <c r="D444" s="1" t="s">
        <v>110</v>
      </c>
      <c r="E444" s="1" t="s">
        <v>165</v>
      </c>
      <c r="F444" s="1" t="s">
        <v>642</v>
      </c>
      <c r="G444" s="1">
        <v>15.5</v>
      </c>
      <c r="H444" s="1" t="s">
        <v>60</v>
      </c>
      <c r="I444" s="1">
        <v>-134.0</v>
      </c>
      <c r="J444" s="1">
        <v>-0.0732041132435897</v>
      </c>
      <c r="K444" s="1" t="s">
        <v>61</v>
      </c>
      <c r="L444" s="1" t="s">
        <v>61</v>
      </c>
      <c r="M444" s="1" t="s">
        <v>62</v>
      </c>
      <c r="N444" s="1">
        <v>111.0</v>
      </c>
      <c r="O444" s="1">
        <v>0.026615936014218</v>
      </c>
      <c r="P444" s="1" t="s">
        <v>61</v>
      </c>
      <c r="Q444" s="1" t="s">
        <v>61</v>
      </c>
    </row>
    <row r="445">
      <c r="A445" s="1" t="s">
        <v>12</v>
      </c>
      <c r="B445" s="1" t="s">
        <v>177</v>
      </c>
      <c r="C445" s="1" t="s">
        <v>19</v>
      </c>
      <c r="D445" s="1" t="s">
        <v>110</v>
      </c>
      <c r="E445" s="1" t="s">
        <v>165</v>
      </c>
      <c r="F445" s="1" t="s">
        <v>642</v>
      </c>
      <c r="G445" s="1">
        <v>2.5</v>
      </c>
      <c r="H445" s="1" t="s">
        <v>60</v>
      </c>
      <c r="I445" s="1">
        <v>111.0</v>
      </c>
      <c r="J445" s="1">
        <v>-0.087935826577725</v>
      </c>
      <c r="K445" s="1" t="s">
        <v>61</v>
      </c>
      <c r="L445" s="1" t="s">
        <v>61</v>
      </c>
      <c r="M445" s="1" t="s">
        <v>62</v>
      </c>
      <c r="N445" s="1">
        <v>-144.0</v>
      </c>
      <c r="O445" s="1">
        <v>0.0238506924655738</v>
      </c>
      <c r="P445" s="1" t="s">
        <v>61</v>
      </c>
      <c r="Q445" s="1" t="s">
        <v>61</v>
      </c>
    </row>
    <row r="446">
      <c r="A446" s="1" t="s">
        <v>8</v>
      </c>
      <c r="B446" s="1" t="s">
        <v>336</v>
      </c>
      <c r="C446" s="1" t="s">
        <v>19</v>
      </c>
      <c r="D446" s="1" t="s">
        <v>165</v>
      </c>
      <c r="E446" s="1" t="s">
        <v>110</v>
      </c>
      <c r="F446" s="1" t="s">
        <v>642</v>
      </c>
      <c r="G446" s="1">
        <v>14.5</v>
      </c>
      <c r="H446" s="1" t="s">
        <v>60</v>
      </c>
      <c r="I446" s="1">
        <v>-123.0</v>
      </c>
      <c r="J446" s="1">
        <v>-0.0937590572645741</v>
      </c>
      <c r="K446" s="1" t="s">
        <v>61</v>
      </c>
      <c r="L446" s="1" t="s">
        <v>61</v>
      </c>
      <c r="M446" s="1" t="s">
        <v>62</v>
      </c>
      <c r="N446" s="1">
        <v>-108.0</v>
      </c>
      <c r="O446" s="1">
        <v>0.0229729199596154</v>
      </c>
      <c r="P446" s="1" t="s">
        <v>61</v>
      </c>
      <c r="Q446" s="1" t="s">
        <v>61</v>
      </c>
    </row>
    <row r="447">
      <c r="A447" s="1" t="s">
        <v>9</v>
      </c>
      <c r="B447" s="1" t="s">
        <v>177</v>
      </c>
      <c r="C447" s="1" t="s">
        <v>19</v>
      </c>
      <c r="D447" s="1" t="s">
        <v>110</v>
      </c>
      <c r="E447" s="1" t="s">
        <v>165</v>
      </c>
      <c r="F447" s="1" t="s">
        <v>642</v>
      </c>
      <c r="G447" s="1">
        <v>43.5</v>
      </c>
      <c r="H447" s="1" t="s">
        <v>60</v>
      </c>
      <c r="I447" s="1">
        <v>-116.0</v>
      </c>
      <c r="J447" s="1">
        <v>0.020240206646592</v>
      </c>
      <c r="K447" s="1" t="s">
        <v>61</v>
      </c>
      <c r="L447" s="1" t="s">
        <v>61</v>
      </c>
      <c r="M447" s="1" t="s">
        <v>62</v>
      </c>
      <c r="N447" s="1">
        <v>-117.0</v>
      </c>
      <c r="O447" s="1">
        <v>-0.0964275438881417</v>
      </c>
      <c r="P447" s="1" t="s">
        <v>61</v>
      </c>
      <c r="Q447" s="1" t="s">
        <v>61</v>
      </c>
    </row>
    <row r="448">
      <c r="A448" s="1" t="s">
        <v>11</v>
      </c>
      <c r="B448" s="1" t="s">
        <v>489</v>
      </c>
      <c r="C448" s="1" t="s">
        <v>20</v>
      </c>
      <c r="D448" s="1" t="s">
        <v>110</v>
      </c>
      <c r="E448" s="1" t="s">
        <v>165</v>
      </c>
      <c r="F448" s="1" t="s">
        <v>642</v>
      </c>
      <c r="G448" s="1">
        <v>30.5</v>
      </c>
      <c r="H448" s="1" t="s">
        <v>60</v>
      </c>
      <c r="I448" s="1">
        <v>-119.0</v>
      </c>
      <c r="J448" s="1">
        <v>-0.0887470983028312</v>
      </c>
      <c r="K448" s="1" t="s">
        <v>61</v>
      </c>
      <c r="L448" s="1" t="s">
        <v>61</v>
      </c>
      <c r="M448" s="1" t="s">
        <v>62</v>
      </c>
      <c r="N448" s="1">
        <v>-111.0</v>
      </c>
      <c r="O448" s="1">
        <v>0.0193112531963803</v>
      </c>
      <c r="P448" s="1" t="s">
        <v>61</v>
      </c>
      <c r="Q448" s="1" t="s">
        <v>61</v>
      </c>
    </row>
    <row r="449">
      <c r="A449" s="1" t="s">
        <v>11</v>
      </c>
      <c r="B449" s="1" t="s">
        <v>336</v>
      </c>
      <c r="C449" s="1" t="s">
        <v>19</v>
      </c>
      <c r="D449" s="1" t="s">
        <v>165</v>
      </c>
      <c r="E449" s="1" t="s">
        <v>110</v>
      </c>
      <c r="F449" s="1" t="s">
        <v>642</v>
      </c>
      <c r="G449" s="1">
        <v>25.5</v>
      </c>
      <c r="H449" s="1" t="s">
        <v>60</v>
      </c>
      <c r="I449" s="1">
        <v>-121.0</v>
      </c>
      <c r="J449" s="1">
        <v>-0.0882290123394118</v>
      </c>
      <c r="K449" s="1" t="s">
        <v>61</v>
      </c>
      <c r="L449" s="1" t="s">
        <v>61</v>
      </c>
      <c r="M449" s="1" t="s">
        <v>62</v>
      </c>
      <c r="N449" s="1">
        <v>-109.0</v>
      </c>
      <c r="O449" s="1">
        <v>0.0192655922604827</v>
      </c>
      <c r="P449" s="1" t="s">
        <v>61</v>
      </c>
      <c r="Q449" s="1" t="s">
        <v>61</v>
      </c>
    </row>
    <row r="450">
      <c r="A450" s="1" t="s">
        <v>9</v>
      </c>
      <c r="B450" s="1" t="s">
        <v>336</v>
      </c>
      <c r="C450" s="1" t="s">
        <v>19</v>
      </c>
      <c r="D450" s="1" t="s">
        <v>165</v>
      </c>
      <c r="E450" s="1" t="s">
        <v>110</v>
      </c>
      <c r="F450" s="1" t="s">
        <v>642</v>
      </c>
      <c r="G450" s="1">
        <v>92.0</v>
      </c>
      <c r="H450" s="1" t="s">
        <v>60</v>
      </c>
      <c r="I450" s="1">
        <v>-116.0</v>
      </c>
      <c r="J450" s="1">
        <v>-0.0870247704007197</v>
      </c>
      <c r="K450" s="1" t="s">
        <v>61</v>
      </c>
      <c r="L450" s="1" t="s">
        <v>61</v>
      </c>
      <c r="M450" s="1" t="s">
        <v>62</v>
      </c>
      <c r="N450" s="1">
        <v>-115.0</v>
      </c>
      <c r="O450" s="1">
        <v>0.0157849674489243</v>
      </c>
      <c r="P450" s="1" t="s">
        <v>61</v>
      </c>
      <c r="Q450" s="1" t="s">
        <v>61</v>
      </c>
    </row>
    <row r="451">
      <c r="A451" s="1" t="s">
        <v>9</v>
      </c>
      <c r="B451" s="1" t="s">
        <v>123</v>
      </c>
      <c r="C451" s="1" t="s">
        <v>19</v>
      </c>
      <c r="D451" s="1" t="s">
        <v>110</v>
      </c>
      <c r="E451" s="1" t="s">
        <v>165</v>
      </c>
      <c r="F451" s="1" t="s">
        <v>642</v>
      </c>
      <c r="G451" s="1">
        <v>74.5</v>
      </c>
      <c r="H451" s="1" t="s">
        <v>60</v>
      </c>
      <c r="I451" s="1">
        <v>-115.0</v>
      </c>
      <c r="J451" s="1">
        <v>-0.0849148829084632</v>
      </c>
      <c r="K451" s="1" t="s">
        <v>61</v>
      </c>
      <c r="L451" s="1" t="s">
        <v>61</v>
      </c>
      <c r="M451" s="1" t="s">
        <v>62</v>
      </c>
      <c r="N451" s="1">
        <v>-116.0</v>
      </c>
      <c r="O451" s="1">
        <v>0.0129834805433828</v>
      </c>
      <c r="P451" s="1" t="s">
        <v>61</v>
      </c>
      <c r="Q451" s="1" t="s">
        <v>61</v>
      </c>
    </row>
    <row r="452">
      <c r="A452" s="1" t="s">
        <v>10</v>
      </c>
      <c r="B452" s="1" t="s">
        <v>336</v>
      </c>
      <c r="C452" s="1" t="s">
        <v>19</v>
      </c>
      <c r="D452" s="1" t="s">
        <v>165</v>
      </c>
      <c r="E452" s="1" t="s">
        <v>110</v>
      </c>
      <c r="F452" s="1" t="s">
        <v>642</v>
      </c>
      <c r="G452" s="1">
        <v>60.5</v>
      </c>
      <c r="H452" s="1" t="s">
        <v>60</v>
      </c>
      <c r="I452" s="1">
        <v>-117.0</v>
      </c>
      <c r="J452" s="1">
        <v>-0.074732810868894</v>
      </c>
      <c r="K452" s="1" t="s">
        <v>61</v>
      </c>
      <c r="L452" s="1" t="s">
        <v>61</v>
      </c>
      <c r="M452" s="1" t="s">
        <v>62</v>
      </c>
      <c r="N452" s="1">
        <v>-112.0</v>
      </c>
      <c r="O452" s="1">
        <v>0.00722500031366624</v>
      </c>
      <c r="P452" s="1" t="s">
        <v>61</v>
      </c>
      <c r="Q452" s="1" t="s">
        <v>61</v>
      </c>
    </row>
    <row r="453">
      <c r="A453" s="1" t="s">
        <v>12</v>
      </c>
      <c r="B453" s="1" t="s">
        <v>415</v>
      </c>
      <c r="C453" s="1" t="s">
        <v>18</v>
      </c>
      <c r="D453" s="1" t="s">
        <v>110</v>
      </c>
      <c r="E453" s="1" t="s">
        <v>165</v>
      </c>
      <c r="F453" s="1" t="s">
        <v>642</v>
      </c>
      <c r="G453" s="1">
        <v>3.5</v>
      </c>
      <c r="H453" s="1" t="s">
        <v>60</v>
      </c>
      <c r="I453" s="1">
        <v>-162.0</v>
      </c>
      <c r="J453" s="1">
        <v>-0.0709351145038167</v>
      </c>
      <c r="K453" s="1" t="s">
        <v>61</v>
      </c>
      <c r="L453" s="1" t="s">
        <v>61</v>
      </c>
      <c r="M453" s="1" t="s">
        <v>62</v>
      </c>
      <c r="N453" s="1">
        <v>123.0</v>
      </c>
      <c r="O453" s="1">
        <v>0.00420403587443946</v>
      </c>
      <c r="P453" s="1" t="s">
        <v>61</v>
      </c>
      <c r="Q453" s="1" t="s">
        <v>61</v>
      </c>
    </row>
    <row r="454">
      <c r="A454" s="1" t="s">
        <v>10</v>
      </c>
      <c r="B454" s="1" t="s">
        <v>123</v>
      </c>
      <c r="C454" s="1" t="s">
        <v>19</v>
      </c>
      <c r="D454" s="1" t="s">
        <v>110</v>
      </c>
      <c r="E454" s="1" t="s">
        <v>165</v>
      </c>
      <c r="F454" s="1" t="s">
        <v>642</v>
      </c>
      <c r="G454" s="1">
        <v>55.5</v>
      </c>
      <c r="H454" s="1" t="s">
        <v>60</v>
      </c>
      <c r="I454" s="1">
        <v>-119.0</v>
      </c>
      <c r="J454" s="1">
        <v>-0.0727778940379852</v>
      </c>
      <c r="K454" s="1" t="s">
        <v>61</v>
      </c>
      <c r="L454" s="1" t="s">
        <v>61</v>
      </c>
      <c r="M454" s="1" t="s">
        <v>62</v>
      </c>
      <c r="N454" s="1">
        <v>-112.0</v>
      </c>
      <c r="O454" s="1">
        <v>0.00109553251404648</v>
      </c>
      <c r="P454" s="1" t="s">
        <v>61</v>
      </c>
      <c r="Q454" s="1" t="s">
        <v>61</v>
      </c>
    </row>
    <row r="455">
      <c r="A455" s="1" t="s">
        <v>10</v>
      </c>
      <c r="B455" s="1" t="s">
        <v>451</v>
      </c>
      <c r="C455" s="1" t="s">
        <v>18</v>
      </c>
      <c r="D455" s="1" t="s">
        <v>105</v>
      </c>
      <c r="E455" s="1" t="s">
        <v>135</v>
      </c>
      <c r="F455" s="1" t="s">
        <v>643</v>
      </c>
      <c r="G455" s="1">
        <v>0.5</v>
      </c>
      <c r="H455" s="1" t="s">
        <v>60</v>
      </c>
      <c r="I455" s="1">
        <v>644.0</v>
      </c>
      <c r="J455" s="1">
        <v>0.504457769424317</v>
      </c>
      <c r="K455" s="1" t="s">
        <v>61</v>
      </c>
      <c r="L455" s="1" t="s">
        <v>61</v>
      </c>
      <c r="M455" s="1" t="s">
        <v>62</v>
      </c>
      <c r="N455" s="1">
        <v>-1321.0</v>
      </c>
      <c r="O455" s="1">
        <v>-0.568468713579461</v>
      </c>
      <c r="P455" s="1" t="s">
        <v>61</v>
      </c>
      <c r="Q455" s="1" t="s">
        <v>61</v>
      </c>
    </row>
    <row r="456">
      <c r="A456" s="1" t="s">
        <v>10</v>
      </c>
      <c r="B456" s="1" t="s">
        <v>314</v>
      </c>
      <c r="C456" s="1" t="s">
        <v>18</v>
      </c>
      <c r="D456" s="1" t="s">
        <v>113</v>
      </c>
      <c r="E456" s="1" t="s">
        <v>77</v>
      </c>
      <c r="F456" s="1" t="s">
        <v>644</v>
      </c>
      <c r="G456" s="1">
        <v>0.5</v>
      </c>
      <c r="H456" s="1" t="s">
        <v>60</v>
      </c>
      <c r="I456" s="1">
        <v>561.0</v>
      </c>
      <c r="J456" s="1">
        <v>0.467087363861171</v>
      </c>
      <c r="K456" s="1" t="s">
        <v>61</v>
      </c>
      <c r="L456" s="1" t="s">
        <v>61</v>
      </c>
      <c r="M456" s="1" t="s">
        <v>62</v>
      </c>
      <c r="N456" s="1">
        <v>-1046.0</v>
      </c>
      <c r="O456" s="1">
        <v>-0.53105843762198</v>
      </c>
      <c r="P456" s="1" t="s">
        <v>61</v>
      </c>
      <c r="Q456" s="1" t="s">
        <v>61</v>
      </c>
    </row>
    <row r="457">
      <c r="A457" s="1" t="s">
        <v>10</v>
      </c>
      <c r="B457" s="1" t="s">
        <v>432</v>
      </c>
      <c r="C457" s="1" t="s">
        <v>18</v>
      </c>
      <c r="D457" s="1" t="s">
        <v>135</v>
      </c>
      <c r="E457" s="1" t="s">
        <v>105</v>
      </c>
      <c r="F457" s="1" t="s">
        <v>643</v>
      </c>
      <c r="G457" s="1">
        <v>0.5</v>
      </c>
      <c r="H457" s="1" t="s">
        <v>60</v>
      </c>
      <c r="I457" s="1">
        <v>448.0</v>
      </c>
      <c r="J457" s="1">
        <v>0.43025867757935</v>
      </c>
      <c r="K457" s="1" t="s">
        <v>61</v>
      </c>
      <c r="L457" s="1" t="s">
        <v>61</v>
      </c>
      <c r="M457" s="1" t="s">
        <v>62</v>
      </c>
      <c r="N457" s="1">
        <v>-779.0</v>
      </c>
      <c r="O457" s="1">
        <v>-0.498936157639576</v>
      </c>
      <c r="P457" s="1" t="s">
        <v>61</v>
      </c>
      <c r="Q457" s="1" t="s">
        <v>61</v>
      </c>
    </row>
    <row r="458">
      <c r="A458" s="1" t="s">
        <v>9</v>
      </c>
      <c r="B458" s="1" t="s">
        <v>307</v>
      </c>
      <c r="C458" s="1" t="s">
        <v>18</v>
      </c>
      <c r="D458" s="1" t="s">
        <v>113</v>
      </c>
      <c r="E458" s="1" t="s">
        <v>77</v>
      </c>
      <c r="F458" s="1" t="s">
        <v>644</v>
      </c>
      <c r="G458" s="1">
        <v>7.5</v>
      </c>
      <c r="H458" s="1" t="s">
        <v>60</v>
      </c>
      <c r="I458" s="1">
        <v>-110.0</v>
      </c>
      <c r="J458" s="1">
        <v>0.230311571557879</v>
      </c>
      <c r="K458" s="1" t="s">
        <v>61</v>
      </c>
      <c r="L458" s="1" t="s">
        <v>61</v>
      </c>
      <c r="M458" s="1" t="s">
        <v>62</v>
      </c>
      <c r="N458" s="1">
        <v>-120.0</v>
      </c>
      <c r="O458" s="1">
        <v>-0.299549618329934</v>
      </c>
      <c r="P458" s="1" t="s">
        <v>61</v>
      </c>
      <c r="Q458" s="1" t="s">
        <v>61</v>
      </c>
    </row>
    <row r="459">
      <c r="A459" s="1" t="s">
        <v>12</v>
      </c>
      <c r="B459" s="1" t="s">
        <v>645</v>
      </c>
      <c r="C459" s="1" t="s">
        <v>18</v>
      </c>
      <c r="D459" s="1" t="s">
        <v>113</v>
      </c>
      <c r="E459" s="1" t="s">
        <v>77</v>
      </c>
      <c r="F459" s="1" t="s">
        <v>644</v>
      </c>
      <c r="G459" s="1">
        <v>1.5</v>
      </c>
      <c r="H459" s="1" t="s">
        <v>60</v>
      </c>
      <c r="I459" s="1">
        <v>-159.0</v>
      </c>
      <c r="J459" s="1">
        <v>-0.260254349277992</v>
      </c>
      <c r="K459" s="1" t="s">
        <v>61</v>
      </c>
      <c r="L459" s="1" t="s">
        <v>61</v>
      </c>
      <c r="M459" s="1" t="s">
        <v>62</v>
      </c>
      <c r="N459" s="1">
        <v>120.0</v>
      </c>
      <c r="O459" s="1">
        <v>0.19180125665</v>
      </c>
      <c r="P459" s="1" t="s">
        <v>61</v>
      </c>
      <c r="Q459" s="1" t="s">
        <v>61</v>
      </c>
    </row>
    <row r="460">
      <c r="A460" s="1" t="s">
        <v>12</v>
      </c>
      <c r="B460" s="1" t="s">
        <v>233</v>
      </c>
      <c r="C460" s="1" t="s">
        <v>18</v>
      </c>
      <c r="D460" s="1" t="s">
        <v>105</v>
      </c>
      <c r="E460" s="1" t="s">
        <v>135</v>
      </c>
      <c r="F460" s="1" t="s">
        <v>643</v>
      </c>
      <c r="G460" s="1">
        <v>2.5</v>
      </c>
      <c r="H460" s="1" t="s">
        <v>60</v>
      </c>
      <c r="I460" s="1">
        <v>-149.0</v>
      </c>
      <c r="J460" s="1">
        <v>-0.247491975863453</v>
      </c>
      <c r="K460" s="1" t="s">
        <v>61</v>
      </c>
      <c r="L460" s="1" t="s">
        <v>61</v>
      </c>
      <c r="M460" s="1" t="s">
        <v>62</v>
      </c>
      <c r="N460" s="1">
        <v>114.0</v>
      </c>
      <c r="O460" s="1">
        <v>0.181808420514018</v>
      </c>
      <c r="P460" s="1" t="s">
        <v>61</v>
      </c>
      <c r="Q460" s="1" t="s">
        <v>61</v>
      </c>
    </row>
    <row r="461">
      <c r="A461" s="1" t="s">
        <v>12</v>
      </c>
      <c r="B461" s="1" t="s">
        <v>451</v>
      </c>
      <c r="C461" s="1" t="s">
        <v>18</v>
      </c>
      <c r="D461" s="1" t="s">
        <v>105</v>
      </c>
      <c r="E461" s="1" t="s">
        <v>135</v>
      </c>
      <c r="F461" s="1" t="s">
        <v>643</v>
      </c>
      <c r="G461" s="1">
        <v>2.5</v>
      </c>
      <c r="H461" s="1" t="s">
        <v>60</v>
      </c>
      <c r="I461" s="1">
        <v>-126.0</v>
      </c>
      <c r="J461" s="1">
        <v>-0.237976639292035</v>
      </c>
      <c r="K461" s="1" t="s">
        <v>61</v>
      </c>
      <c r="L461" s="1" t="s">
        <v>61</v>
      </c>
      <c r="M461" s="1" t="s">
        <v>62</v>
      </c>
      <c r="N461" s="1">
        <v>-104.0</v>
      </c>
      <c r="O461" s="1">
        <v>0.170643673035294</v>
      </c>
      <c r="P461" s="1" t="s">
        <v>61</v>
      </c>
      <c r="Q461" s="1" t="s">
        <v>61</v>
      </c>
    </row>
    <row r="462">
      <c r="A462" s="1" t="s">
        <v>8</v>
      </c>
      <c r="B462" s="1" t="s">
        <v>417</v>
      </c>
      <c r="C462" s="1" t="s">
        <v>19</v>
      </c>
      <c r="D462" s="1" t="s">
        <v>113</v>
      </c>
      <c r="E462" s="1" t="s">
        <v>77</v>
      </c>
      <c r="F462" s="1" t="s">
        <v>644</v>
      </c>
      <c r="G462" s="1">
        <v>7.0</v>
      </c>
      <c r="H462" s="1" t="s">
        <v>60</v>
      </c>
      <c r="I462" s="1">
        <v>-123.0</v>
      </c>
      <c r="J462" s="1">
        <v>-0.235436740065895</v>
      </c>
      <c r="K462" s="1" t="s">
        <v>61</v>
      </c>
      <c r="L462" s="1" t="s">
        <v>61</v>
      </c>
      <c r="M462" s="1" t="s">
        <v>62</v>
      </c>
      <c r="N462" s="1">
        <v>-110.0</v>
      </c>
      <c r="O462" s="1">
        <v>0.166002773038877</v>
      </c>
      <c r="P462" s="1" t="s">
        <v>61</v>
      </c>
      <c r="Q462" s="1" t="s">
        <v>61</v>
      </c>
    </row>
    <row r="463">
      <c r="A463" s="1" t="s">
        <v>8</v>
      </c>
      <c r="B463" s="1" t="s">
        <v>204</v>
      </c>
      <c r="C463" s="1" t="s">
        <v>21</v>
      </c>
      <c r="D463" s="1" t="s">
        <v>105</v>
      </c>
      <c r="E463" s="1" t="s">
        <v>135</v>
      </c>
      <c r="F463" s="1" t="s">
        <v>643</v>
      </c>
      <c r="G463" s="1">
        <v>5.5</v>
      </c>
      <c r="H463" s="1" t="s">
        <v>60</v>
      </c>
      <c r="I463" s="1">
        <v>-122.0</v>
      </c>
      <c r="J463" s="1">
        <v>-0.227046709444811</v>
      </c>
      <c r="K463" s="1" t="s">
        <v>61</v>
      </c>
      <c r="L463" s="1" t="s">
        <v>61</v>
      </c>
      <c r="M463" s="1" t="s">
        <v>62</v>
      </c>
      <c r="N463" s="1">
        <v>-107.0</v>
      </c>
      <c r="O463" s="1">
        <v>0.160573774693336</v>
      </c>
      <c r="P463" s="1" t="s">
        <v>61</v>
      </c>
      <c r="Q463" s="1" t="s">
        <v>61</v>
      </c>
    </row>
    <row r="464">
      <c r="A464" s="1" t="s">
        <v>8</v>
      </c>
      <c r="B464" s="1" t="s">
        <v>347</v>
      </c>
      <c r="C464" s="1" t="s">
        <v>21</v>
      </c>
      <c r="D464" s="1" t="s">
        <v>77</v>
      </c>
      <c r="E464" s="1" t="s">
        <v>113</v>
      </c>
      <c r="F464" s="1" t="s">
        <v>644</v>
      </c>
      <c r="G464" s="1">
        <v>9.5</v>
      </c>
      <c r="H464" s="1" t="s">
        <v>60</v>
      </c>
      <c r="I464" s="1">
        <v>-128.0</v>
      </c>
      <c r="J464" s="1">
        <v>-0.223201227044323</v>
      </c>
      <c r="K464" s="1" t="s">
        <v>61</v>
      </c>
      <c r="L464" s="1" t="s">
        <v>61</v>
      </c>
      <c r="M464" s="1" t="s">
        <v>62</v>
      </c>
      <c r="N464" s="1">
        <v>-104.0</v>
      </c>
      <c r="O464" s="1">
        <v>0.151993426258578</v>
      </c>
      <c r="P464" s="1" t="s">
        <v>61</v>
      </c>
      <c r="Q464" s="1" t="s">
        <v>61</v>
      </c>
    </row>
    <row r="465">
      <c r="A465" s="1" t="s">
        <v>12</v>
      </c>
      <c r="B465" s="1" t="s">
        <v>239</v>
      </c>
      <c r="C465" s="1" t="s">
        <v>18</v>
      </c>
      <c r="D465" s="1" t="s">
        <v>77</v>
      </c>
      <c r="E465" s="1" t="s">
        <v>113</v>
      </c>
      <c r="F465" s="1" t="s">
        <v>644</v>
      </c>
      <c r="G465" s="1">
        <v>2.5</v>
      </c>
      <c r="H465" s="1" t="s">
        <v>60</v>
      </c>
      <c r="I465" s="1">
        <v>-137.0</v>
      </c>
      <c r="J465" s="1">
        <v>-0.213214926371308</v>
      </c>
      <c r="K465" s="1" t="s">
        <v>61</v>
      </c>
      <c r="L465" s="1" t="s">
        <v>61</v>
      </c>
      <c r="M465" s="1" t="s">
        <v>62</v>
      </c>
      <c r="N465" s="1">
        <v>105.0</v>
      </c>
      <c r="O465" s="1">
        <v>0.147344085609756</v>
      </c>
      <c r="P465" s="1" t="s">
        <v>61</v>
      </c>
      <c r="Q465" s="1" t="s">
        <v>61</v>
      </c>
    </row>
    <row r="466">
      <c r="A466" s="1" t="s">
        <v>9</v>
      </c>
      <c r="B466" s="1" t="s">
        <v>138</v>
      </c>
      <c r="C466" s="1" t="s">
        <v>18</v>
      </c>
      <c r="D466" s="1" t="s">
        <v>77</v>
      </c>
      <c r="E466" s="1" t="s">
        <v>113</v>
      </c>
      <c r="F466" s="1" t="s">
        <v>644</v>
      </c>
      <c r="G466" s="1">
        <v>15.5</v>
      </c>
      <c r="H466" s="1" t="s">
        <v>60</v>
      </c>
      <c r="I466" s="1">
        <v>-120.0</v>
      </c>
      <c r="J466" s="1">
        <v>0.138508668314726</v>
      </c>
      <c r="K466" s="1" t="s">
        <v>61</v>
      </c>
      <c r="L466" s="1" t="s">
        <v>61</v>
      </c>
      <c r="M466" s="1" t="s">
        <v>62</v>
      </c>
      <c r="N466" s="1">
        <v>-110.0</v>
      </c>
      <c r="O466" s="1">
        <v>-0.207751893962685</v>
      </c>
      <c r="P466" s="1" t="s">
        <v>61</v>
      </c>
      <c r="Q466" s="1" t="s">
        <v>61</v>
      </c>
    </row>
    <row r="467">
      <c r="A467" s="1" t="s">
        <v>11</v>
      </c>
      <c r="B467" s="1" t="s">
        <v>309</v>
      </c>
      <c r="C467" s="1" t="s">
        <v>19</v>
      </c>
      <c r="D467" s="1" t="s">
        <v>77</v>
      </c>
      <c r="E467" s="1" t="s">
        <v>113</v>
      </c>
      <c r="F467" s="1" t="s">
        <v>644</v>
      </c>
      <c r="G467" s="1">
        <v>5.5</v>
      </c>
      <c r="H467" s="1" t="s">
        <v>60</v>
      </c>
      <c r="I467" s="1">
        <v>-110.0</v>
      </c>
      <c r="J467" s="1">
        <v>0.102625872660146</v>
      </c>
      <c r="K467" s="1" t="s">
        <v>61</v>
      </c>
      <c r="L467" s="1" t="s">
        <v>61</v>
      </c>
      <c r="M467" s="1" t="s">
        <v>62</v>
      </c>
      <c r="N467" s="1">
        <v>-116.0</v>
      </c>
      <c r="O467" s="1">
        <v>-0.163464178611165</v>
      </c>
      <c r="P467" s="1" t="s">
        <v>61</v>
      </c>
      <c r="Q467" s="1" t="s">
        <v>61</v>
      </c>
    </row>
    <row r="468">
      <c r="A468" s="1" t="s">
        <v>12</v>
      </c>
      <c r="B468" s="1" t="s">
        <v>314</v>
      </c>
      <c r="C468" s="1" t="s">
        <v>18</v>
      </c>
      <c r="D468" s="1" t="s">
        <v>113</v>
      </c>
      <c r="E468" s="1" t="s">
        <v>77</v>
      </c>
      <c r="F468" s="1" t="s">
        <v>644</v>
      </c>
      <c r="G468" s="1">
        <v>6.5</v>
      </c>
      <c r="H468" s="1" t="s">
        <v>60</v>
      </c>
      <c r="I468" s="1">
        <v>-116.0</v>
      </c>
      <c r="J468" s="1">
        <v>0.0992092592592591</v>
      </c>
      <c r="K468" s="1" t="s">
        <v>61</v>
      </c>
      <c r="L468" s="1" t="s">
        <v>61</v>
      </c>
      <c r="M468" s="1" t="s">
        <v>62</v>
      </c>
      <c r="N468" s="1">
        <v>-113.0</v>
      </c>
      <c r="O468" s="1">
        <v>-0.166769483568075</v>
      </c>
      <c r="P468" s="1" t="s">
        <v>61</v>
      </c>
      <c r="Q468" s="1" t="s">
        <v>61</v>
      </c>
    </row>
    <row r="469">
      <c r="A469" s="1" t="s">
        <v>8</v>
      </c>
      <c r="B469" s="1" t="s">
        <v>405</v>
      </c>
      <c r="C469" s="1" t="s">
        <v>21</v>
      </c>
      <c r="D469" s="1" t="s">
        <v>135</v>
      </c>
      <c r="E469" s="1" t="s">
        <v>105</v>
      </c>
      <c r="F469" s="1" t="s">
        <v>643</v>
      </c>
      <c r="G469" s="1">
        <v>3.5</v>
      </c>
      <c r="H469" s="1" t="s">
        <v>60</v>
      </c>
      <c r="I469" s="1">
        <v>100.0</v>
      </c>
      <c r="J469" s="1">
        <v>-0.169543870804106</v>
      </c>
      <c r="K469" s="1" t="s">
        <v>61</v>
      </c>
      <c r="L469" s="1" t="s">
        <v>61</v>
      </c>
      <c r="M469" s="1" t="s">
        <v>62</v>
      </c>
      <c r="N469" s="1">
        <v>-133.0</v>
      </c>
      <c r="O469" s="1">
        <v>0.0987346336218554</v>
      </c>
      <c r="P469" s="1" t="s">
        <v>61</v>
      </c>
      <c r="Q469" s="1" t="s">
        <v>61</v>
      </c>
    </row>
    <row r="470">
      <c r="A470" s="1" t="s">
        <v>10</v>
      </c>
      <c r="B470" s="1" t="s">
        <v>645</v>
      </c>
      <c r="C470" s="1" t="s">
        <v>18</v>
      </c>
      <c r="D470" s="1" t="s">
        <v>113</v>
      </c>
      <c r="E470" s="1" t="s">
        <v>77</v>
      </c>
      <c r="F470" s="1" t="s">
        <v>644</v>
      </c>
      <c r="G470" s="1">
        <v>0.5</v>
      </c>
      <c r="H470" s="1" t="s">
        <v>60</v>
      </c>
      <c r="I470" s="1">
        <v>-106.0</v>
      </c>
      <c r="J470" s="1">
        <v>0.0983640032436329</v>
      </c>
      <c r="K470" s="1" t="s">
        <v>61</v>
      </c>
      <c r="L470" s="1" t="s">
        <v>61</v>
      </c>
      <c r="M470" s="1" t="s">
        <v>62</v>
      </c>
      <c r="N470" s="1">
        <v>-114.0</v>
      </c>
      <c r="O470" s="1">
        <v>-0.145610815522124</v>
      </c>
      <c r="P470" s="1" t="s">
        <v>61</v>
      </c>
      <c r="Q470" s="1" t="s">
        <v>61</v>
      </c>
    </row>
    <row r="471">
      <c r="A471" s="1" t="s">
        <v>8</v>
      </c>
      <c r="B471" s="1" t="s">
        <v>309</v>
      </c>
      <c r="C471" s="1" t="s">
        <v>19</v>
      </c>
      <c r="D471" s="1" t="s">
        <v>77</v>
      </c>
      <c r="E471" s="1" t="s">
        <v>113</v>
      </c>
      <c r="F471" s="1" t="s">
        <v>644</v>
      </c>
      <c r="G471" s="1">
        <v>19.5</v>
      </c>
      <c r="H471" s="1" t="s">
        <v>60</v>
      </c>
      <c r="I471" s="1">
        <v>100.0</v>
      </c>
      <c r="J471" s="1">
        <v>0.08859858985</v>
      </c>
      <c r="K471" s="1" t="s">
        <v>61</v>
      </c>
      <c r="L471" s="1" t="s">
        <v>61</v>
      </c>
      <c r="M471" s="1" t="s">
        <v>62</v>
      </c>
      <c r="N471" s="1">
        <v>-133.0</v>
      </c>
      <c r="O471" s="1">
        <v>-0.159400077124463</v>
      </c>
      <c r="P471" s="1" t="s">
        <v>61</v>
      </c>
      <c r="Q471" s="1" t="s">
        <v>61</v>
      </c>
    </row>
    <row r="472">
      <c r="A472" s="1" t="s">
        <v>17</v>
      </c>
      <c r="B472" s="1" t="s">
        <v>253</v>
      </c>
      <c r="C472" s="1" t="s">
        <v>21</v>
      </c>
      <c r="D472" s="1" t="s">
        <v>113</v>
      </c>
      <c r="E472" s="1" t="s">
        <v>77</v>
      </c>
      <c r="F472" s="1" t="s">
        <v>644</v>
      </c>
      <c r="G472" s="1">
        <v>0.5</v>
      </c>
      <c r="H472" s="1" t="s">
        <v>60</v>
      </c>
      <c r="I472" s="1">
        <v>-154.0</v>
      </c>
      <c r="J472" s="1">
        <v>-0.150399212598425</v>
      </c>
      <c r="K472" s="1" t="s">
        <v>61</v>
      </c>
      <c r="L472" s="1" t="s">
        <v>61</v>
      </c>
      <c r="M472" s="1" t="s">
        <v>62</v>
      </c>
      <c r="N472" s="1">
        <v>118.0</v>
      </c>
      <c r="O472" s="1">
        <v>0.0853844036697247</v>
      </c>
      <c r="P472" s="1" t="s">
        <v>61</v>
      </c>
      <c r="Q472" s="1" t="s">
        <v>61</v>
      </c>
    </row>
    <row r="473">
      <c r="A473" s="1" t="s">
        <v>8</v>
      </c>
      <c r="B473" s="1" t="s">
        <v>182</v>
      </c>
      <c r="C473" s="1" t="s">
        <v>19</v>
      </c>
      <c r="D473" s="1" t="s">
        <v>77</v>
      </c>
      <c r="E473" s="1" t="s">
        <v>113</v>
      </c>
      <c r="F473" s="1" t="s">
        <v>644</v>
      </c>
      <c r="G473" s="1">
        <v>3.5</v>
      </c>
      <c r="H473" s="1" t="s">
        <v>60</v>
      </c>
      <c r="I473" s="1">
        <v>117.0</v>
      </c>
      <c r="J473" s="1">
        <v>-0.152670658699131</v>
      </c>
      <c r="K473" s="1" t="s">
        <v>61</v>
      </c>
      <c r="L473" s="1" t="s">
        <v>61</v>
      </c>
      <c r="M473" s="1" t="s">
        <v>62</v>
      </c>
      <c r="N473" s="1">
        <v>-155.0</v>
      </c>
      <c r="O473" s="1">
        <v>0.0839905347861664</v>
      </c>
      <c r="P473" s="1" t="s">
        <v>61</v>
      </c>
      <c r="Q473" s="1" t="s">
        <v>61</v>
      </c>
    </row>
    <row r="474">
      <c r="A474" s="1" t="s">
        <v>12</v>
      </c>
      <c r="B474" s="1" t="s">
        <v>418</v>
      </c>
      <c r="C474" s="1" t="s">
        <v>20</v>
      </c>
      <c r="D474" s="1" t="s">
        <v>77</v>
      </c>
      <c r="E474" s="1" t="s">
        <v>113</v>
      </c>
      <c r="F474" s="1" t="s">
        <v>644</v>
      </c>
      <c r="G474" s="1">
        <v>2.5</v>
      </c>
      <c r="H474" s="1" t="s">
        <v>60</v>
      </c>
      <c r="I474" s="1">
        <v>-109.0</v>
      </c>
      <c r="J474" s="1">
        <v>-0.151828771100478</v>
      </c>
      <c r="K474" s="1" t="s">
        <v>61</v>
      </c>
      <c r="L474" s="1" t="s">
        <v>61</v>
      </c>
      <c r="M474" s="1" t="s">
        <v>62</v>
      </c>
      <c r="N474" s="1">
        <v>-121.0</v>
      </c>
      <c r="O474" s="1">
        <v>0.082786022278733</v>
      </c>
      <c r="P474" s="1" t="s">
        <v>61</v>
      </c>
      <c r="Q474" s="1" t="s">
        <v>61</v>
      </c>
    </row>
    <row r="475">
      <c r="A475" s="1" t="s">
        <v>11</v>
      </c>
      <c r="B475" s="1" t="s">
        <v>307</v>
      </c>
      <c r="C475" s="1" t="s">
        <v>18</v>
      </c>
      <c r="D475" s="1" t="s">
        <v>113</v>
      </c>
      <c r="E475" s="1" t="s">
        <v>77</v>
      </c>
      <c r="F475" s="1" t="s">
        <v>644</v>
      </c>
      <c r="G475" s="1">
        <v>7.5</v>
      </c>
      <c r="H475" s="1" t="s">
        <v>60</v>
      </c>
      <c r="I475" s="1">
        <v>-110.0</v>
      </c>
      <c r="J475" s="1">
        <v>0.0743690984544032</v>
      </c>
      <c r="K475" s="1" t="s">
        <v>61</v>
      </c>
      <c r="L475" s="1" t="s">
        <v>61</v>
      </c>
      <c r="M475" s="1" t="s">
        <v>62</v>
      </c>
      <c r="N475" s="1">
        <v>-120.0</v>
      </c>
      <c r="O475" s="1">
        <v>-0.143615512775043</v>
      </c>
      <c r="P475" s="1" t="s">
        <v>61</v>
      </c>
      <c r="Q475" s="1" t="s">
        <v>61</v>
      </c>
    </row>
    <row r="476">
      <c r="A476" s="1" t="s">
        <v>12</v>
      </c>
      <c r="B476" s="1" t="s">
        <v>138</v>
      </c>
      <c r="C476" s="1" t="s">
        <v>18</v>
      </c>
      <c r="D476" s="1" t="s">
        <v>77</v>
      </c>
      <c r="E476" s="1" t="s">
        <v>113</v>
      </c>
      <c r="F476" s="1" t="s">
        <v>644</v>
      </c>
      <c r="G476" s="1">
        <v>1.5</v>
      </c>
      <c r="H476" s="1" t="s">
        <v>60</v>
      </c>
      <c r="I476" s="1">
        <v>103.0</v>
      </c>
      <c r="J476" s="1">
        <v>-0.140953047787241</v>
      </c>
      <c r="K476" s="1" t="s">
        <v>61</v>
      </c>
      <c r="L476" s="1" t="s">
        <v>61</v>
      </c>
      <c r="M476" s="1" t="s">
        <v>62</v>
      </c>
      <c r="N476" s="1">
        <v>-135.0</v>
      </c>
      <c r="O476" s="1">
        <v>0.0738797056231914</v>
      </c>
      <c r="P476" s="1" t="s">
        <v>61</v>
      </c>
      <c r="Q476" s="1" t="s">
        <v>61</v>
      </c>
    </row>
    <row r="477">
      <c r="A477" s="1" t="s">
        <v>12</v>
      </c>
      <c r="B477" s="1" t="s">
        <v>432</v>
      </c>
      <c r="C477" s="1" t="s">
        <v>18</v>
      </c>
      <c r="D477" s="1" t="s">
        <v>135</v>
      </c>
      <c r="E477" s="1" t="s">
        <v>105</v>
      </c>
      <c r="F477" s="1" t="s">
        <v>643</v>
      </c>
      <c r="G477" s="1">
        <v>4.5</v>
      </c>
      <c r="H477" s="1" t="s">
        <v>60</v>
      </c>
      <c r="I477" s="1">
        <v>-149.0</v>
      </c>
      <c r="J477" s="1">
        <v>-0.136154216867469</v>
      </c>
      <c r="K477" s="1" t="s">
        <v>61</v>
      </c>
      <c r="L477" s="1" t="s">
        <v>61</v>
      </c>
      <c r="M477" s="1" t="s">
        <v>62</v>
      </c>
      <c r="N477" s="1">
        <v>113.0</v>
      </c>
      <c r="O477" s="1">
        <v>0.0683042253521127</v>
      </c>
      <c r="P477" s="1" t="s">
        <v>61</v>
      </c>
      <c r="Q477" s="1" t="s">
        <v>61</v>
      </c>
    </row>
    <row r="478">
      <c r="A478" s="1" t="s">
        <v>9</v>
      </c>
      <c r="B478" s="1" t="s">
        <v>451</v>
      </c>
      <c r="C478" s="1" t="s">
        <v>18</v>
      </c>
      <c r="D478" s="1" t="s">
        <v>105</v>
      </c>
      <c r="E478" s="1" t="s">
        <v>135</v>
      </c>
      <c r="F478" s="1" t="s">
        <v>643</v>
      </c>
      <c r="G478" s="1">
        <v>23.5</v>
      </c>
      <c r="H478" s="1" t="s">
        <v>60</v>
      </c>
      <c r="I478" s="1">
        <v>-120.0</v>
      </c>
      <c r="J478" s="1">
        <v>0.0641781755153201</v>
      </c>
      <c r="K478" s="1" t="s">
        <v>61</v>
      </c>
      <c r="L478" s="1" t="s">
        <v>61</v>
      </c>
      <c r="M478" s="1" t="s">
        <v>62</v>
      </c>
      <c r="N478" s="1">
        <v>-110.0</v>
      </c>
      <c r="O478" s="1">
        <v>-0.13344723083194</v>
      </c>
      <c r="P478" s="1" t="s">
        <v>61</v>
      </c>
      <c r="Q478" s="1" t="s">
        <v>61</v>
      </c>
    </row>
    <row r="479">
      <c r="A479" s="1" t="s">
        <v>9</v>
      </c>
      <c r="B479" s="1" t="s">
        <v>314</v>
      </c>
      <c r="C479" s="1" t="s">
        <v>18</v>
      </c>
      <c r="D479" s="1" t="s">
        <v>113</v>
      </c>
      <c r="E479" s="1" t="s">
        <v>77</v>
      </c>
      <c r="F479" s="1" t="s">
        <v>644</v>
      </c>
      <c r="G479" s="1">
        <v>72.5</v>
      </c>
      <c r="H479" s="1" t="s">
        <v>60</v>
      </c>
      <c r="I479" s="1">
        <v>-145.0</v>
      </c>
      <c r="J479" s="1">
        <v>-0.135876146302962</v>
      </c>
      <c r="K479" s="1" t="s">
        <v>61</v>
      </c>
      <c r="L479" s="1" t="s">
        <v>61</v>
      </c>
      <c r="M479" s="1" t="s">
        <v>62</v>
      </c>
      <c r="N479" s="1">
        <v>105.0</v>
      </c>
      <c r="O479" s="1">
        <v>0.056222711435248</v>
      </c>
      <c r="P479" s="1" t="s">
        <v>61</v>
      </c>
      <c r="Q479" s="1" t="s">
        <v>61</v>
      </c>
    </row>
    <row r="480">
      <c r="A480" s="1" t="s">
        <v>12</v>
      </c>
      <c r="B480" s="1" t="s">
        <v>485</v>
      </c>
      <c r="C480" s="1" t="s">
        <v>19</v>
      </c>
      <c r="D480" s="1" t="s">
        <v>135</v>
      </c>
      <c r="E480" s="1" t="s">
        <v>105</v>
      </c>
      <c r="F480" s="1" t="s">
        <v>643</v>
      </c>
      <c r="G480" s="1">
        <v>2.5</v>
      </c>
      <c r="H480" s="1" t="s">
        <v>60</v>
      </c>
      <c r="I480" s="1">
        <v>-104.0</v>
      </c>
      <c r="J480" s="1">
        <v>-0.122550079019607</v>
      </c>
      <c r="K480" s="1" t="s">
        <v>61</v>
      </c>
      <c r="L480" s="1" t="s">
        <v>61</v>
      </c>
      <c r="M480" s="1" t="s">
        <v>62</v>
      </c>
      <c r="N480" s="1">
        <v>-126.0</v>
      </c>
      <c r="O480" s="1">
        <v>0.055230373058407</v>
      </c>
      <c r="P480" s="1" t="s">
        <v>61</v>
      </c>
      <c r="Q480" s="1" t="s">
        <v>61</v>
      </c>
    </row>
    <row r="481">
      <c r="A481" s="1" t="s">
        <v>15</v>
      </c>
      <c r="B481" s="1" t="s">
        <v>253</v>
      </c>
      <c r="C481" s="1" t="s">
        <v>21</v>
      </c>
      <c r="D481" s="1" t="s">
        <v>113</v>
      </c>
      <c r="E481" s="1" t="s">
        <v>77</v>
      </c>
      <c r="F481" s="1" t="s">
        <v>644</v>
      </c>
      <c r="G481" s="1">
        <v>24.5</v>
      </c>
      <c r="H481" s="1" t="s">
        <v>60</v>
      </c>
      <c r="I481" s="1">
        <v>104.0</v>
      </c>
      <c r="J481" s="1">
        <v>0.0551</v>
      </c>
      <c r="K481" s="1" t="s">
        <v>61</v>
      </c>
      <c r="L481" s="1" t="s">
        <v>61</v>
      </c>
      <c r="M481" s="1" t="s">
        <v>62</v>
      </c>
      <c r="N481" s="1">
        <v>-134.0</v>
      </c>
      <c r="O481" s="1">
        <v>-0.117920512820512</v>
      </c>
      <c r="P481" s="1" t="s">
        <v>61</v>
      </c>
      <c r="Q481" s="1" t="s">
        <v>61</v>
      </c>
    </row>
    <row r="482">
      <c r="A482" s="1" t="s">
        <v>12</v>
      </c>
      <c r="B482" s="1" t="s">
        <v>381</v>
      </c>
      <c r="C482" s="1" t="s">
        <v>18</v>
      </c>
      <c r="D482" s="1" t="s">
        <v>135</v>
      </c>
      <c r="E482" s="1" t="s">
        <v>105</v>
      </c>
      <c r="F482" s="1" t="s">
        <v>643</v>
      </c>
      <c r="G482" s="1">
        <v>3.5</v>
      </c>
      <c r="H482" s="1" t="s">
        <v>60</v>
      </c>
      <c r="I482" s="1">
        <v>118.0</v>
      </c>
      <c r="J482" s="1">
        <v>-0.112415596330275</v>
      </c>
      <c r="K482" s="1" t="s">
        <v>61</v>
      </c>
      <c r="L482" s="1" t="s">
        <v>61</v>
      </c>
      <c r="M482" s="1" t="s">
        <v>62</v>
      </c>
      <c r="N482" s="1">
        <v>-153.0</v>
      </c>
      <c r="O482" s="1">
        <v>0.0489569169960474</v>
      </c>
      <c r="P482" s="1" t="s">
        <v>61</v>
      </c>
      <c r="Q482" s="1" t="s">
        <v>61</v>
      </c>
    </row>
    <row r="483">
      <c r="A483" s="1" t="s">
        <v>12</v>
      </c>
      <c r="B483" s="1" t="s">
        <v>345</v>
      </c>
      <c r="C483" s="1" t="s">
        <v>19</v>
      </c>
      <c r="D483" s="1" t="s">
        <v>105</v>
      </c>
      <c r="E483" s="1" t="s">
        <v>135</v>
      </c>
      <c r="F483" s="1" t="s">
        <v>643</v>
      </c>
      <c r="G483" s="1">
        <v>2.5</v>
      </c>
      <c r="H483" s="1" t="s">
        <v>60</v>
      </c>
      <c r="I483" s="1">
        <v>146.0</v>
      </c>
      <c r="J483" s="1">
        <v>-0.114898466534146</v>
      </c>
      <c r="K483" s="1" t="s">
        <v>61</v>
      </c>
      <c r="L483" s="1" t="s">
        <v>61</v>
      </c>
      <c r="M483" s="1" t="s">
        <v>62</v>
      </c>
      <c r="N483" s="1">
        <v>-196.0</v>
      </c>
      <c r="O483" s="1">
        <v>0.0462315915959458</v>
      </c>
      <c r="P483" s="1" t="s">
        <v>61</v>
      </c>
      <c r="Q483" s="1" t="s">
        <v>61</v>
      </c>
    </row>
    <row r="484">
      <c r="A484" s="1" t="s">
        <v>14</v>
      </c>
      <c r="B484" s="1" t="s">
        <v>405</v>
      </c>
      <c r="C484" s="1" t="s">
        <v>21</v>
      </c>
      <c r="D484" s="1" t="s">
        <v>135</v>
      </c>
      <c r="E484" s="1" t="s">
        <v>105</v>
      </c>
      <c r="F484" s="1" t="s">
        <v>643</v>
      </c>
      <c r="G484" s="1">
        <v>1.5</v>
      </c>
      <c r="H484" s="1" t="s">
        <v>60</v>
      </c>
      <c r="I484" s="1">
        <v>151.0</v>
      </c>
      <c r="J484" s="1">
        <v>0.0439537848605577</v>
      </c>
      <c r="K484" s="1" t="s">
        <v>61</v>
      </c>
      <c r="L484" s="1" t="s">
        <v>61</v>
      </c>
      <c r="M484" s="1" t="s">
        <v>62</v>
      </c>
      <c r="N484" s="1">
        <v>-195.0</v>
      </c>
      <c r="O484" s="1">
        <v>-0.103383050847457</v>
      </c>
      <c r="P484" s="1" t="s">
        <v>61</v>
      </c>
      <c r="Q484" s="1" t="s">
        <v>61</v>
      </c>
    </row>
    <row r="485">
      <c r="A485" s="1" t="s">
        <v>8</v>
      </c>
      <c r="B485" s="1" t="s">
        <v>253</v>
      </c>
      <c r="C485" s="1" t="s">
        <v>21</v>
      </c>
      <c r="D485" s="1" t="s">
        <v>113</v>
      </c>
      <c r="E485" s="1" t="s">
        <v>77</v>
      </c>
      <c r="F485" s="1" t="s">
        <v>644</v>
      </c>
      <c r="G485" s="1">
        <v>3.5</v>
      </c>
      <c r="H485" s="1" t="s">
        <v>60</v>
      </c>
      <c r="I485" s="1">
        <v>132.0</v>
      </c>
      <c r="J485" s="1">
        <v>-0.110328337543241</v>
      </c>
      <c r="K485" s="1" t="s">
        <v>61</v>
      </c>
      <c r="L485" s="1" t="s">
        <v>61</v>
      </c>
      <c r="M485" s="1" t="s">
        <v>62</v>
      </c>
      <c r="N485" s="1">
        <v>-175.0</v>
      </c>
      <c r="O485" s="1">
        <v>0.0429294904753613</v>
      </c>
      <c r="P485" s="1" t="s">
        <v>61</v>
      </c>
      <c r="Q485" s="1" t="s">
        <v>61</v>
      </c>
    </row>
    <row r="486">
      <c r="A486" s="1" t="s">
        <v>10</v>
      </c>
      <c r="B486" s="1" t="s">
        <v>485</v>
      </c>
      <c r="C486" s="1" t="s">
        <v>19</v>
      </c>
      <c r="D486" s="1" t="s">
        <v>135</v>
      </c>
      <c r="E486" s="1" t="s">
        <v>105</v>
      </c>
      <c r="F486" s="1" t="s">
        <v>643</v>
      </c>
      <c r="G486" s="1">
        <v>81.5</v>
      </c>
      <c r="H486" s="1" t="s">
        <v>60</v>
      </c>
      <c r="I486" s="1">
        <v>-115.0</v>
      </c>
      <c r="J486" s="1">
        <v>-0.109198139122173</v>
      </c>
      <c r="K486" s="1" t="s">
        <v>61</v>
      </c>
      <c r="L486" s="1" t="s">
        <v>61</v>
      </c>
      <c r="M486" s="1" t="s">
        <v>62</v>
      </c>
      <c r="N486" s="1">
        <v>-114.0</v>
      </c>
      <c r="O486" s="1">
        <v>0.0415763840962403</v>
      </c>
      <c r="P486" s="1" t="s">
        <v>61</v>
      </c>
      <c r="Q486" s="1" t="s">
        <v>61</v>
      </c>
    </row>
    <row r="487">
      <c r="A487" s="1" t="s">
        <v>9</v>
      </c>
      <c r="B487" s="1" t="s">
        <v>233</v>
      </c>
      <c r="C487" s="1" t="s">
        <v>18</v>
      </c>
      <c r="D487" s="1" t="s">
        <v>105</v>
      </c>
      <c r="E487" s="1" t="s">
        <v>135</v>
      </c>
      <c r="F487" s="1" t="s">
        <v>643</v>
      </c>
      <c r="G487" s="1">
        <v>30.5</v>
      </c>
      <c r="H487" s="1" t="s">
        <v>60</v>
      </c>
      <c r="I487" s="1">
        <v>-110.0</v>
      </c>
      <c r="J487" s="1">
        <v>0.0407013046563072</v>
      </c>
      <c r="K487" s="1" t="s">
        <v>61</v>
      </c>
      <c r="L487" s="1" t="s">
        <v>61</v>
      </c>
      <c r="M487" s="1" t="s">
        <v>62</v>
      </c>
      <c r="N487" s="1">
        <v>-120.0</v>
      </c>
      <c r="O487" s="1">
        <v>-0.109966948969951</v>
      </c>
      <c r="P487" s="1" t="s">
        <v>61</v>
      </c>
      <c r="Q487" s="1" t="s">
        <v>61</v>
      </c>
    </row>
    <row r="488">
      <c r="A488" s="1" t="s">
        <v>15</v>
      </c>
      <c r="B488" s="1" t="s">
        <v>347</v>
      </c>
      <c r="C488" s="1" t="s">
        <v>21</v>
      </c>
      <c r="D488" s="1" t="s">
        <v>77</v>
      </c>
      <c r="E488" s="1" t="s">
        <v>113</v>
      </c>
      <c r="F488" s="1" t="s">
        <v>644</v>
      </c>
      <c r="G488" s="1">
        <v>19.5</v>
      </c>
      <c r="H488" s="1" t="s">
        <v>60</v>
      </c>
      <c r="I488" s="1">
        <v>-106.0</v>
      </c>
      <c r="J488" s="1">
        <v>0.0405866042718445</v>
      </c>
      <c r="K488" s="1" t="s">
        <v>61</v>
      </c>
      <c r="L488" s="1" t="s">
        <v>61</v>
      </c>
      <c r="M488" s="1" t="s">
        <v>62</v>
      </c>
      <c r="N488" s="1">
        <v>-125.0</v>
      </c>
      <c r="O488" s="1">
        <v>-0.110726891555555</v>
      </c>
      <c r="P488" s="1" t="s">
        <v>61</v>
      </c>
      <c r="Q488" s="1" t="s">
        <v>61</v>
      </c>
    </row>
    <row r="489">
      <c r="A489" s="1" t="s">
        <v>10</v>
      </c>
      <c r="B489" s="1" t="s">
        <v>204</v>
      </c>
      <c r="C489" s="1" t="s">
        <v>21</v>
      </c>
      <c r="D489" s="1" t="s">
        <v>105</v>
      </c>
      <c r="E489" s="1" t="s">
        <v>135</v>
      </c>
      <c r="F489" s="1" t="s">
        <v>643</v>
      </c>
      <c r="G489" s="1">
        <v>33.5</v>
      </c>
      <c r="H489" s="1" t="s">
        <v>60</v>
      </c>
      <c r="I489" s="1">
        <v>-111.0</v>
      </c>
      <c r="J489" s="1">
        <v>-0.109108203361577</v>
      </c>
      <c r="K489" s="1" t="s">
        <v>61</v>
      </c>
      <c r="L489" s="1" t="s">
        <v>61</v>
      </c>
      <c r="M489" s="1" t="s">
        <v>62</v>
      </c>
      <c r="N489" s="1">
        <v>-119.0</v>
      </c>
      <c r="O489" s="1">
        <v>0.039698295808486</v>
      </c>
      <c r="P489" s="1" t="s">
        <v>61</v>
      </c>
      <c r="Q489" s="1" t="s">
        <v>61</v>
      </c>
    </row>
    <row r="490">
      <c r="A490" s="1" t="s">
        <v>11</v>
      </c>
      <c r="B490" s="1" t="s">
        <v>233</v>
      </c>
      <c r="C490" s="1" t="s">
        <v>18</v>
      </c>
      <c r="D490" s="1" t="s">
        <v>105</v>
      </c>
      <c r="E490" s="1" t="s">
        <v>135</v>
      </c>
      <c r="F490" s="1" t="s">
        <v>643</v>
      </c>
      <c r="G490" s="1">
        <v>30.5</v>
      </c>
      <c r="H490" s="1" t="s">
        <v>60</v>
      </c>
      <c r="I490" s="1">
        <v>-127.0</v>
      </c>
      <c r="J490" s="1">
        <v>-0.113179209665374</v>
      </c>
      <c r="K490" s="1" t="s">
        <v>61</v>
      </c>
      <c r="L490" s="1" t="s">
        <v>61</v>
      </c>
      <c r="M490" s="1" t="s">
        <v>62</v>
      </c>
      <c r="N490" s="1">
        <v>-106.0</v>
      </c>
      <c r="O490" s="1">
        <v>0.0391617735184874</v>
      </c>
      <c r="P490" s="1" t="s">
        <v>61</v>
      </c>
      <c r="Q490" s="1" t="s">
        <v>61</v>
      </c>
    </row>
    <row r="491">
      <c r="A491" s="1" t="s">
        <v>9</v>
      </c>
      <c r="B491" s="1" t="s">
        <v>182</v>
      </c>
      <c r="C491" s="1" t="s">
        <v>19</v>
      </c>
      <c r="D491" s="1" t="s">
        <v>77</v>
      </c>
      <c r="E491" s="1" t="s">
        <v>113</v>
      </c>
      <c r="F491" s="1" t="s">
        <v>644</v>
      </c>
      <c r="G491" s="1">
        <v>30.5</v>
      </c>
      <c r="H491" s="1" t="s">
        <v>60</v>
      </c>
      <c r="I491" s="1">
        <v>-120.0</v>
      </c>
      <c r="J491" s="1">
        <v>0.0389889752966807</v>
      </c>
      <c r="K491" s="1" t="s">
        <v>61</v>
      </c>
      <c r="L491" s="1" t="s">
        <v>61</v>
      </c>
      <c r="M491" s="1" t="s">
        <v>62</v>
      </c>
      <c r="N491" s="1">
        <v>-113.0</v>
      </c>
      <c r="O491" s="1">
        <v>-0.114967226566924</v>
      </c>
      <c r="P491" s="1" t="s">
        <v>61</v>
      </c>
      <c r="Q491" s="1" t="s">
        <v>61</v>
      </c>
    </row>
    <row r="492">
      <c r="A492" s="1" t="s">
        <v>11</v>
      </c>
      <c r="B492" s="1" t="s">
        <v>349</v>
      </c>
      <c r="C492" s="1" t="s">
        <v>20</v>
      </c>
      <c r="D492" s="1" t="s">
        <v>105</v>
      </c>
      <c r="E492" s="1" t="s">
        <v>135</v>
      </c>
      <c r="F492" s="1" t="s">
        <v>643</v>
      </c>
      <c r="G492" s="1">
        <v>51.5</v>
      </c>
      <c r="H492" s="1" t="s">
        <v>60</v>
      </c>
      <c r="I492" s="1">
        <v>-124.0</v>
      </c>
      <c r="J492" s="1">
        <v>-0.10591646683091</v>
      </c>
      <c r="K492" s="1" t="s">
        <v>61</v>
      </c>
      <c r="L492" s="1" t="s">
        <v>61</v>
      </c>
      <c r="M492" s="1" t="s">
        <v>62</v>
      </c>
      <c r="N492" s="1">
        <v>-106.0</v>
      </c>
      <c r="O492" s="1">
        <v>0.0377884255416505</v>
      </c>
      <c r="P492" s="1" t="s">
        <v>61</v>
      </c>
      <c r="Q492" s="1" t="s">
        <v>61</v>
      </c>
    </row>
    <row r="493">
      <c r="A493" s="1" t="s">
        <v>11</v>
      </c>
      <c r="B493" s="1" t="s">
        <v>381</v>
      </c>
      <c r="C493" s="1" t="s">
        <v>18</v>
      </c>
      <c r="D493" s="1" t="s">
        <v>135</v>
      </c>
      <c r="E493" s="1" t="s">
        <v>105</v>
      </c>
      <c r="F493" s="1" t="s">
        <v>643</v>
      </c>
      <c r="G493" s="1">
        <v>35.5</v>
      </c>
      <c r="H493" s="1" t="s">
        <v>60</v>
      </c>
      <c r="I493" s="1">
        <v>-117.0</v>
      </c>
      <c r="J493" s="1">
        <v>-0.102135244565484</v>
      </c>
      <c r="K493" s="1" t="s">
        <v>61</v>
      </c>
      <c r="L493" s="1" t="s">
        <v>61</v>
      </c>
      <c r="M493" s="1" t="s">
        <v>62</v>
      </c>
      <c r="N493" s="1">
        <v>-112.0</v>
      </c>
      <c r="O493" s="1">
        <v>0.0347002398075246</v>
      </c>
      <c r="P493" s="1" t="s">
        <v>61</v>
      </c>
      <c r="Q493" s="1" t="s">
        <v>61</v>
      </c>
    </row>
    <row r="494">
      <c r="A494" s="1" t="s">
        <v>11</v>
      </c>
      <c r="B494" s="1" t="s">
        <v>112</v>
      </c>
      <c r="C494" s="1" t="s">
        <v>20</v>
      </c>
      <c r="D494" s="1" t="s">
        <v>113</v>
      </c>
      <c r="E494" s="1" t="s">
        <v>77</v>
      </c>
      <c r="F494" s="1" t="s">
        <v>644</v>
      </c>
      <c r="G494" s="1">
        <v>38.5</v>
      </c>
      <c r="H494" s="1" t="s">
        <v>60</v>
      </c>
      <c r="I494" s="1">
        <v>-118.0</v>
      </c>
      <c r="J494" s="1">
        <v>-0.101670376131651</v>
      </c>
      <c r="K494" s="1" t="s">
        <v>61</v>
      </c>
      <c r="L494" s="1" t="s">
        <v>61</v>
      </c>
      <c r="M494" s="1" t="s">
        <v>62</v>
      </c>
      <c r="N494" s="1">
        <v>-111.0</v>
      </c>
      <c r="O494" s="1">
        <v>0.0343315122952276</v>
      </c>
      <c r="P494" s="1" t="s">
        <v>61</v>
      </c>
      <c r="Q494" s="1" t="s">
        <v>61</v>
      </c>
    </row>
    <row r="495">
      <c r="A495" s="1" t="s">
        <v>8</v>
      </c>
      <c r="B495" s="1" t="s">
        <v>345</v>
      </c>
      <c r="C495" s="1" t="s">
        <v>19</v>
      </c>
      <c r="D495" s="1" t="s">
        <v>105</v>
      </c>
      <c r="E495" s="1" t="s">
        <v>135</v>
      </c>
      <c r="F495" s="1" t="s">
        <v>643</v>
      </c>
      <c r="G495" s="1">
        <v>14.5</v>
      </c>
      <c r="H495" s="1" t="s">
        <v>60</v>
      </c>
      <c r="I495" s="1">
        <v>-128.0</v>
      </c>
      <c r="J495" s="1">
        <v>-0.0999595095526315</v>
      </c>
      <c r="K495" s="1" t="s">
        <v>61</v>
      </c>
      <c r="L495" s="1" t="s">
        <v>61</v>
      </c>
      <c r="M495" s="1" t="s">
        <v>62</v>
      </c>
      <c r="N495" s="1">
        <v>-104.0</v>
      </c>
      <c r="O495" s="1">
        <v>0.0287449358094118</v>
      </c>
      <c r="P495" s="1" t="s">
        <v>61</v>
      </c>
      <c r="Q495" s="1" t="s">
        <v>61</v>
      </c>
    </row>
    <row r="496">
      <c r="A496" s="1" t="s">
        <v>13</v>
      </c>
      <c r="B496" s="1" t="s">
        <v>405</v>
      </c>
      <c r="C496" s="1" t="s">
        <v>21</v>
      </c>
      <c r="D496" s="1" t="s">
        <v>135</v>
      </c>
      <c r="E496" s="1" t="s">
        <v>105</v>
      </c>
      <c r="F496" s="1" t="s">
        <v>643</v>
      </c>
      <c r="G496" s="1">
        <v>199.5</v>
      </c>
      <c r="H496" s="1" t="s">
        <v>60</v>
      </c>
      <c r="I496" s="1">
        <v>-112.0</v>
      </c>
      <c r="J496" s="1">
        <v>0.0286034175471697</v>
      </c>
      <c r="K496" s="1" t="s">
        <v>61</v>
      </c>
      <c r="L496" s="1" t="s">
        <v>61</v>
      </c>
      <c r="M496" s="1" t="s">
        <v>62</v>
      </c>
      <c r="N496" s="1">
        <v>-112.0</v>
      </c>
      <c r="O496" s="1">
        <v>-0.0851238276528301</v>
      </c>
      <c r="P496" s="1" t="s">
        <v>61</v>
      </c>
      <c r="Q496" s="1" t="s">
        <v>61</v>
      </c>
    </row>
    <row r="497">
      <c r="A497" s="1" t="s">
        <v>11</v>
      </c>
      <c r="B497" s="1" t="s">
        <v>418</v>
      </c>
      <c r="C497" s="1" t="s">
        <v>20</v>
      </c>
      <c r="D497" s="1" t="s">
        <v>77</v>
      </c>
      <c r="E497" s="1" t="s">
        <v>113</v>
      </c>
      <c r="F497" s="1" t="s">
        <v>644</v>
      </c>
      <c r="G497" s="1">
        <v>29.5</v>
      </c>
      <c r="H497" s="1" t="s">
        <v>60</v>
      </c>
      <c r="I497" s="1">
        <v>-119.0</v>
      </c>
      <c r="J497" s="1">
        <v>-0.0952229066928769</v>
      </c>
      <c r="K497" s="1" t="s">
        <v>61</v>
      </c>
      <c r="L497" s="1" t="s">
        <v>61</v>
      </c>
      <c r="M497" s="1" t="s">
        <v>62</v>
      </c>
      <c r="N497" s="1">
        <v>-110.0</v>
      </c>
      <c r="O497" s="1">
        <v>0.0280690804479716</v>
      </c>
      <c r="P497" s="1" t="s">
        <v>61</v>
      </c>
      <c r="Q497" s="1" t="s">
        <v>61</v>
      </c>
    </row>
    <row r="498">
      <c r="A498" s="1" t="s">
        <v>12</v>
      </c>
      <c r="B498" s="1" t="s">
        <v>399</v>
      </c>
      <c r="C498" s="1" t="s">
        <v>18</v>
      </c>
      <c r="D498" s="1" t="s">
        <v>77</v>
      </c>
      <c r="E498" s="1" t="s">
        <v>113</v>
      </c>
      <c r="F498" s="1" t="s">
        <v>644</v>
      </c>
      <c r="G498" s="1">
        <v>5.5</v>
      </c>
      <c r="H498" s="1" t="s">
        <v>60</v>
      </c>
      <c r="I498" s="1">
        <v>-103.0</v>
      </c>
      <c r="J498" s="1">
        <v>0.0276123152709359</v>
      </c>
      <c r="K498" s="1" t="s">
        <v>61</v>
      </c>
      <c r="L498" s="1" t="s">
        <v>61</v>
      </c>
      <c r="M498" s="1" t="s">
        <v>62</v>
      </c>
      <c r="N498" s="1">
        <v>-126.0</v>
      </c>
      <c r="O498" s="1">
        <v>-0.0925106194690267</v>
      </c>
      <c r="P498" s="1" t="s">
        <v>61</v>
      </c>
      <c r="Q498" s="1" t="s">
        <v>61</v>
      </c>
    </row>
    <row r="499">
      <c r="A499" s="1" t="s">
        <v>11</v>
      </c>
      <c r="B499" s="1" t="s">
        <v>451</v>
      </c>
      <c r="C499" s="1" t="s">
        <v>18</v>
      </c>
      <c r="D499" s="1" t="s">
        <v>105</v>
      </c>
      <c r="E499" s="1" t="s">
        <v>135</v>
      </c>
      <c r="F499" s="1" t="s">
        <v>643</v>
      </c>
      <c r="G499" s="1">
        <v>22.5</v>
      </c>
      <c r="H499" s="1" t="s">
        <v>60</v>
      </c>
      <c r="I499" s="1">
        <v>-115.0</v>
      </c>
      <c r="J499" s="1">
        <v>-0.0817927197375397</v>
      </c>
      <c r="K499" s="1" t="s">
        <v>61</v>
      </c>
      <c r="L499" s="1" t="s">
        <v>61</v>
      </c>
      <c r="M499" s="1" t="s">
        <v>62</v>
      </c>
      <c r="N499" s="1">
        <v>-109.0</v>
      </c>
      <c r="O499" s="1">
        <v>0.0254153773707771</v>
      </c>
      <c r="P499" s="1" t="s">
        <v>61</v>
      </c>
      <c r="Q499" s="1" t="s">
        <v>61</v>
      </c>
    </row>
    <row r="500">
      <c r="A500" s="1" t="s">
        <v>11</v>
      </c>
      <c r="B500" s="1" t="s">
        <v>239</v>
      </c>
      <c r="C500" s="1" t="s">
        <v>18</v>
      </c>
      <c r="D500" s="1" t="s">
        <v>77</v>
      </c>
      <c r="E500" s="1" t="s">
        <v>113</v>
      </c>
      <c r="F500" s="1" t="s">
        <v>644</v>
      </c>
      <c r="G500" s="1">
        <v>35.5</v>
      </c>
      <c r="H500" s="1" t="s">
        <v>60</v>
      </c>
      <c r="I500" s="1">
        <v>-115.0</v>
      </c>
      <c r="J500" s="1">
        <v>-0.0904560772908838</v>
      </c>
      <c r="K500" s="1" t="s">
        <v>61</v>
      </c>
      <c r="L500" s="1" t="s">
        <v>61</v>
      </c>
      <c r="M500" s="1" t="s">
        <v>62</v>
      </c>
      <c r="N500" s="1">
        <v>-113.0</v>
      </c>
      <c r="O500" s="1">
        <v>0.0250789830758461</v>
      </c>
      <c r="P500" s="1" t="s">
        <v>61</v>
      </c>
      <c r="Q500" s="1" t="s">
        <v>61</v>
      </c>
    </row>
    <row r="501">
      <c r="A501" s="1" t="s">
        <v>9</v>
      </c>
      <c r="B501" s="1" t="s">
        <v>485</v>
      </c>
      <c r="C501" s="1" t="s">
        <v>19</v>
      </c>
      <c r="D501" s="1" t="s">
        <v>135</v>
      </c>
      <c r="E501" s="1" t="s">
        <v>105</v>
      </c>
      <c r="F501" s="1" t="s">
        <v>643</v>
      </c>
      <c r="G501" s="1">
        <v>100.5</v>
      </c>
      <c r="H501" s="1" t="s">
        <v>60</v>
      </c>
      <c r="I501" s="1">
        <v>-114.0</v>
      </c>
      <c r="J501" s="1">
        <v>-0.10053696839522</v>
      </c>
      <c r="K501" s="1" t="s">
        <v>61</v>
      </c>
      <c r="L501" s="1" t="s">
        <v>61</v>
      </c>
      <c r="M501" s="1" t="s">
        <v>62</v>
      </c>
      <c r="N501" s="1">
        <v>-119.0</v>
      </c>
      <c r="O501" s="1">
        <v>0.0245005428604515</v>
      </c>
      <c r="P501" s="1" t="s">
        <v>61</v>
      </c>
      <c r="Q501" s="1" t="s">
        <v>61</v>
      </c>
    </row>
    <row r="502">
      <c r="A502" s="1" t="s">
        <v>9</v>
      </c>
      <c r="B502" s="1" t="s">
        <v>345</v>
      </c>
      <c r="C502" s="1" t="s">
        <v>19</v>
      </c>
      <c r="D502" s="1" t="s">
        <v>105</v>
      </c>
      <c r="E502" s="1" t="s">
        <v>135</v>
      </c>
      <c r="F502" s="1" t="s">
        <v>643</v>
      </c>
      <c r="G502" s="1">
        <v>78.0</v>
      </c>
      <c r="H502" s="1" t="s">
        <v>60</v>
      </c>
      <c r="I502" s="1">
        <v>-116.0</v>
      </c>
      <c r="J502" s="1">
        <v>-0.0949444781230937</v>
      </c>
      <c r="K502" s="1" t="s">
        <v>61</v>
      </c>
      <c r="L502" s="1" t="s">
        <v>61</v>
      </c>
      <c r="M502" s="1" t="s">
        <v>62</v>
      </c>
      <c r="N502" s="1">
        <v>-117.0</v>
      </c>
      <c r="O502" s="1">
        <v>0.0197093479781947</v>
      </c>
      <c r="P502" s="1" t="s">
        <v>61</v>
      </c>
      <c r="Q502" s="1" t="s">
        <v>61</v>
      </c>
    </row>
    <row r="503">
      <c r="A503" s="1" t="s">
        <v>8</v>
      </c>
      <c r="B503" s="1" t="s">
        <v>646</v>
      </c>
      <c r="C503" s="1" t="s">
        <v>19</v>
      </c>
      <c r="D503" s="1" t="s">
        <v>135</v>
      </c>
      <c r="E503" s="1" t="s">
        <v>105</v>
      </c>
      <c r="F503" s="1" t="s">
        <v>643</v>
      </c>
      <c r="G503" s="1">
        <v>4.5</v>
      </c>
      <c r="H503" s="1" t="s">
        <v>60</v>
      </c>
      <c r="I503" s="1">
        <v>107.0</v>
      </c>
      <c r="J503" s="1">
        <v>-0.0917765384969125</v>
      </c>
      <c r="K503" s="1" t="s">
        <v>61</v>
      </c>
      <c r="L503" s="1" t="s">
        <v>61</v>
      </c>
      <c r="M503" s="1" t="s">
        <v>62</v>
      </c>
      <c r="N503" s="1">
        <v>-145.0</v>
      </c>
      <c r="O503" s="1">
        <v>0.0168458059502127</v>
      </c>
      <c r="P503" s="1" t="s">
        <v>61</v>
      </c>
      <c r="Q503" s="1" t="s">
        <v>61</v>
      </c>
    </row>
    <row r="504">
      <c r="A504" s="1" t="s">
        <v>16</v>
      </c>
      <c r="B504" s="1" t="s">
        <v>405</v>
      </c>
      <c r="C504" s="1" t="s">
        <v>21</v>
      </c>
      <c r="D504" s="1" t="s">
        <v>135</v>
      </c>
      <c r="E504" s="1" t="s">
        <v>105</v>
      </c>
      <c r="F504" s="1" t="s">
        <v>643</v>
      </c>
      <c r="G504" s="1">
        <v>27.5</v>
      </c>
      <c r="H504" s="1" t="s">
        <v>60</v>
      </c>
      <c r="I504" s="1">
        <v>-126.0</v>
      </c>
      <c r="J504" s="1">
        <v>-0.0830212336725663</v>
      </c>
      <c r="K504" s="1" t="s">
        <v>61</v>
      </c>
      <c r="L504" s="1" t="s">
        <v>61</v>
      </c>
      <c r="M504" s="1" t="s">
        <v>62</v>
      </c>
      <c r="N504" s="1">
        <v>-104.0</v>
      </c>
      <c r="O504" s="1">
        <v>0.0156950527568627</v>
      </c>
      <c r="P504" s="1" t="s">
        <v>61</v>
      </c>
      <c r="Q504" s="1" t="s">
        <v>61</v>
      </c>
    </row>
    <row r="505">
      <c r="A505" s="1" t="s">
        <v>11</v>
      </c>
      <c r="B505" s="1" t="s">
        <v>471</v>
      </c>
      <c r="C505" s="1" t="s">
        <v>20</v>
      </c>
      <c r="D505" s="1" t="s">
        <v>135</v>
      </c>
      <c r="E505" s="1" t="s">
        <v>105</v>
      </c>
      <c r="F505" s="1" t="s">
        <v>643</v>
      </c>
      <c r="G505" s="1">
        <v>24.5</v>
      </c>
      <c r="H505" s="1" t="s">
        <v>60</v>
      </c>
      <c r="I505" s="1">
        <v>-120.0</v>
      </c>
      <c r="J505" s="1">
        <v>-0.0823042528261954</v>
      </c>
      <c r="K505" s="1" t="s">
        <v>61</v>
      </c>
      <c r="L505" s="1" t="s">
        <v>61</v>
      </c>
      <c r="M505" s="1" t="s">
        <v>62</v>
      </c>
      <c r="N505" s="1">
        <v>-109.0</v>
      </c>
      <c r="O505" s="1">
        <v>0.0153554058742663</v>
      </c>
      <c r="P505" s="1" t="s">
        <v>61</v>
      </c>
      <c r="Q505" s="1" t="s">
        <v>61</v>
      </c>
    </row>
    <row r="506">
      <c r="A506" s="1" t="s">
        <v>11</v>
      </c>
      <c r="B506" s="1" t="s">
        <v>432</v>
      </c>
      <c r="C506" s="1" t="s">
        <v>18</v>
      </c>
      <c r="D506" s="1" t="s">
        <v>135</v>
      </c>
      <c r="E506" s="1" t="s">
        <v>105</v>
      </c>
      <c r="F506" s="1" t="s">
        <v>643</v>
      </c>
      <c r="G506" s="1">
        <v>51.5</v>
      </c>
      <c r="H506" s="1" t="s">
        <v>60</v>
      </c>
      <c r="I506" s="1">
        <v>-116.0</v>
      </c>
      <c r="J506" s="1">
        <v>-0.0826371596506851</v>
      </c>
      <c r="K506" s="1" t="s">
        <v>61</v>
      </c>
      <c r="L506" s="1" t="s">
        <v>61</v>
      </c>
      <c r="M506" s="1" t="s">
        <v>62</v>
      </c>
      <c r="N506" s="1">
        <v>-113.0</v>
      </c>
      <c r="O506" s="1">
        <v>0.0150833756441783</v>
      </c>
      <c r="P506" s="1" t="s">
        <v>61</v>
      </c>
      <c r="Q506" s="1" t="s">
        <v>61</v>
      </c>
    </row>
    <row r="507">
      <c r="A507" s="1" t="s">
        <v>10</v>
      </c>
      <c r="B507" s="1" t="s">
        <v>253</v>
      </c>
      <c r="C507" s="1" t="s">
        <v>21</v>
      </c>
      <c r="D507" s="1" t="s">
        <v>113</v>
      </c>
      <c r="E507" s="1" t="s">
        <v>77</v>
      </c>
      <c r="F507" s="1" t="s">
        <v>644</v>
      </c>
      <c r="G507" s="1">
        <v>12.5</v>
      </c>
      <c r="H507" s="1" t="s">
        <v>60</v>
      </c>
      <c r="I507" s="1">
        <v>-107.0</v>
      </c>
      <c r="J507" s="1">
        <v>-0.0731429714277302</v>
      </c>
      <c r="K507" s="1" t="s">
        <v>61</v>
      </c>
      <c r="L507" s="1" t="s">
        <v>61</v>
      </c>
      <c r="M507" s="1" t="s">
        <v>62</v>
      </c>
      <c r="N507" s="1">
        <v>-118.0</v>
      </c>
      <c r="O507" s="1">
        <v>0.014978633949254</v>
      </c>
      <c r="P507" s="1" t="s">
        <v>61</v>
      </c>
      <c r="Q507" s="1" t="s">
        <v>61</v>
      </c>
    </row>
    <row r="508">
      <c r="A508" s="1" t="s">
        <v>9</v>
      </c>
      <c r="B508" s="1" t="s">
        <v>239</v>
      </c>
      <c r="C508" s="1" t="s">
        <v>18</v>
      </c>
      <c r="D508" s="1" t="s">
        <v>77</v>
      </c>
      <c r="E508" s="1" t="s">
        <v>113</v>
      </c>
      <c r="F508" s="1" t="s">
        <v>644</v>
      </c>
      <c r="G508" s="1">
        <v>35.5</v>
      </c>
      <c r="H508" s="1" t="s">
        <v>60</v>
      </c>
      <c r="I508" s="1">
        <v>-110.0</v>
      </c>
      <c r="J508" s="1">
        <v>0.0133356242451133</v>
      </c>
      <c r="K508" s="1" t="s">
        <v>61</v>
      </c>
      <c r="L508" s="1" t="s">
        <v>61</v>
      </c>
      <c r="M508" s="1" t="s">
        <v>62</v>
      </c>
      <c r="N508" s="1">
        <v>-120.0</v>
      </c>
      <c r="O508" s="1">
        <v>-0.082606260498948</v>
      </c>
      <c r="P508" s="1" t="s">
        <v>61</v>
      </c>
      <c r="Q508" s="1" t="s">
        <v>61</v>
      </c>
    </row>
    <row r="509">
      <c r="A509" s="1" t="s">
        <v>14</v>
      </c>
      <c r="B509" s="1" t="s">
        <v>347</v>
      </c>
      <c r="C509" s="1" t="s">
        <v>21</v>
      </c>
      <c r="D509" s="1" t="s">
        <v>77</v>
      </c>
      <c r="E509" s="1" t="s">
        <v>113</v>
      </c>
      <c r="F509" s="1" t="s">
        <v>644</v>
      </c>
      <c r="G509" s="1">
        <v>1.5</v>
      </c>
      <c r="H509" s="1" t="s">
        <v>60</v>
      </c>
      <c r="I509" s="1">
        <v>-112.0</v>
      </c>
      <c r="J509" s="1">
        <v>-0.077554716981132</v>
      </c>
      <c r="K509" s="1" t="s">
        <v>61</v>
      </c>
      <c r="L509" s="1" t="s">
        <v>61</v>
      </c>
      <c r="M509" s="1" t="s">
        <v>62</v>
      </c>
      <c r="N509" s="1">
        <v>-116.0</v>
      </c>
      <c r="O509" s="1">
        <v>0.0122092592592591</v>
      </c>
      <c r="P509" s="1" t="s">
        <v>61</v>
      </c>
      <c r="Q509" s="1" t="s">
        <v>61</v>
      </c>
    </row>
    <row r="510">
      <c r="A510" s="1" t="s">
        <v>9</v>
      </c>
      <c r="B510" s="1" t="s">
        <v>481</v>
      </c>
      <c r="C510" s="1" t="s">
        <v>18</v>
      </c>
      <c r="D510" s="1" t="s">
        <v>113</v>
      </c>
      <c r="E510" s="1" t="s">
        <v>77</v>
      </c>
      <c r="F510" s="1" t="s">
        <v>644</v>
      </c>
      <c r="G510" s="1">
        <v>57.5</v>
      </c>
      <c r="H510" s="1" t="s">
        <v>60</v>
      </c>
      <c r="I510" s="1">
        <v>-110.0</v>
      </c>
      <c r="J510" s="1">
        <v>0.0112643244103713</v>
      </c>
      <c r="K510" s="1" t="s">
        <v>61</v>
      </c>
      <c r="L510" s="1" t="s">
        <v>61</v>
      </c>
      <c r="M510" s="1" t="s">
        <v>62</v>
      </c>
      <c r="N510" s="1">
        <v>-120.0</v>
      </c>
      <c r="O510" s="1">
        <v>-0.0805245897791526</v>
      </c>
      <c r="P510" s="1" t="s">
        <v>61</v>
      </c>
      <c r="Q510" s="1" t="s">
        <v>61</v>
      </c>
    </row>
    <row r="511">
      <c r="A511" s="1" t="s">
        <v>11</v>
      </c>
      <c r="B511" s="1" t="s">
        <v>399</v>
      </c>
      <c r="C511" s="1" t="s">
        <v>18</v>
      </c>
      <c r="D511" s="1" t="s">
        <v>77</v>
      </c>
      <c r="E511" s="1" t="s">
        <v>113</v>
      </c>
      <c r="F511" s="1" t="s">
        <v>644</v>
      </c>
      <c r="G511" s="1">
        <v>63.5</v>
      </c>
      <c r="H511" s="1" t="s">
        <v>60</v>
      </c>
      <c r="I511" s="1">
        <v>-117.0</v>
      </c>
      <c r="J511" s="1">
        <v>-0.0748641537410929</v>
      </c>
      <c r="K511" s="1" t="s">
        <v>61</v>
      </c>
      <c r="L511" s="1" t="s">
        <v>61</v>
      </c>
      <c r="M511" s="1" t="s">
        <v>62</v>
      </c>
      <c r="N511" s="1">
        <v>-111.0</v>
      </c>
      <c r="O511" s="1">
        <v>0.00963991179051382</v>
      </c>
      <c r="P511" s="1" t="s">
        <v>61</v>
      </c>
      <c r="Q511" s="1" t="s">
        <v>61</v>
      </c>
    </row>
    <row r="512">
      <c r="A512" s="1" t="s">
        <v>16</v>
      </c>
      <c r="B512" s="1" t="s">
        <v>204</v>
      </c>
      <c r="C512" s="1" t="s">
        <v>21</v>
      </c>
      <c r="D512" s="1" t="s">
        <v>105</v>
      </c>
      <c r="E512" s="1" t="s">
        <v>135</v>
      </c>
      <c r="F512" s="1" t="s">
        <v>643</v>
      </c>
      <c r="G512" s="1">
        <v>31.5</v>
      </c>
      <c r="H512" s="1" t="s">
        <v>60</v>
      </c>
      <c r="I512" s="1">
        <v>-106.0</v>
      </c>
      <c r="J512" s="1">
        <v>-0.0761613052427183</v>
      </c>
      <c r="K512" s="1" t="s">
        <v>61</v>
      </c>
      <c r="L512" s="1" t="s">
        <v>61</v>
      </c>
      <c r="M512" s="1" t="s">
        <v>62</v>
      </c>
      <c r="N512" s="1">
        <v>-124.0</v>
      </c>
      <c r="O512" s="1">
        <v>0.00801248129999998</v>
      </c>
      <c r="P512" s="1" t="s">
        <v>61</v>
      </c>
      <c r="Q512" s="1" t="s">
        <v>61</v>
      </c>
    </row>
    <row r="513">
      <c r="A513" s="1" t="s">
        <v>16</v>
      </c>
      <c r="B513" s="1" t="s">
        <v>253</v>
      </c>
      <c r="C513" s="1" t="s">
        <v>21</v>
      </c>
      <c r="D513" s="1" t="s">
        <v>113</v>
      </c>
      <c r="E513" s="1" t="s">
        <v>77</v>
      </c>
      <c r="F513" s="1" t="s">
        <v>644</v>
      </c>
      <c r="G513" s="1">
        <v>36.5</v>
      </c>
      <c r="H513" s="1" t="s">
        <v>60</v>
      </c>
      <c r="I513" s="1">
        <v>-104.0</v>
      </c>
      <c r="J513" s="1">
        <v>0.00649795973725486</v>
      </c>
      <c r="K513" s="1" t="s">
        <v>61</v>
      </c>
      <c r="L513" s="1" t="s">
        <v>61</v>
      </c>
      <c r="M513" s="1" t="s">
        <v>62</v>
      </c>
      <c r="N513" s="1">
        <v>-124.0</v>
      </c>
      <c r="O513" s="1">
        <v>-0.0698606446875</v>
      </c>
      <c r="P513" s="1" t="s">
        <v>61</v>
      </c>
      <c r="Q513" s="1" t="s">
        <v>61</v>
      </c>
    </row>
    <row r="514">
      <c r="A514" s="1" t="s">
        <v>9</v>
      </c>
      <c r="B514" s="1" t="s">
        <v>417</v>
      </c>
      <c r="C514" s="1" t="s">
        <v>19</v>
      </c>
      <c r="D514" s="1" t="s">
        <v>113</v>
      </c>
      <c r="E514" s="1" t="s">
        <v>77</v>
      </c>
      <c r="F514" s="1" t="s">
        <v>644</v>
      </c>
      <c r="G514" s="1">
        <v>41.5</v>
      </c>
      <c r="H514" s="1" t="s">
        <v>60</v>
      </c>
      <c r="I514" s="1">
        <v>-114.0</v>
      </c>
      <c r="J514" s="1">
        <v>0.00585924525591519</v>
      </c>
      <c r="K514" s="1" t="s">
        <v>61</v>
      </c>
      <c r="L514" s="1" t="s">
        <v>61</v>
      </c>
      <c r="M514" s="1" t="s">
        <v>62</v>
      </c>
      <c r="N514" s="1">
        <v>-117.0</v>
      </c>
      <c r="O514" s="1">
        <v>-0.0776584323832997</v>
      </c>
      <c r="P514" s="1" t="s">
        <v>61</v>
      </c>
      <c r="Q514" s="1" t="s">
        <v>61</v>
      </c>
    </row>
    <row r="515">
      <c r="A515" s="1" t="s">
        <v>16</v>
      </c>
      <c r="B515" s="1" t="s">
        <v>347</v>
      </c>
      <c r="C515" s="1" t="s">
        <v>21</v>
      </c>
      <c r="D515" s="1" t="s">
        <v>77</v>
      </c>
      <c r="E515" s="1" t="s">
        <v>113</v>
      </c>
      <c r="F515" s="1" t="s">
        <v>644</v>
      </c>
      <c r="G515" s="1">
        <v>28.5</v>
      </c>
      <c r="H515" s="1" t="s">
        <v>60</v>
      </c>
      <c r="I515" s="1">
        <v>-123.0</v>
      </c>
      <c r="J515" s="1">
        <v>-0.0737679287443947</v>
      </c>
      <c r="K515" s="1" t="s">
        <v>61</v>
      </c>
      <c r="L515" s="1" t="s">
        <v>61</v>
      </c>
      <c r="M515" s="1" t="s">
        <v>62</v>
      </c>
      <c r="N515" s="1">
        <v>-107.0</v>
      </c>
      <c r="O515" s="1">
        <v>0.00528996849130447</v>
      </c>
      <c r="P515" s="1" t="s">
        <v>61</v>
      </c>
      <c r="Q515" s="1" t="s">
        <v>61</v>
      </c>
    </row>
    <row r="516">
      <c r="A516" s="1" t="s">
        <v>10</v>
      </c>
      <c r="B516" s="1" t="s">
        <v>345</v>
      </c>
      <c r="C516" s="1" t="s">
        <v>19</v>
      </c>
      <c r="D516" s="1" t="s">
        <v>105</v>
      </c>
      <c r="E516" s="1" t="s">
        <v>135</v>
      </c>
      <c r="F516" s="1" t="s">
        <v>643</v>
      </c>
      <c r="G516" s="1">
        <v>64.5</v>
      </c>
      <c r="H516" s="1" t="s">
        <v>60</v>
      </c>
      <c r="I516" s="1">
        <v>-111.0</v>
      </c>
      <c r="J516" s="1">
        <v>-0.0722635643162926</v>
      </c>
      <c r="K516" s="1" t="s">
        <v>61</v>
      </c>
      <c r="L516" s="1" t="s">
        <v>61</v>
      </c>
      <c r="M516" s="1" t="s">
        <v>62</v>
      </c>
      <c r="N516" s="1">
        <v>-118.0</v>
      </c>
      <c r="O516" s="1">
        <v>0.00489791112784487</v>
      </c>
      <c r="P516" s="1" t="s">
        <v>61</v>
      </c>
      <c r="Q516" s="1" t="s">
        <v>61</v>
      </c>
    </row>
    <row r="517">
      <c r="A517" s="1" t="s">
        <v>17</v>
      </c>
      <c r="B517" s="1" t="s">
        <v>204</v>
      </c>
      <c r="C517" s="1" t="s">
        <v>21</v>
      </c>
      <c r="D517" s="1" t="s">
        <v>105</v>
      </c>
      <c r="E517" s="1" t="s">
        <v>135</v>
      </c>
      <c r="F517" s="1" t="s">
        <v>643</v>
      </c>
      <c r="G517" s="1">
        <v>0.5</v>
      </c>
      <c r="H517" s="1" t="s">
        <v>60</v>
      </c>
      <c r="I517" s="1">
        <v>-103.0</v>
      </c>
      <c r="J517" s="1">
        <v>-0.0701891625615763</v>
      </c>
      <c r="K517" s="1" t="s">
        <v>61</v>
      </c>
      <c r="L517" s="1" t="s">
        <v>61</v>
      </c>
      <c r="M517" s="1" t="s">
        <v>62</v>
      </c>
      <c r="N517" s="1">
        <v>-127.0</v>
      </c>
      <c r="O517" s="1">
        <v>0.00332863436123342</v>
      </c>
      <c r="P517" s="1" t="s">
        <v>61</v>
      </c>
      <c r="Q517" s="1" t="s">
        <v>61</v>
      </c>
    </row>
    <row r="518">
      <c r="A518" s="1" t="s">
        <v>15</v>
      </c>
      <c r="B518" s="1" t="s">
        <v>405</v>
      </c>
      <c r="C518" s="1" t="s">
        <v>21</v>
      </c>
      <c r="D518" s="1" t="s">
        <v>135</v>
      </c>
      <c r="E518" s="1" t="s">
        <v>105</v>
      </c>
      <c r="F518" s="1" t="s">
        <v>643</v>
      </c>
      <c r="G518" s="1">
        <v>19.5</v>
      </c>
      <c r="H518" s="1" t="s">
        <v>60</v>
      </c>
      <c r="I518" s="1">
        <v>-114.0</v>
      </c>
      <c r="J518" s="1">
        <v>0.00185277911214964</v>
      </c>
      <c r="K518" s="1" t="s">
        <v>61</v>
      </c>
      <c r="L518" s="1" t="s">
        <v>61</v>
      </c>
      <c r="M518" s="1" t="s">
        <v>62</v>
      </c>
      <c r="N518" s="1">
        <v>-116.0</v>
      </c>
      <c r="O518" s="1">
        <v>-0.0715796568833334</v>
      </c>
      <c r="P518" s="1" t="s">
        <v>61</v>
      </c>
      <c r="Q518" s="1" t="s">
        <v>61</v>
      </c>
    </row>
  </sheetData>
  <conditionalFormatting sqref="O1:O995">
    <cfRule type="cellIs" dxfId="0" priority="1" operator="greaterThan">
      <formula>0</formula>
    </cfRule>
  </conditionalFormatting>
  <conditionalFormatting sqref="J1:J995">
    <cfRule type="cellIs" dxfId="0" priority="2" operator="greaterThan">
      <formula>0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SUM(AE2:AE99914)</f>
        <v>7.708096323</v>
      </c>
      <c r="AH1" s="2">
        <f>COUNTIF(AC:AC,1)/COUNT(AC:AC)</f>
        <v>0.515625</v>
      </c>
      <c r="AI1" s="3">
        <f>COUNTIF(AC:AC,1)</f>
        <v>198</v>
      </c>
      <c r="AJ1" s="1">
        <f>COUNT(AC:AC)-AI1</f>
        <v>186</v>
      </c>
      <c r="AK1" s="1">
        <f>SUM(AF2:AF967)</f>
        <v>2.566329746</v>
      </c>
      <c r="AL1" s="1"/>
      <c r="AM1" s="1"/>
      <c r="AN1" s="1"/>
      <c r="AO1" s="1"/>
      <c r="AP1" s="1"/>
      <c r="AQ1" s="1"/>
      <c r="AR1" s="1"/>
    </row>
    <row r="2">
      <c r="A2" s="1" t="s">
        <v>12</v>
      </c>
      <c r="B2" s="1" t="s">
        <v>233</v>
      </c>
      <c r="C2" s="1" t="s">
        <v>18</v>
      </c>
      <c r="D2" s="1" t="s">
        <v>105</v>
      </c>
      <c r="E2" s="1" t="s">
        <v>94</v>
      </c>
      <c r="F2" s="1" t="s">
        <v>647</v>
      </c>
      <c r="G2" s="1">
        <v>2.5</v>
      </c>
      <c r="H2" s="1" t="s">
        <v>60</v>
      </c>
      <c r="I2" s="1">
        <v>-156.0</v>
      </c>
      <c r="J2" s="1">
        <v>-0.256273408007812</v>
      </c>
      <c r="K2" s="1" t="s">
        <v>61</v>
      </c>
      <c r="L2" s="1" t="s">
        <v>61</v>
      </c>
      <c r="M2" s="1" t="s">
        <v>62</v>
      </c>
      <c r="N2" s="1">
        <v>119.0</v>
      </c>
      <c r="O2" s="1">
        <v>0.190277134474885</v>
      </c>
      <c r="P2" s="1" t="s">
        <v>61</v>
      </c>
      <c r="Q2" s="1" t="s">
        <v>61</v>
      </c>
      <c r="R2" s="1">
        <f t="shared" ref="R2:R385" si="1">if(O2&gt;0, O2, J2)</f>
        <v>0.1902771345</v>
      </c>
      <c r="S2" s="1">
        <f t="shared" ref="S2:S385" si="2">if(O2&gt;0,N2,I2)</f>
        <v>119</v>
      </c>
      <c r="T2" s="1">
        <f t="shared" ref="T2:T385" si="3">if(S2&gt;0, S2/100, -100/S2) + 1</f>
        <v>2.19</v>
      </c>
      <c r="U2" s="1">
        <f t="shared" ref="U2:U385" si="4">if(and(M2="under", O2&gt;0),0,1)</f>
        <v>0</v>
      </c>
      <c r="V2" s="3">
        <f t="shared" ref="V2:V385" si="5">IF(R2&lt;0.05, 1,if(R2&gt;0.1,3,2))</f>
        <v>3</v>
      </c>
      <c r="W2" s="3">
        <f t="shared" ref="W2:W385" si="6">IFS(T2&gt;2.1, 1, T2&lt;1.85,3, TRUE,2)</f>
        <v>1</v>
      </c>
      <c r="X2" s="3" t="str">
        <f>IFERROR(__xludf.DUMMYFUNCTION("split(B2,"" "")"),"M.")</f>
        <v>M.</v>
      </c>
      <c r="Y2" s="3" t="str">
        <f>IFERROR(__xludf.DUMMYFUNCTION("""COMPUTED_VALUE"""),"Wilson")</f>
        <v>Wilson</v>
      </c>
      <c r="AA2" s="8">
        <v>5.0</v>
      </c>
      <c r="AB2" s="3">
        <f t="shared" ref="AB2:AB385" si="7">if(AA2&lt;G2,0,1)</f>
        <v>1</v>
      </c>
      <c r="AC2" s="3">
        <f t="shared" ref="AC2:AC385" si="8">if(AB2=U2,1,0)</f>
        <v>0</v>
      </c>
      <c r="AD2" s="3">
        <f t="shared" ref="AD2:AD385" si="9">if(S2&lt;0, (100/(-S2))*V2, (S2/100)*V2)</f>
        <v>3.57</v>
      </c>
      <c r="AE2" s="3">
        <f t="shared" ref="AE2:AE385" si="10">if(T2&gt;4, 0, if(AC2=1,AD2,-V2))</f>
        <v>-3</v>
      </c>
      <c r="AF2" s="3">
        <f t="shared" ref="AF2:AF385" si="11">IF(AC2=0, -W2, (W2*T2)-W2)</f>
        <v>-1</v>
      </c>
      <c r="AG2" s="3">
        <f t="shared" ref="AG2:AG385" si="12">if(AC2 = 1, ABS((AA2-G2)/G2), ABS((AA2-G2)/G2)*-1)</f>
        <v>-1</v>
      </c>
    </row>
    <row r="3">
      <c r="A3" s="1" t="s">
        <v>8</v>
      </c>
      <c r="B3" s="1" t="s">
        <v>204</v>
      </c>
      <c r="C3" s="1" t="s">
        <v>21</v>
      </c>
      <c r="D3" s="1" t="s">
        <v>105</v>
      </c>
      <c r="E3" s="1" t="s">
        <v>94</v>
      </c>
      <c r="F3" s="1" t="s">
        <v>647</v>
      </c>
      <c r="G3" s="1">
        <v>6.5</v>
      </c>
      <c r="H3" s="1" t="s">
        <v>60</v>
      </c>
      <c r="I3" s="1">
        <v>105.0</v>
      </c>
      <c r="J3" s="1">
        <v>-0.206549455134881</v>
      </c>
      <c r="K3" s="1" t="s">
        <v>61</v>
      </c>
      <c r="L3" s="1" t="s">
        <v>61</v>
      </c>
      <c r="M3" s="1" t="s">
        <v>62</v>
      </c>
      <c r="N3" s="1">
        <v>-138.0</v>
      </c>
      <c r="O3" s="1">
        <v>0.138918530842969</v>
      </c>
      <c r="P3" s="1" t="s">
        <v>61</v>
      </c>
      <c r="Q3" s="1" t="s">
        <v>61</v>
      </c>
      <c r="R3" s="1">
        <f t="shared" si="1"/>
        <v>0.1389185308</v>
      </c>
      <c r="S3" s="1">
        <f t="shared" si="2"/>
        <v>-138</v>
      </c>
      <c r="T3" s="1">
        <f t="shared" si="3"/>
        <v>1.724637681</v>
      </c>
      <c r="U3" s="1">
        <f t="shared" si="4"/>
        <v>0</v>
      </c>
      <c r="V3" s="3">
        <f t="shared" si="5"/>
        <v>3</v>
      </c>
      <c r="W3" s="3">
        <f t="shared" si="6"/>
        <v>3</v>
      </c>
      <c r="X3" s="3" t="str">
        <f>IFERROR(__xludf.DUMMYFUNCTION("split(B3,"" "")"),"K.")</f>
        <v>K.</v>
      </c>
      <c r="Y3" s="3" t="str">
        <f>IFERROR(__xludf.DUMMYFUNCTION("""COMPUTED_VALUE"""),"Murray")</f>
        <v>Murray</v>
      </c>
      <c r="AA3" s="8">
        <v>5.0</v>
      </c>
      <c r="AB3" s="3">
        <f t="shared" si="7"/>
        <v>0</v>
      </c>
      <c r="AC3" s="3">
        <f t="shared" si="8"/>
        <v>1</v>
      </c>
      <c r="AD3" s="3">
        <f t="shared" si="9"/>
        <v>2.173913043</v>
      </c>
      <c r="AE3" s="3">
        <f t="shared" si="10"/>
        <v>2.173913043</v>
      </c>
      <c r="AF3" s="3">
        <f t="shared" si="11"/>
        <v>2.173913043</v>
      </c>
      <c r="AG3" s="3">
        <f t="shared" si="12"/>
        <v>0.2307692308</v>
      </c>
    </row>
    <row r="4">
      <c r="A4" s="1" t="s">
        <v>12</v>
      </c>
      <c r="B4" s="1" t="s">
        <v>452</v>
      </c>
      <c r="C4" s="1" t="s">
        <v>18</v>
      </c>
      <c r="D4" s="1" t="s">
        <v>105</v>
      </c>
      <c r="E4" s="1" t="s">
        <v>94</v>
      </c>
      <c r="F4" s="1" t="s">
        <v>647</v>
      </c>
      <c r="G4" s="1">
        <v>3.5</v>
      </c>
      <c r="H4" s="1" t="s">
        <v>60</v>
      </c>
      <c r="I4" s="1">
        <v>-173.0</v>
      </c>
      <c r="J4" s="1">
        <v>-0.126826373626373</v>
      </c>
      <c r="K4" s="1" t="s">
        <v>61</v>
      </c>
      <c r="L4" s="1" t="s">
        <v>61</v>
      </c>
      <c r="M4" s="1" t="s">
        <v>62</v>
      </c>
      <c r="N4" s="1">
        <v>131.0</v>
      </c>
      <c r="O4" s="1">
        <v>0.0602129870129869</v>
      </c>
      <c r="P4" s="1" t="s">
        <v>61</v>
      </c>
      <c r="Q4" s="1" t="s">
        <v>61</v>
      </c>
      <c r="R4" s="1">
        <f t="shared" si="1"/>
        <v>0.06021298701</v>
      </c>
      <c r="S4" s="1">
        <f t="shared" si="2"/>
        <v>131</v>
      </c>
      <c r="T4" s="1">
        <f t="shared" si="3"/>
        <v>2.31</v>
      </c>
      <c r="U4" s="1">
        <f t="shared" si="4"/>
        <v>0</v>
      </c>
      <c r="V4" s="3">
        <f t="shared" si="5"/>
        <v>2</v>
      </c>
      <c r="W4" s="3">
        <f t="shared" si="6"/>
        <v>1</v>
      </c>
      <c r="X4" s="3" t="str">
        <f>IFERROR(__xludf.DUMMYFUNCTION("split(B4,"" "")"),"M.")</f>
        <v>M.</v>
      </c>
      <c r="Y4" s="3" t="str">
        <f>IFERROR(__xludf.DUMMYFUNCTION("""COMPUTED_VALUE"""),"Harrison")</f>
        <v>Harrison</v>
      </c>
      <c r="Z4" s="3" t="str">
        <f>IFERROR(__xludf.DUMMYFUNCTION("""COMPUTED_VALUE"""),"Jr.")</f>
        <v>Jr.</v>
      </c>
      <c r="AA4" s="8">
        <v>6.0</v>
      </c>
      <c r="AB4" s="3">
        <f t="shared" si="7"/>
        <v>1</v>
      </c>
      <c r="AC4" s="3">
        <f t="shared" si="8"/>
        <v>0</v>
      </c>
      <c r="AD4" s="3">
        <f t="shared" si="9"/>
        <v>2.62</v>
      </c>
      <c r="AE4" s="3">
        <f t="shared" si="10"/>
        <v>-2</v>
      </c>
      <c r="AF4" s="3">
        <f t="shared" si="11"/>
        <v>-1</v>
      </c>
      <c r="AG4" s="3">
        <f t="shared" si="12"/>
        <v>-0.7142857143</v>
      </c>
      <c r="AH4" s="1" t="s">
        <v>18</v>
      </c>
      <c r="AI4" s="3">
        <f t="shared" ref="AI4:AI7" si="13">COUNTIFS(C:C, "="&amp;AH4, AC:AC, "=1")</f>
        <v>50</v>
      </c>
      <c r="AJ4" s="3">
        <f t="shared" ref="AJ4:AJ7" si="14">countif(C:C, "="&amp;AH4)</f>
        <v>112</v>
      </c>
      <c r="AK4" s="3">
        <f t="shared" ref="AK4:AK7" si="15">AI4/AJ4</f>
        <v>0.4464285714</v>
      </c>
    </row>
    <row r="5">
      <c r="A5" s="1" t="s">
        <v>10</v>
      </c>
      <c r="B5" s="1" t="s">
        <v>204</v>
      </c>
      <c r="C5" s="1" t="s">
        <v>21</v>
      </c>
      <c r="D5" s="1" t="s">
        <v>105</v>
      </c>
      <c r="E5" s="1" t="s">
        <v>94</v>
      </c>
      <c r="F5" s="1" t="s">
        <v>647</v>
      </c>
      <c r="G5" s="1">
        <v>33.5</v>
      </c>
      <c r="H5" s="1" t="s">
        <v>60</v>
      </c>
      <c r="I5" s="1">
        <v>-115.0</v>
      </c>
      <c r="J5" s="1">
        <v>-0.118921359728267</v>
      </c>
      <c r="K5" s="1" t="s">
        <v>61</v>
      </c>
      <c r="L5" s="1" t="s">
        <v>61</v>
      </c>
      <c r="M5" s="1" t="s">
        <v>62</v>
      </c>
      <c r="N5" s="1">
        <v>-114.0</v>
      </c>
      <c r="O5" s="1">
        <v>0.0513618937822347</v>
      </c>
      <c r="P5" s="1" t="s">
        <v>61</v>
      </c>
      <c r="Q5" s="1" t="s">
        <v>61</v>
      </c>
      <c r="R5" s="1">
        <f t="shared" si="1"/>
        <v>0.05136189378</v>
      </c>
      <c r="S5" s="1">
        <f t="shared" si="2"/>
        <v>-114</v>
      </c>
      <c r="T5" s="1">
        <f t="shared" si="3"/>
        <v>1.877192982</v>
      </c>
      <c r="U5" s="1">
        <f t="shared" si="4"/>
        <v>0</v>
      </c>
      <c r="V5" s="3">
        <f t="shared" si="5"/>
        <v>2</v>
      </c>
      <c r="W5" s="3">
        <f t="shared" si="6"/>
        <v>2</v>
      </c>
      <c r="X5" s="3" t="str">
        <f>IFERROR(__xludf.DUMMYFUNCTION("split(B5,"" "")"),"K.")</f>
        <v>K.</v>
      </c>
      <c r="Y5" s="3" t="str">
        <f>IFERROR(__xludf.DUMMYFUNCTION("""COMPUTED_VALUE"""),"Murray")</f>
        <v>Murray</v>
      </c>
      <c r="AA5" s="8">
        <v>19.0</v>
      </c>
      <c r="AB5" s="3">
        <f t="shared" si="7"/>
        <v>0</v>
      </c>
      <c r="AC5" s="3">
        <f t="shared" si="8"/>
        <v>1</v>
      </c>
      <c r="AD5" s="3">
        <f t="shared" si="9"/>
        <v>1.754385965</v>
      </c>
      <c r="AE5" s="3">
        <f t="shared" si="10"/>
        <v>1.754385965</v>
      </c>
      <c r="AF5" s="3">
        <f t="shared" si="11"/>
        <v>1.754385965</v>
      </c>
      <c r="AG5" s="3">
        <f t="shared" si="12"/>
        <v>0.4328358209</v>
      </c>
      <c r="AH5" s="1" t="s">
        <v>19</v>
      </c>
      <c r="AI5" s="3">
        <f t="shared" si="13"/>
        <v>58</v>
      </c>
      <c r="AJ5" s="3">
        <f t="shared" si="14"/>
        <v>114</v>
      </c>
      <c r="AK5" s="3">
        <f t="shared" si="15"/>
        <v>0.5087719298</v>
      </c>
    </row>
    <row r="6">
      <c r="A6" s="1" t="s">
        <v>12</v>
      </c>
      <c r="B6" s="1" t="s">
        <v>349</v>
      </c>
      <c r="C6" s="1" t="s">
        <v>20</v>
      </c>
      <c r="D6" s="1" t="s">
        <v>105</v>
      </c>
      <c r="E6" s="1" t="s">
        <v>94</v>
      </c>
      <c r="F6" s="1" t="s">
        <v>647</v>
      </c>
      <c r="G6" s="1">
        <v>5.5</v>
      </c>
      <c r="H6" s="1" t="s">
        <v>60</v>
      </c>
      <c r="I6" s="1">
        <v>105.0</v>
      </c>
      <c r="J6" s="1">
        <v>0.0430951219512194</v>
      </c>
      <c r="K6" s="1" t="s">
        <v>61</v>
      </c>
      <c r="L6" s="1" t="s">
        <v>61</v>
      </c>
      <c r="M6" s="1" t="s">
        <v>62</v>
      </c>
      <c r="N6" s="1">
        <v>-138.0</v>
      </c>
      <c r="O6" s="1">
        <v>-0.110731932773109</v>
      </c>
      <c r="P6" s="1" t="s">
        <v>61</v>
      </c>
      <c r="Q6" s="1" t="s">
        <v>61</v>
      </c>
      <c r="R6" s="1">
        <f t="shared" si="1"/>
        <v>0.04309512195</v>
      </c>
      <c r="S6" s="1">
        <f t="shared" si="2"/>
        <v>105</v>
      </c>
      <c r="T6" s="1">
        <f t="shared" si="3"/>
        <v>2.05</v>
      </c>
      <c r="U6" s="1">
        <f t="shared" si="4"/>
        <v>1</v>
      </c>
      <c r="V6" s="3">
        <f t="shared" si="5"/>
        <v>1</v>
      </c>
      <c r="W6" s="3">
        <f t="shared" si="6"/>
        <v>2</v>
      </c>
      <c r="X6" s="3" t="str">
        <f>IFERROR(__xludf.DUMMYFUNCTION("split(B6,"" "")"),"T.")</f>
        <v>T.</v>
      </c>
      <c r="Y6" s="3" t="str">
        <f>IFERROR(__xludf.DUMMYFUNCTION("""COMPUTED_VALUE"""),"McBride")</f>
        <v>McBride</v>
      </c>
      <c r="AA6" s="8">
        <v>9.0</v>
      </c>
      <c r="AB6" s="3">
        <f t="shared" si="7"/>
        <v>1</v>
      </c>
      <c r="AC6" s="3">
        <f t="shared" si="8"/>
        <v>1</v>
      </c>
      <c r="AD6" s="3">
        <f t="shared" si="9"/>
        <v>1.05</v>
      </c>
      <c r="AE6" s="3">
        <f t="shared" si="10"/>
        <v>1.05</v>
      </c>
      <c r="AF6" s="3">
        <f t="shared" si="11"/>
        <v>2.1</v>
      </c>
      <c r="AG6" s="3">
        <f t="shared" si="12"/>
        <v>0.6363636364</v>
      </c>
      <c r="AH6" s="1" t="s">
        <v>20</v>
      </c>
      <c r="AI6" s="3">
        <f t="shared" si="13"/>
        <v>20</v>
      </c>
      <c r="AJ6" s="3">
        <f t="shared" si="14"/>
        <v>37</v>
      </c>
      <c r="AK6" s="3">
        <f t="shared" si="15"/>
        <v>0.5405405405</v>
      </c>
    </row>
    <row r="7">
      <c r="A7" s="1" t="s">
        <v>9</v>
      </c>
      <c r="B7" s="1" t="s">
        <v>345</v>
      </c>
      <c r="C7" s="1" t="s">
        <v>19</v>
      </c>
      <c r="D7" s="1" t="s">
        <v>105</v>
      </c>
      <c r="E7" s="1" t="s">
        <v>94</v>
      </c>
      <c r="F7" s="1" t="s">
        <v>647</v>
      </c>
      <c r="G7" s="1">
        <v>84.5</v>
      </c>
      <c r="H7" s="1" t="s">
        <v>60</v>
      </c>
      <c r="I7" s="1">
        <v>-115.0</v>
      </c>
      <c r="J7" s="1">
        <v>-0.116360806473038</v>
      </c>
      <c r="K7" s="1" t="s">
        <v>61</v>
      </c>
      <c r="L7" s="1" t="s">
        <v>61</v>
      </c>
      <c r="M7" s="1" t="s">
        <v>62</v>
      </c>
      <c r="N7" s="1">
        <v>-117.0</v>
      </c>
      <c r="O7" s="1">
        <v>0.042334773586603</v>
      </c>
      <c r="P7" s="1" t="s">
        <v>61</v>
      </c>
      <c r="Q7" s="1" t="s">
        <v>61</v>
      </c>
      <c r="R7" s="1">
        <f t="shared" si="1"/>
        <v>0.04233477359</v>
      </c>
      <c r="S7" s="1">
        <f t="shared" si="2"/>
        <v>-117</v>
      </c>
      <c r="T7" s="1">
        <f t="shared" si="3"/>
        <v>1.854700855</v>
      </c>
      <c r="U7" s="1">
        <f t="shared" si="4"/>
        <v>0</v>
      </c>
      <c r="V7" s="3">
        <f t="shared" si="5"/>
        <v>1</v>
      </c>
      <c r="W7" s="3">
        <f t="shared" si="6"/>
        <v>2</v>
      </c>
      <c r="X7" s="3" t="str">
        <f>IFERROR(__xludf.DUMMYFUNCTION("split(B7,"" "")"),"J.")</f>
        <v>J.</v>
      </c>
      <c r="Y7" s="3" t="str">
        <f>IFERROR(__xludf.DUMMYFUNCTION("""COMPUTED_VALUE"""),"Conner")</f>
        <v>Conner</v>
      </c>
      <c r="AA7" s="8">
        <v>69.0</v>
      </c>
      <c r="AB7" s="3">
        <f t="shared" si="7"/>
        <v>0</v>
      </c>
      <c r="AC7" s="3">
        <f t="shared" si="8"/>
        <v>1</v>
      </c>
      <c r="AD7" s="3">
        <f t="shared" si="9"/>
        <v>0.8547008547</v>
      </c>
      <c r="AE7" s="3">
        <f t="shared" si="10"/>
        <v>0.8547008547</v>
      </c>
      <c r="AF7" s="3">
        <f t="shared" si="11"/>
        <v>1.709401709</v>
      </c>
      <c r="AG7" s="3">
        <f t="shared" si="12"/>
        <v>0.1834319527</v>
      </c>
      <c r="AH7" s="1" t="s">
        <v>21</v>
      </c>
      <c r="AI7" s="3">
        <f t="shared" si="13"/>
        <v>70</v>
      </c>
      <c r="AJ7" s="3">
        <f t="shared" si="14"/>
        <v>121</v>
      </c>
      <c r="AK7" s="3">
        <f t="shared" si="15"/>
        <v>0.5785123967</v>
      </c>
    </row>
    <row r="8">
      <c r="A8" s="1" t="s">
        <v>12</v>
      </c>
      <c r="B8" s="1" t="s">
        <v>345</v>
      </c>
      <c r="C8" s="1" t="s">
        <v>19</v>
      </c>
      <c r="D8" s="1" t="s">
        <v>105</v>
      </c>
      <c r="E8" s="1" t="s">
        <v>94</v>
      </c>
      <c r="F8" s="1" t="s">
        <v>647</v>
      </c>
      <c r="G8" s="1">
        <v>2.5</v>
      </c>
      <c r="H8" s="1" t="s">
        <v>60</v>
      </c>
      <c r="I8" s="1">
        <v>148.0</v>
      </c>
      <c r="J8" s="1">
        <v>-0.110679781395161</v>
      </c>
      <c r="K8" s="1" t="s">
        <v>61</v>
      </c>
      <c r="L8" s="1" t="s">
        <v>61</v>
      </c>
      <c r="M8" s="1" t="s">
        <v>62</v>
      </c>
      <c r="N8" s="1">
        <v>-199.0</v>
      </c>
      <c r="O8" s="1">
        <v>0.0419083560384615</v>
      </c>
      <c r="P8" s="1" t="s">
        <v>61</v>
      </c>
      <c r="Q8" s="1" t="s">
        <v>61</v>
      </c>
      <c r="R8" s="1">
        <f t="shared" si="1"/>
        <v>0.04190835604</v>
      </c>
      <c r="S8" s="1">
        <f t="shared" si="2"/>
        <v>-199</v>
      </c>
      <c r="T8" s="1">
        <f t="shared" si="3"/>
        <v>1.502512563</v>
      </c>
      <c r="U8" s="1">
        <f t="shared" si="4"/>
        <v>0</v>
      </c>
      <c r="V8" s="3">
        <f t="shared" si="5"/>
        <v>1</v>
      </c>
      <c r="W8" s="3">
        <f t="shared" si="6"/>
        <v>3</v>
      </c>
      <c r="X8" s="3" t="str">
        <f>IFERROR(__xludf.DUMMYFUNCTION("split(B8,"" "")"),"J.")</f>
        <v>J.</v>
      </c>
      <c r="Y8" s="3" t="str">
        <f>IFERROR(__xludf.DUMMYFUNCTION("""COMPUTED_VALUE"""),"Conner")</f>
        <v>Conner</v>
      </c>
      <c r="AA8" s="8">
        <v>2.0</v>
      </c>
      <c r="AB8" s="3">
        <f t="shared" si="7"/>
        <v>0</v>
      </c>
      <c r="AC8" s="3">
        <f t="shared" si="8"/>
        <v>1</v>
      </c>
      <c r="AD8" s="3">
        <f t="shared" si="9"/>
        <v>0.5025125628</v>
      </c>
      <c r="AE8" s="3">
        <f t="shared" si="10"/>
        <v>0.5025125628</v>
      </c>
      <c r="AF8" s="3">
        <f t="shared" si="11"/>
        <v>1.507537688</v>
      </c>
      <c r="AG8" s="3">
        <f t="shared" si="12"/>
        <v>0.2</v>
      </c>
    </row>
    <row r="9">
      <c r="A9" s="1" t="s">
        <v>10</v>
      </c>
      <c r="B9" s="1" t="s">
        <v>345</v>
      </c>
      <c r="C9" s="1" t="s">
        <v>19</v>
      </c>
      <c r="D9" s="1" t="s">
        <v>105</v>
      </c>
      <c r="E9" s="1" t="s">
        <v>94</v>
      </c>
      <c r="F9" s="1" t="s">
        <v>647</v>
      </c>
      <c r="G9" s="1">
        <v>70.5</v>
      </c>
      <c r="H9" s="1" t="s">
        <v>60</v>
      </c>
      <c r="I9" s="1">
        <v>-115.0</v>
      </c>
      <c r="J9" s="1">
        <v>-0.0994411024102049</v>
      </c>
      <c r="K9" s="1" t="s">
        <v>61</v>
      </c>
      <c r="L9" s="1" t="s">
        <v>61</v>
      </c>
      <c r="M9" s="1" t="s">
        <v>62</v>
      </c>
      <c r="N9" s="1">
        <v>-114.0</v>
      </c>
      <c r="O9" s="1">
        <v>0.031825184589575</v>
      </c>
      <c r="P9" s="1" t="s">
        <v>61</v>
      </c>
      <c r="Q9" s="1" t="s">
        <v>61</v>
      </c>
      <c r="R9" s="1">
        <f t="shared" si="1"/>
        <v>0.03182518459</v>
      </c>
      <c r="S9" s="1">
        <f t="shared" si="2"/>
        <v>-114</v>
      </c>
      <c r="T9" s="1">
        <f t="shared" si="3"/>
        <v>1.877192982</v>
      </c>
      <c r="U9" s="1">
        <f t="shared" si="4"/>
        <v>0</v>
      </c>
      <c r="V9" s="3">
        <f t="shared" si="5"/>
        <v>1</v>
      </c>
      <c r="W9" s="3">
        <f t="shared" si="6"/>
        <v>2</v>
      </c>
      <c r="X9" s="3" t="str">
        <f>IFERROR(__xludf.DUMMYFUNCTION("split(B9,"" "")"),"J.")</f>
        <v>J.</v>
      </c>
      <c r="Y9" s="3" t="str">
        <f>IFERROR(__xludf.DUMMYFUNCTION("""COMPUTED_VALUE"""),"Conner")</f>
        <v>Conner</v>
      </c>
      <c r="AA9" s="8">
        <v>53.0</v>
      </c>
      <c r="AB9" s="3">
        <f t="shared" si="7"/>
        <v>0</v>
      </c>
      <c r="AC9" s="3">
        <f t="shared" si="8"/>
        <v>1</v>
      </c>
      <c r="AD9" s="3">
        <f t="shared" si="9"/>
        <v>0.8771929825</v>
      </c>
      <c r="AE9" s="3">
        <f t="shared" si="10"/>
        <v>0.8771929825</v>
      </c>
      <c r="AF9" s="3">
        <f t="shared" si="11"/>
        <v>1.754385965</v>
      </c>
      <c r="AG9" s="3">
        <f t="shared" si="12"/>
        <v>0.2482269504</v>
      </c>
    </row>
    <row r="10">
      <c r="A10" s="1" t="s">
        <v>11</v>
      </c>
      <c r="B10" s="1" t="s">
        <v>233</v>
      </c>
      <c r="C10" s="1" t="s">
        <v>18</v>
      </c>
      <c r="D10" s="1" t="s">
        <v>105</v>
      </c>
      <c r="E10" s="1" t="s">
        <v>94</v>
      </c>
      <c r="F10" s="1" t="s">
        <v>647</v>
      </c>
      <c r="G10" s="1">
        <v>32.5</v>
      </c>
      <c r="H10" s="1" t="s">
        <v>60</v>
      </c>
      <c r="I10" s="1">
        <v>-115.0</v>
      </c>
      <c r="J10" s="1">
        <v>-0.0965943946758142</v>
      </c>
      <c r="K10" s="1" t="s">
        <v>61</v>
      </c>
      <c r="L10" s="1" t="s">
        <v>61</v>
      </c>
      <c r="M10" s="1" t="s">
        <v>62</v>
      </c>
      <c r="N10" s="1">
        <v>-114.0</v>
      </c>
      <c r="O10" s="1">
        <v>0.0290303254135142</v>
      </c>
      <c r="P10" s="1" t="s">
        <v>61</v>
      </c>
      <c r="Q10" s="1" t="s">
        <v>61</v>
      </c>
      <c r="R10" s="1">
        <f t="shared" si="1"/>
        <v>0.02903032541</v>
      </c>
      <c r="S10" s="1">
        <f t="shared" si="2"/>
        <v>-114</v>
      </c>
      <c r="T10" s="1">
        <f t="shared" si="3"/>
        <v>1.877192982</v>
      </c>
      <c r="U10" s="1">
        <f t="shared" si="4"/>
        <v>0</v>
      </c>
      <c r="V10" s="3">
        <f t="shared" si="5"/>
        <v>1</v>
      </c>
      <c r="W10" s="3">
        <f t="shared" si="6"/>
        <v>2</v>
      </c>
      <c r="X10" s="3" t="str">
        <f>IFERROR(__xludf.DUMMYFUNCTION("split(B10,"" "")"),"M.")</f>
        <v>M.</v>
      </c>
      <c r="Y10" s="3" t="str">
        <f>IFERROR(__xludf.DUMMYFUNCTION("""COMPUTED_VALUE"""),"Wilson")</f>
        <v>Wilson</v>
      </c>
      <c r="AA10" s="8">
        <v>31.0</v>
      </c>
      <c r="AB10" s="3">
        <f t="shared" si="7"/>
        <v>0</v>
      </c>
      <c r="AC10" s="3">
        <f t="shared" si="8"/>
        <v>1</v>
      </c>
      <c r="AD10" s="3">
        <f t="shared" si="9"/>
        <v>0.8771929825</v>
      </c>
      <c r="AE10" s="3">
        <f t="shared" si="10"/>
        <v>0.8771929825</v>
      </c>
      <c r="AF10" s="3">
        <f t="shared" si="11"/>
        <v>1.754385965</v>
      </c>
      <c r="AG10" s="3">
        <f t="shared" si="12"/>
        <v>0.04615384615</v>
      </c>
    </row>
    <row r="11">
      <c r="A11" s="1" t="s">
        <v>8</v>
      </c>
      <c r="B11" s="1" t="s">
        <v>345</v>
      </c>
      <c r="C11" s="1" t="s">
        <v>19</v>
      </c>
      <c r="D11" s="1" t="s">
        <v>105</v>
      </c>
      <c r="E11" s="1" t="s">
        <v>94</v>
      </c>
      <c r="F11" s="1" t="s">
        <v>647</v>
      </c>
      <c r="G11" s="1">
        <v>16.5</v>
      </c>
      <c r="H11" s="1" t="s">
        <v>60</v>
      </c>
      <c r="I11" s="1">
        <v>-118.0</v>
      </c>
      <c r="J11" s="1">
        <v>-0.0895001186697247</v>
      </c>
      <c r="K11" s="1" t="s">
        <v>61</v>
      </c>
      <c r="L11" s="1" t="s">
        <v>61</v>
      </c>
      <c r="M11" s="1" t="s">
        <v>62</v>
      </c>
      <c r="N11" s="1">
        <v>-113.0</v>
      </c>
      <c r="O11" s="1">
        <v>0.0176704377140844</v>
      </c>
      <c r="P11" s="1" t="s">
        <v>61</v>
      </c>
      <c r="Q11" s="1" t="s">
        <v>61</v>
      </c>
      <c r="R11" s="1">
        <f t="shared" si="1"/>
        <v>0.01767043771</v>
      </c>
      <c r="S11" s="1">
        <f t="shared" si="2"/>
        <v>-113</v>
      </c>
      <c r="T11" s="1">
        <f t="shared" si="3"/>
        <v>1.884955752</v>
      </c>
      <c r="U11" s="1">
        <f t="shared" si="4"/>
        <v>0</v>
      </c>
      <c r="V11" s="3">
        <f t="shared" si="5"/>
        <v>1</v>
      </c>
      <c r="W11" s="3">
        <f t="shared" si="6"/>
        <v>2</v>
      </c>
      <c r="X11" s="3" t="str">
        <f>IFERROR(__xludf.DUMMYFUNCTION("split(B11,"" "")"),"J.")</f>
        <v>J.</v>
      </c>
      <c r="Y11" s="3" t="str">
        <f>IFERROR(__xludf.DUMMYFUNCTION("""COMPUTED_VALUE"""),"Conner")</f>
        <v>Conner</v>
      </c>
      <c r="AA11" s="8">
        <v>20.0</v>
      </c>
      <c r="AB11" s="3">
        <f t="shared" si="7"/>
        <v>1</v>
      </c>
      <c r="AC11" s="3">
        <f t="shared" si="8"/>
        <v>0</v>
      </c>
      <c r="AD11" s="3">
        <f t="shared" si="9"/>
        <v>0.8849557522</v>
      </c>
      <c r="AE11" s="3">
        <f t="shared" si="10"/>
        <v>-1</v>
      </c>
      <c r="AF11" s="3">
        <f t="shared" si="11"/>
        <v>-2</v>
      </c>
      <c r="AG11" s="3">
        <f t="shared" si="12"/>
        <v>-0.2121212121</v>
      </c>
      <c r="AH11" s="1" t="s">
        <v>209</v>
      </c>
      <c r="AI11" s="3">
        <f>COUNTIFs(AC:AC, "=1", AB:AB, "=0")</f>
        <v>142</v>
      </c>
      <c r="AJ11" s="3">
        <f>countif(AB:AB, "=0")</f>
        <v>192</v>
      </c>
      <c r="AK11" s="3">
        <f t="shared" ref="AK11:AK12" si="16">AI11/AJ11</f>
        <v>0.7395833333</v>
      </c>
      <c r="AL11" s="3">
        <f>sumifs(AE:AE,U:U, "=0")</f>
        <v>-6.186795398</v>
      </c>
    </row>
    <row r="12">
      <c r="A12" s="1" t="s">
        <v>16</v>
      </c>
      <c r="B12" s="1" t="s">
        <v>204</v>
      </c>
      <c r="C12" s="1" t="s">
        <v>21</v>
      </c>
      <c r="D12" s="1" t="s">
        <v>105</v>
      </c>
      <c r="E12" s="1" t="s">
        <v>94</v>
      </c>
      <c r="F12" s="1" t="s">
        <v>647</v>
      </c>
      <c r="G12" s="1">
        <v>31.5</v>
      </c>
      <c r="H12" s="1" t="s">
        <v>60</v>
      </c>
      <c r="I12" s="1">
        <v>-105.0</v>
      </c>
      <c r="J12" s="1">
        <v>-0.082241987804878</v>
      </c>
      <c r="K12" s="1" t="s">
        <v>61</v>
      </c>
      <c r="L12" s="1" t="s">
        <v>61</v>
      </c>
      <c r="M12" s="1" t="s">
        <v>62</v>
      </c>
      <c r="N12" s="1">
        <v>-125.0</v>
      </c>
      <c r="O12" s="1">
        <v>0.0144839305555555</v>
      </c>
      <c r="P12" s="1" t="s">
        <v>61</v>
      </c>
      <c r="Q12" s="1" t="s">
        <v>61</v>
      </c>
      <c r="R12" s="1">
        <f t="shared" si="1"/>
        <v>0.01448393056</v>
      </c>
      <c r="S12" s="1">
        <f t="shared" si="2"/>
        <v>-125</v>
      </c>
      <c r="T12" s="1">
        <f t="shared" si="3"/>
        <v>1.8</v>
      </c>
      <c r="U12" s="1">
        <f t="shared" si="4"/>
        <v>0</v>
      </c>
      <c r="V12" s="3">
        <f t="shared" si="5"/>
        <v>1</v>
      </c>
      <c r="W12" s="3">
        <f t="shared" si="6"/>
        <v>3</v>
      </c>
      <c r="X12" s="3" t="str">
        <f>IFERROR(__xludf.DUMMYFUNCTION("split(B12,"" "")"),"K.")</f>
        <v>K.</v>
      </c>
      <c r="Y12" s="3" t="str">
        <f>IFERROR(__xludf.DUMMYFUNCTION("""COMPUTED_VALUE"""),"Murray")</f>
        <v>Murray</v>
      </c>
      <c r="AA12" s="8">
        <v>36.0</v>
      </c>
      <c r="AB12" s="3">
        <f t="shared" si="7"/>
        <v>1</v>
      </c>
      <c r="AC12" s="3">
        <f t="shared" si="8"/>
        <v>0</v>
      </c>
      <c r="AD12" s="3">
        <f t="shared" si="9"/>
        <v>0.8</v>
      </c>
      <c r="AE12" s="3">
        <f t="shared" si="10"/>
        <v>-1</v>
      </c>
      <c r="AF12" s="3">
        <f t="shared" si="11"/>
        <v>-3</v>
      </c>
      <c r="AG12" s="3">
        <f t="shared" si="12"/>
        <v>-0.1428571429</v>
      </c>
      <c r="AH12" s="1" t="s">
        <v>206</v>
      </c>
      <c r="AI12" s="3">
        <f>COUNTIFs(AC:AC, "=1", AB:AB, "=1")</f>
        <v>56</v>
      </c>
      <c r="AJ12" s="3">
        <f>countif(AB:AB, "=1")</f>
        <v>192</v>
      </c>
      <c r="AK12" s="3">
        <f t="shared" si="16"/>
        <v>0.2916666667</v>
      </c>
      <c r="AL12" s="3">
        <f>sumifs(AE:AE,U:U, "=1")</f>
        <v>13.89489172</v>
      </c>
    </row>
    <row r="13">
      <c r="A13" s="1" t="s">
        <v>11</v>
      </c>
      <c r="B13" s="1" t="s">
        <v>349</v>
      </c>
      <c r="C13" s="1" t="s">
        <v>20</v>
      </c>
      <c r="D13" s="1" t="s">
        <v>105</v>
      </c>
      <c r="E13" s="1" t="s">
        <v>94</v>
      </c>
      <c r="F13" s="1" t="s">
        <v>647</v>
      </c>
      <c r="G13" s="1">
        <v>51.5</v>
      </c>
      <c r="H13" s="1" t="s">
        <v>60</v>
      </c>
      <c r="I13" s="1">
        <v>-114.0</v>
      </c>
      <c r="J13" s="1">
        <v>-0.0838638081775795</v>
      </c>
      <c r="K13" s="1" t="s">
        <v>61</v>
      </c>
      <c r="L13" s="1" t="s">
        <v>61</v>
      </c>
      <c r="M13" s="1" t="s">
        <v>62</v>
      </c>
      <c r="N13" s="1">
        <v>-116.0</v>
      </c>
      <c r="O13" s="1">
        <v>0.0141091896173148</v>
      </c>
      <c r="P13" s="1" t="s">
        <v>61</v>
      </c>
      <c r="Q13" s="1" t="s">
        <v>61</v>
      </c>
      <c r="R13" s="1">
        <f t="shared" si="1"/>
        <v>0.01410918962</v>
      </c>
      <c r="S13" s="1">
        <f t="shared" si="2"/>
        <v>-116</v>
      </c>
      <c r="T13" s="1">
        <f t="shared" si="3"/>
        <v>1.862068966</v>
      </c>
      <c r="U13" s="1">
        <f t="shared" si="4"/>
        <v>0</v>
      </c>
      <c r="V13" s="3">
        <f t="shared" si="5"/>
        <v>1</v>
      </c>
      <c r="W13" s="3">
        <f t="shared" si="6"/>
        <v>2</v>
      </c>
      <c r="X13" s="3" t="str">
        <f>IFERROR(__xludf.DUMMYFUNCTION("split(B13,"" "")"),"T.")</f>
        <v>T.</v>
      </c>
      <c r="Y13" s="3" t="str">
        <f>IFERROR(__xludf.DUMMYFUNCTION("""COMPUTED_VALUE"""),"McBride")</f>
        <v>McBride</v>
      </c>
      <c r="AA13" s="8">
        <v>124.0</v>
      </c>
      <c r="AB13" s="3">
        <f t="shared" si="7"/>
        <v>1</v>
      </c>
      <c r="AC13" s="3">
        <f t="shared" si="8"/>
        <v>0</v>
      </c>
      <c r="AD13" s="3">
        <f t="shared" si="9"/>
        <v>0.8620689655</v>
      </c>
      <c r="AE13" s="3">
        <f t="shared" si="10"/>
        <v>-1</v>
      </c>
      <c r="AF13" s="3">
        <f t="shared" si="11"/>
        <v>-2</v>
      </c>
      <c r="AG13" s="3">
        <f t="shared" si="12"/>
        <v>-1.40776699</v>
      </c>
    </row>
    <row r="14">
      <c r="A14" s="1" t="s">
        <v>17</v>
      </c>
      <c r="B14" s="1" t="s">
        <v>204</v>
      </c>
      <c r="C14" s="1" t="s">
        <v>21</v>
      </c>
      <c r="D14" s="1" t="s">
        <v>105</v>
      </c>
      <c r="E14" s="1" t="s">
        <v>94</v>
      </c>
      <c r="F14" s="1" t="s">
        <v>647</v>
      </c>
      <c r="G14" s="1">
        <v>0.5</v>
      </c>
      <c r="H14" s="1" t="s">
        <v>60</v>
      </c>
      <c r="I14" s="1">
        <v>-102.0</v>
      </c>
      <c r="J14" s="1">
        <v>-0.0687504950495048</v>
      </c>
      <c r="K14" s="1" t="s">
        <v>61</v>
      </c>
      <c r="L14" s="1" t="s">
        <v>61</v>
      </c>
      <c r="M14" s="1" t="s">
        <v>62</v>
      </c>
      <c r="N14" s="1">
        <v>-127.0</v>
      </c>
      <c r="O14" s="1">
        <v>0.00432863436123354</v>
      </c>
      <c r="P14" s="1" t="s">
        <v>61</v>
      </c>
      <c r="Q14" s="1" t="s">
        <v>61</v>
      </c>
      <c r="R14" s="1">
        <f t="shared" si="1"/>
        <v>0.004328634361</v>
      </c>
      <c r="S14" s="1">
        <f t="shared" si="2"/>
        <v>-127</v>
      </c>
      <c r="T14" s="1">
        <f t="shared" si="3"/>
        <v>1.787401575</v>
      </c>
      <c r="U14" s="1">
        <f t="shared" si="4"/>
        <v>0</v>
      </c>
      <c r="V14" s="3">
        <f t="shared" si="5"/>
        <v>1</v>
      </c>
      <c r="W14" s="3">
        <f t="shared" si="6"/>
        <v>3</v>
      </c>
      <c r="X14" s="3" t="str">
        <f>IFERROR(__xludf.DUMMYFUNCTION("split(B14,"" "")"),"K.")</f>
        <v>K.</v>
      </c>
      <c r="Y14" s="3" t="str">
        <f>IFERROR(__xludf.DUMMYFUNCTION("""COMPUTED_VALUE"""),"Murray")</f>
        <v>Murray</v>
      </c>
      <c r="AA14" s="8">
        <v>0.0</v>
      </c>
      <c r="AB14" s="3">
        <f t="shared" si="7"/>
        <v>0</v>
      </c>
      <c r="AC14" s="3">
        <f t="shared" si="8"/>
        <v>1</v>
      </c>
      <c r="AD14" s="3">
        <f t="shared" si="9"/>
        <v>0.7874015748</v>
      </c>
      <c r="AE14" s="3">
        <f t="shared" si="10"/>
        <v>0.7874015748</v>
      </c>
      <c r="AF14" s="3">
        <f t="shared" si="11"/>
        <v>2.362204724</v>
      </c>
      <c r="AG14" s="3">
        <f t="shared" si="12"/>
        <v>1</v>
      </c>
    </row>
    <row r="15">
      <c r="A15" s="1" t="s">
        <v>11</v>
      </c>
      <c r="B15" s="1" t="s">
        <v>345</v>
      </c>
      <c r="C15" s="1" t="s">
        <v>19</v>
      </c>
      <c r="D15" s="1" t="s">
        <v>105</v>
      </c>
      <c r="E15" s="1" t="s">
        <v>94</v>
      </c>
      <c r="F15" s="1" t="s">
        <v>647</v>
      </c>
      <c r="G15" s="1">
        <v>10.5</v>
      </c>
      <c r="H15" s="1" t="s">
        <v>60</v>
      </c>
      <c r="I15" s="1">
        <v>-113.0</v>
      </c>
      <c r="J15" s="1">
        <v>0.00402647237149278</v>
      </c>
      <c r="K15" s="1" t="s">
        <v>61</v>
      </c>
      <c r="L15" s="1" t="s">
        <v>61</v>
      </c>
      <c r="M15" s="1" t="s">
        <v>62</v>
      </c>
      <c r="N15" s="1">
        <v>-116.0</v>
      </c>
      <c r="O15" s="1">
        <v>-0.0715573370071687</v>
      </c>
      <c r="P15" s="1" t="s">
        <v>61</v>
      </c>
      <c r="Q15" s="1" t="s">
        <v>61</v>
      </c>
      <c r="R15" s="1">
        <f t="shared" si="1"/>
        <v>0.004026472371</v>
      </c>
      <c r="S15" s="1">
        <f t="shared" si="2"/>
        <v>-113</v>
      </c>
      <c r="T15" s="1">
        <f t="shared" si="3"/>
        <v>1.884955752</v>
      </c>
      <c r="U15" s="1">
        <f t="shared" si="4"/>
        <v>1</v>
      </c>
      <c r="V15" s="3">
        <f t="shared" si="5"/>
        <v>1</v>
      </c>
      <c r="W15" s="3">
        <f t="shared" si="6"/>
        <v>2</v>
      </c>
      <c r="X15" s="3" t="str">
        <f>IFERROR(__xludf.DUMMYFUNCTION("split(B15,"" "")"),"J.")</f>
        <v>J.</v>
      </c>
      <c r="Y15" s="3" t="str">
        <f>IFERROR(__xludf.DUMMYFUNCTION("""COMPUTED_VALUE"""),"Conner")</f>
        <v>Conner</v>
      </c>
      <c r="AA15" s="8">
        <v>16.0</v>
      </c>
      <c r="AB15" s="3">
        <f t="shared" si="7"/>
        <v>1</v>
      </c>
      <c r="AC15" s="3">
        <f t="shared" si="8"/>
        <v>1</v>
      </c>
      <c r="AD15" s="3">
        <f t="shared" si="9"/>
        <v>0.8849557522</v>
      </c>
      <c r="AE15" s="3">
        <f t="shared" si="10"/>
        <v>0.8849557522</v>
      </c>
      <c r="AF15" s="3">
        <f t="shared" si="11"/>
        <v>1.769911504</v>
      </c>
      <c r="AG15" s="3">
        <f t="shared" si="12"/>
        <v>0.5238095238</v>
      </c>
      <c r="AH15" s="1" t="s">
        <v>216</v>
      </c>
      <c r="AI15" s="3">
        <f>COUNTIFS(AC:AC, "=1",V:V, "=1")/COUNTIF(V:V, "=1")</f>
        <v>0.5454545455</v>
      </c>
      <c r="AJ15" s="3">
        <f>SUMIF(V:V, "=1", AE:AE)</f>
        <v>5.682053268</v>
      </c>
      <c r="AK15" s="3">
        <f>AVERAGEIF(V:V, "=1",T:T)</f>
        <v>1.89458094</v>
      </c>
      <c r="AL15" s="7">
        <f t="shared" ref="AL15:AL16" si="17">if(AK15&gt;2, (AK15-1)/100, (-100/(AK15-1)))</f>
        <v>-111.7841835</v>
      </c>
    </row>
    <row r="16">
      <c r="A16" s="1" t="s">
        <v>9</v>
      </c>
      <c r="B16" s="1" t="s">
        <v>233</v>
      </c>
      <c r="C16" s="1" t="s">
        <v>18</v>
      </c>
      <c r="D16" s="1" t="s">
        <v>105</v>
      </c>
      <c r="E16" s="1" t="s">
        <v>94</v>
      </c>
      <c r="F16" s="1" t="s">
        <v>647</v>
      </c>
      <c r="G16" s="1">
        <v>32.5</v>
      </c>
      <c r="H16" s="1" t="s">
        <v>60</v>
      </c>
      <c r="I16" s="1">
        <v>-120.0</v>
      </c>
      <c r="J16" s="1">
        <v>0.00355886315063891</v>
      </c>
      <c r="K16" s="1" t="s">
        <v>61</v>
      </c>
      <c r="L16" s="1" t="s">
        <v>61</v>
      </c>
      <c r="M16" s="1" t="s">
        <v>62</v>
      </c>
      <c r="N16" s="1">
        <v>-113.0</v>
      </c>
      <c r="O16" s="1">
        <v>-0.0795153679776939</v>
      </c>
      <c r="P16" s="1" t="s">
        <v>61</v>
      </c>
      <c r="Q16" s="1" t="s">
        <v>61</v>
      </c>
      <c r="R16" s="1">
        <f t="shared" si="1"/>
        <v>0.003558863151</v>
      </c>
      <c r="S16" s="1">
        <f t="shared" si="2"/>
        <v>-120</v>
      </c>
      <c r="T16" s="1">
        <f t="shared" si="3"/>
        <v>1.833333333</v>
      </c>
      <c r="U16" s="1">
        <f t="shared" si="4"/>
        <v>1</v>
      </c>
      <c r="V16" s="3">
        <f t="shared" si="5"/>
        <v>1</v>
      </c>
      <c r="W16" s="3">
        <f t="shared" si="6"/>
        <v>3</v>
      </c>
      <c r="X16" s="3" t="str">
        <f>IFERROR(__xludf.DUMMYFUNCTION("split(B16,"" "")"),"M.")</f>
        <v>M.</v>
      </c>
      <c r="Y16" s="3" t="str">
        <f>IFERROR(__xludf.DUMMYFUNCTION("""COMPUTED_VALUE"""),"Wilson")</f>
        <v>Wilson</v>
      </c>
      <c r="AA16" s="8">
        <v>31.0</v>
      </c>
      <c r="AB16" s="3">
        <f t="shared" si="7"/>
        <v>0</v>
      </c>
      <c r="AC16" s="3">
        <f t="shared" si="8"/>
        <v>0</v>
      </c>
      <c r="AD16" s="3">
        <f t="shared" si="9"/>
        <v>0.8333333333</v>
      </c>
      <c r="AE16" s="3">
        <f t="shared" si="10"/>
        <v>-1</v>
      </c>
      <c r="AF16" s="3">
        <f t="shared" si="11"/>
        <v>-3</v>
      </c>
      <c r="AG16" s="3">
        <f t="shared" si="12"/>
        <v>-0.04615384615</v>
      </c>
      <c r="AH16" s="1" t="s">
        <v>219</v>
      </c>
      <c r="AI16" s="3">
        <f>COUNTIFS(AC:AC, "=1",V:V, "=2")/COUNTIF(V:V, "=2")</f>
        <v>0.5058823529</v>
      </c>
      <c r="AJ16" s="3">
        <f>SUMIF(V:V, "=2", AE:AE)</f>
        <v>-3.395587334</v>
      </c>
      <c r="AK16" s="3">
        <f>AVERAGEIF(V:V, "=2",T:T)</f>
        <v>1.931435491</v>
      </c>
      <c r="AL16" s="7">
        <f t="shared" si="17"/>
        <v>-107.3611656</v>
      </c>
    </row>
    <row r="17">
      <c r="A17" s="1" t="s">
        <v>10</v>
      </c>
      <c r="B17" s="1" t="s">
        <v>501</v>
      </c>
      <c r="C17" s="1" t="s">
        <v>18</v>
      </c>
      <c r="D17" s="1" t="s">
        <v>109</v>
      </c>
      <c r="E17" s="1" t="s">
        <v>113</v>
      </c>
      <c r="F17" s="1" t="s">
        <v>647</v>
      </c>
      <c r="G17" s="1">
        <v>0.5</v>
      </c>
      <c r="H17" s="1" t="s">
        <v>60</v>
      </c>
      <c r="I17" s="1">
        <v>228.0</v>
      </c>
      <c r="J17" s="1">
        <v>0.307931186108138</v>
      </c>
      <c r="K17" s="1" t="s">
        <v>61</v>
      </c>
      <c r="L17" s="1" t="s">
        <v>61</v>
      </c>
      <c r="M17" s="1" t="s">
        <v>62</v>
      </c>
      <c r="N17" s="1">
        <v>-305.0</v>
      </c>
      <c r="O17" s="1">
        <v>-0.365863069723394</v>
      </c>
      <c r="P17" s="1" t="s">
        <v>61</v>
      </c>
      <c r="Q17" s="1" t="s">
        <v>61</v>
      </c>
      <c r="R17" s="1">
        <f t="shared" si="1"/>
        <v>0.3079311861</v>
      </c>
      <c r="S17" s="1">
        <f t="shared" si="2"/>
        <v>228</v>
      </c>
      <c r="T17" s="1">
        <f t="shared" si="3"/>
        <v>3.28</v>
      </c>
      <c r="U17" s="1">
        <f t="shared" si="4"/>
        <v>1</v>
      </c>
      <c r="V17" s="3">
        <f t="shared" si="5"/>
        <v>3</v>
      </c>
      <c r="W17" s="3">
        <f t="shared" si="6"/>
        <v>1</v>
      </c>
      <c r="X17" s="3" t="str">
        <f>IFERROR(__xludf.DUMMYFUNCTION("split(B17,"" "")"),"R.")</f>
        <v>R.</v>
      </c>
      <c r="Y17" s="3" t="str">
        <f>IFERROR(__xludf.DUMMYFUNCTION("""COMPUTED_VALUE"""),"McCloud")</f>
        <v>McCloud</v>
      </c>
      <c r="Z17" s="3" t="str">
        <f>IFERROR(__xludf.DUMMYFUNCTION("""COMPUTED_VALUE"""),"III")</f>
        <v>III</v>
      </c>
      <c r="AA17" s="8">
        <v>17.0</v>
      </c>
      <c r="AB17" s="3">
        <f t="shared" si="7"/>
        <v>1</v>
      </c>
      <c r="AC17" s="3">
        <f t="shared" si="8"/>
        <v>1</v>
      </c>
      <c r="AD17" s="3">
        <f t="shared" si="9"/>
        <v>6.84</v>
      </c>
      <c r="AE17" s="3">
        <f t="shared" si="10"/>
        <v>6.84</v>
      </c>
      <c r="AF17" s="3">
        <f t="shared" si="11"/>
        <v>2.28</v>
      </c>
      <c r="AG17" s="3">
        <f t="shared" si="12"/>
        <v>33</v>
      </c>
      <c r="AH17" s="1" t="s">
        <v>222</v>
      </c>
      <c r="AI17" s="3">
        <f>COUNTIFS(AC:AC, "=1",V:V, "=3")/COUNTIF(V:V, "=3")</f>
        <v>0.4555555556</v>
      </c>
      <c r="AJ17" s="3">
        <f>SUMIF(V:V, "=3", AE:AE)</f>
        <v>5.42163039</v>
      </c>
      <c r="AK17" s="3">
        <f>AVERAGEIF(V:V, "=3",T:T)</f>
        <v>2.585738354</v>
      </c>
      <c r="AL17" s="7">
        <f>if(AK17&gt;2, (AK17-1)*100, (-100/(AK17-1)))</f>
        <v>158.5738354</v>
      </c>
    </row>
    <row r="18">
      <c r="A18" s="1" t="s">
        <v>10</v>
      </c>
      <c r="B18" s="1" t="s">
        <v>328</v>
      </c>
      <c r="C18" s="1" t="s">
        <v>21</v>
      </c>
      <c r="D18" s="1" t="s">
        <v>109</v>
      </c>
      <c r="E18" s="1" t="s">
        <v>113</v>
      </c>
      <c r="F18" s="1" t="s">
        <v>647</v>
      </c>
      <c r="G18" s="1">
        <v>0.5</v>
      </c>
      <c r="H18" s="1" t="s">
        <v>60</v>
      </c>
      <c r="I18" s="1">
        <v>133.0</v>
      </c>
      <c r="J18" s="1">
        <v>0.220723541563205</v>
      </c>
      <c r="K18" s="1" t="s">
        <v>61</v>
      </c>
      <c r="L18" s="1" t="s">
        <v>61</v>
      </c>
      <c r="M18" s="1" t="s">
        <v>62</v>
      </c>
      <c r="N18" s="1">
        <v>-164.0</v>
      </c>
      <c r="O18" s="1">
        <v>-0.271120926471206</v>
      </c>
      <c r="P18" s="1" t="s">
        <v>61</v>
      </c>
      <c r="Q18" s="1" t="s">
        <v>61</v>
      </c>
      <c r="R18" s="1">
        <f t="shared" si="1"/>
        <v>0.2207235416</v>
      </c>
      <c r="S18" s="1">
        <f t="shared" si="2"/>
        <v>133</v>
      </c>
      <c r="T18" s="1">
        <f t="shared" si="3"/>
        <v>2.33</v>
      </c>
      <c r="U18" s="1">
        <f t="shared" si="4"/>
        <v>1</v>
      </c>
      <c r="V18" s="3">
        <f t="shared" si="5"/>
        <v>3</v>
      </c>
      <c r="W18" s="3">
        <f t="shared" si="6"/>
        <v>1</v>
      </c>
      <c r="X18" s="3" t="str">
        <f>IFERROR(__xludf.DUMMYFUNCTION("split(B18,"" "")"),"K.")</f>
        <v>K.</v>
      </c>
      <c r="Y18" s="3" t="str">
        <f>IFERROR(__xludf.DUMMYFUNCTION("""COMPUTED_VALUE"""),"Cousins")</f>
        <v>Cousins</v>
      </c>
      <c r="AA18" s="8">
        <v>16.0</v>
      </c>
      <c r="AB18" s="3">
        <f t="shared" si="7"/>
        <v>1</v>
      </c>
      <c r="AC18" s="3">
        <f t="shared" si="8"/>
        <v>1</v>
      </c>
      <c r="AD18" s="3">
        <f t="shared" si="9"/>
        <v>3.99</v>
      </c>
      <c r="AE18" s="3">
        <f t="shared" si="10"/>
        <v>3.99</v>
      </c>
      <c r="AF18" s="3">
        <f t="shared" si="11"/>
        <v>1.33</v>
      </c>
      <c r="AG18" s="3">
        <f t="shared" si="12"/>
        <v>31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</row>
    <row r="19">
      <c r="A19" s="1" t="s">
        <v>12</v>
      </c>
      <c r="B19" s="1" t="s">
        <v>108</v>
      </c>
      <c r="C19" s="1" t="s">
        <v>20</v>
      </c>
      <c r="D19" s="1" t="s">
        <v>109</v>
      </c>
      <c r="E19" s="1" t="s">
        <v>113</v>
      </c>
      <c r="F19" s="1" t="s">
        <v>647</v>
      </c>
      <c r="G19" s="1">
        <v>3.5</v>
      </c>
      <c r="H19" s="1" t="s">
        <v>60</v>
      </c>
      <c r="I19" s="1">
        <v>-148.0</v>
      </c>
      <c r="J19" s="1">
        <v>-0.201933870967742</v>
      </c>
      <c r="K19" s="1" t="s">
        <v>61</v>
      </c>
      <c r="L19" s="1" t="s">
        <v>61</v>
      </c>
      <c r="M19" s="1" t="s">
        <v>62</v>
      </c>
      <c r="N19" s="1">
        <v>114.0</v>
      </c>
      <c r="O19" s="1">
        <v>0.137863551401869</v>
      </c>
      <c r="P19" s="1" t="s">
        <v>61</v>
      </c>
      <c r="Q19" s="1" t="s">
        <v>61</v>
      </c>
      <c r="R19" s="1">
        <f t="shared" si="1"/>
        <v>0.1378635514</v>
      </c>
      <c r="S19" s="1">
        <f t="shared" si="2"/>
        <v>114</v>
      </c>
      <c r="T19" s="1">
        <f t="shared" si="3"/>
        <v>2.14</v>
      </c>
      <c r="U19" s="1">
        <f t="shared" si="4"/>
        <v>0</v>
      </c>
      <c r="V19" s="3">
        <f t="shared" si="5"/>
        <v>3</v>
      </c>
      <c r="W19" s="3">
        <f t="shared" si="6"/>
        <v>1</v>
      </c>
      <c r="X19" s="3" t="str">
        <f>IFERROR(__xludf.DUMMYFUNCTION("split(B19,"" "")"),"K.")</f>
        <v>K.</v>
      </c>
      <c r="Y19" s="3" t="str">
        <f>IFERROR(__xludf.DUMMYFUNCTION("""COMPUTED_VALUE"""),"Pitts")</f>
        <v>Pitts</v>
      </c>
      <c r="AA19" s="8">
        <v>4.0</v>
      </c>
      <c r="AB19" s="3">
        <f t="shared" si="7"/>
        <v>1</v>
      </c>
      <c r="AC19" s="3">
        <f t="shared" si="8"/>
        <v>0</v>
      </c>
      <c r="AD19" s="3">
        <f t="shared" si="9"/>
        <v>3.42</v>
      </c>
      <c r="AE19" s="3">
        <f t="shared" si="10"/>
        <v>-3</v>
      </c>
      <c r="AF19" s="3">
        <f t="shared" si="11"/>
        <v>-1</v>
      </c>
      <c r="AG19" s="3">
        <f t="shared" si="12"/>
        <v>-0.1428571429</v>
      </c>
      <c r="AH19" s="1" t="s">
        <v>8</v>
      </c>
      <c r="AI19" s="3">
        <f t="shared" ref="AI19:AI21" si="18">COUNTIFs(A:A, "=" &amp; AH19, AC:AC, "=1")</f>
        <v>24</v>
      </c>
      <c r="AJ19" s="3">
        <f t="shared" ref="AJ19:AJ21" si="19">countif(A:A, "=" &amp; AH19)</f>
        <v>44</v>
      </c>
      <c r="AK19" s="3">
        <f t="shared" ref="AK19:AK21" si="20">AI19/AJ19</f>
        <v>0.5454545455</v>
      </c>
      <c r="AL19" s="3">
        <f t="shared" ref="AL19:AL21" si="21">SUMIFS(AE:AE, A:A,"=" &amp; AH19,AC:AC, "=1")</f>
        <v>53.14923406</v>
      </c>
      <c r="AM19" s="3">
        <f t="shared" ref="AM19:AM21" si="22">SUMIFS(AE:AE, A:A,"=" &amp; AH19,AC:AC, "=0")</f>
        <v>-41</v>
      </c>
      <c r="AN19" s="3">
        <f t="shared" ref="AN19:AN21" si="23">AL19+AM19</f>
        <v>12.14923406</v>
      </c>
      <c r="AO19" s="4">
        <f t="shared" ref="AO19:AO21" si="24">IFERROR( countifs(A:A, "="&amp;AH19, U:U, "=1", AC:AC, "=1")/countifs(A:A, "="&amp;AH19, U:U, "=1"), 0)</f>
        <v>0.6666666667</v>
      </c>
      <c r="AP19" s="4">
        <f t="shared" ref="AP19:AP21" si="25">IFERROR( countifs(A:A, "="&amp;AH19, U:U, "=0", AC:AC, "=1")/countifs(A:A, "="&amp;AH19, U:U, "=0"), 0)</f>
        <v>0.5365853659</v>
      </c>
      <c r="AQ19" s="5">
        <f t="shared" ref="AQ19:AQ21" si="26">iferror(IFS(AND(AP19 &gt; 0.5, AO19 &gt; 0.5), 1, AND(AP19 &lt;= 0.5, AO19 &lt;= 0.5), -1), 0)
</f>
        <v>1</v>
      </c>
      <c r="AR19" s="5">
        <f t="shared" ref="AR19:AR21" si="27">if(AN19&lt;0, -1, 1)</f>
        <v>1</v>
      </c>
    </row>
    <row r="20">
      <c r="A20" s="1" t="s">
        <v>11</v>
      </c>
      <c r="B20" s="1" t="s">
        <v>202</v>
      </c>
      <c r="C20" s="1" t="s">
        <v>19</v>
      </c>
      <c r="D20" s="1" t="s">
        <v>109</v>
      </c>
      <c r="E20" s="1" t="s">
        <v>113</v>
      </c>
      <c r="F20" s="1" t="s">
        <v>647</v>
      </c>
      <c r="G20" s="1">
        <v>3.5</v>
      </c>
      <c r="H20" s="1" t="s">
        <v>60</v>
      </c>
      <c r="I20" s="1">
        <v>-114.0</v>
      </c>
      <c r="J20" s="1">
        <v>0.124234826523032</v>
      </c>
      <c r="K20" s="1" t="s">
        <v>61</v>
      </c>
      <c r="L20" s="1" t="s">
        <v>61</v>
      </c>
      <c r="M20" s="1" t="s">
        <v>62</v>
      </c>
      <c r="N20" s="1">
        <v>-114.0</v>
      </c>
      <c r="O20" s="1">
        <v>-0.189619702236257</v>
      </c>
      <c r="P20" s="1" t="s">
        <v>61</v>
      </c>
      <c r="Q20" s="1" t="s">
        <v>61</v>
      </c>
      <c r="R20" s="1">
        <f t="shared" si="1"/>
        <v>0.1242348265</v>
      </c>
      <c r="S20" s="1">
        <f t="shared" si="2"/>
        <v>-114</v>
      </c>
      <c r="T20" s="1">
        <f t="shared" si="3"/>
        <v>1.877192982</v>
      </c>
      <c r="U20" s="1">
        <f t="shared" si="4"/>
        <v>1</v>
      </c>
      <c r="V20" s="3">
        <f t="shared" si="5"/>
        <v>3</v>
      </c>
      <c r="W20" s="3">
        <f t="shared" si="6"/>
        <v>2</v>
      </c>
      <c r="X20" s="3" t="str">
        <f>IFERROR(__xludf.DUMMYFUNCTION("split(B20,"" "")"),"T.")</f>
        <v>T.</v>
      </c>
      <c r="Y20" s="3" t="str">
        <f>IFERROR(__xludf.DUMMYFUNCTION("""COMPUTED_VALUE"""),"Allgeier")</f>
        <v>Allgeier</v>
      </c>
      <c r="AA20" s="8">
        <v>0.0</v>
      </c>
      <c r="AB20" s="3">
        <f t="shared" si="7"/>
        <v>0</v>
      </c>
      <c r="AC20" s="3">
        <f t="shared" si="8"/>
        <v>0</v>
      </c>
      <c r="AD20" s="3">
        <f t="shared" si="9"/>
        <v>2.631578947</v>
      </c>
      <c r="AE20" s="3">
        <f t="shared" si="10"/>
        <v>-3</v>
      </c>
      <c r="AF20" s="3">
        <f t="shared" si="11"/>
        <v>-2</v>
      </c>
      <c r="AG20" s="3">
        <f t="shared" si="12"/>
        <v>-1</v>
      </c>
      <c r="AH20" s="1" t="s">
        <v>9</v>
      </c>
      <c r="AI20" s="3">
        <f t="shared" si="18"/>
        <v>33</v>
      </c>
      <c r="AJ20" s="3">
        <f t="shared" si="19"/>
        <v>47</v>
      </c>
      <c r="AK20" s="3">
        <f t="shared" si="20"/>
        <v>0.7021276596</v>
      </c>
      <c r="AL20" s="3">
        <f t="shared" si="21"/>
        <v>37.05778907</v>
      </c>
      <c r="AM20" s="3">
        <f t="shared" si="22"/>
        <v>-14</v>
      </c>
      <c r="AN20" s="3">
        <f t="shared" si="23"/>
        <v>23.05778907</v>
      </c>
      <c r="AO20" s="4">
        <f t="shared" si="24"/>
        <v>0.75</v>
      </c>
      <c r="AP20" s="4">
        <f t="shared" si="25"/>
        <v>0.652173913</v>
      </c>
      <c r="AQ20" s="5">
        <f t="shared" si="26"/>
        <v>1</v>
      </c>
      <c r="AR20" s="5">
        <f t="shared" si="27"/>
        <v>1</v>
      </c>
    </row>
    <row r="21">
      <c r="A21" s="1" t="s">
        <v>8</v>
      </c>
      <c r="B21" s="1" t="s">
        <v>202</v>
      </c>
      <c r="C21" s="1" t="s">
        <v>19</v>
      </c>
      <c r="D21" s="1" t="s">
        <v>109</v>
      </c>
      <c r="E21" s="1" t="s">
        <v>113</v>
      </c>
      <c r="F21" s="1" t="s">
        <v>647</v>
      </c>
      <c r="G21" s="1">
        <v>8.5</v>
      </c>
      <c r="H21" s="1" t="s">
        <v>60</v>
      </c>
      <c r="I21" s="1">
        <v>106.0</v>
      </c>
      <c r="J21" s="1">
        <v>-0.181076232234866</v>
      </c>
      <c r="K21" s="1" t="s">
        <v>61</v>
      </c>
      <c r="L21" s="1" t="s">
        <v>61</v>
      </c>
      <c r="M21" s="1" t="s">
        <v>62</v>
      </c>
      <c r="N21" s="1">
        <v>-140.0</v>
      </c>
      <c r="O21" s="1">
        <v>0.112297898492671</v>
      </c>
      <c r="P21" s="1" t="s">
        <v>61</v>
      </c>
      <c r="Q21" s="1" t="s">
        <v>61</v>
      </c>
      <c r="R21" s="1">
        <f t="shared" si="1"/>
        <v>0.1122978985</v>
      </c>
      <c r="S21" s="1">
        <f t="shared" si="2"/>
        <v>-140</v>
      </c>
      <c r="T21" s="1">
        <f t="shared" si="3"/>
        <v>1.714285714</v>
      </c>
      <c r="U21" s="1">
        <f t="shared" si="4"/>
        <v>0</v>
      </c>
      <c r="V21" s="3">
        <f t="shared" si="5"/>
        <v>3</v>
      </c>
      <c r="W21" s="3">
        <f t="shared" si="6"/>
        <v>3</v>
      </c>
      <c r="X21" s="3" t="str">
        <f>IFERROR(__xludf.DUMMYFUNCTION("split(B21,"" "")"),"T.")</f>
        <v>T.</v>
      </c>
      <c r="Y21" s="3" t="str">
        <f>IFERROR(__xludf.DUMMYFUNCTION("""COMPUTED_VALUE"""),"Allgeier")</f>
        <v>Allgeier</v>
      </c>
      <c r="AA21" s="8">
        <v>12.0</v>
      </c>
      <c r="AB21" s="3">
        <f t="shared" si="7"/>
        <v>1</v>
      </c>
      <c r="AC21" s="3">
        <f t="shared" si="8"/>
        <v>0</v>
      </c>
      <c r="AD21" s="3">
        <f t="shared" si="9"/>
        <v>2.142857143</v>
      </c>
      <c r="AE21" s="3">
        <f t="shared" si="10"/>
        <v>-3</v>
      </c>
      <c r="AF21" s="3">
        <f t="shared" si="11"/>
        <v>-3</v>
      </c>
      <c r="AG21" s="3">
        <f t="shared" si="12"/>
        <v>-0.4117647059</v>
      </c>
      <c r="AH21" s="1" t="s">
        <v>10</v>
      </c>
      <c r="AI21" s="3">
        <f t="shared" si="18"/>
        <v>29</v>
      </c>
      <c r="AJ21" s="3">
        <f t="shared" si="19"/>
        <v>60</v>
      </c>
      <c r="AK21" s="3">
        <f t="shared" si="20"/>
        <v>0.4833333333</v>
      </c>
      <c r="AL21" s="3">
        <f t="shared" si="21"/>
        <v>40.80245994</v>
      </c>
      <c r="AM21" s="3">
        <f t="shared" si="22"/>
        <v>-32</v>
      </c>
      <c r="AN21" s="3">
        <f t="shared" si="23"/>
        <v>8.802459937</v>
      </c>
      <c r="AO21" s="4">
        <f t="shared" si="24"/>
        <v>0.2105263158</v>
      </c>
      <c r="AP21" s="4">
        <f t="shared" si="25"/>
        <v>0.6097560976</v>
      </c>
      <c r="AQ21" s="5">
        <f t="shared" si="26"/>
        <v>0</v>
      </c>
      <c r="AR21" s="5">
        <f t="shared" si="27"/>
        <v>1</v>
      </c>
    </row>
    <row r="22">
      <c r="A22" s="1" t="s">
        <v>12</v>
      </c>
      <c r="B22" s="1" t="s">
        <v>202</v>
      </c>
      <c r="C22" s="1" t="s">
        <v>19</v>
      </c>
      <c r="D22" s="1" t="s">
        <v>109</v>
      </c>
      <c r="E22" s="1" t="s">
        <v>113</v>
      </c>
      <c r="F22" s="1" t="s">
        <v>647</v>
      </c>
      <c r="G22" s="1">
        <v>0.5</v>
      </c>
      <c r="H22" s="1" t="s">
        <v>60</v>
      </c>
      <c r="I22" s="1">
        <v>-215.0</v>
      </c>
      <c r="J22" s="1">
        <v>-0.146038061639682</v>
      </c>
      <c r="K22" s="1" t="s">
        <v>61</v>
      </c>
      <c r="L22" s="1" t="s">
        <v>61</v>
      </c>
      <c r="M22" s="1" t="s">
        <v>62</v>
      </c>
      <c r="N22" s="1">
        <v>160.0</v>
      </c>
      <c r="O22" s="1">
        <v>0.078882651601923</v>
      </c>
      <c r="P22" s="1" t="s">
        <v>61</v>
      </c>
      <c r="Q22" s="1" t="s">
        <v>61</v>
      </c>
      <c r="R22" s="1">
        <f t="shared" si="1"/>
        <v>0.0788826516</v>
      </c>
      <c r="S22" s="1">
        <f t="shared" si="2"/>
        <v>160</v>
      </c>
      <c r="T22" s="1">
        <f t="shared" si="3"/>
        <v>2.6</v>
      </c>
      <c r="U22" s="1">
        <f t="shared" si="4"/>
        <v>0</v>
      </c>
      <c r="V22" s="3">
        <f t="shared" si="5"/>
        <v>2</v>
      </c>
      <c r="W22" s="3">
        <f t="shared" si="6"/>
        <v>1</v>
      </c>
      <c r="X22" s="3" t="str">
        <f>IFERROR(__xludf.DUMMYFUNCTION("split(B22,"" "")"),"T.")</f>
        <v>T.</v>
      </c>
      <c r="Y22" s="3" t="str">
        <f>IFERROR(__xludf.DUMMYFUNCTION("""COMPUTED_VALUE"""),"Allgeier")</f>
        <v>Allgeier</v>
      </c>
      <c r="AA22" s="8">
        <v>0.0</v>
      </c>
      <c r="AB22" s="3">
        <f t="shared" si="7"/>
        <v>0</v>
      </c>
      <c r="AC22" s="3">
        <f t="shared" si="8"/>
        <v>1</v>
      </c>
      <c r="AD22" s="3">
        <f t="shared" si="9"/>
        <v>3.2</v>
      </c>
      <c r="AE22" s="3">
        <f t="shared" si="10"/>
        <v>3.2</v>
      </c>
      <c r="AF22" s="3">
        <f t="shared" si="11"/>
        <v>1.6</v>
      </c>
      <c r="AG22" s="3">
        <f t="shared" si="12"/>
        <v>1</v>
      </c>
      <c r="AO22" s="4"/>
      <c r="AP22" s="4"/>
      <c r="AQ22" s="5"/>
      <c r="AR22" s="5"/>
    </row>
    <row r="23">
      <c r="A23" s="1" t="s">
        <v>12</v>
      </c>
      <c r="B23" s="1" t="s">
        <v>501</v>
      </c>
      <c r="C23" s="1" t="s">
        <v>18</v>
      </c>
      <c r="D23" s="1" t="s">
        <v>109</v>
      </c>
      <c r="E23" s="1" t="s">
        <v>113</v>
      </c>
      <c r="F23" s="1" t="s">
        <v>647</v>
      </c>
      <c r="G23" s="1">
        <v>3.5</v>
      </c>
      <c r="H23" s="1" t="s">
        <v>60</v>
      </c>
      <c r="I23" s="1">
        <v>-113.0</v>
      </c>
      <c r="J23" s="1">
        <v>-0.13116338028169</v>
      </c>
      <c r="K23" s="1" t="s">
        <v>61</v>
      </c>
      <c r="L23" s="1" t="s">
        <v>61</v>
      </c>
      <c r="M23" s="1" t="s">
        <v>62</v>
      </c>
      <c r="N23" s="1">
        <v>-117.0</v>
      </c>
      <c r="O23" s="1">
        <v>0.0614834101382488</v>
      </c>
      <c r="P23" s="1" t="s">
        <v>61</v>
      </c>
      <c r="Q23" s="1" t="s">
        <v>61</v>
      </c>
      <c r="R23" s="1">
        <f t="shared" si="1"/>
        <v>0.06148341014</v>
      </c>
      <c r="S23" s="1">
        <f t="shared" si="2"/>
        <v>-117</v>
      </c>
      <c r="T23" s="1">
        <f t="shared" si="3"/>
        <v>1.854700855</v>
      </c>
      <c r="U23" s="1">
        <f t="shared" si="4"/>
        <v>0</v>
      </c>
      <c r="V23" s="3">
        <f t="shared" si="5"/>
        <v>2</v>
      </c>
      <c r="W23" s="3">
        <f t="shared" si="6"/>
        <v>2</v>
      </c>
      <c r="X23" s="3" t="str">
        <f>IFERROR(__xludf.DUMMYFUNCTION("split(B23,"" "")"),"R.")</f>
        <v>R.</v>
      </c>
      <c r="Y23" s="3" t="str">
        <f>IFERROR(__xludf.DUMMYFUNCTION("""COMPUTED_VALUE"""),"McCloud")</f>
        <v>McCloud</v>
      </c>
      <c r="Z23" s="3" t="str">
        <f>IFERROR(__xludf.DUMMYFUNCTION("""COMPUTED_VALUE"""),"III")</f>
        <v>III</v>
      </c>
      <c r="AA23" s="8">
        <v>3.0</v>
      </c>
      <c r="AB23" s="3">
        <f t="shared" si="7"/>
        <v>0</v>
      </c>
      <c r="AC23" s="3">
        <f t="shared" si="8"/>
        <v>1</v>
      </c>
      <c r="AD23" s="3">
        <f t="shared" si="9"/>
        <v>1.709401709</v>
      </c>
      <c r="AE23" s="3">
        <f t="shared" si="10"/>
        <v>1.709401709</v>
      </c>
      <c r="AF23" s="3">
        <f t="shared" si="11"/>
        <v>1.709401709</v>
      </c>
      <c r="AG23" s="3">
        <f t="shared" si="12"/>
        <v>0.1428571429</v>
      </c>
      <c r="AH23" s="1" t="s">
        <v>11</v>
      </c>
      <c r="AI23" s="3">
        <f t="shared" ref="AI23:AI24" si="28">COUNTIFs(A:A, "=" &amp; AH23, AC:AC, "=1")</f>
        <v>30</v>
      </c>
      <c r="AJ23" s="3">
        <f t="shared" ref="AJ23:AJ24" si="29">countif(A:A, "=" &amp; AH23)</f>
        <v>59</v>
      </c>
      <c r="AK23" s="3">
        <f t="shared" ref="AK23:AK24" si="30">AI23/AJ23</f>
        <v>0.5084745763</v>
      </c>
      <c r="AL23" s="3">
        <f t="shared" ref="AL23:AL24" si="31">SUMIFS(AE:AE, A:A,"=" &amp; AH23,AC:AC, "=1")</f>
        <v>29.67461466</v>
      </c>
      <c r="AM23" s="3">
        <f t="shared" ref="AM23:AM24" si="32">SUMIFS(AE:AE, A:A,"=" &amp; AH23,AC:AC, "=0")</f>
        <v>-38</v>
      </c>
      <c r="AN23" s="3">
        <f t="shared" ref="AN23:AN24" si="33">AL23+AM23</f>
        <v>-8.325385345</v>
      </c>
      <c r="AO23" s="4">
        <f t="shared" ref="AO23:AO24" si="34">IFERROR( countifs(A:A, "="&amp;AH23, U:U, "=1", AC:AC, "=1")/countifs(A:A, "="&amp;AH23, U:U, "=1"), 0)</f>
        <v>0.5</v>
      </c>
      <c r="AP23" s="4">
        <f t="shared" ref="AP23:AP24" si="35">IFERROR( countifs(A:A, "="&amp;AH23, U:U, "=0", AC:AC, "=1")/countifs(A:A, "="&amp;AH23, U:U, "=0"), 0)</f>
        <v>0.5106382979</v>
      </c>
      <c r="AQ23" s="5">
        <f t="shared" ref="AQ23:AQ24" si="36">iferror(IFS(AND(AP23 &gt; 0.5, AO23 &gt; 0.5), 1, AND(AP23 &lt;= 0.5, AO23 &lt;= 0.5), -1), 0)
</f>
        <v>0</v>
      </c>
      <c r="AR23" s="5">
        <f t="shared" ref="AR23:AR24" si="37">if(AN23&lt;0, -1, 1)</f>
        <v>-1</v>
      </c>
    </row>
    <row r="24">
      <c r="A24" s="1" t="s">
        <v>12</v>
      </c>
      <c r="B24" s="1" t="s">
        <v>499</v>
      </c>
      <c r="C24" s="1" t="s">
        <v>18</v>
      </c>
      <c r="D24" s="1" t="s">
        <v>109</v>
      </c>
      <c r="E24" s="1" t="s">
        <v>113</v>
      </c>
      <c r="F24" s="1" t="s">
        <v>647</v>
      </c>
      <c r="G24" s="1">
        <v>5.5</v>
      </c>
      <c r="H24" s="1" t="s">
        <v>60</v>
      </c>
      <c r="I24" s="1">
        <v>-127.0</v>
      </c>
      <c r="J24" s="1">
        <v>0.0401286343612334</v>
      </c>
      <c r="K24" s="1" t="s">
        <v>61</v>
      </c>
      <c r="L24" s="1" t="s">
        <v>61</v>
      </c>
      <c r="M24" s="1" t="s">
        <v>62</v>
      </c>
      <c r="N24" s="1">
        <v>-105.0</v>
      </c>
      <c r="O24" s="1">
        <v>-0.111795121951219</v>
      </c>
      <c r="P24" s="1" t="s">
        <v>61</v>
      </c>
      <c r="Q24" s="1" t="s">
        <v>61</v>
      </c>
      <c r="R24" s="1">
        <f t="shared" si="1"/>
        <v>0.04012863436</v>
      </c>
      <c r="S24" s="1">
        <f t="shared" si="2"/>
        <v>-127</v>
      </c>
      <c r="T24" s="1">
        <f t="shared" si="3"/>
        <v>1.787401575</v>
      </c>
      <c r="U24" s="1">
        <f t="shared" si="4"/>
        <v>1</v>
      </c>
      <c r="V24" s="3">
        <f t="shared" si="5"/>
        <v>1</v>
      </c>
      <c r="W24" s="3">
        <f t="shared" si="6"/>
        <v>3</v>
      </c>
      <c r="X24" s="3" t="str">
        <f>IFERROR(__xludf.DUMMYFUNCTION("split(B24,"" "")"),"D.")</f>
        <v>D.</v>
      </c>
      <c r="Y24" s="3" t="str">
        <f>IFERROR(__xludf.DUMMYFUNCTION("""COMPUTED_VALUE"""),"London")</f>
        <v>London</v>
      </c>
      <c r="AA24" s="8">
        <v>4.0</v>
      </c>
      <c r="AB24" s="3">
        <f t="shared" si="7"/>
        <v>0</v>
      </c>
      <c r="AC24" s="3">
        <f t="shared" si="8"/>
        <v>0</v>
      </c>
      <c r="AD24" s="3">
        <f t="shared" si="9"/>
        <v>0.7874015748</v>
      </c>
      <c r="AE24" s="3">
        <f t="shared" si="10"/>
        <v>-1</v>
      </c>
      <c r="AF24" s="3">
        <f t="shared" si="11"/>
        <v>-3</v>
      </c>
      <c r="AG24" s="3">
        <f t="shared" si="12"/>
        <v>-0.2727272727</v>
      </c>
      <c r="AH24" s="1" t="s">
        <v>12</v>
      </c>
      <c r="AI24" s="3">
        <f t="shared" si="28"/>
        <v>37</v>
      </c>
      <c r="AJ24" s="3">
        <f t="shared" si="29"/>
        <v>91</v>
      </c>
      <c r="AK24" s="3">
        <f t="shared" si="30"/>
        <v>0.4065934066</v>
      </c>
      <c r="AL24" s="3">
        <f t="shared" si="31"/>
        <v>81.1417677</v>
      </c>
      <c r="AM24" s="3">
        <f t="shared" si="32"/>
        <v>-117</v>
      </c>
      <c r="AN24" s="3">
        <f t="shared" si="33"/>
        <v>-35.8582323</v>
      </c>
      <c r="AO24" s="4">
        <f t="shared" si="34"/>
        <v>0.3913043478</v>
      </c>
      <c r="AP24" s="4">
        <f t="shared" si="35"/>
        <v>0.4117647059</v>
      </c>
      <c r="AQ24" s="5">
        <f t="shared" si="36"/>
        <v>-1</v>
      </c>
      <c r="AR24" s="5">
        <f t="shared" si="37"/>
        <v>-1</v>
      </c>
    </row>
    <row r="25">
      <c r="A25" s="1" t="s">
        <v>10</v>
      </c>
      <c r="B25" s="1" t="s">
        <v>202</v>
      </c>
      <c r="C25" s="1" t="s">
        <v>19</v>
      </c>
      <c r="D25" s="1" t="s">
        <v>109</v>
      </c>
      <c r="E25" s="1" t="s">
        <v>113</v>
      </c>
      <c r="F25" s="1" t="s">
        <v>647</v>
      </c>
      <c r="G25" s="1">
        <v>37.5</v>
      </c>
      <c r="H25" s="1" t="s">
        <v>60</v>
      </c>
      <c r="I25" s="1">
        <v>-114.0</v>
      </c>
      <c r="J25" s="1">
        <v>-0.103176511835008</v>
      </c>
      <c r="K25" s="1" t="s">
        <v>61</v>
      </c>
      <c r="L25" s="1" t="s">
        <v>61</v>
      </c>
      <c r="M25" s="1" t="s">
        <v>62</v>
      </c>
      <c r="N25" s="1">
        <v>-115.0</v>
      </c>
      <c r="O25" s="1">
        <v>0.0356054985025844</v>
      </c>
      <c r="P25" s="1" t="s">
        <v>61</v>
      </c>
      <c r="Q25" s="1" t="s">
        <v>61</v>
      </c>
      <c r="R25" s="1">
        <f t="shared" si="1"/>
        <v>0.0356054985</v>
      </c>
      <c r="S25" s="1">
        <f t="shared" si="2"/>
        <v>-115</v>
      </c>
      <c r="T25" s="1">
        <f t="shared" si="3"/>
        <v>1.869565217</v>
      </c>
      <c r="U25" s="1">
        <f t="shared" si="4"/>
        <v>0</v>
      </c>
      <c r="V25" s="3">
        <f t="shared" si="5"/>
        <v>1</v>
      </c>
      <c r="W25" s="3">
        <f t="shared" si="6"/>
        <v>2</v>
      </c>
      <c r="X25" s="3" t="str">
        <f>IFERROR(__xludf.DUMMYFUNCTION("split(B25,"" "")"),"T.")</f>
        <v>T.</v>
      </c>
      <c r="Y25" s="3" t="str">
        <f>IFERROR(__xludf.DUMMYFUNCTION("""COMPUTED_VALUE"""),"Allgeier")</f>
        <v>Allgeier</v>
      </c>
      <c r="AA25" s="8">
        <v>33.0</v>
      </c>
      <c r="AB25" s="3">
        <f t="shared" si="7"/>
        <v>0</v>
      </c>
      <c r="AC25" s="3">
        <f t="shared" si="8"/>
        <v>1</v>
      </c>
      <c r="AD25" s="3">
        <f t="shared" si="9"/>
        <v>0.8695652174</v>
      </c>
      <c r="AE25" s="3">
        <f t="shared" si="10"/>
        <v>0.8695652174</v>
      </c>
      <c r="AF25" s="3">
        <f t="shared" si="11"/>
        <v>1.739130435</v>
      </c>
      <c r="AG25" s="3">
        <f t="shared" si="12"/>
        <v>0.12</v>
      </c>
      <c r="AO25" s="4"/>
      <c r="AP25" s="4"/>
      <c r="AQ25" s="5"/>
      <c r="AR25" s="5"/>
    </row>
    <row r="26">
      <c r="A26" s="1" t="s">
        <v>14</v>
      </c>
      <c r="B26" s="1" t="s">
        <v>328</v>
      </c>
      <c r="C26" s="1" t="s">
        <v>21</v>
      </c>
      <c r="D26" s="1" t="s">
        <v>109</v>
      </c>
      <c r="E26" s="1" t="s">
        <v>113</v>
      </c>
      <c r="F26" s="1" t="s">
        <v>647</v>
      </c>
      <c r="G26" s="1">
        <v>1.5</v>
      </c>
      <c r="H26" s="1" t="s">
        <v>60</v>
      </c>
      <c r="I26" s="1">
        <v>-132.0</v>
      </c>
      <c r="J26" s="1">
        <v>-0.100165517241379</v>
      </c>
      <c r="K26" s="1" t="s">
        <v>61</v>
      </c>
      <c r="L26" s="1" t="s">
        <v>61</v>
      </c>
      <c r="M26" s="1" t="s">
        <v>62</v>
      </c>
      <c r="N26" s="1">
        <v>101.0</v>
      </c>
      <c r="O26" s="1">
        <v>0.0336875621890546</v>
      </c>
      <c r="P26" s="1" t="s">
        <v>61</v>
      </c>
      <c r="Q26" s="1" t="s">
        <v>61</v>
      </c>
      <c r="R26" s="1">
        <f t="shared" si="1"/>
        <v>0.03368756219</v>
      </c>
      <c r="S26" s="1">
        <f t="shared" si="2"/>
        <v>101</v>
      </c>
      <c r="T26" s="1">
        <f t="shared" si="3"/>
        <v>2.01</v>
      </c>
      <c r="U26" s="1">
        <f t="shared" si="4"/>
        <v>0</v>
      </c>
      <c r="V26" s="3">
        <f t="shared" si="5"/>
        <v>1</v>
      </c>
      <c r="W26" s="3">
        <f t="shared" si="6"/>
        <v>2</v>
      </c>
      <c r="X26" s="3" t="str">
        <f>IFERROR(__xludf.DUMMYFUNCTION("split(B26,"" "")"),"K.")</f>
        <v>K.</v>
      </c>
      <c r="Y26" s="3" t="str">
        <f>IFERROR(__xludf.DUMMYFUNCTION("""COMPUTED_VALUE"""),"Cousins")</f>
        <v>Cousins</v>
      </c>
      <c r="AA26" s="8">
        <v>4.0</v>
      </c>
      <c r="AB26" s="3">
        <f t="shared" si="7"/>
        <v>1</v>
      </c>
      <c r="AC26" s="3">
        <f t="shared" si="8"/>
        <v>0</v>
      </c>
      <c r="AD26" s="3">
        <f t="shared" si="9"/>
        <v>1.01</v>
      </c>
      <c r="AE26" s="3">
        <f t="shared" si="10"/>
        <v>-1</v>
      </c>
      <c r="AF26" s="3">
        <f t="shared" si="11"/>
        <v>-2</v>
      </c>
      <c r="AG26" s="3">
        <f t="shared" si="12"/>
        <v>-1.666666667</v>
      </c>
      <c r="AH26" s="1" t="s">
        <v>13</v>
      </c>
      <c r="AI26" s="3">
        <f t="shared" ref="AI26:AI30" si="38">COUNTIFs(A:A, "=" &amp; AH26, AC:AC, "=1")</f>
        <v>6</v>
      </c>
      <c r="AJ26" s="3">
        <f t="shared" ref="AJ26:AJ30" si="39">countif(A:A, "=" &amp; AH26)</f>
        <v>8</v>
      </c>
      <c r="AK26" s="3">
        <f t="shared" ref="AK26:AK30" si="40">AI26/AJ26</f>
        <v>0.75</v>
      </c>
      <c r="AL26" s="3">
        <f t="shared" ref="AL26:AL30" si="41">SUMIFS(AE:AE, A:A,"=" &amp; AH26,AC:AC, "=1")</f>
        <v>5.310427748</v>
      </c>
      <c r="AM26" s="3">
        <f t="shared" ref="AM26:AM30" si="42">SUMIFS(AE:AE, A:A,"=" &amp; AH26,AC:AC, "=0")</f>
        <v>-2</v>
      </c>
      <c r="AN26" s="3">
        <f t="shared" ref="AN26:AN30" si="43">AL26+AM26</f>
        <v>3.310427748</v>
      </c>
      <c r="AO26" s="4">
        <f t="shared" ref="AO26:AO30" si="44">IFERROR( countifs(A:A, "="&amp;AH26, U:U, "=1", AC:AC, "=1")/countifs(A:A, "="&amp;AH26, U:U, "=1"), 0)</f>
        <v>0.75</v>
      </c>
      <c r="AP26" s="4">
        <f t="shared" ref="AP26:AP30" si="45">IFERROR( countifs(A:A, "="&amp;AH26, U:U, "=0", AC:AC, "=1")/countifs(A:A, "="&amp;AH26, U:U, "=0"), 0)</f>
        <v>0.75</v>
      </c>
      <c r="AQ26" s="5">
        <f t="shared" ref="AQ26:AQ30" si="46">iferror(IFS(AND(AP26 &gt; 0.5, AO26 &gt; 0.5), 1, AND(AP26 &lt;= 0.5, AO26 &lt;= 0.5), -1), 0)
</f>
        <v>1</v>
      </c>
      <c r="AR26" s="5">
        <f t="shared" ref="AR26:AR30" si="47">if(AN26&lt;0, -1, 1)</f>
        <v>1</v>
      </c>
    </row>
    <row r="27">
      <c r="A27" s="1" t="s">
        <v>11</v>
      </c>
      <c r="B27" s="1" t="s">
        <v>108</v>
      </c>
      <c r="C27" s="1" t="s">
        <v>20</v>
      </c>
      <c r="D27" s="1" t="s">
        <v>109</v>
      </c>
      <c r="E27" s="1" t="s">
        <v>113</v>
      </c>
      <c r="F27" s="1" t="s">
        <v>647</v>
      </c>
      <c r="G27" s="1">
        <v>42.5</v>
      </c>
      <c r="H27" s="1" t="s">
        <v>60</v>
      </c>
      <c r="I27" s="1">
        <v>-115.0</v>
      </c>
      <c r="J27" s="1">
        <v>-0.09598600093</v>
      </c>
      <c r="K27" s="1" t="s">
        <v>61</v>
      </c>
      <c r="L27" s="1" t="s">
        <v>61</v>
      </c>
      <c r="M27" s="1" t="s">
        <v>62</v>
      </c>
      <c r="N27" s="1">
        <v>-115.0</v>
      </c>
      <c r="O27" s="1">
        <v>0.0262172814699999</v>
      </c>
      <c r="P27" s="1" t="s">
        <v>61</v>
      </c>
      <c r="Q27" s="1" t="s">
        <v>61</v>
      </c>
      <c r="R27" s="1">
        <f t="shared" si="1"/>
        <v>0.02621728147</v>
      </c>
      <c r="S27" s="1">
        <f t="shared" si="2"/>
        <v>-115</v>
      </c>
      <c r="T27" s="1">
        <f t="shared" si="3"/>
        <v>1.869565217</v>
      </c>
      <c r="U27" s="1">
        <f t="shared" si="4"/>
        <v>0</v>
      </c>
      <c r="V27" s="3">
        <f t="shared" si="5"/>
        <v>1</v>
      </c>
      <c r="W27" s="3">
        <f t="shared" si="6"/>
        <v>2</v>
      </c>
      <c r="X27" s="3" t="str">
        <f>IFERROR(__xludf.DUMMYFUNCTION("split(B27,"" "")"),"K.")</f>
        <v>K.</v>
      </c>
      <c r="Y27" s="3" t="str">
        <f>IFERROR(__xludf.DUMMYFUNCTION("""COMPUTED_VALUE"""),"Pitts")</f>
        <v>Pitts</v>
      </c>
      <c r="AA27" s="8">
        <v>91.0</v>
      </c>
      <c r="AB27" s="3">
        <f t="shared" si="7"/>
        <v>1</v>
      </c>
      <c r="AC27" s="3">
        <f t="shared" si="8"/>
        <v>0</v>
      </c>
      <c r="AD27" s="3">
        <f t="shared" si="9"/>
        <v>0.8695652174</v>
      </c>
      <c r="AE27" s="3">
        <f t="shared" si="10"/>
        <v>-1</v>
      </c>
      <c r="AF27" s="3">
        <f t="shared" si="11"/>
        <v>-2</v>
      </c>
      <c r="AG27" s="3">
        <f t="shared" si="12"/>
        <v>-1.141176471</v>
      </c>
      <c r="AH27" s="1" t="s">
        <v>14</v>
      </c>
      <c r="AI27" s="3">
        <f t="shared" si="38"/>
        <v>11</v>
      </c>
      <c r="AJ27" s="3">
        <f t="shared" si="39"/>
        <v>22</v>
      </c>
      <c r="AK27" s="3">
        <f t="shared" si="40"/>
        <v>0.5</v>
      </c>
      <c r="AL27" s="3">
        <f t="shared" si="41"/>
        <v>24.71612154</v>
      </c>
      <c r="AM27" s="3">
        <f t="shared" si="42"/>
        <v>-21</v>
      </c>
      <c r="AN27" s="3">
        <f t="shared" si="43"/>
        <v>3.716121537</v>
      </c>
      <c r="AO27" s="4">
        <f t="shared" si="44"/>
        <v>0.5714285714</v>
      </c>
      <c r="AP27" s="4">
        <f t="shared" si="45"/>
        <v>0.4666666667</v>
      </c>
      <c r="AQ27" s="5">
        <f t="shared" si="46"/>
        <v>0</v>
      </c>
      <c r="AR27" s="5">
        <f t="shared" si="47"/>
        <v>1</v>
      </c>
    </row>
    <row r="28">
      <c r="A28" s="1" t="s">
        <v>12</v>
      </c>
      <c r="B28" s="1" t="s">
        <v>264</v>
      </c>
      <c r="C28" s="1" t="s">
        <v>19</v>
      </c>
      <c r="D28" s="1" t="s">
        <v>109</v>
      </c>
      <c r="E28" s="1" t="s">
        <v>113</v>
      </c>
      <c r="F28" s="1" t="s">
        <v>647</v>
      </c>
      <c r="G28" s="1">
        <v>3.5</v>
      </c>
      <c r="H28" s="1" t="s">
        <v>60</v>
      </c>
      <c r="I28" s="1">
        <v>113.0</v>
      </c>
      <c r="J28" s="1">
        <v>-0.0775366197183098</v>
      </c>
      <c r="K28" s="1" t="s">
        <v>61</v>
      </c>
      <c r="L28" s="1" t="s">
        <v>61</v>
      </c>
      <c r="M28" s="1" t="s">
        <v>62</v>
      </c>
      <c r="N28" s="1">
        <v>-148.0</v>
      </c>
      <c r="O28" s="1">
        <v>0.0112854838709677</v>
      </c>
      <c r="P28" s="1" t="s">
        <v>61</v>
      </c>
      <c r="Q28" s="1" t="s">
        <v>61</v>
      </c>
      <c r="R28" s="1">
        <f t="shared" si="1"/>
        <v>0.01128548387</v>
      </c>
      <c r="S28" s="1">
        <f t="shared" si="2"/>
        <v>-148</v>
      </c>
      <c r="T28" s="1">
        <f t="shared" si="3"/>
        <v>1.675675676</v>
      </c>
      <c r="U28" s="1">
        <f t="shared" si="4"/>
        <v>0</v>
      </c>
      <c r="V28" s="3">
        <f t="shared" si="5"/>
        <v>1</v>
      </c>
      <c r="W28" s="3">
        <f t="shared" si="6"/>
        <v>3</v>
      </c>
      <c r="X28" s="3" t="str">
        <f>IFERROR(__xludf.DUMMYFUNCTION("split(B28,"" "")"),"B.")</f>
        <v>B.</v>
      </c>
      <c r="Y28" s="3" t="str">
        <f>IFERROR(__xludf.DUMMYFUNCTION("""COMPUTED_VALUE"""),"Robinson")</f>
        <v>Robinson</v>
      </c>
      <c r="AA28" s="8">
        <v>7.0</v>
      </c>
      <c r="AB28" s="3">
        <f t="shared" si="7"/>
        <v>1</v>
      </c>
      <c r="AC28" s="3">
        <f t="shared" si="8"/>
        <v>0</v>
      </c>
      <c r="AD28" s="3">
        <f t="shared" si="9"/>
        <v>0.6756756757</v>
      </c>
      <c r="AE28" s="3">
        <f t="shared" si="10"/>
        <v>-1</v>
      </c>
      <c r="AF28" s="3">
        <f t="shared" si="11"/>
        <v>-3</v>
      </c>
      <c r="AG28" s="3">
        <f t="shared" si="12"/>
        <v>-1</v>
      </c>
      <c r="AH28" s="1" t="s">
        <v>15</v>
      </c>
      <c r="AI28" s="3">
        <f t="shared" si="38"/>
        <v>10</v>
      </c>
      <c r="AJ28" s="3">
        <f t="shared" si="39"/>
        <v>16</v>
      </c>
      <c r="AK28" s="3">
        <f t="shared" si="40"/>
        <v>0.625</v>
      </c>
      <c r="AL28" s="3">
        <f t="shared" si="41"/>
        <v>12.42750727</v>
      </c>
      <c r="AM28" s="3">
        <f t="shared" si="42"/>
        <v>-9</v>
      </c>
      <c r="AN28" s="3">
        <f t="shared" si="43"/>
        <v>3.427507272</v>
      </c>
      <c r="AO28" s="4">
        <f t="shared" si="44"/>
        <v>0.7272727273</v>
      </c>
      <c r="AP28" s="4">
        <f t="shared" si="45"/>
        <v>0.4</v>
      </c>
      <c r="AQ28" s="5">
        <f t="shared" si="46"/>
        <v>0</v>
      </c>
      <c r="AR28" s="5">
        <f t="shared" si="47"/>
        <v>1</v>
      </c>
    </row>
    <row r="29">
      <c r="A29" s="1" t="s">
        <v>11</v>
      </c>
      <c r="B29" s="1" t="s">
        <v>501</v>
      </c>
      <c r="C29" s="1" t="s">
        <v>18</v>
      </c>
      <c r="D29" s="1" t="s">
        <v>109</v>
      </c>
      <c r="E29" s="1" t="s">
        <v>113</v>
      </c>
      <c r="F29" s="1" t="s">
        <v>647</v>
      </c>
      <c r="G29" s="1">
        <v>35.5</v>
      </c>
      <c r="H29" s="1" t="s">
        <v>60</v>
      </c>
      <c r="I29" s="1">
        <v>-115.0</v>
      </c>
      <c r="J29" s="1">
        <v>-0.0735384801276744</v>
      </c>
      <c r="K29" s="1" t="s">
        <v>61</v>
      </c>
      <c r="L29" s="1" t="s">
        <v>61</v>
      </c>
      <c r="M29" s="1" t="s">
        <v>62</v>
      </c>
      <c r="N29" s="1">
        <v>-114.0</v>
      </c>
      <c r="O29" s="1">
        <v>0.00590789584964024</v>
      </c>
      <c r="P29" s="1" t="s">
        <v>61</v>
      </c>
      <c r="Q29" s="1" t="s">
        <v>61</v>
      </c>
      <c r="R29" s="1">
        <f t="shared" si="1"/>
        <v>0.00590789585</v>
      </c>
      <c r="S29" s="1">
        <f t="shared" si="2"/>
        <v>-114</v>
      </c>
      <c r="T29" s="1">
        <f t="shared" si="3"/>
        <v>1.877192982</v>
      </c>
      <c r="U29" s="1">
        <f t="shared" si="4"/>
        <v>0</v>
      </c>
      <c r="V29" s="3">
        <f t="shared" si="5"/>
        <v>1</v>
      </c>
      <c r="W29" s="3">
        <f t="shared" si="6"/>
        <v>2</v>
      </c>
      <c r="X29" s="3" t="str">
        <f>IFERROR(__xludf.DUMMYFUNCTION("split(B29,"" "")"),"R.")</f>
        <v>R.</v>
      </c>
      <c r="Y29" s="3" t="str">
        <f>IFERROR(__xludf.DUMMYFUNCTION("""COMPUTED_VALUE"""),"McCloud")</f>
        <v>McCloud</v>
      </c>
      <c r="Z29" s="3" t="str">
        <f>IFERROR(__xludf.DUMMYFUNCTION("""COMPUTED_VALUE"""),"III")</f>
        <v>III</v>
      </c>
      <c r="AA29" s="8">
        <v>9.0</v>
      </c>
      <c r="AB29" s="3">
        <f t="shared" si="7"/>
        <v>0</v>
      </c>
      <c r="AC29" s="3">
        <f t="shared" si="8"/>
        <v>1</v>
      </c>
      <c r="AD29" s="3">
        <f t="shared" si="9"/>
        <v>0.8771929825</v>
      </c>
      <c r="AE29" s="3">
        <f t="shared" si="10"/>
        <v>0.8771929825</v>
      </c>
      <c r="AF29" s="3">
        <f t="shared" si="11"/>
        <v>1.754385965</v>
      </c>
      <c r="AG29" s="3">
        <f t="shared" si="12"/>
        <v>0.7464788732</v>
      </c>
      <c r="AH29" s="1" t="s">
        <v>16</v>
      </c>
      <c r="AI29" s="3">
        <f t="shared" si="38"/>
        <v>7</v>
      </c>
      <c r="AJ29" s="3">
        <f t="shared" si="39"/>
        <v>14</v>
      </c>
      <c r="AK29" s="3">
        <f t="shared" si="40"/>
        <v>0.5</v>
      </c>
      <c r="AL29" s="3">
        <f t="shared" si="41"/>
        <v>6.392851033</v>
      </c>
      <c r="AM29" s="3">
        <f t="shared" si="42"/>
        <v>-12</v>
      </c>
      <c r="AN29" s="3">
        <f t="shared" si="43"/>
        <v>-5.607148967</v>
      </c>
      <c r="AO29" s="4">
        <f t="shared" si="44"/>
        <v>1</v>
      </c>
      <c r="AP29" s="4">
        <f t="shared" si="45"/>
        <v>0.4166666667</v>
      </c>
      <c r="AQ29" s="5">
        <f t="shared" si="46"/>
        <v>0</v>
      </c>
      <c r="AR29" s="5">
        <f t="shared" si="47"/>
        <v>-1</v>
      </c>
    </row>
    <row r="30">
      <c r="A30" s="1" t="s">
        <v>17</v>
      </c>
      <c r="B30" s="1" t="s">
        <v>328</v>
      </c>
      <c r="C30" s="1" t="s">
        <v>21</v>
      </c>
      <c r="D30" s="1" t="s">
        <v>109</v>
      </c>
      <c r="E30" s="1" t="s">
        <v>113</v>
      </c>
      <c r="F30" s="1" t="s">
        <v>647</v>
      </c>
      <c r="G30" s="1">
        <v>0.5</v>
      </c>
      <c r="H30" s="1" t="s">
        <v>60</v>
      </c>
      <c r="I30" s="1">
        <v>-108.0</v>
      </c>
      <c r="J30" s="1">
        <v>-0.0704307692307691</v>
      </c>
      <c r="K30" s="1" t="s">
        <v>61</v>
      </c>
      <c r="L30" s="1" t="s">
        <v>61</v>
      </c>
      <c r="M30" s="1" t="s">
        <v>62</v>
      </c>
      <c r="N30" s="1">
        <v>-121.0</v>
      </c>
      <c r="O30" s="1">
        <v>0.0036886877828054</v>
      </c>
      <c r="P30" s="1" t="s">
        <v>61</v>
      </c>
      <c r="Q30" s="1" t="s">
        <v>61</v>
      </c>
      <c r="R30" s="1">
        <f t="shared" si="1"/>
        <v>0.003688687783</v>
      </c>
      <c r="S30" s="1">
        <f t="shared" si="2"/>
        <v>-121</v>
      </c>
      <c r="T30" s="1">
        <f t="shared" si="3"/>
        <v>1.826446281</v>
      </c>
      <c r="U30" s="1">
        <f t="shared" si="4"/>
        <v>0</v>
      </c>
      <c r="V30" s="3">
        <f t="shared" si="5"/>
        <v>1</v>
      </c>
      <c r="W30" s="3">
        <f t="shared" si="6"/>
        <v>3</v>
      </c>
      <c r="X30" s="3" t="str">
        <f>IFERROR(__xludf.DUMMYFUNCTION("split(B30,"" "")"),"K.")</f>
        <v>K.</v>
      </c>
      <c r="Y30" s="3" t="str">
        <f>IFERROR(__xludf.DUMMYFUNCTION("""COMPUTED_VALUE"""),"Cousins")</f>
        <v>Cousins</v>
      </c>
      <c r="AA30" s="8">
        <v>0.0</v>
      </c>
      <c r="AB30" s="3">
        <f t="shared" si="7"/>
        <v>0</v>
      </c>
      <c r="AC30" s="3">
        <f t="shared" si="8"/>
        <v>1</v>
      </c>
      <c r="AD30" s="3">
        <f t="shared" si="9"/>
        <v>0.826446281</v>
      </c>
      <c r="AE30" s="3">
        <f t="shared" si="10"/>
        <v>0.826446281</v>
      </c>
      <c r="AF30" s="3">
        <f t="shared" si="11"/>
        <v>2.479338843</v>
      </c>
      <c r="AG30" s="3">
        <f t="shared" si="12"/>
        <v>1</v>
      </c>
      <c r="AH30" s="1" t="s">
        <v>17</v>
      </c>
      <c r="AI30" s="3">
        <f t="shared" si="38"/>
        <v>11</v>
      </c>
      <c r="AJ30" s="3">
        <f t="shared" si="39"/>
        <v>23</v>
      </c>
      <c r="AK30" s="3">
        <f t="shared" si="40"/>
        <v>0.4782608696</v>
      </c>
      <c r="AL30" s="3">
        <f t="shared" si="41"/>
        <v>19.03532331</v>
      </c>
      <c r="AM30" s="3">
        <f t="shared" si="42"/>
        <v>-16</v>
      </c>
      <c r="AN30" s="3">
        <f t="shared" si="43"/>
        <v>3.035323309</v>
      </c>
      <c r="AO30" s="4">
        <f t="shared" si="44"/>
        <v>0</v>
      </c>
      <c r="AP30" s="4">
        <f t="shared" si="45"/>
        <v>0.5</v>
      </c>
      <c r="AQ30" s="5">
        <f t="shared" si="46"/>
        <v>-1</v>
      </c>
      <c r="AR30" s="5">
        <f t="shared" si="47"/>
        <v>1</v>
      </c>
    </row>
    <row r="31">
      <c r="A31" s="1" t="s">
        <v>15</v>
      </c>
      <c r="B31" s="1" t="s">
        <v>328</v>
      </c>
      <c r="C31" s="1" t="s">
        <v>21</v>
      </c>
      <c r="D31" s="1" t="s">
        <v>109</v>
      </c>
      <c r="E31" s="1" t="s">
        <v>113</v>
      </c>
      <c r="F31" s="1" t="s">
        <v>647</v>
      </c>
      <c r="G31" s="1">
        <v>22.5</v>
      </c>
      <c r="H31" s="1" t="s">
        <v>60</v>
      </c>
      <c r="I31" s="1">
        <v>-120.0</v>
      </c>
      <c r="J31" s="1">
        <v>0.00283636363636352</v>
      </c>
      <c r="K31" s="1" t="s">
        <v>61</v>
      </c>
      <c r="L31" s="1" t="s">
        <v>61</v>
      </c>
      <c r="M31" s="1" t="s">
        <v>62</v>
      </c>
      <c r="N31" s="1">
        <v>-109.0</v>
      </c>
      <c r="O31" s="1">
        <v>-0.0698354066985645</v>
      </c>
      <c r="P31" s="1" t="s">
        <v>61</v>
      </c>
      <c r="Q31" s="1" t="s">
        <v>61</v>
      </c>
      <c r="R31" s="1">
        <f t="shared" si="1"/>
        <v>0.002836363636</v>
      </c>
      <c r="S31" s="1">
        <f t="shared" si="2"/>
        <v>-120</v>
      </c>
      <c r="T31" s="1">
        <f t="shared" si="3"/>
        <v>1.833333333</v>
      </c>
      <c r="U31" s="1">
        <f t="shared" si="4"/>
        <v>1</v>
      </c>
      <c r="V31" s="3">
        <f t="shared" si="5"/>
        <v>1</v>
      </c>
      <c r="W31" s="3">
        <f t="shared" si="6"/>
        <v>3</v>
      </c>
      <c r="X31" s="3" t="str">
        <f>IFERROR(__xludf.DUMMYFUNCTION("split(B31,"" "")"),"K.")</f>
        <v>K.</v>
      </c>
      <c r="Y31" s="3" t="str">
        <f>IFERROR(__xludf.DUMMYFUNCTION("""COMPUTED_VALUE"""),"Cousins")</f>
        <v>Cousins</v>
      </c>
      <c r="AA31" s="8">
        <v>23.0</v>
      </c>
      <c r="AB31" s="3">
        <f t="shared" si="7"/>
        <v>1</v>
      </c>
      <c r="AC31" s="3">
        <f t="shared" si="8"/>
        <v>1</v>
      </c>
      <c r="AD31" s="3">
        <f t="shared" si="9"/>
        <v>0.8333333333</v>
      </c>
      <c r="AE31" s="3">
        <f t="shared" si="10"/>
        <v>0.8333333333</v>
      </c>
      <c r="AF31" s="3">
        <f t="shared" si="11"/>
        <v>2.5</v>
      </c>
      <c r="AG31" s="3">
        <f t="shared" si="12"/>
        <v>0.02222222222</v>
      </c>
      <c r="AJ31" s="1" t="s">
        <v>512</v>
      </c>
      <c r="AK31" s="1" t="s">
        <v>513</v>
      </c>
    </row>
    <row r="32">
      <c r="A32" s="1" t="s">
        <v>11</v>
      </c>
      <c r="B32" s="1" t="s">
        <v>309</v>
      </c>
      <c r="C32" s="1" t="s">
        <v>19</v>
      </c>
      <c r="D32" s="1" t="s">
        <v>77</v>
      </c>
      <c r="E32" s="1" t="s">
        <v>89</v>
      </c>
      <c r="F32" s="1" t="s">
        <v>647</v>
      </c>
      <c r="G32" s="1">
        <v>4.5</v>
      </c>
      <c r="H32" s="1" t="s">
        <v>60</v>
      </c>
      <c r="I32" s="1">
        <v>-104.0</v>
      </c>
      <c r="J32" s="1">
        <v>0.133465565905477</v>
      </c>
      <c r="K32" s="1" t="s">
        <v>61</v>
      </c>
      <c r="L32" s="1" t="s">
        <v>61</v>
      </c>
      <c r="M32" s="1" t="s">
        <v>62</v>
      </c>
      <c r="N32" s="1">
        <v>-122.0</v>
      </c>
      <c r="O32" s="1">
        <v>-0.192839558750249</v>
      </c>
      <c r="P32" s="1" t="s">
        <v>61</v>
      </c>
      <c r="Q32" s="1" t="s">
        <v>61</v>
      </c>
      <c r="R32" s="1">
        <f t="shared" si="1"/>
        <v>0.1334655659</v>
      </c>
      <c r="S32" s="1">
        <f t="shared" si="2"/>
        <v>-104</v>
      </c>
      <c r="T32" s="1">
        <f t="shared" si="3"/>
        <v>1.961538462</v>
      </c>
      <c r="U32" s="1">
        <f t="shared" si="4"/>
        <v>1</v>
      </c>
      <c r="V32" s="3">
        <f t="shared" si="5"/>
        <v>3</v>
      </c>
      <c r="W32" s="3">
        <f t="shared" si="6"/>
        <v>2</v>
      </c>
      <c r="X32" s="3" t="str">
        <f>IFERROR(__xludf.DUMMYFUNCTION("split(B32,"" "")"),"D.")</f>
        <v>D.</v>
      </c>
      <c r="Y32" s="3" t="str">
        <f>IFERROR(__xludf.DUMMYFUNCTION("""COMPUTED_VALUE"""),"Henry")</f>
        <v>Henry</v>
      </c>
      <c r="AA32" s="8">
        <v>4.0</v>
      </c>
      <c r="AB32" s="3">
        <f t="shared" si="7"/>
        <v>0</v>
      </c>
      <c r="AC32" s="3">
        <f t="shared" si="8"/>
        <v>0</v>
      </c>
      <c r="AD32" s="3">
        <f t="shared" si="9"/>
        <v>2.884615385</v>
      </c>
      <c r="AE32" s="3">
        <f t="shared" si="10"/>
        <v>-3</v>
      </c>
      <c r="AF32" s="3">
        <f t="shared" si="11"/>
        <v>-2</v>
      </c>
      <c r="AG32" s="3">
        <f t="shared" si="12"/>
        <v>-0.1111111111</v>
      </c>
      <c r="AH32" s="1" t="s">
        <v>514</v>
      </c>
      <c r="AI32" s="3">
        <f>COUNTIFS(AG2:AG999, "&gt;1.7", AC2:AC999,"=1", U2:U999, "=1") + countifs(U2:U999, "=0", AA2:AA999, "=0")</f>
        <v>48</v>
      </c>
      <c r="AJ32" s="3">
        <f>COUNTIFS(AG2:AG999, "&gt;1.7", AC2:AC999,"=1", U2:U999, "=1")</f>
        <v>12</v>
      </c>
      <c r="AK32" s="3">
        <f>AI32-AJ32</f>
        <v>36</v>
      </c>
    </row>
    <row r="33">
      <c r="A33" s="1" t="s">
        <v>12</v>
      </c>
      <c r="B33" s="1" t="s">
        <v>309</v>
      </c>
      <c r="C33" s="1" t="s">
        <v>19</v>
      </c>
      <c r="D33" s="1" t="s">
        <v>77</v>
      </c>
      <c r="E33" s="1" t="s">
        <v>89</v>
      </c>
      <c r="F33" s="1" t="s">
        <v>647</v>
      </c>
      <c r="G33" s="1">
        <v>0.5</v>
      </c>
      <c r="H33" s="1" t="s">
        <v>60</v>
      </c>
      <c r="I33" s="1">
        <v>-248.0</v>
      </c>
      <c r="J33" s="1">
        <v>-0.164370611054022</v>
      </c>
      <c r="K33" s="1" t="s">
        <v>61</v>
      </c>
      <c r="L33" s="1" t="s">
        <v>61</v>
      </c>
      <c r="M33" s="1" t="s">
        <v>62</v>
      </c>
      <c r="N33" s="1">
        <v>183.0</v>
      </c>
      <c r="O33" s="1">
        <v>0.0983762284339222</v>
      </c>
      <c r="P33" s="1" t="s">
        <v>61</v>
      </c>
      <c r="Q33" s="1" t="s">
        <v>61</v>
      </c>
      <c r="R33" s="1">
        <f t="shared" si="1"/>
        <v>0.09837622843</v>
      </c>
      <c r="S33" s="1">
        <f t="shared" si="2"/>
        <v>183</v>
      </c>
      <c r="T33" s="1">
        <f t="shared" si="3"/>
        <v>2.83</v>
      </c>
      <c r="U33" s="1">
        <f t="shared" si="4"/>
        <v>0</v>
      </c>
      <c r="V33" s="3">
        <f t="shared" si="5"/>
        <v>2</v>
      </c>
      <c r="W33" s="3">
        <f t="shared" si="6"/>
        <v>1</v>
      </c>
      <c r="X33" s="3" t="str">
        <f>IFERROR(__xludf.DUMMYFUNCTION("split(B33,"" "")"),"D.")</f>
        <v>D.</v>
      </c>
      <c r="Y33" s="3" t="str">
        <f>IFERROR(__xludf.DUMMYFUNCTION("""COMPUTED_VALUE"""),"Henry")</f>
        <v>Henry</v>
      </c>
      <c r="AA33" s="8">
        <v>1.0</v>
      </c>
      <c r="AB33" s="3">
        <f t="shared" si="7"/>
        <v>1</v>
      </c>
      <c r="AC33" s="3">
        <f t="shared" si="8"/>
        <v>0</v>
      </c>
      <c r="AD33" s="3">
        <f t="shared" si="9"/>
        <v>3.66</v>
      </c>
      <c r="AE33" s="3">
        <f t="shared" si="10"/>
        <v>-2</v>
      </c>
      <c r="AF33" s="3">
        <f t="shared" si="11"/>
        <v>-1</v>
      </c>
      <c r="AG33" s="3">
        <f t="shared" si="12"/>
        <v>-1</v>
      </c>
    </row>
    <row r="34">
      <c r="A34" s="1" t="s">
        <v>8</v>
      </c>
      <c r="B34" s="1" t="s">
        <v>347</v>
      </c>
      <c r="C34" s="1" t="s">
        <v>21</v>
      </c>
      <c r="D34" s="1" t="s">
        <v>77</v>
      </c>
      <c r="E34" s="1" t="s">
        <v>89</v>
      </c>
      <c r="F34" s="1" t="s">
        <v>647</v>
      </c>
      <c r="G34" s="1">
        <v>10.0</v>
      </c>
      <c r="H34" s="1" t="s">
        <v>60</v>
      </c>
      <c r="I34" s="1">
        <v>-103.0</v>
      </c>
      <c r="J34" s="1">
        <v>-0.162829449383852</v>
      </c>
      <c r="K34" s="1" t="s">
        <v>61</v>
      </c>
      <c r="L34" s="1" t="s">
        <v>61</v>
      </c>
      <c r="M34" s="1" t="s">
        <v>62</v>
      </c>
      <c r="N34" s="1">
        <v>-129.0</v>
      </c>
      <c r="O34" s="1">
        <v>0.0955291218783815</v>
      </c>
      <c r="P34" s="1" t="s">
        <v>61</v>
      </c>
      <c r="Q34" s="1" t="s">
        <v>61</v>
      </c>
      <c r="R34" s="1">
        <f t="shared" si="1"/>
        <v>0.09552912188</v>
      </c>
      <c r="S34" s="1">
        <f t="shared" si="2"/>
        <v>-129</v>
      </c>
      <c r="T34" s="1">
        <f t="shared" si="3"/>
        <v>1.775193798</v>
      </c>
      <c r="U34" s="1">
        <f t="shared" si="4"/>
        <v>0</v>
      </c>
      <c r="V34" s="3">
        <f t="shared" si="5"/>
        <v>2</v>
      </c>
      <c r="W34" s="3">
        <f t="shared" si="6"/>
        <v>3</v>
      </c>
      <c r="X34" s="3" t="str">
        <f>IFERROR(__xludf.DUMMYFUNCTION("split(B34,"" "")"),"L.")</f>
        <v>L.</v>
      </c>
      <c r="Y34" s="3" t="str">
        <f>IFERROR(__xludf.DUMMYFUNCTION("""COMPUTED_VALUE"""),"Jackson")</f>
        <v>Jackson</v>
      </c>
      <c r="AA34" s="8">
        <v>8.0</v>
      </c>
      <c r="AB34" s="3">
        <f t="shared" si="7"/>
        <v>0</v>
      </c>
      <c r="AC34" s="3">
        <f t="shared" si="8"/>
        <v>1</v>
      </c>
      <c r="AD34" s="3">
        <f t="shared" si="9"/>
        <v>1.550387597</v>
      </c>
      <c r="AE34" s="3">
        <f t="shared" si="10"/>
        <v>1.550387597</v>
      </c>
      <c r="AF34" s="3">
        <f t="shared" si="11"/>
        <v>2.325581395</v>
      </c>
      <c r="AG34" s="3">
        <f t="shared" si="12"/>
        <v>0.2</v>
      </c>
    </row>
    <row r="35">
      <c r="A35" s="1" t="s">
        <v>8</v>
      </c>
      <c r="B35" s="1" t="s">
        <v>309</v>
      </c>
      <c r="C35" s="1" t="s">
        <v>19</v>
      </c>
      <c r="D35" s="1" t="s">
        <v>77</v>
      </c>
      <c r="E35" s="1" t="s">
        <v>89</v>
      </c>
      <c r="F35" s="1" t="s">
        <v>647</v>
      </c>
      <c r="G35" s="1">
        <v>19.5</v>
      </c>
      <c r="H35" s="1" t="s">
        <v>60</v>
      </c>
      <c r="I35" s="1">
        <v>-118.0</v>
      </c>
      <c r="J35" s="1">
        <v>0.0822229052055045</v>
      </c>
      <c r="K35" s="1" t="s">
        <v>61</v>
      </c>
      <c r="L35" s="1" t="s">
        <v>61</v>
      </c>
      <c r="M35" s="1" t="s">
        <v>62</v>
      </c>
      <c r="N35" s="1">
        <v>-112.0</v>
      </c>
      <c r="O35" s="1">
        <v>-0.151795400283018</v>
      </c>
      <c r="P35" s="1" t="s">
        <v>61</v>
      </c>
      <c r="Q35" s="1" t="s">
        <v>61</v>
      </c>
      <c r="R35" s="1">
        <f t="shared" si="1"/>
        <v>0.08222290521</v>
      </c>
      <c r="S35" s="1">
        <f t="shared" si="2"/>
        <v>-118</v>
      </c>
      <c r="T35" s="1">
        <f t="shared" si="3"/>
        <v>1.847457627</v>
      </c>
      <c r="U35" s="1">
        <f t="shared" si="4"/>
        <v>1</v>
      </c>
      <c r="V35" s="3">
        <f t="shared" si="5"/>
        <v>2</v>
      </c>
      <c r="W35" s="3">
        <f t="shared" si="6"/>
        <v>3</v>
      </c>
      <c r="X35" s="3" t="str">
        <f>IFERROR(__xludf.DUMMYFUNCTION("split(B35,"" "")"),"D.")</f>
        <v>D.</v>
      </c>
      <c r="Y35" s="3" t="str">
        <f>IFERROR(__xludf.DUMMYFUNCTION("""COMPUTED_VALUE"""),"Henry")</f>
        <v>Henry</v>
      </c>
      <c r="AA35" s="8">
        <v>11.0</v>
      </c>
      <c r="AB35" s="3">
        <f t="shared" si="7"/>
        <v>0</v>
      </c>
      <c r="AC35" s="3">
        <f t="shared" si="8"/>
        <v>0</v>
      </c>
      <c r="AD35" s="3">
        <f t="shared" si="9"/>
        <v>1.694915254</v>
      </c>
      <c r="AE35" s="3">
        <f t="shared" si="10"/>
        <v>-2</v>
      </c>
      <c r="AF35" s="3">
        <f t="shared" si="11"/>
        <v>-3</v>
      </c>
      <c r="AG35" s="3">
        <f t="shared" si="12"/>
        <v>-0.4358974359</v>
      </c>
    </row>
    <row r="36">
      <c r="A36" s="1" t="s">
        <v>16</v>
      </c>
      <c r="B36" s="1" t="s">
        <v>347</v>
      </c>
      <c r="C36" s="1" t="s">
        <v>21</v>
      </c>
      <c r="D36" s="1" t="s">
        <v>77</v>
      </c>
      <c r="E36" s="1" t="s">
        <v>89</v>
      </c>
      <c r="F36" s="1" t="s">
        <v>647</v>
      </c>
      <c r="G36" s="1">
        <v>27.5</v>
      </c>
      <c r="H36" s="1" t="s">
        <v>60</v>
      </c>
      <c r="I36" s="1">
        <v>-107.0</v>
      </c>
      <c r="J36" s="1">
        <v>-0.126411234420289</v>
      </c>
      <c r="K36" s="1" t="s">
        <v>61</v>
      </c>
      <c r="L36" s="1" t="s">
        <v>61</v>
      </c>
      <c r="M36" s="1" t="s">
        <v>62</v>
      </c>
      <c r="N36" s="1">
        <v>-124.0</v>
      </c>
      <c r="O36" s="1">
        <v>0.0559174448705357</v>
      </c>
      <c r="P36" s="1" t="s">
        <v>61</v>
      </c>
      <c r="Q36" s="1" t="s">
        <v>61</v>
      </c>
      <c r="R36" s="1">
        <f t="shared" si="1"/>
        <v>0.05591744487</v>
      </c>
      <c r="S36" s="1">
        <f t="shared" si="2"/>
        <v>-124</v>
      </c>
      <c r="T36" s="1">
        <f t="shared" si="3"/>
        <v>1.806451613</v>
      </c>
      <c r="U36" s="1">
        <f t="shared" si="4"/>
        <v>0</v>
      </c>
      <c r="V36" s="3">
        <f t="shared" si="5"/>
        <v>2</v>
      </c>
      <c r="W36" s="3">
        <f t="shared" si="6"/>
        <v>3</v>
      </c>
      <c r="X36" s="3" t="str">
        <f>IFERROR(__xludf.DUMMYFUNCTION("split(B36,"" "")"),"L.")</f>
        <v>L.</v>
      </c>
      <c r="Y36" s="3" t="str">
        <f>IFERROR(__xludf.DUMMYFUNCTION("""COMPUTED_VALUE"""),"Jackson")</f>
        <v>Jackson</v>
      </c>
      <c r="AA36" s="8">
        <v>38.0</v>
      </c>
      <c r="AB36" s="3">
        <f t="shared" si="7"/>
        <v>1</v>
      </c>
      <c r="AC36" s="3">
        <f t="shared" si="8"/>
        <v>0</v>
      </c>
      <c r="AD36" s="3">
        <f t="shared" si="9"/>
        <v>1.612903226</v>
      </c>
      <c r="AE36" s="3">
        <f t="shared" si="10"/>
        <v>-2</v>
      </c>
      <c r="AF36" s="3">
        <f t="shared" si="11"/>
        <v>-3</v>
      </c>
      <c r="AG36" s="3">
        <f t="shared" si="12"/>
        <v>-0.3818181818</v>
      </c>
    </row>
    <row r="37">
      <c r="A37" s="1" t="s">
        <v>15</v>
      </c>
      <c r="B37" s="1" t="s">
        <v>347</v>
      </c>
      <c r="C37" s="1" t="s">
        <v>21</v>
      </c>
      <c r="D37" s="1" t="s">
        <v>77</v>
      </c>
      <c r="E37" s="1" t="s">
        <v>89</v>
      </c>
      <c r="F37" s="1" t="s">
        <v>647</v>
      </c>
      <c r="G37" s="1">
        <v>16.5</v>
      </c>
      <c r="H37" s="1" t="s">
        <v>60</v>
      </c>
      <c r="I37" s="1">
        <v>-124.0</v>
      </c>
      <c r="J37" s="1">
        <v>-0.110690809013392</v>
      </c>
      <c r="K37" s="1" t="s">
        <v>61</v>
      </c>
      <c r="L37" s="1" t="s">
        <v>61</v>
      </c>
      <c r="M37" s="1" t="s">
        <v>62</v>
      </c>
      <c r="N37" s="1">
        <v>-104.0</v>
      </c>
      <c r="O37" s="1">
        <v>0.0473466022929411</v>
      </c>
      <c r="P37" s="1" t="s">
        <v>61</v>
      </c>
      <c r="Q37" s="1" t="s">
        <v>61</v>
      </c>
      <c r="R37" s="1">
        <f t="shared" si="1"/>
        <v>0.04734660229</v>
      </c>
      <c r="S37" s="1">
        <f t="shared" si="2"/>
        <v>-104</v>
      </c>
      <c r="T37" s="1">
        <f t="shared" si="3"/>
        <v>1.961538462</v>
      </c>
      <c r="U37" s="1">
        <f t="shared" si="4"/>
        <v>0</v>
      </c>
      <c r="V37" s="3">
        <f t="shared" si="5"/>
        <v>1</v>
      </c>
      <c r="W37" s="3">
        <f t="shared" si="6"/>
        <v>2</v>
      </c>
      <c r="X37" s="3" t="str">
        <f>IFERROR(__xludf.DUMMYFUNCTION("split(B37,"" "")"),"L.")</f>
        <v>L.</v>
      </c>
      <c r="Y37" s="3" t="str">
        <f>IFERROR(__xludf.DUMMYFUNCTION("""COMPUTED_VALUE"""),"Jackson")</f>
        <v>Jackson</v>
      </c>
      <c r="AA37" s="8">
        <v>23.0</v>
      </c>
      <c r="AB37" s="3">
        <f t="shared" si="7"/>
        <v>1</v>
      </c>
      <c r="AC37" s="3">
        <f t="shared" si="8"/>
        <v>0</v>
      </c>
      <c r="AD37" s="3">
        <f t="shared" si="9"/>
        <v>0.9615384615</v>
      </c>
      <c r="AE37" s="3">
        <f t="shared" si="10"/>
        <v>-1</v>
      </c>
      <c r="AF37" s="3">
        <f t="shared" si="11"/>
        <v>-2</v>
      </c>
      <c r="AG37" s="3">
        <f t="shared" si="12"/>
        <v>-0.3939393939</v>
      </c>
    </row>
    <row r="38">
      <c r="A38" s="1" t="s">
        <v>14</v>
      </c>
      <c r="B38" s="1" t="s">
        <v>347</v>
      </c>
      <c r="C38" s="1" t="s">
        <v>21</v>
      </c>
      <c r="D38" s="1" t="s">
        <v>77</v>
      </c>
      <c r="E38" s="1" t="s">
        <v>89</v>
      </c>
      <c r="F38" s="1" t="s">
        <v>647</v>
      </c>
      <c r="G38" s="1">
        <v>1.5</v>
      </c>
      <c r="H38" s="1" t="s">
        <v>60</v>
      </c>
      <c r="I38" s="1">
        <v>143.0</v>
      </c>
      <c r="J38" s="1">
        <v>0.0157596707818928</v>
      </c>
      <c r="K38" s="1" t="s">
        <v>61</v>
      </c>
      <c r="L38" s="1" t="s">
        <v>61</v>
      </c>
      <c r="M38" s="1" t="s">
        <v>62</v>
      </c>
      <c r="N38" s="1">
        <v>-187.0</v>
      </c>
      <c r="O38" s="1">
        <v>-0.0788376306620209</v>
      </c>
      <c r="P38" s="1" t="s">
        <v>61</v>
      </c>
      <c r="Q38" s="1" t="s">
        <v>61</v>
      </c>
      <c r="R38" s="1">
        <f t="shared" si="1"/>
        <v>0.01575967078</v>
      </c>
      <c r="S38" s="1">
        <f t="shared" si="2"/>
        <v>143</v>
      </c>
      <c r="T38" s="1">
        <f t="shared" si="3"/>
        <v>2.43</v>
      </c>
      <c r="U38" s="1">
        <f t="shared" si="4"/>
        <v>1</v>
      </c>
      <c r="V38" s="3">
        <f t="shared" si="5"/>
        <v>1</v>
      </c>
      <c r="W38" s="3">
        <f t="shared" si="6"/>
        <v>1</v>
      </c>
      <c r="X38" s="3" t="str">
        <f>IFERROR(__xludf.DUMMYFUNCTION("split(B38,"" "")"),"L.")</f>
        <v>L.</v>
      </c>
      <c r="Y38" s="3" t="str">
        <f>IFERROR(__xludf.DUMMYFUNCTION("""COMPUTED_VALUE"""),"Jackson")</f>
        <v>Jackson</v>
      </c>
      <c r="AA38" s="8">
        <v>2.0</v>
      </c>
      <c r="AB38" s="3">
        <f t="shared" si="7"/>
        <v>1</v>
      </c>
      <c r="AC38" s="3">
        <f t="shared" si="8"/>
        <v>1</v>
      </c>
      <c r="AD38" s="3">
        <f t="shared" si="9"/>
        <v>1.43</v>
      </c>
      <c r="AE38" s="3">
        <f t="shared" si="10"/>
        <v>1.43</v>
      </c>
      <c r="AF38" s="3">
        <f t="shared" si="11"/>
        <v>1.43</v>
      </c>
      <c r="AG38" s="3">
        <f t="shared" si="12"/>
        <v>0.3333333333</v>
      </c>
    </row>
    <row r="39">
      <c r="A39" s="1" t="s">
        <v>10</v>
      </c>
      <c r="B39" s="1" t="s">
        <v>309</v>
      </c>
      <c r="C39" s="1" t="s">
        <v>19</v>
      </c>
      <c r="D39" s="1" t="s">
        <v>77</v>
      </c>
      <c r="E39" s="1" t="s">
        <v>89</v>
      </c>
      <c r="F39" s="1" t="s">
        <v>647</v>
      </c>
      <c r="G39" s="1">
        <v>97.5</v>
      </c>
      <c r="H39" s="1" t="s">
        <v>60</v>
      </c>
      <c r="I39" s="1">
        <v>-115.0</v>
      </c>
      <c r="J39" s="1">
        <v>0.0127288945322072</v>
      </c>
      <c r="K39" s="1" t="s">
        <v>61</v>
      </c>
      <c r="L39" s="1" t="s">
        <v>61</v>
      </c>
      <c r="M39" s="1" t="s">
        <v>62</v>
      </c>
      <c r="N39" s="1">
        <v>-114.0</v>
      </c>
      <c r="O39" s="1">
        <v>-0.0802843775767179</v>
      </c>
      <c r="P39" s="1" t="s">
        <v>61</v>
      </c>
      <c r="Q39" s="1" t="s">
        <v>61</v>
      </c>
      <c r="R39" s="1">
        <f t="shared" si="1"/>
        <v>0.01272889453</v>
      </c>
      <c r="S39" s="1">
        <f t="shared" si="2"/>
        <v>-115</v>
      </c>
      <c r="T39" s="1">
        <f t="shared" si="3"/>
        <v>1.869565217</v>
      </c>
      <c r="U39" s="1">
        <f t="shared" si="4"/>
        <v>1</v>
      </c>
      <c r="V39" s="3">
        <f t="shared" si="5"/>
        <v>1</v>
      </c>
      <c r="W39" s="3">
        <f t="shared" si="6"/>
        <v>2</v>
      </c>
      <c r="X39" s="3" t="str">
        <f>IFERROR(__xludf.DUMMYFUNCTION("split(B39,"" "")"),"D.")</f>
        <v>D.</v>
      </c>
      <c r="Y39" s="3" t="str">
        <f>IFERROR(__xludf.DUMMYFUNCTION("""COMPUTED_VALUE"""),"Henry")</f>
        <v>Henry</v>
      </c>
      <c r="AA39" s="8">
        <v>73.0</v>
      </c>
      <c r="AB39" s="3">
        <f t="shared" si="7"/>
        <v>0</v>
      </c>
      <c r="AC39" s="3">
        <f t="shared" si="8"/>
        <v>0</v>
      </c>
      <c r="AD39" s="3">
        <f t="shared" si="9"/>
        <v>0.8695652174</v>
      </c>
      <c r="AE39" s="3">
        <f t="shared" si="10"/>
        <v>-1</v>
      </c>
      <c r="AF39" s="3">
        <f t="shared" si="11"/>
        <v>-2</v>
      </c>
      <c r="AG39" s="3">
        <f t="shared" si="12"/>
        <v>-0.2512820513</v>
      </c>
    </row>
    <row r="40">
      <c r="A40" s="1" t="s">
        <v>10</v>
      </c>
      <c r="B40" s="1" t="s">
        <v>189</v>
      </c>
      <c r="C40" s="1" t="s">
        <v>18</v>
      </c>
      <c r="D40" s="1" t="s">
        <v>104</v>
      </c>
      <c r="E40" s="1" t="s">
        <v>82</v>
      </c>
      <c r="F40" s="1" t="s">
        <v>648</v>
      </c>
      <c r="G40" s="1">
        <v>0.5</v>
      </c>
      <c r="H40" s="1" t="s">
        <v>60</v>
      </c>
      <c r="I40" s="1">
        <v>525.0</v>
      </c>
      <c r="J40" s="1">
        <v>0.452727791212782</v>
      </c>
      <c r="K40" s="1" t="s">
        <v>61</v>
      </c>
      <c r="L40" s="1" t="s">
        <v>61</v>
      </c>
      <c r="M40" s="1" t="s">
        <v>62</v>
      </c>
      <c r="N40" s="1">
        <v>-951.0</v>
      </c>
      <c r="O40" s="1">
        <v>-0.517543855560867</v>
      </c>
      <c r="P40" s="1" t="s">
        <v>61</v>
      </c>
      <c r="Q40" s="1" t="s">
        <v>61</v>
      </c>
      <c r="R40" s="1">
        <f t="shared" si="1"/>
        <v>0.4527277912</v>
      </c>
      <c r="S40" s="1">
        <f t="shared" si="2"/>
        <v>525</v>
      </c>
      <c r="T40" s="1">
        <f t="shared" si="3"/>
        <v>6.25</v>
      </c>
      <c r="U40" s="1">
        <f t="shared" si="4"/>
        <v>1</v>
      </c>
      <c r="V40" s="3">
        <f t="shared" si="5"/>
        <v>3</v>
      </c>
      <c r="W40" s="3">
        <f t="shared" si="6"/>
        <v>1</v>
      </c>
      <c r="X40" s="3" t="str">
        <f>IFERROR(__xludf.DUMMYFUNCTION("split(B40,"" "")"),"K.")</f>
        <v>K.</v>
      </c>
      <c r="Y40" s="3" t="str">
        <f>IFERROR(__xludf.DUMMYFUNCTION("""COMPUTED_VALUE"""),"Shakir")</f>
        <v>Shakir</v>
      </c>
      <c r="AA40" s="8">
        <v>2.0</v>
      </c>
      <c r="AB40" s="3">
        <f t="shared" si="7"/>
        <v>1</v>
      </c>
      <c r="AC40" s="3">
        <f t="shared" si="8"/>
        <v>1</v>
      </c>
      <c r="AD40" s="3">
        <f t="shared" si="9"/>
        <v>15.75</v>
      </c>
      <c r="AE40" s="3">
        <f t="shared" si="10"/>
        <v>0</v>
      </c>
      <c r="AF40" s="3">
        <f t="shared" si="11"/>
        <v>5.25</v>
      </c>
      <c r="AG40" s="3">
        <f t="shared" si="12"/>
        <v>3</v>
      </c>
    </row>
    <row r="41">
      <c r="A41" s="1" t="s">
        <v>8</v>
      </c>
      <c r="B41" s="1" t="s">
        <v>342</v>
      </c>
      <c r="C41" s="1" t="s">
        <v>19</v>
      </c>
      <c r="D41" s="1" t="s">
        <v>104</v>
      </c>
      <c r="E41" s="1" t="s">
        <v>82</v>
      </c>
      <c r="F41" s="1" t="s">
        <v>648</v>
      </c>
      <c r="G41" s="1">
        <v>5.5</v>
      </c>
      <c r="H41" s="1" t="s">
        <v>60</v>
      </c>
      <c r="I41" s="1">
        <v>-108.0</v>
      </c>
      <c r="J41" s="1">
        <v>-0.218860065375715</v>
      </c>
      <c r="K41" s="1" t="s">
        <v>61</v>
      </c>
      <c r="L41" s="1" t="s">
        <v>61</v>
      </c>
      <c r="M41" s="1" t="s">
        <v>62</v>
      </c>
      <c r="N41" s="1">
        <v>-123.0</v>
      </c>
      <c r="O41" s="1">
        <v>0.148078830160192</v>
      </c>
      <c r="P41" s="1" t="s">
        <v>61</v>
      </c>
      <c r="Q41" s="1" t="s">
        <v>61</v>
      </c>
      <c r="R41" s="1">
        <f t="shared" si="1"/>
        <v>0.1480788302</v>
      </c>
      <c r="S41" s="1">
        <f t="shared" si="2"/>
        <v>-123</v>
      </c>
      <c r="T41" s="1">
        <f t="shared" si="3"/>
        <v>1.81300813</v>
      </c>
      <c r="U41" s="1">
        <f t="shared" si="4"/>
        <v>0</v>
      </c>
      <c r="V41" s="3">
        <f t="shared" si="5"/>
        <v>3</v>
      </c>
      <c r="W41" s="3">
        <f t="shared" si="6"/>
        <v>3</v>
      </c>
      <c r="X41" s="3" t="str">
        <f>IFERROR(__xludf.DUMMYFUNCTION("split(B41,"" "")"),"R.")</f>
        <v>R.</v>
      </c>
      <c r="Y41" s="3" t="str">
        <f>IFERROR(__xludf.DUMMYFUNCTION("""COMPUTED_VALUE"""),"Davis")</f>
        <v>Davis</v>
      </c>
      <c r="AA41" s="8">
        <v>6.0</v>
      </c>
      <c r="AB41" s="3">
        <f t="shared" si="7"/>
        <v>1</v>
      </c>
      <c r="AC41" s="3">
        <f t="shared" si="8"/>
        <v>0</v>
      </c>
      <c r="AD41" s="3">
        <f t="shared" si="9"/>
        <v>2.43902439</v>
      </c>
      <c r="AE41" s="3">
        <f t="shared" si="10"/>
        <v>-3</v>
      </c>
      <c r="AF41" s="3">
        <f t="shared" si="11"/>
        <v>-3</v>
      </c>
      <c r="AG41" s="3">
        <f t="shared" si="12"/>
        <v>-0.09090909091</v>
      </c>
    </row>
    <row r="42">
      <c r="A42" s="1" t="s">
        <v>12</v>
      </c>
      <c r="B42" s="1" t="s">
        <v>235</v>
      </c>
      <c r="C42" s="1" t="s">
        <v>20</v>
      </c>
      <c r="D42" s="1" t="s">
        <v>104</v>
      </c>
      <c r="E42" s="1" t="s">
        <v>82</v>
      </c>
      <c r="F42" s="1" t="s">
        <v>648</v>
      </c>
      <c r="G42" s="1">
        <v>3.5</v>
      </c>
      <c r="H42" s="1" t="s">
        <v>60</v>
      </c>
      <c r="I42" s="1">
        <v>-168.0</v>
      </c>
      <c r="J42" s="1">
        <v>-0.194502985074626</v>
      </c>
      <c r="K42" s="1" t="s">
        <v>61</v>
      </c>
      <c r="L42" s="1" t="s">
        <v>61</v>
      </c>
      <c r="M42" s="1" t="s">
        <v>62</v>
      </c>
      <c r="N42" s="1">
        <v>128.0</v>
      </c>
      <c r="O42" s="1">
        <v>0.129047368421052</v>
      </c>
      <c r="P42" s="1" t="s">
        <v>61</v>
      </c>
      <c r="Q42" s="1" t="s">
        <v>61</v>
      </c>
      <c r="R42" s="1">
        <f t="shared" si="1"/>
        <v>0.1290473684</v>
      </c>
      <c r="S42" s="1">
        <f t="shared" si="2"/>
        <v>128</v>
      </c>
      <c r="T42" s="1">
        <f t="shared" si="3"/>
        <v>2.28</v>
      </c>
      <c r="U42" s="1">
        <f t="shared" si="4"/>
        <v>0</v>
      </c>
      <c r="V42" s="3">
        <f t="shared" si="5"/>
        <v>3</v>
      </c>
      <c r="W42" s="3">
        <f t="shared" si="6"/>
        <v>1</v>
      </c>
      <c r="X42" s="3" t="str">
        <f>IFERROR(__xludf.DUMMYFUNCTION("split(B42,"" "")"),"D.")</f>
        <v>D.</v>
      </c>
      <c r="Y42" s="3" t="str">
        <f>IFERROR(__xludf.DUMMYFUNCTION("""COMPUTED_VALUE"""),"Kincaid")</f>
        <v>Kincaid</v>
      </c>
      <c r="AA42" s="8">
        <v>4.0</v>
      </c>
      <c r="AB42" s="3">
        <f t="shared" si="7"/>
        <v>1</v>
      </c>
      <c r="AC42" s="3">
        <f t="shared" si="8"/>
        <v>0</v>
      </c>
      <c r="AD42" s="3">
        <f t="shared" si="9"/>
        <v>3.84</v>
      </c>
      <c r="AE42" s="3">
        <f t="shared" si="10"/>
        <v>-3</v>
      </c>
      <c r="AF42" s="3">
        <f t="shared" si="11"/>
        <v>-1</v>
      </c>
      <c r="AG42" s="3">
        <f t="shared" si="12"/>
        <v>-0.1428571429</v>
      </c>
    </row>
    <row r="43">
      <c r="A43" s="1" t="s">
        <v>8</v>
      </c>
      <c r="B43" s="1" t="s">
        <v>434</v>
      </c>
      <c r="C43" s="1" t="s">
        <v>21</v>
      </c>
      <c r="D43" s="1" t="s">
        <v>104</v>
      </c>
      <c r="E43" s="1" t="s">
        <v>82</v>
      </c>
      <c r="F43" s="1" t="s">
        <v>648</v>
      </c>
      <c r="G43" s="1">
        <v>6.0</v>
      </c>
      <c r="H43" s="1" t="s">
        <v>60</v>
      </c>
      <c r="I43" s="1">
        <v>-107.0</v>
      </c>
      <c r="J43" s="1">
        <v>-0.191658985087899</v>
      </c>
      <c r="K43" s="1" t="s">
        <v>61</v>
      </c>
      <c r="L43" s="1" t="s">
        <v>61</v>
      </c>
      <c r="M43" s="1" t="s">
        <v>62</v>
      </c>
      <c r="N43" s="1">
        <v>-129.0</v>
      </c>
      <c r="O43" s="1">
        <v>0.119229103877824</v>
      </c>
      <c r="P43" s="1" t="s">
        <v>61</v>
      </c>
      <c r="Q43" s="1" t="s">
        <v>61</v>
      </c>
      <c r="R43" s="1">
        <f t="shared" si="1"/>
        <v>0.1192291039</v>
      </c>
      <c r="S43" s="1">
        <f t="shared" si="2"/>
        <v>-129</v>
      </c>
      <c r="T43" s="1">
        <f t="shared" si="3"/>
        <v>1.775193798</v>
      </c>
      <c r="U43" s="1">
        <f t="shared" si="4"/>
        <v>0</v>
      </c>
      <c r="V43" s="3">
        <f t="shared" si="5"/>
        <v>3</v>
      </c>
      <c r="W43" s="3">
        <f t="shared" si="6"/>
        <v>3</v>
      </c>
      <c r="X43" s="3" t="str">
        <f>IFERROR(__xludf.DUMMYFUNCTION("split(B43,"" "")"),"J.")</f>
        <v>J.</v>
      </c>
      <c r="Y43" s="3" t="str">
        <f>IFERROR(__xludf.DUMMYFUNCTION("""COMPUTED_VALUE"""),"Allen")</f>
        <v>Allen</v>
      </c>
      <c r="AA43" s="8">
        <v>7.0</v>
      </c>
      <c r="AB43" s="3">
        <f t="shared" si="7"/>
        <v>1</v>
      </c>
      <c r="AC43" s="3">
        <f t="shared" si="8"/>
        <v>0</v>
      </c>
      <c r="AD43" s="3">
        <f t="shared" si="9"/>
        <v>2.325581395</v>
      </c>
      <c r="AE43" s="3">
        <f t="shared" si="10"/>
        <v>-3</v>
      </c>
      <c r="AF43" s="3">
        <f t="shared" si="11"/>
        <v>-3</v>
      </c>
      <c r="AG43" s="3">
        <f t="shared" si="12"/>
        <v>-0.1666666667</v>
      </c>
    </row>
    <row r="44">
      <c r="A44" s="1" t="s">
        <v>12</v>
      </c>
      <c r="B44" s="1" t="s">
        <v>426</v>
      </c>
      <c r="C44" s="1" t="s">
        <v>18</v>
      </c>
      <c r="D44" s="1" t="s">
        <v>104</v>
      </c>
      <c r="E44" s="1" t="s">
        <v>82</v>
      </c>
      <c r="F44" s="1" t="s">
        <v>648</v>
      </c>
      <c r="G44" s="1">
        <v>2.5</v>
      </c>
      <c r="H44" s="1" t="s">
        <v>60</v>
      </c>
      <c r="I44" s="1">
        <v>-113.0</v>
      </c>
      <c r="J44" s="1">
        <v>-0.17531447342723</v>
      </c>
      <c r="K44" s="1" t="s">
        <v>61</v>
      </c>
      <c r="L44" s="1" t="s">
        <v>61</v>
      </c>
      <c r="M44" s="1" t="s">
        <v>62</v>
      </c>
      <c r="N44" s="1">
        <v>-117.0</v>
      </c>
      <c r="O44" s="1">
        <v>0.10562724388387</v>
      </c>
      <c r="P44" s="1" t="s">
        <v>61</v>
      </c>
      <c r="Q44" s="1" t="s">
        <v>61</v>
      </c>
      <c r="R44" s="1">
        <f t="shared" si="1"/>
        <v>0.1056272439</v>
      </c>
      <c r="S44" s="1">
        <f t="shared" si="2"/>
        <v>-117</v>
      </c>
      <c r="T44" s="1">
        <f t="shared" si="3"/>
        <v>1.854700855</v>
      </c>
      <c r="U44" s="1">
        <f t="shared" si="4"/>
        <v>0</v>
      </c>
      <c r="V44" s="3">
        <f t="shared" si="5"/>
        <v>3</v>
      </c>
      <c r="W44" s="3">
        <f t="shared" si="6"/>
        <v>2</v>
      </c>
      <c r="X44" s="3" t="str">
        <f>IFERROR(__xludf.DUMMYFUNCTION("split(B44,"" "")"),"K.")</f>
        <v>K.</v>
      </c>
      <c r="Y44" s="3" t="str">
        <f>IFERROR(__xludf.DUMMYFUNCTION("""COMPUTED_VALUE"""),"Coleman")</f>
        <v>Coleman</v>
      </c>
      <c r="AA44" s="8">
        <v>5.0</v>
      </c>
      <c r="AB44" s="3">
        <f t="shared" si="7"/>
        <v>1</v>
      </c>
      <c r="AC44" s="3">
        <f t="shared" si="8"/>
        <v>0</v>
      </c>
      <c r="AD44" s="3">
        <f t="shared" si="9"/>
        <v>2.564102564</v>
      </c>
      <c r="AE44" s="3">
        <f t="shared" si="10"/>
        <v>-3</v>
      </c>
      <c r="AF44" s="3">
        <f t="shared" si="11"/>
        <v>-2</v>
      </c>
      <c r="AG44" s="3">
        <f t="shared" si="12"/>
        <v>-1</v>
      </c>
    </row>
    <row r="45">
      <c r="A45" s="1" t="s">
        <v>8</v>
      </c>
      <c r="B45" s="1" t="s">
        <v>458</v>
      </c>
      <c r="C45" s="1" t="s">
        <v>19</v>
      </c>
      <c r="D45" s="1" t="s">
        <v>104</v>
      </c>
      <c r="E45" s="1" t="s">
        <v>82</v>
      </c>
      <c r="F45" s="1" t="s">
        <v>648</v>
      </c>
      <c r="G45" s="1">
        <v>13.5</v>
      </c>
      <c r="H45" s="1" t="s">
        <v>60</v>
      </c>
      <c r="I45" s="1">
        <v>-130.0</v>
      </c>
      <c r="J45" s="1">
        <v>-0.168228774631739</v>
      </c>
      <c r="K45" s="1" t="s">
        <v>61</v>
      </c>
      <c r="L45" s="1" t="s">
        <v>61</v>
      </c>
      <c r="M45" s="1" t="s">
        <v>62</v>
      </c>
      <c r="N45" s="1">
        <v>100.0</v>
      </c>
      <c r="O45" s="1">
        <v>0.1029980908265</v>
      </c>
      <c r="P45" s="1" t="s">
        <v>61</v>
      </c>
      <c r="Q45" s="1" t="s">
        <v>61</v>
      </c>
      <c r="R45" s="1">
        <f t="shared" si="1"/>
        <v>0.1029980908</v>
      </c>
      <c r="S45" s="1">
        <f t="shared" si="2"/>
        <v>100</v>
      </c>
      <c r="T45" s="1">
        <f t="shared" si="3"/>
        <v>2</v>
      </c>
      <c r="U45" s="1">
        <f t="shared" si="4"/>
        <v>0</v>
      </c>
      <c r="V45" s="3">
        <f t="shared" si="5"/>
        <v>3</v>
      </c>
      <c r="W45" s="3">
        <f t="shared" si="6"/>
        <v>2</v>
      </c>
      <c r="X45" s="3" t="str">
        <f>IFERROR(__xludf.DUMMYFUNCTION("split(B45,"" "")"),"J.")</f>
        <v>J.</v>
      </c>
      <c r="Y45" s="3" t="str">
        <f>IFERROR(__xludf.DUMMYFUNCTION("""COMPUTED_VALUE"""),"Cook")</f>
        <v>Cook</v>
      </c>
      <c r="AA45" s="8">
        <v>17.0</v>
      </c>
      <c r="AB45" s="3">
        <f t="shared" si="7"/>
        <v>1</v>
      </c>
      <c r="AC45" s="3">
        <f t="shared" si="8"/>
        <v>0</v>
      </c>
      <c r="AD45" s="3">
        <f t="shared" si="9"/>
        <v>3</v>
      </c>
      <c r="AE45" s="3">
        <f t="shared" si="10"/>
        <v>-3</v>
      </c>
      <c r="AF45" s="3">
        <f t="shared" si="11"/>
        <v>-2</v>
      </c>
      <c r="AG45" s="3">
        <f t="shared" si="12"/>
        <v>-0.2592592593</v>
      </c>
    </row>
    <row r="46">
      <c r="A46" s="1" t="s">
        <v>12</v>
      </c>
      <c r="B46" s="1" t="s">
        <v>189</v>
      </c>
      <c r="C46" s="1" t="s">
        <v>18</v>
      </c>
      <c r="D46" s="1" t="s">
        <v>104</v>
      </c>
      <c r="E46" s="1" t="s">
        <v>82</v>
      </c>
      <c r="F46" s="1" t="s">
        <v>648</v>
      </c>
      <c r="G46" s="1">
        <v>3.5</v>
      </c>
      <c r="H46" s="1" t="s">
        <v>60</v>
      </c>
      <c r="I46" s="1">
        <v>-130.0</v>
      </c>
      <c r="J46" s="1">
        <v>-0.149073913043478</v>
      </c>
      <c r="K46" s="1" t="s">
        <v>61</v>
      </c>
      <c r="L46" s="1" t="s">
        <v>61</v>
      </c>
      <c r="M46" s="1" t="s">
        <v>62</v>
      </c>
      <c r="N46" s="1">
        <v>-101.0</v>
      </c>
      <c r="O46" s="1">
        <v>0.0813621890547262</v>
      </c>
      <c r="P46" s="1" t="s">
        <v>61</v>
      </c>
      <c r="Q46" s="1" t="s">
        <v>61</v>
      </c>
      <c r="R46" s="1">
        <f t="shared" si="1"/>
        <v>0.08136218905</v>
      </c>
      <c r="S46" s="1">
        <f t="shared" si="2"/>
        <v>-101</v>
      </c>
      <c r="T46" s="1">
        <f t="shared" si="3"/>
        <v>1.99009901</v>
      </c>
      <c r="U46" s="1">
        <f t="shared" si="4"/>
        <v>0</v>
      </c>
      <c r="V46" s="3">
        <f t="shared" si="5"/>
        <v>2</v>
      </c>
      <c r="W46" s="3">
        <f t="shared" si="6"/>
        <v>2</v>
      </c>
      <c r="X46" s="3" t="str">
        <f>IFERROR(__xludf.DUMMYFUNCTION("split(B46,"" "")"),"K.")</f>
        <v>K.</v>
      </c>
      <c r="Y46" s="3" t="str">
        <f>IFERROR(__xludf.DUMMYFUNCTION("""COMPUTED_VALUE"""),"Shakir")</f>
        <v>Shakir</v>
      </c>
      <c r="AA46" s="8">
        <v>9.0</v>
      </c>
      <c r="AB46" s="3">
        <f t="shared" si="7"/>
        <v>1</v>
      </c>
      <c r="AC46" s="3">
        <f t="shared" si="8"/>
        <v>0</v>
      </c>
      <c r="AD46" s="3">
        <f t="shared" si="9"/>
        <v>1.98019802</v>
      </c>
      <c r="AE46" s="3">
        <f t="shared" si="10"/>
        <v>-2</v>
      </c>
      <c r="AF46" s="3">
        <f t="shared" si="11"/>
        <v>-2</v>
      </c>
      <c r="AG46" s="3">
        <f t="shared" si="12"/>
        <v>-1.571428571</v>
      </c>
    </row>
    <row r="47">
      <c r="A47" s="1" t="s">
        <v>10</v>
      </c>
      <c r="B47" s="1" t="s">
        <v>342</v>
      </c>
      <c r="C47" s="1" t="s">
        <v>19</v>
      </c>
      <c r="D47" s="1" t="s">
        <v>104</v>
      </c>
      <c r="E47" s="1" t="s">
        <v>82</v>
      </c>
      <c r="F47" s="1" t="s">
        <v>648</v>
      </c>
      <c r="G47" s="1">
        <v>21.5</v>
      </c>
      <c r="H47" s="1" t="s">
        <v>60</v>
      </c>
      <c r="I47" s="1">
        <v>-114.0</v>
      </c>
      <c r="J47" s="1">
        <v>-0.11465519480857</v>
      </c>
      <c r="K47" s="1" t="s">
        <v>61</v>
      </c>
      <c r="L47" s="1" t="s">
        <v>61</v>
      </c>
      <c r="M47" s="1" t="s">
        <v>62</v>
      </c>
      <c r="N47" s="1">
        <v>-115.0</v>
      </c>
      <c r="O47" s="1">
        <v>0.0471255508948338</v>
      </c>
      <c r="P47" s="1" t="s">
        <v>61</v>
      </c>
      <c r="Q47" s="1" t="s">
        <v>61</v>
      </c>
      <c r="R47" s="1">
        <f t="shared" si="1"/>
        <v>0.04712555089</v>
      </c>
      <c r="S47" s="1">
        <f t="shared" si="2"/>
        <v>-115</v>
      </c>
      <c r="T47" s="1">
        <f t="shared" si="3"/>
        <v>1.869565217</v>
      </c>
      <c r="U47" s="1">
        <f t="shared" si="4"/>
        <v>0</v>
      </c>
      <c r="V47" s="3">
        <f t="shared" si="5"/>
        <v>1</v>
      </c>
      <c r="W47" s="3">
        <f t="shared" si="6"/>
        <v>2</v>
      </c>
      <c r="X47" s="3" t="str">
        <f>IFERROR(__xludf.DUMMYFUNCTION("split(B47,"" "")"),"R.")</f>
        <v>R.</v>
      </c>
      <c r="Y47" s="3" t="str">
        <f>IFERROR(__xludf.DUMMYFUNCTION("""COMPUTED_VALUE"""),"Davis")</f>
        <v>Davis</v>
      </c>
      <c r="AA47" s="8">
        <v>29.0</v>
      </c>
      <c r="AB47" s="3">
        <f t="shared" si="7"/>
        <v>1</v>
      </c>
      <c r="AC47" s="3">
        <f t="shared" si="8"/>
        <v>0</v>
      </c>
      <c r="AD47" s="3">
        <f t="shared" si="9"/>
        <v>0.8695652174</v>
      </c>
      <c r="AE47" s="3">
        <f t="shared" si="10"/>
        <v>-1</v>
      </c>
      <c r="AF47" s="3">
        <f t="shared" si="11"/>
        <v>-2</v>
      </c>
      <c r="AG47" s="3">
        <f t="shared" si="12"/>
        <v>-0.3488372093</v>
      </c>
    </row>
    <row r="48">
      <c r="A48" s="1" t="s">
        <v>17</v>
      </c>
      <c r="B48" s="1" t="s">
        <v>434</v>
      </c>
      <c r="C48" s="1" t="s">
        <v>21</v>
      </c>
      <c r="D48" s="1" t="s">
        <v>104</v>
      </c>
      <c r="E48" s="1" t="s">
        <v>82</v>
      </c>
      <c r="F48" s="1" t="s">
        <v>648</v>
      </c>
      <c r="G48" s="1">
        <v>0.5</v>
      </c>
      <c r="H48" s="1" t="s">
        <v>60</v>
      </c>
      <c r="I48" s="1">
        <v>-123.0</v>
      </c>
      <c r="J48" s="1">
        <v>-0.10682466367713</v>
      </c>
      <c r="K48" s="1" t="s">
        <v>61</v>
      </c>
      <c r="L48" s="1" t="s">
        <v>61</v>
      </c>
      <c r="M48" s="1" t="s">
        <v>62</v>
      </c>
      <c r="N48" s="1">
        <v>-106.0</v>
      </c>
      <c r="O48" s="1">
        <v>0.0406854368932038</v>
      </c>
      <c r="P48" s="1" t="s">
        <v>61</v>
      </c>
      <c r="Q48" s="1" t="s">
        <v>61</v>
      </c>
      <c r="R48" s="1">
        <f t="shared" si="1"/>
        <v>0.04068543689</v>
      </c>
      <c r="S48" s="1">
        <f t="shared" si="2"/>
        <v>-106</v>
      </c>
      <c r="T48" s="1">
        <f t="shared" si="3"/>
        <v>1.943396226</v>
      </c>
      <c r="U48" s="1">
        <f t="shared" si="4"/>
        <v>0</v>
      </c>
      <c r="V48" s="3">
        <f t="shared" si="5"/>
        <v>1</v>
      </c>
      <c r="W48" s="3">
        <f t="shared" si="6"/>
        <v>2</v>
      </c>
      <c r="X48" s="3" t="str">
        <f>IFERROR(__xludf.DUMMYFUNCTION("split(B48,"" "")"),"J.")</f>
        <v>J.</v>
      </c>
      <c r="Y48" s="3" t="str">
        <f>IFERROR(__xludf.DUMMYFUNCTION("""COMPUTED_VALUE"""),"Allen")</f>
        <v>Allen</v>
      </c>
      <c r="AA48" s="8">
        <v>1.0</v>
      </c>
      <c r="AB48" s="3">
        <f t="shared" si="7"/>
        <v>1</v>
      </c>
      <c r="AC48" s="3">
        <f t="shared" si="8"/>
        <v>0</v>
      </c>
      <c r="AD48" s="3">
        <f t="shared" si="9"/>
        <v>0.9433962264</v>
      </c>
      <c r="AE48" s="3">
        <f t="shared" si="10"/>
        <v>-1</v>
      </c>
      <c r="AF48" s="3">
        <f t="shared" si="11"/>
        <v>-2</v>
      </c>
      <c r="AG48" s="3">
        <f t="shared" si="12"/>
        <v>-1</v>
      </c>
    </row>
    <row r="49">
      <c r="A49" s="1" t="s">
        <v>9</v>
      </c>
      <c r="B49" s="1" t="s">
        <v>426</v>
      </c>
      <c r="C49" s="1" t="s">
        <v>18</v>
      </c>
      <c r="D49" s="1" t="s">
        <v>104</v>
      </c>
      <c r="E49" s="1" t="s">
        <v>82</v>
      </c>
      <c r="F49" s="1" t="s">
        <v>648</v>
      </c>
      <c r="G49" s="1">
        <v>31.5</v>
      </c>
      <c r="H49" s="1" t="s">
        <v>60</v>
      </c>
      <c r="I49" s="1">
        <v>-116.0</v>
      </c>
      <c r="J49" s="1">
        <v>0.0295237362185868</v>
      </c>
      <c r="K49" s="1" t="s">
        <v>61</v>
      </c>
      <c r="L49" s="1" t="s">
        <v>61</v>
      </c>
      <c r="M49" s="1" t="s">
        <v>62</v>
      </c>
      <c r="N49" s="1">
        <v>-116.0</v>
      </c>
      <c r="O49" s="1">
        <v>-0.10357553401356</v>
      </c>
      <c r="P49" s="1" t="s">
        <v>61</v>
      </c>
      <c r="Q49" s="1" t="s">
        <v>61</v>
      </c>
      <c r="R49" s="1">
        <f t="shared" si="1"/>
        <v>0.02952373622</v>
      </c>
      <c r="S49" s="1">
        <f t="shared" si="2"/>
        <v>-116</v>
      </c>
      <c r="T49" s="1">
        <f t="shared" si="3"/>
        <v>1.862068966</v>
      </c>
      <c r="U49" s="1">
        <f t="shared" si="4"/>
        <v>1</v>
      </c>
      <c r="V49" s="3">
        <f t="shared" si="5"/>
        <v>1</v>
      </c>
      <c r="W49" s="3">
        <f t="shared" si="6"/>
        <v>2</v>
      </c>
      <c r="X49" s="3" t="str">
        <f>IFERROR(__xludf.DUMMYFUNCTION("split(B49,"" "")"),"K.")</f>
        <v>K.</v>
      </c>
      <c r="Y49" s="3" t="str">
        <f>IFERROR(__xludf.DUMMYFUNCTION("""COMPUTED_VALUE"""),"Coleman")</f>
        <v>Coleman</v>
      </c>
      <c r="AA49" s="8">
        <v>70.0</v>
      </c>
      <c r="AB49" s="3">
        <f t="shared" si="7"/>
        <v>1</v>
      </c>
      <c r="AC49" s="3">
        <f t="shared" si="8"/>
        <v>1</v>
      </c>
      <c r="AD49" s="3">
        <f t="shared" si="9"/>
        <v>0.8620689655</v>
      </c>
      <c r="AE49" s="3">
        <f t="shared" si="10"/>
        <v>0.8620689655</v>
      </c>
      <c r="AF49" s="3">
        <f t="shared" si="11"/>
        <v>1.724137931</v>
      </c>
      <c r="AG49" s="3">
        <f t="shared" si="12"/>
        <v>1.222222222</v>
      </c>
    </row>
    <row r="50">
      <c r="A50" s="1" t="s">
        <v>10</v>
      </c>
      <c r="B50" s="1" t="s">
        <v>434</v>
      </c>
      <c r="C50" s="1" t="s">
        <v>21</v>
      </c>
      <c r="D50" s="1" t="s">
        <v>104</v>
      </c>
      <c r="E50" s="1" t="s">
        <v>82</v>
      </c>
      <c r="F50" s="1" t="s">
        <v>648</v>
      </c>
      <c r="G50" s="1">
        <v>29.5</v>
      </c>
      <c r="H50" s="1" t="s">
        <v>60</v>
      </c>
      <c r="I50" s="1">
        <v>-112.0</v>
      </c>
      <c r="J50" s="1">
        <v>-0.0931281991061056</v>
      </c>
      <c r="K50" s="1" t="s">
        <v>61</v>
      </c>
      <c r="L50" s="1" t="s">
        <v>61</v>
      </c>
      <c r="M50" s="1" t="s">
        <v>62</v>
      </c>
      <c r="N50" s="1">
        <v>-117.0</v>
      </c>
      <c r="O50" s="1">
        <v>0.0256881774482877</v>
      </c>
      <c r="P50" s="1" t="s">
        <v>61</v>
      </c>
      <c r="Q50" s="1" t="s">
        <v>61</v>
      </c>
      <c r="R50" s="1">
        <f t="shared" si="1"/>
        <v>0.02568817745</v>
      </c>
      <c r="S50" s="1">
        <f t="shared" si="2"/>
        <v>-117</v>
      </c>
      <c r="T50" s="1">
        <f t="shared" si="3"/>
        <v>1.854700855</v>
      </c>
      <c r="U50" s="1">
        <f t="shared" si="4"/>
        <v>0</v>
      </c>
      <c r="V50" s="3">
        <f t="shared" si="5"/>
        <v>1</v>
      </c>
      <c r="W50" s="3">
        <f t="shared" si="6"/>
        <v>2</v>
      </c>
      <c r="X50" s="3" t="str">
        <f>IFERROR(__xludf.DUMMYFUNCTION("split(B50,"" "")"),"J.")</f>
        <v>J.</v>
      </c>
      <c r="Y50" s="3" t="str">
        <f>IFERROR(__xludf.DUMMYFUNCTION("""COMPUTED_VALUE"""),"Allen")</f>
        <v>Allen</v>
      </c>
      <c r="AA50" s="8">
        <v>25.0</v>
      </c>
      <c r="AB50" s="3">
        <f t="shared" si="7"/>
        <v>0</v>
      </c>
      <c r="AC50" s="3">
        <f t="shared" si="8"/>
        <v>1</v>
      </c>
      <c r="AD50" s="3">
        <f t="shared" si="9"/>
        <v>0.8547008547</v>
      </c>
      <c r="AE50" s="3">
        <f t="shared" si="10"/>
        <v>0.8547008547</v>
      </c>
      <c r="AF50" s="3">
        <f t="shared" si="11"/>
        <v>1.709401709</v>
      </c>
      <c r="AG50" s="3">
        <f t="shared" si="12"/>
        <v>0.1525423729</v>
      </c>
    </row>
    <row r="51">
      <c r="A51" s="1" t="s">
        <v>11</v>
      </c>
      <c r="B51" s="1" t="s">
        <v>235</v>
      </c>
      <c r="C51" s="1" t="s">
        <v>20</v>
      </c>
      <c r="D51" s="1" t="s">
        <v>104</v>
      </c>
      <c r="E51" s="1" t="s">
        <v>82</v>
      </c>
      <c r="F51" s="1" t="s">
        <v>648</v>
      </c>
      <c r="G51" s="1">
        <v>40.5</v>
      </c>
      <c r="H51" s="1" t="s">
        <v>60</v>
      </c>
      <c r="I51" s="1">
        <v>-113.0</v>
      </c>
      <c r="J51" s="1">
        <v>-0.0873596049211738</v>
      </c>
      <c r="K51" s="1" t="s">
        <v>61</v>
      </c>
      <c r="L51" s="1" t="s">
        <v>61</v>
      </c>
      <c r="M51" s="1" t="s">
        <v>62</v>
      </c>
      <c r="N51" s="1">
        <v>-117.0</v>
      </c>
      <c r="O51" s="1">
        <v>0.0176637786808018</v>
      </c>
      <c r="P51" s="1" t="s">
        <v>61</v>
      </c>
      <c r="Q51" s="1" t="s">
        <v>61</v>
      </c>
      <c r="R51" s="1">
        <f t="shared" si="1"/>
        <v>0.01766377868</v>
      </c>
      <c r="S51" s="1">
        <f t="shared" si="2"/>
        <v>-117</v>
      </c>
      <c r="T51" s="1">
        <f t="shared" si="3"/>
        <v>1.854700855</v>
      </c>
      <c r="U51" s="1">
        <f t="shared" si="4"/>
        <v>0</v>
      </c>
      <c r="V51" s="3">
        <f t="shared" si="5"/>
        <v>1</v>
      </c>
      <c r="W51" s="3">
        <f t="shared" si="6"/>
        <v>2</v>
      </c>
      <c r="X51" s="3" t="str">
        <f>IFERROR(__xludf.DUMMYFUNCTION("split(B51,"" "")"),"D.")</f>
        <v>D.</v>
      </c>
      <c r="Y51" s="3" t="str">
        <f>IFERROR(__xludf.DUMMYFUNCTION("""COMPUTED_VALUE"""),"Kincaid")</f>
        <v>Kincaid</v>
      </c>
      <c r="AA51" s="8">
        <v>31.0</v>
      </c>
      <c r="AB51" s="3">
        <f t="shared" si="7"/>
        <v>0</v>
      </c>
      <c r="AC51" s="3">
        <f t="shared" si="8"/>
        <v>1</v>
      </c>
      <c r="AD51" s="3">
        <f t="shared" si="9"/>
        <v>0.8547008547</v>
      </c>
      <c r="AE51" s="3">
        <f t="shared" si="10"/>
        <v>0.8547008547</v>
      </c>
      <c r="AF51" s="3">
        <f t="shared" si="11"/>
        <v>1.709401709</v>
      </c>
      <c r="AG51" s="3">
        <f t="shared" si="12"/>
        <v>0.2345679012</v>
      </c>
    </row>
    <row r="52">
      <c r="A52" s="1" t="s">
        <v>11</v>
      </c>
      <c r="B52" s="1" t="s">
        <v>442</v>
      </c>
      <c r="C52" s="1" t="s">
        <v>18</v>
      </c>
      <c r="D52" s="1" t="s">
        <v>104</v>
      </c>
      <c r="E52" s="1" t="s">
        <v>82</v>
      </c>
      <c r="F52" s="1" t="s">
        <v>648</v>
      </c>
      <c r="G52" s="1">
        <v>55.5</v>
      </c>
      <c r="H52" s="1" t="s">
        <v>60</v>
      </c>
      <c r="I52" s="1">
        <v>-114.0</v>
      </c>
      <c r="J52" s="1">
        <v>-0.0780360563654854</v>
      </c>
      <c r="K52" s="1" t="s">
        <v>61</v>
      </c>
      <c r="L52" s="1" t="s">
        <v>61</v>
      </c>
      <c r="M52" s="1" t="s">
        <v>62</v>
      </c>
      <c r="N52" s="1">
        <v>-115.0</v>
      </c>
      <c r="O52" s="1">
        <v>0.0104890039599994</v>
      </c>
      <c r="P52" s="1" t="s">
        <v>61</v>
      </c>
      <c r="Q52" s="1" t="s">
        <v>61</v>
      </c>
      <c r="R52" s="1">
        <f t="shared" si="1"/>
        <v>0.01048900396</v>
      </c>
      <c r="S52" s="1">
        <f t="shared" si="2"/>
        <v>-115</v>
      </c>
      <c r="T52" s="1">
        <f t="shared" si="3"/>
        <v>1.869565217</v>
      </c>
      <c r="U52" s="1">
        <f t="shared" si="4"/>
        <v>0</v>
      </c>
      <c r="V52" s="3">
        <f t="shared" si="5"/>
        <v>1</v>
      </c>
      <c r="W52" s="3">
        <f t="shared" si="6"/>
        <v>2</v>
      </c>
      <c r="X52" s="3" t="str">
        <f>IFERROR(__xludf.DUMMYFUNCTION("split(B52,"" "")"),"A.")</f>
        <v>A.</v>
      </c>
      <c r="Y52" s="3" t="str">
        <f>IFERROR(__xludf.DUMMYFUNCTION("""COMPUTED_VALUE"""),"Cooper")</f>
        <v>Cooper</v>
      </c>
      <c r="AA52" s="8">
        <v>3.0</v>
      </c>
      <c r="AB52" s="3">
        <f t="shared" si="7"/>
        <v>0</v>
      </c>
      <c r="AC52" s="3">
        <f t="shared" si="8"/>
        <v>1</v>
      </c>
      <c r="AD52" s="3">
        <f t="shared" si="9"/>
        <v>0.8695652174</v>
      </c>
      <c r="AE52" s="3">
        <f t="shared" si="10"/>
        <v>0.8695652174</v>
      </c>
      <c r="AF52" s="3">
        <f t="shared" si="11"/>
        <v>1.739130435</v>
      </c>
      <c r="AG52" s="3">
        <f t="shared" si="12"/>
        <v>0.9459459459</v>
      </c>
    </row>
    <row r="53">
      <c r="A53" s="1" t="s">
        <v>16</v>
      </c>
      <c r="B53" s="1" t="s">
        <v>434</v>
      </c>
      <c r="C53" s="1" t="s">
        <v>21</v>
      </c>
      <c r="D53" s="1" t="s">
        <v>104</v>
      </c>
      <c r="E53" s="1" t="s">
        <v>82</v>
      </c>
      <c r="F53" s="1" t="s">
        <v>648</v>
      </c>
      <c r="G53" s="1">
        <v>32.5</v>
      </c>
      <c r="H53" s="1" t="s">
        <v>60</v>
      </c>
      <c r="I53" s="1">
        <v>-108.0</v>
      </c>
      <c r="J53" s="1">
        <v>-0.0749230769230768</v>
      </c>
      <c r="K53" s="1" t="s">
        <v>61</v>
      </c>
      <c r="L53" s="1" t="s">
        <v>61</v>
      </c>
      <c r="M53" s="1" t="s">
        <v>62</v>
      </c>
      <c r="N53" s="1">
        <v>-121.0</v>
      </c>
      <c r="O53" s="1">
        <v>0.00820769230769225</v>
      </c>
      <c r="P53" s="1" t="s">
        <v>61</v>
      </c>
      <c r="Q53" s="1" t="s">
        <v>61</v>
      </c>
      <c r="R53" s="1">
        <f t="shared" si="1"/>
        <v>0.008207692308</v>
      </c>
      <c r="S53" s="1">
        <f t="shared" si="2"/>
        <v>-121</v>
      </c>
      <c r="T53" s="1">
        <f t="shared" si="3"/>
        <v>1.826446281</v>
      </c>
      <c r="U53" s="1">
        <f t="shared" si="4"/>
        <v>0</v>
      </c>
      <c r="V53" s="3">
        <f t="shared" si="5"/>
        <v>1</v>
      </c>
      <c r="W53" s="3">
        <f t="shared" si="6"/>
        <v>3</v>
      </c>
      <c r="X53" s="3" t="str">
        <f>IFERROR(__xludf.DUMMYFUNCTION("split(B53,"" "")"),"J.")</f>
        <v>J.</v>
      </c>
      <c r="Y53" s="3" t="str">
        <f>IFERROR(__xludf.DUMMYFUNCTION("""COMPUTED_VALUE"""),"Allen")</f>
        <v>Allen</v>
      </c>
      <c r="AA53" s="8">
        <v>34.0</v>
      </c>
      <c r="AB53" s="3">
        <f t="shared" si="7"/>
        <v>1</v>
      </c>
      <c r="AC53" s="3">
        <f t="shared" si="8"/>
        <v>0</v>
      </c>
      <c r="AD53" s="3">
        <f t="shared" si="9"/>
        <v>0.826446281</v>
      </c>
      <c r="AE53" s="3">
        <f t="shared" si="10"/>
        <v>-1</v>
      </c>
      <c r="AF53" s="3">
        <f t="shared" si="11"/>
        <v>-3</v>
      </c>
      <c r="AG53" s="3">
        <f t="shared" si="12"/>
        <v>-0.04615384615</v>
      </c>
    </row>
    <row r="54">
      <c r="A54" s="1" t="s">
        <v>10</v>
      </c>
      <c r="B54" s="1" t="s">
        <v>458</v>
      </c>
      <c r="C54" s="1" t="s">
        <v>19</v>
      </c>
      <c r="D54" s="1" t="s">
        <v>104</v>
      </c>
      <c r="E54" s="1" t="s">
        <v>82</v>
      </c>
      <c r="F54" s="1" t="s">
        <v>648</v>
      </c>
      <c r="G54" s="1">
        <v>60.5</v>
      </c>
      <c r="H54" s="1" t="s">
        <v>60</v>
      </c>
      <c r="I54" s="1">
        <v>-114.0</v>
      </c>
      <c r="J54" s="1">
        <v>-0.077810606219894</v>
      </c>
      <c r="K54" s="1" t="s">
        <v>61</v>
      </c>
      <c r="L54" s="1" t="s">
        <v>61</v>
      </c>
      <c r="M54" s="1" t="s">
        <v>62</v>
      </c>
      <c r="N54" s="1">
        <v>-117.0</v>
      </c>
      <c r="O54" s="1">
        <v>0.00591374952243739</v>
      </c>
      <c r="P54" s="1" t="s">
        <v>61</v>
      </c>
      <c r="Q54" s="1" t="s">
        <v>61</v>
      </c>
      <c r="R54" s="1">
        <f t="shared" si="1"/>
        <v>0.005913749522</v>
      </c>
      <c r="S54" s="1">
        <f t="shared" si="2"/>
        <v>-117</v>
      </c>
      <c r="T54" s="1">
        <f t="shared" si="3"/>
        <v>1.854700855</v>
      </c>
      <c r="U54" s="1">
        <f t="shared" si="4"/>
        <v>0</v>
      </c>
      <c r="V54" s="3">
        <f t="shared" si="5"/>
        <v>1</v>
      </c>
      <c r="W54" s="3">
        <f t="shared" si="6"/>
        <v>2</v>
      </c>
      <c r="X54" s="3" t="str">
        <f>IFERROR(__xludf.DUMMYFUNCTION("split(B54,"" "")"),"J.")</f>
        <v>J.</v>
      </c>
      <c r="Y54" s="3" t="str">
        <f>IFERROR(__xludf.DUMMYFUNCTION("""COMPUTED_VALUE"""),"Cook")</f>
        <v>Cook</v>
      </c>
      <c r="AA54" s="8">
        <v>111.0</v>
      </c>
      <c r="AB54" s="3">
        <f t="shared" si="7"/>
        <v>1</v>
      </c>
      <c r="AC54" s="3">
        <f t="shared" si="8"/>
        <v>0</v>
      </c>
      <c r="AD54" s="3">
        <f t="shared" si="9"/>
        <v>0.8547008547</v>
      </c>
      <c r="AE54" s="3">
        <f t="shared" si="10"/>
        <v>-1</v>
      </c>
      <c r="AF54" s="3">
        <f t="shared" si="11"/>
        <v>-2</v>
      </c>
      <c r="AG54" s="3">
        <f t="shared" si="12"/>
        <v>-0.8347107438</v>
      </c>
    </row>
    <row r="55">
      <c r="A55" s="1" t="s">
        <v>12</v>
      </c>
      <c r="B55" s="1" t="s">
        <v>442</v>
      </c>
      <c r="C55" s="1" t="s">
        <v>18</v>
      </c>
      <c r="D55" s="1" t="s">
        <v>104</v>
      </c>
      <c r="E55" s="1" t="s">
        <v>82</v>
      </c>
      <c r="F55" s="1" t="s">
        <v>648</v>
      </c>
      <c r="G55" s="1">
        <v>4.5</v>
      </c>
      <c r="H55" s="1" t="s">
        <v>60</v>
      </c>
      <c r="I55" s="1">
        <v>124.0</v>
      </c>
      <c r="J55" s="1">
        <v>0.00557142857142861</v>
      </c>
      <c r="K55" s="1" t="s">
        <v>61</v>
      </c>
      <c r="L55" s="1" t="s">
        <v>61</v>
      </c>
      <c r="M55" s="1" t="s">
        <v>62</v>
      </c>
      <c r="N55" s="1">
        <v>-163.0</v>
      </c>
      <c r="O55" s="1">
        <v>-0.0717718631178706</v>
      </c>
      <c r="P55" s="1" t="s">
        <v>61</v>
      </c>
      <c r="Q55" s="1" t="s">
        <v>61</v>
      </c>
      <c r="R55" s="1">
        <f t="shared" si="1"/>
        <v>0.005571428571</v>
      </c>
      <c r="S55" s="1">
        <f t="shared" si="2"/>
        <v>124</v>
      </c>
      <c r="T55" s="1">
        <f t="shared" si="3"/>
        <v>2.24</v>
      </c>
      <c r="U55" s="1">
        <f t="shared" si="4"/>
        <v>1</v>
      </c>
      <c r="V55" s="3">
        <f t="shared" si="5"/>
        <v>1</v>
      </c>
      <c r="W55" s="3">
        <f t="shared" si="6"/>
        <v>1</v>
      </c>
      <c r="X55" s="3" t="str">
        <f>IFERROR(__xludf.DUMMYFUNCTION("split(B55,"" "")"),"A.")</f>
        <v>A.</v>
      </c>
      <c r="Y55" s="3" t="str">
        <f>IFERROR(__xludf.DUMMYFUNCTION("""COMPUTED_VALUE"""),"Cooper")</f>
        <v>Cooper</v>
      </c>
      <c r="AA55" s="8">
        <v>1.0</v>
      </c>
      <c r="AB55" s="3">
        <f t="shared" si="7"/>
        <v>0</v>
      </c>
      <c r="AC55" s="3">
        <f t="shared" si="8"/>
        <v>0</v>
      </c>
      <c r="AD55" s="3">
        <f t="shared" si="9"/>
        <v>1.24</v>
      </c>
      <c r="AE55" s="3">
        <f t="shared" si="10"/>
        <v>-1</v>
      </c>
      <c r="AF55" s="3">
        <f t="shared" si="11"/>
        <v>-1</v>
      </c>
      <c r="AG55" s="3">
        <f t="shared" si="12"/>
        <v>-0.7777777778</v>
      </c>
    </row>
    <row r="56">
      <c r="A56" s="1" t="s">
        <v>14</v>
      </c>
      <c r="B56" s="1" t="s">
        <v>434</v>
      </c>
      <c r="C56" s="1" t="s">
        <v>21</v>
      </c>
      <c r="D56" s="1" t="s">
        <v>104</v>
      </c>
      <c r="E56" s="1" t="s">
        <v>82</v>
      </c>
      <c r="F56" s="1" t="s">
        <v>648</v>
      </c>
      <c r="G56" s="1">
        <v>1.5</v>
      </c>
      <c r="H56" s="1" t="s">
        <v>60</v>
      </c>
      <c r="I56" s="1">
        <v>-110.0</v>
      </c>
      <c r="J56" s="1">
        <v>-0.0720095238095238</v>
      </c>
      <c r="K56" s="1" t="s">
        <v>61</v>
      </c>
      <c r="L56" s="1" t="s">
        <v>61</v>
      </c>
      <c r="M56" s="1" t="s">
        <v>62</v>
      </c>
      <c r="N56" s="1">
        <v>-119.0</v>
      </c>
      <c r="O56" s="1">
        <v>0.00482100456621015</v>
      </c>
      <c r="P56" s="1" t="s">
        <v>61</v>
      </c>
      <c r="Q56" s="1" t="s">
        <v>61</v>
      </c>
      <c r="R56" s="1">
        <f t="shared" si="1"/>
        <v>0.004821004566</v>
      </c>
      <c r="S56" s="1">
        <f t="shared" si="2"/>
        <v>-119</v>
      </c>
      <c r="T56" s="1">
        <f t="shared" si="3"/>
        <v>1.840336134</v>
      </c>
      <c r="U56" s="1">
        <f t="shared" si="4"/>
        <v>0</v>
      </c>
      <c r="V56" s="3">
        <f t="shared" si="5"/>
        <v>1</v>
      </c>
      <c r="W56" s="3">
        <f t="shared" si="6"/>
        <v>3</v>
      </c>
      <c r="X56" s="3" t="str">
        <f>IFERROR(__xludf.DUMMYFUNCTION("split(B56,"" "")"),"J.")</f>
        <v>J.</v>
      </c>
      <c r="Y56" s="3" t="str">
        <f>IFERROR(__xludf.DUMMYFUNCTION("""COMPUTED_VALUE"""),"Allen")</f>
        <v>Allen</v>
      </c>
      <c r="AA56" s="8">
        <v>2.0</v>
      </c>
      <c r="AB56" s="3">
        <f t="shared" si="7"/>
        <v>1</v>
      </c>
      <c r="AC56" s="3">
        <f t="shared" si="8"/>
        <v>0</v>
      </c>
      <c r="AD56" s="3">
        <f t="shared" si="9"/>
        <v>0.8403361345</v>
      </c>
      <c r="AE56" s="3">
        <f t="shared" si="10"/>
        <v>-1</v>
      </c>
      <c r="AF56" s="3">
        <f t="shared" si="11"/>
        <v>-3</v>
      </c>
      <c r="AG56" s="3">
        <f t="shared" si="12"/>
        <v>-0.3333333333</v>
      </c>
    </row>
    <row r="57">
      <c r="A57" s="1" t="s">
        <v>11</v>
      </c>
      <c r="B57" s="1" t="s">
        <v>189</v>
      </c>
      <c r="C57" s="1" t="s">
        <v>18</v>
      </c>
      <c r="D57" s="1" t="s">
        <v>104</v>
      </c>
      <c r="E57" s="1" t="s">
        <v>82</v>
      </c>
      <c r="F57" s="1" t="s">
        <v>648</v>
      </c>
      <c r="G57" s="1">
        <v>38.5</v>
      </c>
      <c r="H57" s="1" t="s">
        <v>60</v>
      </c>
      <c r="I57" s="1">
        <v>-116.0</v>
      </c>
      <c r="J57" s="1">
        <v>-0.0727893049071298</v>
      </c>
      <c r="K57" s="1" t="s">
        <v>61</v>
      </c>
      <c r="L57" s="1" t="s">
        <v>61</v>
      </c>
      <c r="M57" s="1" t="s">
        <v>62</v>
      </c>
      <c r="N57" s="1">
        <v>-114.0</v>
      </c>
      <c r="O57" s="1">
        <v>0.00301921970318719</v>
      </c>
      <c r="P57" s="1" t="s">
        <v>61</v>
      </c>
      <c r="Q57" s="1" t="s">
        <v>61</v>
      </c>
      <c r="R57" s="1">
        <f t="shared" si="1"/>
        <v>0.003019219703</v>
      </c>
      <c r="S57" s="1">
        <f t="shared" si="2"/>
        <v>-114</v>
      </c>
      <c r="T57" s="1">
        <f t="shared" si="3"/>
        <v>1.877192982</v>
      </c>
      <c r="U57" s="1">
        <f t="shared" si="4"/>
        <v>0</v>
      </c>
      <c r="V57" s="3">
        <f t="shared" si="5"/>
        <v>1</v>
      </c>
      <c r="W57" s="3">
        <f t="shared" si="6"/>
        <v>2</v>
      </c>
      <c r="X57" s="3" t="str">
        <f>IFERROR(__xludf.DUMMYFUNCTION("split(B57,"" "")"),"K.")</f>
        <v>K.</v>
      </c>
      <c r="Y57" s="3" t="str">
        <f>IFERROR(__xludf.DUMMYFUNCTION("""COMPUTED_VALUE"""),"Shakir")</f>
        <v>Shakir</v>
      </c>
      <c r="AA57" s="8">
        <v>107.0</v>
      </c>
      <c r="AB57" s="3">
        <f t="shared" si="7"/>
        <v>1</v>
      </c>
      <c r="AC57" s="3">
        <f t="shared" si="8"/>
        <v>0</v>
      </c>
      <c r="AD57" s="3">
        <f t="shared" si="9"/>
        <v>0.8771929825</v>
      </c>
      <c r="AE57" s="3">
        <f t="shared" si="10"/>
        <v>-1</v>
      </c>
      <c r="AF57" s="3">
        <f t="shared" si="11"/>
        <v>-2</v>
      </c>
      <c r="AG57" s="3">
        <f t="shared" si="12"/>
        <v>-1.779220779</v>
      </c>
    </row>
    <row r="58">
      <c r="A58" s="1" t="s">
        <v>12</v>
      </c>
      <c r="B58" s="1" t="s">
        <v>98</v>
      </c>
      <c r="C58" s="1" t="s">
        <v>19</v>
      </c>
      <c r="D58" s="1" t="s">
        <v>99</v>
      </c>
      <c r="E58" s="1" t="s">
        <v>114</v>
      </c>
      <c r="F58" s="1" t="s">
        <v>649</v>
      </c>
      <c r="G58" s="1">
        <v>2.5</v>
      </c>
      <c r="H58" s="1" t="s">
        <v>60</v>
      </c>
      <c r="I58" s="1">
        <v>-170.0</v>
      </c>
      <c r="J58" s="1">
        <v>-0.323588417444444</v>
      </c>
      <c r="K58" s="1" t="s">
        <v>61</v>
      </c>
      <c r="L58" s="1" t="s">
        <v>61</v>
      </c>
      <c r="M58" s="1" t="s">
        <v>62</v>
      </c>
      <c r="N58" s="1">
        <v>129.0</v>
      </c>
      <c r="O58" s="1">
        <v>0.25727018650655</v>
      </c>
      <c r="P58" s="1" t="s">
        <v>61</v>
      </c>
      <c r="Q58" s="1" t="s">
        <v>61</v>
      </c>
      <c r="R58" s="1">
        <f t="shared" si="1"/>
        <v>0.2572701865</v>
      </c>
      <c r="S58" s="1">
        <f t="shared" si="2"/>
        <v>129</v>
      </c>
      <c r="T58" s="1">
        <f t="shared" si="3"/>
        <v>2.29</v>
      </c>
      <c r="U58" s="1">
        <f t="shared" si="4"/>
        <v>0</v>
      </c>
      <c r="V58" s="3">
        <f t="shared" si="5"/>
        <v>3</v>
      </c>
      <c r="W58" s="3">
        <f t="shared" si="6"/>
        <v>1</v>
      </c>
      <c r="X58" s="3" t="str">
        <f>IFERROR(__xludf.DUMMYFUNCTION("split(B58,"" "")"),"D.")</f>
        <v>D.</v>
      </c>
      <c r="Y58" s="3" t="str">
        <f>IFERROR(__xludf.DUMMYFUNCTION("""COMPUTED_VALUE"""),"Swift")</f>
        <v>Swift</v>
      </c>
      <c r="AA58" s="8">
        <v>0.0</v>
      </c>
      <c r="AB58" s="3">
        <f t="shared" si="7"/>
        <v>0</v>
      </c>
      <c r="AC58" s="3">
        <f t="shared" si="8"/>
        <v>1</v>
      </c>
      <c r="AD58" s="3">
        <f t="shared" si="9"/>
        <v>3.87</v>
      </c>
      <c r="AE58" s="3">
        <f t="shared" si="10"/>
        <v>3.87</v>
      </c>
      <c r="AF58" s="3">
        <f t="shared" si="11"/>
        <v>1.29</v>
      </c>
      <c r="AG58" s="3">
        <f t="shared" si="12"/>
        <v>1</v>
      </c>
    </row>
    <row r="59">
      <c r="A59" s="1" t="s">
        <v>12</v>
      </c>
      <c r="B59" s="1" t="s">
        <v>191</v>
      </c>
      <c r="C59" s="1" t="s">
        <v>18</v>
      </c>
      <c r="D59" s="1" t="s">
        <v>99</v>
      </c>
      <c r="E59" s="1" t="s">
        <v>114</v>
      </c>
      <c r="F59" s="1" t="s">
        <v>649</v>
      </c>
      <c r="G59" s="1">
        <v>2.5</v>
      </c>
      <c r="H59" s="1" t="s">
        <v>60</v>
      </c>
      <c r="I59" s="1">
        <v>-125.0</v>
      </c>
      <c r="J59" s="1">
        <v>-0.138240945733333</v>
      </c>
      <c r="K59" s="1" t="s">
        <v>61</v>
      </c>
      <c r="L59" s="1" t="s">
        <v>61</v>
      </c>
      <c r="M59" s="1" t="s">
        <v>62</v>
      </c>
      <c r="N59" s="1">
        <v>-105.0</v>
      </c>
      <c r="O59" s="1">
        <v>0.0705032850219512</v>
      </c>
      <c r="P59" s="1" t="s">
        <v>61</v>
      </c>
      <c r="Q59" s="1" t="s">
        <v>61</v>
      </c>
      <c r="R59" s="1">
        <f t="shared" si="1"/>
        <v>0.07050328502</v>
      </c>
      <c r="S59" s="1">
        <f t="shared" si="2"/>
        <v>-105</v>
      </c>
      <c r="T59" s="1">
        <f t="shared" si="3"/>
        <v>1.952380952</v>
      </c>
      <c r="U59" s="1">
        <f t="shared" si="4"/>
        <v>0</v>
      </c>
      <c r="V59" s="3">
        <f t="shared" si="5"/>
        <v>2</v>
      </c>
      <c r="W59" s="3">
        <f t="shared" si="6"/>
        <v>2</v>
      </c>
      <c r="X59" s="3" t="str">
        <f>IFERROR(__xludf.DUMMYFUNCTION("split(B59,"" "")"),"R.")</f>
        <v>R.</v>
      </c>
      <c r="Y59" s="3" t="str">
        <f>IFERROR(__xludf.DUMMYFUNCTION("""COMPUTED_VALUE"""),"Odunze")</f>
        <v>Odunze</v>
      </c>
      <c r="AA59" s="8">
        <v>3.0</v>
      </c>
      <c r="AB59" s="3">
        <f t="shared" si="7"/>
        <v>1</v>
      </c>
      <c r="AC59" s="3">
        <f t="shared" si="8"/>
        <v>0</v>
      </c>
      <c r="AD59" s="3">
        <f t="shared" si="9"/>
        <v>1.904761905</v>
      </c>
      <c r="AE59" s="3">
        <f t="shared" si="10"/>
        <v>-2</v>
      </c>
      <c r="AF59" s="3">
        <f t="shared" si="11"/>
        <v>-2</v>
      </c>
      <c r="AG59" s="3">
        <f t="shared" si="12"/>
        <v>-0.2</v>
      </c>
    </row>
    <row r="60">
      <c r="A60" s="1" t="s">
        <v>8</v>
      </c>
      <c r="B60" s="1" t="s">
        <v>274</v>
      </c>
      <c r="C60" s="1" t="s">
        <v>21</v>
      </c>
      <c r="D60" s="1" t="s">
        <v>99</v>
      </c>
      <c r="E60" s="1" t="s">
        <v>114</v>
      </c>
      <c r="F60" s="1" t="s">
        <v>649</v>
      </c>
      <c r="G60" s="1">
        <v>4.5</v>
      </c>
      <c r="H60" s="1" t="s">
        <v>60</v>
      </c>
      <c r="I60" s="1">
        <v>112.0</v>
      </c>
      <c r="J60" s="1">
        <v>-0.128389701196986</v>
      </c>
      <c r="K60" s="1" t="s">
        <v>61</v>
      </c>
      <c r="L60" s="1" t="s">
        <v>61</v>
      </c>
      <c r="M60" s="1" t="s">
        <v>62</v>
      </c>
      <c r="N60" s="1">
        <v>-150.0</v>
      </c>
      <c r="O60" s="1">
        <v>0.0566904463594347</v>
      </c>
      <c r="P60" s="1" t="s">
        <v>61</v>
      </c>
      <c r="Q60" s="1" t="s">
        <v>61</v>
      </c>
      <c r="R60" s="1">
        <f t="shared" si="1"/>
        <v>0.05669044636</v>
      </c>
      <c r="S60" s="1">
        <f t="shared" si="2"/>
        <v>-150</v>
      </c>
      <c r="T60" s="1">
        <f t="shared" si="3"/>
        <v>1.666666667</v>
      </c>
      <c r="U60" s="1">
        <f t="shared" si="4"/>
        <v>0</v>
      </c>
      <c r="V60" s="3">
        <f t="shared" si="5"/>
        <v>2</v>
      </c>
      <c r="W60" s="3">
        <f t="shared" si="6"/>
        <v>3</v>
      </c>
      <c r="X60" s="3" t="str">
        <f>IFERROR(__xludf.DUMMYFUNCTION("split(B60,"" "")"),"C.")</f>
        <v>C.</v>
      </c>
      <c r="Y60" s="3" t="str">
        <f>IFERROR(__xludf.DUMMYFUNCTION("""COMPUTED_VALUE"""),"Williams")</f>
        <v>Williams</v>
      </c>
      <c r="AA60" s="8">
        <v>9.0</v>
      </c>
      <c r="AB60" s="3">
        <f t="shared" si="7"/>
        <v>1</v>
      </c>
      <c r="AC60" s="3">
        <f t="shared" si="8"/>
        <v>0</v>
      </c>
      <c r="AD60" s="3">
        <f t="shared" si="9"/>
        <v>1.333333333</v>
      </c>
      <c r="AE60" s="3">
        <f t="shared" si="10"/>
        <v>-2</v>
      </c>
      <c r="AF60" s="3">
        <f t="shared" si="11"/>
        <v>-3</v>
      </c>
      <c r="AG60" s="3">
        <f t="shared" si="12"/>
        <v>-1</v>
      </c>
    </row>
    <row r="61">
      <c r="A61" s="1" t="s">
        <v>9</v>
      </c>
      <c r="B61" s="1" t="s">
        <v>98</v>
      </c>
      <c r="C61" s="1" t="s">
        <v>19</v>
      </c>
      <c r="D61" s="1" t="s">
        <v>99</v>
      </c>
      <c r="E61" s="1" t="s">
        <v>114</v>
      </c>
      <c r="F61" s="1" t="s">
        <v>649</v>
      </c>
      <c r="G61" s="1">
        <v>81.5</v>
      </c>
      <c r="H61" s="1" t="s">
        <v>60</v>
      </c>
      <c r="I61" s="1">
        <v>-116.0</v>
      </c>
      <c r="J61" s="1">
        <v>-0.115046187799149</v>
      </c>
      <c r="K61" s="1" t="s">
        <v>61</v>
      </c>
      <c r="L61" s="1" t="s">
        <v>61</v>
      </c>
      <c r="M61" s="1" t="s">
        <v>62</v>
      </c>
      <c r="N61" s="1">
        <v>-116.0</v>
      </c>
      <c r="O61" s="1">
        <v>0.0410055778470136</v>
      </c>
      <c r="P61" s="1" t="s">
        <v>61</v>
      </c>
      <c r="Q61" s="1" t="s">
        <v>61</v>
      </c>
      <c r="R61" s="1">
        <f t="shared" si="1"/>
        <v>0.04100557785</v>
      </c>
      <c r="S61" s="1">
        <f t="shared" si="2"/>
        <v>-116</v>
      </c>
      <c r="T61" s="1">
        <f t="shared" si="3"/>
        <v>1.862068966</v>
      </c>
      <c r="U61" s="1">
        <f t="shared" si="4"/>
        <v>0</v>
      </c>
      <c r="V61" s="3">
        <f t="shared" si="5"/>
        <v>1</v>
      </c>
      <c r="W61" s="3">
        <f t="shared" si="6"/>
        <v>2</v>
      </c>
      <c r="X61" s="3" t="str">
        <f>IFERROR(__xludf.DUMMYFUNCTION("split(B61,"" "")"),"D.")</f>
        <v>D.</v>
      </c>
      <c r="Y61" s="3" t="str">
        <f>IFERROR(__xludf.DUMMYFUNCTION("""COMPUTED_VALUE"""),"Swift")</f>
        <v>Swift</v>
      </c>
      <c r="AA61" s="8">
        <v>129.0</v>
      </c>
      <c r="AB61" s="3">
        <f t="shared" si="7"/>
        <v>1</v>
      </c>
      <c r="AC61" s="3">
        <f t="shared" si="8"/>
        <v>0</v>
      </c>
      <c r="AD61" s="3">
        <f t="shared" si="9"/>
        <v>0.8620689655</v>
      </c>
      <c r="AE61" s="3">
        <f t="shared" si="10"/>
        <v>-1</v>
      </c>
      <c r="AF61" s="3">
        <f t="shared" si="11"/>
        <v>-2</v>
      </c>
      <c r="AG61" s="3">
        <f t="shared" si="12"/>
        <v>-0.5828220859</v>
      </c>
    </row>
    <row r="62">
      <c r="A62" s="1" t="s">
        <v>12</v>
      </c>
      <c r="B62" s="1" t="s">
        <v>231</v>
      </c>
      <c r="C62" s="1" t="s">
        <v>20</v>
      </c>
      <c r="D62" s="1" t="s">
        <v>99</v>
      </c>
      <c r="E62" s="1" t="s">
        <v>114</v>
      </c>
      <c r="F62" s="1" t="s">
        <v>649</v>
      </c>
      <c r="G62" s="1">
        <v>3.5</v>
      </c>
      <c r="H62" s="1" t="s">
        <v>60</v>
      </c>
      <c r="I62" s="1">
        <v>101.0</v>
      </c>
      <c r="J62" s="1">
        <v>-0.106512437810945</v>
      </c>
      <c r="K62" s="1" t="s">
        <v>61</v>
      </c>
      <c r="L62" s="1" t="s">
        <v>61</v>
      </c>
      <c r="M62" s="1" t="s">
        <v>62</v>
      </c>
      <c r="N62" s="1">
        <v>-133.0</v>
      </c>
      <c r="O62" s="1">
        <v>0.0381845493562231</v>
      </c>
      <c r="P62" s="1" t="s">
        <v>61</v>
      </c>
      <c r="Q62" s="1" t="s">
        <v>61</v>
      </c>
      <c r="R62" s="1">
        <f t="shared" si="1"/>
        <v>0.03818454936</v>
      </c>
      <c r="S62" s="1">
        <f t="shared" si="2"/>
        <v>-133</v>
      </c>
      <c r="T62" s="1">
        <f t="shared" si="3"/>
        <v>1.751879699</v>
      </c>
      <c r="U62" s="1">
        <f t="shared" si="4"/>
        <v>0</v>
      </c>
      <c r="V62" s="3">
        <f t="shared" si="5"/>
        <v>1</v>
      </c>
      <c r="W62" s="3">
        <f t="shared" si="6"/>
        <v>3</v>
      </c>
      <c r="X62" s="3" t="str">
        <f>IFERROR(__xludf.DUMMYFUNCTION("split(B62,"" "")"),"C.")</f>
        <v>C.</v>
      </c>
      <c r="Y62" s="3" t="str">
        <f>IFERROR(__xludf.DUMMYFUNCTION("""COMPUTED_VALUE"""),"Kmet")</f>
        <v>Kmet</v>
      </c>
      <c r="AA62" s="8">
        <v>1.0</v>
      </c>
      <c r="AB62" s="3">
        <f t="shared" si="7"/>
        <v>0</v>
      </c>
      <c r="AC62" s="3">
        <f t="shared" si="8"/>
        <v>1</v>
      </c>
      <c r="AD62" s="3">
        <f t="shared" si="9"/>
        <v>0.7518796992</v>
      </c>
      <c r="AE62" s="3">
        <f t="shared" si="10"/>
        <v>0.7518796992</v>
      </c>
      <c r="AF62" s="3">
        <f t="shared" si="11"/>
        <v>2.255639098</v>
      </c>
      <c r="AG62" s="3">
        <f t="shared" si="12"/>
        <v>0.7142857143</v>
      </c>
    </row>
    <row r="63">
      <c r="A63" s="1" t="s">
        <v>11</v>
      </c>
      <c r="B63" s="1" t="s">
        <v>268</v>
      </c>
      <c r="C63" s="1" t="s">
        <v>18</v>
      </c>
      <c r="D63" s="1" t="s">
        <v>99</v>
      </c>
      <c r="E63" s="1" t="s">
        <v>114</v>
      </c>
      <c r="F63" s="1" t="s">
        <v>649</v>
      </c>
      <c r="G63" s="1">
        <v>45.5</v>
      </c>
      <c r="H63" s="1" t="s">
        <v>60</v>
      </c>
      <c r="I63" s="1">
        <v>-114.0</v>
      </c>
      <c r="J63" s="1">
        <v>-0.104856819039532</v>
      </c>
      <c r="K63" s="1" t="s">
        <v>61</v>
      </c>
      <c r="L63" s="1" t="s">
        <v>61</v>
      </c>
      <c r="M63" s="1" t="s">
        <v>62</v>
      </c>
      <c r="N63" s="1">
        <v>-115.0</v>
      </c>
      <c r="O63" s="1">
        <v>0.037268392595</v>
      </c>
      <c r="P63" s="1" t="s">
        <v>61</v>
      </c>
      <c r="Q63" s="1" t="s">
        <v>61</v>
      </c>
      <c r="R63" s="1">
        <f t="shared" si="1"/>
        <v>0.0372683926</v>
      </c>
      <c r="S63" s="1">
        <f t="shared" si="2"/>
        <v>-115</v>
      </c>
      <c r="T63" s="1">
        <f t="shared" si="3"/>
        <v>1.869565217</v>
      </c>
      <c r="U63" s="1">
        <f t="shared" si="4"/>
        <v>0</v>
      </c>
      <c r="V63" s="3">
        <f t="shared" si="5"/>
        <v>1</v>
      </c>
      <c r="W63" s="3">
        <f t="shared" si="6"/>
        <v>2</v>
      </c>
      <c r="X63" s="3" t="str">
        <f>IFERROR(__xludf.DUMMYFUNCTION("split(B63,"" "")"),"K.")</f>
        <v>K.</v>
      </c>
      <c r="Y63" s="3" t="str">
        <f>IFERROR(__xludf.DUMMYFUNCTION("""COMPUTED_VALUE"""),"Allen")</f>
        <v>Allen</v>
      </c>
      <c r="AA63" s="8">
        <v>39.0</v>
      </c>
      <c r="AB63" s="3">
        <f t="shared" si="7"/>
        <v>0</v>
      </c>
      <c r="AC63" s="3">
        <f t="shared" si="8"/>
        <v>1</v>
      </c>
      <c r="AD63" s="3">
        <f t="shared" si="9"/>
        <v>0.8695652174</v>
      </c>
      <c r="AE63" s="3">
        <f t="shared" si="10"/>
        <v>0.8695652174</v>
      </c>
      <c r="AF63" s="3">
        <f t="shared" si="11"/>
        <v>1.739130435</v>
      </c>
      <c r="AG63" s="3">
        <f t="shared" si="12"/>
        <v>0.1428571429</v>
      </c>
    </row>
    <row r="64">
      <c r="A64" s="1" t="s">
        <v>9</v>
      </c>
      <c r="B64" s="1" t="s">
        <v>191</v>
      </c>
      <c r="C64" s="1" t="s">
        <v>18</v>
      </c>
      <c r="D64" s="1" t="s">
        <v>99</v>
      </c>
      <c r="E64" s="1" t="s">
        <v>114</v>
      </c>
      <c r="F64" s="1" t="s">
        <v>649</v>
      </c>
      <c r="G64" s="1">
        <v>34.5</v>
      </c>
      <c r="H64" s="1" t="s">
        <v>60</v>
      </c>
      <c r="I64" s="1">
        <v>-116.0</v>
      </c>
      <c r="J64" s="1">
        <v>0.0372097797810246</v>
      </c>
      <c r="K64" s="1" t="s">
        <v>61</v>
      </c>
      <c r="L64" s="1" t="s">
        <v>61</v>
      </c>
      <c r="M64" s="1" t="s">
        <v>62</v>
      </c>
      <c r="N64" s="1">
        <v>-116.0</v>
      </c>
      <c r="O64" s="1">
        <v>-0.111259344545988</v>
      </c>
      <c r="P64" s="1" t="s">
        <v>61</v>
      </c>
      <c r="Q64" s="1" t="s">
        <v>61</v>
      </c>
      <c r="R64" s="1">
        <f t="shared" si="1"/>
        <v>0.03720977978</v>
      </c>
      <c r="S64" s="1">
        <f t="shared" si="2"/>
        <v>-116</v>
      </c>
      <c r="T64" s="1">
        <f t="shared" si="3"/>
        <v>1.862068966</v>
      </c>
      <c r="U64" s="1">
        <f t="shared" si="4"/>
        <v>1</v>
      </c>
      <c r="V64" s="3">
        <f t="shared" si="5"/>
        <v>1</v>
      </c>
      <c r="W64" s="3">
        <f t="shared" si="6"/>
        <v>2</v>
      </c>
      <c r="X64" s="3" t="str">
        <f>IFERROR(__xludf.DUMMYFUNCTION("split(B64,"" "")"),"R.")</f>
        <v>R.</v>
      </c>
      <c r="Y64" s="3" t="str">
        <f>IFERROR(__xludf.DUMMYFUNCTION("""COMPUTED_VALUE"""),"Odunze")</f>
        <v>Odunze</v>
      </c>
      <c r="AA64" s="8">
        <v>54.0</v>
      </c>
      <c r="AB64" s="3">
        <f t="shared" si="7"/>
        <v>1</v>
      </c>
      <c r="AC64" s="3">
        <f t="shared" si="8"/>
        <v>1</v>
      </c>
      <c r="AD64" s="3">
        <f t="shared" si="9"/>
        <v>0.8620689655</v>
      </c>
      <c r="AE64" s="3">
        <f t="shared" si="10"/>
        <v>0.8620689655</v>
      </c>
      <c r="AF64" s="3">
        <f t="shared" si="11"/>
        <v>1.724137931</v>
      </c>
      <c r="AG64" s="3">
        <f t="shared" si="12"/>
        <v>0.5652173913</v>
      </c>
    </row>
    <row r="65">
      <c r="A65" s="1" t="s">
        <v>11</v>
      </c>
      <c r="B65" s="1" t="s">
        <v>98</v>
      </c>
      <c r="C65" s="1" t="s">
        <v>19</v>
      </c>
      <c r="D65" s="1" t="s">
        <v>99</v>
      </c>
      <c r="E65" s="1" t="s">
        <v>114</v>
      </c>
      <c r="F65" s="1" t="s">
        <v>649</v>
      </c>
      <c r="G65" s="1">
        <v>19.5</v>
      </c>
      <c r="H65" s="1" t="s">
        <v>60</v>
      </c>
      <c r="I65" s="1">
        <v>-114.0</v>
      </c>
      <c r="J65" s="1">
        <v>-0.1016175252767</v>
      </c>
      <c r="K65" s="1" t="s">
        <v>61</v>
      </c>
      <c r="L65" s="1" t="s">
        <v>61</v>
      </c>
      <c r="M65" s="1" t="s">
        <v>62</v>
      </c>
      <c r="N65" s="1">
        <v>-115.0</v>
      </c>
      <c r="O65" s="1">
        <v>0.034067967305098</v>
      </c>
      <c r="P65" s="1" t="s">
        <v>61</v>
      </c>
      <c r="Q65" s="1" t="s">
        <v>61</v>
      </c>
      <c r="R65" s="1">
        <f t="shared" si="1"/>
        <v>0.03406796731</v>
      </c>
      <c r="S65" s="1">
        <f t="shared" si="2"/>
        <v>-115</v>
      </c>
      <c r="T65" s="1">
        <f t="shared" si="3"/>
        <v>1.869565217</v>
      </c>
      <c r="U65" s="1">
        <f t="shared" si="4"/>
        <v>0</v>
      </c>
      <c r="V65" s="3">
        <f t="shared" si="5"/>
        <v>1</v>
      </c>
      <c r="W65" s="3">
        <f t="shared" si="6"/>
        <v>2</v>
      </c>
      <c r="X65" s="3" t="str">
        <f>IFERROR(__xludf.DUMMYFUNCTION("split(B65,"" "")"),"D.")</f>
        <v>D.</v>
      </c>
      <c r="Y65" s="3" t="str">
        <f>IFERROR(__xludf.DUMMYFUNCTION("""COMPUTED_VALUE"""),"Swift")</f>
        <v>Swift</v>
      </c>
      <c r="AA65" s="8">
        <v>0.0</v>
      </c>
      <c r="AB65" s="3">
        <f t="shared" si="7"/>
        <v>0</v>
      </c>
      <c r="AC65" s="3">
        <f t="shared" si="8"/>
        <v>1</v>
      </c>
      <c r="AD65" s="3">
        <f t="shared" si="9"/>
        <v>0.8695652174</v>
      </c>
      <c r="AE65" s="3">
        <f t="shared" si="10"/>
        <v>0.8695652174</v>
      </c>
      <c r="AF65" s="3">
        <f t="shared" si="11"/>
        <v>1.739130435</v>
      </c>
      <c r="AG65" s="3">
        <f t="shared" si="12"/>
        <v>1</v>
      </c>
    </row>
    <row r="66">
      <c r="A66" s="1" t="s">
        <v>10</v>
      </c>
      <c r="B66" s="1" t="s">
        <v>274</v>
      </c>
      <c r="C66" s="1" t="s">
        <v>21</v>
      </c>
      <c r="D66" s="1" t="s">
        <v>99</v>
      </c>
      <c r="E66" s="1" t="s">
        <v>114</v>
      </c>
      <c r="F66" s="1" t="s">
        <v>649</v>
      </c>
      <c r="G66" s="1">
        <v>19.5</v>
      </c>
      <c r="H66" s="1" t="s">
        <v>60</v>
      </c>
      <c r="I66" s="1">
        <v>-115.0</v>
      </c>
      <c r="J66" s="1">
        <v>-0.0956728828769919</v>
      </c>
      <c r="K66" s="1" t="s">
        <v>61</v>
      </c>
      <c r="L66" s="1" t="s">
        <v>61</v>
      </c>
      <c r="M66" s="1" t="s">
        <v>62</v>
      </c>
      <c r="N66" s="1">
        <v>-114.0</v>
      </c>
      <c r="O66" s="1">
        <v>0.0281645027717324</v>
      </c>
      <c r="P66" s="1" t="s">
        <v>61</v>
      </c>
      <c r="Q66" s="1" t="s">
        <v>61</v>
      </c>
      <c r="R66" s="1">
        <f t="shared" si="1"/>
        <v>0.02816450277</v>
      </c>
      <c r="S66" s="1">
        <f t="shared" si="2"/>
        <v>-114</v>
      </c>
      <c r="T66" s="1">
        <f t="shared" si="3"/>
        <v>1.877192982</v>
      </c>
      <c r="U66" s="1">
        <f t="shared" si="4"/>
        <v>0</v>
      </c>
      <c r="V66" s="3">
        <f t="shared" si="5"/>
        <v>1</v>
      </c>
      <c r="W66" s="3">
        <f t="shared" si="6"/>
        <v>2</v>
      </c>
      <c r="X66" s="3" t="str">
        <f>IFERROR(__xludf.DUMMYFUNCTION("split(B66,"" "")"),"C.")</f>
        <v>C.</v>
      </c>
      <c r="Y66" s="3" t="str">
        <f>IFERROR(__xludf.DUMMYFUNCTION("""COMPUTED_VALUE"""),"Williams")</f>
        <v>Williams</v>
      </c>
      <c r="AA66" s="8">
        <v>47.0</v>
      </c>
      <c r="AB66" s="3">
        <f t="shared" si="7"/>
        <v>1</v>
      </c>
      <c r="AC66" s="3">
        <f t="shared" si="8"/>
        <v>0</v>
      </c>
      <c r="AD66" s="3">
        <f t="shared" si="9"/>
        <v>0.8771929825</v>
      </c>
      <c r="AE66" s="3">
        <f t="shared" si="10"/>
        <v>-1</v>
      </c>
      <c r="AF66" s="3">
        <f t="shared" si="11"/>
        <v>-2</v>
      </c>
      <c r="AG66" s="3">
        <f t="shared" si="12"/>
        <v>-1.41025641</v>
      </c>
    </row>
    <row r="67">
      <c r="A67" s="1" t="s">
        <v>8</v>
      </c>
      <c r="B67" s="1" t="s">
        <v>98</v>
      </c>
      <c r="C67" s="1" t="s">
        <v>19</v>
      </c>
      <c r="D67" s="1" t="s">
        <v>99</v>
      </c>
      <c r="E67" s="1" t="s">
        <v>114</v>
      </c>
      <c r="F67" s="1" t="s">
        <v>649</v>
      </c>
      <c r="G67" s="1">
        <v>14.5</v>
      </c>
      <c r="H67" s="1" t="s">
        <v>60</v>
      </c>
      <c r="I67" s="1">
        <v>-110.0</v>
      </c>
      <c r="J67" s="1">
        <v>-0.0946046669714285</v>
      </c>
      <c r="K67" s="1" t="s">
        <v>61</v>
      </c>
      <c r="L67" s="1" t="s">
        <v>61</v>
      </c>
      <c r="M67" s="1" t="s">
        <v>62</v>
      </c>
      <c r="N67" s="1">
        <v>-120.0</v>
      </c>
      <c r="O67" s="1">
        <v>0.0253544367127273</v>
      </c>
      <c r="P67" s="1" t="s">
        <v>61</v>
      </c>
      <c r="Q67" s="1" t="s">
        <v>61</v>
      </c>
      <c r="R67" s="1">
        <f t="shared" si="1"/>
        <v>0.02535443671</v>
      </c>
      <c r="S67" s="1">
        <f t="shared" si="2"/>
        <v>-120</v>
      </c>
      <c r="T67" s="1">
        <f t="shared" si="3"/>
        <v>1.833333333</v>
      </c>
      <c r="U67" s="1">
        <f t="shared" si="4"/>
        <v>0</v>
      </c>
      <c r="V67" s="3">
        <f t="shared" si="5"/>
        <v>1</v>
      </c>
      <c r="W67" s="3">
        <f t="shared" si="6"/>
        <v>3</v>
      </c>
      <c r="X67" s="3" t="str">
        <f>IFERROR(__xludf.DUMMYFUNCTION("split(B67,"" "")"),"D.")</f>
        <v>D.</v>
      </c>
      <c r="Y67" s="3" t="str">
        <f>IFERROR(__xludf.DUMMYFUNCTION("""COMPUTED_VALUE"""),"Swift")</f>
        <v>Swift</v>
      </c>
      <c r="AA67" s="8">
        <v>18.0</v>
      </c>
      <c r="AB67" s="3">
        <f t="shared" si="7"/>
        <v>1</v>
      </c>
      <c r="AC67" s="3">
        <f t="shared" si="8"/>
        <v>0</v>
      </c>
      <c r="AD67" s="3">
        <f t="shared" si="9"/>
        <v>0.8333333333</v>
      </c>
      <c r="AE67" s="3">
        <f t="shared" si="10"/>
        <v>-1</v>
      </c>
      <c r="AF67" s="3">
        <f t="shared" si="11"/>
        <v>-3</v>
      </c>
      <c r="AG67" s="3">
        <f t="shared" si="12"/>
        <v>-0.2413793103</v>
      </c>
    </row>
    <row r="68">
      <c r="A68" s="1" t="s">
        <v>11</v>
      </c>
      <c r="B68" s="1" t="s">
        <v>231</v>
      </c>
      <c r="C68" s="1" t="s">
        <v>20</v>
      </c>
      <c r="D68" s="1" t="s">
        <v>99</v>
      </c>
      <c r="E68" s="1" t="s">
        <v>114</v>
      </c>
      <c r="F68" s="1" t="s">
        <v>649</v>
      </c>
      <c r="G68" s="1">
        <v>35.5</v>
      </c>
      <c r="H68" s="1" t="s">
        <v>60</v>
      </c>
      <c r="I68" s="1">
        <v>-112.0</v>
      </c>
      <c r="J68" s="1">
        <v>-0.0917368914082548</v>
      </c>
      <c r="K68" s="1" t="s">
        <v>61</v>
      </c>
      <c r="L68" s="1" t="s">
        <v>61</v>
      </c>
      <c r="M68" s="1" t="s">
        <v>62</v>
      </c>
      <c r="N68" s="1">
        <v>-117.0</v>
      </c>
      <c r="O68" s="1">
        <v>0.0242681555765139</v>
      </c>
      <c r="P68" s="1" t="s">
        <v>61</v>
      </c>
      <c r="Q68" s="1" t="s">
        <v>61</v>
      </c>
      <c r="R68" s="1">
        <f t="shared" si="1"/>
        <v>0.02426815558</v>
      </c>
      <c r="S68" s="1">
        <f t="shared" si="2"/>
        <v>-117</v>
      </c>
      <c r="T68" s="1">
        <f t="shared" si="3"/>
        <v>1.854700855</v>
      </c>
      <c r="U68" s="1">
        <f t="shared" si="4"/>
        <v>0</v>
      </c>
      <c r="V68" s="3">
        <f t="shared" si="5"/>
        <v>1</v>
      </c>
      <c r="W68" s="3">
        <f t="shared" si="6"/>
        <v>2</v>
      </c>
      <c r="X68" s="3" t="str">
        <f>IFERROR(__xludf.DUMMYFUNCTION("split(B68,"" "")"),"C.")</f>
        <v>C.</v>
      </c>
      <c r="Y68" s="3" t="str">
        <f>IFERROR(__xludf.DUMMYFUNCTION("""COMPUTED_VALUE"""),"Kmet")</f>
        <v>Kmet</v>
      </c>
      <c r="AA68" s="8">
        <v>14.0</v>
      </c>
      <c r="AB68" s="3">
        <f t="shared" si="7"/>
        <v>0</v>
      </c>
      <c r="AC68" s="3">
        <f t="shared" si="8"/>
        <v>1</v>
      </c>
      <c r="AD68" s="3">
        <f t="shared" si="9"/>
        <v>0.8547008547</v>
      </c>
      <c r="AE68" s="3">
        <f t="shared" si="10"/>
        <v>0.8547008547</v>
      </c>
      <c r="AF68" s="3">
        <f t="shared" si="11"/>
        <v>1.709401709</v>
      </c>
      <c r="AG68" s="3">
        <f t="shared" si="12"/>
        <v>0.6056338028</v>
      </c>
    </row>
    <row r="69">
      <c r="A69" s="1" t="s">
        <v>14</v>
      </c>
      <c r="B69" s="1" t="s">
        <v>274</v>
      </c>
      <c r="C69" s="1" t="s">
        <v>21</v>
      </c>
      <c r="D69" s="1" t="s">
        <v>99</v>
      </c>
      <c r="E69" s="1" t="s">
        <v>114</v>
      </c>
      <c r="F69" s="1" t="s">
        <v>649</v>
      </c>
      <c r="G69" s="1">
        <v>1.5</v>
      </c>
      <c r="H69" s="1" t="s">
        <v>60</v>
      </c>
      <c r="I69" s="1">
        <v>106.0</v>
      </c>
      <c r="J69" s="1">
        <v>-0.0798854368932038</v>
      </c>
      <c r="K69" s="1" t="s">
        <v>61</v>
      </c>
      <c r="L69" s="1" t="s">
        <v>61</v>
      </c>
      <c r="M69" s="1" t="s">
        <v>62</v>
      </c>
      <c r="N69" s="1">
        <v>-136.0</v>
      </c>
      <c r="O69" s="1">
        <v>0.0181711864406779</v>
      </c>
      <c r="P69" s="1" t="s">
        <v>61</v>
      </c>
      <c r="Q69" s="1" t="s">
        <v>61</v>
      </c>
      <c r="R69" s="1">
        <f t="shared" si="1"/>
        <v>0.01817118644</v>
      </c>
      <c r="S69" s="1">
        <f t="shared" si="2"/>
        <v>-136</v>
      </c>
      <c r="T69" s="1">
        <f t="shared" si="3"/>
        <v>1.735294118</v>
      </c>
      <c r="U69" s="1">
        <f t="shared" si="4"/>
        <v>0</v>
      </c>
      <c r="V69" s="3">
        <f t="shared" si="5"/>
        <v>1</v>
      </c>
      <c r="W69" s="3">
        <f t="shared" si="6"/>
        <v>3</v>
      </c>
      <c r="X69" s="3" t="str">
        <f>IFERROR(__xludf.DUMMYFUNCTION("split(B69,"" "")"),"C.")</f>
        <v>C.</v>
      </c>
      <c r="Y69" s="3" t="str">
        <f>IFERROR(__xludf.DUMMYFUNCTION("""COMPUTED_VALUE"""),"Williams")</f>
        <v>Williams</v>
      </c>
      <c r="AA69" s="8">
        <v>0.0</v>
      </c>
      <c r="AB69" s="3">
        <f t="shared" si="7"/>
        <v>0</v>
      </c>
      <c r="AC69" s="3">
        <f t="shared" si="8"/>
        <v>1</v>
      </c>
      <c r="AD69" s="3">
        <f t="shared" si="9"/>
        <v>0.7352941176</v>
      </c>
      <c r="AE69" s="3">
        <f t="shared" si="10"/>
        <v>0.7352941176</v>
      </c>
      <c r="AF69" s="3">
        <f t="shared" si="11"/>
        <v>2.205882353</v>
      </c>
      <c r="AG69" s="3">
        <f t="shared" si="12"/>
        <v>1</v>
      </c>
    </row>
    <row r="70">
      <c r="A70" s="1" t="s">
        <v>10</v>
      </c>
      <c r="B70" s="1" t="s">
        <v>389</v>
      </c>
      <c r="C70" s="1" t="s">
        <v>18</v>
      </c>
      <c r="D70" s="1" t="s">
        <v>67</v>
      </c>
      <c r="E70" s="1" t="s">
        <v>156</v>
      </c>
      <c r="F70" s="1" t="s">
        <v>647</v>
      </c>
      <c r="G70" s="1">
        <v>0.5</v>
      </c>
      <c r="H70" s="1" t="s">
        <v>60</v>
      </c>
      <c r="I70" s="1">
        <v>400.0</v>
      </c>
      <c r="J70" s="1">
        <v>0.418855469732034</v>
      </c>
      <c r="K70" s="1" t="s">
        <v>61</v>
      </c>
      <c r="L70" s="1" t="s">
        <v>61</v>
      </c>
      <c r="M70" s="1" t="s">
        <v>62</v>
      </c>
      <c r="N70" s="1">
        <v>-638.0</v>
      </c>
      <c r="O70" s="1">
        <v>-0.483286025896067</v>
      </c>
      <c r="P70" s="1" t="s">
        <v>61</v>
      </c>
      <c r="Q70" s="1" t="s">
        <v>61</v>
      </c>
      <c r="R70" s="1">
        <f t="shared" si="1"/>
        <v>0.4188554697</v>
      </c>
      <c r="S70" s="1">
        <f t="shared" si="2"/>
        <v>400</v>
      </c>
      <c r="T70" s="1">
        <f t="shared" si="3"/>
        <v>5</v>
      </c>
      <c r="U70" s="1">
        <f t="shared" si="4"/>
        <v>1</v>
      </c>
      <c r="V70" s="3">
        <f t="shared" si="5"/>
        <v>3</v>
      </c>
      <c r="W70" s="3">
        <f t="shared" si="6"/>
        <v>1</v>
      </c>
      <c r="X70" s="3" t="str">
        <f>IFERROR(__xludf.DUMMYFUNCTION("split(B70,"" "")"),"J.")</f>
        <v>J.</v>
      </c>
      <c r="Y70" s="3" t="str">
        <f>IFERROR(__xludf.DUMMYFUNCTION("""COMPUTED_VALUE"""),"Chase")</f>
        <v>Chase</v>
      </c>
      <c r="AA70" s="8">
        <v>0.0</v>
      </c>
      <c r="AB70" s="3">
        <f t="shared" si="7"/>
        <v>0</v>
      </c>
      <c r="AC70" s="3">
        <f t="shared" si="8"/>
        <v>0</v>
      </c>
      <c r="AD70" s="3">
        <f t="shared" si="9"/>
        <v>12</v>
      </c>
      <c r="AE70" s="3">
        <f t="shared" si="10"/>
        <v>0</v>
      </c>
      <c r="AF70" s="3">
        <f t="shared" si="11"/>
        <v>-1</v>
      </c>
      <c r="AG70" s="3">
        <f t="shared" si="12"/>
        <v>-1</v>
      </c>
    </row>
    <row r="71">
      <c r="A71" s="1" t="s">
        <v>12</v>
      </c>
      <c r="B71" s="1" t="s">
        <v>168</v>
      </c>
      <c r="C71" s="1" t="s">
        <v>19</v>
      </c>
      <c r="D71" s="1" t="s">
        <v>67</v>
      </c>
      <c r="E71" s="1" t="s">
        <v>156</v>
      </c>
      <c r="F71" s="1" t="s">
        <v>647</v>
      </c>
      <c r="G71" s="1">
        <v>2.5</v>
      </c>
      <c r="H71" s="1" t="s">
        <v>60</v>
      </c>
      <c r="I71" s="1">
        <v>110.0</v>
      </c>
      <c r="J71" s="1">
        <v>-0.165631863214285</v>
      </c>
      <c r="K71" s="1" t="s">
        <v>61</v>
      </c>
      <c r="L71" s="1" t="s">
        <v>61</v>
      </c>
      <c r="M71" s="1" t="s">
        <v>62</v>
      </c>
      <c r="N71" s="1">
        <v>-146.0</v>
      </c>
      <c r="O71" s="1">
        <v>0.0959376543292682</v>
      </c>
      <c r="P71" s="1" t="s">
        <v>61</v>
      </c>
      <c r="Q71" s="1" t="s">
        <v>61</v>
      </c>
      <c r="R71" s="1">
        <f t="shared" si="1"/>
        <v>0.09593765433</v>
      </c>
      <c r="S71" s="1">
        <f t="shared" si="2"/>
        <v>-146</v>
      </c>
      <c r="T71" s="1">
        <f t="shared" si="3"/>
        <v>1.684931507</v>
      </c>
      <c r="U71" s="1">
        <f t="shared" si="4"/>
        <v>0</v>
      </c>
      <c r="V71" s="3">
        <f t="shared" si="5"/>
        <v>2</v>
      </c>
      <c r="W71" s="3">
        <f t="shared" si="6"/>
        <v>3</v>
      </c>
      <c r="X71" s="3" t="str">
        <f>IFERROR(__xludf.DUMMYFUNCTION("split(B71,"" "")"),"Z.")</f>
        <v>Z.</v>
      </c>
      <c r="Y71" s="3" t="str">
        <f>IFERROR(__xludf.DUMMYFUNCTION("""COMPUTED_VALUE"""),"Moss")</f>
        <v>Moss</v>
      </c>
      <c r="AA71" s="8">
        <v>4.0</v>
      </c>
      <c r="AB71" s="3">
        <f t="shared" si="7"/>
        <v>1</v>
      </c>
      <c r="AC71" s="3">
        <f t="shared" si="8"/>
        <v>0</v>
      </c>
      <c r="AD71" s="3">
        <f t="shared" si="9"/>
        <v>1.369863014</v>
      </c>
      <c r="AE71" s="3">
        <f t="shared" si="10"/>
        <v>-2</v>
      </c>
      <c r="AF71" s="3">
        <f t="shared" si="11"/>
        <v>-3</v>
      </c>
      <c r="AG71" s="3">
        <f t="shared" si="12"/>
        <v>-0.6</v>
      </c>
    </row>
    <row r="72">
      <c r="A72" s="1" t="s">
        <v>8</v>
      </c>
      <c r="B72" s="1" t="s">
        <v>293</v>
      </c>
      <c r="C72" s="1" t="s">
        <v>19</v>
      </c>
      <c r="D72" s="1" t="s">
        <v>67</v>
      </c>
      <c r="E72" s="1" t="s">
        <v>156</v>
      </c>
      <c r="F72" s="1" t="s">
        <v>647</v>
      </c>
      <c r="G72" s="1">
        <v>12.5</v>
      </c>
      <c r="H72" s="1" t="s">
        <v>60</v>
      </c>
      <c r="I72" s="1">
        <v>105.0</v>
      </c>
      <c r="J72" s="1">
        <v>-0.158702158576099</v>
      </c>
      <c r="K72" s="1" t="s">
        <v>61</v>
      </c>
      <c r="L72" s="1" t="s">
        <v>61</v>
      </c>
      <c r="M72" s="1" t="s">
        <v>62</v>
      </c>
      <c r="N72" s="1">
        <v>-138.0</v>
      </c>
      <c r="O72" s="1">
        <v>0.091051783358058</v>
      </c>
      <c r="P72" s="1" t="s">
        <v>61</v>
      </c>
      <c r="Q72" s="1" t="s">
        <v>61</v>
      </c>
      <c r="R72" s="1">
        <f t="shared" si="1"/>
        <v>0.09105178336</v>
      </c>
      <c r="S72" s="1">
        <f t="shared" si="2"/>
        <v>-138</v>
      </c>
      <c r="T72" s="1">
        <f t="shared" si="3"/>
        <v>1.724637681</v>
      </c>
      <c r="U72" s="1">
        <f t="shared" si="4"/>
        <v>0</v>
      </c>
      <c r="V72" s="3">
        <f t="shared" si="5"/>
        <v>2</v>
      </c>
      <c r="W72" s="3">
        <f t="shared" si="6"/>
        <v>3</v>
      </c>
      <c r="X72" s="3" t="str">
        <f>IFERROR(__xludf.DUMMYFUNCTION("split(B72,"" "")"),"C.")</f>
        <v>C.</v>
      </c>
      <c r="Y72" s="3" t="str">
        <f>IFERROR(__xludf.DUMMYFUNCTION("""COMPUTED_VALUE"""),"Brown")</f>
        <v>Brown</v>
      </c>
      <c r="AA72" s="8">
        <v>0.0</v>
      </c>
      <c r="AB72" s="3">
        <f t="shared" si="7"/>
        <v>0</v>
      </c>
      <c r="AC72" s="3">
        <f t="shared" si="8"/>
        <v>1</v>
      </c>
      <c r="AD72" s="3">
        <f t="shared" si="9"/>
        <v>1.449275362</v>
      </c>
      <c r="AE72" s="3">
        <f t="shared" si="10"/>
        <v>1.449275362</v>
      </c>
      <c r="AF72" s="3">
        <f t="shared" si="11"/>
        <v>2.173913043</v>
      </c>
      <c r="AG72" s="3">
        <f t="shared" si="12"/>
        <v>1</v>
      </c>
    </row>
    <row r="73">
      <c r="A73" s="1" t="s">
        <v>14</v>
      </c>
      <c r="B73" s="1" t="s">
        <v>318</v>
      </c>
      <c r="C73" s="1" t="s">
        <v>21</v>
      </c>
      <c r="D73" s="1" t="s">
        <v>67</v>
      </c>
      <c r="E73" s="1" t="s">
        <v>156</v>
      </c>
      <c r="F73" s="1" t="s">
        <v>647</v>
      </c>
      <c r="G73" s="1">
        <v>1.5</v>
      </c>
      <c r="H73" s="1" t="s">
        <v>60</v>
      </c>
      <c r="I73" s="1">
        <v>-156.0</v>
      </c>
      <c r="J73" s="1">
        <v>-0.136974999999999</v>
      </c>
      <c r="K73" s="1" t="s">
        <v>61</v>
      </c>
      <c r="L73" s="1" t="s">
        <v>61</v>
      </c>
      <c r="M73" s="1" t="s">
        <v>62</v>
      </c>
      <c r="N73" s="1">
        <v>120.0</v>
      </c>
      <c r="O73" s="1">
        <v>0.0730545454545455</v>
      </c>
      <c r="P73" s="1" t="s">
        <v>61</v>
      </c>
      <c r="Q73" s="1" t="s">
        <v>61</v>
      </c>
      <c r="R73" s="1">
        <f t="shared" si="1"/>
        <v>0.07305454545</v>
      </c>
      <c r="S73" s="1">
        <f t="shared" si="2"/>
        <v>120</v>
      </c>
      <c r="T73" s="1">
        <f t="shared" si="3"/>
        <v>2.2</v>
      </c>
      <c r="U73" s="1">
        <f t="shared" si="4"/>
        <v>0</v>
      </c>
      <c r="V73" s="3">
        <f t="shared" si="5"/>
        <v>2</v>
      </c>
      <c r="W73" s="3">
        <f t="shared" si="6"/>
        <v>1</v>
      </c>
      <c r="X73" s="3" t="str">
        <f>IFERROR(__xludf.DUMMYFUNCTION("split(B73,"" "")"),"J.")</f>
        <v>J.</v>
      </c>
      <c r="Y73" s="3" t="str">
        <f>IFERROR(__xludf.DUMMYFUNCTION("""COMPUTED_VALUE"""),"Burrow")</f>
        <v>Burrow</v>
      </c>
      <c r="AA73" s="8">
        <v>1.0</v>
      </c>
      <c r="AB73" s="3">
        <f t="shared" si="7"/>
        <v>0</v>
      </c>
      <c r="AC73" s="3">
        <f t="shared" si="8"/>
        <v>1</v>
      </c>
      <c r="AD73" s="3">
        <f t="shared" si="9"/>
        <v>2.4</v>
      </c>
      <c r="AE73" s="3">
        <f t="shared" si="10"/>
        <v>2.4</v>
      </c>
      <c r="AF73" s="3">
        <f t="shared" si="11"/>
        <v>1.2</v>
      </c>
      <c r="AG73" s="3">
        <f t="shared" si="12"/>
        <v>0.3333333333</v>
      </c>
    </row>
    <row r="74">
      <c r="A74" s="1" t="s">
        <v>8</v>
      </c>
      <c r="B74" s="1" t="s">
        <v>318</v>
      </c>
      <c r="C74" s="1" t="s">
        <v>21</v>
      </c>
      <c r="D74" s="1" t="s">
        <v>67</v>
      </c>
      <c r="E74" s="1" t="s">
        <v>156</v>
      </c>
      <c r="F74" s="1" t="s">
        <v>647</v>
      </c>
      <c r="G74" s="1">
        <v>3.5</v>
      </c>
      <c r="H74" s="1" t="s">
        <v>60</v>
      </c>
      <c r="I74" s="1">
        <v>117.0</v>
      </c>
      <c r="J74" s="1">
        <v>-0.140977657079333</v>
      </c>
      <c r="K74" s="1" t="s">
        <v>61</v>
      </c>
      <c r="L74" s="1" t="s">
        <v>61</v>
      </c>
      <c r="M74" s="1" t="s">
        <v>62</v>
      </c>
      <c r="N74" s="1">
        <v>-155.0</v>
      </c>
      <c r="O74" s="1">
        <v>0.0723111612489815</v>
      </c>
      <c r="P74" s="1" t="s">
        <v>61</v>
      </c>
      <c r="Q74" s="1" t="s">
        <v>61</v>
      </c>
      <c r="R74" s="1">
        <f t="shared" si="1"/>
        <v>0.07231116125</v>
      </c>
      <c r="S74" s="1">
        <f t="shared" si="2"/>
        <v>-155</v>
      </c>
      <c r="T74" s="1">
        <f t="shared" si="3"/>
        <v>1.64516129</v>
      </c>
      <c r="U74" s="1">
        <f t="shared" si="4"/>
        <v>0</v>
      </c>
      <c r="V74" s="3">
        <f t="shared" si="5"/>
        <v>2</v>
      </c>
      <c r="W74" s="3">
        <f t="shared" si="6"/>
        <v>3</v>
      </c>
      <c r="X74" s="3" t="str">
        <f>IFERROR(__xludf.DUMMYFUNCTION("split(B74,"" "")"),"J.")</f>
        <v>J.</v>
      </c>
      <c r="Y74" s="3" t="str">
        <f>IFERROR(__xludf.DUMMYFUNCTION("""COMPUTED_VALUE"""),"Burrow")</f>
        <v>Burrow</v>
      </c>
      <c r="AA74" s="8">
        <v>3.0</v>
      </c>
      <c r="AB74" s="3">
        <f t="shared" si="7"/>
        <v>0</v>
      </c>
      <c r="AC74" s="3">
        <f t="shared" si="8"/>
        <v>1</v>
      </c>
      <c r="AD74" s="3">
        <f t="shared" si="9"/>
        <v>1.290322581</v>
      </c>
      <c r="AE74" s="3">
        <f t="shared" si="10"/>
        <v>1.290322581</v>
      </c>
      <c r="AF74" s="3">
        <f t="shared" si="11"/>
        <v>1.935483871</v>
      </c>
      <c r="AG74" s="3">
        <f t="shared" si="12"/>
        <v>0.1428571429</v>
      </c>
    </row>
    <row r="75">
      <c r="A75" s="1" t="s">
        <v>12</v>
      </c>
      <c r="B75" s="1" t="s">
        <v>389</v>
      </c>
      <c r="C75" s="1" t="s">
        <v>18</v>
      </c>
      <c r="D75" s="1" t="s">
        <v>67</v>
      </c>
      <c r="E75" s="1" t="s">
        <v>156</v>
      </c>
      <c r="F75" s="1" t="s">
        <v>647</v>
      </c>
      <c r="G75" s="1">
        <v>5.5</v>
      </c>
      <c r="H75" s="1" t="s">
        <v>60</v>
      </c>
      <c r="I75" s="1">
        <v>-143.0</v>
      </c>
      <c r="J75" s="1">
        <v>0.0641049382716048</v>
      </c>
      <c r="K75" s="1" t="s">
        <v>61</v>
      </c>
      <c r="L75" s="1" t="s">
        <v>61</v>
      </c>
      <c r="M75" s="1" t="s">
        <v>62</v>
      </c>
      <c r="N75" s="1">
        <v>108.0</v>
      </c>
      <c r="O75" s="1">
        <v>-0.133365384615384</v>
      </c>
      <c r="P75" s="1" t="s">
        <v>61</v>
      </c>
      <c r="Q75" s="1" t="s">
        <v>61</v>
      </c>
      <c r="R75" s="1">
        <f t="shared" si="1"/>
        <v>0.06410493827</v>
      </c>
      <c r="S75" s="1">
        <f t="shared" si="2"/>
        <v>-143</v>
      </c>
      <c r="T75" s="1">
        <f t="shared" si="3"/>
        <v>1.699300699</v>
      </c>
      <c r="U75" s="1">
        <f t="shared" si="4"/>
        <v>1</v>
      </c>
      <c r="V75" s="3">
        <f t="shared" si="5"/>
        <v>2</v>
      </c>
      <c r="W75" s="3">
        <f t="shared" si="6"/>
        <v>3</v>
      </c>
      <c r="X75" s="3" t="str">
        <f>IFERROR(__xludf.DUMMYFUNCTION("split(B75,"" "")"),"J.")</f>
        <v>J.</v>
      </c>
      <c r="Y75" s="3" t="str">
        <f>IFERROR(__xludf.DUMMYFUNCTION("""COMPUTED_VALUE"""),"Chase")</f>
        <v>Chase</v>
      </c>
      <c r="AA75" s="8">
        <v>9.0</v>
      </c>
      <c r="AB75" s="3">
        <f t="shared" si="7"/>
        <v>1</v>
      </c>
      <c r="AC75" s="3">
        <f t="shared" si="8"/>
        <v>1</v>
      </c>
      <c r="AD75" s="3">
        <f t="shared" si="9"/>
        <v>1.398601399</v>
      </c>
      <c r="AE75" s="3">
        <f t="shared" si="10"/>
        <v>1.398601399</v>
      </c>
      <c r="AF75" s="3">
        <f t="shared" si="11"/>
        <v>2.097902098</v>
      </c>
      <c r="AG75" s="3">
        <f t="shared" si="12"/>
        <v>0.6363636364</v>
      </c>
    </row>
    <row r="76">
      <c r="A76" s="1" t="s">
        <v>10</v>
      </c>
      <c r="B76" s="1" t="s">
        <v>293</v>
      </c>
      <c r="C76" s="1" t="s">
        <v>19</v>
      </c>
      <c r="D76" s="1" t="s">
        <v>67</v>
      </c>
      <c r="E76" s="1" t="s">
        <v>156</v>
      </c>
      <c r="F76" s="1" t="s">
        <v>647</v>
      </c>
      <c r="G76" s="1">
        <v>53.5</v>
      </c>
      <c r="H76" s="1" t="s">
        <v>60</v>
      </c>
      <c r="I76" s="1">
        <v>-116.0</v>
      </c>
      <c r="J76" s="1">
        <v>-0.123170145577033</v>
      </c>
      <c r="K76" s="1" t="s">
        <v>61</v>
      </c>
      <c r="L76" s="1" t="s">
        <v>61</v>
      </c>
      <c r="M76" s="1" t="s">
        <v>62</v>
      </c>
      <c r="N76" s="1">
        <v>-114.0</v>
      </c>
      <c r="O76" s="1">
        <v>0.0534277721505787</v>
      </c>
      <c r="P76" s="1" t="s">
        <v>61</v>
      </c>
      <c r="Q76" s="1" t="s">
        <v>61</v>
      </c>
      <c r="R76" s="1">
        <f t="shared" si="1"/>
        <v>0.05342777215</v>
      </c>
      <c r="S76" s="1">
        <f t="shared" si="2"/>
        <v>-114</v>
      </c>
      <c r="T76" s="1">
        <f t="shared" si="3"/>
        <v>1.877192982</v>
      </c>
      <c r="U76" s="1">
        <f t="shared" si="4"/>
        <v>0</v>
      </c>
      <c r="V76" s="3">
        <f t="shared" si="5"/>
        <v>2</v>
      </c>
      <c r="W76" s="3">
        <f t="shared" si="6"/>
        <v>2</v>
      </c>
      <c r="X76" s="3" t="str">
        <f>IFERROR(__xludf.DUMMYFUNCTION("split(B76,"" "")"),"C.")</f>
        <v>C.</v>
      </c>
      <c r="Y76" s="3" t="str">
        <f>IFERROR(__xludf.DUMMYFUNCTION("""COMPUTED_VALUE"""),"Brown")</f>
        <v>Brown</v>
      </c>
      <c r="AA76" s="8">
        <v>0.0</v>
      </c>
      <c r="AB76" s="3">
        <f t="shared" si="7"/>
        <v>0</v>
      </c>
      <c r="AC76" s="3">
        <f t="shared" si="8"/>
        <v>1</v>
      </c>
      <c r="AD76" s="3">
        <f t="shared" si="9"/>
        <v>1.754385965</v>
      </c>
      <c r="AE76" s="3">
        <f t="shared" si="10"/>
        <v>1.754385965</v>
      </c>
      <c r="AF76" s="3">
        <f t="shared" si="11"/>
        <v>1.754385965</v>
      </c>
      <c r="AG76" s="3">
        <f t="shared" si="12"/>
        <v>1</v>
      </c>
    </row>
    <row r="77">
      <c r="A77" s="1" t="s">
        <v>17</v>
      </c>
      <c r="B77" s="1" t="s">
        <v>318</v>
      </c>
      <c r="C77" s="1" t="s">
        <v>21</v>
      </c>
      <c r="D77" s="1" t="s">
        <v>67</v>
      </c>
      <c r="E77" s="1" t="s">
        <v>156</v>
      </c>
      <c r="F77" s="1" t="s">
        <v>647</v>
      </c>
      <c r="G77" s="1">
        <v>0.5</v>
      </c>
      <c r="H77" s="1" t="s">
        <v>60</v>
      </c>
      <c r="I77" s="1">
        <v>-119.0</v>
      </c>
      <c r="J77" s="1">
        <v>-0.103478995433789</v>
      </c>
      <c r="K77" s="1" t="s">
        <v>61</v>
      </c>
      <c r="L77" s="1" t="s">
        <v>61</v>
      </c>
      <c r="M77" s="1" t="s">
        <v>62</v>
      </c>
      <c r="N77" s="1">
        <v>-110.0</v>
      </c>
      <c r="O77" s="1">
        <v>0.0362904761904762</v>
      </c>
      <c r="P77" s="1" t="s">
        <v>61</v>
      </c>
      <c r="Q77" s="1" t="s">
        <v>61</v>
      </c>
      <c r="R77" s="1">
        <f t="shared" si="1"/>
        <v>0.03629047619</v>
      </c>
      <c r="S77" s="1">
        <f t="shared" si="2"/>
        <v>-110</v>
      </c>
      <c r="T77" s="1">
        <f t="shared" si="3"/>
        <v>1.909090909</v>
      </c>
      <c r="U77" s="1">
        <f t="shared" si="4"/>
        <v>0</v>
      </c>
      <c r="V77" s="3">
        <f t="shared" si="5"/>
        <v>1</v>
      </c>
      <c r="W77" s="3">
        <f t="shared" si="6"/>
        <v>2</v>
      </c>
      <c r="X77" s="3" t="str">
        <f>IFERROR(__xludf.DUMMYFUNCTION("split(B77,"" "")"),"J.")</f>
        <v>J.</v>
      </c>
      <c r="Y77" s="3" t="str">
        <f>IFERROR(__xludf.DUMMYFUNCTION("""COMPUTED_VALUE"""),"Burrow")</f>
        <v>Burrow</v>
      </c>
      <c r="AA77" s="8">
        <v>1.0</v>
      </c>
      <c r="AB77" s="3">
        <f t="shared" si="7"/>
        <v>1</v>
      </c>
      <c r="AC77" s="3">
        <f t="shared" si="8"/>
        <v>0</v>
      </c>
      <c r="AD77" s="3">
        <f t="shared" si="9"/>
        <v>0.9090909091</v>
      </c>
      <c r="AE77" s="3">
        <f t="shared" si="10"/>
        <v>-1</v>
      </c>
      <c r="AF77" s="3">
        <f t="shared" si="11"/>
        <v>-2</v>
      </c>
      <c r="AG77" s="3">
        <f t="shared" si="12"/>
        <v>-1</v>
      </c>
    </row>
    <row r="78">
      <c r="A78" s="1" t="s">
        <v>15</v>
      </c>
      <c r="B78" s="1" t="s">
        <v>318</v>
      </c>
      <c r="C78" s="1" t="s">
        <v>21</v>
      </c>
      <c r="D78" s="1" t="s">
        <v>67</v>
      </c>
      <c r="E78" s="1" t="s">
        <v>156</v>
      </c>
      <c r="F78" s="1" t="s">
        <v>647</v>
      </c>
      <c r="G78" s="1">
        <v>23.5</v>
      </c>
      <c r="H78" s="1" t="s">
        <v>60</v>
      </c>
      <c r="I78" s="1">
        <v>-105.0</v>
      </c>
      <c r="J78" s="1">
        <v>0.0327073170731707</v>
      </c>
      <c r="K78" s="1" t="s">
        <v>61</v>
      </c>
      <c r="L78" s="1" t="s">
        <v>61</v>
      </c>
      <c r="M78" s="1" t="s">
        <v>62</v>
      </c>
      <c r="N78" s="1">
        <v>-125.0</v>
      </c>
      <c r="O78" s="1">
        <v>-0.100444444444444</v>
      </c>
      <c r="P78" s="1" t="s">
        <v>61</v>
      </c>
      <c r="Q78" s="1" t="s">
        <v>61</v>
      </c>
      <c r="R78" s="1">
        <f t="shared" si="1"/>
        <v>0.03270731707</v>
      </c>
      <c r="S78" s="1">
        <f t="shared" si="2"/>
        <v>-105</v>
      </c>
      <c r="T78" s="1">
        <f t="shared" si="3"/>
        <v>1.952380952</v>
      </c>
      <c r="U78" s="1">
        <f t="shared" si="4"/>
        <v>1</v>
      </c>
      <c r="V78" s="3">
        <f t="shared" si="5"/>
        <v>1</v>
      </c>
      <c r="W78" s="3">
        <f t="shared" si="6"/>
        <v>2</v>
      </c>
      <c r="X78" s="3" t="str">
        <f>IFERROR(__xludf.DUMMYFUNCTION("split(B78,"" "")"),"J.")</f>
        <v>J.</v>
      </c>
      <c r="Y78" s="3" t="str">
        <f>IFERROR(__xludf.DUMMYFUNCTION("""COMPUTED_VALUE"""),"Burrow")</f>
        <v>Burrow</v>
      </c>
      <c r="AA78" s="8">
        <v>26.0</v>
      </c>
      <c r="AB78" s="3">
        <f t="shared" si="7"/>
        <v>1</v>
      </c>
      <c r="AC78" s="3">
        <f t="shared" si="8"/>
        <v>1</v>
      </c>
      <c r="AD78" s="3">
        <f t="shared" si="9"/>
        <v>0.9523809524</v>
      </c>
      <c r="AE78" s="3">
        <f t="shared" si="10"/>
        <v>0.9523809524</v>
      </c>
      <c r="AF78" s="3">
        <f t="shared" si="11"/>
        <v>1.904761905</v>
      </c>
      <c r="AG78" s="3">
        <f t="shared" si="12"/>
        <v>0.1063829787</v>
      </c>
    </row>
    <row r="79">
      <c r="A79" s="1" t="s">
        <v>9</v>
      </c>
      <c r="B79" s="1" t="s">
        <v>529</v>
      </c>
      <c r="C79" s="1" t="s">
        <v>18</v>
      </c>
      <c r="D79" s="1" t="s">
        <v>67</v>
      </c>
      <c r="E79" s="1" t="s">
        <v>156</v>
      </c>
      <c r="F79" s="1" t="s">
        <v>647</v>
      </c>
      <c r="G79" s="1">
        <v>72.5</v>
      </c>
      <c r="H79" s="1" t="s">
        <v>60</v>
      </c>
      <c r="I79" s="1">
        <v>-116.0</v>
      </c>
      <c r="J79" s="1">
        <v>-0.100649038377696</v>
      </c>
      <c r="K79" s="1" t="s">
        <v>61</v>
      </c>
      <c r="L79" s="1" t="s">
        <v>61</v>
      </c>
      <c r="M79" s="1" t="s">
        <v>62</v>
      </c>
      <c r="N79" s="1">
        <v>-119.0</v>
      </c>
      <c r="O79" s="1">
        <v>0.0202524603863155</v>
      </c>
      <c r="P79" s="1" t="s">
        <v>61</v>
      </c>
      <c r="Q79" s="1" t="s">
        <v>61</v>
      </c>
      <c r="R79" s="1">
        <f t="shared" si="1"/>
        <v>0.02025246039</v>
      </c>
      <c r="S79" s="1">
        <f t="shared" si="2"/>
        <v>-119</v>
      </c>
      <c r="T79" s="1">
        <f t="shared" si="3"/>
        <v>1.840336134</v>
      </c>
      <c r="U79" s="1">
        <f t="shared" si="4"/>
        <v>0</v>
      </c>
      <c r="V79" s="3">
        <f t="shared" si="5"/>
        <v>1</v>
      </c>
      <c r="W79" s="3">
        <f t="shared" si="6"/>
        <v>3</v>
      </c>
      <c r="X79" s="3" t="str">
        <f>IFERROR(__xludf.DUMMYFUNCTION("split(B79,"" "")"),"T.")</f>
        <v>T.</v>
      </c>
      <c r="Y79" s="3" t="str">
        <f>IFERROR(__xludf.DUMMYFUNCTION("""COMPUTED_VALUE"""),"Higgins")</f>
        <v>Higgins</v>
      </c>
      <c r="AA79" s="8">
        <v>0.0</v>
      </c>
      <c r="AB79" s="3">
        <f t="shared" si="7"/>
        <v>0</v>
      </c>
      <c r="AC79" s="3">
        <f t="shared" si="8"/>
        <v>1</v>
      </c>
      <c r="AD79" s="3">
        <f t="shared" si="9"/>
        <v>0.8403361345</v>
      </c>
      <c r="AE79" s="3">
        <f t="shared" si="10"/>
        <v>0.8403361345</v>
      </c>
      <c r="AF79" s="3">
        <f t="shared" si="11"/>
        <v>2.521008403</v>
      </c>
      <c r="AG79" s="3">
        <f t="shared" si="12"/>
        <v>1</v>
      </c>
    </row>
    <row r="80">
      <c r="A80" s="1" t="s">
        <v>11</v>
      </c>
      <c r="B80" s="1" t="s">
        <v>168</v>
      </c>
      <c r="C80" s="1" t="s">
        <v>19</v>
      </c>
      <c r="D80" s="1" t="s">
        <v>67</v>
      </c>
      <c r="E80" s="1" t="s">
        <v>156</v>
      </c>
      <c r="F80" s="1" t="s">
        <v>647</v>
      </c>
      <c r="G80" s="1">
        <v>16.5</v>
      </c>
      <c r="H80" s="1" t="s">
        <v>60</v>
      </c>
      <c r="I80" s="1">
        <v>-115.0</v>
      </c>
      <c r="J80" s="1">
        <v>-0.0734731622402991</v>
      </c>
      <c r="K80" s="1" t="s">
        <v>61</v>
      </c>
      <c r="L80" s="1" t="s">
        <v>61</v>
      </c>
      <c r="M80" s="1" t="s">
        <v>62</v>
      </c>
      <c r="N80" s="1">
        <v>-114.0</v>
      </c>
      <c r="O80" s="1">
        <v>0.00593575731353879</v>
      </c>
      <c r="P80" s="1" t="s">
        <v>61</v>
      </c>
      <c r="Q80" s="1" t="s">
        <v>61</v>
      </c>
      <c r="R80" s="1">
        <f t="shared" si="1"/>
        <v>0.005935757314</v>
      </c>
      <c r="S80" s="1">
        <f t="shared" si="2"/>
        <v>-114</v>
      </c>
      <c r="T80" s="1">
        <f t="shared" si="3"/>
        <v>1.877192982</v>
      </c>
      <c r="U80" s="1">
        <f t="shared" si="4"/>
        <v>0</v>
      </c>
      <c r="V80" s="3">
        <f t="shared" si="5"/>
        <v>1</v>
      </c>
      <c r="W80" s="3">
        <f t="shared" si="6"/>
        <v>2</v>
      </c>
      <c r="X80" s="3" t="str">
        <f>IFERROR(__xludf.DUMMYFUNCTION("split(B80,"" "")"),"Z.")</f>
        <v>Z.</v>
      </c>
      <c r="Y80" s="3" t="str">
        <f>IFERROR(__xludf.DUMMYFUNCTION("""COMPUTED_VALUE"""),"Moss")</f>
        <v>Moss</v>
      </c>
      <c r="AA80" s="8">
        <v>28.0</v>
      </c>
      <c r="AB80" s="3">
        <f t="shared" si="7"/>
        <v>1</v>
      </c>
      <c r="AC80" s="3">
        <f t="shared" si="8"/>
        <v>0</v>
      </c>
      <c r="AD80" s="3">
        <f t="shared" si="9"/>
        <v>0.8771929825</v>
      </c>
      <c r="AE80" s="3">
        <f t="shared" si="10"/>
        <v>-1</v>
      </c>
      <c r="AF80" s="3">
        <f t="shared" si="11"/>
        <v>-2</v>
      </c>
      <c r="AG80" s="3">
        <f t="shared" si="12"/>
        <v>-0.696969697</v>
      </c>
    </row>
    <row r="81">
      <c r="A81" s="1" t="s">
        <v>13</v>
      </c>
      <c r="B81" s="1" t="s">
        <v>318</v>
      </c>
      <c r="C81" s="1" t="s">
        <v>21</v>
      </c>
      <c r="D81" s="1" t="s">
        <v>67</v>
      </c>
      <c r="E81" s="1" t="s">
        <v>156</v>
      </c>
      <c r="F81" s="1" t="s">
        <v>647</v>
      </c>
      <c r="G81" s="1">
        <v>261.5</v>
      </c>
      <c r="H81" s="1" t="s">
        <v>60</v>
      </c>
      <c r="I81" s="1">
        <v>-114.0</v>
      </c>
      <c r="J81" s="1">
        <v>-0.0705215917317754</v>
      </c>
      <c r="K81" s="1" t="s">
        <v>61</v>
      </c>
      <c r="L81" s="1" t="s">
        <v>61</v>
      </c>
      <c r="M81" s="1" t="s">
        <v>62</v>
      </c>
      <c r="N81" s="1">
        <v>-115.0</v>
      </c>
      <c r="O81" s="1">
        <v>0.00291346646511603</v>
      </c>
      <c r="P81" s="1" t="s">
        <v>61</v>
      </c>
      <c r="Q81" s="1" t="s">
        <v>61</v>
      </c>
      <c r="R81" s="1">
        <f t="shared" si="1"/>
        <v>0.002913466465</v>
      </c>
      <c r="S81" s="1">
        <f t="shared" si="2"/>
        <v>-115</v>
      </c>
      <c r="T81" s="1">
        <f t="shared" si="3"/>
        <v>1.869565217</v>
      </c>
      <c r="U81" s="1">
        <f t="shared" si="4"/>
        <v>0</v>
      </c>
      <c r="V81" s="3">
        <f t="shared" si="5"/>
        <v>1</v>
      </c>
      <c r="W81" s="3">
        <f t="shared" si="6"/>
        <v>2</v>
      </c>
      <c r="X81" s="3" t="str">
        <f>IFERROR(__xludf.DUMMYFUNCTION("split(B81,"" "")"),"J.")</f>
        <v>J.</v>
      </c>
      <c r="Y81" s="3" t="str">
        <f>IFERROR(__xludf.DUMMYFUNCTION("""COMPUTED_VALUE"""),"Burrow")</f>
        <v>Burrow</v>
      </c>
      <c r="AA81" s="8">
        <v>234.0</v>
      </c>
      <c r="AB81" s="3">
        <f t="shared" si="7"/>
        <v>0</v>
      </c>
      <c r="AC81" s="3">
        <f t="shared" si="8"/>
        <v>1</v>
      </c>
      <c r="AD81" s="3">
        <f t="shared" si="9"/>
        <v>0.8695652174</v>
      </c>
      <c r="AE81" s="3">
        <f t="shared" si="10"/>
        <v>0.8695652174</v>
      </c>
      <c r="AF81" s="3">
        <f t="shared" si="11"/>
        <v>1.739130435</v>
      </c>
      <c r="AG81" s="3">
        <f t="shared" si="12"/>
        <v>0.1051625239</v>
      </c>
    </row>
    <row r="82">
      <c r="A82" s="1" t="s">
        <v>11</v>
      </c>
      <c r="B82" s="1" t="s">
        <v>529</v>
      </c>
      <c r="C82" s="1" t="s">
        <v>18</v>
      </c>
      <c r="D82" s="1" t="s">
        <v>67</v>
      </c>
      <c r="E82" s="1" t="s">
        <v>156</v>
      </c>
      <c r="F82" s="1" t="s">
        <v>647</v>
      </c>
      <c r="G82" s="1">
        <v>71.5</v>
      </c>
      <c r="H82" s="1" t="s">
        <v>60</v>
      </c>
      <c r="I82" s="1">
        <v>-114.0</v>
      </c>
      <c r="J82" s="1">
        <v>-0.0702553713037519</v>
      </c>
      <c r="K82" s="1" t="s">
        <v>61</v>
      </c>
      <c r="L82" s="1" t="s">
        <v>61</v>
      </c>
      <c r="M82" s="1" t="s">
        <v>62</v>
      </c>
      <c r="N82" s="1">
        <v>-115.0</v>
      </c>
      <c r="O82" s="1">
        <v>0.00266761439623453</v>
      </c>
      <c r="P82" s="1" t="s">
        <v>61</v>
      </c>
      <c r="Q82" s="1" t="s">
        <v>61</v>
      </c>
      <c r="R82" s="1">
        <f t="shared" si="1"/>
        <v>0.002667614396</v>
      </c>
      <c r="S82" s="1">
        <f t="shared" si="2"/>
        <v>-115</v>
      </c>
      <c r="T82" s="1">
        <f t="shared" si="3"/>
        <v>1.869565217</v>
      </c>
      <c r="U82" s="1">
        <f t="shared" si="4"/>
        <v>0</v>
      </c>
      <c r="V82" s="3">
        <f t="shared" si="5"/>
        <v>1</v>
      </c>
      <c r="W82" s="3">
        <f t="shared" si="6"/>
        <v>2</v>
      </c>
      <c r="X82" s="3" t="str">
        <f>IFERROR(__xludf.DUMMYFUNCTION("split(B82,"" "")"),"T.")</f>
        <v>T.</v>
      </c>
      <c r="Y82" s="3" t="str">
        <f>IFERROR(__xludf.DUMMYFUNCTION("""COMPUTED_VALUE"""),"Higgins")</f>
        <v>Higgins</v>
      </c>
      <c r="AA82" s="8">
        <v>0.0</v>
      </c>
      <c r="AB82" s="3">
        <f t="shared" si="7"/>
        <v>0</v>
      </c>
      <c r="AC82" s="3">
        <f t="shared" si="8"/>
        <v>1</v>
      </c>
      <c r="AD82" s="3">
        <f t="shared" si="9"/>
        <v>0.8695652174</v>
      </c>
      <c r="AE82" s="3">
        <f t="shared" si="10"/>
        <v>0.8695652174</v>
      </c>
      <c r="AF82" s="3">
        <f t="shared" si="11"/>
        <v>1.739130435</v>
      </c>
      <c r="AG82" s="3">
        <f t="shared" si="12"/>
        <v>1</v>
      </c>
    </row>
    <row r="83">
      <c r="A83" s="1" t="s">
        <v>10</v>
      </c>
      <c r="B83" s="1" t="s">
        <v>502</v>
      </c>
      <c r="C83" s="1" t="s">
        <v>18</v>
      </c>
      <c r="D83" s="1" t="s">
        <v>89</v>
      </c>
      <c r="E83" s="1" t="s">
        <v>77</v>
      </c>
      <c r="F83" s="1" t="s">
        <v>647</v>
      </c>
      <c r="G83" s="1">
        <v>0.5</v>
      </c>
      <c r="H83" s="1" t="s">
        <v>60</v>
      </c>
      <c r="I83" s="1">
        <v>544.0</v>
      </c>
      <c r="J83" s="1">
        <v>0.4574456344642</v>
      </c>
      <c r="K83" s="1" t="s">
        <v>61</v>
      </c>
      <c r="L83" s="1" t="s">
        <v>61</v>
      </c>
      <c r="M83" s="1" t="s">
        <v>62</v>
      </c>
      <c r="N83" s="1">
        <v>-1079.0</v>
      </c>
      <c r="O83" s="1">
        <v>-0.527867885131257</v>
      </c>
      <c r="P83" s="1" t="s">
        <v>61</v>
      </c>
      <c r="Q83" s="1" t="s">
        <v>61</v>
      </c>
      <c r="R83" s="1">
        <f t="shared" si="1"/>
        <v>0.4574456345</v>
      </c>
      <c r="S83" s="1">
        <f t="shared" si="2"/>
        <v>544</v>
      </c>
      <c r="T83" s="1">
        <f t="shared" si="3"/>
        <v>6.44</v>
      </c>
      <c r="U83" s="1">
        <f t="shared" si="4"/>
        <v>1</v>
      </c>
      <c r="V83" s="3">
        <f t="shared" si="5"/>
        <v>3</v>
      </c>
      <c r="W83" s="3">
        <f t="shared" si="6"/>
        <v>1</v>
      </c>
      <c r="X83" s="3" t="str">
        <f>IFERROR(__xludf.DUMMYFUNCTION("split(B83,"" "")"),"C.")</f>
        <v>C.</v>
      </c>
      <c r="Y83" s="3" t="str">
        <f>IFERROR(__xludf.DUMMYFUNCTION("""COMPUTED_VALUE"""),"Tillman")</f>
        <v>Tillman</v>
      </c>
      <c r="AA83" s="8">
        <v>0.0</v>
      </c>
      <c r="AB83" s="3">
        <f t="shared" si="7"/>
        <v>0</v>
      </c>
      <c r="AC83" s="3">
        <f t="shared" si="8"/>
        <v>0</v>
      </c>
      <c r="AD83" s="3">
        <f t="shared" si="9"/>
        <v>16.32</v>
      </c>
      <c r="AE83" s="3">
        <f t="shared" si="10"/>
        <v>0</v>
      </c>
      <c r="AF83" s="3">
        <f t="shared" si="11"/>
        <v>-1</v>
      </c>
      <c r="AG83" s="3">
        <f t="shared" si="12"/>
        <v>-1</v>
      </c>
    </row>
    <row r="84">
      <c r="A84" s="1" t="s">
        <v>12</v>
      </c>
      <c r="B84" s="1" t="s">
        <v>632</v>
      </c>
      <c r="C84" s="1" t="s">
        <v>19</v>
      </c>
      <c r="D84" s="1" t="s">
        <v>89</v>
      </c>
      <c r="E84" s="1" t="s">
        <v>77</v>
      </c>
      <c r="F84" s="1" t="s">
        <v>647</v>
      </c>
      <c r="G84" s="1">
        <v>1.5</v>
      </c>
      <c r="H84" s="1" t="s">
        <v>60</v>
      </c>
      <c r="I84" s="1">
        <v>-152.0</v>
      </c>
      <c r="J84" s="1">
        <v>-0.251807642845238</v>
      </c>
      <c r="K84" s="1" t="s">
        <v>61</v>
      </c>
      <c r="L84" s="1" t="s">
        <v>61</v>
      </c>
      <c r="M84" s="1" t="s">
        <v>62</v>
      </c>
      <c r="N84" s="1">
        <v>115.0</v>
      </c>
      <c r="O84" s="1">
        <v>0.183522446497674</v>
      </c>
      <c r="P84" s="1" t="s">
        <v>61</v>
      </c>
      <c r="Q84" s="1" t="s">
        <v>61</v>
      </c>
      <c r="R84" s="1">
        <f t="shared" si="1"/>
        <v>0.1835224465</v>
      </c>
      <c r="S84" s="1">
        <f t="shared" si="2"/>
        <v>115</v>
      </c>
      <c r="T84" s="1">
        <f t="shared" si="3"/>
        <v>2.15</v>
      </c>
      <c r="U84" s="1">
        <f t="shared" si="4"/>
        <v>0</v>
      </c>
      <c r="V84" s="3">
        <f t="shared" si="5"/>
        <v>3</v>
      </c>
      <c r="W84" s="3">
        <f t="shared" si="6"/>
        <v>1</v>
      </c>
      <c r="X84" s="3" t="str">
        <f>IFERROR(__xludf.DUMMYFUNCTION("split(B84,"" "")"),"N.")</f>
        <v>N.</v>
      </c>
      <c r="Y84" s="3" t="str">
        <f>IFERROR(__xludf.DUMMYFUNCTION("""COMPUTED_VALUE"""),"Chubb")</f>
        <v>Chubb</v>
      </c>
      <c r="AA84" s="8">
        <v>0.0</v>
      </c>
      <c r="AB84" s="3">
        <f t="shared" si="7"/>
        <v>0</v>
      </c>
      <c r="AC84" s="3">
        <f t="shared" si="8"/>
        <v>1</v>
      </c>
      <c r="AD84" s="3">
        <f t="shared" si="9"/>
        <v>3.45</v>
      </c>
      <c r="AE84" s="3">
        <f t="shared" si="10"/>
        <v>3.45</v>
      </c>
      <c r="AF84" s="3">
        <f t="shared" si="11"/>
        <v>1.15</v>
      </c>
      <c r="AG84" s="3">
        <f t="shared" si="12"/>
        <v>1</v>
      </c>
    </row>
    <row r="85">
      <c r="A85" s="1" t="s">
        <v>17</v>
      </c>
      <c r="B85" s="1" t="s">
        <v>650</v>
      </c>
      <c r="C85" s="1" t="s">
        <v>21</v>
      </c>
      <c r="D85" s="1" t="s">
        <v>89</v>
      </c>
      <c r="E85" s="1" t="s">
        <v>77</v>
      </c>
      <c r="F85" s="1" t="s">
        <v>647</v>
      </c>
      <c r="G85" s="1">
        <v>0.5</v>
      </c>
      <c r="H85" s="1" t="s">
        <v>60</v>
      </c>
      <c r="I85" s="1">
        <v>-221.0</v>
      </c>
      <c r="J85" s="1">
        <v>-0.219104672897196</v>
      </c>
      <c r="K85" s="1" t="s">
        <v>61</v>
      </c>
      <c r="L85" s="1" t="s">
        <v>61</v>
      </c>
      <c r="M85" s="1" t="s">
        <v>62</v>
      </c>
      <c r="N85" s="1">
        <v>163.0</v>
      </c>
      <c r="O85" s="1">
        <v>0.150409885931558</v>
      </c>
      <c r="P85" s="1" t="s">
        <v>61</v>
      </c>
      <c r="Q85" s="1" t="s">
        <v>61</v>
      </c>
      <c r="R85" s="1">
        <f t="shared" si="1"/>
        <v>0.1504098859</v>
      </c>
      <c r="S85" s="1">
        <f t="shared" si="2"/>
        <v>163</v>
      </c>
      <c r="T85" s="1">
        <f t="shared" si="3"/>
        <v>2.63</v>
      </c>
      <c r="U85" s="1">
        <f t="shared" si="4"/>
        <v>0</v>
      </c>
      <c r="V85" s="3">
        <f t="shared" si="5"/>
        <v>3</v>
      </c>
      <c r="W85" s="3">
        <f t="shared" si="6"/>
        <v>1</v>
      </c>
      <c r="X85" s="3" t="str">
        <f>IFERROR(__xludf.DUMMYFUNCTION("split(B85,"" "")"),"J.")</f>
        <v>J.</v>
      </c>
      <c r="Y85" s="3" t="str">
        <f>IFERROR(__xludf.DUMMYFUNCTION("""COMPUTED_VALUE"""),"Winston")</f>
        <v>Winston</v>
      </c>
      <c r="AA85" s="8">
        <v>0.0</v>
      </c>
      <c r="AB85" s="3">
        <f t="shared" si="7"/>
        <v>0</v>
      </c>
      <c r="AC85" s="3">
        <f t="shared" si="8"/>
        <v>1</v>
      </c>
      <c r="AD85" s="3">
        <f t="shared" si="9"/>
        <v>4.89</v>
      </c>
      <c r="AE85" s="3">
        <f t="shared" si="10"/>
        <v>4.89</v>
      </c>
      <c r="AF85" s="3">
        <f t="shared" si="11"/>
        <v>1.63</v>
      </c>
      <c r="AG85" s="3">
        <f t="shared" si="12"/>
        <v>1</v>
      </c>
    </row>
    <row r="86">
      <c r="A86" s="1" t="s">
        <v>12</v>
      </c>
      <c r="B86" s="1" t="s">
        <v>414</v>
      </c>
      <c r="C86" s="1" t="s">
        <v>18</v>
      </c>
      <c r="D86" s="1" t="s">
        <v>89</v>
      </c>
      <c r="E86" s="1" t="s">
        <v>77</v>
      </c>
      <c r="F86" s="1" t="s">
        <v>647</v>
      </c>
      <c r="G86" s="1">
        <v>2.5</v>
      </c>
      <c r="H86" s="1" t="s">
        <v>60</v>
      </c>
      <c r="I86" s="1">
        <v>-167.0</v>
      </c>
      <c r="J86" s="1">
        <v>-0.201939939138576</v>
      </c>
      <c r="K86" s="1" t="s">
        <v>61</v>
      </c>
      <c r="L86" s="1" t="s">
        <v>61</v>
      </c>
      <c r="M86" s="1" t="s">
        <v>62</v>
      </c>
      <c r="N86" s="1">
        <v>128.0</v>
      </c>
      <c r="O86" s="1">
        <v>0.137887560307017</v>
      </c>
      <c r="P86" s="1" t="s">
        <v>61</v>
      </c>
      <c r="Q86" s="1" t="s">
        <v>61</v>
      </c>
      <c r="R86" s="1">
        <f t="shared" si="1"/>
        <v>0.1378875603</v>
      </c>
      <c r="S86" s="1">
        <f t="shared" si="2"/>
        <v>128</v>
      </c>
      <c r="T86" s="1">
        <f t="shared" si="3"/>
        <v>2.28</v>
      </c>
      <c r="U86" s="1">
        <f t="shared" si="4"/>
        <v>0</v>
      </c>
      <c r="V86" s="3">
        <f t="shared" si="5"/>
        <v>3</v>
      </c>
      <c r="W86" s="3">
        <f t="shared" si="6"/>
        <v>1</v>
      </c>
      <c r="X86" s="3" t="str">
        <f>IFERROR(__xludf.DUMMYFUNCTION("split(B86,"" "")"),"E.")</f>
        <v>E.</v>
      </c>
      <c r="Y86" s="3" t="str">
        <f>IFERROR(__xludf.DUMMYFUNCTION("""COMPUTED_VALUE"""),"Moore")</f>
        <v>Moore</v>
      </c>
      <c r="AA86" s="8">
        <v>8.0</v>
      </c>
      <c r="AB86" s="3">
        <f t="shared" si="7"/>
        <v>1</v>
      </c>
      <c r="AC86" s="3">
        <f t="shared" si="8"/>
        <v>0</v>
      </c>
      <c r="AD86" s="3">
        <f t="shared" si="9"/>
        <v>3.84</v>
      </c>
      <c r="AE86" s="3">
        <f t="shared" si="10"/>
        <v>-3</v>
      </c>
      <c r="AF86" s="3">
        <f t="shared" si="11"/>
        <v>-1</v>
      </c>
      <c r="AG86" s="3">
        <f t="shared" si="12"/>
        <v>-2.2</v>
      </c>
    </row>
    <row r="87">
      <c r="A87" s="1" t="s">
        <v>8</v>
      </c>
      <c r="B87" s="1" t="s">
        <v>632</v>
      </c>
      <c r="C87" s="1" t="s">
        <v>19</v>
      </c>
      <c r="D87" s="1" t="s">
        <v>89</v>
      </c>
      <c r="E87" s="1" t="s">
        <v>77</v>
      </c>
      <c r="F87" s="1" t="s">
        <v>647</v>
      </c>
      <c r="G87" s="1">
        <v>12.5</v>
      </c>
      <c r="H87" s="1" t="s">
        <v>60</v>
      </c>
      <c r="I87" s="1">
        <v>-110.0</v>
      </c>
      <c r="J87" s="1">
        <v>-0.172066313042333</v>
      </c>
      <c r="K87" s="1" t="s">
        <v>61</v>
      </c>
      <c r="L87" s="1" t="s">
        <v>61</v>
      </c>
      <c r="M87" s="1" t="s">
        <v>62</v>
      </c>
      <c r="N87" s="1">
        <v>-120.0</v>
      </c>
      <c r="O87" s="1">
        <v>0.102781413121218</v>
      </c>
      <c r="P87" s="1" t="s">
        <v>61</v>
      </c>
      <c r="Q87" s="1" t="s">
        <v>61</v>
      </c>
      <c r="R87" s="1">
        <f t="shared" si="1"/>
        <v>0.1027814131</v>
      </c>
      <c r="S87" s="1">
        <f t="shared" si="2"/>
        <v>-120</v>
      </c>
      <c r="T87" s="1">
        <f t="shared" si="3"/>
        <v>1.833333333</v>
      </c>
      <c r="U87" s="1">
        <f t="shared" si="4"/>
        <v>0</v>
      </c>
      <c r="V87" s="3">
        <f t="shared" si="5"/>
        <v>3</v>
      </c>
      <c r="W87" s="3">
        <f t="shared" si="6"/>
        <v>3</v>
      </c>
      <c r="X87" s="3" t="str">
        <f>IFERROR(__xludf.DUMMYFUNCTION("split(B87,"" "")"),"N.")</f>
        <v>N.</v>
      </c>
      <c r="Y87" s="3" t="str">
        <f>IFERROR(__xludf.DUMMYFUNCTION("""COMPUTED_VALUE"""),"Chubb")</f>
        <v>Chubb</v>
      </c>
      <c r="AA87" s="8">
        <v>16.0</v>
      </c>
      <c r="AB87" s="3">
        <f t="shared" si="7"/>
        <v>1</v>
      </c>
      <c r="AC87" s="3">
        <f t="shared" si="8"/>
        <v>0</v>
      </c>
      <c r="AD87" s="3">
        <f t="shared" si="9"/>
        <v>2.5</v>
      </c>
      <c r="AE87" s="3">
        <f t="shared" si="10"/>
        <v>-3</v>
      </c>
      <c r="AF87" s="3">
        <f t="shared" si="11"/>
        <v>-3</v>
      </c>
      <c r="AG87" s="3">
        <f t="shared" si="12"/>
        <v>-0.28</v>
      </c>
    </row>
    <row r="88">
      <c r="A88" s="1" t="s">
        <v>14</v>
      </c>
      <c r="B88" s="1" t="s">
        <v>650</v>
      </c>
      <c r="C88" s="1" t="s">
        <v>21</v>
      </c>
      <c r="D88" s="1" t="s">
        <v>89</v>
      </c>
      <c r="E88" s="1" t="s">
        <v>77</v>
      </c>
      <c r="F88" s="1" t="s">
        <v>647</v>
      </c>
      <c r="G88" s="1">
        <v>1.5</v>
      </c>
      <c r="H88" s="1" t="s">
        <v>60</v>
      </c>
      <c r="I88" s="1">
        <v>176.0</v>
      </c>
      <c r="J88" s="1">
        <v>0.0785811594202898</v>
      </c>
      <c r="K88" s="1" t="s">
        <v>61</v>
      </c>
      <c r="L88" s="1" t="s">
        <v>61</v>
      </c>
      <c r="M88" s="1" t="s">
        <v>62</v>
      </c>
      <c r="N88" s="1">
        <v>-235.0</v>
      </c>
      <c r="O88" s="1">
        <v>-0.142392537313432</v>
      </c>
      <c r="P88" s="1" t="s">
        <v>61</v>
      </c>
      <c r="Q88" s="1" t="s">
        <v>61</v>
      </c>
      <c r="R88" s="1">
        <f t="shared" si="1"/>
        <v>0.07858115942</v>
      </c>
      <c r="S88" s="1">
        <f t="shared" si="2"/>
        <v>176</v>
      </c>
      <c r="T88" s="1">
        <f t="shared" si="3"/>
        <v>2.76</v>
      </c>
      <c r="U88" s="1">
        <f t="shared" si="4"/>
        <v>1</v>
      </c>
      <c r="V88" s="3">
        <f t="shared" si="5"/>
        <v>2</v>
      </c>
      <c r="W88" s="3">
        <f t="shared" si="6"/>
        <v>1</v>
      </c>
      <c r="X88" s="3" t="str">
        <f>IFERROR(__xludf.DUMMYFUNCTION("split(B88,"" "")"),"J.")</f>
        <v>J.</v>
      </c>
      <c r="Y88" s="3" t="str">
        <f>IFERROR(__xludf.DUMMYFUNCTION("""COMPUTED_VALUE"""),"Winston")</f>
        <v>Winston</v>
      </c>
      <c r="AA88" s="8">
        <v>3.0</v>
      </c>
      <c r="AB88" s="3">
        <f t="shared" si="7"/>
        <v>1</v>
      </c>
      <c r="AC88" s="3">
        <f t="shared" si="8"/>
        <v>1</v>
      </c>
      <c r="AD88" s="3">
        <f t="shared" si="9"/>
        <v>3.52</v>
      </c>
      <c r="AE88" s="3">
        <f t="shared" si="10"/>
        <v>3.52</v>
      </c>
      <c r="AF88" s="3">
        <f t="shared" si="11"/>
        <v>1.76</v>
      </c>
      <c r="AG88" s="3">
        <f t="shared" si="12"/>
        <v>1</v>
      </c>
    </row>
    <row r="89">
      <c r="A89" s="1" t="s">
        <v>12</v>
      </c>
      <c r="B89" s="1" t="s">
        <v>435</v>
      </c>
      <c r="C89" s="1" t="s">
        <v>20</v>
      </c>
      <c r="D89" s="1" t="s">
        <v>89</v>
      </c>
      <c r="E89" s="1" t="s">
        <v>77</v>
      </c>
      <c r="F89" s="1" t="s">
        <v>647</v>
      </c>
      <c r="G89" s="1">
        <v>5.5</v>
      </c>
      <c r="H89" s="1" t="s">
        <v>60</v>
      </c>
      <c r="I89" s="1">
        <v>120.0</v>
      </c>
      <c r="J89" s="1">
        <v>0.0636090909090909</v>
      </c>
      <c r="K89" s="1" t="s">
        <v>61</v>
      </c>
      <c r="L89" s="1" t="s">
        <v>61</v>
      </c>
      <c r="M89" s="1" t="s">
        <v>62</v>
      </c>
      <c r="N89" s="1">
        <v>-157.0</v>
      </c>
      <c r="O89" s="1">
        <v>-0.129056031128404</v>
      </c>
      <c r="P89" s="1" t="s">
        <v>61</v>
      </c>
      <c r="Q89" s="1" t="s">
        <v>61</v>
      </c>
      <c r="R89" s="1">
        <f t="shared" si="1"/>
        <v>0.06360909091</v>
      </c>
      <c r="S89" s="1">
        <f t="shared" si="2"/>
        <v>120</v>
      </c>
      <c r="T89" s="1">
        <f t="shared" si="3"/>
        <v>2.2</v>
      </c>
      <c r="U89" s="1">
        <f t="shared" si="4"/>
        <v>1</v>
      </c>
      <c r="V89" s="3">
        <f t="shared" si="5"/>
        <v>2</v>
      </c>
      <c r="W89" s="3">
        <f t="shared" si="6"/>
        <v>1</v>
      </c>
      <c r="X89" s="3" t="str">
        <f>IFERROR(__xludf.DUMMYFUNCTION("split(B89,"" "")"),"D.")</f>
        <v>D.</v>
      </c>
      <c r="Y89" s="3" t="str">
        <f>IFERROR(__xludf.DUMMYFUNCTION("""COMPUTED_VALUE"""),"Njoku")</f>
        <v>Njoku</v>
      </c>
      <c r="AA89" s="8">
        <v>5.0</v>
      </c>
      <c r="AB89" s="3">
        <f t="shared" si="7"/>
        <v>0</v>
      </c>
      <c r="AC89" s="3">
        <f t="shared" si="8"/>
        <v>0</v>
      </c>
      <c r="AD89" s="3">
        <f t="shared" si="9"/>
        <v>2.4</v>
      </c>
      <c r="AE89" s="3">
        <f t="shared" si="10"/>
        <v>-2</v>
      </c>
      <c r="AF89" s="3">
        <f t="shared" si="11"/>
        <v>-1</v>
      </c>
      <c r="AG89" s="3">
        <f t="shared" si="12"/>
        <v>-0.09090909091</v>
      </c>
    </row>
    <row r="90">
      <c r="A90" s="1" t="s">
        <v>9</v>
      </c>
      <c r="B90" s="1" t="s">
        <v>414</v>
      </c>
      <c r="C90" s="1" t="s">
        <v>18</v>
      </c>
      <c r="D90" s="1" t="s">
        <v>89</v>
      </c>
      <c r="E90" s="1" t="s">
        <v>77</v>
      </c>
      <c r="F90" s="1" t="s">
        <v>647</v>
      </c>
      <c r="G90" s="1">
        <v>31.5</v>
      </c>
      <c r="H90" s="1" t="s">
        <v>60</v>
      </c>
      <c r="I90" s="1">
        <v>-117.0</v>
      </c>
      <c r="J90" s="1">
        <v>0.0444283763146041</v>
      </c>
      <c r="K90" s="1" t="s">
        <v>61</v>
      </c>
      <c r="L90" s="1" t="s">
        <v>61</v>
      </c>
      <c r="M90" s="1" t="s">
        <v>62</v>
      </c>
      <c r="N90" s="1">
        <v>-118.0</v>
      </c>
      <c r="O90" s="1">
        <v>-0.124883091922557</v>
      </c>
      <c r="P90" s="1" t="s">
        <v>61</v>
      </c>
      <c r="Q90" s="1" t="s">
        <v>61</v>
      </c>
      <c r="R90" s="1">
        <f t="shared" si="1"/>
        <v>0.04442837631</v>
      </c>
      <c r="S90" s="1">
        <f t="shared" si="2"/>
        <v>-117</v>
      </c>
      <c r="T90" s="1">
        <f t="shared" si="3"/>
        <v>1.854700855</v>
      </c>
      <c r="U90" s="1">
        <f t="shared" si="4"/>
        <v>1</v>
      </c>
      <c r="V90" s="3">
        <f t="shared" si="5"/>
        <v>1</v>
      </c>
      <c r="W90" s="3">
        <f t="shared" si="6"/>
        <v>2</v>
      </c>
      <c r="X90" s="3" t="str">
        <f>IFERROR(__xludf.DUMMYFUNCTION("split(B90,"" "")"),"E.")</f>
        <v>E.</v>
      </c>
      <c r="Y90" s="3" t="str">
        <f>IFERROR(__xludf.DUMMYFUNCTION("""COMPUTED_VALUE"""),"Moore")</f>
        <v>Moore</v>
      </c>
      <c r="AA90" s="8">
        <v>85.0</v>
      </c>
      <c r="AB90" s="3">
        <f t="shared" si="7"/>
        <v>1</v>
      </c>
      <c r="AC90" s="3">
        <f t="shared" si="8"/>
        <v>1</v>
      </c>
      <c r="AD90" s="3">
        <f t="shared" si="9"/>
        <v>0.8547008547</v>
      </c>
      <c r="AE90" s="3">
        <f t="shared" si="10"/>
        <v>0.8547008547</v>
      </c>
      <c r="AF90" s="3">
        <f t="shared" si="11"/>
        <v>1.709401709</v>
      </c>
      <c r="AG90" s="3">
        <f t="shared" si="12"/>
        <v>1.698412698</v>
      </c>
    </row>
    <row r="91">
      <c r="A91" s="1" t="s">
        <v>9</v>
      </c>
      <c r="B91" s="1" t="s">
        <v>299</v>
      </c>
      <c r="C91" s="1" t="s">
        <v>18</v>
      </c>
      <c r="D91" s="1" t="s">
        <v>89</v>
      </c>
      <c r="E91" s="1" t="s">
        <v>77</v>
      </c>
      <c r="F91" s="1" t="s">
        <v>647</v>
      </c>
      <c r="G91" s="1">
        <v>44.5</v>
      </c>
      <c r="H91" s="1" t="s">
        <v>60</v>
      </c>
      <c r="I91" s="1">
        <v>-116.0</v>
      </c>
      <c r="J91" s="1">
        <v>0.0334907855211554</v>
      </c>
      <c r="K91" s="1" t="s">
        <v>61</v>
      </c>
      <c r="L91" s="1" t="s">
        <v>61</v>
      </c>
      <c r="M91" s="1" t="s">
        <v>62</v>
      </c>
      <c r="N91" s="1">
        <v>-116.0</v>
      </c>
      <c r="O91" s="1">
        <v>-0.10755331120454</v>
      </c>
      <c r="P91" s="1" t="s">
        <v>61</v>
      </c>
      <c r="Q91" s="1" t="s">
        <v>61</v>
      </c>
      <c r="R91" s="1">
        <f t="shared" si="1"/>
        <v>0.03349078552</v>
      </c>
      <c r="S91" s="1">
        <f t="shared" si="2"/>
        <v>-116</v>
      </c>
      <c r="T91" s="1">
        <f t="shared" si="3"/>
        <v>1.862068966</v>
      </c>
      <c r="U91" s="1">
        <f t="shared" si="4"/>
        <v>1</v>
      </c>
      <c r="V91" s="3">
        <f t="shared" si="5"/>
        <v>1</v>
      </c>
      <c r="W91" s="3">
        <f t="shared" si="6"/>
        <v>2</v>
      </c>
      <c r="X91" s="3" t="str">
        <f>IFERROR(__xludf.DUMMYFUNCTION("split(B91,"" "")"),"J.")</f>
        <v>J.</v>
      </c>
      <c r="Y91" s="3" t="str">
        <f>IFERROR(__xludf.DUMMYFUNCTION("""COMPUTED_VALUE"""),"Jeudy")</f>
        <v>Jeudy</v>
      </c>
      <c r="AA91" s="8">
        <v>79.0</v>
      </c>
      <c r="AB91" s="3">
        <f t="shared" si="7"/>
        <v>1</v>
      </c>
      <c r="AC91" s="3">
        <f t="shared" si="8"/>
        <v>1</v>
      </c>
      <c r="AD91" s="3">
        <f t="shared" si="9"/>
        <v>0.8620689655</v>
      </c>
      <c r="AE91" s="3">
        <f t="shared" si="10"/>
        <v>0.8620689655</v>
      </c>
      <c r="AF91" s="3">
        <f t="shared" si="11"/>
        <v>1.724137931</v>
      </c>
      <c r="AG91" s="3">
        <f t="shared" si="12"/>
        <v>0.7752808989</v>
      </c>
    </row>
    <row r="92">
      <c r="A92" s="1" t="s">
        <v>10</v>
      </c>
      <c r="B92" s="1" t="s">
        <v>632</v>
      </c>
      <c r="C92" s="1" t="s">
        <v>19</v>
      </c>
      <c r="D92" s="1" t="s">
        <v>89</v>
      </c>
      <c r="E92" s="1" t="s">
        <v>77</v>
      </c>
      <c r="F92" s="1" t="s">
        <v>647</v>
      </c>
      <c r="G92" s="1">
        <v>46.5</v>
      </c>
      <c r="H92" s="1" t="s">
        <v>60</v>
      </c>
      <c r="I92" s="1">
        <v>-114.0</v>
      </c>
      <c r="J92" s="1">
        <v>-0.0972271785130083</v>
      </c>
      <c r="K92" s="1" t="s">
        <v>61</v>
      </c>
      <c r="L92" s="1" t="s">
        <v>61</v>
      </c>
      <c r="M92" s="1" t="s">
        <v>62</v>
      </c>
      <c r="N92" s="1">
        <v>-116.0</v>
      </c>
      <c r="O92" s="1">
        <v>0.0275270233248203</v>
      </c>
      <c r="P92" s="1" t="s">
        <v>61</v>
      </c>
      <c r="Q92" s="1" t="s">
        <v>61</v>
      </c>
      <c r="R92" s="1">
        <f t="shared" si="1"/>
        <v>0.02752702332</v>
      </c>
      <c r="S92" s="1">
        <f t="shared" si="2"/>
        <v>-116</v>
      </c>
      <c r="T92" s="1">
        <f t="shared" si="3"/>
        <v>1.862068966</v>
      </c>
      <c r="U92" s="1">
        <f t="shared" si="4"/>
        <v>0</v>
      </c>
      <c r="V92" s="3">
        <f t="shared" si="5"/>
        <v>1</v>
      </c>
      <c r="W92" s="3">
        <f t="shared" si="6"/>
        <v>2</v>
      </c>
      <c r="X92" s="3" t="str">
        <f>IFERROR(__xludf.DUMMYFUNCTION("split(B92,"" "")"),"N.")</f>
        <v>N.</v>
      </c>
      <c r="Y92" s="3" t="str">
        <f>IFERROR(__xludf.DUMMYFUNCTION("""COMPUTED_VALUE"""),"Chubb")</f>
        <v>Chubb</v>
      </c>
      <c r="AA92" s="8">
        <v>52.0</v>
      </c>
      <c r="AB92" s="3">
        <f t="shared" si="7"/>
        <v>1</v>
      </c>
      <c r="AC92" s="3">
        <f t="shared" si="8"/>
        <v>0</v>
      </c>
      <c r="AD92" s="3">
        <f t="shared" si="9"/>
        <v>0.8620689655</v>
      </c>
      <c r="AE92" s="3">
        <f t="shared" si="10"/>
        <v>-1</v>
      </c>
      <c r="AF92" s="3">
        <f t="shared" si="11"/>
        <v>-2</v>
      </c>
      <c r="AG92" s="3">
        <f t="shared" si="12"/>
        <v>-0.1182795699</v>
      </c>
    </row>
    <row r="93">
      <c r="A93" s="1" t="s">
        <v>15</v>
      </c>
      <c r="B93" s="1" t="s">
        <v>650</v>
      </c>
      <c r="C93" s="1" t="s">
        <v>21</v>
      </c>
      <c r="D93" s="1" t="s">
        <v>89</v>
      </c>
      <c r="E93" s="1" t="s">
        <v>77</v>
      </c>
      <c r="F93" s="1" t="s">
        <v>647</v>
      </c>
      <c r="G93" s="1">
        <v>20.5</v>
      </c>
      <c r="H93" s="1" t="s">
        <v>60</v>
      </c>
      <c r="I93" s="1">
        <v>-120.0</v>
      </c>
      <c r="J93" s="1">
        <v>0.0225454545454545</v>
      </c>
      <c r="K93" s="1" t="s">
        <v>61</v>
      </c>
      <c r="L93" s="1" t="s">
        <v>61</v>
      </c>
      <c r="M93" s="1" t="s">
        <v>62</v>
      </c>
      <c r="N93" s="1">
        <v>-110.0</v>
      </c>
      <c r="O93" s="1">
        <v>-0.0918095238095238</v>
      </c>
      <c r="P93" s="1" t="s">
        <v>61</v>
      </c>
      <c r="Q93" s="1" t="s">
        <v>61</v>
      </c>
      <c r="R93" s="1">
        <f t="shared" si="1"/>
        <v>0.02254545455</v>
      </c>
      <c r="S93" s="1">
        <f t="shared" si="2"/>
        <v>-120</v>
      </c>
      <c r="T93" s="1">
        <f t="shared" si="3"/>
        <v>1.833333333</v>
      </c>
      <c r="U93" s="1">
        <f t="shared" si="4"/>
        <v>1</v>
      </c>
      <c r="V93" s="3">
        <f t="shared" si="5"/>
        <v>1</v>
      </c>
      <c r="W93" s="3">
        <f t="shared" si="6"/>
        <v>3</v>
      </c>
      <c r="X93" s="3" t="str">
        <f>IFERROR(__xludf.DUMMYFUNCTION("split(B93,"" "")"),"J.")</f>
        <v>J.</v>
      </c>
      <c r="Y93" s="3" t="str">
        <f>IFERROR(__xludf.DUMMYFUNCTION("""COMPUTED_VALUE"""),"Winston")</f>
        <v>Winston</v>
      </c>
      <c r="AA93" s="8">
        <v>27.0</v>
      </c>
      <c r="AB93" s="3">
        <f t="shared" si="7"/>
        <v>1</v>
      </c>
      <c r="AC93" s="3">
        <f t="shared" si="8"/>
        <v>1</v>
      </c>
      <c r="AD93" s="3">
        <f t="shared" si="9"/>
        <v>0.8333333333</v>
      </c>
      <c r="AE93" s="3">
        <f t="shared" si="10"/>
        <v>0.8333333333</v>
      </c>
      <c r="AF93" s="3">
        <f t="shared" si="11"/>
        <v>2.5</v>
      </c>
      <c r="AG93" s="3">
        <f t="shared" si="12"/>
        <v>0.3170731707</v>
      </c>
    </row>
    <row r="94">
      <c r="A94" s="1" t="s">
        <v>11</v>
      </c>
      <c r="B94" s="1" t="s">
        <v>435</v>
      </c>
      <c r="C94" s="1" t="s">
        <v>20</v>
      </c>
      <c r="D94" s="1" t="s">
        <v>89</v>
      </c>
      <c r="E94" s="1" t="s">
        <v>77</v>
      </c>
      <c r="F94" s="1" t="s">
        <v>647</v>
      </c>
      <c r="G94" s="1">
        <v>52.5</v>
      </c>
      <c r="H94" s="1" t="s">
        <v>60</v>
      </c>
      <c r="I94" s="1">
        <v>-113.0</v>
      </c>
      <c r="J94" s="1">
        <v>-0.0799632365612863</v>
      </c>
      <c r="K94" s="1" t="s">
        <v>61</v>
      </c>
      <c r="L94" s="1" t="s">
        <v>61</v>
      </c>
      <c r="M94" s="1" t="s">
        <v>62</v>
      </c>
      <c r="N94" s="1">
        <v>-116.0</v>
      </c>
      <c r="O94" s="1">
        <v>0.012416206998148</v>
      </c>
      <c r="P94" s="1" t="s">
        <v>61</v>
      </c>
      <c r="Q94" s="1" t="s">
        <v>61</v>
      </c>
      <c r="R94" s="1">
        <f t="shared" si="1"/>
        <v>0.012416207</v>
      </c>
      <c r="S94" s="1">
        <f t="shared" si="2"/>
        <v>-116</v>
      </c>
      <c r="T94" s="1">
        <f t="shared" si="3"/>
        <v>1.862068966</v>
      </c>
      <c r="U94" s="1">
        <f t="shared" si="4"/>
        <v>0</v>
      </c>
      <c r="V94" s="3">
        <f t="shared" si="5"/>
        <v>1</v>
      </c>
      <c r="W94" s="3">
        <f t="shared" si="6"/>
        <v>2</v>
      </c>
      <c r="X94" s="3" t="str">
        <f>IFERROR(__xludf.DUMMYFUNCTION("split(B94,"" "")"),"D.")</f>
        <v>D.</v>
      </c>
      <c r="Y94" s="3" t="str">
        <f>IFERROR(__xludf.DUMMYFUNCTION("""COMPUTED_VALUE"""),"Njoku")</f>
        <v>Njoku</v>
      </c>
      <c r="AA94" s="8">
        <v>61.0</v>
      </c>
      <c r="AB94" s="3">
        <f t="shared" si="7"/>
        <v>1</v>
      </c>
      <c r="AC94" s="3">
        <f t="shared" si="8"/>
        <v>0</v>
      </c>
      <c r="AD94" s="3">
        <f t="shared" si="9"/>
        <v>0.8620689655</v>
      </c>
      <c r="AE94" s="3">
        <f t="shared" si="10"/>
        <v>-1</v>
      </c>
      <c r="AF94" s="3">
        <f t="shared" si="11"/>
        <v>-2</v>
      </c>
      <c r="AG94" s="3">
        <f t="shared" si="12"/>
        <v>-0.1619047619</v>
      </c>
    </row>
    <row r="95">
      <c r="A95" s="1" t="s">
        <v>9</v>
      </c>
      <c r="B95" s="1" t="s">
        <v>502</v>
      </c>
      <c r="C95" s="1" t="s">
        <v>18</v>
      </c>
      <c r="D95" s="1" t="s">
        <v>89</v>
      </c>
      <c r="E95" s="1" t="s">
        <v>77</v>
      </c>
      <c r="F95" s="1" t="s">
        <v>647</v>
      </c>
      <c r="G95" s="1">
        <v>36.5</v>
      </c>
      <c r="H95" s="1" t="s">
        <v>60</v>
      </c>
      <c r="I95" s="1">
        <v>-118.0</v>
      </c>
      <c r="J95" s="1">
        <v>0.00658753957392144</v>
      </c>
      <c r="K95" s="1" t="s">
        <v>61</v>
      </c>
      <c r="L95" s="1" t="s">
        <v>61</v>
      </c>
      <c r="M95" s="1" t="s">
        <v>62</v>
      </c>
      <c r="N95" s="1">
        <v>-114.0</v>
      </c>
      <c r="O95" s="1">
        <v>-0.0805938286678082</v>
      </c>
      <c r="P95" s="1" t="s">
        <v>61</v>
      </c>
      <c r="Q95" s="1" t="s">
        <v>61</v>
      </c>
      <c r="R95" s="1">
        <f t="shared" si="1"/>
        <v>0.006587539574</v>
      </c>
      <c r="S95" s="1">
        <f t="shared" si="2"/>
        <v>-118</v>
      </c>
      <c r="T95" s="1">
        <f t="shared" si="3"/>
        <v>1.847457627</v>
      </c>
      <c r="U95" s="1">
        <f t="shared" si="4"/>
        <v>1</v>
      </c>
      <c r="V95" s="3">
        <f t="shared" si="5"/>
        <v>1</v>
      </c>
      <c r="W95" s="3">
        <f t="shared" si="6"/>
        <v>3</v>
      </c>
      <c r="X95" s="3" t="str">
        <f>IFERROR(__xludf.DUMMYFUNCTION("split(B95,"" "")"),"C.")</f>
        <v>C.</v>
      </c>
      <c r="Y95" s="3" t="str">
        <f>IFERROR(__xludf.DUMMYFUNCTION("""COMPUTED_VALUE"""),"Tillman")</f>
        <v>Tillman</v>
      </c>
      <c r="AA95" s="8">
        <v>99.0</v>
      </c>
      <c r="AB95" s="3">
        <f t="shared" si="7"/>
        <v>1</v>
      </c>
      <c r="AC95" s="3">
        <f t="shared" si="8"/>
        <v>1</v>
      </c>
      <c r="AD95" s="3">
        <f t="shared" si="9"/>
        <v>0.8474576271</v>
      </c>
      <c r="AE95" s="3">
        <f t="shared" si="10"/>
        <v>0.8474576271</v>
      </c>
      <c r="AF95" s="3">
        <f t="shared" si="11"/>
        <v>2.542372881</v>
      </c>
      <c r="AG95" s="3">
        <f t="shared" si="12"/>
        <v>1.712328767</v>
      </c>
    </row>
    <row r="96">
      <c r="A96" s="1" t="s">
        <v>11</v>
      </c>
      <c r="B96" s="1" t="s">
        <v>632</v>
      </c>
      <c r="C96" s="1" t="s">
        <v>19</v>
      </c>
      <c r="D96" s="1" t="s">
        <v>89</v>
      </c>
      <c r="E96" s="1" t="s">
        <v>77</v>
      </c>
      <c r="F96" s="1" t="s">
        <v>647</v>
      </c>
      <c r="G96" s="1">
        <v>9.5</v>
      </c>
      <c r="H96" s="1" t="s">
        <v>60</v>
      </c>
      <c r="I96" s="1">
        <v>-118.0</v>
      </c>
      <c r="J96" s="1">
        <v>0.00560717385256903</v>
      </c>
      <c r="K96" s="1" t="s">
        <v>61</v>
      </c>
      <c r="L96" s="1" t="s">
        <v>61</v>
      </c>
      <c r="M96" s="1" t="s">
        <v>62</v>
      </c>
      <c r="N96" s="1">
        <v>-109.0</v>
      </c>
      <c r="O96" s="1">
        <v>-0.0684078308652987</v>
      </c>
      <c r="P96" s="1" t="s">
        <v>61</v>
      </c>
      <c r="Q96" s="1" t="s">
        <v>61</v>
      </c>
      <c r="R96" s="1">
        <f t="shared" si="1"/>
        <v>0.005607173853</v>
      </c>
      <c r="S96" s="1">
        <f t="shared" si="2"/>
        <v>-118</v>
      </c>
      <c r="T96" s="1">
        <f t="shared" si="3"/>
        <v>1.847457627</v>
      </c>
      <c r="U96" s="1">
        <f t="shared" si="4"/>
        <v>1</v>
      </c>
      <c r="V96" s="3">
        <f t="shared" si="5"/>
        <v>1</v>
      </c>
      <c r="W96" s="3">
        <f t="shared" si="6"/>
        <v>3</v>
      </c>
      <c r="X96" s="3" t="str">
        <f>IFERROR(__xludf.DUMMYFUNCTION("split(B96,"" "")"),"N.")</f>
        <v>N.</v>
      </c>
      <c r="Y96" s="3" t="str">
        <f>IFERROR(__xludf.DUMMYFUNCTION("""COMPUTED_VALUE"""),"Chubb")</f>
        <v>Chubb</v>
      </c>
      <c r="AA96" s="8">
        <v>0.0</v>
      </c>
      <c r="AB96" s="3">
        <f t="shared" si="7"/>
        <v>0</v>
      </c>
      <c r="AC96" s="3">
        <f t="shared" si="8"/>
        <v>0</v>
      </c>
      <c r="AD96" s="3">
        <f t="shared" si="9"/>
        <v>0.8474576271</v>
      </c>
      <c r="AE96" s="3">
        <f t="shared" si="10"/>
        <v>-1</v>
      </c>
      <c r="AF96" s="3">
        <f t="shared" si="11"/>
        <v>-3</v>
      </c>
      <c r="AG96" s="3">
        <f t="shared" si="12"/>
        <v>-1</v>
      </c>
    </row>
    <row r="97">
      <c r="A97" s="1" t="s">
        <v>11</v>
      </c>
      <c r="B97" s="1" t="s">
        <v>502</v>
      </c>
      <c r="C97" s="1" t="s">
        <v>18</v>
      </c>
      <c r="D97" s="1" t="s">
        <v>89</v>
      </c>
      <c r="E97" s="1" t="s">
        <v>77</v>
      </c>
      <c r="F97" s="1" t="s">
        <v>647</v>
      </c>
      <c r="G97" s="1">
        <v>35.5</v>
      </c>
      <c r="H97" s="1" t="s">
        <v>60</v>
      </c>
      <c r="I97" s="1">
        <v>-118.0</v>
      </c>
      <c r="J97" s="1">
        <v>-0.06945836728289</v>
      </c>
      <c r="K97" s="1" t="s">
        <v>61</v>
      </c>
      <c r="L97" s="1" t="s">
        <v>61</v>
      </c>
      <c r="M97" s="1" t="s">
        <v>62</v>
      </c>
      <c r="N97" s="1">
        <v>-111.0</v>
      </c>
      <c r="O97" s="1">
        <v>0.00213234461994182</v>
      </c>
      <c r="P97" s="1" t="s">
        <v>61</v>
      </c>
      <c r="Q97" s="1" t="s">
        <v>61</v>
      </c>
      <c r="R97" s="1">
        <f t="shared" si="1"/>
        <v>0.00213234462</v>
      </c>
      <c r="S97" s="1">
        <f t="shared" si="2"/>
        <v>-111</v>
      </c>
      <c r="T97" s="1">
        <f t="shared" si="3"/>
        <v>1.900900901</v>
      </c>
      <c r="U97" s="1">
        <f t="shared" si="4"/>
        <v>0</v>
      </c>
      <c r="V97" s="3">
        <f t="shared" si="5"/>
        <v>1</v>
      </c>
      <c r="W97" s="3">
        <f t="shared" si="6"/>
        <v>2</v>
      </c>
      <c r="X97" s="3" t="str">
        <f>IFERROR(__xludf.DUMMYFUNCTION("split(B97,"" "")"),"C.")</f>
        <v>C.</v>
      </c>
      <c r="Y97" s="3" t="str">
        <f>IFERROR(__xludf.DUMMYFUNCTION("""COMPUTED_VALUE"""),"Tillman")</f>
        <v>Tillman</v>
      </c>
      <c r="AA97" s="8">
        <v>99.0</v>
      </c>
      <c r="AB97" s="3">
        <f t="shared" si="7"/>
        <v>1</v>
      </c>
      <c r="AC97" s="3">
        <f t="shared" si="8"/>
        <v>0</v>
      </c>
      <c r="AD97" s="3">
        <f t="shared" si="9"/>
        <v>0.9009009009</v>
      </c>
      <c r="AE97" s="3">
        <f t="shared" si="10"/>
        <v>-1</v>
      </c>
      <c r="AF97" s="3">
        <f t="shared" si="11"/>
        <v>-2</v>
      </c>
      <c r="AG97" s="3">
        <f t="shared" si="12"/>
        <v>-1.788732394</v>
      </c>
    </row>
    <row r="98">
      <c r="A98" s="1" t="s">
        <v>13</v>
      </c>
      <c r="B98" s="1" t="s">
        <v>650</v>
      </c>
      <c r="C98" s="1" t="s">
        <v>21</v>
      </c>
      <c r="D98" s="1" t="s">
        <v>89</v>
      </c>
      <c r="E98" s="1" t="s">
        <v>77</v>
      </c>
      <c r="F98" s="1" t="s">
        <v>647</v>
      </c>
      <c r="G98" s="1">
        <v>229.5</v>
      </c>
      <c r="H98" s="1" t="s">
        <v>60</v>
      </c>
      <c r="I98" s="1">
        <v>-112.0</v>
      </c>
      <c r="J98" s="1">
        <v>9.2830188679216E-4</v>
      </c>
      <c r="K98" s="1" t="s">
        <v>61</v>
      </c>
      <c r="L98" s="1" t="s">
        <v>61</v>
      </c>
      <c r="M98" s="1" t="s">
        <v>62</v>
      </c>
      <c r="N98" s="1">
        <v>-117.0</v>
      </c>
      <c r="O98" s="1">
        <v>-0.0684479262672807</v>
      </c>
      <c r="P98" s="1" t="s">
        <v>61</v>
      </c>
      <c r="Q98" s="1" t="s">
        <v>61</v>
      </c>
      <c r="R98" s="1">
        <f t="shared" si="1"/>
        <v>0.0009283018868</v>
      </c>
      <c r="S98" s="1">
        <f t="shared" si="2"/>
        <v>-112</v>
      </c>
      <c r="T98" s="1">
        <f t="shared" si="3"/>
        <v>1.892857143</v>
      </c>
      <c r="U98" s="1">
        <f t="shared" si="4"/>
        <v>1</v>
      </c>
      <c r="V98" s="3">
        <f t="shared" si="5"/>
        <v>1</v>
      </c>
      <c r="W98" s="3">
        <f t="shared" si="6"/>
        <v>2</v>
      </c>
      <c r="X98" s="3" t="str">
        <f>IFERROR(__xludf.DUMMYFUNCTION("split(B98,"" "")"),"J.")</f>
        <v>J.</v>
      </c>
      <c r="Y98" s="3" t="str">
        <f>IFERROR(__xludf.DUMMYFUNCTION("""COMPUTED_VALUE"""),"Winston")</f>
        <v>Winston</v>
      </c>
      <c r="AA98" s="8">
        <v>334.0</v>
      </c>
      <c r="AB98" s="3">
        <f t="shared" si="7"/>
        <v>1</v>
      </c>
      <c r="AC98" s="3">
        <f t="shared" si="8"/>
        <v>1</v>
      </c>
      <c r="AD98" s="3">
        <f t="shared" si="9"/>
        <v>0.8928571429</v>
      </c>
      <c r="AE98" s="3">
        <f t="shared" si="10"/>
        <v>0.8928571429</v>
      </c>
      <c r="AF98" s="3">
        <f t="shared" si="11"/>
        <v>1.785714286</v>
      </c>
      <c r="AG98" s="3">
        <f t="shared" si="12"/>
        <v>0.4553376906</v>
      </c>
    </row>
    <row r="99">
      <c r="A99" s="1" t="s">
        <v>12</v>
      </c>
      <c r="B99" s="1" t="s">
        <v>395</v>
      </c>
      <c r="C99" s="1" t="s">
        <v>18</v>
      </c>
      <c r="D99" s="1" t="s">
        <v>88</v>
      </c>
      <c r="E99" s="1" t="s">
        <v>164</v>
      </c>
      <c r="F99" s="1" t="s">
        <v>651</v>
      </c>
      <c r="G99" s="1">
        <v>6.5</v>
      </c>
      <c r="H99" s="1" t="s">
        <v>60</v>
      </c>
      <c r="I99" s="1">
        <v>-107.0</v>
      </c>
      <c r="J99" s="1">
        <v>0.169091787439613</v>
      </c>
      <c r="K99" s="1" t="s">
        <v>61</v>
      </c>
      <c r="L99" s="1" t="s">
        <v>61</v>
      </c>
      <c r="M99" s="1" t="s">
        <v>62</v>
      </c>
      <c r="N99" s="1">
        <v>-125.0</v>
      </c>
      <c r="O99" s="1">
        <v>-0.241555555555555</v>
      </c>
      <c r="P99" s="1" t="s">
        <v>61</v>
      </c>
      <c r="Q99" s="1" t="s">
        <v>61</v>
      </c>
      <c r="R99" s="1">
        <f t="shared" si="1"/>
        <v>0.1690917874</v>
      </c>
      <c r="S99" s="1">
        <f t="shared" si="2"/>
        <v>-107</v>
      </c>
      <c r="T99" s="1">
        <f t="shared" si="3"/>
        <v>1.934579439</v>
      </c>
      <c r="U99" s="1">
        <f t="shared" si="4"/>
        <v>1</v>
      </c>
      <c r="V99" s="3">
        <f t="shared" si="5"/>
        <v>3</v>
      </c>
      <c r="W99" s="3">
        <f t="shared" si="6"/>
        <v>2</v>
      </c>
      <c r="X99" s="3" t="str">
        <f>IFERROR(__xludf.DUMMYFUNCTION("split(B99,"" "")"),"C.")</f>
        <v>C.</v>
      </c>
      <c r="Y99" s="3" t="str">
        <f>IFERROR(__xludf.DUMMYFUNCTION("""COMPUTED_VALUE"""),"Lamb")</f>
        <v>Lamb</v>
      </c>
      <c r="AA99" s="8">
        <v>13.0</v>
      </c>
      <c r="AB99" s="3">
        <f t="shared" si="7"/>
        <v>1</v>
      </c>
      <c r="AC99" s="3">
        <f t="shared" si="8"/>
        <v>1</v>
      </c>
      <c r="AD99" s="3">
        <f t="shared" si="9"/>
        <v>2.803738318</v>
      </c>
      <c r="AE99" s="3">
        <f t="shared" si="10"/>
        <v>2.803738318</v>
      </c>
      <c r="AF99" s="3">
        <f t="shared" si="11"/>
        <v>1.869158879</v>
      </c>
      <c r="AG99" s="3">
        <f t="shared" si="12"/>
        <v>1</v>
      </c>
    </row>
    <row r="100">
      <c r="A100" s="1" t="s">
        <v>12</v>
      </c>
      <c r="B100" s="1" t="s">
        <v>152</v>
      </c>
      <c r="C100" s="1" t="s">
        <v>19</v>
      </c>
      <c r="D100" s="1" t="s">
        <v>88</v>
      </c>
      <c r="E100" s="1" t="s">
        <v>164</v>
      </c>
      <c r="F100" s="1" t="s">
        <v>651</v>
      </c>
      <c r="G100" s="1">
        <v>2.5</v>
      </c>
      <c r="H100" s="1" t="s">
        <v>60</v>
      </c>
      <c r="I100" s="1">
        <v>118.0</v>
      </c>
      <c r="J100" s="1">
        <v>-0.185157423033944</v>
      </c>
      <c r="K100" s="1" t="s">
        <v>61</v>
      </c>
      <c r="L100" s="1" t="s">
        <v>61</v>
      </c>
      <c r="M100" s="1" t="s">
        <v>62</v>
      </c>
      <c r="N100" s="1">
        <v>-154.0</v>
      </c>
      <c r="O100" s="1">
        <v>0.120135626788188</v>
      </c>
      <c r="P100" s="1" t="s">
        <v>61</v>
      </c>
      <c r="Q100" s="1" t="s">
        <v>61</v>
      </c>
      <c r="R100" s="1">
        <f t="shared" si="1"/>
        <v>0.1201356268</v>
      </c>
      <c r="S100" s="1">
        <f t="shared" si="2"/>
        <v>-154</v>
      </c>
      <c r="T100" s="1">
        <f t="shared" si="3"/>
        <v>1.649350649</v>
      </c>
      <c r="U100" s="1">
        <f t="shared" si="4"/>
        <v>0</v>
      </c>
      <c r="V100" s="3">
        <f t="shared" si="5"/>
        <v>3</v>
      </c>
      <c r="W100" s="3">
        <f t="shared" si="6"/>
        <v>3</v>
      </c>
      <c r="X100" s="3" t="str">
        <f>IFERROR(__xludf.DUMMYFUNCTION("split(B100,"" "")"),"R.")</f>
        <v>R.</v>
      </c>
      <c r="Y100" s="3" t="str">
        <f>IFERROR(__xludf.DUMMYFUNCTION("""COMPUTED_VALUE"""),"Dowdle")</f>
        <v>Dowdle</v>
      </c>
      <c r="AA100" s="8">
        <v>0.0</v>
      </c>
      <c r="AB100" s="3">
        <f t="shared" si="7"/>
        <v>0</v>
      </c>
      <c r="AC100" s="3">
        <f t="shared" si="8"/>
        <v>1</v>
      </c>
      <c r="AD100" s="3">
        <f t="shared" si="9"/>
        <v>1.948051948</v>
      </c>
      <c r="AE100" s="3">
        <f t="shared" si="10"/>
        <v>1.948051948</v>
      </c>
      <c r="AF100" s="3">
        <f t="shared" si="11"/>
        <v>1.948051948</v>
      </c>
      <c r="AG100" s="3">
        <f t="shared" si="12"/>
        <v>1</v>
      </c>
    </row>
    <row r="101">
      <c r="A101" s="1" t="s">
        <v>8</v>
      </c>
      <c r="B101" s="1" t="s">
        <v>152</v>
      </c>
      <c r="C101" s="1" t="s">
        <v>19</v>
      </c>
      <c r="D101" s="1" t="s">
        <v>88</v>
      </c>
      <c r="E101" s="1" t="s">
        <v>164</v>
      </c>
      <c r="F101" s="1" t="s">
        <v>651</v>
      </c>
      <c r="G101" s="1">
        <v>11.5</v>
      </c>
      <c r="H101" s="1" t="s">
        <v>60</v>
      </c>
      <c r="I101" s="1">
        <v>-110.0</v>
      </c>
      <c r="J101" s="1">
        <v>-0.16135700451838</v>
      </c>
      <c r="K101" s="1" t="s">
        <v>61</v>
      </c>
      <c r="L101" s="1" t="s">
        <v>61</v>
      </c>
      <c r="M101" s="1" t="s">
        <v>62</v>
      </c>
      <c r="N101" s="1">
        <v>-120.0</v>
      </c>
      <c r="O101" s="1">
        <v>0.0920998415392363</v>
      </c>
      <c r="P101" s="1" t="s">
        <v>61</v>
      </c>
      <c r="Q101" s="1" t="s">
        <v>61</v>
      </c>
      <c r="R101" s="1">
        <f t="shared" si="1"/>
        <v>0.09209984154</v>
      </c>
      <c r="S101" s="1">
        <f t="shared" si="2"/>
        <v>-120</v>
      </c>
      <c r="T101" s="1">
        <f t="shared" si="3"/>
        <v>1.833333333</v>
      </c>
      <c r="U101" s="1">
        <f t="shared" si="4"/>
        <v>0</v>
      </c>
      <c r="V101" s="3">
        <f t="shared" si="5"/>
        <v>2</v>
      </c>
      <c r="W101" s="3">
        <f t="shared" si="6"/>
        <v>3</v>
      </c>
      <c r="X101" s="3" t="str">
        <f>IFERROR(__xludf.DUMMYFUNCTION("split(B101,"" "")"),"R.")</f>
        <v>R.</v>
      </c>
      <c r="Y101" s="3" t="str">
        <f>IFERROR(__xludf.DUMMYFUNCTION("""COMPUTED_VALUE"""),"Dowdle")</f>
        <v>Dowdle</v>
      </c>
      <c r="AA101" s="8">
        <v>0.0</v>
      </c>
      <c r="AB101" s="3">
        <f t="shared" si="7"/>
        <v>0</v>
      </c>
      <c r="AC101" s="3">
        <f t="shared" si="8"/>
        <v>1</v>
      </c>
      <c r="AD101" s="3">
        <f t="shared" si="9"/>
        <v>1.666666667</v>
      </c>
      <c r="AE101" s="3">
        <f t="shared" si="10"/>
        <v>1.666666667</v>
      </c>
      <c r="AF101" s="3">
        <f t="shared" si="11"/>
        <v>2.5</v>
      </c>
      <c r="AG101" s="3">
        <f t="shared" si="12"/>
        <v>1</v>
      </c>
    </row>
    <row r="102">
      <c r="A102" s="1" t="s">
        <v>8</v>
      </c>
      <c r="B102" s="1" t="s">
        <v>251</v>
      </c>
      <c r="C102" s="1" t="s">
        <v>21</v>
      </c>
      <c r="D102" s="1" t="s">
        <v>88</v>
      </c>
      <c r="E102" s="1" t="s">
        <v>164</v>
      </c>
      <c r="F102" s="1" t="s">
        <v>651</v>
      </c>
      <c r="G102" s="1">
        <v>2.5</v>
      </c>
      <c r="H102" s="1" t="s">
        <v>60</v>
      </c>
      <c r="I102" s="1">
        <v>100.0</v>
      </c>
      <c r="J102" s="1">
        <v>-0.117143487102886</v>
      </c>
      <c r="K102" s="1" t="s">
        <v>61</v>
      </c>
      <c r="L102" s="1" t="s">
        <v>61</v>
      </c>
      <c r="M102" s="1" t="s">
        <v>62</v>
      </c>
      <c r="N102" s="1">
        <v>-130.0</v>
      </c>
      <c r="O102" s="1">
        <v>0.0519317680293501</v>
      </c>
      <c r="P102" s="1" t="s">
        <v>61</v>
      </c>
      <c r="Q102" s="1" t="s">
        <v>61</v>
      </c>
      <c r="R102" s="1">
        <f t="shared" si="1"/>
        <v>0.05193176803</v>
      </c>
      <c r="S102" s="1">
        <f t="shared" si="2"/>
        <v>-130</v>
      </c>
      <c r="T102" s="1">
        <f t="shared" si="3"/>
        <v>1.769230769</v>
      </c>
      <c r="U102" s="1">
        <f t="shared" si="4"/>
        <v>0</v>
      </c>
      <c r="V102" s="3">
        <f t="shared" si="5"/>
        <v>2</v>
      </c>
      <c r="W102" s="3">
        <f t="shared" si="6"/>
        <v>3</v>
      </c>
      <c r="X102" s="3" t="str">
        <f>IFERROR(__xludf.DUMMYFUNCTION("split(B102,"" "")"),"D.")</f>
        <v>D.</v>
      </c>
      <c r="Y102" s="3" t="str">
        <f>IFERROR(__xludf.DUMMYFUNCTION("""COMPUTED_VALUE"""),"Prescott")</f>
        <v>Prescott</v>
      </c>
      <c r="AA102" s="8">
        <v>1.0</v>
      </c>
      <c r="AB102" s="3">
        <f t="shared" si="7"/>
        <v>0</v>
      </c>
      <c r="AC102" s="3">
        <f t="shared" si="8"/>
        <v>1</v>
      </c>
      <c r="AD102" s="3">
        <f t="shared" si="9"/>
        <v>1.538461538</v>
      </c>
      <c r="AE102" s="3">
        <f t="shared" si="10"/>
        <v>1.538461538</v>
      </c>
      <c r="AF102" s="3">
        <f t="shared" si="11"/>
        <v>2.307692308</v>
      </c>
      <c r="AG102" s="3">
        <f t="shared" si="12"/>
        <v>0.6</v>
      </c>
    </row>
    <row r="103">
      <c r="A103" s="1" t="s">
        <v>15</v>
      </c>
      <c r="B103" s="1" t="s">
        <v>251</v>
      </c>
      <c r="C103" s="1" t="s">
        <v>21</v>
      </c>
      <c r="D103" s="1" t="s">
        <v>88</v>
      </c>
      <c r="E103" s="1" t="s">
        <v>164</v>
      </c>
      <c r="F103" s="1" t="s">
        <v>651</v>
      </c>
      <c r="G103" s="1">
        <v>22.5</v>
      </c>
      <c r="H103" s="1" t="s">
        <v>60</v>
      </c>
      <c r="I103" s="1">
        <v>-121.0</v>
      </c>
      <c r="J103" s="1">
        <v>0.0483791855203619</v>
      </c>
      <c r="K103" s="1" t="s">
        <v>61</v>
      </c>
      <c r="L103" s="1" t="s">
        <v>61</v>
      </c>
      <c r="M103" s="1" t="s">
        <v>62</v>
      </c>
      <c r="N103" s="1">
        <v>-109.0</v>
      </c>
      <c r="O103" s="1">
        <v>-0.117435406698564</v>
      </c>
      <c r="P103" s="1" t="s">
        <v>61</v>
      </c>
      <c r="Q103" s="1" t="s">
        <v>61</v>
      </c>
      <c r="R103" s="1">
        <f t="shared" si="1"/>
        <v>0.04837918552</v>
      </c>
      <c r="S103" s="1">
        <f t="shared" si="2"/>
        <v>-121</v>
      </c>
      <c r="T103" s="1">
        <f t="shared" si="3"/>
        <v>1.826446281</v>
      </c>
      <c r="U103" s="1">
        <f t="shared" si="4"/>
        <v>1</v>
      </c>
      <c r="V103" s="3">
        <f t="shared" si="5"/>
        <v>1</v>
      </c>
      <c r="W103" s="3">
        <f t="shared" si="6"/>
        <v>3</v>
      </c>
      <c r="X103" s="3" t="str">
        <f>IFERROR(__xludf.DUMMYFUNCTION("split(B103,"" "")"),"D.")</f>
        <v>D.</v>
      </c>
      <c r="Y103" s="3" t="str">
        <f>IFERROR(__xludf.DUMMYFUNCTION("""COMPUTED_VALUE"""),"Prescott")</f>
        <v>Prescott</v>
      </c>
      <c r="AA103" s="8">
        <v>25.0</v>
      </c>
      <c r="AB103" s="3">
        <f t="shared" si="7"/>
        <v>1</v>
      </c>
      <c r="AC103" s="3">
        <f t="shared" si="8"/>
        <v>1</v>
      </c>
      <c r="AD103" s="3">
        <f t="shared" si="9"/>
        <v>0.826446281</v>
      </c>
      <c r="AE103" s="3">
        <f t="shared" si="10"/>
        <v>0.826446281</v>
      </c>
      <c r="AF103" s="3">
        <f t="shared" si="11"/>
        <v>2.479338843</v>
      </c>
      <c r="AG103" s="3">
        <f t="shared" si="12"/>
        <v>0.1111111111</v>
      </c>
    </row>
    <row r="104">
      <c r="A104" s="1" t="s">
        <v>17</v>
      </c>
      <c r="B104" s="1" t="s">
        <v>251</v>
      </c>
      <c r="C104" s="1" t="s">
        <v>21</v>
      </c>
      <c r="D104" s="1" t="s">
        <v>88</v>
      </c>
      <c r="E104" s="1" t="s">
        <v>164</v>
      </c>
      <c r="F104" s="1" t="s">
        <v>651</v>
      </c>
      <c r="G104" s="1">
        <v>0.5</v>
      </c>
      <c r="H104" s="1" t="s">
        <v>60</v>
      </c>
      <c r="I104" s="1">
        <v>-131.0</v>
      </c>
      <c r="J104" s="1">
        <v>-0.111956277056277</v>
      </c>
      <c r="K104" s="1" t="s">
        <v>61</v>
      </c>
      <c r="L104" s="1" t="s">
        <v>61</v>
      </c>
      <c r="M104" s="1" t="s">
        <v>62</v>
      </c>
      <c r="N104" s="1">
        <v>100.0</v>
      </c>
      <c r="O104" s="1">
        <v>0.0448499999999999</v>
      </c>
      <c r="P104" s="1" t="s">
        <v>61</v>
      </c>
      <c r="Q104" s="1" t="s">
        <v>61</v>
      </c>
      <c r="R104" s="1">
        <f t="shared" si="1"/>
        <v>0.04485</v>
      </c>
      <c r="S104" s="1">
        <f t="shared" si="2"/>
        <v>100</v>
      </c>
      <c r="T104" s="1">
        <f t="shared" si="3"/>
        <v>2</v>
      </c>
      <c r="U104" s="1">
        <f t="shared" si="4"/>
        <v>0</v>
      </c>
      <c r="V104" s="3">
        <f t="shared" si="5"/>
        <v>1</v>
      </c>
      <c r="W104" s="3">
        <f t="shared" si="6"/>
        <v>2</v>
      </c>
      <c r="X104" s="3" t="str">
        <f>IFERROR(__xludf.DUMMYFUNCTION("split(B104,"" "")"),"D.")</f>
        <v>D.</v>
      </c>
      <c r="Y104" s="3" t="str">
        <f>IFERROR(__xludf.DUMMYFUNCTION("""COMPUTED_VALUE"""),"Prescott")</f>
        <v>Prescott</v>
      </c>
      <c r="AA104" s="8">
        <v>2.0</v>
      </c>
      <c r="AB104" s="3">
        <f t="shared" si="7"/>
        <v>1</v>
      </c>
      <c r="AC104" s="3">
        <f t="shared" si="8"/>
        <v>0</v>
      </c>
      <c r="AD104" s="3">
        <f t="shared" si="9"/>
        <v>1</v>
      </c>
      <c r="AE104" s="3">
        <f t="shared" si="10"/>
        <v>-1</v>
      </c>
      <c r="AF104" s="3">
        <f t="shared" si="11"/>
        <v>-2</v>
      </c>
      <c r="AG104" s="3">
        <f t="shared" si="12"/>
        <v>-3</v>
      </c>
    </row>
    <row r="105">
      <c r="A105" s="1" t="s">
        <v>9</v>
      </c>
      <c r="B105" s="1" t="s">
        <v>87</v>
      </c>
      <c r="C105" s="1" t="s">
        <v>18</v>
      </c>
      <c r="D105" s="1" t="s">
        <v>88</v>
      </c>
      <c r="E105" s="1" t="s">
        <v>164</v>
      </c>
      <c r="F105" s="1" t="s">
        <v>651</v>
      </c>
      <c r="G105" s="1">
        <v>35.5</v>
      </c>
      <c r="H105" s="1" t="s">
        <v>60</v>
      </c>
      <c r="I105" s="1">
        <v>-115.0</v>
      </c>
      <c r="J105" s="1">
        <v>0.0392200354829994</v>
      </c>
      <c r="K105" s="1" t="s">
        <v>61</v>
      </c>
      <c r="L105" s="1" t="s">
        <v>61</v>
      </c>
      <c r="M105" s="1" t="s">
        <v>62</v>
      </c>
      <c r="N105" s="1">
        <v>-120.0</v>
      </c>
      <c r="O105" s="1">
        <v>-0.119507132520972</v>
      </c>
      <c r="P105" s="1" t="s">
        <v>61</v>
      </c>
      <c r="Q105" s="1" t="s">
        <v>61</v>
      </c>
      <c r="R105" s="1">
        <f t="shared" si="1"/>
        <v>0.03922003548</v>
      </c>
      <c r="S105" s="1">
        <f t="shared" si="2"/>
        <v>-115</v>
      </c>
      <c r="T105" s="1">
        <f t="shared" si="3"/>
        <v>1.869565217</v>
      </c>
      <c r="U105" s="1">
        <f t="shared" si="4"/>
        <v>1</v>
      </c>
      <c r="V105" s="3">
        <f t="shared" si="5"/>
        <v>1</v>
      </c>
      <c r="W105" s="3">
        <f t="shared" si="6"/>
        <v>2</v>
      </c>
      <c r="X105" s="3" t="str">
        <f>IFERROR(__xludf.DUMMYFUNCTION("split(B105,"" "")"),"J.")</f>
        <v>J.</v>
      </c>
      <c r="Y105" s="3" t="str">
        <f>IFERROR(__xludf.DUMMYFUNCTION("""COMPUTED_VALUE"""),"Tolbert")</f>
        <v>Tolbert</v>
      </c>
      <c r="AA105" s="8">
        <v>44.0</v>
      </c>
      <c r="AB105" s="3">
        <f t="shared" si="7"/>
        <v>1</v>
      </c>
      <c r="AC105" s="3">
        <f t="shared" si="8"/>
        <v>1</v>
      </c>
      <c r="AD105" s="3">
        <f t="shared" si="9"/>
        <v>0.8695652174</v>
      </c>
      <c r="AE105" s="3">
        <f t="shared" si="10"/>
        <v>0.8695652174</v>
      </c>
      <c r="AF105" s="3">
        <f t="shared" si="11"/>
        <v>1.739130435</v>
      </c>
      <c r="AG105" s="3">
        <f t="shared" si="12"/>
        <v>0.2394366197</v>
      </c>
    </row>
    <row r="106">
      <c r="A106" s="1" t="s">
        <v>14</v>
      </c>
      <c r="B106" s="1" t="s">
        <v>251</v>
      </c>
      <c r="C106" s="1" t="s">
        <v>21</v>
      </c>
      <c r="D106" s="1" t="s">
        <v>88</v>
      </c>
      <c r="E106" s="1" t="s">
        <v>164</v>
      </c>
      <c r="F106" s="1" t="s">
        <v>651</v>
      </c>
      <c r="G106" s="1">
        <v>1.5</v>
      </c>
      <c r="H106" s="1" t="s">
        <v>60</v>
      </c>
      <c r="I106" s="1">
        <v>121.0</v>
      </c>
      <c r="J106" s="1">
        <v>0.0373660633484163</v>
      </c>
      <c r="K106" s="1" t="s">
        <v>61</v>
      </c>
      <c r="L106" s="1" t="s">
        <v>61</v>
      </c>
      <c r="M106" s="1" t="s">
        <v>62</v>
      </c>
      <c r="N106" s="1">
        <v>-154.0</v>
      </c>
      <c r="O106" s="1">
        <v>-0.0961598425196851</v>
      </c>
      <c r="P106" s="1" t="s">
        <v>61</v>
      </c>
      <c r="Q106" s="1" t="s">
        <v>61</v>
      </c>
      <c r="R106" s="1">
        <f t="shared" si="1"/>
        <v>0.03736606335</v>
      </c>
      <c r="S106" s="1">
        <f t="shared" si="2"/>
        <v>121</v>
      </c>
      <c r="T106" s="1">
        <f t="shared" si="3"/>
        <v>2.21</v>
      </c>
      <c r="U106" s="1">
        <f t="shared" si="4"/>
        <v>1</v>
      </c>
      <c r="V106" s="3">
        <f t="shared" si="5"/>
        <v>1</v>
      </c>
      <c r="W106" s="3">
        <f t="shared" si="6"/>
        <v>1</v>
      </c>
      <c r="X106" s="3" t="str">
        <f>IFERROR(__xludf.DUMMYFUNCTION("split(B106,"" "")"),"D.")</f>
        <v>D.</v>
      </c>
      <c r="Y106" s="3" t="str">
        <f>IFERROR(__xludf.DUMMYFUNCTION("""COMPUTED_VALUE"""),"Prescott")</f>
        <v>Prescott</v>
      </c>
      <c r="AA106" s="8">
        <v>2.0</v>
      </c>
      <c r="AB106" s="3">
        <f t="shared" si="7"/>
        <v>1</v>
      </c>
      <c r="AC106" s="3">
        <f t="shared" si="8"/>
        <v>1</v>
      </c>
      <c r="AD106" s="3">
        <f t="shared" si="9"/>
        <v>1.21</v>
      </c>
      <c r="AE106" s="3">
        <f t="shared" si="10"/>
        <v>1.21</v>
      </c>
      <c r="AF106" s="3">
        <f t="shared" si="11"/>
        <v>1.21</v>
      </c>
      <c r="AG106" s="3">
        <f t="shared" si="12"/>
        <v>0.3333333333</v>
      </c>
    </row>
    <row r="107">
      <c r="A107" s="1" t="s">
        <v>10</v>
      </c>
      <c r="B107" s="1" t="s">
        <v>251</v>
      </c>
      <c r="C107" s="1" t="s">
        <v>21</v>
      </c>
      <c r="D107" s="1" t="s">
        <v>88</v>
      </c>
      <c r="E107" s="1" t="s">
        <v>164</v>
      </c>
      <c r="F107" s="1" t="s">
        <v>651</v>
      </c>
      <c r="G107" s="1">
        <v>8.5</v>
      </c>
      <c r="H107" s="1" t="s">
        <v>60</v>
      </c>
      <c r="I107" s="1">
        <v>-106.0</v>
      </c>
      <c r="J107" s="1">
        <v>0.0204109718821451</v>
      </c>
      <c r="K107" s="1" t="s">
        <v>61</v>
      </c>
      <c r="L107" s="1" t="s">
        <v>61</v>
      </c>
      <c r="M107" s="1" t="s">
        <v>62</v>
      </c>
      <c r="N107" s="1">
        <v>-123.0</v>
      </c>
      <c r="O107" s="1">
        <v>-0.0864991841053719</v>
      </c>
      <c r="P107" s="1" t="s">
        <v>61</v>
      </c>
      <c r="Q107" s="1" t="s">
        <v>61</v>
      </c>
      <c r="R107" s="1">
        <f t="shared" si="1"/>
        <v>0.02041097188</v>
      </c>
      <c r="S107" s="1">
        <f t="shared" si="2"/>
        <v>-106</v>
      </c>
      <c r="T107" s="1">
        <f t="shared" si="3"/>
        <v>1.943396226</v>
      </c>
      <c r="U107" s="1">
        <f t="shared" si="4"/>
        <v>1</v>
      </c>
      <c r="V107" s="3">
        <f t="shared" si="5"/>
        <v>1</v>
      </c>
      <c r="W107" s="3">
        <f t="shared" si="6"/>
        <v>2</v>
      </c>
      <c r="X107" s="3" t="str">
        <f>IFERROR(__xludf.DUMMYFUNCTION("split(B107,"" "")"),"D.")</f>
        <v>D.</v>
      </c>
      <c r="Y107" s="3" t="str">
        <f>IFERROR(__xludf.DUMMYFUNCTION("""COMPUTED_VALUE"""),"Prescott")</f>
        <v>Prescott</v>
      </c>
      <c r="AA107" s="8">
        <v>-1.0</v>
      </c>
      <c r="AB107" s="3">
        <f t="shared" si="7"/>
        <v>0</v>
      </c>
      <c r="AC107" s="3">
        <f t="shared" si="8"/>
        <v>0</v>
      </c>
      <c r="AD107" s="3">
        <f t="shared" si="9"/>
        <v>0.9433962264</v>
      </c>
      <c r="AE107" s="3">
        <f t="shared" si="10"/>
        <v>-1</v>
      </c>
      <c r="AF107" s="3">
        <f t="shared" si="11"/>
        <v>-2</v>
      </c>
      <c r="AG107" s="3">
        <f t="shared" si="12"/>
        <v>-1.117647059</v>
      </c>
    </row>
    <row r="108">
      <c r="A108" s="1" t="s">
        <v>10</v>
      </c>
      <c r="B108" s="1" t="s">
        <v>152</v>
      </c>
      <c r="C108" s="1" t="s">
        <v>19</v>
      </c>
      <c r="D108" s="1" t="s">
        <v>88</v>
      </c>
      <c r="E108" s="1" t="s">
        <v>164</v>
      </c>
      <c r="F108" s="1" t="s">
        <v>651</v>
      </c>
      <c r="G108" s="1">
        <v>43.5</v>
      </c>
      <c r="H108" s="1" t="s">
        <v>60</v>
      </c>
      <c r="I108" s="1">
        <v>-115.0</v>
      </c>
      <c r="J108" s="1">
        <v>-0.0874120285982508</v>
      </c>
      <c r="K108" s="1" t="s">
        <v>61</v>
      </c>
      <c r="L108" s="1" t="s">
        <v>61</v>
      </c>
      <c r="M108" s="1" t="s">
        <v>62</v>
      </c>
      <c r="N108" s="1">
        <v>-115.0</v>
      </c>
      <c r="O108" s="1">
        <v>0.0176635833329882</v>
      </c>
      <c r="P108" s="1" t="s">
        <v>61</v>
      </c>
      <c r="Q108" s="1" t="s">
        <v>61</v>
      </c>
      <c r="R108" s="1">
        <f t="shared" si="1"/>
        <v>0.01766358333</v>
      </c>
      <c r="S108" s="1">
        <f t="shared" si="2"/>
        <v>-115</v>
      </c>
      <c r="T108" s="1">
        <f t="shared" si="3"/>
        <v>1.869565217</v>
      </c>
      <c r="U108" s="1">
        <f t="shared" si="4"/>
        <v>0</v>
      </c>
      <c r="V108" s="3">
        <f t="shared" si="5"/>
        <v>1</v>
      </c>
      <c r="W108" s="3">
        <f t="shared" si="6"/>
        <v>2</v>
      </c>
      <c r="X108" s="3" t="str">
        <f>IFERROR(__xludf.DUMMYFUNCTION("split(B108,"" "")"),"R.")</f>
        <v>R.</v>
      </c>
      <c r="Y108" s="3" t="str">
        <f>IFERROR(__xludf.DUMMYFUNCTION("""COMPUTED_VALUE"""),"Dowdle")</f>
        <v>Dowdle</v>
      </c>
      <c r="AA108" s="8">
        <v>0.0</v>
      </c>
      <c r="AB108" s="3">
        <f t="shared" si="7"/>
        <v>0</v>
      </c>
      <c r="AC108" s="3">
        <f t="shared" si="8"/>
        <v>1</v>
      </c>
      <c r="AD108" s="3">
        <f t="shared" si="9"/>
        <v>0.8695652174</v>
      </c>
      <c r="AE108" s="3">
        <f t="shared" si="10"/>
        <v>0.8695652174</v>
      </c>
      <c r="AF108" s="3">
        <f t="shared" si="11"/>
        <v>1.739130435</v>
      </c>
      <c r="AG108" s="3">
        <f t="shared" si="12"/>
        <v>1</v>
      </c>
    </row>
    <row r="109">
      <c r="A109" s="1" t="s">
        <v>9</v>
      </c>
      <c r="B109" s="1" t="s">
        <v>395</v>
      </c>
      <c r="C109" s="1" t="s">
        <v>18</v>
      </c>
      <c r="D109" s="1" t="s">
        <v>88</v>
      </c>
      <c r="E109" s="1" t="s">
        <v>164</v>
      </c>
      <c r="F109" s="1" t="s">
        <v>651</v>
      </c>
      <c r="G109" s="1">
        <v>84.5</v>
      </c>
      <c r="H109" s="1" t="s">
        <v>60</v>
      </c>
      <c r="I109" s="1">
        <v>-116.0</v>
      </c>
      <c r="J109" s="1">
        <v>-0.0804663048990409</v>
      </c>
      <c r="K109" s="1" t="s">
        <v>61</v>
      </c>
      <c r="L109" s="1" t="s">
        <v>61</v>
      </c>
      <c r="M109" s="1" t="s">
        <v>62</v>
      </c>
      <c r="N109" s="1">
        <v>-116.0</v>
      </c>
      <c r="O109" s="1">
        <v>0.00641158110688733</v>
      </c>
      <c r="P109" s="1" t="s">
        <v>61</v>
      </c>
      <c r="Q109" s="1" t="s">
        <v>61</v>
      </c>
      <c r="R109" s="1">
        <f t="shared" si="1"/>
        <v>0.006411581107</v>
      </c>
      <c r="S109" s="1">
        <f t="shared" si="2"/>
        <v>-116</v>
      </c>
      <c r="T109" s="1">
        <f t="shared" si="3"/>
        <v>1.862068966</v>
      </c>
      <c r="U109" s="1">
        <f t="shared" si="4"/>
        <v>0</v>
      </c>
      <c r="V109" s="3">
        <f t="shared" si="5"/>
        <v>1</v>
      </c>
      <c r="W109" s="3">
        <f t="shared" si="6"/>
        <v>2</v>
      </c>
      <c r="X109" s="3" t="str">
        <f>IFERROR(__xludf.DUMMYFUNCTION("split(B109,"" "")"),"C.")</f>
        <v>C.</v>
      </c>
      <c r="Y109" s="3" t="str">
        <f>IFERROR(__xludf.DUMMYFUNCTION("""COMPUTED_VALUE"""),"Lamb")</f>
        <v>Lamb</v>
      </c>
      <c r="AA109" s="8">
        <v>146.0</v>
      </c>
      <c r="AB109" s="3">
        <f t="shared" si="7"/>
        <v>1</v>
      </c>
      <c r="AC109" s="3">
        <f t="shared" si="8"/>
        <v>0</v>
      </c>
      <c r="AD109" s="3">
        <f t="shared" si="9"/>
        <v>0.8620689655</v>
      </c>
      <c r="AE109" s="3">
        <f t="shared" si="10"/>
        <v>-1</v>
      </c>
      <c r="AF109" s="3">
        <f t="shared" si="11"/>
        <v>-2</v>
      </c>
      <c r="AG109" s="3">
        <f t="shared" si="12"/>
        <v>-0.7278106509</v>
      </c>
    </row>
    <row r="110">
      <c r="A110" s="1" t="s">
        <v>9</v>
      </c>
      <c r="B110" s="1" t="s">
        <v>152</v>
      </c>
      <c r="C110" s="1" t="s">
        <v>19</v>
      </c>
      <c r="D110" s="1" t="s">
        <v>88</v>
      </c>
      <c r="E110" s="1" t="s">
        <v>164</v>
      </c>
      <c r="F110" s="1" t="s">
        <v>651</v>
      </c>
      <c r="G110" s="1">
        <v>61.5</v>
      </c>
      <c r="H110" s="1" t="s">
        <v>60</v>
      </c>
      <c r="I110" s="1">
        <v>-114.0</v>
      </c>
      <c r="J110" s="1">
        <v>-0.0810372843370037</v>
      </c>
      <c r="K110" s="1" t="s">
        <v>61</v>
      </c>
      <c r="L110" s="1" t="s">
        <v>61</v>
      </c>
      <c r="M110" s="1" t="s">
        <v>62</v>
      </c>
      <c r="N110" s="1">
        <v>-119.0</v>
      </c>
      <c r="O110" s="1">
        <v>0.00495240561306586</v>
      </c>
      <c r="P110" s="1" t="s">
        <v>61</v>
      </c>
      <c r="Q110" s="1" t="s">
        <v>61</v>
      </c>
      <c r="R110" s="1">
        <f t="shared" si="1"/>
        <v>0.004952405613</v>
      </c>
      <c r="S110" s="1">
        <f t="shared" si="2"/>
        <v>-119</v>
      </c>
      <c r="T110" s="1">
        <f t="shared" si="3"/>
        <v>1.840336134</v>
      </c>
      <c r="U110" s="1">
        <f t="shared" si="4"/>
        <v>0</v>
      </c>
      <c r="V110" s="3">
        <f t="shared" si="5"/>
        <v>1</v>
      </c>
      <c r="W110" s="3">
        <f t="shared" si="6"/>
        <v>3</v>
      </c>
      <c r="X110" s="3" t="str">
        <f>IFERROR(__xludf.DUMMYFUNCTION("split(B110,"" "")"),"R.")</f>
        <v>R.</v>
      </c>
      <c r="Y110" s="3" t="str">
        <f>IFERROR(__xludf.DUMMYFUNCTION("""COMPUTED_VALUE"""),"Dowdle")</f>
        <v>Dowdle</v>
      </c>
      <c r="AA110" s="8">
        <v>0.0</v>
      </c>
      <c r="AB110" s="3">
        <f t="shared" si="7"/>
        <v>0</v>
      </c>
      <c r="AC110" s="3">
        <f t="shared" si="8"/>
        <v>1</v>
      </c>
      <c r="AD110" s="3">
        <f t="shared" si="9"/>
        <v>0.8403361345</v>
      </c>
      <c r="AE110" s="3">
        <f t="shared" si="10"/>
        <v>0.8403361345</v>
      </c>
      <c r="AF110" s="3">
        <f t="shared" si="11"/>
        <v>2.521008403</v>
      </c>
      <c r="AG110" s="3">
        <f t="shared" si="12"/>
        <v>1</v>
      </c>
    </row>
    <row r="111">
      <c r="A111" s="1" t="s">
        <v>11</v>
      </c>
      <c r="B111" s="1" t="s">
        <v>412</v>
      </c>
      <c r="C111" s="1" t="s">
        <v>20</v>
      </c>
      <c r="D111" s="1" t="s">
        <v>88</v>
      </c>
      <c r="E111" s="1" t="s">
        <v>164</v>
      </c>
      <c r="F111" s="1" t="s">
        <v>651</v>
      </c>
      <c r="G111" s="1">
        <v>40.5</v>
      </c>
      <c r="H111" s="1" t="s">
        <v>60</v>
      </c>
      <c r="I111" s="1">
        <v>-116.0</v>
      </c>
      <c r="J111" s="1">
        <v>-0.0699705805115741</v>
      </c>
      <c r="K111" s="1" t="s">
        <v>61</v>
      </c>
      <c r="L111" s="1" t="s">
        <v>61</v>
      </c>
      <c r="M111" s="1" t="s">
        <v>62</v>
      </c>
      <c r="N111" s="1">
        <v>-114.0</v>
      </c>
      <c r="O111" s="1">
        <v>2.56869161411321E-4</v>
      </c>
      <c r="P111" s="1" t="s">
        <v>61</v>
      </c>
      <c r="Q111" s="1" t="s">
        <v>61</v>
      </c>
      <c r="R111" s="1">
        <f t="shared" si="1"/>
        <v>0.0002568691614</v>
      </c>
      <c r="S111" s="1">
        <f t="shared" si="2"/>
        <v>-114</v>
      </c>
      <c r="T111" s="1">
        <f t="shared" si="3"/>
        <v>1.877192982</v>
      </c>
      <c r="U111" s="1">
        <f t="shared" si="4"/>
        <v>0</v>
      </c>
      <c r="V111" s="3">
        <f t="shared" si="5"/>
        <v>1</v>
      </c>
      <c r="W111" s="3">
        <f t="shared" si="6"/>
        <v>2</v>
      </c>
      <c r="X111" s="3" t="str">
        <f>IFERROR(__xludf.DUMMYFUNCTION("split(B111,"" "")"),"J.")</f>
        <v>J.</v>
      </c>
      <c r="Y111" s="3" t="str">
        <f>IFERROR(__xludf.DUMMYFUNCTION("""COMPUTED_VALUE"""),"Ferguson")</f>
        <v>Ferguson</v>
      </c>
      <c r="AA111" s="8">
        <v>23.0</v>
      </c>
      <c r="AB111" s="3">
        <f t="shared" si="7"/>
        <v>0</v>
      </c>
      <c r="AC111" s="3">
        <f t="shared" si="8"/>
        <v>1</v>
      </c>
      <c r="AD111" s="3">
        <f t="shared" si="9"/>
        <v>0.8771929825</v>
      </c>
      <c r="AE111" s="3">
        <f t="shared" si="10"/>
        <v>0.8771929825</v>
      </c>
      <c r="AF111" s="3">
        <f t="shared" si="11"/>
        <v>1.754385965</v>
      </c>
      <c r="AG111" s="3">
        <f t="shared" si="12"/>
        <v>0.4320987654</v>
      </c>
    </row>
    <row r="112">
      <c r="A112" s="1" t="s">
        <v>12</v>
      </c>
      <c r="B112" s="1" t="s">
        <v>652</v>
      </c>
      <c r="C112" s="1" t="s">
        <v>18</v>
      </c>
      <c r="D112" s="1" t="s">
        <v>83</v>
      </c>
      <c r="E112" s="1" t="s">
        <v>57</v>
      </c>
      <c r="F112" s="1" t="s">
        <v>649</v>
      </c>
      <c r="G112" s="1">
        <v>2.5</v>
      </c>
      <c r="H112" s="1" t="s">
        <v>60</v>
      </c>
      <c r="I112" s="1">
        <v>-141.0</v>
      </c>
      <c r="J112" s="1">
        <v>-0.288458074854771</v>
      </c>
      <c r="K112" s="1" t="s">
        <v>61</v>
      </c>
      <c r="L112" s="1" t="s">
        <v>61</v>
      </c>
      <c r="M112" s="1" t="s">
        <v>62</v>
      </c>
      <c r="N112" s="1">
        <v>108.0</v>
      </c>
      <c r="O112" s="1">
        <v>0.2226259425</v>
      </c>
      <c r="P112" s="1" t="s">
        <v>61</v>
      </c>
      <c r="Q112" s="1" t="s">
        <v>61</v>
      </c>
      <c r="R112" s="1">
        <f t="shared" si="1"/>
        <v>0.2226259425</v>
      </c>
      <c r="S112" s="1">
        <f t="shared" si="2"/>
        <v>108</v>
      </c>
      <c r="T112" s="1">
        <f t="shared" si="3"/>
        <v>2.08</v>
      </c>
      <c r="U112" s="1">
        <f t="shared" si="4"/>
        <v>0</v>
      </c>
      <c r="V112" s="3">
        <f t="shared" si="5"/>
        <v>3</v>
      </c>
      <c r="W112" s="3">
        <f t="shared" si="6"/>
        <v>2</v>
      </c>
      <c r="X112" s="3" t="str">
        <f>IFERROR(__xludf.DUMMYFUNCTION("split(B112,"" "")"),"T.")</f>
        <v>T.</v>
      </c>
      <c r="Y112" s="3" t="str">
        <f>IFERROR(__xludf.DUMMYFUNCTION("""COMPUTED_VALUE"""),"Franklin")</f>
        <v>Franklin</v>
      </c>
      <c r="AA112" s="8">
        <v>0.0</v>
      </c>
      <c r="AB112" s="3">
        <f t="shared" si="7"/>
        <v>0</v>
      </c>
      <c r="AC112" s="3">
        <f t="shared" si="8"/>
        <v>1</v>
      </c>
      <c r="AD112" s="3">
        <f t="shared" si="9"/>
        <v>3.24</v>
      </c>
      <c r="AE112" s="3">
        <f t="shared" si="10"/>
        <v>3.24</v>
      </c>
      <c r="AF112" s="3">
        <f t="shared" si="11"/>
        <v>2.16</v>
      </c>
      <c r="AG112" s="3">
        <f t="shared" si="12"/>
        <v>1</v>
      </c>
    </row>
    <row r="113">
      <c r="A113" s="1" t="s">
        <v>12</v>
      </c>
      <c r="B113" s="1" t="s">
        <v>127</v>
      </c>
      <c r="C113" s="1" t="s">
        <v>19</v>
      </c>
      <c r="D113" s="1" t="s">
        <v>83</v>
      </c>
      <c r="E113" s="1" t="s">
        <v>57</v>
      </c>
      <c r="F113" s="1" t="s">
        <v>649</v>
      </c>
      <c r="G113" s="1">
        <v>2.5</v>
      </c>
      <c r="H113" s="1" t="s">
        <v>60</v>
      </c>
      <c r="I113" s="1">
        <v>-144.0</v>
      </c>
      <c r="J113" s="1">
        <v>-0.260121656680327</v>
      </c>
      <c r="K113" s="1" t="s">
        <v>61</v>
      </c>
      <c r="L113" s="1" t="s">
        <v>61</v>
      </c>
      <c r="M113" s="1" t="s">
        <v>62</v>
      </c>
      <c r="N113" s="1">
        <v>108.0</v>
      </c>
      <c r="O113" s="1">
        <v>0.189181174182692</v>
      </c>
      <c r="P113" s="1" t="s">
        <v>61</v>
      </c>
      <c r="Q113" s="1" t="s">
        <v>61</v>
      </c>
      <c r="R113" s="1">
        <f t="shared" si="1"/>
        <v>0.1891811742</v>
      </c>
      <c r="S113" s="1">
        <f t="shared" si="2"/>
        <v>108</v>
      </c>
      <c r="T113" s="1">
        <f t="shared" si="3"/>
        <v>2.08</v>
      </c>
      <c r="U113" s="1">
        <f t="shared" si="4"/>
        <v>0</v>
      </c>
      <c r="V113" s="3">
        <f t="shared" si="5"/>
        <v>3</v>
      </c>
      <c r="W113" s="3">
        <f t="shared" si="6"/>
        <v>2</v>
      </c>
      <c r="X113" s="3" t="str">
        <f>IFERROR(__xludf.DUMMYFUNCTION("split(B113,"" "")"),"J.")</f>
        <v>J.</v>
      </c>
      <c r="Y113" s="3" t="str">
        <f>IFERROR(__xludf.DUMMYFUNCTION("""COMPUTED_VALUE"""),"Williams")</f>
        <v>Williams</v>
      </c>
      <c r="AA113" s="8">
        <v>4.0</v>
      </c>
      <c r="AB113" s="3">
        <f t="shared" si="7"/>
        <v>1</v>
      </c>
      <c r="AC113" s="3">
        <f t="shared" si="8"/>
        <v>0</v>
      </c>
      <c r="AD113" s="3">
        <f t="shared" si="9"/>
        <v>3.24</v>
      </c>
      <c r="AE113" s="3">
        <f t="shared" si="10"/>
        <v>-3</v>
      </c>
      <c r="AF113" s="3">
        <f t="shared" si="11"/>
        <v>-2</v>
      </c>
      <c r="AG113" s="3">
        <f t="shared" si="12"/>
        <v>-0.6</v>
      </c>
    </row>
    <row r="114">
      <c r="A114" s="1" t="s">
        <v>12</v>
      </c>
      <c r="B114" s="1" t="s">
        <v>533</v>
      </c>
      <c r="C114" s="1" t="s">
        <v>18</v>
      </c>
      <c r="D114" s="1" t="s">
        <v>83</v>
      </c>
      <c r="E114" s="1" t="s">
        <v>57</v>
      </c>
      <c r="F114" s="1" t="s">
        <v>649</v>
      </c>
      <c r="G114" s="1">
        <v>2.5</v>
      </c>
      <c r="H114" s="1" t="s">
        <v>60</v>
      </c>
      <c r="I114" s="1">
        <v>-106.0</v>
      </c>
      <c r="J114" s="1">
        <v>-0.201208590145631</v>
      </c>
      <c r="K114" s="1" t="s">
        <v>61</v>
      </c>
      <c r="L114" s="1" t="s">
        <v>61</v>
      </c>
      <c r="M114" s="1" t="s">
        <v>62</v>
      </c>
      <c r="N114" s="1">
        <v>-125.0</v>
      </c>
      <c r="O114" s="1">
        <v>0.131082053166666</v>
      </c>
      <c r="P114" s="1" t="s">
        <v>61</v>
      </c>
      <c r="Q114" s="1" t="s">
        <v>61</v>
      </c>
      <c r="R114" s="1">
        <f t="shared" si="1"/>
        <v>0.1310820532</v>
      </c>
      <c r="S114" s="1">
        <f t="shared" si="2"/>
        <v>-125</v>
      </c>
      <c r="T114" s="1">
        <f t="shared" si="3"/>
        <v>1.8</v>
      </c>
      <c r="U114" s="1">
        <f t="shared" si="4"/>
        <v>0</v>
      </c>
      <c r="V114" s="3">
        <f t="shared" si="5"/>
        <v>3</v>
      </c>
      <c r="W114" s="3">
        <f t="shared" si="6"/>
        <v>3</v>
      </c>
      <c r="X114" s="3" t="str">
        <f>IFERROR(__xludf.DUMMYFUNCTION("split(B114,"" "")"),"D.")</f>
        <v>D.</v>
      </c>
      <c r="Y114" s="3" t="str">
        <f>IFERROR(__xludf.DUMMYFUNCTION("""COMPUTED_VALUE"""),"Vele")</f>
        <v>Vele</v>
      </c>
      <c r="AA114" s="8">
        <v>3.0</v>
      </c>
      <c r="AB114" s="3">
        <f t="shared" si="7"/>
        <v>1</v>
      </c>
      <c r="AC114" s="3">
        <f t="shared" si="8"/>
        <v>0</v>
      </c>
      <c r="AD114" s="3">
        <f t="shared" si="9"/>
        <v>2.4</v>
      </c>
      <c r="AE114" s="3">
        <f t="shared" si="10"/>
        <v>-3</v>
      </c>
      <c r="AF114" s="3">
        <f t="shared" si="11"/>
        <v>-3</v>
      </c>
      <c r="AG114" s="3">
        <f t="shared" si="12"/>
        <v>-0.2</v>
      </c>
    </row>
    <row r="115">
      <c r="A115" s="1" t="s">
        <v>8</v>
      </c>
      <c r="B115" s="1" t="s">
        <v>464</v>
      </c>
      <c r="C115" s="1" t="s">
        <v>21</v>
      </c>
      <c r="D115" s="1" t="s">
        <v>83</v>
      </c>
      <c r="E115" s="1" t="s">
        <v>57</v>
      </c>
      <c r="F115" s="1" t="s">
        <v>649</v>
      </c>
      <c r="G115" s="1">
        <v>6.5</v>
      </c>
      <c r="H115" s="1" t="s">
        <v>60</v>
      </c>
      <c r="I115" s="1">
        <v>100.0</v>
      </c>
      <c r="J115" s="1">
        <v>-0.176888940725934</v>
      </c>
      <c r="K115" s="1" t="s">
        <v>61</v>
      </c>
      <c r="L115" s="1" t="s">
        <v>61</v>
      </c>
      <c r="M115" s="1" t="s">
        <v>62</v>
      </c>
      <c r="N115" s="1">
        <v>-135.0</v>
      </c>
      <c r="O115" s="1">
        <v>0.102434102110647</v>
      </c>
      <c r="P115" s="1" t="s">
        <v>61</v>
      </c>
      <c r="Q115" s="1" t="s">
        <v>61</v>
      </c>
      <c r="R115" s="1">
        <f t="shared" si="1"/>
        <v>0.1024341021</v>
      </c>
      <c r="S115" s="1">
        <f t="shared" si="2"/>
        <v>-135</v>
      </c>
      <c r="T115" s="1">
        <f t="shared" si="3"/>
        <v>1.740740741</v>
      </c>
      <c r="U115" s="1">
        <f t="shared" si="4"/>
        <v>0</v>
      </c>
      <c r="V115" s="3">
        <f t="shared" si="5"/>
        <v>3</v>
      </c>
      <c r="W115" s="3">
        <f t="shared" si="6"/>
        <v>3</v>
      </c>
      <c r="X115" s="3" t="str">
        <f>IFERROR(__xludf.DUMMYFUNCTION("split(B115,"" "")"),"B.")</f>
        <v>B.</v>
      </c>
      <c r="Y115" s="3" t="str">
        <f>IFERROR(__xludf.DUMMYFUNCTION("""COMPUTED_VALUE"""),"Nix")</f>
        <v>Nix</v>
      </c>
      <c r="AA115" s="8">
        <v>5.0</v>
      </c>
      <c r="AB115" s="3">
        <f t="shared" si="7"/>
        <v>0</v>
      </c>
      <c r="AC115" s="3">
        <f t="shared" si="8"/>
        <v>1</v>
      </c>
      <c r="AD115" s="3">
        <f t="shared" si="9"/>
        <v>2.222222222</v>
      </c>
      <c r="AE115" s="3">
        <f t="shared" si="10"/>
        <v>2.222222222</v>
      </c>
      <c r="AF115" s="3">
        <f t="shared" si="11"/>
        <v>2.222222222</v>
      </c>
      <c r="AG115" s="3">
        <f t="shared" si="12"/>
        <v>0.2307692308</v>
      </c>
    </row>
    <row r="116">
      <c r="A116" s="1" t="s">
        <v>16</v>
      </c>
      <c r="B116" s="1" t="s">
        <v>464</v>
      </c>
      <c r="C116" s="1" t="s">
        <v>21</v>
      </c>
      <c r="D116" s="1" t="s">
        <v>83</v>
      </c>
      <c r="E116" s="1" t="s">
        <v>57</v>
      </c>
      <c r="F116" s="1" t="s">
        <v>649</v>
      </c>
      <c r="G116" s="1">
        <v>28.5</v>
      </c>
      <c r="H116" s="1" t="s">
        <v>60</v>
      </c>
      <c r="I116" s="1">
        <v>-118.0</v>
      </c>
      <c r="J116" s="1">
        <v>-0.132283667477064</v>
      </c>
      <c r="K116" s="1" t="s">
        <v>61</v>
      </c>
      <c r="L116" s="1" t="s">
        <v>61</v>
      </c>
      <c r="M116" s="1" t="s">
        <v>62</v>
      </c>
      <c r="N116" s="1">
        <v>-112.0</v>
      </c>
      <c r="O116" s="1">
        <v>0.0626972653358491</v>
      </c>
      <c r="P116" s="1" t="s">
        <v>61</v>
      </c>
      <c r="Q116" s="1" t="s">
        <v>61</v>
      </c>
      <c r="R116" s="1">
        <f t="shared" si="1"/>
        <v>0.06269726534</v>
      </c>
      <c r="S116" s="1">
        <f t="shared" si="2"/>
        <v>-112</v>
      </c>
      <c r="T116" s="1">
        <f t="shared" si="3"/>
        <v>1.892857143</v>
      </c>
      <c r="U116" s="1">
        <f t="shared" si="4"/>
        <v>0</v>
      </c>
      <c r="V116" s="3">
        <f t="shared" si="5"/>
        <v>2</v>
      </c>
      <c r="W116" s="3">
        <f t="shared" si="6"/>
        <v>2</v>
      </c>
      <c r="X116" s="3" t="str">
        <f>IFERROR(__xludf.DUMMYFUNCTION("split(B116,"" "")"),"B.")</f>
        <v>B.</v>
      </c>
      <c r="Y116" s="3" t="str">
        <f>IFERROR(__xludf.DUMMYFUNCTION("""COMPUTED_VALUE"""),"Nix")</f>
        <v>Nix</v>
      </c>
      <c r="AA116" s="8">
        <v>37.0</v>
      </c>
      <c r="AB116" s="3">
        <f t="shared" si="7"/>
        <v>1</v>
      </c>
      <c r="AC116" s="3">
        <f t="shared" si="8"/>
        <v>0</v>
      </c>
      <c r="AD116" s="3">
        <f t="shared" si="9"/>
        <v>1.785714286</v>
      </c>
      <c r="AE116" s="3">
        <f t="shared" si="10"/>
        <v>-2</v>
      </c>
      <c r="AF116" s="3">
        <f t="shared" si="11"/>
        <v>-2</v>
      </c>
      <c r="AG116" s="3">
        <f t="shared" si="12"/>
        <v>-0.298245614</v>
      </c>
    </row>
    <row r="117">
      <c r="A117" s="1" t="s">
        <v>9</v>
      </c>
      <c r="B117" s="1" t="s">
        <v>127</v>
      </c>
      <c r="C117" s="1" t="s">
        <v>19</v>
      </c>
      <c r="D117" s="1" t="s">
        <v>83</v>
      </c>
      <c r="E117" s="1" t="s">
        <v>57</v>
      </c>
      <c r="F117" s="1" t="s">
        <v>649</v>
      </c>
      <c r="G117" s="1">
        <v>84.5</v>
      </c>
      <c r="H117" s="1" t="s">
        <v>60</v>
      </c>
      <c r="I117" s="1">
        <v>-117.0</v>
      </c>
      <c r="J117" s="1">
        <v>-0.142801220412361</v>
      </c>
      <c r="K117" s="1" t="s">
        <v>61</v>
      </c>
      <c r="L117" s="1" t="s">
        <v>61</v>
      </c>
      <c r="M117" s="1" t="s">
        <v>62</v>
      </c>
      <c r="N117" s="1">
        <v>-118.0</v>
      </c>
      <c r="O117" s="1">
        <v>0.0623342132971985</v>
      </c>
      <c r="P117" s="1" t="s">
        <v>61</v>
      </c>
      <c r="Q117" s="1" t="s">
        <v>61</v>
      </c>
      <c r="R117" s="1">
        <f t="shared" si="1"/>
        <v>0.0623342133</v>
      </c>
      <c r="S117" s="1">
        <f t="shared" si="2"/>
        <v>-118</v>
      </c>
      <c r="T117" s="1">
        <f t="shared" si="3"/>
        <v>1.847457627</v>
      </c>
      <c r="U117" s="1">
        <f t="shared" si="4"/>
        <v>0</v>
      </c>
      <c r="V117" s="3">
        <f t="shared" si="5"/>
        <v>2</v>
      </c>
      <c r="W117" s="3">
        <f t="shared" si="6"/>
        <v>3</v>
      </c>
      <c r="X117" s="3" t="str">
        <f>IFERROR(__xludf.DUMMYFUNCTION("split(B117,"" "")"),"J.")</f>
        <v>J.</v>
      </c>
      <c r="Y117" s="3" t="str">
        <f>IFERROR(__xludf.DUMMYFUNCTION("""COMPUTED_VALUE"""),"Williams")</f>
        <v>Williams</v>
      </c>
      <c r="AA117" s="8">
        <v>52.0</v>
      </c>
      <c r="AB117" s="3">
        <f t="shared" si="7"/>
        <v>0</v>
      </c>
      <c r="AC117" s="3">
        <f t="shared" si="8"/>
        <v>1</v>
      </c>
      <c r="AD117" s="3">
        <f t="shared" si="9"/>
        <v>1.694915254</v>
      </c>
      <c r="AE117" s="3">
        <f t="shared" si="10"/>
        <v>1.694915254</v>
      </c>
      <c r="AF117" s="3">
        <f t="shared" si="11"/>
        <v>2.542372881</v>
      </c>
      <c r="AG117" s="3">
        <f t="shared" si="12"/>
        <v>0.3846153846</v>
      </c>
    </row>
    <row r="118">
      <c r="A118" s="1" t="s">
        <v>11</v>
      </c>
      <c r="B118" s="1" t="s">
        <v>652</v>
      </c>
      <c r="C118" s="1" t="s">
        <v>18</v>
      </c>
      <c r="D118" s="1" t="s">
        <v>83</v>
      </c>
      <c r="E118" s="1" t="s">
        <v>57</v>
      </c>
      <c r="F118" s="1" t="s">
        <v>649</v>
      </c>
      <c r="G118" s="1">
        <v>28.5</v>
      </c>
      <c r="H118" s="1" t="s">
        <v>60</v>
      </c>
      <c r="I118" s="1">
        <v>-117.0</v>
      </c>
      <c r="J118" s="1">
        <v>-0.125444268713271</v>
      </c>
      <c r="K118" s="1" t="s">
        <v>61</v>
      </c>
      <c r="L118" s="1" t="s">
        <v>61</v>
      </c>
      <c r="M118" s="1" t="s">
        <v>62</v>
      </c>
      <c r="N118" s="1">
        <v>-112.0</v>
      </c>
      <c r="O118" s="1">
        <v>0.0580558823965735</v>
      </c>
      <c r="P118" s="1" t="s">
        <v>61</v>
      </c>
      <c r="Q118" s="1" t="s">
        <v>61</v>
      </c>
      <c r="R118" s="1">
        <f t="shared" si="1"/>
        <v>0.0580558824</v>
      </c>
      <c r="S118" s="1">
        <f t="shared" si="2"/>
        <v>-112</v>
      </c>
      <c r="T118" s="1">
        <f t="shared" si="3"/>
        <v>1.892857143</v>
      </c>
      <c r="U118" s="1">
        <f t="shared" si="4"/>
        <v>0</v>
      </c>
      <c r="V118" s="3">
        <f t="shared" si="5"/>
        <v>2</v>
      </c>
      <c r="W118" s="3">
        <f t="shared" si="6"/>
        <v>2</v>
      </c>
      <c r="X118" s="3" t="str">
        <f>IFERROR(__xludf.DUMMYFUNCTION("split(B118,"" "")"),"T.")</f>
        <v>T.</v>
      </c>
      <c r="Y118" s="3" t="str">
        <f>IFERROR(__xludf.DUMMYFUNCTION("""COMPUTED_VALUE"""),"Franklin")</f>
        <v>Franklin</v>
      </c>
      <c r="AA118" s="8">
        <v>0.0</v>
      </c>
      <c r="AB118" s="3">
        <f t="shared" si="7"/>
        <v>0</v>
      </c>
      <c r="AC118" s="3">
        <f t="shared" si="8"/>
        <v>1</v>
      </c>
      <c r="AD118" s="3">
        <f t="shared" si="9"/>
        <v>1.785714286</v>
      </c>
      <c r="AE118" s="3">
        <f t="shared" si="10"/>
        <v>1.785714286</v>
      </c>
      <c r="AF118" s="3">
        <f t="shared" si="11"/>
        <v>1.785714286</v>
      </c>
      <c r="AG118" s="3">
        <f t="shared" si="12"/>
        <v>1</v>
      </c>
    </row>
    <row r="119">
      <c r="A119" s="1" t="s">
        <v>11</v>
      </c>
      <c r="B119" s="1" t="s">
        <v>533</v>
      </c>
      <c r="C119" s="1" t="s">
        <v>18</v>
      </c>
      <c r="D119" s="1" t="s">
        <v>83</v>
      </c>
      <c r="E119" s="1" t="s">
        <v>57</v>
      </c>
      <c r="F119" s="1" t="s">
        <v>649</v>
      </c>
      <c r="G119" s="1">
        <v>25.5</v>
      </c>
      <c r="H119" s="1" t="s">
        <v>60</v>
      </c>
      <c r="I119" s="1">
        <v>-114.0</v>
      </c>
      <c r="J119" s="1">
        <v>-0.108224918756663</v>
      </c>
      <c r="K119" s="1" t="s">
        <v>61</v>
      </c>
      <c r="L119" s="1" t="s">
        <v>61</v>
      </c>
      <c r="M119" s="1" t="s">
        <v>62</v>
      </c>
      <c r="N119" s="1">
        <v>-115.0</v>
      </c>
      <c r="O119" s="1">
        <v>0.0406619651442552</v>
      </c>
      <c r="P119" s="1" t="s">
        <v>61</v>
      </c>
      <c r="Q119" s="1" t="s">
        <v>61</v>
      </c>
      <c r="R119" s="1">
        <f t="shared" si="1"/>
        <v>0.04066196514</v>
      </c>
      <c r="S119" s="1">
        <f t="shared" si="2"/>
        <v>-115</v>
      </c>
      <c r="T119" s="1">
        <f t="shared" si="3"/>
        <v>1.869565217</v>
      </c>
      <c r="U119" s="1">
        <f t="shared" si="4"/>
        <v>0</v>
      </c>
      <c r="V119" s="3">
        <f t="shared" si="5"/>
        <v>1</v>
      </c>
      <c r="W119" s="3">
        <f t="shared" si="6"/>
        <v>2</v>
      </c>
      <c r="X119" s="3" t="str">
        <f>IFERROR(__xludf.DUMMYFUNCTION("split(B119,"" "")"),"D.")</f>
        <v>D.</v>
      </c>
      <c r="Y119" s="3" t="str">
        <f>IFERROR(__xludf.DUMMYFUNCTION("""COMPUTED_VALUE"""),"Vele")</f>
        <v>Vele</v>
      </c>
      <c r="AA119" s="8">
        <v>28.0</v>
      </c>
      <c r="AB119" s="3">
        <f t="shared" si="7"/>
        <v>1</v>
      </c>
      <c r="AC119" s="3">
        <f t="shared" si="8"/>
        <v>0</v>
      </c>
      <c r="AD119" s="3">
        <f t="shared" si="9"/>
        <v>0.8695652174</v>
      </c>
      <c r="AE119" s="3">
        <f t="shared" si="10"/>
        <v>-1</v>
      </c>
      <c r="AF119" s="3">
        <f t="shared" si="11"/>
        <v>-2</v>
      </c>
      <c r="AG119" s="3">
        <f t="shared" si="12"/>
        <v>-0.09803921569</v>
      </c>
    </row>
    <row r="120">
      <c r="A120" s="1" t="s">
        <v>10</v>
      </c>
      <c r="B120" s="1" t="s">
        <v>127</v>
      </c>
      <c r="C120" s="1" t="s">
        <v>19</v>
      </c>
      <c r="D120" s="1" t="s">
        <v>83</v>
      </c>
      <c r="E120" s="1" t="s">
        <v>57</v>
      </c>
      <c r="F120" s="1" t="s">
        <v>649</v>
      </c>
      <c r="G120" s="1">
        <v>61.5</v>
      </c>
      <c r="H120" s="1" t="s">
        <v>60</v>
      </c>
      <c r="I120" s="1">
        <v>-120.0</v>
      </c>
      <c r="J120" s="1">
        <v>-0.111385670327251</v>
      </c>
      <c r="K120" s="1" t="s">
        <v>61</v>
      </c>
      <c r="L120" s="1" t="s">
        <v>61</v>
      </c>
      <c r="M120" s="1" t="s">
        <v>62</v>
      </c>
      <c r="N120" s="1">
        <v>-112.0</v>
      </c>
      <c r="O120" s="1">
        <v>0.0376496762687117</v>
      </c>
      <c r="P120" s="1" t="s">
        <v>61</v>
      </c>
      <c r="Q120" s="1" t="s">
        <v>61</v>
      </c>
      <c r="R120" s="1">
        <f t="shared" si="1"/>
        <v>0.03764967627</v>
      </c>
      <c r="S120" s="1">
        <f t="shared" si="2"/>
        <v>-112</v>
      </c>
      <c r="T120" s="1">
        <f t="shared" si="3"/>
        <v>1.892857143</v>
      </c>
      <c r="U120" s="1">
        <f t="shared" si="4"/>
        <v>0</v>
      </c>
      <c r="V120" s="3">
        <f t="shared" si="5"/>
        <v>1</v>
      </c>
      <c r="W120" s="3">
        <f t="shared" si="6"/>
        <v>2</v>
      </c>
      <c r="X120" s="3" t="str">
        <f>IFERROR(__xludf.DUMMYFUNCTION("split(B120,"" "")"),"J.")</f>
        <v>J.</v>
      </c>
      <c r="Y120" s="3" t="str">
        <f>IFERROR(__xludf.DUMMYFUNCTION("""COMPUTED_VALUE"""),"Williams")</f>
        <v>Williams</v>
      </c>
      <c r="AA120" s="8">
        <v>44.0</v>
      </c>
      <c r="AB120" s="3">
        <f t="shared" si="7"/>
        <v>0</v>
      </c>
      <c r="AC120" s="3">
        <f t="shared" si="8"/>
        <v>1</v>
      </c>
      <c r="AD120" s="3">
        <f t="shared" si="9"/>
        <v>0.8928571429</v>
      </c>
      <c r="AE120" s="3">
        <f t="shared" si="10"/>
        <v>0.8928571429</v>
      </c>
      <c r="AF120" s="3">
        <f t="shared" si="11"/>
        <v>1.785714286</v>
      </c>
      <c r="AG120" s="3">
        <f t="shared" si="12"/>
        <v>0.2845528455</v>
      </c>
    </row>
    <row r="121">
      <c r="A121" s="1" t="s">
        <v>8</v>
      </c>
      <c r="B121" s="1" t="s">
        <v>127</v>
      </c>
      <c r="C121" s="1" t="s">
        <v>19</v>
      </c>
      <c r="D121" s="1" t="s">
        <v>83</v>
      </c>
      <c r="E121" s="1" t="s">
        <v>57</v>
      </c>
      <c r="F121" s="1" t="s">
        <v>649</v>
      </c>
      <c r="G121" s="1">
        <v>14.5</v>
      </c>
      <c r="H121" s="1" t="s">
        <v>60</v>
      </c>
      <c r="I121" s="1">
        <v>107.0</v>
      </c>
      <c r="J121" s="1">
        <v>-0.103988303799777</v>
      </c>
      <c r="K121" s="1" t="s">
        <v>61</v>
      </c>
      <c r="L121" s="1" t="s">
        <v>61</v>
      </c>
      <c r="M121" s="1" t="s">
        <v>62</v>
      </c>
      <c r="N121" s="1">
        <v>-143.0</v>
      </c>
      <c r="O121" s="1">
        <v>0.0324186677734401</v>
      </c>
      <c r="P121" s="1" t="s">
        <v>61</v>
      </c>
      <c r="Q121" s="1" t="s">
        <v>61</v>
      </c>
      <c r="R121" s="1">
        <f t="shared" si="1"/>
        <v>0.03241866777</v>
      </c>
      <c r="S121" s="1">
        <f t="shared" si="2"/>
        <v>-143</v>
      </c>
      <c r="T121" s="1">
        <f t="shared" si="3"/>
        <v>1.699300699</v>
      </c>
      <c r="U121" s="1">
        <f t="shared" si="4"/>
        <v>0</v>
      </c>
      <c r="V121" s="3">
        <f t="shared" si="5"/>
        <v>1</v>
      </c>
      <c r="W121" s="3">
        <f t="shared" si="6"/>
        <v>3</v>
      </c>
      <c r="X121" s="3" t="str">
        <f>IFERROR(__xludf.DUMMYFUNCTION("split(B121,"" "")"),"J.")</f>
        <v>J.</v>
      </c>
      <c r="Y121" s="3" t="str">
        <f>IFERROR(__xludf.DUMMYFUNCTION("""COMPUTED_VALUE"""),"Williams")</f>
        <v>Williams</v>
      </c>
      <c r="AA121" s="8">
        <v>17.0</v>
      </c>
      <c r="AB121" s="3">
        <f t="shared" si="7"/>
        <v>1</v>
      </c>
      <c r="AC121" s="3">
        <f t="shared" si="8"/>
        <v>0</v>
      </c>
      <c r="AD121" s="3">
        <f t="shared" si="9"/>
        <v>0.6993006993</v>
      </c>
      <c r="AE121" s="3">
        <f t="shared" si="10"/>
        <v>-1</v>
      </c>
      <c r="AF121" s="3">
        <f t="shared" si="11"/>
        <v>-3</v>
      </c>
      <c r="AG121" s="3">
        <f t="shared" si="12"/>
        <v>-0.1724137931</v>
      </c>
    </row>
    <row r="122">
      <c r="A122" s="1" t="s">
        <v>12</v>
      </c>
      <c r="B122" s="1" t="s">
        <v>401</v>
      </c>
      <c r="C122" s="1" t="s">
        <v>18</v>
      </c>
      <c r="D122" s="1" t="s">
        <v>83</v>
      </c>
      <c r="E122" s="1" t="s">
        <v>57</v>
      </c>
      <c r="F122" s="1" t="s">
        <v>649</v>
      </c>
      <c r="G122" s="1">
        <v>3.5</v>
      </c>
      <c r="H122" s="1" t="s">
        <v>60</v>
      </c>
      <c r="I122" s="1">
        <v>-108.0</v>
      </c>
      <c r="J122" s="1">
        <v>-0.0856307692307691</v>
      </c>
      <c r="K122" s="1" t="s">
        <v>61</v>
      </c>
      <c r="L122" s="1" t="s">
        <v>61</v>
      </c>
      <c r="M122" s="1" t="s">
        <v>62</v>
      </c>
      <c r="N122" s="1">
        <v>-121.0</v>
      </c>
      <c r="O122" s="1">
        <v>0.0188886877828053</v>
      </c>
      <c r="P122" s="1" t="s">
        <v>61</v>
      </c>
      <c r="Q122" s="1" t="s">
        <v>61</v>
      </c>
      <c r="R122" s="1">
        <f t="shared" si="1"/>
        <v>0.01888868778</v>
      </c>
      <c r="S122" s="1">
        <f t="shared" si="2"/>
        <v>-121</v>
      </c>
      <c r="T122" s="1">
        <f t="shared" si="3"/>
        <v>1.826446281</v>
      </c>
      <c r="U122" s="1">
        <f t="shared" si="4"/>
        <v>0</v>
      </c>
      <c r="V122" s="3">
        <f t="shared" si="5"/>
        <v>1</v>
      </c>
      <c r="W122" s="3">
        <f t="shared" si="6"/>
        <v>3</v>
      </c>
      <c r="X122" s="3" t="str">
        <f>IFERROR(__xludf.DUMMYFUNCTION("split(B122,"" "")"),"C.")</f>
        <v>C.</v>
      </c>
      <c r="Y122" s="3" t="str">
        <f>IFERROR(__xludf.DUMMYFUNCTION("""COMPUTED_VALUE"""),"Sutton")</f>
        <v>Sutton</v>
      </c>
      <c r="AA122" s="8">
        <v>8.0</v>
      </c>
      <c r="AB122" s="3">
        <f t="shared" si="7"/>
        <v>1</v>
      </c>
      <c r="AC122" s="3">
        <f t="shared" si="8"/>
        <v>0</v>
      </c>
      <c r="AD122" s="3">
        <f t="shared" si="9"/>
        <v>0.826446281</v>
      </c>
      <c r="AE122" s="3">
        <f t="shared" si="10"/>
        <v>-1</v>
      </c>
      <c r="AF122" s="3">
        <f t="shared" si="11"/>
        <v>-3</v>
      </c>
      <c r="AG122" s="3">
        <f t="shared" si="12"/>
        <v>-1.285714286</v>
      </c>
    </row>
    <row r="123">
      <c r="A123" s="1" t="s">
        <v>11</v>
      </c>
      <c r="B123" s="1" t="s">
        <v>401</v>
      </c>
      <c r="C123" s="1" t="s">
        <v>18</v>
      </c>
      <c r="D123" s="1" t="s">
        <v>83</v>
      </c>
      <c r="E123" s="1" t="s">
        <v>57</v>
      </c>
      <c r="F123" s="1" t="s">
        <v>649</v>
      </c>
      <c r="G123" s="1">
        <v>45.5</v>
      </c>
      <c r="H123" s="1" t="s">
        <v>60</v>
      </c>
      <c r="I123" s="1">
        <v>-117.0</v>
      </c>
      <c r="J123" s="1">
        <v>-0.0894115875436405</v>
      </c>
      <c r="K123" s="1" t="s">
        <v>61</v>
      </c>
      <c r="L123" s="1" t="s">
        <v>61</v>
      </c>
      <c r="M123" s="1" t="s">
        <v>62</v>
      </c>
      <c r="N123" s="1">
        <v>-115.0</v>
      </c>
      <c r="O123" s="1">
        <v>0.0153790572972092</v>
      </c>
      <c r="P123" s="1" t="s">
        <v>61</v>
      </c>
      <c r="Q123" s="1" t="s">
        <v>61</v>
      </c>
      <c r="R123" s="1">
        <f t="shared" si="1"/>
        <v>0.0153790573</v>
      </c>
      <c r="S123" s="1">
        <f t="shared" si="2"/>
        <v>-115</v>
      </c>
      <c r="T123" s="1">
        <f t="shared" si="3"/>
        <v>1.869565217</v>
      </c>
      <c r="U123" s="1">
        <f t="shared" si="4"/>
        <v>0</v>
      </c>
      <c r="V123" s="3">
        <f t="shared" si="5"/>
        <v>1</v>
      </c>
      <c r="W123" s="3">
        <f t="shared" si="6"/>
        <v>2</v>
      </c>
      <c r="X123" s="3" t="str">
        <f>IFERROR(__xludf.DUMMYFUNCTION("split(B123,"" "")"),"C.")</f>
        <v>C.</v>
      </c>
      <c r="Y123" s="3" t="str">
        <f>IFERROR(__xludf.DUMMYFUNCTION("""COMPUTED_VALUE"""),"Sutton")</f>
        <v>Sutton</v>
      </c>
      <c r="AA123" s="8">
        <v>100.0</v>
      </c>
      <c r="AB123" s="3">
        <f t="shared" si="7"/>
        <v>1</v>
      </c>
      <c r="AC123" s="3">
        <f t="shared" si="8"/>
        <v>0</v>
      </c>
      <c r="AD123" s="3">
        <f t="shared" si="9"/>
        <v>0.8695652174</v>
      </c>
      <c r="AE123" s="3">
        <f t="shared" si="10"/>
        <v>-1</v>
      </c>
      <c r="AF123" s="3">
        <f t="shared" si="11"/>
        <v>-2</v>
      </c>
      <c r="AG123" s="3">
        <f t="shared" si="12"/>
        <v>-1.197802198</v>
      </c>
    </row>
    <row r="124">
      <c r="A124" s="1" t="s">
        <v>13</v>
      </c>
      <c r="B124" s="1" t="s">
        <v>464</v>
      </c>
      <c r="C124" s="1" t="s">
        <v>21</v>
      </c>
      <c r="D124" s="1" t="s">
        <v>83</v>
      </c>
      <c r="E124" s="1" t="s">
        <v>57</v>
      </c>
      <c r="F124" s="1" t="s">
        <v>649</v>
      </c>
      <c r="G124" s="1">
        <v>206.5</v>
      </c>
      <c r="H124" s="1" t="s">
        <v>60</v>
      </c>
      <c r="I124" s="1">
        <v>-118.0</v>
      </c>
      <c r="J124" s="1">
        <v>-0.0854297282110091</v>
      </c>
      <c r="K124" s="1" t="s">
        <v>61</v>
      </c>
      <c r="L124" s="1" t="s">
        <v>61</v>
      </c>
      <c r="M124" s="1" t="s">
        <v>62</v>
      </c>
      <c r="N124" s="1">
        <v>-115.0</v>
      </c>
      <c r="O124" s="1">
        <v>0.00941857145348823</v>
      </c>
      <c r="P124" s="1" t="s">
        <v>61</v>
      </c>
      <c r="Q124" s="1" t="s">
        <v>61</v>
      </c>
      <c r="R124" s="1">
        <f t="shared" si="1"/>
        <v>0.009418571453</v>
      </c>
      <c r="S124" s="1">
        <f t="shared" si="2"/>
        <v>-115</v>
      </c>
      <c r="T124" s="1">
        <f t="shared" si="3"/>
        <v>1.869565217</v>
      </c>
      <c r="U124" s="1">
        <f t="shared" si="4"/>
        <v>0</v>
      </c>
      <c r="V124" s="3">
        <f t="shared" si="5"/>
        <v>1</v>
      </c>
      <c r="W124" s="3">
        <f t="shared" si="6"/>
        <v>2</v>
      </c>
      <c r="X124" s="3" t="str">
        <f>IFERROR(__xludf.DUMMYFUNCTION("split(B124,"" "")"),"B.")</f>
        <v>B.</v>
      </c>
      <c r="Y124" s="3" t="str">
        <f>IFERROR(__xludf.DUMMYFUNCTION("""COMPUTED_VALUE"""),"Nix")</f>
        <v>Nix</v>
      </c>
      <c r="AA124" s="8">
        <v>284.0</v>
      </c>
      <c r="AB124" s="3">
        <f t="shared" si="7"/>
        <v>1</v>
      </c>
      <c r="AC124" s="3">
        <f t="shared" si="8"/>
        <v>0</v>
      </c>
      <c r="AD124" s="3">
        <f t="shared" si="9"/>
        <v>0.8695652174</v>
      </c>
      <c r="AE124" s="3">
        <f t="shared" si="10"/>
        <v>-1</v>
      </c>
      <c r="AF124" s="3">
        <f t="shared" si="11"/>
        <v>-2</v>
      </c>
      <c r="AG124" s="3">
        <f t="shared" si="12"/>
        <v>-0.3753026634</v>
      </c>
    </row>
    <row r="125">
      <c r="A125" s="1" t="s">
        <v>11</v>
      </c>
      <c r="B125" s="1" t="s">
        <v>127</v>
      </c>
      <c r="C125" s="1" t="s">
        <v>19</v>
      </c>
      <c r="D125" s="1" t="s">
        <v>83</v>
      </c>
      <c r="E125" s="1" t="s">
        <v>57</v>
      </c>
      <c r="F125" s="1" t="s">
        <v>649</v>
      </c>
      <c r="G125" s="1">
        <v>17.5</v>
      </c>
      <c r="H125" s="1" t="s">
        <v>60</v>
      </c>
      <c r="I125" s="1">
        <v>-118.0</v>
      </c>
      <c r="J125" s="1">
        <v>-0.087435047845702</v>
      </c>
      <c r="K125" s="1" t="s">
        <v>61</v>
      </c>
      <c r="L125" s="1" t="s">
        <v>61</v>
      </c>
      <c r="M125" s="1" t="s">
        <v>62</v>
      </c>
      <c r="N125" s="1">
        <v>-116.0</v>
      </c>
      <c r="O125" s="1">
        <v>0.00925884675565325</v>
      </c>
      <c r="P125" s="1" t="s">
        <v>61</v>
      </c>
      <c r="Q125" s="1" t="s">
        <v>61</v>
      </c>
      <c r="R125" s="1">
        <f t="shared" si="1"/>
        <v>0.009258846756</v>
      </c>
      <c r="S125" s="1">
        <f t="shared" si="2"/>
        <v>-116</v>
      </c>
      <c r="T125" s="1">
        <f t="shared" si="3"/>
        <v>1.862068966</v>
      </c>
      <c r="U125" s="1">
        <f t="shared" si="4"/>
        <v>0</v>
      </c>
      <c r="V125" s="3">
        <f t="shared" si="5"/>
        <v>1</v>
      </c>
      <c r="W125" s="3">
        <f t="shared" si="6"/>
        <v>2</v>
      </c>
      <c r="X125" s="3" t="str">
        <f>IFERROR(__xludf.DUMMYFUNCTION("split(B125,"" "")"),"J.")</f>
        <v>J.</v>
      </c>
      <c r="Y125" s="3" t="str">
        <f>IFERROR(__xludf.DUMMYFUNCTION("""COMPUTED_VALUE"""),"Williams")</f>
        <v>Williams</v>
      </c>
      <c r="AA125" s="8">
        <v>8.0</v>
      </c>
      <c r="AB125" s="3">
        <f t="shared" si="7"/>
        <v>0</v>
      </c>
      <c r="AC125" s="3">
        <f t="shared" si="8"/>
        <v>1</v>
      </c>
      <c r="AD125" s="3">
        <f t="shared" si="9"/>
        <v>0.8620689655</v>
      </c>
      <c r="AE125" s="3">
        <f t="shared" si="10"/>
        <v>0.8620689655</v>
      </c>
      <c r="AF125" s="3">
        <f t="shared" si="11"/>
        <v>1.724137931</v>
      </c>
      <c r="AG125" s="3">
        <f t="shared" si="12"/>
        <v>0.5428571429</v>
      </c>
    </row>
    <row r="126">
      <c r="A126" s="1" t="s">
        <v>9</v>
      </c>
      <c r="B126" s="1" t="s">
        <v>533</v>
      </c>
      <c r="C126" s="1" t="s">
        <v>18</v>
      </c>
      <c r="D126" s="1" t="s">
        <v>83</v>
      </c>
      <c r="E126" s="1" t="s">
        <v>57</v>
      </c>
      <c r="F126" s="1" t="s">
        <v>649</v>
      </c>
      <c r="G126" s="1">
        <v>26.5</v>
      </c>
      <c r="H126" s="1" t="s">
        <v>60</v>
      </c>
      <c r="I126" s="1">
        <v>-119.0</v>
      </c>
      <c r="J126" s="1">
        <v>0.0050881397154302</v>
      </c>
      <c r="K126" s="1" t="s">
        <v>61</v>
      </c>
      <c r="L126" s="1" t="s">
        <v>61</v>
      </c>
      <c r="M126" s="1" t="s">
        <v>62</v>
      </c>
      <c r="N126" s="1">
        <v>-116.0</v>
      </c>
      <c r="O126" s="1">
        <v>-0.0854455509875364</v>
      </c>
      <c r="P126" s="1" t="s">
        <v>61</v>
      </c>
      <c r="Q126" s="1" t="s">
        <v>61</v>
      </c>
      <c r="R126" s="1">
        <f t="shared" si="1"/>
        <v>0.005088139715</v>
      </c>
      <c r="S126" s="1">
        <f t="shared" si="2"/>
        <v>-119</v>
      </c>
      <c r="T126" s="1">
        <f t="shared" si="3"/>
        <v>1.840336134</v>
      </c>
      <c r="U126" s="1">
        <f t="shared" si="4"/>
        <v>1</v>
      </c>
      <c r="V126" s="3">
        <f t="shared" si="5"/>
        <v>1</v>
      </c>
      <c r="W126" s="3">
        <f t="shared" si="6"/>
        <v>3</v>
      </c>
      <c r="X126" s="3" t="str">
        <f>IFERROR(__xludf.DUMMYFUNCTION("split(B126,"" "")"),"D.")</f>
        <v>D.</v>
      </c>
      <c r="Y126" s="3" t="str">
        <f>IFERROR(__xludf.DUMMYFUNCTION("""COMPUTED_VALUE"""),"Vele")</f>
        <v>Vele</v>
      </c>
      <c r="AA126" s="8">
        <v>28.0</v>
      </c>
      <c r="AB126" s="3">
        <f t="shared" si="7"/>
        <v>1</v>
      </c>
      <c r="AC126" s="3">
        <f t="shared" si="8"/>
        <v>1</v>
      </c>
      <c r="AD126" s="3">
        <f t="shared" si="9"/>
        <v>0.8403361345</v>
      </c>
      <c r="AE126" s="3">
        <f t="shared" si="10"/>
        <v>0.8403361345</v>
      </c>
      <c r="AF126" s="3">
        <f t="shared" si="11"/>
        <v>2.521008403</v>
      </c>
      <c r="AG126" s="3">
        <f t="shared" si="12"/>
        <v>0.05660377358</v>
      </c>
    </row>
    <row r="127">
      <c r="A127" s="1" t="s">
        <v>15</v>
      </c>
      <c r="B127" s="1" t="s">
        <v>464</v>
      </c>
      <c r="C127" s="1" t="s">
        <v>21</v>
      </c>
      <c r="D127" s="1" t="s">
        <v>83</v>
      </c>
      <c r="E127" s="1" t="s">
        <v>57</v>
      </c>
      <c r="F127" s="1" t="s">
        <v>649</v>
      </c>
      <c r="G127" s="1">
        <v>19.5</v>
      </c>
      <c r="H127" s="1" t="s">
        <v>60</v>
      </c>
      <c r="I127" s="1">
        <v>-101.0</v>
      </c>
      <c r="J127" s="1">
        <v>-0.0681862010447761</v>
      </c>
      <c r="K127" s="1" t="s">
        <v>61</v>
      </c>
      <c r="L127" s="1" t="s">
        <v>61</v>
      </c>
      <c r="M127" s="1" t="s">
        <v>62</v>
      </c>
      <c r="N127" s="1">
        <v>-129.0</v>
      </c>
      <c r="O127" s="1">
        <v>0.00237968152358081</v>
      </c>
      <c r="P127" s="1" t="s">
        <v>61</v>
      </c>
      <c r="Q127" s="1" t="s">
        <v>61</v>
      </c>
      <c r="R127" s="1">
        <f t="shared" si="1"/>
        <v>0.002379681524</v>
      </c>
      <c r="S127" s="1">
        <f t="shared" si="2"/>
        <v>-129</v>
      </c>
      <c r="T127" s="1">
        <f t="shared" si="3"/>
        <v>1.775193798</v>
      </c>
      <c r="U127" s="1">
        <f t="shared" si="4"/>
        <v>0</v>
      </c>
      <c r="V127" s="3">
        <f t="shared" si="5"/>
        <v>1</v>
      </c>
      <c r="W127" s="3">
        <f t="shared" si="6"/>
        <v>3</v>
      </c>
      <c r="X127" s="3" t="str">
        <f>IFERROR(__xludf.DUMMYFUNCTION("split(B127,"" "")"),"B.")</f>
        <v>B.</v>
      </c>
      <c r="Y127" s="3" t="str">
        <f>IFERROR(__xludf.DUMMYFUNCTION("""COMPUTED_VALUE"""),"Nix")</f>
        <v>Nix</v>
      </c>
      <c r="AA127" s="8">
        <v>28.0</v>
      </c>
      <c r="AB127" s="3">
        <f t="shared" si="7"/>
        <v>1</v>
      </c>
      <c r="AC127" s="3">
        <f t="shared" si="8"/>
        <v>0</v>
      </c>
      <c r="AD127" s="3">
        <f t="shared" si="9"/>
        <v>0.7751937984</v>
      </c>
      <c r="AE127" s="3">
        <f t="shared" si="10"/>
        <v>-1</v>
      </c>
      <c r="AF127" s="3">
        <f t="shared" si="11"/>
        <v>-3</v>
      </c>
      <c r="AG127" s="3">
        <f t="shared" si="12"/>
        <v>-0.4358974359</v>
      </c>
    </row>
    <row r="128">
      <c r="A128" s="1" t="s">
        <v>10</v>
      </c>
      <c r="B128" s="1" t="s">
        <v>385</v>
      </c>
      <c r="C128" s="1" t="s">
        <v>18</v>
      </c>
      <c r="D128" s="1" t="s">
        <v>197</v>
      </c>
      <c r="E128" s="1" t="s">
        <v>100</v>
      </c>
      <c r="F128" s="1" t="s">
        <v>647</v>
      </c>
      <c r="G128" s="1">
        <v>0.5</v>
      </c>
      <c r="H128" s="1" t="s">
        <v>60</v>
      </c>
      <c r="I128" s="1">
        <v>413.0</v>
      </c>
      <c r="J128" s="1">
        <v>0.423637646077183</v>
      </c>
      <c r="K128" s="1" t="s">
        <v>61</v>
      </c>
      <c r="L128" s="1" t="s">
        <v>61</v>
      </c>
      <c r="M128" s="1" t="s">
        <v>62</v>
      </c>
      <c r="N128" s="1">
        <v>-668.0</v>
      </c>
      <c r="O128" s="1">
        <v>-0.488286272662913</v>
      </c>
      <c r="P128" s="1" t="s">
        <v>61</v>
      </c>
      <c r="Q128" s="1" t="s">
        <v>61</v>
      </c>
      <c r="R128" s="1">
        <f t="shared" si="1"/>
        <v>0.4236376461</v>
      </c>
      <c r="S128" s="1">
        <f t="shared" si="2"/>
        <v>413</v>
      </c>
      <c r="T128" s="1">
        <f t="shared" si="3"/>
        <v>5.13</v>
      </c>
      <c r="U128" s="1">
        <f t="shared" si="4"/>
        <v>1</v>
      </c>
      <c r="V128" s="3">
        <f t="shared" si="5"/>
        <v>3</v>
      </c>
      <c r="W128" s="3">
        <f t="shared" si="6"/>
        <v>1</v>
      </c>
      <c r="X128" s="3" t="str">
        <f>IFERROR(__xludf.DUMMYFUNCTION("split(B128,"" "")"),"A.")</f>
        <v>A.</v>
      </c>
      <c r="Y128" s="3" t="str">
        <f>IFERROR(__xludf.DUMMYFUNCTION("""COMPUTED_VALUE"""),"St.")</f>
        <v>St.</v>
      </c>
      <c r="Z128" s="3" t="str">
        <f>IFERROR(__xludf.DUMMYFUNCTION("""COMPUTED_VALUE"""),"Brown")</f>
        <v>Brown</v>
      </c>
      <c r="AA128" s="8">
        <v>0.0</v>
      </c>
      <c r="AB128" s="3">
        <f t="shared" si="7"/>
        <v>0</v>
      </c>
      <c r="AC128" s="3">
        <f t="shared" si="8"/>
        <v>0</v>
      </c>
      <c r="AD128" s="3">
        <f t="shared" si="9"/>
        <v>12.39</v>
      </c>
      <c r="AE128" s="3">
        <f t="shared" si="10"/>
        <v>0</v>
      </c>
      <c r="AF128" s="3">
        <f t="shared" si="11"/>
        <v>-1</v>
      </c>
      <c r="AG128" s="3">
        <f t="shared" si="12"/>
        <v>-1</v>
      </c>
    </row>
    <row r="129">
      <c r="A129" s="1" t="s">
        <v>12</v>
      </c>
      <c r="B129" s="1" t="s">
        <v>385</v>
      </c>
      <c r="C129" s="1" t="s">
        <v>18</v>
      </c>
      <c r="D129" s="1" t="s">
        <v>197</v>
      </c>
      <c r="E129" s="1" t="s">
        <v>100</v>
      </c>
      <c r="F129" s="1" t="s">
        <v>647</v>
      </c>
      <c r="G129" s="1">
        <v>6.5</v>
      </c>
      <c r="H129" s="1" t="s">
        <v>60</v>
      </c>
      <c r="I129" s="1">
        <v>109.0</v>
      </c>
      <c r="J129" s="1">
        <v>0.18267894736842</v>
      </c>
      <c r="K129" s="1" t="s">
        <v>61</v>
      </c>
      <c r="L129" s="1" t="s">
        <v>61</v>
      </c>
      <c r="M129" s="1" t="s">
        <v>62</v>
      </c>
      <c r="N129" s="1">
        <v>-145.0</v>
      </c>
      <c r="O129" s="1">
        <v>-0.252977551020408</v>
      </c>
      <c r="P129" s="1" t="s">
        <v>61</v>
      </c>
      <c r="Q129" s="1" t="s">
        <v>61</v>
      </c>
      <c r="R129" s="1">
        <f t="shared" si="1"/>
        <v>0.1826789474</v>
      </c>
      <c r="S129" s="1">
        <f t="shared" si="2"/>
        <v>109</v>
      </c>
      <c r="T129" s="1">
        <f t="shared" si="3"/>
        <v>2.09</v>
      </c>
      <c r="U129" s="1">
        <f t="shared" si="4"/>
        <v>1</v>
      </c>
      <c r="V129" s="3">
        <f t="shared" si="5"/>
        <v>3</v>
      </c>
      <c r="W129" s="3">
        <f t="shared" si="6"/>
        <v>2</v>
      </c>
      <c r="X129" s="3" t="str">
        <f>IFERROR(__xludf.DUMMYFUNCTION("split(B129,"" "")"),"A.")</f>
        <v>A.</v>
      </c>
      <c r="Y129" s="3" t="str">
        <f>IFERROR(__xludf.DUMMYFUNCTION("""COMPUTED_VALUE"""),"St.")</f>
        <v>St.</v>
      </c>
      <c r="Z129" s="3" t="str">
        <f>IFERROR(__xludf.DUMMYFUNCTION("""COMPUTED_VALUE"""),"Brown")</f>
        <v>Brown</v>
      </c>
      <c r="AA129" s="8">
        <v>2.0</v>
      </c>
      <c r="AB129" s="3">
        <f t="shared" si="7"/>
        <v>0</v>
      </c>
      <c r="AC129" s="3">
        <f t="shared" si="8"/>
        <v>0</v>
      </c>
      <c r="AD129" s="3">
        <f t="shared" si="9"/>
        <v>3.27</v>
      </c>
      <c r="AE129" s="3">
        <f t="shared" si="10"/>
        <v>-3</v>
      </c>
      <c r="AF129" s="3">
        <f t="shared" si="11"/>
        <v>-2</v>
      </c>
      <c r="AG129" s="3">
        <f t="shared" si="12"/>
        <v>-0.6923076923</v>
      </c>
    </row>
    <row r="130">
      <c r="A130" s="1" t="s">
        <v>14</v>
      </c>
      <c r="B130" s="1" t="s">
        <v>241</v>
      </c>
      <c r="C130" s="1" t="s">
        <v>21</v>
      </c>
      <c r="D130" s="1" t="s">
        <v>197</v>
      </c>
      <c r="E130" s="1" t="s">
        <v>100</v>
      </c>
      <c r="F130" s="1" t="s">
        <v>647</v>
      </c>
      <c r="G130" s="1">
        <v>1.5</v>
      </c>
      <c r="H130" s="1" t="s">
        <v>60</v>
      </c>
      <c r="I130" s="1">
        <v>-130.0</v>
      </c>
      <c r="J130" s="1">
        <v>-0.138917391304347</v>
      </c>
      <c r="K130" s="1" t="s">
        <v>61</v>
      </c>
      <c r="L130" s="1" t="s">
        <v>61</v>
      </c>
      <c r="M130" s="1" t="s">
        <v>62</v>
      </c>
      <c r="N130" s="1">
        <v>-101.0</v>
      </c>
      <c r="O130" s="1">
        <v>0.0712124378109453</v>
      </c>
      <c r="P130" s="1" t="s">
        <v>61</v>
      </c>
      <c r="Q130" s="1" t="s">
        <v>61</v>
      </c>
      <c r="R130" s="1">
        <f t="shared" si="1"/>
        <v>0.07121243781</v>
      </c>
      <c r="S130" s="1">
        <f t="shared" si="2"/>
        <v>-101</v>
      </c>
      <c r="T130" s="1">
        <f t="shared" si="3"/>
        <v>1.99009901</v>
      </c>
      <c r="U130" s="1">
        <f t="shared" si="4"/>
        <v>0</v>
      </c>
      <c r="V130" s="3">
        <f t="shared" si="5"/>
        <v>2</v>
      </c>
      <c r="W130" s="3">
        <f t="shared" si="6"/>
        <v>2</v>
      </c>
      <c r="X130" s="3" t="str">
        <f>IFERROR(__xludf.DUMMYFUNCTION("split(B130,"" "")"),"J.")</f>
        <v>J.</v>
      </c>
      <c r="Y130" s="3" t="str">
        <f>IFERROR(__xludf.DUMMYFUNCTION("""COMPUTED_VALUE"""),"Goff")</f>
        <v>Goff</v>
      </c>
      <c r="AA130" s="8">
        <v>3.0</v>
      </c>
      <c r="AB130" s="3">
        <f t="shared" si="7"/>
        <v>1</v>
      </c>
      <c r="AC130" s="3">
        <f t="shared" si="8"/>
        <v>0</v>
      </c>
      <c r="AD130" s="3">
        <f t="shared" si="9"/>
        <v>1.98019802</v>
      </c>
      <c r="AE130" s="3">
        <f t="shared" si="10"/>
        <v>-2</v>
      </c>
      <c r="AF130" s="3">
        <f t="shared" si="11"/>
        <v>-2</v>
      </c>
      <c r="AG130" s="3">
        <f t="shared" si="12"/>
        <v>-1</v>
      </c>
    </row>
    <row r="131">
      <c r="A131" s="1" t="s">
        <v>15</v>
      </c>
      <c r="B131" s="1" t="s">
        <v>241</v>
      </c>
      <c r="C131" s="1" t="s">
        <v>21</v>
      </c>
      <c r="D131" s="1" t="s">
        <v>197</v>
      </c>
      <c r="E131" s="1" t="s">
        <v>100</v>
      </c>
      <c r="F131" s="1" t="s">
        <v>647</v>
      </c>
      <c r="G131" s="1">
        <v>21.5</v>
      </c>
      <c r="H131" s="1" t="s">
        <v>60</v>
      </c>
      <c r="I131" s="1">
        <v>-107.0</v>
      </c>
      <c r="J131" s="1">
        <v>0.0561951690821256</v>
      </c>
      <c r="K131" s="1" t="s">
        <v>61</v>
      </c>
      <c r="L131" s="1" t="s">
        <v>61</v>
      </c>
      <c r="M131" s="1" t="s">
        <v>62</v>
      </c>
      <c r="N131" s="1">
        <v>-122.0</v>
      </c>
      <c r="O131" s="1">
        <v>-0.122639639639639</v>
      </c>
      <c r="P131" s="1" t="s">
        <v>61</v>
      </c>
      <c r="Q131" s="1" t="s">
        <v>61</v>
      </c>
      <c r="R131" s="1">
        <f t="shared" si="1"/>
        <v>0.05619516908</v>
      </c>
      <c r="S131" s="1">
        <f t="shared" si="2"/>
        <v>-107</v>
      </c>
      <c r="T131" s="1">
        <f t="shared" si="3"/>
        <v>1.934579439</v>
      </c>
      <c r="U131" s="1">
        <f t="shared" si="4"/>
        <v>1</v>
      </c>
      <c r="V131" s="3">
        <f t="shared" si="5"/>
        <v>2</v>
      </c>
      <c r="W131" s="3">
        <f t="shared" si="6"/>
        <v>2</v>
      </c>
      <c r="X131" s="3" t="str">
        <f>IFERROR(__xludf.DUMMYFUNCTION("split(B131,"" "")"),"J.")</f>
        <v>J.</v>
      </c>
      <c r="Y131" s="3" t="str">
        <f>IFERROR(__xludf.DUMMYFUNCTION("""COMPUTED_VALUE"""),"Goff")</f>
        <v>Goff</v>
      </c>
      <c r="AA131" s="8">
        <v>12.0</v>
      </c>
      <c r="AB131" s="3">
        <f t="shared" si="7"/>
        <v>0</v>
      </c>
      <c r="AC131" s="3">
        <f t="shared" si="8"/>
        <v>0</v>
      </c>
      <c r="AD131" s="3">
        <f t="shared" si="9"/>
        <v>1.869158879</v>
      </c>
      <c r="AE131" s="3">
        <f t="shared" si="10"/>
        <v>-2</v>
      </c>
      <c r="AF131" s="3">
        <f t="shared" si="11"/>
        <v>-2</v>
      </c>
      <c r="AG131" s="3">
        <f t="shared" si="12"/>
        <v>-0.4418604651</v>
      </c>
    </row>
    <row r="132">
      <c r="A132" s="1" t="s">
        <v>17</v>
      </c>
      <c r="B132" s="1" t="s">
        <v>241</v>
      </c>
      <c r="C132" s="1" t="s">
        <v>21</v>
      </c>
      <c r="D132" s="1" t="s">
        <v>197</v>
      </c>
      <c r="E132" s="1" t="s">
        <v>100</v>
      </c>
      <c r="F132" s="1" t="s">
        <v>647</v>
      </c>
      <c r="G132" s="1">
        <v>0.5</v>
      </c>
      <c r="H132" s="1" t="s">
        <v>60</v>
      </c>
      <c r="I132" s="1">
        <v>148.0</v>
      </c>
      <c r="J132" s="1">
        <v>0.039674193548387</v>
      </c>
      <c r="K132" s="1" t="s">
        <v>61</v>
      </c>
      <c r="L132" s="1" t="s">
        <v>61</v>
      </c>
      <c r="M132" s="1" t="s">
        <v>62</v>
      </c>
      <c r="N132" s="1">
        <v>-195.0</v>
      </c>
      <c r="O132" s="1">
        <v>-0.103916949152542</v>
      </c>
      <c r="P132" s="1" t="s">
        <v>61</v>
      </c>
      <c r="Q132" s="1" t="s">
        <v>61</v>
      </c>
      <c r="R132" s="1">
        <f t="shared" si="1"/>
        <v>0.03967419355</v>
      </c>
      <c r="S132" s="1">
        <f t="shared" si="2"/>
        <v>148</v>
      </c>
      <c r="T132" s="1">
        <f t="shared" si="3"/>
        <v>2.48</v>
      </c>
      <c r="U132" s="1">
        <f t="shared" si="4"/>
        <v>1</v>
      </c>
      <c r="V132" s="3">
        <f t="shared" si="5"/>
        <v>1</v>
      </c>
      <c r="W132" s="3">
        <f t="shared" si="6"/>
        <v>1</v>
      </c>
      <c r="X132" s="3" t="str">
        <f>IFERROR(__xludf.DUMMYFUNCTION("split(B132,"" "")"),"J.")</f>
        <v>J.</v>
      </c>
      <c r="Y132" s="3" t="str">
        <f>IFERROR(__xludf.DUMMYFUNCTION("""COMPUTED_VALUE"""),"Goff")</f>
        <v>Goff</v>
      </c>
      <c r="AA132" s="8">
        <v>0.0</v>
      </c>
      <c r="AB132" s="3">
        <f t="shared" si="7"/>
        <v>0</v>
      </c>
      <c r="AC132" s="3">
        <f t="shared" si="8"/>
        <v>0</v>
      </c>
      <c r="AD132" s="3">
        <f t="shared" si="9"/>
        <v>1.48</v>
      </c>
      <c r="AE132" s="3">
        <f t="shared" si="10"/>
        <v>-1</v>
      </c>
      <c r="AF132" s="3">
        <f t="shared" si="11"/>
        <v>-1</v>
      </c>
      <c r="AG132" s="3">
        <f t="shared" si="12"/>
        <v>-1</v>
      </c>
    </row>
    <row r="133">
      <c r="A133" s="1" t="s">
        <v>10</v>
      </c>
      <c r="B133" s="1" t="s">
        <v>393</v>
      </c>
      <c r="C133" s="1" t="s">
        <v>19</v>
      </c>
      <c r="D133" s="1" t="s">
        <v>197</v>
      </c>
      <c r="E133" s="1" t="s">
        <v>100</v>
      </c>
      <c r="F133" s="1" t="s">
        <v>647</v>
      </c>
      <c r="G133" s="1">
        <v>63.5</v>
      </c>
      <c r="H133" s="1" t="s">
        <v>60</v>
      </c>
      <c r="I133" s="1">
        <v>-114.0</v>
      </c>
      <c r="J133" s="1">
        <v>-0.0963262594995106</v>
      </c>
      <c r="K133" s="1" t="s">
        <v>61</v>
      </c>
      <c r="L133" s="1" t="s">
        <v>61</v>
      </c>
      <c r="M133" s="1" t="s">
        <v>62</v>
      </c>
      <c r="N133" s="1">
        <v>-115.0</v>
      </c>
      <c r="O133" s="1">
        <v>0.0287919580047785</v>
      </c>
      <c r="P133" s="1" t="s">
        <v>61</v>
      </c>
      <c r="Q133" s="1" t="s">
        <v>61</v>
      </c>
      <c r="R133" s="1">
        <f t="shared" si="1"/>
        <v>0.028791958</v>
      </c>
      <c r="S133" s="1">
        <f t="shared" si="2"/>
        <v>-115</v>
      </c>
      <c r="T133" s="1">
        <f t="shared" si="3"/>
        <v>1.869565217</v>
      </c>
      <c r="U133" s="1">
        <f t="shared" si="4"/>
        <v>0</v>
      </c>
      <c r="V133" s="3">
        <f t="shared" si="5"/>
        <v>1</v>
      </c>
      <c r="W133" s="3">
        <f t="shared" si="6"/>
        <v>2</v>
      </c>
      <c r="X133" s="3" t="str">
        <f>IFERROR(__xludf.DUMMYFUNCTION("split(B133,"" "")"),"J.")</f>
        <v>J.</v>
      </c>
      <c r="Y133" s="3" t="str">
        <f>IFERROR(__xludf.DUMMYFUNCTION("""COMPUTED_VALUE"""),"Gibbs")</f>
        <v>Gibbs</v>
      </c>
      <c r="AA133" s="8">
        <v>127.0</v>
      </c>
      <c r="AB133" s="3">
        <f t="shared" si="7"/>
        <v>1</v>
      </c>
      <c r="AC133" s="3">
        <f t="shared" si="8"/>
        <v>0</v>
      </c>
      <c r="AD133" s="3">
        <f t="shared" si="9"/>
        <v>0.8695652174</v>
      </c>
      <c r="AE133" s="3">
        <f t="shared" si="10"/>
        <v>-1</v>
      </c>
      <c r="AF133" s="3">
        <f t="shared" si="11"/>
        <v>-2</v>
      </c>
      <c r="AG133" s="3">
        <f t="shared" si="12"/>
        <v>-1</v>
      </c>
    </row>
    <row r="134">
      <c r="A134" s="1" t="s">
        <v>9</v>
      </c>
      <c r="B134" s="1" t="s">
        <v>385</v>
      </c>
      <c r="C134" s="1" t="s">
        <v>18</v>
      </c>
      <c r="D134" s="1" t="s">
        <v>197</v>
      </c>
      <c r="E134" s="1" t="s">
        <v>100</v>
      </c>
      <c r="F134" s="1" t="s">
        <v>647</v>
      </c>
      <c r="G134" s="1">
        <v>74.5</v>
      </c>
      <c r="H134" s="1" t="s">
        <v>60</v>
      </c>
      <c r="I134" s="1">
        <v>-115.0</v>
      </c>
      <c r="J134" s="1">
        <v>-0.0916026082493348</v>
      </c>
      <c r="K134" s="1" t="s">
        <v>61</v>
      </c>
      <c r="L134" s="1" t="s">
        <v>61</v>
      </c>
      <c r="M134" s="1" t="s">
        <v>62</v>
      </c>
      <c r="N134" s="1">
        <v>-117.0</v>
      </c>
      <c r="O134" s="1">
        <v>0.0175673092401851</v>
      </c>
      <c r="P134" s="1" t="s">
        <v>61</v>
      </c>
      <c r="Q134" s="1" t="s">
        <v>61</v>
      </c>
      <c r="R134" s="1">
        <f t="shared" si="1"/>
        <v>0.01756730924</v>
      </c>
      <c r="S134" s="1">
        <f t="shared" si="2"/>
        <v>-117</v>
      </c>
      <c r="T134" s="1">
        <f t="shared" si="3"/>
        <v>1.854700855</v>
      </c>
      <c r="U134" s="1">
        <f t="shared" si="4"/>
        <v>0</v>
      </c>
      <c r="V134" s="3">
        <f t="shared" si="5"/>
        <v>1</v>
      </c>
      <c r="W134" s="3">
        <f t="shared" si="6"/>
        <v>2</v>
      </c>
      <c r="X134" s="3" t="str">
        <f>IFERROR(__xludf.DUMMYFUNCTION("split(B134,"" "")"),"A.")</f>
        <v>A.</v>
      </c>
      <c r="Y134" s="3" t="str">
        <f>IFERROR(__xludf.DUMMYFUNCTION("""COMPUTED_VALUE"""),"St.")</f>
        <v>St.</v>
      </c>
      <c r="Z134" s="3" t="str">
        <f>IFERROR(__xludf.DUMMYFUNCTION("""COMPUTED_VALUE"""),"Brown")</f>
        <v>Brown</v>
      </c>
      <c r="AA134" s="8">
        <v>7.0</v>
      </c>
      <c r="AB134" s="3">
        <f t="shared" si="7"/>
        <v>0</v>
      </c>
      <c r="AC134" s="3">
        <f t="shared" si="8"/>
        <v>1</v>
      </c>
      <c r="AD134" s="3">
        <f t="shared" si="9"/>
        <v>0.8547008547</v>
      </c>
      <c r="AE134" s="3">
        <f t="shared" si="10"/>
        <v>0.8547008547</v>
      </c>
      <c r="AF134" s="3">
        <f t="shared" si="11"/>
        <v>1.709401709</v>
      </c>
      <c r="AG134" s="3">
        <f t="shared" si="12"/>
        <v>0.9060402685</v>
      </c>
    </row>
    <row r="135">
      <c r="A135" s="1" t="s">
        <v>11</v>
      </c>
      <c r="B135" s="1" t="s">
        <v>498</v>
      </c>
      <c r="C135" s="1" t="s">
        <v>20</v>
      </c>
      <c r="D135" s="1" t="s">
        <v>197</v>
      </c>
      <c r="E135" s="1" t="s">
        <v>100</v>
      </c>
      <c r="F135" s="1" t="s">
        <v>647</v>
      </c>
      <c r="G135" s="1">
        <v>34.5</v>
      </c>
      <c r="H135" s="1" t="s">
        <v>60</v>
      </c>
      <c r="I135" s="1">
        <v>-116.0</v>
      </c>
      <c r="J135" s="1">
        <v>-0.0696183616009261</v>
      </c>
      <c r="K135" s="1" t="s">
        <v>61</v>
      </c>
      <c r="L135" s="1" t="s">
        <v>61</v>
      </c>
      <c r="M135" s="1" t="s">
        <v>62</v>
      </c>
      <c r="N135" s="1">
        <v>-113.0</v>
      </c>
      <c r="O135" s="1">
        <v>0.00207571057492028</v>
      </c>
      <c r="P135" s="1" t="s">
        <v>61</v>
      </c>
      <c r="Q135" s="1" t="s">
        <v>61</v>
      </c>
      <c r="R135" s="1">
        <f t="shared" si="1"/>
        <v>0.002075710575</v>
      </c>
      <c r="S135" s="1">
        <f t="shared" si="2"/>
        <v>-113</v>
      </c>
      <c r="T135" s="1">
        <f t="shared" si="3"/>
        <v>1.884955752</v>
      </c>
      <c r="U135" s="1">
        <f t="shared" si="4"/>
        <v>0</v>
      </c>
      <c r="V135" s="3">
        <f t="shared" si="5"/>
        <v>1</v>
      </c>
      <c r="W135" s="3">
        <f t="shared" si="6"/>
        <v>2</v>
      </c>
      <c r="X135" s="3" t="str">
        <f>IFERROR(__xludf.DUMMYFUNCTION("split(B135,"" "")"),"S.")</f>
        <v>S.</v>
      </c>
      <c r="Y135" s="3" t="str">
        <f>IFERROR(__xludf.DUMMYFUNCTION("""COMPUTED_VALUE"""),"LaPorta")</f>
        <v>LaPorta</v>
      </c>
      <c r="AA135" s="8">
        <v>48.0</v>
      </c>
      <c r="AB135" s="3">
        <f t="shared" si="7"/>
        <v>1</v>
      </c>
      <c r="AC135" s="3">
        <f t="shared" si="8"/>
        <v>0</v>
      </c>
      <c r="AD135" s="3">
        <f t="shared" si="9"/>
        <v>0.8849557522</v>
      </c>
      <c r="AE135" s="3">
        <f t="shared" si="10"/>
        <v>-1</v>
      </c>
      <c r="AF135" s="3">
        <f t="shared" si="11"/>
        <v>-2</v>
      </c>
      <c r="AG135" s="3">
        <f t="shared" si="12"/>
        <v>-0.3913043478</v>
      </c>
    </row>
    <row r="136">
      <c r="A136" s="1" t="s">
        <v>12</v>
      </c>
      <c r="B136" s="1" t="s">
        <v>482</v>
      </c>
      <c r="C136" s="1" t="s">
        <v>18</v>
      </c>
      <c r="D136" s="1" t="s">
        <v>157</v>
      </c>
      <c r="E136" s="1" t="s">
        <v>93</v>
      </c>
      <c r="F136" s="1" t="s">
        <v>647</v>
      </c>
      <c r="G136" s="1">
        <v>3.5</v>
      </c>
      <c r="H136" s="1" t="s">
        <v>60</v>
      </c>
      <c r="I136" s="1">
        <v>-158.0</v>
      </c>
      <c r="J136" s="1">
        <v>-0.250403100775193</v>
      </c>
      <c r="K136" s="1" t="s">
        <v>61</v>
      </c>
      <c r="L136" s="1" t="s">
        <v>61</v>
      </c>
      <c r="M136" s="1" t="s">
        <v>62</v>
      </c>
      <c r="N136" s="1">
        <v>120.0</v>
      </c>
      <c r="O136" s="1">
        <v>0.183454545454545</v>
      </c>
      <c r="P136" s="1" t="s">
        <v>61</v>
      </c>
      <c r="Q136" s="1" t="s">
        <v>61</v>
      </c>
      <c r="R136" s="1">
        <f t="shared" si="1"/>
        <v>0.1834545455</v>
      </c>
      <c r="S136" s="1">
        <f t="shared" si="2"/>
        <v>120</v>
      </c>
      <c r="T136" s="1">
        <f t="shared" si="3"/>
        <v>2.2</v>
      </c>
      <c r="U136" s="1">
        <f t="shared" si="4"/>
        <v>0</v>
      </c>
      <c r="V136" s="3">
        <f t="shared" si="5"/>
        <v>3</v>
      </c>
      <c r="W136" s="3">
        <f t="shared" si="6"/>
        <v>1</v>
      </c>
      <c r="X136" s="3" t="str">
        <f>IFERROR(__xludf.DUMMYFUNCTION("split(B136,"" "")"),"R.")</f>
        <v>R.</v>
      </c>
      <c r="Y136" s="3" t="str">
        <f>IFERROR(__xludf.DUMMYFUNCTION("""COMPUTED_VALUE"""),"Doubs")</f>
        <v>Doubs</v>
      </c>
      <c r="AA136" s="8">
        <v>3.0</v>
      </c>
      <c r="AB136" s="3">
        <f t="shared" si="7"/>
        <v>0</v>
      </c>
      <c r="AC136" s="3">
        <f t="shared" si="8"/>
        <v>1</v>
      </c>
      <c r="AD136" s="3">
        <f t="shared" si="9"/>
        <v>3.6</v>
      </c>
      <c r="AE136" s="3">
        <f t="shared" si="10"/>
        <v>3.6</v>
      </c>
      <c r="AF136" s="3">
        <f t="shared" si="11"/>
        <v>1.2</v>
      </c>
      <c r="AG136" s="3">
        <f t="shared" si="12"/>
        <v>0.1428571429</v>
      </c>
    </row>
    <row r="137">
      <c r="A137" s="1" t="s">
        <v>14</v>
      </c>
      <c r="B137" s="1" t="s">
        <v>297</v>
      </c>
      <c r="C137" s="1" t="s">
        <v>21</v>
      </c>
      <c r="D137" s="1" t="s">
        <v>157</v>
      </c>
      <c r="E137" s="1" t="s">
        <v>93</v>
      </c>
      <c r="F137" s="1" t="s">
        <v>647</v>
      </c>
      <c r="G137" s="1">
        <v>2.5</v>
      </c>
      <c r="H137" s="1" t="s">
        <v>60</v>
      </c>
      <c r="I137" s="1">
        <v>172.0</v>
      </c>
      <c r="J137" s="1">
        <v>0.183116176470588</v>
      </c>
      <c r="K137" s="1" t="s">
        <v>61</v>
      </c>
      <c r="L137" s="1" t="s">
        <v>61</v>
      </c>
      <c r="M137" s="1" t="s">
        <v>62</v>
      </c>
      <c r="N137" s="1">
        <v>-226.0</v>
      </c>
      <c r="O137" s="1">
        <v>-0.244020858895705</v>
      </c>
      <c r="P137" s="1" t="s">
        <v>61</v>
      </c>
      <c r="Q137" s="1" t="s">
        <v>61</v>
      </c>
      <c r="R137" s="1">
        <f t="shared" si="1"/>
        <v>0.1831161765</v>
      </c>
      <c r="S137" s="1">
        <f t="shared" si="2"/>
        <v>172</v>
      </c>
      <c r="T137" s="1">
        <f t="shared" si="3"/>
        <v>2.72</v>
      </c>
      <c r="U137" s="1">
        <f t="shared" si="4"/>
        <v>1</v>
      </c>
      <c r="V137" s="3">
        <f t="shared" si="5"/>
        <v>3</v>
      </c>
      <c r="W137" s="3">
        <f t="shared" si="6"/>
        <v>1</v>
      </c>
      <c r="X137" s="3" t="str">
        <f>IFERROR(__xludf.DUMMYFUNCTION("split(B137,"" "")"),"J.")</f>
        <v>J.</v>
      </c>
      <c r="Y137" s="3" t="str">
        <f>IFERROR(__xludf.DUMMYFUNCTION("""COMPUTED_VALUE"""),"Love")</f>
        <v>Love</v>
      </c>
      <c r="AA137" s="8">
        <v>0.0</v>
      </c>
      <c r="AB137" s="3">
        <f t="shared" si="7"/>
        <v>0</v>
      </c>
      <c r="AC137" s="3">
        <f t="shared" si="8"/>
        <v>0</v>
      </c>
      <c r="AD137" s="3">
        <f t="shared" si="9"/>
        <v>5.16</v>
      </c>
      <c r="AE137" s="3">
        <f t="shared" si="10"/>
        <v>-3</v>
      </c>
      <c r="AF137" s="3">
        <f t="shared" si="11"/>
        <v>-1</v>
      </c>
      <c r="AG137" s="3">
        <f t="shared" si="12"/>
        <v>-1</v>
      </c>
    </row>
    <row r="138">
      <c r="A138" s="1" t="s">
        <v>8</v>
      </c>
      <c r="B138" s="1" t="s">
        <v>297</v>
      </c>
      <c r="C138" s="1" t="s">
        <v>21</v>
      </c>
      <c r="D138" s="1" t="s">
        <v>157</v>
      </c>
      <c r="E138" s="1" t="s">
        <v>93</v>
      </c>
      <c r="F138" s="1" t="s">
        <v>647</v>
      </c>
      <c r="G138" s="1">
        <v>2.5</v>
      </c>
      <c r="H138" s="1" t="s">
        <v>60</v>
      </c>
      <c r="I138" s="1">
        <v>-138.0</v>
      </c>
      <c r="J138" s="1">
        <v>-0.216866343446323</v>
      </c>
      <c r="K138" s="1" t="s">
        <v>61</v>
      </c>
      <c r="L138" s="1" t="s">
        <v>61</v>
      </c>
      <c r="M138" s="1" t="s">
        <v>62</v>
      </c>
      <c r="N138" s="1">
        <v>105.0</v>
      </c>
      <c r="O138" s="1">
        <v>0.149235071903535</v>
      </c>
      <c r="P138" s="1" t="s">
        <v>61</v>
      </c>
      <c r="Q138" s="1" t="s">
        <v>61</v>
      </c>
      <c r="R138" s="1">
        <f t="shared" si="1"/>
        <v>0.1492350719</v>
      </c>
      <c r="S138" s="1">
        <f t="shared" si="2"/>
        <v>105</v>
      </c>
      <c r="T138" s="1">
        <f t="shared" si="3"/>
        <v>2.05</v>
      </c>
      <c r="U138" s="1">
        <f t="shared" si="4"/>
        <v>0</v>
      </c>
      <c r="V138" s="3">
        <f t="shared" si="5"/>
        <v>3</v>
      </c>
      <c r="W138" s="3">
        <f t="shared" si="6"/>
        <v>2</v>
      </c>
      <c r="X138" s="3" t="str">
        <f>IFERROR(__xludf.DUMMYFUNCTION("split(B138,"" "")"),"J.")</f>
        <v>J.</v>
      </c>
      <c r="Y138" s="3" t="str">
        <f>IFERROR(__xludf.DUMMYFUNCTION("""COMPUTED_VALUE"""),"Love")</f>
        <v>Love</v>
      </c>
      <c r="AA138" s="8">
        <v>1.0</v>
      </c>
      <c r="AB138" s="3">
        <f t="shared" si="7"/>
        <v>0</v>
      </c>
      <c r="AC138" s="3">
        <f t="shared" si="8"/>
        <v>1</v>
      </c>
      <c r="AD138" s="3">
        <f t="shared" si="9"/>
        <v>3.15</v>
      </c>
      <c r="AE138" s="3">
        <f t="shared" si="10"/>
        <v>3.15</v>
      </c>
      <c r="AF138" s="3">
        <f t="shared" si="11"/>
        <v>2.1</v>
      </c>
      <c r="AG138" s="3">
        <f t="shared" si="12"/>
        <v>0.6</v>
      </c>
    </row>
    <row r="139">
      <c r="A139" s="1" t="s">
        <v>12</v>
      </c>
      <c r="B139" s="1" t="s">
        <v>344</v>
      </c>
      <c r="C139" s="1" t="s">
        <v>18</v>
      </c>
      <c r="D139" s="1" t="s">
        <v>157</v>
      </c>
      <c r="E139" s="1" t="s">
        <v>93</v>
      </c>
      <c r="F139" s="1" t="s">
        <v>647</v>
      </c>
      <c r="G139" s="1">
        <v>2.5</v>
      </c>
      <c r="H139" s="1" t="s">
        <v>60</v>
      </c>
      <c r="I139" s="1">
        <v>110.0</v>
      </c>
      <c r="J139" s="1">
        <v>-0.153788962538095</v>
      </c>
      <c r="K139" s="1" t="s">
        <v>61</v>
      </c>
      <c r="L139" s="1" t="s">
        <v>61</v>
      </c>
      <c r="M139" s="1" t="s">
        <v>62</v>
      </c>
      <c r="N139" s="1">
        <v>-145.0</v>
      </c>
      <c r="O139" s="1">
        <v>0.0857615550755102</v>
      </c>
      <c r="P139" s="1" t="s">
        <v>61</v>
      </c>
      <c r="Q139" s="1" t="s">
        <v>61</v>
      </c>
      <c r="R139" s="1">
        <f t="shared" si="1"/>
        <v>0.08576155508</v>
      </c>
      <c r="S139" s="1">
        <f t="shared" si="2"/>
        <v>-145</v>
      </c>
      <c r="T139" s="1">
        <f t="shared" si="3"/>
        <v>1.689655172</v>
      </c>
      <c r="U139" s="1">
        <f t="shared" si="4"/>
        <v>0</v>
      </c>
      <c r="V139" s="3">
        <f t="shared" si="5"/>
        <v>2</v>
      </c>
      <c r="W139" s="3">
        <f t="shared" si="6"/>
        <v>3</v>
      </c>
      <c r="X139" s="3" t="str">
        <f>IFERROR(__xludf.DUMMYFUNCTION("split(B139,"" "")"),"C.")</f>
        <v>C.</v>
      </c>
      <c r="Y139" s="3" t="str">
        <f>IFERROR(__xludf.DUMMYFUNCTION("""COMPUTED_VALUE"""),"Watson")</f>
        <v>Watson</v>
      </c>
      <c r="AA139" s="8">
        <v>4.0</v>
      </c>
      <c r="AB139" s="3">
        <f t="shared" si="7"/>
        <v>1</v>
      </c>
      <c r="AC139" s="3">
        <f t="shared" si="8"/>
        <v>0</v>
      </c>
      <c r="AD139" s="3">
        <f t="shared" si="9"/>
        <v>1.379310345</v>
      </c>
      <c r="AE139" s="3">
        <f t="shared" si="10"/>
        <v>-2</v>
      </c>
      <c r="AF139" s="3">
        <f t="shared" si="11"/>
        <v>-3</v>
      </c>
      <c r="AG139" s="3">
        <f t="shared" si="12"/>
        <v>-0.6</v>
      </c>
    </row>
    <row r="140">
      <c r="A140" s="1" t="s">
        <v>12</v>
      </c>
      <c r="B140" s="1" t="s">
        <v>187</v>
      </c>
      <c r="C140" s="1" t="s">
        <v>19</v>
      </c>
      <c r="D140" s="1" t="s">
        <v>157</v>
      </c>
      <c r="E140" s="1" t="s">
        <v>93</v>
      </c>
      <c r="F140" s="1" t="s">
        <v>647</v>
      </c>
      <c r="G140" s="1">
        <v>2.5</v>
      </c>
      <c r="H140" s="1" t="s">
        <v>60</v>
      </c>
      <c r="I140" s="1">
        <v>102.0</v>
      </c>
      <c r="J140" s="1">
        <v>-0.15519723060693</v>
      </c>
      <c r="K140" s="1" t="s">
        <v>61</v>
      </c>
      <c r="L140" s="1" t="s">
        <v>61</v>
      </c>
      <c r="M140" s="1" t="s">
        <v>62</v>
      </c>
      <c r="N140" s="1">
        <v>-135.0</v>
      </c>
      <c r="O140" s="1">
        <v>0.0856724438319148</v>
      </c>
      <c r="P140" s="1" t="s">
        <v>61</v>
      </c>
      <c r="Q140" s="1" t="s">
        <v>61</v>
      </c>
      <c r="R140" s="1">
        <f t="shared" si="1"/>
        <v>0.08567244383</v>
      </c>
      <c r="S140" s="1">
        <f t="shared" si="2"/>
        <v>-135</v>
      </c>
      <c r="T140" s="1">
        <f t="shared" si="3"/>
        <v>1.740740741</v>
      </c>
      <c r="U140" s="1">
        <f t="shared" si="4"/>
        <v>0</v>
      </c>
      <c r="V140" s="3">
        <f t="shared" si="5"/>
        <v>2</v>
      </c>
      <c r="W140" s="3">
        <f t="shared" si="6"/>
        <v>3</v>
      </c>
      <c r="X140" s="3" t="str">
        <f>IFERROR(__xludf.DUMMYFUNCTION("split(B140,"" "")"),"J.")</f>
        <v>J.</v>
      </c>
      <c r="Y140" s="3" t="str">
        <f>IFERROR(__xludf.DUMMYFUNCTION("""COMPUTED_VALUE"""),"Jacobs")</f>
        <v>Jacobs</v>
      </c>
      <c r="AA140" s="8">
        <v>1.0</v>
      </c>
      <c r="AB140" s="3">
        <f t="shared" si="7"/>
        <v>0</v>
      </c>
      <c r="AC140" s="3">
        <f t="shared" si="8"/>
        <v>1</v>
      </c>
      <c r="AD140" s="3">
        <f t="shared" si="9"/>
        <v>1.481481481</v>
      </c>
      <c r="AE140" s="3">
        <f t="shared" si="10"/>
        <v>1.481481481</v>
      </c>
      <c r="AF140" s="3">
        <f t="shared" si="11"/>
        <v>2.222222222</v>
      </c>
      <c r="AG140" s="3">
        <f t="shared" si="12"/>
        <v>0.6</v>
      </c>
    </row>
    <row r="141">
      <c r="A141" s="1" t="s">
        <v>17</v>
      </c>
      <c r="B141" s="1" t="s">
        <v>297</v>
      </c>
      <c r="C141" s="1" t="s">
        <v>21</v>
      </c>
      <c r="D141" s="1" t="s">
        <v>157</v>
      </c>
      <c r="E141" s="1" t="s">
        <v>93</v>
      </c>
      <c r="F141" s="1" t="s">
        <v>647</v>
      </c>
      <c r="G141" s="1">
        <v>0.5</v>
      </c>
      <c r="H141" s="1" t="s">
        <v>60</v>
      </c>
      <c r="I141" s="1">
        <v>-134.0</v>
      </c>
      <c r="J141" s="1">
        <v>-0.113749572649572</v>
      </c>
      <c r="K141" s="1" t="s">
        <v>61</v>
      </c>
      <c r="L141" s="1" t="s">
        <v>61</v>
      </c>
      <c r="M141" s="1" t="s">
        <v>62</v>
      </c>
      <c r="N141" s="1">
        <v>101.0</v>
      </c>
      <c r="O141" s="1">
        <v>0.0435875621890546</v>
      </c>
      <c r="P141" s="1" t="s">
        <v>61</v>
      </c>
      <c r="Q141" s="1" t="s">
        <v>61</v>
      </c>
      <c r="R141" s="1">
        <f t="shared" si="1"/>
        <v>0.04358756219</v>
      </c>
      <c r="S141" s="1">
        <f t="shared" si="2"/>
        <v>101</v>
      </c>
      <c r="T141" s="1">
        <f t="shared" si="3"/>
        <v>2.01</v>
      </c>
      <c r="U141" s="1">
        <f t="shared" si="4"/>
        <v>0</v>
      </c>
      <c r="V141" s="3">
        <f t="shared" si="5"/>
        <v>1</v>
      </c>
      <c r="W141" s="3">
        <f t="shared" si="6"/>
        <v>2</v>
      </c>
      <c r="X141" s="3" t="str">
        <f>IFERROR(__xludf.DUMMYFUNCTION("split(B141,"" "")"),"J.")</f>
        <v>J.</v>
      </c>
      <c r="Y141" s="3" t="str">
        <f>IFERROR(__xludf.DUMMYFUNCTION("""COMPUTED_VALUE"""),"Love")</f>
        <v>Love</v>
      </c>
      <c r="AA141" s="8">
        <v>1.0</v>
      </c>
      <c r="AB141" s="3">
        <f t="shared" si="7"/>
        <v>1</v>
      </c>
      <c r="AC141" s="3">
        <f t="shared" si="8"/>
        <v>0</v>
      </c>
      <c r="AD141" s="3">
        <f t="shared" si="9"/>
        <v>1.01</v>
      </c>
      <c r="AE141" s="3">
        <f t="shared" si="10"/>
        <v>-1</v>
      </c>
      <c r="AF141" s="3">
        <f t="shared" si="11"/>
        <v>-2</v>
      </c>
      <c r="AG141" s="3">
        <f t="shared" si="12"/>
        <v>-1</v>
      </c>
    </row>
    <row r="142">
      <c r="A142" s="1" t="s">
        <v>11</v>
      </c>
      <c r="B142" s="1" t="s">
        <v>482</v>
      </c>
      <c r="C142" s="1" t="s">
        <v>18</v>
      </c>
      <c r="D142" s="1" t="s">
        <v>157</v>
      </c>
      <c r="E142" s="1" t="s">
        <v>93</v>
      </c>
      <c r="F142" s="1" t="s">
        <v>647</v>
      </c>
      <c r="G142" s="1">
        <v>45.5</v>
      </c>
      <c r="H142" s="1" t="s">
        <v>60</v>
      </c>
      <c r="I142" s="1">
        <v>-115.0</v>
      </c>
      <c r="J142" s="1">
        <v>-0.106769581400697</v>
      </c>
      <c r="K142" s="1" t="s">
        <v>61</v>
      </c>
      <c r="L142" s="1" t="s">
        <v>61</v>
      </c>
      <c r="M142" s="1" t="s">
        <v>62</v>
      </c>
      <c r="N142" s="1">
        <v>-115.0</v>
      </c>
      <c r="O142" s="1">
        <v>0.0370288240453023</v>
      </c>
      <c r="P142" s="1" t="s">
        <v>61</v>
      </c>
      <c r="Q142" s="1" t="s">
        <v>61</v>
      </c>
      <c r="R142" s="1">
        <f t="shared" si="1"/>
        <v>0.03702882405</v>
      </c>
      <c r="S142" s="1">
        <f t="shared" si="2"/>
        <v>-115</v>
      </c>
      <c r="T142" s="1">
        <f t="shared" si="3"/>
        <v>1.869565217</v>
      </c>
      <c r="U142" s="1">
        <f t="shared" si="4"/>
        <v>0</v>
      </c>
      <c r="V142" s="3">
        <f t="shared" si="5"/>
        <v>1</v>
      </c>
      <c r="W142" s="3">
        <f t="shared" si="6"/>
        <v>2</v>
      </c>
      <c r="X142" s="3" t="str">
        <f>IFERROR(__xludf.DUMMYFUNCTION("split(B142,"" "")"),"R.")</f>
        <v>R.</v>
      </c>
      <c r="Y142" s="3" t="str">
        <f>IFERROR(__xludf.DUMMYFUNCTION("""COMPUTED_VALUE"""),"Doubs")</f>
        <v>Doubs</v>
      </c>
      <c r="AA142" s="8">
        <v>72.0</v>
      </c>
      <c r="AB142" s="3">
        <f t="shared" si="7"/>
        <v>1</v>
      </c>
      <c r="AC142" s="3">
        <f t="shared" si="8"/>
        <v>0</v>
      </c>
      <c r="AD142" s="3">
        <f t="shared" si="9"/>
        <v>0.8695652174</v>
      </c>
      <c r="AE142" s="3">
        <f t="shared" si="10"/>
        <v>-1</v>
      </c>
      <c r="AF142" s="3">
        <f t="shared" si="11"/>
        <v>-2</v>
      </c>
      <c r="AG142" s="3">
        <f t="shared" si="12"/>
        <v>-0.5824175824</v>
      </c>
    </row>
    <row r="143">
      <c r="A143" s="1" t="s">
        <v>9</v>
      </c>
      <c r="B143" s="1" t="s">
        <v>187</v>
      </c>
      <c r="C143" s="1" t="s">
        <v>19</v>
      </c>
      <c r="D143" s="1" t="s">
        <v>157</v>
      </c>
      <c r="E143" s="1" t="s">
        <v>93</v>
      </c>
      <c r="F143" s="1" t="s">
        <v>647</v>
      </c>
      <c r="G143" s="1">
        <v>87.5</v>
      </c>
      <c r="H143" s="1" t="s">
        <v>60</v>
      </c>
      <c r="I143" s="1">
        <v>-117.0</v>
      </c>
      <c r="J143" s="1">
        <v>-0.102121989131354</v>
      </c>
      <c r="K143" s="1" t="s">
        <v>61</v>
      </c>
      <c r="L143" s="1" t="s">
        <v>61</v>
      </c>
      <c r="M143" s="1" t="s">
        <v>62</v>
      </c>
      <c r="N143" s="1">
        <v>-115.0</v>
      </c>
      <c r="O143" s="1">
        <v>0.0281389604050908</v>
      </c>
      <c r="P143" s="1" t="s">
        <v>61</v>
      </c>
      <c r="Q143" s="1" t="s">
        <v>61</v>
      </c>
      <c r="R143" s="1">
        <f t="shared" si="1"/>
        <v>0.02813896041</v>
      </c>
      <c r="S143" s="1">
        <f t="shared" si="2"/>
        <v>-115</v>
      </c>
      <c r="T143" s="1">
        <f t="shared" si="3"/>
        <v>1.869565217</v>
      </c>
      <c r="U143" s="1">
        <f t="shared" si="4"/>
        <v>0</v>
      </c>
      <c r="V143" s="3">
        <f t="shared" si="5"/>
        <v>1</v>
      </c>
      <c r="W143" s="3">
        <f t="shared" si="6"/>
        <v>2</v>
      </c>
      <c r="X143" s="3" t="str">
        <f>IFERROR(__xludf.DUMMYFUNCTION("split(B143,"" "")"),"J.")</f>
        <v>J.</v>
      </c>
      <c r="Y143" s="3" t="str">
        <f>IFERROR(__xludf.DUMMYFUNCTION("""COMPUTED_VALUE"""),"Jacobs")</f>
        <v>Jacobs</v>
      </c>
      <c r="AA143" s="8">
        <v>125.0</v>
      </c>
      <c r="AB143" s="3">
        <f t="shared" si="7"/>
        <v>1</v>
      </c>
      <c r="AC143" s="3">
        <f t="shared" si="8"/>
        <v>0</v>
      </c>
      <c r="AD143" s="3">
        <f t="shared" si="9"/>
        <v>0.8695652174</v>
      </c>
      <c r="AE143" s="3">
        <f t="shared" si="10"/>
        <v>-1</v>
      </c>
      <c r="AF143" s="3">
        <f t="shared" si="11"/>
        <v>-2</v>
      </c>
      <c r="AG143" s="3">
        <f t="shared" si="12"/>
        <v>-0.4285714286</v>
      </c>
    </row>
    <row r="144">
      <c r="A144" s="1" t="s">
        <v>10</v>
      </c>
      <c r="B144" s="1" t="s">
        <v>187</v>
      </c>
      <c r="C144" s="1" t="s">
        <v>19</v>
      </c>
      <c r="D144" s="1" t="s">
        <v>157</v>
      </c>
      <c r="E144" s="1" t="s">
        <v>93</v>
      </c>
      <c r="F144" s="1" t="s">
        <v>647</v>
      </c>
      <c r="G144" s="1">
        <v>66.5</v>
      </c>
      <c r="H144" s="1" t="s">
        <v>60</v>
      </c>
      <c r="I144" s="1">
        <v>-116.0</v>
      </c>
      <c r="J144" s="1">
        <v>-0.0919939196915951</v>
      </c>
      <c r="K144" s="1" t="s">
        <v>61</v>
      </c>
      <c r="L144" s="1" t="s">
        <v>61</v>
      </c>
      <c r="M144" s="1" t="s">
        <v>62</v>
      </c>
      <c r="N144" s="1">
        <v>-112.0</v>
      </c>
      <c r="O144" s="1">
        <v>0.0266345606609292</v>
      </c>
      <c r="P144" s="1" t="s">
        <v>61</v>
      </c>
      <c r="Q144" s="1" t="s">
        <v>61</v>
      </c>
      <c r="R144" s="1">
        <f t="shared" si="1"/>
        <v>0.02663456066</v>
      </c>
      <c r="S144" s="1">
        <f t="shared" si="2"/>
        <v>-112</v>
      </c>
      <c r="T144" s="1">
        <f t="shared" si="3"/>
        <v>1.892857143</v>
      </c>
      <c r="U144" s="1">
        <f t="shared" si="4"/>
        <v>0</v>
      </c>
      <c r="V144" s="3">
        <f t="shared" si="5"/>
        <v>1</v>
      </c>
      <c r="W144" s="3">
        <f t="shared" si="6"/>
        <v>2</v>
      </c>
      <c r="X144" s="3" t="str">
        <f>IFERROR(__xludf.DUMMYFUNCTION("split(B144,"" "")"),"J.")</f>
        <v>J.</v>
      </c>
      <c r="Y144" s="3" t="str">
        <f>IFERROR(__xludf.DUMMYFUNCTION("""COMPUTED_VALUE"""),"Jacobs")</f>
        <v>Jacobs</v>
      </c>
      <c r="AA144" s="8">
        <v>127.0</v>
      </c>
      <c r="AB144" s="3">
        <f t="shared" si="7"/>
        <v>1</v>
      </c>
      <c r="AC144" s="3">
        <f t="shared" si="8"/>
        <v>0</v>
      </c>
      <c r="AD144" s="3">
        <f t="shared" si="9"/>
        <v>0.8928571429</v>
      </c>
      <c r="AE144" s="3">
        <f t="shared" si="10"/>
        <v>-1</v>
      </c>
      <c r="AF144" s="3">
        <f t="shared" si="11"/>
        <v>-2</v>
      </c>
      <c r="AG144" s="3">
        <f t="shared" si="12"/>
        <v>-0.9097744361</v>
      </c>
    </row>
    <row r="145">
      <c r="A145" s="1" t="s">
        <v>10</v>
      </c>
      <c r="B145" s="1" t="s">
        <v>310</v>
      </c>
      <c r="C145" s="1" t="s">
        <v>18</v>
      </c>
      <c r="D145" s="1" t="s">
        <v>72</v>
      </c>
      <c r="E145" s="1" t="s">
        <v>71</v>
      </c>
      <c r="F145" s="1" t="s">
        <v>647</v>
      </c>
      <c r="G145" s="1">
        <v>0.5</v>
      </c>
      <c r="H145" s="1" t="s">
        <v>60</v>
      </c>
      <c r="I145" s="1">
        <v>260.0</v>
      </c>
      <c r="J145" s="1">
        <v>0.345451983358675</v>
      </c>
      <c r="K145" s="1" t="s">
        <v>61</v>
      </c>
      <c r="L145" s="1" t="s">
        <v>61</v>
      </c>
      <c r="M145" s="1" t="s">
        <v>62</v>
      </c>
      <c r="N145" s="1">
        <v>-360.0</v>
      </c>
      <c r="O145" s="1">
        <v>-0.405799139157895</v>
      </c>
      <c r="P145" s="1" t="s">
        <v>61</v>
      </c>
      <c r="Q145" s="1" t="s">
        <v>61</v>
      </c>
      <c r="R145" s="1">
        <f t="shared" si="1"/>
        <v>0.3454519834</v>
      </c>
      <c r="S145" s="1">
        <f t="shared" si="2"/>
        <v>260</v>
      </c>
      <c r="T145" s="1">
        <f t="shared" si="3"/>
        <v>3.6</v>
      </c>
      <c r="U145" s="1">
        <f t="shared" si="4"/>
        <v>1</v>
      </c>
      <c r="V145" s="3">
        <f t="shared" si="5"/>
        <v>3</v>
      </c>
      <c r="W145" s="3">
        <f t="shared" si="6"/>
        <v>1</v>
      </c>
      <c r="X145" s="3" t="str">
        <f>IFERROR(__xludf.DUMMYFUNCTION("split(B145,"" "")"),"S.")</f>
        <v>S.</v>
      </c>
      <c r="Y145" s="3" t="str">
        <f>IFERROR(__xludf.DUMMYFUNCTION("""COMPUTED_VALUE"""),"Diggs")</f>
        <v>Diggs</v>
      </c>
      <c r="AA145" s="8">
        <v>-4.0</v>
      </c>
      <c r="AB145" s="3">
        <f t="shared" si="7"/>
        <v>0</v>
      </c>
      <c r="AC145" s="3">
        <f t="shared" si="8"/>
        <v>0</v>
      </c>
      <c r="AD145" s="3">
        <f t="shared" si="9"/>
        <v>7.8</v>
      </c>
      <c r="AE145" s="3">
        <f t="shared" si="10"/>
        <v>-3</v>
      </c>
      <c r="AF145" s="3">
        <f t="shared" si="11"/>
        <v>-1</v>
      </c>
      <c r="AG145" s="3">
        <f t="shared" si="12"/>
        <v>-9</v>
      </c>
    </row>
    <row r="146">
      <c r="A146" s="1" t="s">
        <v>12</v>
      </c>
      <c r="B146" s="1" t="s">
        <v>359</v>
      </c>
      <c r="C146" s="1" t="s">
        <v>19</v>
      </c>
      <c r="D146" s="1" t="s">
        <v>72</v>
      </c>
      <c r="E146" s="1" t="s">
        <v>71</v>
      </c>
      <c r="F146" s="1" t="s">
        <v>647</v>
      </c>
      <c r="G146" s="1">
        <v>2.5</v>
      </c>
      <c r="H146" s="1" t="s">
        <v>60</v>
      </c>
      <c r="I146" s="1">
        <v>-121.0</v>
      </c>
      <c r="J146" s="1">
        <v>-0.227210036063348</v>
      </c>
      <c r="K146" s="1" t="s">
        <v>61</v>
      </c>
      <c r="L146" s="1" t="s">
        <v>61</v>
      </c>
      <c r="M146" s="1" t="s">
        <v>62</v>
      </c>
      <c r="N146" s="1">
        <v>-108.0</v>
      </c>
      <c r="O146" s="1">
        <v>0.160467766382692</v>
      </c>
      <c r="P146" s="1" t="s">
        <v>61</v>
      </c>
      <c r="Q146" s="1" t="s">
        <v>61</v>
      </c>
      <c r="R146" s="1">
        <f t="shared" si="1"/>
        <v>0.1604677664</v>
      </c>
      <c r="S146" s="1">
        <f t="shared" si="2"/>
        <v>-108</v>
      </c>
      <c r="T146" s="1">
        <f t="shared" si="3"/>
        <v>1.925925926</v>
      </c>
      <c r="U146" s="1">
        <f t="shared" si="4"/>
        <v>0</v>
      </c>
      <c r="V146" s="3">
        <f t="shared" si="5"/>
        <v>3</v>
      </c>
      <c r="W146" s="3">
        <f t="shared" si="6"/>
        <v>2</v>
      </c>
      <c r="X146" s="3" t="str">
        <f>IFERROR(__xludf.DUMMYFUNCTION("split(B146,"" "")"),"J.")</f>
        <v>J.</v>
      </c>
      <c r="Y146" s="3" t="str">
        <f>IFERROR(__xludf.DUMMYFUNCTION("""COMPUTED_VALUE"""),"Mixon")</f>
        <v>Mixon</v>
      </c>
      <c r="AA146" s="8">
        <v>4.0</v>
      </c>
      <c r="AB146" s="3">
        <f t="shared" si="7"/>
        <v>1</v>
      </c>
      <c r="AC146" s="3">
        <f t="shared" si="8"/>
        <v>0</v>
      </c>
      <c r="AD146" s="3">
        <f t="shared" si="9"/>
        <v>2.777777778</v>
      </c>
      <c r="AE146" s="3">
        <f t="shared" si="10"/>
        <v>-3</v>
      </c>
      <c r="AF146" s="3">
        <f t="shared" si="11"/>
        <v>-2</v>
      </c>
      <c r="AG146" s="3">
        <f t="shared" si="12"/>
        <v>-0.6</v>
      </c>
    </row>
    <row r="147">
      <c r="A147" s="1" t="s">
        <v>8</v>
      </c>
      <c r="B147" s="1" t="s">
        <v>369</v>
      </c>
      <c r="C147" s="1" t="s">
        <v>21</v>
      </c>
      <c r="D147" s="1" t="s">
        <v>72</v>
      </c>
      <c r="E147" s="1" t="s">
        <v>71</v>
      </c>
      <c r="F147" s="1" t="s">
        <v>647</v>
      </c>
      <c r="G147" s="1">
        <v>3.5</v>
      </c>
      <c r="H147" s="1" t="s">
        <v>60</v>
      </c>
      <c r="I147" s="1">
        <v>-108.0</v>
      </c>
      <c r="J147" s="1">
        <v>-0.203173971455269</v>
      </c>
      <c r="K147" s="1" t="s">
        <v>61</v>
      </c>
      <c r="L147" s="1" t="s">
        <v>61</v>
      </c>
      <c r="M147" s="1" t="s">
        <v>62</v>
      </c>
      <c r="N147" s="1">
        <v>-123.0</v>
      </c>
      <c r="O147" s="1">
        <v>0.132380057655228</v>
      </c>
      <c r="P147" s="1" t="s">
        <v>61</v>
      </c>
      <c r="Q147" s="1" t="s">
        <v>61</v>
      </c>
      <c r="R147" s="1">
        <f t="shared" si="1"/>
        <v>0.1323800577</v>
      </c>
      <c r="S147" s="1">
        <f t="shared" si="2"/>
        <v>-123</v>
      </c>
      <c r="T147" s="1">
        <f t="shared" si="3"/>
        <v>1.81300813</v>
      </c>
      <c r="U147" s="1">
        <f t="shared" si="4"/>
        <v>0</v>
      </c>
      <c r="V147" s="3">
        <f t="shared" si="5"/>
        <v>3</v>
      </c>
      <c r="W147" s="3">
        <f t="shared" si="6"/>
        <v>3</v>
      </c>
      <c r="X147" s="3" t="str">
        <f>IFERROR(__xludf.DUMMYFUNCTION("split(B147,"" "")"),"C.")</f>
        <v>C.</v>
      </c>
      <c r="Y147" s="3" t="str">
        <f>IFERROR(__xludf.DUMMYFUNCTION("""COMPUTED_VALUE"""),"Stroud")</f>
        <v>Stroud</v>
      </c>
      <c r="AA147" s="8">
        <v>1.0</v>
      </c>
      <c r="AB147" s="3">
        <f t="shared" si="7"/>
        <v>0</v>
      </c>
      <c r="AC147" s="3">
        <f t="shared" si="8"/>
        <v>1</v>
      </c>
      <c r="AD147" s="3">
        <f t="shared" si="9"/>
        <v>2.43902439</v>
      </c>
      <c r="AE147" s="3">
        <f t="shared" si="10"/>
        <v>2.43902439</v>
      </c>
      <c r="AF147" s="3">
        <f t="shared" si="11"/>
        <v>2.43902439</v>
      </c>
      <c r="AG147" s="3">
        <f t="shared" si="12"/>
        <v>0.7142857143</v>
      </c>
    </row>
    <row r="148">
      <c r="A148" s="1" t="s">
        <v>12</v>
      </c>
      <c r="B148" s="1" t="s">
        <v>310</v>
      </c>
      <c r="C148" s="1" t="s">
        <v>18</v>
      </c>
      <c r="D148" s="1" t="s">
        <v>72</v>
      </c>
      <c r="E148" s="1" t="s">
        <v>71</v>
      </c>
      <c r="F148" s="1" t="s">
        <v>647</v>
      </c>
      <c r="G148" s="1">
        <v>5.5</v>
      </c>
      <c r="H148" s="1" t="s">
        <v>60</v>
      </c>
      <c r="I148" s="1">
        <v>103.0</v>
      </c>
      <c r="J148" s="1">
        <v>0.0877891625615763</v>
      </c>
      <c r="K148" s="1" t="s">
        <v>61</v>
      </c>
      <c r="L148" s="1" t="s">
        <v>61</v>
      </c>
      <c r="M148" s="1" t="s">
        <v>62</v>
      </c>
      <c r="N148" s="1">
        <v>-135.0</v>
      </c>
      <c r="O148" s="1">
        <v>-0.154868085106382</v>
      </c>
      <c r="P148" s="1" t="s">
        <v>61</v>
      </c>
      <c r="Q148" s="1" t="s">
        <v>61</v>
      </c>
      <c r="R148" s="1">
        <f t="shared" si="1"/>
        <v>0.08778916256</v>
      </c>
      <c r="S148" s="1">
        <f t="shared" si="2"/>
        <v>103</v>
      </c>
      <c r="T148" s="1">
        <f t="shared" si="3"/>
        <v>2.03</v>
      </c>
      <c r="U148" s="1">
        <f t="shared" si="4"/>
        <v>1</v>
      </c>
      <c r="V148" s="3">
        <f t="shared" si="5"/>
        <v>2</v>
      </c>
      <c r="W148" s="3">
        <f t="shared" si="6"/>
        <v>2</v>
      </c>
      <c r="X148" s="3" t="str">
        <f>IFERROR(__xludf.DUMMYFUNCTION("split(B148,"" "")"),"S.")</f>
        <v>S.</v>
      </c>
      <c r="Y148" s="3" t="str">
        <f>IFERROR(__xludf.DUMMYFUNCTION("""COMPUTED_VALUE"""),"Diggs")</f>
        <v>Diggs</v>
      </c>
      <c r="AA148" s="8">
        <v>5.0</v>
      </c>
      <c r="AB148" s="3">
        <f t="shared" si="7"/>
        <v>0</v>
      </c>
      <c r="AC148" s="3">
        <f t="shared" si="8"/>
        <v>0</v>
      </c>
      <c r="AD148" s="3">
        <f t="shared" si="9"/>
        <v>2.06</v>
      </c>
      <c r="AE148" s="3">
        <f t="shared" si="10"/>
        <v>-2</v>
      </c>
      <c r="AF148" s="3">
        <f t="shared" si="11"/>
        <v>-2</v>
      </c>
      <c r="AG148" s="3">
        <f t="shared" si="12"/>
        <v>-0.09090909091</v>
      </c>
    </row>
    <row r="149">
      <c r="A149" s="1" t="s">
        <v>12</v>
      </c>
      <c r="B149" s="1" t="s">
        <v>410</v>
      </c>
      <c r="C149" s="1" t="s">
        <v>20</v>
      </c>
      <c r="D149" s="1" t="s">
        <v>72</v>
      </c>
      <c r="E149" s="1" t="s">
        <v>71</v>
      </c>
      <c r="F149" s="1" t="s">
        <v>647</v>
      </c>
      <c r="G149" s="1">
        <v>3.5</v>
      </c>
      <c r="H149" s="1" t="s">
        <v>60</v>
      </c>
      <c r="I149" s="1">
        <v>124.0</v>
      </c>
      <c r="J149" s="1">
        <v>-0.136828571428571</v>
      </c>
      <c r="K149" s="1" t="s">
        <v>61</v>
      </c>
      <c r="L149" s="1" t="s">
        <v>61</v>
      </c>
      <c r="M149" s="1" t="s">
        <v>62</v>
      </c>
      <c r="N149" s="1">
        <v>-166.0</v>
      </c>
      <c r="O149" s="1">
        <v>0.0663398496240601</v>
      </c>
      <c r="P149" s="1" t="s">
        <v>61</v>
      </c>
      <c r="Q149" s="1" t="s">
        <v>61</v>
      </c>
      <c r="R149" s="1">
        <f t="shared" si="1"/>
        <v>0.06633984962</v>
      </c>
      <c r="S149" s="1">
        <f t="shared" si="2"/>
        <v>-166</v>
      </c>
      <c r="T149" s="1">
        <f t="shared" si="3"/>
        <v>1.602409639</v>
      </c>
      <c r="U149" s="1">
        <f t="shared" si="4"/>
        <v>0</v>
      </c>
      <c r="V149" s="3">
        <f t="shared" si="5"/>
        <v>2</v>
      </c>
      <c r="W149" s="3">
        <f t="shared" si="6"/>
        <v>3</v>
      </c>
      <c r="X149" s="3" t="str">
        <f>IFERROR(__xludf.DUMMYFUNCTION("split(B149,"" "")"),"D.")</f>
        <v>D.</v>
      </c>
      <c r="Y149" s="3" t="str">
        <f>IFERROR(__xludf.DUMMYFUNCTION("""COMPUTED_VALUE"""),"Schultz")</f>
        <v>Schultz</v>
      </c>
      <c r="AA149" s="8">
        <v>4.0</v>
      </c>
      <c r="AB149" s="3">
        <f t="shared" si="7"/>
        <v>1</v>
      </c>
      <c r="AC149" s="3">
        <f t="shared" si="8"/>
        <v>0</v>
      </c>
      <c r="AD149" s="3">
        <f t="shared" si="9"/>
        <v>1.204819277</v>
      </c>
      <c r="AE149" s="3">
        <f t="shared" si="10"/>
        <v>-2</v>
      </c>
      <c r="AF149" s="3">
        <f t="shared" si="11"/>
        <v>-3</v>
      </c>
      <c r="AG149" s="3">
        <f t="shared" si="12"/>
        <v>-0.1428571429</v>
      </c>
    </row>
    <row r="150">
      <c r="A150" s="1" t="s">
        <v>11</v>
      </c>
      <c r="B150" s="1" t="s">
        <v>410</v>
      </c>
      <c r="C150" s="1" t="s">
        <v>20</v>
      </c>
      <c r="D150" s="1" t="s">
        <v>72</v>
      </c>
      <c r="E150" s="1" t="s">
        <v>71</v>
      </c>
      <c r="F150" s="1" t="s">
        <v>647</v>
      </c>
      <c r="G150" s="1">
        <v>29.5</v>
      </c>
      <c r="H150" s="1" t="s">
        <v>60</v>
      </c>
      <c r="I150" s="1">
        <v>-118.0</v>
      </c>
      <c r="J150" s="1">
        <v>-0.119911603275458</v>
      </c>
      <c r="K150" s="1" t="s">
        <v>61</v>
      </c>
      <c r="L150" s="1" t="s">
        <v>61</v>
      </c>
      <c r="M150" s="1" t="s">
        <v>62</v>
      </c>
      <c r="N150" s="1">
        <v>-114.0</v>
      </c>
      <c r="O150" s="1">
        <v>0.0459858301215749</v>
      </c>
      <c r="P150" s="1" t="s">
        <v>61</v>
      </c>
      <c r="Q150" s="1" t="s">
        <v>61</v>
      </c>
      <c r="R150" s="1">
        <f t="shared" si="1"/>
        <v>0.04598583012</v>
      </c>
      <c r="S150" s="1">
        <f t="shared" si="2"/>
        <v>-114</v>
      </c>
      <c r="T150" s="1">
        <f t="shared" si="3"/>
        <v>1.877192982</v>
      </c>
      <c r="U150" s="1">
        <f t="shared" si="4"/>
        <v>0</v>
      </c>
      <c r="V150" s="3">
        <f t="shared" si="5"/>
        <v>1</v>
      </c>
      <c r="W150" s="3">
        <f t="shared" si="6"/>
        <v>2</v>
      </c>
      <c r="X150" s="3" t="str">
        <f>IFERROR(__xludf.DUMMYFUNCTION("split(B150,"" "")"),"D.")</f>
        <v>D.</v>
      </c>
      <c r="Y150" s="3" t="str">
        <f>IFERROR(__xludf.DUMMYFUNCTION("""COMPUTED_VALUE"""),"Schultz")</f>
        <v>Schultz</v>
      </c>
      <c r="AA150" s="8">
        <v>52.0</v>
      </c>
      <c r="AB150" s="3">
        <f t="shared" si="7"/>
        <v>1</v>
      </c>
      <c r="AC150" s="3">
        <f t="shared" si="8"/>
        <v>0</v>
      </c>
      <c r="AD150" s="3">
        <f t="shared" si="9"/>
        <v>0.8771929825</v>
      </c>
      <c r="AE150" s="3">
        <f t="shared" si="10"/>
        <v>-1</v>
      </c>
      <c r="AF150" s="3">
        <f t="shared" si="11"/>
        <v>-2</v>
      </c>
      <c r="AG150" s="3">
        <f t="shared" si="12"/>
        <v>-0.7627118644</v>
      </c>
    </row>
    <row r="151">
      <c r="A151" s="1" t="s">
        <v>9</v>
      </c>
      <c r="B151" s="1" t="s">
        <v>359</v>
      </c>
      <c r="C151" s="1" t="s">
        <v>19</v>
      </c>
      <c r="D151" s="1" t="s">
        <v>72</v>
      </c>
      <c r="E151" s="1" t="s">
        <v>71</v>
      </c>
      <c r="F151" s="1" t="s">
        <v>647</v>
      </c>
      <c r="G151" s="1">
        <v>96.5</v>
      </c>
      <c r="H151" s="1" t="s">
        <v>60</v>
      </c>
      <c r="I151" s="1">
        <v>-115.0</v>
      </c>
      <c r="J151" s="1">
        <v>-0.101937801432069</v>
      </c>
      <c r="K151" s="1" t="s">
        <v>61</v>
      </c>
      <c r="L151" s="1" t="s">
        <v>61</v>
      </c>
      <c r="M151" s="1" t="s">
        <v>62</v>
      </c>
      <c r="N151" s="1">
        <v>-117.0</v>
      </c>
      <c r="O151" s="1">
        <v>0.0278757768806546</v>
      </c>
      <c r="P151" s="1" t="s">
        <v>61</v>
      </c>
      <c r="Q151" s="1" t="s">
        <v>61</v>
      </c>
      <c r="R151" s="1">
        <f t="shared" si="1"/>
        <v>0.02787577688</v>
      </c>
      <c r="S151" s="1">
        <f t="shared" si="2"/>
        <v>-117</v>
      </c>
      <c r="T151" s="1">
        <f t="shared" si="3"/>
        <v>1.854700855</v>
      </c>
      <c r="U151" s="1">
        <f t="shared" si="4"/>
        <v>0</v>
      </c>
      <c r="V151" s="3">
        <f t="shared" si="5"/>
        <v>1</v>
      </c>
      <c r="W151" s="3">
        <f t="shared" si="6"/>
        <v>2</v>
      </c>
      <c r="X151" s="3" t="str">
        <f>IFERROR(__xludf.DUMMYFUNCTION("split(B151,"" "")"),"J.")</f>
        <v>J.</v>
      </c>
      <c r="Y151" s="3" t="str">
        <f>IFERROR(__xludf.DUMMYFUNCTION("""COMPUTED_VALUE"""),"Mixon")</f>
        <v>Mixon</v>
      </c>
      <c r="AA151" s="8">
        <v>134.0</v>
      </c>
      <c r="AB151" s="3">
        <f t="shared" si="7"/>
        <v>1</v>
      </c>
      <c r="AC151" s="3">
        <f t="shared" si="8"/>
        <v>0</v>
      </c>
      <c r="AD151" s="3">
        <f t="shared" si="9"/>
        <v>0.8547008547</v>
      </c>
      <c r="AE151" s="3">
        <f t="shared" si="10"/>
        <v>-1</v>
      </c>
      <c r="AF151" s="3">
        <f t="shared" si="11"/>
        <v>-2</v>
      </c>
      <c r="AG151" s="3">
        <f t="shared" si="12"/>
        <v>-0.3886010363</v>
      </c>
    </row>
    <row r="152">
      <c r="A152" s="1" t="s">
        <v>10</v>
      </c>
      <c r="B152" s="1" t="s">
        <v>359</v>
      </c>
      <c r="C152" s="1" t="s">
        <v>19</v>
      </c>
      <c r="D152" s="1" t="s">
        <v>72</v>
      </c>
      <c r="E152" s="1" t="s">
        <v>71</v>
      </c>
      <c r="F152" s="1" t="s">
        <v>647</v>
      </c>
      <c r="G152" s="1">
        <v>76.5</v>
      </c>
      <c r="H152" s="1" t="s">
        <v>60</v>
      </c>
      <c r="I152" s="1">
        <v>-115.0</v>
      </c>
      <c r="J152" s="1">
        <v>-0.0826179644984087</v>
      </c>
      <c r="K152" s="1" t="s">
        <v>61</v>
      </c>
      <c r="L152" s="1" t="s">
        <v>61</v>
      </c>
      <c r="M152" s="1" t="s">
        <v>62</v>
      </c>
      <c r="N152" s="1">
        <v>-111.0</v>
      </c>
      <c r="O152" s="1">
        <v>0.0216976906287283</v>
      </c>
      <c r="P152" s="1" t="s">
        <v>61</v>
      </c>
      <c r="Q152" s="1" t="s">
        <v>61</v>
      </c>
      <c r="R152" s="1">
        <f t="shared" si="1"/>
        <v>0.02169769063</v>
      </c>
      <c r="S152" s="1">
        <f t="shared" si="2"/>
        <v>-111</v>
      </c>
      <c r="T152" s="1">
        <f t="shared" si="3"/>
        <v>1.900900901</v>
      </c>
      <c r="U152" s="1">
        <f t="shared" si="4"/>
        <v>0</v>
      </c>
      <c r="V152" s="3">
        <f t="shared" si="5"/>
        <v>1</v>
      </c>
      <c r="W152" s="3">
        <f t="shared" si="6"/>
        <v>2</v>
      </c>
      <c r="X152" s="3" t="str">
        <f>IFERROR(__xludf.DUMMYFUNCTION("split(B152,"" "")"),"J.")</f>
        <v>J.</v>
      </c>
      <c r="Y152" s="3" t="str">
        <f>IFERROR(__xludf.DUMMYFUNCTION("""COMPUTED_VALUE"""),"Mixon")</f>
        <v>Mixon</v>
      </c>
      <c r="AA152" s="8">
        <v>102.0</v>
      </c>
      <c r="AB152" s="3">
        <f t="shared" si="7"/>
        <v>1</v>
      </c>
      <c r="AC152" s="3">
        <f t="shared" si="8"/>
        <v>0</v>
      </c>
      <c r="AD152" s="3">
        <f t="shared" si="9"/>
        <v>0.9009009009</v>
      </c>
      <c r="AE152" s="3">
        <f t="shared" si="10"/>
        <v>-1</v>
      </c>
      <c r="AF152" s="3">
        <f t="shared" si="11"/>
        <v>-2</v>
      </c>
      <c r="AG152" s="3">
        <f t="shared" si="12"/>
        <v>-0.3333333333</v>
      </c>
    </row>
    <row r="153">
      <c r="A153" s="1" t="s">
        <v>10</v>
      </c>
      <c r="B153" s="1" t="s">
        <v>369</v>
      </c>
      <c r="C153" s="1" t="s">
        <v>21</v>
      </c>
      <c r="D153" s="1" t="s">
        <v>72</v>
      </c>
      <c r="E153" s="1" t="s">
        <v>71</v>
      </c>
      <c r="F153" s="1" t="s">
        <v>647</v>
      </c>
      <c r="G153" s="1">
        <v>11.5</v>
      </c>
      <c r="H153" s="1" t="s">
        <v>60</v>
      </c>
      <c r="I153" s="1">
        <v>-119.0</v>
      </c>
      <c r="J153" s="1">
        <v>-0.0867162281748478</v>
      </c>
      <c r="K153" s="1" t="s">
        <v>61</v>
      </c>
      <c r="L153" s="1" t="s">
        <v>61</v>
      </c>
      <c r="M153" s="1" t="s">
        <v>62</v>
      </c>
      <c r="N153" s="1">
        <v>-110.0</v>
      </c>
      <c r="O153" s="1">
        <v>0.0195331874634325</v>
      </c>
      <c r="P153" s="1" t="s">
        <v>61</v>
      </c>
      <c r="Q153" s="1" t="s">
        <v>61</v>
      </c>
      <c r="R153" s="1">
        <f t="shared" si="1"/>
        <v>0.01953318746</v>
      </c>
      <c r="S153" s="1">
        <f t="shared" si="2"/>
        <v>-110</v>
      </c>
      <c r="T153" s="1">
        <f t="shared" si="3"/>
        <v>1.909090909</v>
      </c>
      <c r="U153" s="1">
        <f t="shared" si="4"/>
        <v>0</v>
      </c>
      <c r="V153" s="3">
        <f t="shared" si="5"/>
        <v>1</v>
      </c>
      <c r="W153" s="3">
        <f t="shared" si="6"/>
        <v>2</v>
      </c>
      <c r="X153" s="3" t="str">
        <f>IFERROR(__xludf.DUMMYFUNCTION("split(B153,"" "")"),"C.")</f>
        <v>C.</v>
      </c>
      <c r="Y153" s="3" t="str">
        <f>IFERROR(__xludf.DUMMYFUNCTION("""COMPUTED_VALUE"""),"Stroud")</f>
        <v>Stroud</v>
      </c>
      <c r="AA153" s="8">
        <v>-10.0</v>
      </c>
      <c r="AB153" s="3">
        <f t="shared" si="7"/>
        <v>0</v>
      </c>
      <c r="AC153" s="3">
        <f t="shared" si="8"/>
        <v>1</v>
      </c>
      <c r="AD153" s="3">
        <f t="shared" si="9"/>
        <v>0.9090909091</v>
      </c>
      <c r="AE153" s="3">
        <f t="shared" si="10"/>
        <v>0.9090909091</v>
      </c>
      <c r="AF153" s="3">
        <f t="shared" si="11"/>
        <v>1.818181818</v>
      </c>
      <c r="AG153" s="3">
        <f t="shared" si="12"/>
        <v>1.869565217</v>
      </c>
    </row>
    <row r="154">
      <c r="A154" s="1" t="s">
        <v>8</v>
      </c>
      <c r="B154" s="1" t="s">
        <v>359</v>
      </c>
      <c r="C154" s="1" t="s">
        <v>19</v>
      </c>
      <c r="D154" s="1" t="s">
        <v>72</v>
      </c>
      <c r="E154" s="1" t="s">
        <v>71</v>
      </c>
      <c r="F154" s="1" t="s">
        <v>647</v>
      </c>
      <c r="G154" s="1">
        <v>17.5</v>
      </c>
      <c r="H154" s="1" t="s">
        <v>60</v>
      </c>
      <c r="I154" s="1">
        <v>-115.0</v>
      </c>
      <c r="J154" s="1">
        <v>0.0165767441860463</v>
      </c>
      <c r="K154" s="1" t="s">
        <v>61</v>
      </c>
      <c r="L154" s="1" t="s">
        <v>61</v>
      </c>
      <c r="M154" s="1" t="s">
        <v>62</v>
      </c>
      <c r="N154" s="1">
        <v>-115.0</v>
      </c>
      <c r="O154" s="1">
        <v>-0.0863232558139534</v>
      </c>
      <c r="P154" s="1" t="s">
        <v>61</v>
      </c>
      <c r="Q154" s="1" t="s">
        <v>61</v>
      </c>
      <c r="R154" s="1">
        <f t="shared" si="1"/>
        <v>0.01657674419</v>
      </c>
      <c r="S154" s="1">
        <f t="shared" si="2"/>
        <v>-115</v>
      </c>
      <c r="T154" s="1">
        <f t="shared" si="3"/>
        <v>1.869565217</v>
      </c>
      <c r="U154" s="1">
        <f t="shared" si="4"/>
        <v>1</v>
      </c>
      <c r="V154" s="3">
        <f t="shared" si="5"/>
        <v>1</v>
      </c>
      <c r="W154" s="3">
        <f t="shared" si="6"/>
        <v>2</v>
      </c>
      <c r="X154" s="3" t="str">
        <f>IFERROR(__xludf.DUMMYFUNCTION("split(B154,"" "")"),"J.")</f>
        <v>J.</v>
      </c>
      <c r="Y154" s="3" t="str">
        <f>IFERROR(__xludf.DUMMYFUNCTION("""COMPUTED_VALUE"""),"Mixon")</f>
        <v>Mixon</v>
      </c>
      <c r="AA154" s="8">
        <v>25.0</v>
      </c>
      <c r="AB154" s="3">
        <f t="shared" si="7"/>
        <v>1</v>
      </c>
      <c r="AC154" s="3">
        <f t="shared" si="8"/>
        <v>1</v>
      </c>
      <c r="AD154" s="3">
        <f t="shared" si="9"/>
        <v>0.8695652174</v>
      </c>
      <c r="AE154" s="3">
        <f t="shared" si="10"/>
        <v>0.8695652174</v>
      </c>
      <c r="AF154" s="3">
        <f t="shared" si="11"/>
        <v>1.739130435</v>
      </c>
      <c r="AG154" s="3">
        <f t="shared" si="12"/>
        <v>0.4285714286</v>
      </c>
    </row>
    <row r="155">
      <c r="A155" s="1" t="s">
        <v>15</v>
      </c>
      <c r="B155" s="1" t="s">
        <v>369</v>
      </c>
      <c r="C155" s="1" t="s">
        <v>21</v>
      </c>
      <c r="D155" s="1" t="s">
        <v>72</v>
      </c>
      <c r="E155" s="1" t="s">
        <v>71</v>
      </c>
      <c r="F155" s="1" t="s">
        <v>647</v>
      </c>
      <c r="G155" s="1">
        <v>21.5</v>
      </c>
      <c r="H155" s="1" t="s">
        <v>60</v>
      </c>
      <c r="I155" s="1">
        <v>-114.0</v>
      </c>
      <c r="J155" s="1">
        <v>0.00317663551401869</v>
      </c>
      <c r="K155" s="1" t="s">
        <v>61</v>
      </c>
      <c r="L155" s="1" t="s">
        <v>61</v>
      </c>
      <c r="M155" s="1" t="s">
        <v>62</v>
      </c>
      <c r="N155" s="1">
        <v>-115.0</v>
      </c>
      <c r="O155" s="1">
        <v>-0.0707976744186046</v>
      </c>
      <c r="P155" s="1" t="s">
        <v>61</v>
      </c>
      <c r="Q155" s="1" t="s">
        <v>61</v>
      </c>
      <c r="R155" s="1">
        <f t="shared" si="1"/>
        <v>0.003176635514</v>
      </c>
      <c r="S155" s="1">
        <f t="shared" si="2"/>
        <v>-114</v>
      </c>
      <c r="T155" s="1">
        <f t="shared" si="3"/>
        <v>1.877192982</v>
      </c>
      <c r="U155" s="1">
        <f t="shared" si="4"/>
        <v>1</v>
      </c>
      <c r="V155" s="3">
        <f t="shared" si="5"/>
        <v>1</v>
      </c>
      <c r="W155" s="3">
        <f t="shared" si="6"/>
        <v>2</v>
      </c>
      <c r="X155" s="3" t="str">
        <f>IFERROR(__xludf.DUMMYFUNCTION("split(B155,"" "")"),"C.")</f>
        <v>C.</v>
      </c>
      <c r="Y155" s="3" t="str">
        <f>IFERROR(__xludf.DUMMYFUNCTION("""COMPUTED_VALUE"""),"Stroud")</f>
        <v>Stroud</v>
      </c>
      <c r="AA155" s="8">
        <v>25.0</v>
      </c>
      <c r="AB155" s="3">
        <f t="shared" si="7"/>
        <v>1</v>
      </c>
      <c r="AC155" s="3">
        <f t="shared" si="8"/>
        <v>1</v>
      </c>
      <c r="AD155" s="3">
        <f t="shared" si="9"/>
        <v>0.8771929825</v>
      </c>
      <c r="AE155" s="3">
        <f t="shared" si="10"/>
        <v>0.8771929825</v>
      </c>
      <c r="AF155" s="3">
        <f t="shared" si="11"/>
        <v>1.754385965</v>
      </c>
      <c r="AG155" s="3">
        <f t="shared" si="12"/>
        <v>0.1627906977</v>
      </c>
    </row>
    <row r="156">
      <c r="A156" s="1" t="s">
        <v>8</v>
      </c>
      <c r="B156" s="1" t="s">
        <v>200</v>
      </c>
      <c r="C156" s="1" t="s">
        <v>21</v>
      </c>
      <c r="D156" s="1" t="s">
        <v>71</v>
      </c>
      <c r="E156" s="1" t="s">
        <v>72</v>
      </c>
      <c r="F156" s="1" t="s">
        <v>647</v>
      </c>
      <c r="G156" s="1">
        <v>7.5</v>
      </c>
      <c r="H156" s="1" t="s">
        <v>60</v>
      </c>
      <c r="I156" s="1">
        <v>-138.0</v>
      </c>
      <c r="J156" s="1">
        <v>-0.254161401716433</v>
      </c>
      <c r="K156" s="1" t="s">
        <v>61</v>
      </c>
      <c r="L156" s="1" t="s">
        <v>61</v>
      </c>
      <c r="M156" s="1" t="s">
        <v>62</v>
      </c>
      <c r="N156" s="1">
        <v>105.0</v>
      </c>
      <c r="O156" s="1">
        <v>0.186529334675664</v>
      </c>
      <c r="P156" s="1" t="s">
        <v>61</v>
      </c>
      <c r="Q156" s="1" t="s">
        <v>61</v>
      </c>
      <c r="R156" s="1">
        <f t="shared" si="1"/>
        <v>0.1865293347</v>
      </c>
      <c r="S156" s="1">
        <f t="shared" si="2"/>
        <v>105</v>
      </c>
      <c r="T156" s="1">
        <f t="shared" si="3"/>
        <v>2.05</v>
      </c>
      <c r="U156" s="1">
        <f t="shared" si="4"/>
        <v>0</v>
      </c>
      <c r="V156" s="3">
        <f t="shared" si="5"/>
        <v>3</v>
      </c>
      <c r="W156" s="3">
        <f t="shared" si="6"/>
        <v>2</v>
      </c>
      <c r="X156" s="3" t="str">
        <f>IFERROR(__xludf.DUMMYFUNCTION("split(B156,"" "")"),"A.")</f>
        <v>A.</v>
      </c>
      <c r="Y156" s="3" t="str">
        <f>IFERROR(__xludf.DUMMYFUNCTION("""COMPUTED_VALUE"""),"Richardson")</f>
        <v>Richardson</v>
      </c>
      <c r="AA156" s="8">
        <v>6.0</v>
      </c>
      <c r="AB156" s="3">
        <f t="shared" si="7"/>
        <v>0</v>
      </c>
      <c r="AC156" s="3">
        <f t="shared" si="8"/>
        <v>1</v>
      </c>
      <c r="AD156" s="3">
        <f t="shared" si="9"/>
        <v>3.15</v>
      </c>
      <c r="AE156" s="3">
        <f t="shared" si="10"/>
        <v>3.15</v>
      </c>
      <c r="AF156" s="3">
        <f t="shared" si="11"/>
        <v>2.1</v>
      </c>
      <c r="AG156" s="3">
        <f t="shared" si="12"/>
        <v>0.2</v>
      </c>
    </row>
    <row r="157">
      <c r="A157" s="1" t="s">
        <v>14</v>
      </c>
      <c r="B157" s="1" t="s">
        <v>200</v>
      </c>
      <c r="C157" s="1" t="s">
        <v>21</v>
      </c>
      <c r="D157" s="1" t="s">
        <v>71</v>
      </c>
      <c r="E157" s="1" t="s">
        <v>72</v>
      </c>
      <c r="F157" s="1" t="s">
        <v>647</v>
      </c>
      <c r="G157" s="1">
        <v>0.5</v>
      </c>
      <c r="H157" s="1" t="s">
        <v>60</v>
      </c>
      <c r="I157" s="1">
        <v>-208.0</v>
      </c>
      <c r="J157" s="1">
        <v>-0.191523221785714</v>
      </c>
      <c r="K157" s="1" t="s">
        <v>61</v>
      </c>
      <c r="L157" s="1" t="s">
        <v>61</v>
      </c>
      <c r="M157" s="1" t="s">
        <v>62</v>
      </c>
      <c r="N157" s="1">
        <v>159.0</v>
      </c>
      <c r="O157" s="1">
        <v>0.130097885366795</v>
      </c>
      <c r="P157" s="1" t="s">
        <v>61</v>
      </c>
      <c r="Q157" s="1" t="s">
        <v>61</v>
      </c>
      <c r="R157" s="1">
        <f t="shared" si="1"/>
        <v>0.1300978854</v>
      </c>
      <c r="S157" s="1">
        <f t="shared" si="2"/>
        <v>159</v>
      </c>
      <c r="T157" s="1">
        <f t="shared" si="3"/>
        <v>2.59</v>
      </c>
      <c r="U157" s="1">
        <f t="shared" si="4"/>
        <v>0</v>
      </c>
      <c r="V157" s="3">
        <f t="shared" si="5"/>
        <v>3</v>
      </c>
      <c r="W157" s="3">
        <f t="shared" si="6"/>
        <v>1</v>
      </c>
      <c r="X157" s="3" t="str">
        <f>IFERROR(__xludf.DUMMYFUNCTION("split(B157,"" "")"),"A.")</f>
        <v>A.</v>
      </c>
      <c r="Y157" s="3" t="str">
        <f>IFERROR(__xludf.DUMMYFUNCTION("""COMPUTED_VALUE"""),"Richardson")</f>
        <v>Richardson</v>
      </c>
      <c r="AA157" s="8">
        <v>1.0</v>
      </c>
      <c r="AB157" s="3">
        <f t="shared" si="7"/>
        <v>1</v>
      </c>
      <c r="AC157" s="3">
        <f t="shared" si="8"/>
        <v>0</v>
      </c>
      <c r="AD157" s="3">
        <f t="shared" si="9"/>
        <v>4.77</v>
      </c>
      <c r="AE157" s="3">
        <f t="shared" si="10"/>
        <v>-3</v>
      </c>
      <c r="AF157" s="3">
        <f t="shared" si="11"/>
        <v>-1</v>
      </c>
      <c r="AG157" s="3">
        <f t="shared" si="12"/>
        <v>-1</v>
      </c>
    </row>
    <row r="158">
      <c r="A158" s="1" t="s">
        <v>12</v>
      </c>
      <c r="B158" s="1" t="s">
        <v>391</v>
      </c>
      <c r="C158" s="1" t="s">
        <v>18</v>
      </c>
      <c r="D158" s="1" t="s">
        <v>71</v>
      </c>
      <c r="E158" s="1" t="s">
        <v>72</v>
      </c>
      <c r="F158" s="1" t="s">
        <v>647</v>
      </c>
      <c r="G158" s="1">
        <v>4.5</v>
      </c>
      <c r="H158" s="1" t="s">
        <v>60</v>
      </c>
      <c r="I158" s="1">
        <v>128.0</v>
      </c>
      <c r="J158" s="1">
        <v>0.082859649122807</v>
      </c>
      <c r="K158" s="1" t="s">
        <v>61</v>
      </c>
      <c r="L158" s="1" t="s">
        <v>61</v>
      </c>
      <c r="M158" s="1" t="s">
        <v>62</v>
      </c>
      <c r="N158" s="1">
        <v>-168.0</v>
      </c>
      <c r="O158" s="1">
        <v>-0.148328358208955</v>
      </c>
      <c r="P158" s="1" t="s">
        <v>61</v>
      </c>
      <c r="Q158" s="1" t="s">
        <v>61</v>
      </c>
      <c r="R158" s="1">
        <f t="shared" si="1"/>
        <v>0.08285964912</v>
      </c>
      <c r="S158" s="1">
        <f t="shared" si="2"/>
        <v>128</v>
      </c>
      <c r="T158" s="1">
        <f t="shared" si="3"/>
        <v>2.28</v>
      </c>
      <c r="U158" s="1">
        <f t="shared" si="4"/>
        <v>1</v>
      </c>
      <c r="V158" s="3">
        <f t="shared" si="5"/>
        <v>2</v>
      </c>
      <c r="W158" s="3">
        <f t="shared" si="6"/>
        <v>1</v>
      </c>
      <c r="X158" s="3" t="str">
        <f>IFERROR(__xludf.DUMMYFUNCTION("split(B158,"" "")"),"M.")</f>
        <v>M.</v>
      </c>
      <c r="Y158" s="3" t="str">
        <f>IFERROR(__xludf.DUMMYFUNCTION("""COMPUTED_VALUE"""),"Pittman")</f>
        <v>Pittman</v>
      </c>
      <c r="Z158" s="3" t="str">
        <f>IFERROR(__xludf.DUMMYFUNCTION("""COMPUTED_VALUE"""),"Jr.")</f>
        <v>Jr.</v>
      </c>
      <c r="AA158" s="8">
        <v>1.0</v>
      </c>
      <c r="AB158" s="3">
        <f t="shared" si="7"/>
        <v>0</v>
      </c>
      <c r="AC158" s="3">
        <f t="shared" si="8"/>
        <v>0</v>
      </c>
      <c r="AD158" s="3">
        <f t="shared" si="9"/>
        <v>2.56</v>
      </c>
      <c r="AE158" s="3">
        <f t="shared" si="10"/>
        <v>-2</v>
      </c>
      <c r="AF158" s="3">
        <f t="shared" si="11"/>
        <v>-1</v>
      </c>
      <c r="AG158" s="3">
        <f t="shared" si="12"/>
        <v>-0.7777777778</v>
      </c>
    </row>
    <row r="159">
      <c r="A159" s="1" t="s">
        <v>17</v>
      </c>
      <c r="B159" s="1" t="s">
        <v>200</v>
      </c>
      <c r="C159" s="1" t="s">
        <v>21</v>
      </c>
      <c r="D159" s="1" t="s">
        <v>71</v>
      </c>
      <c r="E159" s="1" t="s">
        <v>72</v>
      </c>
      <c r="F159" s="1" t="s">
        <v>647</v>
      </c>
      <c r="G159" s="1">
        <v>0.5</v>
      </c>
      <c r="H159" s="1" t="s">
        <v>60</v>
      </c>
      <c r="I159" s="1">
        <v>-144.0</v>
      </c>
      <c r="J159" s="1">
        <v>-0.134663934426229</v>
      </c>
      <c r="K159" s="1" t="s">
        <v>61</v>
      </c>
      <c r="L159" s="1" t="s">
        <v>61</v>
      </c>
      <c r="M159" s="1" t="s">
        <v>62</v>
      </c>
      <c r="N159" s="1">
        <v>110.0</v>
      </c>
      <c r="O159" s="1">
        <v>0.0683095238095238</v>
      </c>
      <c r="P159" s="1" t="s">
        <v>61</v>
      </c>
      <c r="Q159" s="1" t="s">
        <v>61</v>
      </c>
      <c r="R159" s="1">
        <f t="shared" si="1"/>
        <v>0.06830952381</v>
      </c>
      <c r="S159" s="1">
        <f t="shared" si="2"/>
        <v>110</v>
      </c>
      <c r="T159" s="1">
        <f t="shared" si="3"/>
        <v>2.1</v>
      </c>
      <c r="U159" s="1">
        <f t="shared" si="4"/>
        <v>0</v>
      </c>
      <c r="V159" s="3">
        <f t="shared" si="5"/>
        <v>2</v>
      </c>
      <c r="W159" s="3">
        <f t="shared" si="6"/>
        <v>2</v>
      </c>
      <c r="X159" s="3" t="str">
        <f>IFERROR(__xludf.DUMMYFUNCTION("split(B159,"" "")"),"A.")</f>
        <v>A.</v>
      </c>
      <c r="Y159" s="3" t="str">
        <f>IFERROR(__xludf.DUMMYFUNCTION("""COMPUTED_VALUE"""),"Richardson")</f>
        <v>Richardson</v>
      </c>
      <c r="AA159" s="8">
        <v>1.0</v>
      </c>
      <c r="AB159" s="3">
        <f t="shared" si="7"/>
        <v>1</v>
      </c>
      <c r="AC159" s="3">
        <f t="shared" si="8"/>
        <v>0</v>
      </c>
      <c r="AD159" s="3">
        <f t="shared" si="9"/>
        <v>2.2</v>
      </c>
      <c r="AE159" s="3">
        <f t="shared" si="10"/>
        <v>-2</v>
      </c>
      <c r="AF159" s="3">
        <f t="shared" si="11"/>
        <v>-2</v>
      </c>
      <c r="AG159" s="3">
        <f t="shared" si="12"/>
        <v>-1</v>
      </c>
    </row>
    <row r="160">
      <c r="A160" s="1" t="s">
        <v>16</v>
      </c>
      <c r="B160" s="1" t="s">
        <v>200</v>
      </c>
      <c r="C160" s="1" t="s">
        <v>21</v>
      </c>
      <c r="D160" s="1" t="s">
        <v>71</v>
      </c>
      <c r="E160" s="1" t="s">
        <v>72</v>
      </c>
      <c r="F160" s="1" t="s">
        <v>647</v>
      </c>
      <c r="G160" s="1">
        <v>28.5</v>
      </c>
      <c r="H160" s="1" t="s">
        <v>60</v>
      </c>
      <c r="I160" s="1">
        <v>-115.0</v>
      </c>
      <c r="J160" s="1">
        <v>-0.132669079953488</v>
      </c>
      <c r="K160" s="1" t="s">
        <v>61</v>
      </c>
      <c r="L160" s="1" t="s">
        <v>61</v>
      </c>
      <c r="M160" s="1" t="s">
        <v>62</v>
      </c>
      <c r="N160" s="1">
        <v>-114.0</v>
      </c>
      <c r="O160" s="1">
        <v>0.0651020163392523</v>
      </c>
      <c r="P160" s="1" t="s">
        <v>61</v>
      </c>
      <c r="Q160" s="1" t="s">
        <v>61</v>
      </c>
      <c r="R160" s="1">
        <f t="shared" si="1"/>
        <v>0.06510201634</v>
      </c>
      <c r="S160" s="1">
        <f t="shared" si="2"/>
        <v>-114</v>
      </c>
      <c r="T160" s="1">
        <f t="shared" si="3"/>
        <v>1.877192982</v>
      </c>
      <c r="U160" s="1">
        <f t="shared" si="4"/>
        <v>0</v>
      </c>
      <c r="V160" s="3">
        <f t="shared" si="5"/>
        <v>2</v>
      </c>
      <c r="W160" s="3">
        <f t="shared" si="6"/>
        <v>2</v>
      </c>
      <c r="X160" s="3" t="str">
        <f>IFERROR(__xludf.DUMMYFUNCTION("split(B160,"" "")"),"A.")</f>
        <v>A.</v>
      </c>
      <c r="Y160" s="3" t="str">
        <f>IFERROR(__xludf.DUMMYFUNCTION("""COMPUTED_VALUE"""),"Richardson")</f>
        <v>Richardson</v>
      </c>
      <c r="AA160" s="8">
        <v>32.0</v>
      </c>
      <c r="AB160" s="3">
        <f t="shared" si="7"/>
        <v>1</v>
      </c>
      <c r="AC160" s="3">
        <f t="shared" si="8"/>
        <v>0</v>
      </c>
      <c r="AD160" s="3">
        <f t="shared" si="9"/>
        <v>1.754385965</v>
      </c>
      <c r="AE160" s="3">
        <f t="shared" si="10"/>
        <v>-2</v>
      </c>
      <c r="AF160" s="3">
        <f t="shared" si="11"/>
        <v>-2</v>
      </c>
      <c r="AG160" s="3">
        <f t="shared" si="12"/>
        <v>-0.1228070175</v>
      </c>
    </row>
    <row r="161">
      <c r="A161" s="1" t="s">
        <v>15</v>
      </c>
      <c r="B161" s="1" t="s">
        <v>200</v>
      </c>
      <c r="C161" s="1" t="s">
        <v>21</v>
      </c>
      <c r="D161" s="1" t="s">
        <v>71</v>
      </c>
      <c r="E161" s="1" t="s">
        <v>72</v>
      </c>
      <c r="F161" s="1" t="s">
        <v>647</v>
      </c>
      <c r="G161" s="1">
        <v>16.5</v>
      </c>
      <c r="H161" s="1" t="s">
        <v>60</v>
      </c>
      <c r="I161" s="1">
        <v>-101.0</v>
      </c>
      <c r="J161" s="1">
        <v>-0.104034773154228</v>
      </c>
      <c r="K161" s="1" t="s">
        <v>61</v>
      </c>
      <c r="L161" s="1" t="s">
        <v>61</v>
      </c>
      <c r="M161" s="1" t="s">
        <v>62</v>
      </c>
      <c r="N161" s="1">
        <v>-129.0</v>
      </c>
      <c r="O161" s="1">
        <v>0.0382346783020087</v>
      </c>
      <c r="P161" s="1" t="s">
        <v>61</v>
      </c>
      <c r="Q161" s="1" t="s">
        <v>61</v>
      </c>
      <c r="R161" s="1">
        <f t="shared" si="1"/>
        <v>0.0382346783</v>
      </c>
      <c r="S161" s="1">
        <f t="shared" si="2"/>
        <v>-129</v>
      </c>
      <c r="T161" s="1">
        <f t="shared" si="3"/>
        <v>1.775193798</v>
      </c>
      <c r="U161" s="1">
        <f t="shared" si="4"/>
        <v>0</v>
      </c>
      <c r="V161" s="3">
        <f t="shared" si="5"/>
        <v>1</v>
      </c>
      <c r="W161" s="3">
        <f t="shared" si="6"/>
        <v>3</v>
      </c>
      <c r="X161" s="3" t="str">
        <f>IFERROR(__xludf.DUMMYFUNCTION("split(B161,"" "")"),"A.")</f>
        <v>A.</v>
      </c>
      <c r="Y161" s="3" t="str">
        <f>IFERROR(__xludf.DUMMYFUNCTION("""COMPUTED_VALUE"""),"Richardson")</f>
        <v>Richardson</v>
      </c>
      <c r="AA161" s="8">
        <v>10.0</v>
      </c>
      <c r="AB161" s="3">
        <f t="shared" si="7"/>
        <v>0</v>
      </c>
      <c r="AC161" s="3">
        <f t="shared" si="8"/>
        <v>1</v>
      </c>
      <c r="AD161" s="3">
        <f t="shared" si="9"/>
        <v>0.7751937984</v>
      </c>
      <c r="AE161" s="3">
        <f t="shared" si="10"/>
        <v>0.7751937984</v>
      </c>
      <c r="AF161" s="3">
        <f t="shared" si="11"/>
        <v>2.325581395</v>
      </c>
      <c r="AG161" s="3">
        <f t="shared" si="12"/>
        <v>0.3939393939</v>
      </c>
    </row>
    <row r="162">
      <c r="A162" s="1" t="s">
        <v>10</v>
      </c>
      <c r="B162" s="1" t="s">
        <v>200</v>
      </c>
      <c r="C162" s="1" t="s">
        <v>21</v>
      </c>
      <c r="D162" s="1" t="s">
        <v>71</v>
      </c>
      <c r="E162" s="1" t="s">
        <v>72</v>
      </c>
      <c r="F162" s="1" t="s">
        <v>647</v>
      </c>
      <c r="G162" s="1">
        <v>39.5</v>
      </c>
      <c r="H162" s="1" t="s">
        <v>60</v>
      </c>
      <c r="I162" s="1">
        <v>-115.0</v>
      </c>
      <c r="J162" s="1">
        <v>-0.0967739358324931</v>
      </c>
      <c r="K162" s="1" t="s">
        <v>61</v>
      </c>
      <c r="L162" s="1" t="s">
        <v>61</v>
      </c>
      <c r="M162" s="1" t="s">
        <v>62</v>
      </c>
      <c r="N162" s="1">
        <v>-117.0</v>
      </c>
      <c r="O162" s="1">
        <v>0.0227174738948323</v>
      </c>
      <c r="P162" s="1" t="s">
        <v>61</v>
      </c>
      <c r="Q162" s="1" t="s">
        <v>61</v>
      </c>
      <c r="R162" s="1">
        <f t="shared" si="1"/>
        <v>0.02271747389</v>
      </c>
      <c r="S162" s="1">
        <f t="shared" si="2"/>
        <v>-117</v>
      </c>
      <c r="T162" s="1">
        <f t="shared" si="3"/>
        <v>1.854700855</v>
      </c>
      <c r="U162" s="1">
        <f t="shared" si="4"/>
        <v>0</v>
      </c>
      <c r="V162" s="3">
        <f t="shared" si="5"/>
        <v>1</v>
      </c>
      <c r="W162" s="3">
        <f t="shared" si="6"/>
        <v>2</v>
      </c>
      <c r="X162" s="3" t="str">
        <f>IFERROR(__xludf.DUMMYFUNCTION("split(B162,"" "")"),"A.")</f>
        <v>A.</v>
      </c>
      <c r="Y162" s="3" t="str">
        <f>IFERROR(__xludf.DUMMYFUNCTION("""COMPUTED_VALUE"""),"Richardson")</f>
        <v>Richardson</v>
      </c>
      <c r="AA162" s="8">
        <v>45.0</v>
      </c>
      <c r="AB162" s="3">
        <f t="shared" si="7"/>
        <v>1</v>
      </c>
      <c r="AC162" s="3">
        <f t="shared" si="8"/>
        <v>0</v>
      </c>
      <c r="AD162" s="3">
        <f t="shared" si="9"/>
        <v>0.8547008547</v>
      </c>
      <c r="AE162" s="3">
        <f t="shared" si="10"/>
        <v>-1</v>
      </c>
      <c r="AF162" s="3">
        <f t="shared" si="11"/>
        <v>-2</v>
      </c>
      <c r="AG162" s="3">
        <f t="shared" si="12"/>
        <v>-0.1392405063</v>
      </c>
    </row>
    <row r="163">
      <c r="A163" s="1" t="s">
        <v>9</v>
      </c>
      <c r="B163" s="1" t="s">
        <v>391</v>
      </c>
      <c r="C163" s="1" t="s">
        <v>18</v>
      </c>
      <c r="D163" s="1" t="s">
        <v>71</v>
      </c>
      <c r="E163" s="1" t="s">
        <v>72</v>
      </c>
      <c r="F163" s="1" t="s">
        <v>647</v>
      </c>
      <c r="G163" s="1">
        <v>47.5</v>
      </c>
      <c r="H163" s="1" t="s">
        <v>60</v>
      </c>
      <c r="I163" s="1">
        <v>-119.0</v>
      </c>
      <c r="J163" s="1">
        <v>0.011411490579132</v>
      </c>
      <c r="K163" s="1" t="s">
        <v>61</v>
      </c>
      <c r="L163" s="1" t="s">
        <v>61</v>
      </c>
      <c r="M163" s="1" t="s">
        <v>62</v>
      </c>
      <c r="N163" s="1">
        <v>-114.0</v>
      </c>
      <c r="O163" s="1">
        <v>-0.0874658539158228</v>
      </c>
      <c r="P163" s="1" t="s">
        <v>61</v>
      </c>
      <c r="Q163" s="1" t="s">
        <v>61</v>
      </c>
      <c r="R163" s="1">
        <f t="shared" si="1"/>
        <v>0.01141149058</v>
      </c>
      <c r="S163" s="1">
        <f t="shared" si="2"/>
        <v>-119</v>
      </c>
      <c r="T163" s="1">
        <f t="shared" si="3"/>
        <v>1.840336134</v>
      </c>
      <c r="U163" s="1">
        <f t="shared" si="4"/>
        <v>1</v>
      </c>
      <c r="V163" s="3">
        <f t="shared" si="5"/>
        <v>1</v>
      </c>
      <c r="W163" s="3">
        <f t="shared" si="6"/>
        <v>3</v>
      </c>
      <c r="X163" s="3" t="str">
        <f>IFERROR(__xludf.DUMMYFUNCTION("split(B163,"" "")"),"M.")</f>
        <v>M.</v>
      </c>
      <c r="Y163" s="3" t="str">
        <f>IFERROR(__xludf.DUMMYFUNCTION("""COMPUTED_VALUE"""),"Pittman")</f>
        <v>Pittman</v>
      </c>
      <c r="Z163" s="3" t="str">
        <f>IFERROR(__xludf.DUMMYFUNCTION("""COMPUTED_VALUE"""),"Jr.")</f>
        <v>Jr.</v>
      </c>
      <c r="AA163" s="8">
        <v>16.0</v>
      </c>
      <c r="AB163" s="3">
        <f t="shared" si="7"/>
        <v>0</v>
      </c>
      <c r="AC163" s="3">
        <f t="shared" si="8"/>
        <v>0</v>
      </c>
      <c r="AD163" s="3">
        <f t="shared" si="9"/>
        <v>0.8403361345</v>
      </c>
      <c r="AE163" s="3">
        <f t="shared" si="10"/>
        <v>-1</v>
      </c>
      <c r="AF163" s="3">
        <f t="shared" si="11"/>
        <v>-3</v>
      </c>
      <c r="AG163" s="3">
        <f t="shared" si="12"/>
        <v>-0.6631578947</v>
      </c>
    </row>
    <row r="164">
      <c r="A164" s="1" t="s">
        <v>9</v>
      </c>
      <c r="B164" s="1" t="s">
        <v>539</v>
      </c>
      <c r="C164" s="1" t="s">
        <v>18</v>
      </c>
      <c r="D164" s="1" t="s">
        <v>71</v>
      </c>
      <c r="E164" s="1" t="s">
        <v>72</v>
      </c>
      <c r="F164" s="1" t="s">
        <v>647</v>
      </c>
      <c r="G164" s="1">
        <v>39.5</v>
      </c>
      <c r="H164" s="1" t="s">
        <v>60</v>
      </c>
      <c r="I164" s="1">
        <v>-115.0</v>
      </c>
      <c r="J164" s="1">
        <v>0.00227573673505709</v>
      </c>
      <c r="K164" s="1" t="s">
        <v>61</v>
      </c>
      <c r="L164" s="1" t="s">
        <v>61</v>
      </c>
      <c r="M164" s="1" t="s">
        <v>62</v>
      </c>
      <c r="N164" s="1">
        <v>-117.0</v>
      </c>
      <c r="O164" s="1">
        <v>-0.0762757445884959</v>
      </c>
      <c r="P164" s="1" t="s">
        <v>61</v>
      </c>
      <c r="Q164" s="1" t="s">
        <v>61</v>
      </c>
      <c r="R164" s="1">
        <f t="shared" si="1"/>
        <v>0.002275736735</v>
      </c>
      <c r="S164" s="1">
        <f t="shared" si="2"/>
        <v>-115</v>
      </c>
      <c r="T164" s="1">
        <f t="shared" si="3"/>
        <v>1.869565217</v>
      </c>
      <c r="U164" s="1">
        <f t="shared" si="4"/>
        <v>1</v>
      </c>
      <c r="V164" s="3">
        <f t="shared" si="5"/>
        <v>1</v>
      </c>
      <c r="W164" s="3">
        <f t="shared" si="6"/>
        <v>2</v>
      </c>
      <c r="X164" s="3" t="str">
        <f>IFERROR(__xludf.DUMMYFUNCTION("split(B164,"" "")"),"J.")</f>
        <v>J.</v>
      </c>
      <c r="Y164" s="3" t="str">
        <f>IFERROR(__xludf.DUMMYFUNCTION("""COMPUTED_VALUE"""),"Downs")</f>
        <v>Downs</v>
      </c>
      <c r="AA164" s="8">
        <v>122.0</v>
      </c>
      <c r="AB164" s="3">
        <f t="shared" si="7"/>
        <v>1</v>
      </c>
      <c r="AC164" s="3">
        <f t="shared" si="8"/>
        <v>1</v>
      </c>
      <c r="AD164" s="3">
        <f t="shared" si="9"/>
        <v>0.8695652174</v>
      </c>
      <c r="AE164" s="3">
        <f t="shared" si="10"/>
        <v>0.8695652174</v>
      </c>
      <c r="AF164" s="3">
        <f t="shared" si="11"/>
        <v>1.739130435</v>
      </c>
      <c r="AG164" s="3">
        <f t="shared" si="12"/>
        <v>2.088607595</v>
      </c>
    </row>
    <row r="165">
      <c r="A165" s="1" t="s">
        <v>10</v>
      </c>
      <c r="B165" s="1" t="s">
        <v>466</v>
      </c>
      <c r="C165" s="1" t="s">
        <v>18</v>
      </c>
      <c r="D165" s="1" t="s">
        <v>93</v>
      </c>
      <c r="E165" s="1" t="s">
        <v>157</v>
      </c>
      <c r="F165" s="1" t="s">
        <v>647</v>
      </c>
      <c r="G165" s="1">
        <v>0.5</v>
      </c>
      <c r="H165" s="1" t="s">
        <v>60</v>
      </c>
      <c r="I165" s="1">
        <v>172.0</v>
      </c>
      <c r="J165" s="1">
        <v>0.245197461872367</v>
      </c>
      <c r="K165" s="1" t="s">
        <v>61</v>
      </c>
      <c r="L165" s="1" t="s">
        <v>61</v>
      </c>
      <c r="M165" s="1" t="s">
        <v>62</v>
      </c>
      <c r="N165" s="1">
        <v>-218.0</v>
      </c>
      <c r="O165" s="1">
        <v>-0.298349215649845</v>
      </c>
      <c r="P165" s="1" t="s">
        <v>61</v>
      </c>
      <c r="Q165" s="1" t="s">
        <v>61</v>
      </c>
      <c r="R165" s="1">
        <f t="shared" si="1"/>
        <v>0.2451974619</v>
      </c>
      <c r="S165" s="1">
        <f t="shared" si="2"/>
        <v>172</v>
      </c>
      <c r="T165" s="1">
        <f t="shared" si="3"/>
        <v>2.72</v>
      </c>
      <c r="U165" s="1">
        <f t="shared" si="4"/>
        <v>1</v>
      </c>
      <c r="V165" s="3">
        <f t="shared" si="5"/>
        <v>3</v>
      </c>
      <c r="W165" s="3">
        <f t="shared" si="6"/>
        <v>1</v>
      </c>
      <c r="X165" s="3" t="str">
        <f>IFERROR(__xludf.DUMMYFUNCTION("split(B165,"" "")"),"B.")</f>
        <v>B.</v>
      </c>
      <c r="Y165" s="3" t="str">
        <f>IFERROR(__xludf.DUMMYFUNCTION("""COMPUTED_VALUE"""),"Thomas")</f>
        <v>Thomas</v>
      </c>
      <c r="Z165" s="3" t="str">
        <f>IFERROR(__xludf.DUMMYFUNCTION("""COMPUTED_VALUE"""),"Jr.")</f>
        <v>Jr.</v>
      </c>
      <c r="AA165" s="8">
        <v>0.0</v>
      </c>
      <c r="AB165" s="3">
        <f t="shared" si="7"/>
        <v>0</v>
      </c>
      <c r="AC165" s="3">
        <f t="shared" si="8"/>
        <v>0</v>
      </c>
      <c r="AD165" s="3">
        <f t="shared" si="9"/>
        <v>5.16</v>
      </c>
      <c r="AE165" s="3">
        <f t="shared" si="10"/>
        <v>-3</v>
      </c>
      <c r="AF165" s="3">
        <f t="shared" si="11"/>
        <v>-1</v>
      </c>
      <c r="AG165" s="3">
        <f t="shared" si="12"/>
        <v>-1</v>
      </c>
    </row>
    <row r="166">
      <c r="A166" s="1" t="s">
        <v>8</v>
      </c>
      <c r="B166" s="1" t="s">
        <v>119</v>
      </c>
      <c r="C166" s="1" t="s">
        <v>21</v>
      </c>
      <c r="D166" s="1" t="s">
        <v>93</v>
      </c>
      <c r="E166" s="1" t="s">
        <v>157</v>
      </c>
      <c r="F166" s="1" t="s">
        <v>647</v>
      </c>
      <c r="G166" s="1">
        <v>3.5</v>
      </c>
      <c r="H166" s="1" t="s">
        <v>60</v>
      </c>
      <c r="I166" s="1">
        <v>130.0</v>
      </c>
      <c r="J166" s="1">
        <v>-0.144335089959058</v>
      </c>
      <c r="K166" s="1" t="s">
        <v>61</v>
      </c>
      <c r="L166" s="1" t="s">
        <v>61</v>
      </c>
      <c r="M166" s="1" t="s">
        <v>62</v>
      </c>
      <c r="N166" s="1">
        <v>-168.0</v>
      </c>
      <c r="O166" s="1">
        <v>0.0826925337548225</v>
      </c>
      <c r="P166" s="1" t="s">
        <v>61</v>
      </c>
      <c r="Q166" s="1" t="s">
        <v>61</v>
      </c>
      <c r="R166" s="1">
        <f t="shared" si="1"/>
        <v>0.08269253375</v>
      </c>
      <c r="S166" s="1">
        <f t="shared" si="2"/>
        <v>-168</v>
      </c>
      <c r="T166" s="1">
        <f t="shared" si="3"/>
        <v>1.595238095</v>
      </c>
      <c r="U166" s="1">
        <f t="shared" si="4"/>
        <v>0</v>
      </c>
      <c r="V166" s="3">
        <f t="shared" si="5"/>
        <v>2</v>
      </c>
      <c r="W166" s="3">
        <f t="shared" si="6"/>
        <v>3</v>
      </c>
      <c r="X166" s="3" t="str">
        <f>IFERROR(__xludf.DUMMYFUNCTION("split(B166,"" "")"),"T.")</f>
        <v>T.</v>
      </c>
      <c r="Y166" s="3" t="str">
        <f>IFERROR(__xludf.DUMMYFUNCTION("""COMPUTED_VALUE"""),"Lawrence")</f>
        <v>Lawrence</v>
      </c>
      <c r="AA166" s="8">
        <v>4.0</v>
      </c>
      <c r="AB166" s="3">
        <f t="shared" si="7"/>
        <v>1</v>
      </c>
      <c r="AC166" s="3">
        <f t="shared" si="8"/>
        <v>0</v>
      </c>
      <c r="AD166" s="3">
        <f t="shared" si="9"/>
        <v>1.19047619</v>
      </c>
      <c r="AE166" s="3">
        <f t="shared" si="10"/>
        <v>-2</v>
      </c>
      <c r="AF166" s="3">
        <f t="shared" si="11"/>
        <v>-3</v>
      </c>
      <c r="AG166" s="3">
        <f t="shared" si="12"/>
        <v>-0.1428571429</v>
      </c>
    </row>
    <row r="167">
      <c r="A167" s="1" t="s">
        <v>12</v>
      </c>
      <c r="B167" s="1" t="s">
        <v>121</v>
      </c>
      <c r="C167" s="1" t="s">
        <v>18</v>
      </c>
      <c r="D167" s="1" t="s">
        <v>93</v>
      </c>
      <c r="E167" s="1" t="s">
        <v>157</v>
      </c>
      <c r="F167" s="1" t="s">
        <v>647</v>
      </c>
      <c r="G167" s="1">
        <v>3.5</v>
      </c>
      <c r="H167" s="1" t="s">
        <v>60</v>
      </c>
      <c r="I167" s="1">
        <v>-125.0</v>
      </c>
      <c r="J167" s="1">
        <v>-0.145611111111111</v>
      </c>
      <c r="K167" s="1" t="s">
        <v>61</v>
      </c>
      <c r="L167" s="1" t="s">
        <v>61</v>
      </c>
      <c r="M167" s="1" t="s">
        <v>62</v>
      </c>
      <c r="N167" s="1">
        <v>-106.0</v>
      </c>
      <c r="O167" s="1">
        <v>0.0754854368932038</v>
      </c>
      <c r="P167" s="1" t="s">
        <v>61</v>
      </c>
      <c r="Q167" s="1" t="s">
        <v>61</v>
      </c>
      <c r="R167" s="1">
        <f t="shared" si="1"/>
        <v>0.07548543689</v>
      </c>
      <c r="S167" s="1">
        <f t="shared" si="2"/>
        <v>-106</v>
      </c>
      <c r="T167" s="1">
        <f t="shared" si="3"/>
        <v>1.943396226</v>
      </c>
      <c r="U167" s="1">
        <f t="shared" si="4"/>
        <v>0</v>
      </c>
      <c r="V167" s="3">
        <f t="shared" si="5"/>
        <v>2</v>
      </c>
      <c r="W167" s="3">
        <f t="shared" si="6"/>
        <v>2</v>
      </c>
      <c r="X167" s="3" t="str">
        <f>IFERROR(__xludf.DUMMYFUNCTION("split(B167,"" "")"),"C.")</f>
        <v>C.</v>
      </c>
      <c r="Y167" s="3" t="str">
        <f>IFERROR(__xludf.DUMMYFUNCTION("""COMPUTED_VALUE"""),"Kirk")</f>
        <v>Kirk</v>
      </c>
      <c r="AA167" s="8">
        <v>2.0</v>
      </c>
      <c r="AB167" s="3">
        <f t="shared" si="7"/>
        <v>0</v>
      </c>
      <c r="AC167" s="3">
        <f t="shared" si="8"/>
        <v>1</v>
      </c>
      <c r="AD167" s="3">
        <f t="shared" si="9"/>
        <v>1.886792453</v>
      </c>
      <c r="AE167" s="3">
        <f t="shared" si="10"/>
        <v>1.886792453</v>
      </c>
      <c r="AF167" s="3">
        <f t="shared" si="11"/>
        <v>1.886792453</v>
      </c>
      <c r="AG167" s="3">
        <f t="shared" si="12"/>
        <v>0.4285714286</v>
      </c>
    </row>
    <row r="168">
      <c r="A168" s="1" t="s">
        <v>12</v>
      </c>
      <c r="B168" s="1" t="s">
        <v>363</v>
      </c>
      <c r="C168" s="1" t="s">
        <v>20</v>
      </c>
      <c r="D168" s="1" t="s">
        <v>93</v>
      </c>
      <c r="E168" s="1" t="s">
        <v>157</v>
      </c>
      <c r="F168" s="1" t="s">
        <v>647</v>
      </c>
      <c r="G168" s="1">
        <v>4.5</v>
      </c>
      <c r="H168" s="1" t="s">
        <v>60</v>
      </c>
      <c r="I168" s="1">
        <v>-162.0</v>
      </c>
      <c r="J168" s="1">
        <v>-0.137720610687022</v>
      </c>
      <c r="K168" s="1" t="s">
        <v>61</v>
      </c>
      <c r="L168" s="1" t="s">
        <v>61</v>
      </c>
      <c r="M168" s="1" t="s">
        <v>62</v>
      </c>
      <c r="N168" s="1">
        <v>123.0</v>
      </c>
      <c r="O168" s="1">
        <v>0.0709695067264573</v>
      </c>
      <c r="P168" s="1" t="s">
        <v>61</v>
      </c>
      <c r="Q168" s="1" t="s">
        <v>61</v>
      </c>
      <c r="R168" s="1">
        <f t="shared" si="1"/>
        <v>0.07096950673</v>
      </c>
      <c r="S168" s="1">
        <f t="shared" si="2"/>
        <v>123</v>
      </c>
      <c r="T168" s="1">
        <f t="shared" si="3"/>
        <v>2.23</v>
      </c>
      <c r="U168" s="1">
        <f t="shared" si="4"/>
        <v>0</v>
      </c>
      <c r="V168" s="3">
        <f t="shared" si="5"/>
        <v>2</v>
      </c>
      <c r="W168" s="3">
        <f t="shared" si="6"/>
        <v>1</v>
      </c>
      <c r="X168" s="3" t="str">
        <f>IFERROR(__xludf.DUMMYFUNCTION("split(B168,"" "")"),"E.")</f>
        <v>E.</v>
      </c>
      <c r="Y168" s="3" t="str">
        <f>IFERROR(__xludf.DUMMYFUNCTION("""COMPUTED_VALUE"""),"Engram")</f>
        <v>Engram</v>
      </c>
      <c r="AA168" s="8">
        <v>4.0</v>
      </c>
      <c r="AB168" s="3">
        <f t="shared" si="7"/>
        <v>0</v>
      </c>
      <c r="AC168" s="3">
        <f t="shared" si="8"/>
        <v>1</v>
      </c>
      <c r="AD168" s="3">
        <f t="shared" si="9"/>
        <v>2.46</v>
      </c>
      <c r="AE168" s="3">
        <f t="shared" si="10"/>
        <v>2.46</v>
      </c>
      <c r="AF168" s="3">
        <f t="shared" si="11"/>
        <v>1.23</v>
      </c>
      <c r="AG168" s="3">
        <f t="shared" si="12"/>
        <v>0.1111111111</v>
      </c>
    </row>
    <row r="169">
      <c r="A169" s="1" t="s">
        <v>11</v>
      </c>
      <c r="B169" s="1" t="s">
        <v>363</v>
      </c>
      <c r="C169" s="1" t="s">
        <v>20</v>
      </c>
      <c r="D169" s="1" t="s">
        <v>93</v>
      </c>
      <c r="E169" s="1" t="s">
        <v>157</v>
      </c>
      <c r="F169" s="1" t="s">
        <v>647</v>
      </c>
      <c r="G169" s="1">
        <v>48.5</v>
      </c>
      <c r="H169" s="1" t="s">
        <v>60</v>
      </c>
      <c r="I169" s="1">
        <v>-112.0</v>
      </c>
      <c r="J169" s="1">
        <v>-0.104517416973584</v>
      </c>
      <c r="K169" s="1" t="s">
        <v>61</v>
      </c>
      <c r="L169" s="1" t="s">
        <v>61</v>
      </c>
      <c r="M169" s="1" t="s">
        <v>62</v>
      </c>
      <c r="N169" s="1">
        <v>-117.0</v>
      </c>
      <c r="O169" s="1">
        <v>0.0371323045561658</v>
      </c>
      <c r="P169" s="1" t="s">
        <v>61</v>
      </c>
      <c r="Q169" s="1" t="s">
        <v>61</v>
      </c>
      <c r="R169" s="1">
        <f t="shared" si="1"/>
        <v>0.03713230456</v>
      </c>
      <c r="S169" s="1">
        <f t="shared" si="2"/>
        <v>-117</v>
      </c>
      <c r="T169" s="1">
        <f t="shared" si="3"/>
        <v>1.854700855</v>
      </c>
      <c r="U169" s="1">
        <f t="shared" si="4"/>
        <v>0</v>
      </c>
      <c r="V169" s="3">
        <f t="shared" si="5"/>
        <v>1</v>
      </c>
      <c r="W169" s="3">
        <f t="shared" si="6"/>
        <v>2</v>
      </c>
      <c r="X169" s="3" t="str">
        <f>IFERROR(__xludf.DUMMYFUNCTION("split(B169,"" "")"),"E.")</f>
        <v>E.</v>
      </c>
      <c r="Y169" s="3" t="str">
        <f>IFERROR(__xludf.DUMMYFUNCTION("""COMPUTED_VALUE"""),"Engram")</f>
        <v>Engram</v>
      </c>
      <c r="AA169" s="8">
        <v>36.0</v>
      </c>
      <c r="AB169" s="3">
        <f t="shared" si="7"/>
        <v>0</v>
      </c>
      <c r="AC169" s="3">
        <f t="shared" si="8"/>
        <v>1</v>
      </c>
      <c r="AD169" s="3">
        <f t="shared" si="9"/>
        <v>0.8547008547</v>
      </c>
      <c r="AE169" s="3">
        <f t="shared" si="10"/>
        <v>0.8547008547</v>
      </c>
      <c r="AF169" s="3">
        <f t="shared" si="11"/>
        <v>1.709401709</v>
      </c>
      <c r="AG169" s="3">
        <f t="shared" si="12"/>
        <v>0.2577319588</v>
      </c>
    </row>
    <row r="170">
      <c r="A170" s="1" t="s">
        <v>17</v>
      </c>
      <c r="B170" s="1" t="s">
        <v>119</v>
      </c>
      <c r="C170" s="1" t="s">
        <v>21</v>
      </c>
      <c r="D170" s="1" t="s">
        <v>93</v>
      </c>
      <c r="E170" s="1" t="s">
        <v>157</v>
      </c>
      <c r="F170" s="1" t="s">
        <v>647</v>
      </c>
      <c r="G170" s="1">
        <v>0.5</v>
      </c>
      <c r="H170" s="1" t="s">
        <v>60</v>
      </c>
      <c r="I170" s="1">
        <v>-125.0</v>
      </c>
      <c r="J170" s="1">
        <v>-0.106355555555555</v>
      </c>
      <c r="K170" s="1" t="s">
        <v>61</v>
      </c>
      <c r="L170" s="1" t="s">
        <v>61</v>
      </c>
      <c r="M170" s="1" t="s">
        <v>62</v>
      </c>
      <c r="N170" s="1">
        <v>-106.0</v>
      </c>
      <c r="O170" s="1">
        <v>0.0362368932038835</v>
      </c>
      <c r="P170" s="1" t="s">
        <v>61</v>
      </c>
      <c r="Q170" s="1" t="s">
        <v>61</v>
      </c>
      <c r="R170" s="1">
        <f t="shared" si="1"/>
        <v>0.0362368932</v>
      </c>
      <c r="S170" s="1">
        <f t="shared" si="2"/>
        <v>-106</v>
      </c>
      <c r="T170" s="1">
        <f t="shared" si="3"/>
        <v>1.943396226</v>
      </c>
      <c r="U170" s="1">
        <f t="shared" si="4"/>
        <v>0</v>
      </c>
      <c r="V170" s="3">
        <f t="shared" si="5"/>
        <v>1</v>
      </c>
      <c r="W170" s="3">
        <f t="shared" si="6"/>
        <v>2</v>
      </c>
      <c r="X170" s="3" t="str">
        <f>IFERROR(__xludf.DUMMYFUNCTION("split(B170,"" "")"),"T.")</f>
        <v>T.</v>
      </c>
      <c r="Y170" s="3" t="str">
        <f>IFERROR(__xludf.DUMMYFUNCTION("""COMPUTED_VALUE"""),"Lawrence")</f>
        <v>Lawrence</v>
      </c>
      <c r="AA170" s="8">
        <v>1.0</v>
      </c>
      <c r="AB170" s="3">
        <f t="shared" si="7"/>
        <v>1</v>
      </c>
      <c r="AC170" s="3">
        <f t="shared" si="8"/>
        <v>0</v>
      </c>
      <c r="AD170" s="3">
        <f t="shared" si="9"/>
        <v>0.9433962264</v>
      </c>
      <c r="AE170" s="3">
        <f t="shared" si="10"/>
        <v>-1</v>
      </c>
      <c r="AF170" s="3">
        <f t="shared" si="11"/>
        <v>-2</v>
      </c>
      <c r="AG170" s="3">
        <f t="shared" si="12"/>
        <v>-1</v>
      </c>
    </row>
    <row r="171">
      <c r="A171" s="1" t="s">
        <v>11</v>
      </c>
      <c r="B171" s="1" t="s">
        <v>121</v>
      </c>
      <c r="C171" s="1" t="s">
        <v>18</v>
      </c>
      <c r="D171" s="1" t="s">
        <v>93</v>
      </c>
      <c r="E171" s="1" t="s">
        <v>157</v>
      </c>
      <c r="F171" s="1" t="s">
        <v>647</v>
      </c>
      <c r="G171" s="1">
        <v>41.5</v>
      </c>
      <c r="H171" s="1" t="s">
        <v>60</v>
      </c>
      <c r="I171" s="1">
        <v>-113.0</v>
      </c>
      <c r="J171" s="1">
        <v>-0.0932342718055868</v>
      </c>
      <c r="K171" s="1" t="s">
        <v>61</v>
      </c>
      <c r="L171" s="1" t="s">
        <v>61</v>
      </c>
      <c r="M171" s="1" t="s">
        <v>62</v>
      </c>
      <c r="N171" s="1">
        <v>-116.0</v>
      </c>
      <c r="O171" s="1">
        <v>0.0257261444557407</v>
      </c>
      <c r="P171" s="1" t="s">
        <v>61</v>
      </c>
      <c r="Q171" s="1" t="s">
        <v>61</v>
      </c>
      <c r="R171" s="1">
        <f t="shared" si="1"/>
        <v>0.02572614446</v>
      </c>
      <c r="S171" s="1">
        <f t="shared" si="2"/>
        <v>-116</v>
      </c>
      <c r="T171" s="1">
        <f t="shared" si="3"/>
        <v>1.862068966</v>
      </c>
      <c r="U171" s="1">
        <f t="shared" si="4"/>
        <v>0</v>
      </c>
      <c r="V171" s="3">
        <f t="shared" si="5"/>
        <v>1</v>
      </c>
      <c r="W171" s="3">
        <f t="shared" si="6"/>
        <v>2</v>
      </c>
      <c r="X171" s="3" t="str">
        <f>IFERROR(__xludf.DUMMYFUNCTION("split(B171,"" "")"),"C.")</f>
        <v>C.</v>
      </c>
      <c r="Y171" s="3" t="str">
        <f>IFERROR(__xludf.DUMMYFUNCTION("""COMPUTED_VALUE"""),"Kirk")</f>
        <v>Kirk</v>
      </c>
      <c r="AA171" s="8">
        <v>59.0</v>
      </c>
      <c r="AB171" s="3">
        <f t="shared" si="7"/>
        <v>1</v>
      </c>
      <c r="AC171" s="3">
        <f t="shared" si="8"/>
        <v>0</v>
      </c>
      <c r="AD171" s="3">
        <f t="shared" si="9"/>
        <v>0.8620689655</v>
      </c>
      <c r="AE171" s="3">
        <f t="shared" si="10"/>
        <v>-1</v>
      </c>
      <c r="AF171" s="3">
        <f t="shared" si="11"/>
        <v>-2</v>
      </c>
      <c r="AG171" s="3">
        <f t="shared" si="12"/>
        <v>-0.421686747</v>
      </c>
    </row>
    <row r="172">
      <c r="A172" s="1" t="s">
        <v>10</v>
      </c>
      <c r="B172" s="1" t="s">
        <v>119</v>
      </c>
      <c r="C172" s="1" t="s">
        <v>21</v>
      </c>
      <c r="D172" s="1" t="s">
        <v>93</v>
      </c>
      <c r="E172" s="1" t="s">
        <v>157</v>
      </c>
      <c r="F172" s="1" t="s">
        <v>647</v>
      </c>
      <c r="G172" s="1">
        <v>12.5</v>
      </c>
      <c r="H172" s="1" t="s">
        <v>60</v>
      </c>
      <c r="I172" s="1">
        <v>-113.0</v>
      </c>
      <c r="J172" s="1">
        <v>-0.0907175994292187</v>
      </c>
      <c r="K172" s="1" t="s">
        <v>61</v>
      </c>
      <c r="L172" s="1" t="s">
        <v>61</v>
      </c>
      <c r="M172" s="1" t="s">
        <v>62</v>
      </c>
      <c r="N172" s="1">
        <v>-116.0</v>
      </c>
      <c r="O172" s="1">
        <v>0.0231499095693117</v>
      </c>
      <c r="P172" s="1" t="s">
        <v>61</v>
      </c>
      <c r="Q172" s="1" t="s">
        <v>61</v>
      </c>
      <c r="R172" s="1">
        <f t="shared" si="1"/>
        <v>0.02314990957</v>
      </c>
      <c r="S172" s="1">
        <f t="shared" si="2"/>
        <v>-116</v>
      </c>
      <c r="T172" s="1">
        <f t="shared" si="3"/>
        <v>1.862068966</v>
      </c>
      <c r="U172" s="1">
        <f t="shared" si="4"/>
        <v>0</v>
      </c>
      <c r="V172" s="3">
        <f t="shared" si="5"/>
        <v>1</v>
      </c>
      <c r="W172" s="3">
        <f t="shared" si="6"/>
        <v>2</v>
      </c>
      <c r="X172" s="3" t="str">
        <f>IFERROR(__xludf.DUMMYFUNCTION("split(B172,"" "")"),"T.")</f>
        <v>T.</v>
      </c>
      <c r="Y172" s="3" t="str">
        <f>IFERROR(__xludf.DUMMYFUNCTION("""COMPUTED_VALUE"""),"Lawrence")</f>
        <v>Lawrence</v>
      </c>
      <c r="AA172" s="8">
        <v>10.0</v>
      </c>
      <c r="AB172" s="3">
        <f t="shared" si="7"/>
        <v>0</v>
      </c>
      <c r="AC172" s="3">
        <f t="shared" si="8"/>
        <v>1</v>
      </c>
      <c r="AD172" s="3">
        <f t="shared" si="9"/>
        <v>0.8620689655</v>
      </c>
      <c r="AE172" s="3">
        <f t="shared" si="10"/>
        <v>0.8620689655</v>
      </c>
      <c r="AF172" s="3">
        <f t="shared" si="11"/>
        <v>1.724137931</v>
      </c>
      <c r="AG172" s="3">
        <f t="shared" si="12"/>
        <v>0.2</v>
      </c>
    </row>
    <row r="173">
      <c r="A173" s="1" t="s">
        <v>14</v>
      </c>
      <c r="B173" s="1" t="s">
        <v>119</v>
      </c>
      <c r="C173" s="1" t="s">
        <v>21</v>
      </c>
      <c r="D173" s="1" t="s">
        <v>93</v>
      </c>
      <c r="E173" s="1" t="s">
        <v>157</v>
      </c>
      <c r="F173" s="1" t="s">
        <v>647</v>
      </c>
      <c r="G173" s="1">
        <v>1.5</v>
      </c>
      <c r="H173" s="1" t="s">
        <v>60</v>
      </c>
      <c r="I173" s="1">
        <v>106.0</v>
      </c>
      <c r="J173" s="1">
        <v>-0.067388349514563</v>
      </c>
      <c r="K173" s="1" t="s">
        <v>61</v>
      </c>
      <c r="L173" s="1" t="s">
        <v>61</v>
      </c>
      <c r="M173" s="1" t="s">
        <v>62</v>
      </c>
      <c r="N173" s="1">
        <v>-138.0</v>
      </c>
      <c r="O173" s="1">
        <v>0.00212605042016811</v>
      </c>
      <c r="P173" s="1" t="s">
        <v>61</v>
      </c>
      <c r="Q173" s="1" t="s">
        <v>61</v>
      </c>
      <c r="R173" s="1">
        <f t="shared" si="1"/>
        <v>0.00212605042</v>
      </c>
      <c r="S173" s="1">
        <f t="shared" si="2"/>
        <v>-138</v>
      </c>
      <c r="T173" s="1">
        <f t="shared" si="3"/>
        <v>1.724637681</v>
      </c>
      <c r="U173" s="1">
        <f t="shared" si="4"/>
        <v>0</v>
      </c>
      <c r="V173" s="3">
        <f t="shared" si="5"/>
        <v>1</v>
      </c>
      <c r="W173" s="3">
        <f t="shared" si="6"/>
        <v>3</v>
      </c>
      <c r="X173" s="3" t="str">
        <f>IFERROR(__xludf.DUMMYFUNCTION("split(B173,"" "")"),"T.")</f>
        <v>T.</v>
      </c>
      <c r="Y173" s="3" t="str">
        <f>IFERROR(__xludf.DUMMYFUNCTION("""COMPUTED_VALUE"""),"Lawrence")</f>
        <v>Lawrence</v>
      </c>
      <c r="AA173" s="8">
        <v>2.0</v>
      </c>
      <c r="AB173" s="3">
        <f t="shared" si="7"/>
        <v>1</v>
      </c>
      <c r="AC173" s="3">
        <f t="shared" si="8"/>
        <v>0</v>
      </c>
      <c r="AD173" s="3">
        <f t="shared" si="9"/>
        <v>0.7246376812</v>
      </c>
      <c r="AE173" s="3">
        <f t="shared" si="10"/>
        <v>-1</v>
      </c>
      <c r="AF173" s="3">
        <f t="shared" si="11"/>
        <v>-3</v>
      </c>
      <c r="AG173" s="3">
        <f t="shared" si="12"/>
        <v>-0.3333333333</v>
      </c>
    </row>
    <row r="174">
      <c r="A174" s="1" t="s">
        <v>12</v>
      </c>
      <c r="B174" s="1" t="s">
        <v>326</v>
      </c>
      <c r="C174" s="1" t="s">
        <v>20</v>
      </c>
      <c r="D174" s="1" t="s">
        <v>76</v>
      </c>
      <c r="E174" s="1" t="s">
        <v>134</v>
      </c>
      <c r="F174" s="1" t="s">
        <v>649</v>
      </c>
      <c r="G174" s="1">
        <v>5.5</v>
      </c>
      <c r="H174" s="1" t="s">
        <v>60</v>
      </c>
      <c r="I174" s="1">
        <v>122.0</v>
      </c>
      <c r="J174" s="1">
        <v>0.165649549549549</v>
      </c>
      <c r="K174" s="1" t="s">
        <v>61</v>
      </c>
      <c r="L174" s="1" t="s">
        <v>61</v>
      </c>
      <c r="M174" s="1" t="s">
        <v>62</v>
      </c>
      <c r="N174" s="1">
        <v>-160.0</v>
      </c>
      <c r="O174" s="1">
        <v>-0.231484615384615</v>
      </c>
      <c r="P174" s="1" t="s">
        <v>61</v>
      </c>
      <c r="Q174" s="1" t="s">
        <v>61</v>
      </c>
      <c r="R174" s="1">
        <f t="shared" si="1"/>
        <v>0.1656495495</v>
      </c>
      <c r="S174" s="1">
        <f t="shared" si="2"/>
        <v>122</v>
      </c>
      <c r="T174" s="1">
        <f t="shared" si="3"/>
        <v>2.22</v>
      </c>
      <c r="U174" s="1">
        <f t="shared" si="4"/>
        <v>1</v>
      </c>
      <c r="V174" s="3">
        <f t="shared" si="5"/>
        <v>3</v>
      </c>
      <c r="W174" s="3">
        <f t="shared" si="6"/>
        <v>1</v>
      </c>
      <c r="X174" s="3" t="str">
        <f>IFERROR(__xludf.DUMMYFUNCTION("split(B174,"" "")"),"T.")</f>
        <v>T.</v>
      </c>
      <c r="Y174" s="3" t="str">
        <f>IFERROR(__xludf.DUMMYFUNCTION("""COMPUTED_VALUE"""),"Kelce")</f>
        <v>Kelce</v>
      </c>
      <c r="AA174" s="8">
        <v>10.0</v>
      </c>
      <c r="AB174" s="3">
        <f t="shared" si="7"/>
        <v>1</v>
      </c>
      <c r="AC174" s="3">
        <f t="shared" si="8"/>
        <v>1</v>
      </c>
      <c r="AD174" s="3">
        <f t="shared" si="9"/>
        <v>3.66</v>
      </c>
      <c r="AE174" s="3">
        <f t="shared" si="10"/>
        <v>3.66</v>
      </c>
      <c r="AF174" s="3">
        <f t="shared" si="11"/>
        <v>1.22</v>
      </c>
      <c r="AG174" s="3">
        <f t="shared" si="12"/>
        <v>0.8181818182</v>
      </c>
    </row>
    <row r="175">
      <c r="A175" s="1" t="s">
        <v>8</v>
      </c>
      <c r="B175" s="1" t="s">
        <v>75</v>
      </c>
      <c r="C175" s="1" t="s">
        <v>21</v>
      </c>
      <c r="D175" s="1" t="s">
        <v>76</v>
      </c>
      <c r="E175" s="1" t="s">
        <v>134</v>
      </c>
      <c r="F175" s="1" t="s">
        <v>649</v>
      </c>
      <c r="G175" s="1">
        <v>4.5</v>
      </c>
      <c r="H175" s="1" t="s">
        <v>60</v>
      </c>
      <c r="I175" s="1">
        <v>-133.0</v>
      </c>
      <c r="J175" s="1">
        <v>-0.210306892110752</v>
      </c>
      <c r="K175" s="1" t="s">
        <v>61</v>
      </c>
      <c r="L175" s="1" t="s">
        <v>61</v>
      </c>
      <c r="M175" s="1" t="s">
        <v>62</v>
      </c>
      <c r="N175" s="1">
        <v>100.0</v>
      </c>
      <c r="O175" s="1">
        <v>0.139490029309026</v>
      </c>
      <c r="P175" s="1" t="s">
        <v>61</v>
      </c>
      <c r="Q175" s="1" t="s">
        <v>61</v>
      </c>
      <c r="R175" s="1">
        <f t="shared" si="1"/>
        <v>0.1394900293</v>
      </c>
      <c r="S175" s="1">
        <f t="shared" si="2"/>
        <v>100</v>
      </c>
      <c r="T175" s="1">
        <f t="shared" si="3"/>
        <v>2</v>
      </c>
      <c r="U175" s="1">
        <f t="shared" si="4"/>
        <v>0</v>
      </c>
      <c r="V175" s="3">
        <f t="shared" si="5"/>
        <v>3</v>
      </c>
      <c r="W175" s="3">
        <f t="shared" si="6"/>
        <v>2</v>
      </c>
      <c r="X175" s="3" t="str">
        <f>IFERROR(__xludf.DUMMYFUNCTION("split(B175,"" "")"),"P.")</f>
        <v>P.</v>
      </c>
      <c r="Y175" s="3" t="str">
        <f>IFERROR(__xludf.DUMMYFUNCTION("""COMPUTED_VALUE"""),"Mahomes")</f>
        <v>Mahomes</v>
      </c>
      <c r="AA175" s="8">
        <v>6.0</v>
      </c>
      <c r="AB175" s="3">
        <f t="shared" si="7"/>
        <v>1</v>
      </c>
      <c r="AC175" s="3">
        <f t="shared" si="8"/>
        <v>0</v>
      </c>
      <c r="AD175" s="3">
        <f t="shared" si="9"/>
        <v>3</v>
      </c>
      <c r="AE175" s="3">
        <f t="shared" si="10"/>
        <v>-3</v>
      </c>
      <c r="AF175" s="3">
        <f t="shared" si="11"/>
        <v>-2</v>
      </c>
      <c r="AG175" s="3">
        <f t="shared" si="12"/>
        <v>-0.3333333333</v>
      </c>
    </row>
    <row r="176">
      <c r="A176" s="1" t="s">
        <v>9</v>
      </c>
      <c r="B176" s="1" t="s">
        <v>237</v>
      </c>
      <c r="C176" s="1" t="s">
        <v>18</v>
      </c>
      <c r="D176" s="1" t="s">
        <v>76</v>
      </c>
      <c r="E176" s="1" t="s">
        <v>134</v>
      </c>
      <c r="F176" s="1" t="s">
        <v>649</v>
      </c>
      <c r="G176" s="1">
        <v>18.5</v>
      </c>
      <c r="H176" s="1" t="s">
        <v>60</v>
      </c>
      <c r="I176" s="1">
        <v>-115.0</v>
      </c>
      <c r="J176" s="1">
        <v>0.125379921012575</v>
      </c>
      <c r="K176" s="1" t="s">
        <v>61</v>
      </c>
      <c r="L176" s="1" t="s">
        <v>61</v>
      </c>
      <c r="M176" s="1" t="s">
        <v>62</v>
      </c>
      <c r="N176" s="1">
        <v>-118.0</v>
      </c>
      <c r="O176" s="1">
        <v>-0.201509339270139</v>
      </c>
      <c r="P176" s="1" t="s">
        <v>61</v>
      </c>
      <c r="Q176" s="1" t="s">
        <v>61</v>
      </c>
      <c r="R176" s="1">
        <f t="shared" si="1"/>
        <v>0.125379921</v>
      </c>
      <c r="S176" s="1">
        <f t="shared" si="2"/>
        <v>-115</v>
      </c>
      <c r="T176" s="1">
        <f t="shared" si="3"/>
        <v>1.869565217</v>
      </c>
      <c r="U176" s="1">
        <f t="shared" si="4"/>
        <v>1</v>
      </c>
      <c r="V176" s="3">
        <f t="shared" si="5"/>
        <v>3</v>
      </c>
      <c r="W176" s="3">
        <f t="shared" si="6"/>
        <v>2</v>
      </c>
      <c r="X176" s="3" t="str">
        <f>IFERROR(__xludf.DUMMYFUNCTION("split(B176,"" "")"),"J.")</f>
        <v>J.</v>
      </c>
      <c r="Y176" s="3" t="str">
        <f>IFERROR(__xludf.DUMMYFUNCTION("""COMPUTED_VALUE"""),"Watson")</f>
        <v>Watson</v>
      </c>
      <c r="AA176" s="8">
        <v>33.0</v>
      </c>
      <c r="AB176" s="3">
        <f t="shared" si="7"/>
        <v>1</v>
      </c>
      <c r="AC176" s="3">
        <f t="shared" si="8"/>
        <v>1</v>
      </c>
      <c r="AD176" s="3">
        <f t="shared" si="9"/>
        <v>2.608695652</v>
      </c>
      <c r="AE176" s="3">
        <f t="shared" si="10"/>
        <v>2.608695652</v>
      </c>
      <c r="AF176" s="3">
        <f t="shared" si="11"/>
        <v>1.739130435</v>
      </c>
      <c r="AG176" s="3">
        <f t="shared" si="12"/>
        <v>0.7837837838</v>
      </c>
    </row>
    <row r="177">
      <c r="A177" s="1" t="s">
        <v>12</v>
      </c>
      <c r="B177" s="1" t="s">
        <v>237</v>
      </c>
      <c r="C177" s="1" t="s">
        <v>18</v>
      </c>
      <c r="D177" s="1" t="s">
        <v>76</v>
      </c>
      <c r="E177" s="1" t="s">
        <v>134</v>
      </c>
      <c r="F177" s="1" t="s">
        <v>649</v>
      </c>
      <c r="G177" s="1">
        <v>1.5</v>
      </c>
      <c r="H177" s="1" t="s">
        <v>60</v>
      </c>
      <c r="I177" s="1">
        <v>-125.0</v>
      </c>
      <c r="J177" s="1">
        <v>-0.192391362435555</v>
      </c>
      <c r="K177" s="1" t="s">
        <v>61</v>
      </c>
      <c r="L177" s="1" t="s">
        <v>61</v>
      </c>
      <c r="M177" s="1" t="s">
        <v>62</v>
      </c>
      <c r="N177" s="1">
        <v>-105.0</v>
      </c>
      <c r="O177" s="1">
        <v>0.124646143294634</v>
      </c>
      <c r="P177" s="1" t="s">
        <v>61</v>
      </c>
      <c r="Q177" s="1" t="s">
        <v>61</v>
      </c>
      <c r="R177" s="1">
        <f t="shared" si="1"/>
        <v>0.1246461433</v>
      </c>
      <c r="S177" s="1">
        <f t="shared" si="2"/>
        <v>-105</v>
      </c>
      <c r="T177" s="1">
        <f t="shared" si="3"/>
        <v>1.952380952</v>
      </c>
      <c r="U177" s="1">
        <f t="shared" si="4"/>
        <v>0</v>
      </c>
      <c r="V177" s="3">
        <f t="shared" si="5"/>
        <v>3</v>
      </c>
      <c r="W177" s="3">
        <f t="shared" si="6"/>
        <v>2</v>
      </c>
      <c r="X177" s="3" t="str">
        <f>IFERROR(__xludf.DUMMYFUNCTION("split(B177,"" "")"),"J.")</f>
        <v>J.</v>
      </c>
      <c r="Y177" s="3" t="str">
        <f>IFERROR(__xludf.DUMMYFUNCTION("""COMPUTED_VALUE"""),"Watson")</f>
        <v>Watson</v>
      </c>
      <c r="AA177" s="8">
        <v>3.0</v>
      </c>
      <c r="AB177" s="3">
        <f t="shared" si="7"/>
        <v>1</v>
      </c>
      <c r="AC177" s="3">
        <f t="shared" si="8"/>
        <v>0</v>
      </c>
      <c r="AD177" s="3">
        <f t="shared" si="9"/>
        <v>2.857142857</v>
      </c>
      <c r="AE177" s="3">
        <f t="shared" si="10"/>
        <v>-3</v>
      </c>
      <c r="AF177" s="3">
        <f t="shared" si="11"/>
        <v>-2</v>
      </c>
      <c r="AG177" s="3">
        <f t="shared" si="12"/>
        <v>-1</v>
      </c>
    </row>
    <row r="178">
      <c r="A178" s="1" t="s">
        <v>15</v>
      </c>
      <c r="B178" s="1" t="s">
        <v>75</v>
      </c>
      <c r="C178" s="1" t="s">
        <v>21</v>
      </c>
      <c r="D178" s="1" t="s">
        <v>76</v>
      </c>
      <c r="E178" s="1" t="s">
        <v>134</v>
      </c>
      <c r="F178" s="1" t="s">
        <v>649</v>
      </c>
      <c r="G178" s="1">
        <v>21.5</v>
      </c>
      <c r="H178" s="1" t="s">
        <v>60</v>
      </c>
      <c r="I178" s="1">
        <v>-108.0</v>
      </c>
      <c r="J178" s="1">
        <v>0.0770730769230769</v>
      </c>
      <c r="K178" s="1" t="s">
        <v>61</v>
      </c>
      <c r="L178" s="1" t="s">
        <v>61</v>
      </c>
      <c r="M178" s="1" t="s">
        <v>62</v>
      </c>
      <c r="N178" s="1">
        <v>-119.0</v>
      </c>
      <c r="O178" s="1">
        <v>-0.139670319634702</v>
      </c>
      <c r="P178" s="1" t="s">
        <v>61</v>
      </c>
      <c r="Q178" s="1" t="s">
        <v>61</v>
      </c>
      <c r="R178" s="1">
        <f t="shared" si="1"/>
        <v>0.07707307692</v>
      </c>
      <c r="S178" s="1">
        <f t="shared" si="2"/>
        <v>-108</v>
      </c>
      <c r="T178" s="1">
        <f t="shared" si="3"/>
        <v>1.925925926</v>
      </c>
      <c r="U178" s="1">
        <f t="shared" si="4"/>
        <v>1</v>
      </c>
      <c r="V178" s="3">
        <f t="shared" si="5"/>
        <v>2</v>
      </c>
      <c r="W178" s="3">
        <f t="shared" si="6"/>
        <v>2</v>
      </c>
      <c r="X178" s="3" t="str">
        <f>IFERROR(__xludf.DUMMYFUNCTION("split(B178,"" "")"),"P.")</f>
        <v>P.</v>
      </c>
      <c r="Y178" s="3" t="str">
        <f>IFERROR(__xludf.DUMMYFUNCTION("""COMPUTED_VALUE"""),"Mahomes")</f>
        <v>Mahomes</v>
      </c>
      <c r="AA178" s="8">
        <v>27.0</v>
      </c>
      <c r="AB178" s="3">
        <f t="shared" si="7"/>
        <v>1</v>
      </c>
      <c r="AC178" s="3">
        <f t="shared" si="8"/>
        <v>1</v>
      </c>
      <c r="AD178" s="3">
        <f t="shared" si="9"/>
        <v>1.851851852</v>
      </c>
      <c r="AE178" s="3">
        <f t="shared" si="10"/>
        <v>1.851851852</v>
      </c>
      <c r="AF178" s="3">
        <f t="shared" si="11"/>
        <v>1.851851852</v>
      </c>
      <c r="AG178" s="3">
        <f t="shared" si="12"/>
        <v>0.2558139535</v>
      </c>
    </row>
    <row r="179">
      <c r="A179" s="1" t="s">
        <v>12</v>
      </c>
      <c r="B179" s="1" t="s">
        <v>591</v>
      </c>
      <c r="C179" s="1" t="s">
        <v>19</v>
      </c>
      <c r="D179" s="1" t="s">
        <v>76</v>
      </c>
      <c r="E179" s="1" t="s">
        <v>134</v>
      </c>
      <c r="F179" s="1" t="s">
        <v>649</v>
      </c>
      <c r="G179" s="1">
        <v>2.5</v>
      </c>
      <c r="H179" s="1" t="s">
        <v>60</v>
      </c>
      <c r="I179" s="1">
        <v>134.0</v>
      </c>
      <c r="J179" s="1">
        <v>-0.136945107722222</v>
      </c>
      <c r="K179" s="1" t="s">
        <v>61</v>
      </c>
      <c r="L179" s="1" t="s">
        <v>61</v>
      </c>
      <c r="M179" s="1" t="s">
        <v>62</v>
      </c>
      <c r="N179" s="1">
        <v>-177.0</v>
      </c>
      <c r="O179" s="1">
        <v>0.0706048944350181</v>
      </c>
      <c r="P179" s="1" t="s">
        <v>61</v>
      </c>
      <c r="Q179" s="1" t="s">
        <v>61</v>
      </c>
      <c r="R179" s="1">
        <f t="shared" si="1"/>
        <v>0.07060489444</v>
      </c>
      <c r="S179" s="1">
        <f t="shared" si="2"/>
        <v>-177</v>
      </c>
      <c r="T179" s="1">
        <f t="shared" si="3"/>
        <v>1.564971751</v>
      </c>
      <c r="U179" s="1">
        <f t="shared" si="4"/>
        <v>0</v>
      </c>
      <c r="V179" s="3">
        <f t="shared" si="5"/>
        <v>2</v>
      </c>
      <c r="W179" s="3">
        <f t="shared" si="6"/>
        <v>3</v>
      </c>
      <c r="X179" s="3" t="str">
        <f>IFERROR(__xludf.DUMMYFUNCTION("split(B179,"" "")"),"K.")</f>
        <v>K.</v>
      </c>
      <c r="Y179" s="3" t="str">
        <f>IFERROR(__xludf.DUMMYFUNCTION("""COMPUTED_VALUE"""),"Hunt")</f>
        <v>Hunt</v>
      </c>
      <c r="AA179" s="8">
        <v>1.0</v>
      </c>
      <c r="AB179" s="3">
        <f t="shared" si="7"/>
        <v>0</v>
      </c>
      <c r="AC179" s="3">
        <f t="shared" si="8"/>
        <v>1</v>
      </c>
      <c r="AD179" s="3">
        <f t="shared" si="9"/>
        <v>1.129943503</v>
      </c>
      <c r="AE179" s="3">
        <f t="shared" si="10"/>
        <v>1.129943503</v>
      </c>
      <c r="AF179" s="3">
        <f t="shared" si="11"/>
        <v>1.694915254</v>
      </c>
      <c r="AG179" s="3">
        <f t="shared" si="12"/>
        <v>0.6</v>
      </c>
    </row>
    <row r="180">
      <c r="A180" s="1" t="s">
        <v>10</v>
      </c>
      <c r="B180" s="1" t="s">
        <v>295</v>
      </c>
      <c r="C180" s="1" t="s">
        <v>18</v>
      </c>
      <c r="D180" s="1" t="s">
        <v>76</v>
      </c>
      <c r="E180" s="1" t="s">
        <v>134</v>
      </c>
      <c r="F180" s="1" t="s">
        <v>649</v>
      </c>
      <c r="G180" s="1">
        <v>2.5</v>
      </c>
      <c r="H180" s="1" t="s">
        <v>60</v>
      </c>
      <c r="I180" s="1">
        <v>-116.0</v>
      </c>
      <c r="J180" s="1">
        <v>0.0503764795974575</v>
      </c>
      <c r="K180" s="1" t="s">
        <v>61</v>
      </c>
      <c r="L180" s="1" t="s">
        <v>61</v>
      </c>
      <c r="M180" s="1" t="s">
        <v>62</v>
      </c>
      <c r="N180" s="1">
        <v>-113.0</v>
      </c>
      <c r="O180" s="1">
        <v>-0.117902737747171</v>
      </c>
      <c r="P180" s="1" t="s">
        <v>61</v>
      </c>
      <c r="Q180" s="1" t="s">
        <v>61</v>
      </c>
      <c r="R180" s="1">
        <f t="shared" si="1"/>
        <v>0.0503764796</v>
      </c>
      <c r="S180" s="1">
        <f t="shared" si="2"/>
        <v>-116</v>
      </c>
      <c r="T180" s="1">
        <f t="shared" si="3"/>
        <v>1.862068966</v>
      </c>
      <c r="U180" s="1">
        <f t="shared" si="4"/>
        <v>1</v>
      </c>
      <c r="V180" s="3">
        <f t="shared" si="5"/>
        <v>2</v>
      </c>
      <c r="W180" s="3">
        <f t="shared" si="6"/>
        <v>2</v>
      </c>
      <c r="X180" s="3" t="str">
        <f>IFERROR(__xludf.DUMMYFUNCTION("split(B180,"" "")"),"X.")</f>
        <v>X.</v>
      </c>
      <c r="Y180" s="3" t="str">
        <f>IFERROR(__xludf.DUMMYFUNCTION("""COMPUTED_VALUE"""),"Worthy")</f>
        <v>Worthy</v>
      </c>
      <c r="AA180" s="8">
        <v>0.0</v>
      </c>
      <c r="AB180" s="3">
        <f t="shared" si="7"/>
        <v>0</v>
      </c>
      <c r="AC180" s="3">
        <f t="shared" si="8"/>
        <v>0</v>
      </c>
      <c r="AD180" s="3">
        <f t="shared" si="9"/>
        <v>1.724137931</v>
      </c>
      <c r="AE180" s="3">
        <f t="shared" si="10"/>
        <v>-2</v>
      </c>
      <c r="AF180" s="3">
        <f t="shared" si="11"/>
        <v>-2</v>
      </c>
      <c r="AG180" s="3">
        <f t="shared" si="12"/>
        <v>-1</v>
      </c>
    </row>
    <row r="181">
      <c r="A181" s="1" t="s">
        <v>9</v>
      </c>
      <c r="B181" s="1" t="s">
        <v>295</v>
      </c>
      <c r="C181" s="1" t="s">
        <v>18</v>
      </c>
      <c r="D181" s="1" t="s">
        <v>76</v>
      </c>
      <c r="E181" s="1" t="s">
        <v>134</v>
      </c>
      <c r="F181" s="1" t="s">
        <v>649</v>
      </c>
      <c r="G181" s="1">
        <v>44.5</v>
      </c>
      <c r="H181" s="1" t="s">
        <v>60</v>
      </c>
      <c r="I181" s="1">
        <v>-116.0</v>
      </c>
      <c r="J181" s="1">
        <v>0.0494361097377555</v>
      </c>
      <c r="K181" s="1" t="s">
        <v>61</v>
      </c>
      <c r="L181" s="1" t="s">
        <v>61</v>
      </c>
      <c r="M181" s="1" t="s">
        <v>62</v>
      </c>
      <c r="N181" s="1">
        <v>-116.0</v>
      </c>
      <c r="O181" s="1">
        <v>-0.123505887295796</v>
      </c>
      <c r="P181" s="1" t="s">
        <v>61</v>
      </c>
      <c r="Q181" s="1" t="s">
        <v>61</v>
      </c>
      <c r="R181" s="1">
        <f t="shared" si="1"/>
        <v>0.04943610974</v>
      </c>
      <c r="S181" s="1">
        <f t="shared" si="2"/>
        <v>-116</v>
      </c>
      <c r="T181" s="1">
        <f t="shared" si="3"/>
        <v>1.862068966</v>
      </c>
      <c r="U181" s="1">
        <f t="shared" si="4"/>
        <v>1</v>
      </c>
      <c r="V181" s="3">
        <f t="shared" si="5"/>
        <v>1</v>
      </c>
      <c r="W181" s="3">
        <f t="shared" si="6"/>
        <v>2</v>
      </c>
      <c r="X181" s="3" t="str">
        <f>IFERROR(__xludf.DUMMYFUNCTION("split(B181,"" "")"),"X.")</f>
        <v>X.</v>
      </c>
      <c r="Y181" s="3" t="str">
        <f>IFERROR(__xludf.DUMMYFUNCTION("""COMPUTED_VALUE"""),"Worthy")</f>
        <v>Worthy</v>
      </c>
      <c r="AA181" s="8">
        <v>37.0</v>
      </c>
      <c r="AB181" s="3">
        <f t="shared" si="7"/>
        <v>0</v>
      </c>
      <c r="AC181" s="3">
        <f t="shared" si="8"/>
        <v>0</v>
      </c>
      <c r="AD181" s="3">
        <f t="shared" si="9"/>
        <v>0.8620689655</v>
      </c>
      <c r="AE181" s="3">
        <f t="shared" si="10"/>
        <v>-1</v>
      </c>
      <c r="AF181" s="3">
        <f t="shared" si="11"/>
        <v>-2</v>
      </c>
      <c r="AG181" s="3">
        <f t="shared" si="12"/>
        <v>-0.1685393258</v>
      </c>
    </row>
    <row r="182">
      <c r="A182" s="1" t="s">
        <v>10</v>
      </c>
      <c r="B182" s="1" t="s">
        <v>75</v>
      </c>
      <c r="C182" s="1" t="s">
        <v>21</v>
      </c>
      <c r="D182" s="1" t="s">
        <v>76</v>
      </c>
      <c r="E182" s="1" t="s">
        <v>134</v>
      </c>
      <c r="F182" s="1" t="s">
        <v>649</v>
      </c>
      <c r="G182" s="1">
        <v>18.5</v>
      </c>
      <c r="H182" s="1" t="s">
        <v>60</v>
      </c>
      <c r="I182" s="1">
        <v>-117.0</v>
      </c>
      <c r="J182" s="1">
        <v>-0.109489058985249</v>
      </c>
      <c r="K182" s="1" t="s">
        <v>61</v>
      </c>
      <c r="L182" s="1" t="s">
        <v>61</v>
      </c>
      <c r="M182" s="1" t="s">
        <v>62</v>
      </c>
      <c r="N182" s="1">
        <v>-112.0</v>
      </c>
      <c r="O182" s="1">
        <v>0.0420633061121465</v>
      </c>
      <c r="P182" s="1" t="s">
        <v>61</v>
      </c>
      <c r="Q182" s="1" t="s">
        <v>61</v>
      </c>
      <c r="R182" s="1">
        <f t="shared" si="1"/>
        <v>0.04206330611</v>
      </c>
      <c r="S182" s="1">
        <f t="shared" si="2"/>
        <v>-112</v>
      </c>
      <c r="T182" s="1">
        <f t="shared" si="3"/>
        <v>1.892857143</v>
      </c>
      <c r="U182" s="1">
        <f t="shared" si="4"/>
        <v>0</v>
      </c>
      <c r="V182" s="3">
        <f t="shared" si="5"/>
        <v>1</v>
      </c>
      <c r="W182" s="3">
        <f t="shared" si="6"/>
        <v>2</v>
      </c>
      <c r="X182" s="3" t="str">
        <f>IFERROR(__xludf.DUMMYFUNCTION("split(B182,"" "")"),"P.")</f>
        <v>P.</v>
      </c>
      <c r="Y182" s="3" t="str">
        <f>IFERROR(__xludf.DUMMYFUNCTION("""COMPUTED_VALUE"""),"Mahomes")</f>
        <v>Mahomes</v>
      </c>
      <c r="AA182" s="8">
        <v>17.0</v>
      </c>
      <c r="AB182" s="3">
        <f t="shared" si="7"/>
        <v>0</v>
      </c>
      <c r="AC182" s="3">
        <f t="shared" si="8"/>
        <v>1</v>
      </c>
      <c r="AD182" s="3">
        <f t="shared" si="9"/>
        <v>0.8928571429</v>
      </c>
      <c r="AE182" s="3">
        <f t="shared" si="10"/>
        <v>0.8928571429</v>
      </c>
      <c r="AF182" s="3">
        <f t="shared" si="11"/>
        <v>1.785714286</v>
      </c>
      <c r="AG182" s="3">
        <f t="shared" si="12"/>
        <v>0.08108108108</v>
      </c>
    </row>
    <row r="183">
      <c r="A183" s="1" t="s">
        <v>9</v>
      </c>
      <c r="B183" s="1" t="s">
        <v>591</v>
      </c>
      <c r="C183" s="1" t="s">
        <v>19</v>
      </c>
      <c r="D183" s="1" t="s">
        <v>76</v>
      </c>
      <c r="E183" s="1" t="s">
        <v>134</v>
      </c>
      <c r="F183" s="1" t="s">
        <v>649</v>
      </c>
      <c r="G183" s="1">
        <v>79.5</v>
      </c>
      <c r="H183" s="1" t="s">
        <v>60</v>
      </c>
      <c r="I183" s="1">
        <v>-113.0</v>
      </c>
      <c r="J183" s="1">
        <v>-0.109594840640717</v>
      </c>
      <c r="K183" s="1" t="s">
        <v>61</v>
      </c>
      <c r="L183" s="1" t="s">
        <v>61</v>
      </c>
      <c r="M183" s="1" t="s">
        <v>62</v>
      </c>
      <c r="N183" s="1">
        <v>-120.0</v>
      </c>
      <c r="O183" s="1">
        <v>0.0336203693989426</v>
      </c>
      <c r="P183" s="1" t="s">
        <v>61</v>
      </c>
      <c r="Q183" s="1" t="s">
        <v>61</v>
      </c>
      <c r="R183" s="1">
        <f t="shared" si="1"/>
        <v>0.0336203694</v>
      </c>
      <c r="S183" s="1">
        <f t="shared" si="2"/>
        <v>-120</v>
      </c>
      <c r="T183" s="1">
        <f t="shared" si="3"/>
        <v>1.833333333</v>
      </c>
      <c r="U183" s="1">
        <f t="shared" si="4"/>
        <v>0</v>
      </c>
      <c r="V183" s="3">
        <f t="shared" si="5"/>
        <v>1</v>
      </c>
      <c r="W183" s="3">
        <f t="shared" si="6"/>
        <v>3</v>
      </c>
      <c r="X183" s="3" t="str">
        <f>IFERROR(__xludf.DUMMYFUNCTION("split(B183,"" "")"),"K.")</f>
        <v>K.</v>
      </c>
      <c r="Y183" s="3" t="str">
        <f>IFERROR(__xludf.DUMMYFUNCTION("""COMPUTED_VALUE"""),"Hunt")</f>
        <v>Hunt</v>
      </c>
      <c r="AA183" s="8">
        <v>63.0</v>
      </c>
      <c r="AB183" s="3">
        <f t="shared" si="7"/>
        <v>0</v>
      </c>
      <c r="AC183" s="3">
        <f t="shared" si="8"/>
        <v>1</v>
      </c>
      <c r="AD183" s="3">
        <f t="shared" si="9"/>
        <v>0.8333333333</v>
      </c>
      <c r="AE183" s="3">
        <f t="shared" si="10"/>
        <v>0.8333333333</v>
      </c>
      <c r="AF183" s="3">
        <f t="shared" si="11"/>
        <v>2.5</v>
      </c>
      <c r="AG183" s="3">
        <f t="shared" si="12"/>
        <v>0.2075471698</v>
      </c>
    </row>
    <row r="184">
      <c r="A184" s="1" t="s">
        <v>10</v>
      </c>
      <c r="B184" s="1" t="s">
        <v>591</v>
      </c>
      <c r="C184" s="1" t="s">
        <v>19</v>
      </c>
      <c r="D184" s="1" t="s">
        <v>76</v>
      </c>
      <c r="E184" s="1" t="s">
        <v>134</v>
      </c>
      <c r="F184" s="1" t="s">
        <v>649</v>
      </c>
      <c r="G184" s="1">
        <v>65.5</v>
      </c>
      <c r="H184" s="1" t="s">
        <v>60</v>
      </c>
      <c r="I184" s="1">
        <v>-114.0</v>
      </c>
      <c r="J184" s="1">
        <v>-0.101650551867298</v>
      </c>
      <c r="K184" s="1" t="s">
        <v>61</v>
      </c>
      <c r="L184" s="1" t="s">
        <v>61</v>
      </c>
      <c r="M184" s="1" t="s">
        <v>62</v>
      </c>
      <c r="N184" s="1">
        <v>-116.0</v>
      </c>
      <c r="O184" s="1">
        <v>0.0319088752091989</v>
      </c>
      <c r="P184" s="1" t="s">
        <v>61</v>
      </c>
      <c r="Q184" s="1" t="s">
        <v>61</v>
      </c>
      <c r="R184" s="1">
        <f t="shared" si="1"/>
        <v>0.03190887521</v>
      </c>
      <c r="S184" s="1">
        <f t="shared" si="2"/>
        <v>-116</v>
      </c>
      <c r="T184" s="1">
        <f t="shared" si="3"/>
        <v>1.862068966</v>
      </c>
      <c r="U184" s="1">
        <f t="shared" si="4"/>
        <v>0</v>
      </c>
      <c r="V184" s="3">
        <f t="shared" si="5"/>
        <v>1</v>
      </c>
      <c r="W184" s="3">
        <f t="shared" si="6"/>
        <v>2</v>
      </c>
      <c r="X184" s="3" t="str">
        <f>IFERROR(__xludf.DUMMYFUNCTION("split(B184,"" "")"),"K.")</f>
        <v>K.</v>
      </c>
      <c r="Y184" s="3" t="str">
        <f>IFERROR(__xludf.DUMMYFUNCTION("""COMPUTED_VALUE"""),"Hunt")</f>
        <v>Hunt</v>
      </c>
      <c r="AA184" s="8">
        <v>59.0</v>
      </c>
      <c r="AB184" s="3">
        <f t="shared" si="7"/>
        <v>0</v>
      </c>
      <c r="AC184" s="3">
        <f t="shared" si="8"/>
        <v>1</v>
      </c>
      <c r="AD184" s="3">
        <f t="shared" si="9"/>
        <v>0.8620689655</v>
      </c>
      <c r="AE184" s="3">
        <f t="shared" si="10"/>
        <v>0.8620689655</v>
      </c>
      <c r="AF184" s="3">
        <f t="shared" si="11"/>
        <v>1.724137931</v>
      </c>
      <c r="AG184" s="3">
        <f t="shared" si="12"/>
        <v>0.09923664122</v>
      </c>
    </row>
    <row r="185">
      <c r="A185" s="1" t="s">
        <v>11</v>
      </c>
      <c r="B185" s="1" t="s">
        <v>468</v>
      </c>
      <c r="C185" s="1" t="s">
        <v>20</v>
      </c>
      <c r="D185" s="1" t="s">
        <v>76</v>
      </c>
      <c r="E185" s="1" t="s">
        <v>134</v>
      </c>
      <c r="F185" s="1" t="s">
        <v>649</v>
      </c>
      <c r="G185" s="1">
        <v>25.5</v>
      </c>
      <c r="H185" s="1" t="s">
        <v>60</v>
      </c>
      <c r="I185" s="1">
        <v>-112.0</v>
      </c>
      <c r="J185" s="1">
        <v>-0.0949225430609245</v>
      </c>
      <c r="K185" s="1" t="s">
        <v>61</v>
      </c>
      <c r="L185" s="1" t="s">
        <v>61</v>
      </c>
      <c r="M185" s="1" t="s">
        <v>62</v>
      </c>
      <c r="N185" s="1">
        <v>-117.0</v>
      </c>
      <c r="O185" s="1">
        <v>0.0274674082065977</v>
      </c>
      <c r="P185" s="1" t="s">
        <v>61</v>
      </c>
      <c r="Q185" s="1" t="s">
        <v>61</v>
      </c>
      <c r="R185" s="1">
        <f t="shared" si="1"/>
        <v>0.02746740821</v>
      </c>
      <c r="S185" s="1">
        <f t="shared" si="2"/>
        <v>-117</v>
      </c>
      <c r="T185" s="1">
        <f t="shared" si="3"/>
        <v>1.854700855</v>
      </c>
      <c r="U185" s="1">
        <f t="shared" si="4"/>
        <v>0</v>
      </c>
      <c r="V185" s="3">
        <f t="shared" si="5"/>
        <v>1</v>
      </c>
      <c r="W185" s="3">
        <f t="shared" si="6"/>
        <v>2</v>
      </c>
      <c r="X185" s="3" t="str">
        <f>IFERROR(__xludf.DUMMYFUNCTION("split(B185,"" "")"),"N.")</f>
        <v>N.</v>
      </c>
      <c r="Y185" s="3" t="str">
        <f>IFERROR(__xludf.DUMMYFUNCTION("""COMPUTED_VALUE"""),"Gray")</f>
        <v>Gray</v>
      </c>
      <c r="AA185" s="8">
        <v>23.0</v>
      </c>
      <c r="AB185" s="3">
        <f t="shared" si="7"/>
        <v>0</v>
      </c>
      <c r="AC185" s="3">
        <f t="shared" si="8"/>
        <v>1</v>
      </c>
      <c r="AD185" s="3">
        <f t="shared" si="9"/>
        <v>0.8547008547</v>
      </c>
      <c r="AE185" s="3">
        <f t="shared" si="10"/>
        <v>0.8547008547</v>
      </c>
      <c r="AF185" s="3">
        <f t="shared" si="11"/>
        <v>1.709401709</v>
      </c>
      <c r="AG185" s="3">
        <f t="shared" si="12"/>
        <v>0.09803921569</v>
      </c>
    </row>
    <row r="186">
      <c r="A186" s="1" t="s">
        <v>12</v>
      </c>
      <c r="B186" s="1" t="s">
        <v>295</v>
      </c>
      <c r="C186" s="1" t="s">
        <v>18</v>
      </c>
      <c r="D186" s="1" t="s">
        <v>76</v>
      </c>
      <c r="E186" s="1" t="s">
        <v>134</v>
      </c>
      <c r="F186" s="1" t="s">
        <v>649</v>
      </c>
      <c r="G186" s="1">
        <v>3.5</v>
      </c>
      <c r="H186" s="1" t="s">
        <v>60</v>
      </c>
      <c r="I186" s="1">
        <v>117.0</v>
      </c>
      <c r="J186" s="1">
        <v>0.0218705069124424</v>
      </c>
      <c r="K186" s="1" t="s">
        <v>61</v>
      </c>
      <c r="L186" s="1" t="s">
        <v>61</v>
      </c>
      <c r="M186" s="1" t="s">
        <v>62</v>
      </c>
      <c r="N186" s="1">
        <v>-154.0</v>
      </c>
      <c r="O186" s="1">
        <v>-0.0889992125984251</v>
      </c>
      <c r="P186" s="1" t="s">
        <v>61</v>
      </c>
      <c r="Q186" s="1" t="s">
        <v>61</v>
      </c>
      <c r="R186" s="1">
        <f t="shared" si="1"/>
        <v>0.02187050691</v>
      </c>
      <c r="S186" s="1">
        <f t="shared" si="2"/>
        <v>117</v>
      </c>
      <c r="T186" s="1">
        <f t="shared" si="3"/>
        <v>2.17</v>
      </c>
      <c r="U186" s="1">
        <f t="shared" si="4"/>
        <v>1</v>
      </c>
      <c r="V186" s="3">
        <f t="shared" si="5"/>
        <v>1</v>
      </c>
      <c r="W186" s="3">
        <f t="shared" si="6"/>
        <v>1</v>
      </c>
      <c r="X186" s="3" t="str">
        <f>IFERROR(__xludf.DUMMYFUNCTION("split(B186,"" "")"),"X.")</f>
        <v>X.</v>
      </c>
      <c r="Y186" s="3" t="str">
        <f>IFERROR(__xludf.DUMMYFUNCTION("""COMPUTED_VALUE"""),"Worthy")</f>
        <v>Worthy</v>
      </c>
      <c r="AA186" s="8">
        <v>4.0</v>
      </c>
      <c r="AB186" s="3">
        <f t="shared" si="7"/>
        <v>1</v>
      </c>
      <c r="AC186" s="3">
        <f t="shared" si="8"/>
        <v>1</v>
      </c>
      <c r="AD186" s="3">
        <f t="shared" si="9"/>
        <v>1.17</v>
      </c>
      <c r="AE186" s="3">
        <f t="shared" si="10"/>
        <v>1.17</v>
      </c>
      <c r="AF186" s="3">
        <f t="shared" si="11"/>
        <v>1.17</v>
      </c>
      <c r="AG186" s="3">
        <f t="shared" si="12"/>
        <v>0.1428571429</v>
      </c>
    </row>
    <row r="187">
      <c r="A187" s="1" t="s">
        <v>11</v>
      </c>
      <c r="B187" s="1" t="s">
        <v>295</v>
      </c>
      <c r="C187" s="1" t="s">
        <v>18</v>
      </c>
      <c r="D187" s="1" t="s">
        <v>76</v>
      </c>
      <c r="E187" s="1" t="s">
        <v>134</v>
      </c>
      <c r="F187" s="1" t="s">
        <v>649</v>
      </c>
      <c r="G187" s="1">
        <v>38.5</v>
      </c>
      <c r="H187" s="1" t="s">
        <v>60</v>
      </c>
      <c r="I187" s="1">
        <v>-111.0</v>
      </c>
      <c r="J187" s="1">
        <v>0.0195837086265876</v>
      </c>
      <c r="K187" s="1" t="s">
        <v>61</v>
      </c>
      <c r="L187" s="1" t="s">
        <v>61</v>
      </c>
      <c r="M187" s="1" t="s">
        <v>62</v>
      </c>
      <c r="N187" s="1">
        <v>-118.0</v>
      </c>
      <c r="O187" s="1">
        <v>-0.0869281815461101</v>
      </c>
      <c r="P187" s="1" t="s">
        <v>61</v>
      </c>
      <c r="Q187" s="1" t="s">
        <v>61</v>
      </c>
      <c r="R187" s="1">
        <f t="shared" si="1"/>
        <v>0.01958370863</v>
      </c>
      <c r="S187" s="1">
        <f t="shared" si="2"/>
        <v>-111</v>
      </c>
      <c r="T187" s="1">
        <f t="shared" si="3"/>
        <v>1.900900901</v>
      </c>
      <c r="U187" s="1">
        <f t="shared" si="4"/>
        <v>1</v>
      </c>
      <c r="V187" s="3">
        <f t="shared" si="5"/>
        <v>1</v>
      </c>
      <c r="W187" s="3">
        <f t="shared" si="6"/>
        <v>2</v>
      </c>
      <c r="X187" s="3" t="str">
        <f>IFERROR(__xludf.DUMMYFUNCTION("split(B187,"" "")"),"X.")</f>
        <v>X.</v>
      </c>
      <c r="Y187" s="3" t="str">
        <f>IFERROR(__xludf.DUMMYFUNCTION("""COMPUTED_VALUE"""),"Worthy")</f>
        <v>Worthy</v>
      </c>
      <c r="AA187" s="8">
        <v>37.0</v>
      </c>
      <c r="AB187" s="3">
        <f t="shared" si="7"/>
        <v>0</v>
      </c>
      <c r="AC187" s="3">
        <f t="shared" si="8"/>
        <v>0</v>
      </c>
      <c r="AD187" s="3">
        <f t="shared" si="9"/>
        <v>0.9009009009</v>
      </c>
      <c r="AE187" s="3">
        <f t="shared" si="10"/>
        <v>-1</v>
      </c>
      <c r="AF187" s="3">
        <f t="shared" si="11"/>
        <v>-2</v>
      </c>
      <c r="AG187" s="3">
        <f t="shared" si="12"/>
        <v>-0.03896103896</v>
      </c>
    </row>
    <row r="188">
      <c r="A188" s="1" t="s">
        <v>11</v>
      </c>
      <c r="B188" s="1" t="s">
        <v>406</v>
      </c>
      <c r="C188" s="1" t="s">
        <v>18</v>
      </c>
      <c r="D188" s="1" t="s">
        <v>76</v>
      </c>
      <c r="E188" s="1" t="s">
        <v>134</v>
      </c>
      <c r="F188" s="1" t="s">
        <v>649</v>
      </c>
      <c r="G188" s="1">
        <v>35.5</v>
      </c>
      <c r="H188" s="1" t="s">
        <v>60</v>
      </c>
      <c r="I188" s="1">
        <v>-117.0</v>
      </c>
      <c r="J188" s="1">
        <v>-0.0799966283257604</v>
      </c>
      <c r="K188" s="1" t="s">
        <v>61</v>
      </c>
      <c r="L188" s="1" t="s">
        <v>61</v>
      </c>
      <c r="M188" s="1" t="s">
        <v>62</v>
      </c>
      <c r="N188" s="1">
        <v>-111.0</v>
      </c>
      <c r="O188" s="1">
        <v>0.0147766793751702</v>
      </c>
      <c r="P188" s="1" t="s">
        <v>61</v>
      </c>
      <c r="Q188" s="1" t="s">
        <v>61</v>
      </c>
      <c r="R188" s="1">
        <f t="shared" si="1"/>
        <v>0.01477667938</v>
      </c>
      <c r="S188" s="1">
        <f t="shared" si="2"/>
        <v>-111</v>
      </c>
      <c r="T188" s="1">
        <f t="shared" si="3"/>
        <v>1.900900901</v>
      </c>
      <c r="U188" s="1">
        <f t="shared" si="4"/>
        <v>0</v>
      </c>
      <c r="V188" s="3">
        <f t="shared" si="5"/>
        <v>1</v>
      </c>
      <c r="W188" s="3">
        <f t="shared" si="6"/>
        <v>2</v>
      </c>
      <c r="X188" s="3" t="str">
        <f>IFERROR(__xludf.DUMMYFUNCTION("split(B188,"" "")"),"D.")</f>
        <v>D.</v>
      </c>
      <c r="Y188" s="3" t="str">
        <f>IFERROR(__xludf.DUMMYFUNCTION("""COMPUTED_VALUE"""),"Hopkins")</f>
        <v>Hopkins</v>
      </c>
      <c r="AA188" s="8">
        <v>29.0</v>
      </c>
      <c r="AB188" s="3">
        <f t="shared" si="7"/>
        <v>0</v>
      </c>
      <c r="AC188" s="3">
        <f t="shared" si="8"/>
        <v>1</v>
      </c>
      <c r="AD188" s="3">
        <f t="shared" si="9"/>
        <v>0.9009009009</v>
      </c>
      <c r="AE188" s="3">
        <f t="shared" si="10"/>
        <v>0.9009009009</v>
      </c>
      <c r="AF188" s="3">
        <f t="shared" si="11"/>
        <v>1.801801802</v>
      </c>
      <c r="AG188" s="3">
        <f t="shared" si="12"/>
        <v>0.1830985915</v>
      </c>
    </row>
    <row r="189">
      <c r="A189" s="1" t="s">
        <v>16</v>
      </c>
      <c r="B189" s="1" t="s">
        <v>75</v>
      </c>
      <c r="C189" s="1" t="s">
        <v>21</v>
      </c>
      <c r="D189" s="1" t="s">
        <v>76</v>
      </c>
      <c r="E189" s="1" t="s">
        <v>134</v>
      </c>
      <c r="F189" s="1" t="s">
        <v>649</v>
      </c>
      <c r="G189" s="1">
        <v>31.5</v>
      </c>
      <c r="H189" s="1" t="s">
        <v>60</v>
      </c>
      <c r="I189" s="1">
        <v>-109.0</v>
      </c>
      <c r="J189" s="1">
        <v>0.0101220419138756</v>
      </c>
      <c r="K189" s="1" t="s">
        <v>61</v>
      </c>
      <c r="L189" s="1" t="s">
        <v>61</v>
      </c>
      <c r="M189" s="1" t="s">
        <v>62</v>
      </c>
      <c r="N189" s="1">
        <v>-118.0</v>
      </c>
      <c r="O189" s="1">
        <v>-0.0729191009174311</v>
      </c>
      <c r="P189" s="1" t="s">
        <v>61</v>
      </c>
      <c r="Q189" s="1" t="s">
        <v>61</v>
      </c>
      <c r="R189" s="1">
        <f t="shared" si="1"/>
        <v>0.01012204191</v>
      </c>
      <c r="S189" s="1">
        <f t="shared" si="2"/>
        <v>-109</v>
      </c>
      <c r="T189" s="1">
        <f t="shared" si="3"/>
        <v>1.917431193</v>
      </c>
      <c r="U189" s="1">
        <f t="shared" si="4"/>
        <v>1</v>
      </c>
      <c r="V189" s="3">
        <f t="shared" si="5"/>
        <v>1</v>
      </c>
      <c r="W189" s="3">
        <f t="shared" si="6"/>
        <v>2</v>
      </c>
      <c r="X189" s="3" t="str">
        <f>IFERROR(__xludf.DUMMYFUNCTION("split(B189,"" "")"),"P.")</f>
        <v>P.</v>
      </c>
      <c r="Y189" s="3" t="str">
        <f>IFERROR(__xludf.DUMMYFUNCTION("""COMPUTED_VALUE"""),"Mahomes")</f>
        <v>Mahomes</v>
      </c>
      <c r="AA189" s="8">
        <v>38.0</v>
      </c>
      <c r="AB189" s="3">
        <f t="shared" si="7"/>
        <v>1</v>
      </c>
      <c r="AC189" s="3">
        <f t="shared" si="8"/>
        <v>1</v>
      </c>
      <c r="AD189" s="3">
        <f t="shared" si="9"/>
        <v>0.9174311927</v>
      </c>
      <c r="AE189" s="3">
        <f t="shared" si="10"/>
        <v>0.9174311927</v>
      </c>
      <c r="AF189" s="3">
        <f t="shared" si="11"/>
        <v>1.834862385</v>
      </c>
      <c r="AG189" s="3">
        <f t="shared" si="12"/>
        <v>0.2063492063</v>
      </c>
    </row>
    <row r="190">
      <c r="A190" s="1" t="s">
        <v>8</v>
      </c>
      <c r="B190" s="1" t="s">
        <v>591</v>
      </c>
      <c r="C190" s="1" t="s">
        <v>19</v>
      </c>
      <c r="D190" s="1" t="s">
        <v>76</v>
      </c>
      <c r="E190" s="1" t="s">
        <v>134</v>
      </c>
      <c r="F190" s="1" t="s">
        <v>649</v>
      </c>
      <c r="G190" s="1">
        <v>17.5</v>
      </c>
      <c r="H190" s="1" t="s">
        <v>60</v>
      </c>
      <c r="I190" s="1">
        <v>-110.0</v>
      </c>
      <c r="J190" s="1">
        <v>-0.0786554061904762</v>
      </c>
      <c r="K190" s="1" t="s">
        <v>61</v>
      </c>
      <c r="L190" s="1" t="s">
        <v>61</v>
      </c>
      <c r="M190" s="1" t="s">
        <v>62</v>
      </c>
      <c r="N190" s="1">
        <v>-123.0</v>
      </c>
      <c r="O190" s="1">
        <v>0.00328363865022418</v>
      </c>
      <c r="P190" s="1" t="s">
        <v>61</v>
      </c>
      <c r="Q190" s="1" t="s">
        <v>61</v>
      </c>
      <c r="R190" s="1">
        <f t="shared" si="1"/>
        <v>0.00328363865</v>
      </c>
      <c r="S190" s="1">
        <f t="shared" si="2"/>
        <v>-123</v>
      </c>
      <c r="T190" s="1">
        <f t="shared" si="3"/>
        <v>1.81300813</v>
      </c>
      <c r="U190" s="1">
        <f t="shared" si="4"/>
        <v>0</v>
      </c>
      <c r="V190" s="3">
        <f t="shared" si="5"/>
        <v>1</v>
      </c>
      <c r="W190" s="3">
        <f t="shared" si="6"/>
        <v>3</v>
      </c>
      <c r="X190" s="3" t="str">
        <f>IFERROR(__xludf.DUMMYFUNCTION("split(B190,"" "")"),"K.")</f>
        <v>K.</v>
      </c>
      <c r="Y190" s="3" t="str">
        <f>IFERROR(__xludf.DUMMYFUNCTION("""COMPUTED_VALUE"""),"Hunt")</f>
        <v>Hunt</v>
      </c>
      <c r="AA190" s="8">
        <v>21.0</v>
      </c>
      <c r="AB190" s="3">
        <f t="shared" si="7"/>
        <v>1</v>
      </c>
      <c r="AC190" s="3">
        <f t="shared" si="8"/>
        <v>0</v>
      </c>
      <c r="AD190" s="3">
        <f t="shared" si="9"/>
        <v>0.8130081301</v>
      </c>
      <c r="AE190" s="3">
        <f t="shared" si="10"/>
        <v>-1</v>
      </c>
      <c r="AF190" s="3">
        <f t="shared" si="11"/>
        <v>-3</v>
      </c>
      <c r="AG190" s="3">
        <f t="shared" si="12"/>
        <v>-0.2</v>
      </c>
    </row>
    <row r="191">
      <c r="A191" s="1" t="s">
        <v>12</v>
      </c>
      <c r="B191" s="1" t="s">
        <v>543</v>
      </c>
      <c r="C191" s="1" t="s">
        <v>18</v>
      </c>
      <c r="D191" s="1" t="s">
        <v>196</v>
      </c>
      <c r="E191" s="1" t="s">
        <v>146</v>
      </c>
      <c r="F191" s="1" t="s">
        <v>653</v>
      </c>
      <c r="G191" s="1">
        <v>2.5</v>
      </c>
      <c r="H191" s="1" t="s">
        <v>60</v>
      </c>
      <c r="I191" s="1">
        <v>-156.0</v>
      </c>
      <c r="J191" s="1">
        <v>-0.26397353421875</v>
      </c>
      <c r="K191" s="1" t="s">
        <v>61</v>
      </c>
      <c r="L191" s="1" t="s">
        <v>61</v>
      </c>
      <c r="M191" s="1" t="s">
        <v>62</v>
      </c>
      <c r="N191" s="1">
        <v>119.0</v>
      </c>
      <c r="O191" s="1">
        <v>0.197977282009132</v>
      </c>
      <c r="P191" s="1" t="s">
        <v>61</v>
      </c>
      <c r="Q191" s="1" t="s">
        <v>61</v>
      </c>
      <c r="R191" s="1">
        <f t="shared" si="1"/>
        <v>0.197977282</v>
      </c>
      <c r="S191" s="1">
        <f t="shared" si="2"/>
        <v>119</v>
      </c>
      <c r="T191" s="1">
        <f t="shared" si="3"/>
        <v>2.19</v>
      </c>
      <c r="U191" s="1">
        <f t="shared" si="4"/>
        <v>0</v>
      </c>
      <c r="V191" s="3">
        <f t="shared" si="5"/>
        <v>3</v>
      </c>
      <c r="W191" s="3">
        <f t="shared" si="6"/>
        <v>1</v>
      </c>
      <c r="X191" s="3" t="str">
        <f>IFERROR(__xludf.DUMMYFUNCTION("split(B191,"" "")"),"T.")</f>
        <v>T.</v>
      </c>
      <c r="Y191" s="3" t="str">
        <f>IFERROR(__xludf.DUMMYFUNCTION("""COMPUTED_VALUE"""),"Atwell")</f>
        <v>Atwell</v>
      </c>
      <c r="AA191" s="8">
        <v>1.0</v>
      </c>
      <c r="AB191" s="3">
        <f t="shared" si="7"/>
        <v>0</v>
      </c>
      <c r="AC191" s="3">
        <f t="shared" si="8"/>
        <v>1</v>
      </c>
      <c r="AD191" s="3">
        <f t="shared" si="9"/>
        <v>3.57</v>
      </c>
      <c r="AE191" s="3">
        <f t="shared" si="10"/>
        <v>3.57</v>
      </c>
      <c r="AF191" s="3">
        <f t="shared" si="11"/>
        <v>1.19</v>
      </c>
      <c r="AG191" s="3">
        <f t="shared" si="12"/>
        <v>0.6</v>
      </c>
    </row>
    <row r="192">
      <c r="A192" s="1" t="s">
        <v>12</v>
      </c>
      <c r="B192" s="1" t="s">
        <v>284</v>
      </c>
      <c r="C192" s="1" t="s">
        <v>18</v>
      </c>
      <c r="D192" s="1" t="s">
        <v>196</v>
      </c>
      <c r="E192" s="1" t="s">
        <v>146</v>
      </c>
      <c r="F192" s="1" t="s">
        <v>653</v>
      </c>
      <c r="G192" s="1">
        <v>1.5</v>
      </c>
      <c r="H192" s="1" t="s">
        <v>60</v>
      </c>
      <c r="I192" s="1">
        <v>-185.0</v>
      </c>
      <c r="J192" s="1">
        <v>-0.235156724185965</v>
      </c>
      <c r="K192" s="1" t="s">
        <v>61</v>
      </c>
      <c r="L192" s="1" t="s">
        <v>61</v>
      </c>
      <c r="M192" s="1" t="s">
        <v>62</v>
      </c>
      <c r="N192" s="1">
        <v>139.0</v>
      </c>
      <c r="O192" s="1">
        <v>0.167630403317991</v>
      </c>
      <c r="P192" s="1" t="s">
        <v>61</v>
      </c>
      <c r="Q192" s="1" t="s">
        <v>61</v>
      </c>
      <c r="R192" s="1">
        <f t="shared" si="1"/>
        <v>0.1676304033</v>
      </c>
      <c r="S192" s="1">
        <f t="shared" si="2"/>
        <v>139</v>
      </c>
      <c r="T192" s="1">
        <f t="shared" si="3"/>
        <v>2.39</v>
      </c>
      <c r="U192" s="1">
        <f t="shared" si="4"/>
        <v>0</v>
      </c>
      <c r="V192" s="3">
        <f t="shared" si="5"/>
        <v>3</v>
      </c>
      <c r="W192" s="3">
        <f t="shared" si="6"/>
        <v>1</v>
      </c>
      <c r="X192" s="3" t="str">
        <f>IFERROR(__xludf.DUMMYFUNCTION("split(B192,"" "")"),"D.")</f>
        <v>D.</v>
      </c>
      <c r="Y192" s="3" t="str">
        <f>IFERROR(__xludf.DUMMYFUNCTION("""COMPUTED_VALUE"""),"Robinson")</f>
        <v>Robinson</v>
      </c>
      <c r="AA192" s="8">
        <v>2.0</v>
      </c>
      <c r="AB192" s="3">
        <f t="shared" si="7"/>
        <v>1</v>
      </c>
      <c r="AC192" s="3">
        <f t="shared" si="8"/>
        <v>0</v>
      </c>
      <c r="AD192" s="3">
        <f t="shared" si="9"/>
        <v>4.17</v>
      </c>
      <c r="AE192" s="3">
        <f t="shared" si="10"/>
        <v>-3</v>
      </c>
      <c r="AF192" s="3">
        <f t="shared" si="11"/>
        <v>-1</v>
      </c>
      <c r="AG192" s="3">
        <f t="shared" si="12"/>
        <v>-0.3333333333</v>
      </c>
    </row>
    <row r="193">
      <c r="A193" s="1" t="s">
        <v>12</v>
      </c>
      <c r="B193" s="1" t="s">
        <v>397</v>
      </c>
      <c r="C193" s="1" t="s">
        <v>18</v>
      </c>
      <c r="D193" s="1" t="s">
        <v>196</v>
      </c>
      <c r="E193" s="1" t="s">
        <v>146</v>
      </c>
      <c r="F193" s="1" t="s">
        <v>653</v>
      </c>
      <c r="G193" s="1">
        <v>2.5</v>
      </c>
      <c r="H193" s="1" t="s">
        <v>60</v>
      </c>
      <c r="I193" s="1">
        <v>-107.0</v>
      </c>
      <c r="J193" s="1">
        <v>-0.17165471231884</v>
      </c>
      <c r="K193" s="1" t="s">
        <v>61</v>
      </c>
      <c r="L193" s="1" t="s">
        <v>61</v>
      </c>
      <c r="M193" s="1" t="s">
        <v>62</v>
      </c>
      <c r="N193" s="1">
        <v>-123.0</v>
      </c>
      <c r="O193" s="1">
        <v>0.103183584320627</v>
      </c>
      <c r="P193" s="1" t="s">
        <v>61</v>
      </c>
      <c r="Q193" s="1" t="s">
        <v>61</v>
      </c>
      <c r="R193" s="1">
        <f t="shared" si="1"/>
        <v>0.1031835843</v>
      </c>
      <c r="S193" s="1">
        <f t="shared" si="2"/>
        <v>-123</v>
      </c>
      <c r="T193" s="1">
        <f t="shared" si="3"/>
        <v>1.81300813</v>
      </c>
      <c r="U193" s="1">
        <f t="shared" si="4"/>
        <v>0</v>
      </c>
      <c r="V193" s="3">
        <f t="shared" si="5"/>
        <v>3</v>
      </c>
      <c r="W193" s="3">
        <f t="shared" si="6"/>
        <v>3</v>
      </c>
      <c r="X193" s="3" t="str">
        <f>IFERROR(__xludf.DUMMYFUNCTION("split(B193,"" "")"),"P.")</f>
        <v>P.</v>
      </c>
      <c r="Y193" s="3" t="str">
        <f>IFERROR(__xludf.DUMMYFUNCTION("""COMPUTED_VALUE"""),"Nacua")</f>
        <v>Nacua</v>
      </c>
      <c r="AA193" s="8">
        <v>7.0</v>
      </c>
      <c r="AB193" s="3">
        <f t="shared" si="7"/>
        <v>1</v>
      </c>
      <c r="AC193" s="3">
        <f t="shared" si="8"/>
        <v>0</v>
      </c>
      <c r="AD193" s="3">
        <f t="shared" si="9"/>
        <v>2.43902439</v>
      </c>
      <c r="AE193" s="3">
        <f t="shared" si="10"/>
        <v>-3</v>
      </c>
      <c r="AF193" s="3">
        <f t="shared" si="11"/>
        <v>-3</v>
      </c>
      <c r="AG193" s="3">
        <f t="shared" si="12"/>
        <v>-1.8</v>
      </c>
    </row>
    <row r="194">
      <c r="A194" s="1" t="s">
        <v>9</v>
      </c>
      <c r="B194" s="1" t="s">
        <v>284</v>
      </c>
      <c r="C194" s="1" t="s">
        <v>18</v>
      </c>
      <c r="D194" s="1" t="s">
        <v>196</v>
      </c>
      <c r="E194" s="1" t="s">
        <v>146</v>
      </c>
      <c r="F194" s="1" t="s">
        <v>653</v>
      </c>
      <c r="G194" s="1">
        <v>22.5</v>
      </c>
      <c r="H194" s="1" t="s">
        <v>60</v>
      </c>
      <c r="I194" s="1">
        <v>-115.0</v>
      </c>
      <c r="J194" s="1">
        <v>0.0958750446546471</v>
      </c>
      <c r="K194" s="1" t="s">
        <v>61</v>
      </c>
      <c r="L194" s="1" t="s">
        <v>61</v>
      </c>
      <c r="M194" s="1" t="s">
        <v>62</v>
      </c>
      <c r="N194" s="1">
        <v>-117.0</v>
      </c>
      <c r="O194" s="1">
        <v>-0.169890863976389</v>
      </c>
      <c r="P194" s="1" t="s">
        <v>61</v>
      </c>
      <c r="Q194" s="1" t="s">
        <v>61</v>
      </c>
      <c r="R194" s="1">
        <f t="shared" si="1"/>
        <v>0.09587504465</v>
      </c>
      <c r="S194" s="1">
        <f t="shared" si="2"/>
        <v>-115</v>
      </c>
      <c r="T194" s="1">
        <f t="shared" si="3"/>
        <v>1.869565217</v>
      </c>
      <c r="U194" s="1">
        <f t="shared" si="4"/>
        <v>1</v>
      </c>
      <c r="V194" s="3">
        <f t="shared" si="5"/>
        <v>2</v>
      </c>
      <c r="W194" s="3">
        <f t="shared" si="6"/>
        <v>2</v>
      </c>
      <c r="X194" s="3" t="str">
        <f>IFERROR(__xludf.DUMMYFUNCTION("split(B194,"" "")"),"D.")</f>
        <v>D.</v>
      </c>
      <c r="Y194" s="3" t="str">
        <f>IFERROR(__xludf.DUMMYFUNCTION("""COMPUTED_VALUE"""),"Robinson")</f>
        <v>Robinson</v>
      </c>
      <c r="AA194" s="8">
        <v>35.0</v>
      </c>
      <c r="AB194" s="3">
        <f t="shared" si="7"/>
        <v>1</v>
      </c>
      <c r="AC194" s="3">
        <f t="shared" si="8"/>
        <v>1</v>
      </c>
      <c r="AD194" s="3">
        <f t="shared" si="9"/>
        <v>1.739130435</v>
      </c>
      <c r="AE194" s="3">
        <f t="shared" si="10"/>
        <v>1.739130435</v>
      </c>
      <c r="AF194" s="3">
        <f t="shared" si="11"/>
        <v>1.739130435</v>
      </c>
      <c r="AG194" s="3">
        <f t="shared" si="12"/>
        <v>0.5555555556</v>
      </c>
    </row>
    <row r="195">
      <c r="A195" s="1" t="s">
        <v>12</v>
      </c>
      <c r="B195" s="1" t="s">
        <v>470</v>
      </c>
      <c r="C195" s="1" t="s">
        <v>20</v>
      </c>
      <c r="D195" s="1" t="s">
        <v>196</v>
      </c>
      <c r="E195" s="1" t="s">
        <v>146</v>
      </c>
      <c r="F195" s="1" t="s">
        <v>653</v>
      </c>
      <c r="G195" s="1">
        <v>3.5</v>
      </c>
      <c r="H195" s="1" t="s">
        <v>60</v>
      </c>
      <c r="I195" s="1">
        <v>109.0</v>
      </c>
      <c r="J195" s="1">
        <v>-0.133121052631578</v>
      </c>
      <c r="K195" s="1" t="s">
        <v>61</v>
      </c>
      <c r="L195" s="1" t="s">
        <v>61</v>
      </c>
      <c r="M195" s="1" t="s">
        <v>62</v>
      </c>
      <c r="N195" s="1">
        <v>-142.0</v>
      </c>
      <c r="O195" s="1">
        <v>0.0678818181818181</v>
      </c>
      <c r="P195" s="1" t="s">
        <v>61</v>
      </c>
      <c r="Q195" s="1" t="s">
        <v>61</v>
      </c>
      <c r="R195" s="1">
        <f t="shared" si="1"/>
        <v>0.06788181818</v>
      </c>
      <c r="S195" s="1">
        <f t="shared" si="2"/>
        <v>-142</v>
      </c>
      <c r="T195" s="1">
        <f t="shared" si="3"/>
        <v>1.704225352</v>
      </c>
      <c r="U195" s="1">
        <f t="shared" si="4"/>
        <v>0</v>
      </c>
      <c r="V195" s="3">
        <f t="shared" si="5"/>
        <v>2</v>
      </c>
      <c r="W195" s="3">
        <f t="shared" si="6"/>
        <v>3</v>
      </c>
      <c r="X195" s="3" t="str">
        <f>IFERROR(__xludf.DUMMYFUNCTION("split(B195,"" "")"),"C.")</f>
        <v>C.</v>
      </c>
      <c r="Y195" s="3" t="str">
        <f>IFERROR(__xludf.DUMMYFUNCTION("""COMPUTED_VALUE"""),"Parkinson")</f>
        <v>Parkinson</v>
      </c>
      <c r="AA195" s="8">
        <v>2.0</v>
      </c>
      <c r="AB195" s="3">
        <f t="shared" si="7"/>
        <v>0</v>
      </c>
      <c r="AC195" s="3">
        <f t="shared" si="8"/>
        <v>1</v>
      </c>
      <c r="AD195" s="3">
        <f t="shared" si="9"/>
        <v>1.408450704</v>
      </c>
      <c r="AE195" s="3">
        <f t="shared" si="10"/>
        <v>1.408450704</v>
      </c>
      <c r="AF195" s="3">
        <f t="shared" si="11"/>
        <v>2.112676056</v>
      </c>
      <c r="AG195" s="3">
        <f t="shared" si="12"/>
        <v>0.4285714286</v>
      </c>
    </row>
    <row r="196">
      <c r="A196" s="1" t="s">
        <v>12</v>
      </c>
      <c r="B196" s="1" t="s">
        <v>469</v>
      </c>
      <c r="C196" s="1" t="s">
        <v>18</v>
      </c>
      <c r="D196" s="1" t="s">
        <v>196</v>
      </c>
      <c r="E196" s="1" t="s">
        <v>146</v>
      </c>
      <c r="F196" s="1" t="s">
        <v>653</v>
      </c>
      <c r="G196" s="1">
        <v>6.5</v>
      </c>
      <c r="H196" s="1" t="s">
        <v>60</v>
      </c>
      <c r="I196" s="1">
        <v>-124.0</v>
      </c>
      <c r="J196" s="1">
        <v>0.0566732142857141</v>
      </c>
      <c r="K196" s="1" t="s">
        <v>61</v>
      </c>
      <c r="L196" s="1" t="s">
        <v>61</v>
      </c>
      <c r="M196" s="1" t="s">
        <v>62</v>
      </c>
      <c r="N196" s="1">
        <v>-105.0</v>
      </c>
      <c r="O196" s="1">
        <v>-0.122446341463414</v>
      </c>
      <c r="P196" s="1" t="s">
        <v>61</v>
      </c>
      <c r="Q196" s="1" t="s">
        <v>61</v>
      </c>
      <c r="R196" s="1">
        <f t="shared" si="1"/>
        <v>0.05667321429</v>
      </c>
      <c r="S196" s="1">
        <f t="shared" si="2"/>
        <v>-124</v>
      </c>
      <c r="T196" s="1">
        <f t="shared" si="3"/>
        <v>1.806451613</v>
      </c>
      <c r="U196" s="1">
        <f t="shared" si="4"/>
        <v>1</v>
      </c>
      <c r="V196" s="3">
        <f t="shared" si="5"/>
        <v>2</v>
      </c>
      <c r="W196" s="3">
        <f t="shared" si="6"/>
        <v>3</v>
      </c>
      <c r="X196" s="3" t="str">
        <f>IFERROR(__xludf.DUMMYFUNCTION("split(B196,"" "")"),"C.")</f>
        <v>C.</v>
      </c>
      <c r="Y196" s="3" t="str">
        <f>IFERROR(__xludf.DUMMYFUNCTION("""COMPUTED_VALUE"""),"Kupp")</f>
        <v>Kupp</v>
      </c>
      <c r="AA196" s="8">
        <v>5.0</v>
      </c>
      <c r="AB196" s="3">
        <f t="shared" si="7"/>
        <v>0</v>
      </c>
      <c r="AC196" s="3">
        <f t="shared" si="8"/>
        <v>0</v>
      </c>
      <c r="AD196" s="3">
        <f t="shared" si="9"/>
        <v>1.612903226</v>
      </c>
      <c r="AE196" s="3">
        <f t="shared" si="10"/>
        <v>-2</v>
      </c>
      <c r="AF196" s="3">
        <f t="shared" si="11"/>
        <v>-3</v>
      </c>
      <c r="AG196" s="3">
        <f t="shared" si="12"/>
        <v>-0.2307692308</v>
      </c>
    </row>
    <row r="197">
      <c r="A197" s="1" t="s">
        <v>17</v>
      </c>
      <c r="B197" s="1" t="s">
        <v>247</v>
      </c>
      <c r="C197" s="1" t="s">
        <v>21</v>
      </c>
      <c r="D197" s="1" t="s">
        <v>196</v>
      </c>
      <c r="E197" s="1" t="s">
        <v>146</v>
      </c>
      <c r="F197" s="1" t="s">
        <v>653</v>
      </c>
      <c r="G197" s="1">
        <v>0.5</v>
      </c>
      <c r="H197" s="1" t="s">
        <v>60</v>
      </c>
      <c r="I197" s="1">
        <v>-124.0</v>
      </c>
      <c r="J197" s="1">
        <v>-0.108371428571428</v>
      </c>
      <c r="K197" s="1" t="s">
        <v>61</v>
      </c>
      <c r="L197" s="1" t="s">
        <v>61</v>
      </c>
      <c r="M197" s="1" t="s">
        <v>62</v>
      </c>
      <c r="N197" s="1">
        <v>-105.0</v>
      </c>
      <c r="O197" s="1">
        <v>0.0426048780487804</v>
      </c>
      <c r="P197" s="1" t="s">
        <v>61</v>
      </c>
      <c r="Q197" s="1" t="s">
        <v>61</v>
      </c>
      <c r="R197" s="1">
        <f t="shared" si="1"/>
        <v>0.04260487805</v>
      </c>
      <c r="S197" s="1">
        <f t="shared" si="2"/>
        <v>-105</v>
      </c>
      <c r="T197" s="1">
        <f t="shared" si="3"/>
        <v>1.952380952</v>
      </c>
      <c r="U197" s="1">
        <f t="shared" si="4"/>
        <v>0</v>
      </c>
      <c r="V197" s="3">
        <f t="shared" si="5"/>
        <v>1</v>
      </c>
      <c r="W197" s="3">
        <f t="shared" si="6"/>
        <v>2</v>
      </c>
      <c r="X197" s="3" t="str">
        <f>IFERROR(__xludf.DUMMYFUNCTION("split(B197,"" "")"),"M.")</f>
        <v>M.</v>
      </c>
      <c r="Y197" s="3" t="str">
        <f>IFERROR(__xludf.DUMMYFUNCTION("""COMPUTED_VALUE"""),"Stafford")</f>
        <v>Stafford</v>
      </c>
      <c r="AA197" s="8">
        <v>1.0</v>
      </c>
      <c r="AB197" s="3">
        <f t="shared" si="7"/>
        <v>1</v>
      </c>
      <c r="AC197" s="3">
        <f t="shared" si="8"/>
        <v>0</v>
      </c>
      <c r="AD197" s="3">
        <f t="shared" si="9"/>
        <v>0.9523809524</v>
      </c>
      <c r="AE197" s="3">
        <f t="shared" si="10"/>
        <v>-1</v>
      </c>
      <c r="AF197" s="3">
        <f t="shared" si="11"/>
        <v>-2</v>
      </c>
      <c r="AG197" s="3">
        <f t="shared" si="12"/>
        <v>-1</v>
      </c>
    </row>
    <row r="198">
      <c r="A198" s="1" t="s">
        <v>12</v>
      </c>
      <c r="B198" s="1" t="s">
        <v>368</v>
      </c>
      <c r="C198" s="1" t="s">
        <v>19</v>
      </c>
      <c r="D198" s="1" t="s">
        <v>196</v>
      </c>
      <c r="E198" s="1" t="s">
        <v>146</v>
      </c>
      <c r="F198" s="1" t="s">
        <v>653</v>
      </c>
      <c r="G198" s="1">
        <v>2.5</v>
      </c>
      <c r="H198" s="1" t="s">
        <v>60</v>
      </c>
      <c r="I198" s="1">
        <v>121.0</v>
      </c>
      <c r="J198" s="1">
        <v>-0.108486665111764</v>
      </c>
      <c r="K198" s="1" t="s">
        <v>61</v>
      </c>
      <c r="L198" s="1" t="s">
        <v>61</v>
      </c>
      <c r="M198" s="1" t="s">
        <v>62</v>
      </c>
      <c r="N198" s="1">
        <v>-159.0</v>
      </c>
      <c r="O198" s="1">
        <v>0.0420981181710423</v>
      </c>
      <c r="P198" s="1" t="s">
        <v>61</v>
      </c>
      <c r="Q198" s="1" t="s">
        <v>61</v>
      </c>
      <c r="R198" s="1">
        <f t="shared" si="1"/>
        <v>0.04209811817</v>
      </c>
      <c r="S198" s="1">
        <f t="shared" si="2"/>
        <v>-159</v>
      </c>
      <c r="T198" s="1">
        <f t="shared" si="3"/>
        <v>1.628930818</v>
      </c>
      <c r="U198" s="1">
        <f t="shared" si="4"/>
        <v>0</v>
      </c>
      <c r="V198" s="3">
        <f t="shared" si="5"/>
        <v>1</v>
      </c>
      <c r="W198" s="3">
        <f t="shared" si="6"/>
        <v>3</v>
      </c>
      <c r="X198" s="3" t="str">
        <f>IFERROR(__xludf.DUMMYFUNCTION("split(B198,"" "")"),"K.")</f>
        <v>K.</v>
      </c>
      <c r="Y198" s="3" t="str">
        <f>IFERROR(__xludf.DUMMYFUNCTION("""COMPUTED_VALUE"""),"Williams")</f>
        <v>Williams</v>
      </c>
      <c r="AA198" s="8">
        <v>5.0</v>
      </c>
      <c r="AB198" s="3">
        <f t="shared" si="7"/>
        <v>1</v>
      </c>
      <c r="AC198" s="3">
        <f t="shared" si="8"/>
        <v>0</v>
      </c>
      <c r="AD198" s="3">
        <f t="shared" si="9"/>
        <v>0.6289308176</v>
      </c>
      <c r="AE198" s="3">
        <f t="shared" si="10"/>
        <v>-1</v>
      </c>
      <c r="AF198" s="3">
        <f t="shared" si="11"/>
        <v>-3</v>
      </c>
      <c r="AG198" s="3">
        <f t="shared" si="12"/>
        <v>-1</v>
      </c>
    </row>
    <row r="199">
      <c r="A199" s="1" t="s">
        <v>11</v>
      </c>
      <c r="B199" s="1" t="s">
        <v>397</v>
      </c>
      <c r="C199" s="1" t="s">
        <v>18</v>
      </c>
      <c r="D199" s="1" t="s">
        <v>196</v>
      </c>
      <c r="E199" s="1" t="s">
        <v>146</v>
      </c>
      <c r="F199" s="1" t="s">
        <v>653</v>
      </c>
      <c r="G199" s="1">
        <v>29.5</v>
      </c>
      <c r="H199" s="1" t="s">
        <v>60</v>
      </c>
      <c r="I199" s="1">
        <v>-122.0</v>
      </c>
      <c r="J199" s="1">
        <v>-0.10352072451991</v>
      </c>
      <c r="K199" s="1" t="s">
        <v>61</v>
      </c>
      <c r="L199" s="1" t="s">
        <v>61</v>
      </c>
      <c r="M199" s="1" t="s">
        <v>62</v>
      </c>
      <c r="N199" s="1">
        <v>-105.0</v>
      </c>
      <c r="O199" s="1">
        <v>0.0417709491503952</v>
      </c>
      <c r="P199" s="1" t="s">
        <v>61</v>
      </c>
      <c r="Q199" s="1" t="s">
        <v>61</v>
      </c>
      <c r="R199" s="1">
        <f t="shared" si="1"/>
        <v>0.04177094915</v>
      </c>
      <c r="S199" s="1">
        <f t="shared" si="2"/>
        <v>-105</v>
      </c>
      <c r="T199" s="1">
        <f t="shared" si="3"/>
        <v>1.952380952</v>
      </c>
      <c r="U199" s="1">
        <f t="shared" si="4"/>
        <v>0</v>
      </c>
      <c r="V199" s="3">
        <f t="shared" si="5"/>
        <v>1</v>
      </c>
      <c r="W199" s="3">
        <f t="shared" si="6"/>
        <v>2</v>
      </c>
      <c r="X199" s="3" t="str">
        <f>IFERROR(__xludf.DUMMYFUNCTION("split(B199,"" "")"),"P.")</f>
        <v>P.</v>
      </c>
      <c r="Y199" s="3" t="str">
        <f>IFERROR(__xludf.DUMMYFUNCTION("""COMPUTED_VALUE"""),"Nacua")</f>
        <v>Nacua</v>
      </c>
      <c r="AA199" s="8">
        <v>106.0</v>
      </c>
      <c r="AB199" s="3">
        <f t="shared" si="7"/>
        <v>1</v>
      </c>
      <c r="AC199" s="3">
        <f t="shared" si="8"/>
        <v>0</v>
      </c>
      <c r="AD199" s="3">
        <f t="shared" si="9"/>
        <v>0.9523809524</v>
      </c>
      <c r="AE199" s="3">
        <f t="shared" si="10"/>
        <v>-1</v>
      </c>
      <c r="AF199" s="3">
        <f t="shared" si="11"/>
        <v>-2</v>
      </c>
      <c r="AG199" s="3">
        <f t="shared" si="12"/>
        <v>-2.593220339</v>
      </c>
    </row>
    <row r="200">
      <c r="A200" s="1" t="s">
        <v>9</v>
      </c>
      <c r="B200" s="1" t="s">
        <v>543</v>
      </c>
      <c r="C200" s="1" t="s">
        <v>18</v>
      </c>
      <c r="D200" s="1" t="s">
        <v>196</v>
      </c>
      <c r="E200" s="1" t="s">
        <v>146</v>
      </c>
      <c r="F200" s="1" t="s">
        <v>653</v>
      </c>
      <c r="G200" s="1">
        <v>33.5</v>
      </c>
      <c r="H200" s="1" t="s">
        <v>60</v>
      </c>
      <c r="I200" s="1">
        <v>-115.0</v>
      </c>
      <c r="J200" s="1">
        <v>0.0393018799716918</v>
      </c>
      <c r="K200" s="1" t="s">
        <v>61</v>
      </c>
      <c r="L200" s="1" t="s">
        <v>61</v>
      </c>
      <c r="M200" s="1" t="s">
        <v>62</v>
      </c>
      <c r="N200" s="1">
        <v>-117.0</v>
      </c>
      <c r="O200" s="1">
        <v>-0.113385658557046</v>
      </c>
      <c r="P200" s="1" t="s">
        <v>61</v>
      </c>
      <c r="Q200" s="1" t="s">
        <v>61</v>
      </c>
      <c r="R200" s="1">
        <f t="shared" si="1"/>
        <v>0.03930187997</v>
      </c>
      <c r="S200" s="1">
        <f t="shared" si="2"/>
        <v>-115</v>
      </c>
      <c r="T200" s="1">
        <f t="shared" si="3"/>
        <v>1.869565217</v>
      </c>
      <c r="U200" s="1">
        <f t="shared" si="4"/>
        <v>1</v>
      </c>
      <c r="V200" s="3">
        <f t="shared" si="5"/>
        <v>1</v>
      </c>
      <c r="W200" s="3">
        <f t="shared" si="6"/>
        <v>2</v>
      </c>
      <c r="X200" s="3" t="str">
        <f>IFERROR(__xludf.DUMMYFUNCTION("split(B200,"" "")"),"T.")</f>
        <v>T.</v>
      </c>
      <c r="Y200" s="3" t="str">
        <f>IFERROR(__xludf.DUMMYFUNCTION("""COMPUTED_VALUE"""),"Atwell")</f>
        <v>Atwell</v>
      </c>
      <c r="AA200" s="8">
        <v>18.0</v>
      </c>
      <c r="AB200" s="3">
        <f t="shared" si="7"/>
        <v>0</v>
      </c>
      <c r="AC200" s="3">
        <f t="shared" si="8"/>
        <v>0</v>
      </c>
      <c r="AD200" s="3">
        <f t="shared" si="9"/>
        <v>0.8695652174</v>
      </c>
      <c r="AE200" s="3">
        <f t="shared" si="10"/>
        <v>-1</v>
      </c>
      <c r="AF200" s="3">
        <f t="shared" si="11"/>
        <v>-2</v>
      </c>
      <c r="AG200" s="3">
        <f t="shared" si="12"/>
        <v>-0.4626865672</v>
      </c>
    </row>
    <row r="201">
      <c r="A201" s="1" t="s">
        <v>11</v>
      </c>
      <c r="B201" s="1" t="s">
        <v>470</v>
      </c>
      <c r="C201" s="1" t="s">
        <v>20</v>
      </c>
      <c r="D201" s="1" t="s">
        <v>196</v>
      </c>
      <c r="E201" s="1" t="s">
        <v>146</v>
      </c>
      <c r="F201" s="1" t="s">
        <v>653</v>
      </c>
      <c r="G201" s="1">
        <v>32.5</v>
      </c>
      <c r="H201" s="1" t="s">
        <v>60</v>
      </c>
      <c r="I201" s="1">
        <v>-113.0</v>
      </c>
      <c r="J201" s="1">
        <v>-0.104327708476432</v>
      </c>
      <c r="K201" s="1" t="s">
        <v>61</v>
      </c>
      <c r="L201" s="1" t="s">
        <v>61</v>
      </c>
      <c r="M201" s="1" t="s">
        <v>62</v>
      </c>
      <c r="N201" s="1">
        <v>-115.0</v>
      </c>
      <c r="O201" s="1">
        <v>0.0389561752773581</v>
      </c>
      <c r="P201" s="1" t="s">
        <v>61</v>
      </c>
      <c r="Q201" s="1" t="s">
        <v>61</v>
      </c>
      <c r="R201" s="1">
        <f t="shared" si="1"/>
        <v>0.03895617528</v>
      </c>
      <c r="S201" s="1">
        <f t="shared" si="2"/>
        <v>-115</v>
      </c>
      <c r="T201" s="1">
        <f t="shared" si="3"/>
        <v>1.869565217</v>
      </c>
      <c r="U201" s="1">
        <f t="shared" si="4"/>
        <v>0</v>
      </c>
      <c r="V201" s="3">
        <f t="shared" si="5"/>
        <v>1</v>
      </c>
      <c r="W201" s="3">
        <f t="shared" si="6"/>
        <v>2</v>
      </c>
      <c r="X201" s="3" t="str">
        <f>IFERROR(__xludf.DUMMYFUNCTION("split(B201,"" "")"),"C.")</f>
        <v>C.</v>
      </c>
      <c r="Y201" s="3" t="str">
        <f>IFERROR(__xludf.DUMMYFUNCTION("""COMPUTED_VALUE"""),"Parkinson")</f>
        <v>Parkinson</v>
      </c>
      <c r="AA201" s="8">
        <v>17.0</v>
      </c>
      <c r="AB201" s="3">
        <f t="shared" si="7"/>
        <v>0</v>
      </c>
      <c r="AC201" s="3">
        <f t="shared" si="8"/>
        <v>1</v>
      </c>
      <c r="AD201" s="3">
        <f t="shared" si="9"/>
        <v>0.8695652174</v>
      </c>
      <c r="AE201" s="3">
        <f t="shared" si="10"/>
        <v>0.8695652174</v>
      </c>
      <c r="AF201" s="3">
        <f t="shared" si="11"/>
        <v>1.739130435</v>
      </c>
      <c r="AG201" s="3">
        <f t="shared" si="12"/>
        <v>0.4769230769</v>
      </c>
    </row>
    <row r="202">
      <c r="A202" s="1" t="s">
        <v>10</v>
      </c>
      <c r="B202" s="1" t="s">
        <v>368</v>
      </c>
      <c r="C202" s="1" t="s">
        <v>19</v>
      </c>
      <c r="D202" s="1" t="s">
        <v>196</v>
      </c>
      <c r="E202" s="1" t="s">
        <v>146</v>
      </c>
      <c r="F202" s="1" t="s">
        <v>653</v>
      </c>
      <c r="G202" s="1">
        <v>69.5</v>
      </c>
      <c r="H202" s="1" t="s">
        <v>60</v>
      </c>
      <c r="I202" s="1">
        <v>-118.0</v>
      </c>
      <c r="J202" s="1">
        <v>-0.0976270827273679</v>
      </c>
      <c r="K202" s="1" t="s">
        <v>61</v>
      </c>
      <c r="L202" s="1" t="s">
        <v>61</v>
      </c>
      <c r="M202" s="1" t="s">
        <v>62</v>
      </c>
      <c r="N202" s="1">
        <v>-109.0</v>
      </c>
      <c r="O202" s="1">
        <v>0.0348163266235687</v>
      </c>
      <c r="P202" s="1" t="s">
        <v>61</v>
      </c>
      <c r="Q202" s="1" t="s">
        <v>61</v>
      </c>
      <c r="R202" s="1">
        <f t="shared" si="1"/>
        <v>0.03481632662</v>
      </c>
      <c r="S202" s="1">
        <f t="shared" si="2"/>
        <v>-109</v>
      </c>
      <c r="T202" s="1">
        <f t="shared" si="3"/>
        <v>1.917431193</v>
      </c>
      <c r="U202" s="1">
        <f t="shared" si="4"/>
        <v>0</v>
      </c>
      <c r="V202" s="3">
        <f t="shared" si="5"/>
        <v>1</v>
      </c>
      <c r="W202" s="3">
        <f t="shared" si="6"/>
        <v>2</v>
      </c>
      <c r="X202" s="3" t="str">
        <f>IFERROR(__xludf.DUMMYFUNCTION("split(B202,"" "")"),"K.")</f>
        <v>K.</v>
      </c>
      <c r="Y202" s="3" t="str">
        <f>IFERROR(__xludf.DUMMYFUNCTION("""COMPUTED_VALUE"""),"Williams")</f>
        <v>Williams</v>
      </c>
      <c r="AA202" s="8">
        <v>97.0</v>
      </c>
      <c r="AB202" s="3">
        <f t="shared" si="7"/>
        <v>1</v>
      </c>
      <c r="AC202" s="3">
        <f t="shared" si="8"/>
        <v>0</v>
      </c>
      <c r="AD202" s="3">
        <f t="shared" si="9"/>
        <v>0.9174311927</v>
      </c>
      <c r="AE202" s="3">
        <f t="shared" si="10"/>
        <v>-1</v>
      </c>
      <c r="AF202" s="3">
        <f t="shared" si="11"/>
        <v>-2</v>
      </c>
      <c r="AG202" s="3">
        <f t="shared" si="12"/>
        <v>-0.3956834532</v>
      </c>
    </row>
    <row r="203">
      <c r="A203" s="1" t="s">
        <v>11</v>
      </c>
      <c r="B203" s="1" t="s">
        <v>543</v>
      </c>
      <c r="C203" s="1" t="s">
        <v>18</v>
      </c>
      <c r="D203" s="1" t="s">
        <v>196</v>
      </c>
      <c r="E203" s="1" t="s">
        <v>146</v>
      </c>
      <c r="F203" s="1" t="s">
        <v>653</v>
      </c>
      <c r="G203" s="1">
        <v>31.5</v>
      </c>
      <c r="H203" s="1" t="s">
        <v>60</v>
      </c>
      <c r="I203" s="1">
        <v>-118.0</v>
      </c>
      <c r="J203" s="1">
        <v>-0.0958439321217433</v>
      </c>
      <c r="K203" s="1" t="s">
        <v>61</v>
      </c>
      <c r="L203" s="1" t="s">
        <v>61</v>
      </c>
      <c r="M203" s="1" t="s">
        <v>62</v>
      </c>
      <c r="N203" s="1">
        <v>-111.0</v>
      </c>
      <c r="O203" s="1">
        <v>0.0285158033530684</v>
      </c>
      <c r="P203" s="1" t="s">
        <v>61</v>
      </c>
      <c r="Q203" s="1" t="s">
        <v>61</v>
      </c>
      <c r="R203" s="1">
        <f t="shared" si="1"/>
        <v>0.02851580335</v>
      </c>
      <c r="S203" s="1">
        <f t="shared" si="2"/>
        <v>-111</v>
      </c>
      <c r="T203" s="1">
        <f t="shared" si="3"/>
        <v>1.900900901</v>
      </c>
      <c r="U203" s="1">
        <f t="shared" si="4"/>
        <v>0</v>
      </c>
      <c r="V203" s="3">
        <f t="shared" si="5"/>
        <v>1</v>
      </c>
      <c r="W203" s="3">
        <f t="shared" si="6"/>
        <v>2</v>
      </c>
      <c r="X203" s="3" t="str">
        <f>IFERROR(__xludf.DUMMYFUNCTION("split(B203,"" "")"),"T.")</f>
        <v>T.</v>
      </c>
      <c r="Y203" s="3" t="str">
        <f>IFERROR(__xludf.DUMMYFUNCTION("""COMPUTED_VALUE"""),"Atwell")</f>
        <v>Atwell</v>
      </c>
      <c r="AA203" s="8">
        <v>18.0</v>
      </c>
      <c r="AB203" s="3">
        <f t="shared" si="7"/>
        <v>0</v>
      </c>
      <c r="AC203" s="3">
        <f t="shared" si="8"/>
        <v>1</v>
      </c>
      <c r="AD203" s="3">
        <f t="shared" si="9"/>
        <v>0.9009009009</v>
      </c>
      <c r="AE203" s="3">
        <f t="shared" si="10"/>
        <v>0.9009009009</v>
      </c>
      <c r="AF203" s="3">
        <f t="shared" si="11"/>
        <v>1.801801802</v>
      </c>
      <c r="AG203" s="3">
        <f t="shared" si="12"/>
        <v>0.4285714286</v>
      </c>
    </row>
    <row r="204">
      <c r="A204" s="1" t="s">
        <v>9</v>
      </c>
      <c r="B204" s="1" t="s">
        <v>368</v>
      </c>
      <c r="C204" s="1" t="s">
        <v>19</v>
      </c>
      <c r="D204" s="1" t="s">
        <v>196</v>
      </c>
      <c r="E204" s="1" t="s">
        <v>146</v>
      </c>
      <c r="F204" s="1" t="s">
        <v>653</v>
      </c>
      <c r="G204" s="1">
        <v>87.5</v>
      </c>
      <c r="H204" s="1" t="s">
        <v>60</v>
      </c>
      <c r="I204" s="1">
        <v>-115.0</v>
      </c>
      <c r="J204" s="1">
        <v>-0.0855554763228768</v>
      </c>
      <c r="K204" s="1" t="s">
        <v>61</v>
      </c>
      <c r="L204" s="1" t="s">
        <v>61</v>
      </c>
      <c r="M204" s="1" t="s">
        <v>62</v>
      </c>
      <c r="N204" s="1">
        <v>-116.0</v>
      </c>
      <c r="O204" s="1">
        <v>0.0136756105775253</v>
      </c>
      <c r="P204" s="1" t="s">
        <v>61</v>
      </c>
      <c r="Q204" s="1" t="s">
        <v>61</v>
      </c>
      <c r="R204" s="1">
        <f t="shared" si="1"/>
        <v>0.01367561058</v>
      </c>
      <c r="S204" s="1">
        <f t="shared" si="2"/>
        <v>-116</v>
      </c>
      <c r="T204" s="1">
        <f t="shared" si="3"/>
        <v>1.862068966</v>
      </c>
      <c r="U204" s="1">
        <f t="shared" si="4"/>
        <v>0</v>
      </c>
      <c r="V204" s="3">
        <f t="shared" si="5"/>
        <v>1</v>
      </c>
      <c r="W204" s="3">
        <f t="shared" si="6"/>
        <v>2</v>
      </c>
      <c r="X204" s="3" t="str">
        <f>IFERROR(__xludf.DUMMYFUNCTION("split(B204,"" "")"),"K.")</f>
        <v>K.</v>
      </c>
      <c r="Y204" s="3" t="str">
        <f>IFERROR(__xludf.DUMMYFUNCTION("""COMPUTED_VALUE"""),"Williams")</f>
        <v>Williams</v>
      </c>
      <c r="AA204" s="8">
        <v>116.0</v>
      </c>
      <c r="AB204" s="3">
        <f t="shared" si="7"/>
        <v>1</v>
      </c>
      <c r="AC204" s="3">
        <f t="shared" si="8"/>
        <v>0</v>
      </c>
      <c r="AD204" s="3">
        <f t="shared" si="9"/>
        <v>0.8620689655</v>
      </c>
      <c r="AE204" s="3">
        <f t="shared" si="10"/>
        <v>-1</v>
      </c>
      <c r="AF204" s="3">
        <f t="shared" si="11"/>
        <v>-2</v>
      </c>
      <c r="AG204" s="3">
        <f t="shared" si="12"/>
        <v>-0.3257142857</v>
      </c>
    </row>
    <row r="205">
      <c r="A205" s="1" t="s">
        <v>11</v>
      </c>
      <c r="B205" s="1" t="s">
        <v>469</v>
      </c>
      <c r="C205" s="1" t="s">
        <v>18</v>
      </c>
      <c r="D205" s="1" t="s">
        <v>196</v>
      </c>
      <c r="E205" s="1" t="s">
        <v>146</v>
      </c>
      <c r="F205" s="1" t="s">
        <v>653</v>
      </c>
      <c r="G205" s="1">
        <v>67.5</v>
      </c>
      <c r="H205" s="1" t="s">
        <v>60</v>
      </c>
      <c r="I205" s="1">
        <v>-117.0</v>
      </c>
      <c r="J205" s="1">
        <v>-0.071238979919072</v>
      </c>
      <c r="K205" s="1" t="s">
        <v>61</v>
      </c>
      <c r="L205" s="1" t="s">
        <v>61</v>
      </c>
      <c r="M205" s="1" t="s">
        <v>62</v>
      </c>
      <c r="N205" s="1">
        <v>-109.0</v>
      </c>
      <c r="O205" s="1">
        <v>0.0105855392982167</v>
      </c>
      <c r="P205" s="1" t="s">
        <v>61</v>
      </c>
      <c r="Q205" s="1" t="s">
        <v>61</v>
      </c>
      <c r="R205" s="1">
        <f t="shared" si="1"/>
        <v>0.0105855393</v>
      </c>
      <c r="S205" s="1">
        <f t="shared" si="2"/>
        <v>-109</v>
      </c>
      <c r="T205" s="1">
        <f t="shared" si="3"/>
        <v>1.917431193</v>
      </c>
      <c r="U205" s="1">
        <f t="shared" si="4"/>
        <v>0</v>
      </c>
      <c r="V205" s="3">
        <f t="shared" si="5"/>
        <v>1</v>
      </c>
      <c r="W205" s="3">
        <f t="shared" si="6"/>
        <v>2</v>
      </c>
      <c r="X205" s="3" t="str">
        <f>IFERROR(__xludf.DUMMYFUNCTION("split(B205,"" "")"),"C.")</f>
        <v>C.</v>
      </c>
      <c r="Y205" s="3" t="str">
        <f>IFERROR(__xludf.DUMMYFUNCTION("""COMPUTED_VALUE"""),"Kupp")</f>
        <v>Kupp</v>
      </c>
      <c r="AA205" s="8">
        <v>51.0</v>
      </c>
      <c r="AB205" s="3">
        <f t="shared" si="7"/>
        <v>0</v>
      </c>
      <c r="AC205" s="3">
        <f t="shared" si="8"/>
        <v>1</v>
      </c>
      <c r="AD205" s="3">
        <f t="shared" si="9"/>
        <v>0.9174311927</v>
      </c>
      <c r="AE205" s="3">
        <f t="shared" si="10"/>
        <v>0.9174311927</v>
      </c>
      <c r="AF205" s="3">
        <f t="shared" si="11"/>
        <v>1.834862385</v>
      </c>
      <c r="AG205" s="3">
        <f t="shared" si="12"/>
        <v>0.2444444444</v>
      </c>
    </row>
    <row r="206">
      <c r="A206" s="1" t="s">
        <v>12</v>
      </c>
      <c r="B206" s="1" t="s">
        <v>477</v>
      </c>
      <c r="C206" s="1" t="s">
        <v>18</v>
      </c>
      <c r="D206" s="1" t="s">
        <v>196</v>
      </c>
      <c r="E206" s="1" t="s">
        <v>146</v>
      </c>
      <c r="F206" s="1" t="s">
        <v>653</v>
      </c>
      <c r="G206" s="1">
        <v>1.5</v>
      </c>
      <c r="H206" s="1" t="s">
        <v>60</v>
      </c>
      <c r="I206" s="1">
        <v>182.0</v>
      </c>
      <c r="J206" s="1">
        <v>0.00710238738475182</v>
      </c>
      <c r="K206" s="1" t="s">
        <v>61</v>
      </c>
      <c r="L206" s="1" t="s">
        <v>61</v>
      </c>
      <c r="M206" s="1" t="s">
        <v>62</v>
      </c>
      <c r="N206" s="1">
        <v>-245.0</v>
      </c>
      <c r="O206" s="1">
        <v>-0.0718584797644926</v>
      </c>
      <c r="P206" s="1" t="s">
        <v>61</v>
      </c>
      <c r="Q206" s="1" t="s">
        <v>61</v>
      </c>
      <c r="R206" s="1">
        <f t="shared" si="1"/>
        <v>0.007102387385</v>
      </c>
      <c r="S206" s="1">
        <f t="shared" si="2"/>
        <v>182</v>
      </c>
      <c r="T206" s="1">
        <f t="shared" si="3"/>
        <v>2.82</v>
      </c>
      <c r="U206" s="1">
        <f t="shared" si="4"/>
        <v>1</v>
      </c>
      <c r="V206" s="3">
        <f t="shared" si="5"/>
        <v>1</v>
      </c>
      <c r="W206" s="3">
        <f t="shared" si="6"/>
        <v>1</v>
      </c>
      <c r="X206" s="3" t="str">
        <f>IFERROR(__xludf.DUMMYFUNCTION("split(B206,"" "")"),"T.")</f>
        <v>T.</v>
      </c>
      <c r="Y206" s="3" t="str">
        <f>IFERROR(__xludf.DUMMYFUNCTION("""COMPUTED_VALUE"""),"Johnson")</f>
        <v>Johnson</v>
      </c>
      <c r="AA206" s="8">
        <v>1.0</v>
      </c>
      <c r="AB206" s="3">
        <f t="shared" si="7"/>
        <v>0</v>
      </c>
      <c r="AC206" s="3">
        <f t="shared" si="8"/>
        <v>0</v>
      </c>
      <c r="AD206" s="3">
        <f t="shared" si="9"/>
        <v>1.82</v>
      </c>
      <c r="AE206" s="3">
        <f t="shared" si="10"/>
        <v>-1</v>
      </c>
      <c r="AF206" s="3">
        <f t="shared" si="11"/>
        <v>-1</v>
      </c>
      <c r="AG206" s="3">
        <f t="shared" si="12"/>
        <v>-0.3333333333</v>
      </c>
    </row>
    <row r="207">
      <c r="A207" s="1" t="s">
        <v>12</v>
      </c>
      <c r="B207" s="1" t="s">
        <v>485</v>
      </c>
      <c r="C207" s="1" t="s">
        <v>19</v>
      </c>
      <c r="D207" s="1" t="s">
        <v>135</v>
      </c>
      <c r="E207" s="1" t="s">
        <v>58</v>
      </c>
      <c r="F207" s="1" t="s">
        <v>648</v>
      </c>
      <c r="G207" s="1">
        <v>2.5</v>
      </c>
      <c r="H207" s="1" t="s">
        <v>60</v>
      </c>
      <c r="I207" s="1">
        <v>-111.0</v>
      </c>
      <c r="J207" s="1">
        <v>-0.15386398113744</v>
      </c>
      <c r="K207" s="1" t="s">
        <v>61</v>
      </c>
      <c r="L207" s="1" t="s">
        <v>61</v>
      </c>
      <c r="M207" s="1" t="s">
        <v>62</v>
      </c>
      <c r="N207" s="1">
        <v>-121.0</v>
      </c>
      <c r="O207" s="1">
        <v>0.0802859503357464</v>
      </c>
      <c r="P207" s="1" t="s">
        <v>61</v>
      </c>
      <c r="Q207" s="1" t="s">
        <v>61</v>
      </c>
      <c r="R207" s="1">
        <f t="shared" si="1"/>
        <v>0.08028595034</v>
      </c>
      <c r="S207" s="1">
        <f t="shared" si="2"/>
        <v>-121</v>
      </c>
      <c r="T207" s="1">
        <f t="shared" si="3"/>
        <v>1.826446281</v>
      </c>
      <c r="U207" s="1">
        <f t="shared" si="4"/>
        <v>0</v>
      </c>
      <c r="V207" s="3">
        <f t="shared" si="5"/>
        <v>2</v>
      </c>
      <c r="W207" s="3">
        <f t="shared" si="6"/>
        <v>3</v>
      </c>
      <c r="X207" s="3" t="str">
        <f>IFERROR(__xludf.DUMMYFUNCTION("split(B207,"" "")"),"J.")</f>
        <v>J.</v>
      </c>
      <c r="Y207" s="3" t="str">
        <f>IFERROR(__xludf.DUMMYFUNCTION("""COMPUTED_VALUE"""),"Dobbins")</f>
        <v>Dobbins</v>
      </c>
      <c r="AA207" s="8">
        <v>4.0</v>
      </c>
      <c r="AB207" s="3">
        <f t="shared" si="7"/>
        <v>1</v>
      </c>
      <c r="AC207" s="3">
        <f t="shared" si="8"/>
        <v>0</v>
      </c>
      <c r="AD207" s="3">
        <f t="shared" si="9"/>
        <v>1.652892562</v>
      </c>
      <c r="AE207" s="3">
        <f t="shared" si="10"/>
        <v>-2</v>
      </c>
      <c r="AF207" s="3">
        <f t="shared" si="11"/>
        <v>-3</v>
      </c>
      <c r="AG207" s="3">
        <f t="shared" si="12"/>
        <v>-0.6</v>
      </c>
    </row>
    <row r="208">
      <c r="A208" s="1" t="s">
        <v>9</v>
      </c>
      <c r="B208" s="1" t="s">
        <v>485</v>
      </c>
      <c r="C208" s="1" t="s">
        <v>19</v>
      </c>
      <c r="D208" s="1" t="s">
        <v>135</v>
      </c>
      <c r="E208" s="1" t="s">
        <v>58</v>
      </c>
      <c r="F208" s="1" t="s">
        <v>648</v>
      </c>
      <c r="G208" s="1">
        <v>96.5</v>
      </c>
      <c r="H208" s="1" t="s">
        <v>60</v>
      </c>
      <c r="I208" s="1">
        <v>-116.0</v>
      </c>
      <c r="J208" s="1">
        <v>-0.0809294678294479</v>
      </c>
      <c r="K208" s="1" t="s">
        <v>61</v>
      </c>
      <c r="L208" s="1" t="s">
        <v>61</v>
      </c>
      <c r="M208" s="1" t="s">
        <v>62</v>
      </c>
      <c r="N208" s="1">
        <v>-116.0</v>
      </c>
      <c r="O208" s="1">
        <v>0.00686981429815958</v>
      </c>
      <c r="P208" s="1" t="s">
        <v>61</v>
      </c>
      <c r="Q208" s="1" t="s">
        <v>61</v>
      </c>
      <c r="R208" s="1">
        <f t="shared" si="1"/>
        <v>0.006869814298</v>
      </c>
      <c r="S208" s="1">
        <f t="shared" si="2"/>
        <v>-116</v>
      </c>
      <c r="T208" s="1">
        <f t="shared" si="3"/>
        <v>1.862068966</v>
      </c>
      <c r="U208" s="1">
        <f t="shared" si="4"/>
        <v>0</v>
      </c>
      <c r="V208" s="3">
        <f t="shared" si="5"/>
        <v>1</v>
      </c>
      <c r="W208" s="3">
        <f t="shared" si="6"/>
        <v>2</v>
      </c>
      <c r="X208" s="3" t="str">
        <f>IFERROR(__xludf.DUMMYFUNCTION("split(B208,"" "")"),"J.")</f>
        <v>J.</v>
      </c>
      <c r="Y208" s="3" t="str">
        <f>IFERROR(__xludf.DUMMYFUNCTION("""COMPUTED_VALUE"""),"Dobbins")</f>
        <v>Dobbins</v>
      </c>
      <c r="AA208" s="8">
        <v>68.0</v>
      </c>
      <c r="AB208" s="3">
        <f t="shared" si="7"/>
        <v>0</v>
      </c>
      <c r="AC208" s="3">
        <f t="shared" si="8"/>
        <v>1</v>
      </c>
      <c r="AD208" s="3">
        <f t="shared" si="9"/>
        <v>0.8620689655</v>
      </c>
      <c r="AE208" s="3">
        <f t="shared" si="10"/>
        <v>0.8620689655</v>
      </c>
      <c r="AF208" s="3">
        <f t="shared" si="11"/>
        <v>1.724137931</v>
      </c>
      <c r="AG208" s="3">
        <f t="shared" si="12"/>
        <v>0.2953367876</v>
      </c>
    </row>
    <row r="209">
      <c r="A209" s="1" t="s">
        <v>10</v>
      </c>
      <c r="B209" s="1" t="s">
        <v>485</v>
      </c>
      <c r="C209" s="1" t="s">
        <v>19</v>
      </c>
      <c r="D209" s="1" t="s">
        <v>135</v>
      </c>
      <c r="E209" s="1" t="s">
        <v>58</v>
      </c>
      <c r="F209" s="1" t="s">
        <v>648</v>
      </c>
      <c r="G209" s="1">
        <v>76.5</v>
      </c>
      <c r="H209" s="1" t="s">
        <v>60</v>
      </c>
      <c r="I209" s="1">
        <v>-115.0</v>
      </c>
      <c r="J209" s="1">
        <v>-0.0742057582468351</v>
      </c>
      <c r="K209" s="1" t="s">
        <v>61</v>
      </c>
      <c r="L209" s="1" t="s">
        <v>61</v>
      </c>
      <c r="M209" s="1" t="s">
        <v>62</v>
      </c>
      <c r="N209" s="1">
        <v>-114.0</v>
      </c>
      <c r="O209" s="1">
        <v>0.0065704700743242</v>
      </c>
      <c r="P209" s="1" t="s">
        <v>61</v>
      </c>
      <c r="Q209" s="1" t="s">
        <v>61</v>
      </c>
      <c r="R209" s="1">
        <f t="shared" si="1"/>
        <v>0.006570470074</v>
      </c>
      <c r="S209" s="1">
        <f t="shared" si="2"/>
        <v>-114</v>
      </c>
      <c r="T209" s="1">
        <f t="shared" si="3"/>
        <v>1.877192982</v>
      </c>
      <c r="U209" s="1">
        <f t="shared" si="4"/>
        <v>0</v>
      </c>
      <c r="V209" s="3">
        <f t="shared" si="5"/>
        <v>1</v>
      </c>
      <c r="W209" s="3">
        <f t="shared" si="6"/>
        <v>2</v>
      </c>
      <c r="X209" s="3" t="str">
        <f>IFERROR(__xludf.DUMMYFUNCTION("split(B209,"" "")"),"J.")</f>
        <v>J.</v>
      </c>
      <c r="Y209" s="3" t="str">
        <f>IFERROR(__xludf.DUMMYFUNCTION("""COMPUTED_VALUE"""),"Dobbins")</f>
        <v>Dobbins</v>
      </c>
      <c r="AA209" s="8">
        <v>57.0</v>
      </c>
      <c r="AB209" s="3">
        <f t="shared" si="7"/>
        <v>0</v>
      </c>
      <c r="AC209" s="3">
        <f t="shared" si="8"/>
        <v>1</v>
      </c>
      <c r="AD209" s="3">
        <f t="shared" si="9"/>
        <v>0.8771929825</v>
      </c>
      <c r="AE209" s="3">
        <f t="shared" si="10"/>
        <v>0.8771929825</v>
      </c>
      <c r="AF209" s="3">
        <f t="shared" si="11"/>
        <v>1.754385965</v>
      </c>
      <c r="AG209" s="3">
        <f t="shared" si="12"/>
        <v>0.2549019608</v>
      </c>
    </row>
    <row r="210">
      <c r="A210" s="1" t="s">
        <v>14</v>
      </c>
      <c r="B210" s="1" t="s">
        <v>474</v>
      </c>
      <c r="C210" s="1" t="s">
        <v>21</v>
      </c>
      <c r="D210" s="1" t="s">
        <v>134</v>
      </c>
      <c r="E210" s="1" t="s">
        <v>76</v>
      </c>
      <c r="F210" s="1" t="s">
        <v>649</v>
      </c>
      <c r="G210" s="1">
        <v>0.5</v>
      </c>
      <c r="H210" s="1" t="s">
        <v>60</v>
      </c>
      <c r="I210" s="1">
        <v>-201.0</v>
      </c>
      <c r="J210" s="1">
        <v>-0.175505582923588</v>
      </c>
      <c r="K210" s="1" t="s">
        <v>61</v>
      </c>
      <c r="L210" s="1" t="s">
        <v>61</v>
      </c>
      <c r="M210" s="1" t="s">
        <v>62</v>
      </c>
      <c r="N210" s="1">
        <v>154.0</v>
      </c>
      <c r="O210" s="1">
        <v>0.114036537244094</v>
      </c>
      <c r="P210" s="1" t="s">
        <v>61</v>
      </c>
      <c r="Q210" s="1" t="s">
        <v>61</v>
      </c>
      <c r="R210" s="1">
        <f t="shared" si="1"/>
        <v>0.1140365372</v>
      </c>
      <c r="S210" s="1">
        <f t="shared" si="2"/>
        <v>154</v>
      </c>
      <c r="T210" s="1">
        <f t="shared" si="3"/>
        <v>2.54</v>
      </c>
      <c r="U210" s="1">
        <f t="shared" si="4"/>
        <v>0</v>
      </c>
      <c r="V210" s="3">
        <f t="shared" si="5"/>
        <v>3</v>
      </c>
      <c r="W210" s="3">
        <f t="shared" si="6"/>
        <v>1</v>
      </c>
      <c r="X210" s="3" t="str">
        <f>IFERROR(__xludf.DUMMYFUNCTION("split(B210,"" "")"),"G.")</f>
        <v>G.</v>
      </c>
      <c r="Y210" s="3" t="str">
        <f>IFERROR(__xludf.DUMMYFUNCTION("""COMPUTED_VALUE"""),"Minshew")</f>
        <v>Minshew</v>
      </c>
      <c r="AA210" s="8">
        <v>2.0</v>
      </c>
      <c r="AB210" s="3">
        <f t="shared" si="7"/>
        <v>1</v>
      </c>
      <c r="AC210" s="3">
        <f t="shared" si="8"/>
        <v>0</v>
      </c>
      <c r="AD210" s="3">
        <f t="shared" si="9"/>
        <v>4.62</v>
      </c>
      <c r="AE210" s="3">
        <f t="shared" si="10"/>
        <v>-3</v>
      </c>
      <c r="AF210" s="3">
        <f t="shared" si="11"/>
        <v>-1</v>
      </c>
      <c r="AG210" s="3">
        <f t="shared" si="12"/>
        <v>-3</v>
      </c>
    </row>
    <row r="211">
      <c r="A211" s="1" t="s">
        <v>17</v>
      </c>
      <c r="B211" s="1" t="s">
        <v>474</v>
      </c>
      <c r="C211" s="1" t="s">
        <v>21</v>
      </c>
      <c r="D211" s="1" t="s">
        <v>134</v>
      </c>
      <c r="E211" s="1" t="s">
        <v>76</v>
      </c>
      <c r="F211" s="1" t="s">
        <v>649</v>
      </c>
      <c r="G211" s="1">
        <v>0.5</v>
      </c>
      <c r="H211" s="1" t="s">
        <v>60</v>
      </c>
      <c r="I211" s="1">
        <v>-158.0</v>
      </c>
      <c r="J211" s="1">
        <v>-0.155664341085271</v>
      </c>
      <c r="K211" s="1" t="s">
        <v>61</v>
      </c>
      <c r="L211" s="1" t="s">
        <v>61</v>
      </c>
      <c r="M211" s="1" t="s">
        <v>62</v>
      </c>
      <c r="N211" s="1">
        <v>121.0</v>
      </c>
      <c r="O211" s="1">
        <v>0.0907660633484163</v>
      </c>
      <c r="P211" s="1" t="s">
        <v>61</v>
      </c>
      <c r="Q211" s="1" t="s">
        <v>61</v>
      </c>
      <c r="R211" s="1">
        <f t="shared" si="1"/>
        <v>0.09076606335</v>
      </c>
      <c r="S211" s="1">
        <f t="shared" si="2"/>
        <v>121</v>
      </c>
      <c r="T211" s="1">
        <f t="shared" si="3"/>
        <v>2.21</v>
      </c>
      <c r="U211" s="1">
        <f t="shared" si="4"/>
        <v>0</v>
      </c>
      <c r="V211" s="3">
        <f t="shared" si="5"/>
        <v>2</v>
      </c>
      <c r="W211" s="3">
        <f t="shared" si="6"/>
        <v>1</v>
      </c>
      <c r="X211" s="3" t="str">
        <f>IFERROR(__xludf.DUMMYFUNCTION("split(B211,"" "")"),"G.")</f>
        <v>G.</v>
      </c>
      <c r="Y211" s="3" t="str">
        <f>IFERROR(__xludf.DUMMYFUNCTION("""COMPUTED_VALUE"""),"Minshew")</f>
        <v>Minshew</v>
      </c>
      <c r="AA211" s="8">
        <v>0.0</v>
      </c>
      <c r="AB211" s="3">
        <f t="shared" si="7"/>
        <v>0</v>
      </c>
      <c r="AC211" s="3">
        <f t="shared" si="8"/>
        <v>1</v>
      </c>
      <c r="AD211" s="3">
        <f t="shared" si="9"/>
        <v>2.42</v>
      </c>
      <c r="AE211" s="3">
        <f t="shared" si="10"/>
        <v>2.42</v>
      </c>
      <c r="AF211" s="3">
        <f t="shared" si="11"/>
        <v>1.21</v>
      </c>
      <c r="AG211" s="3">
        <f t="shared" si="12"/>
        <v>1</v>
      </c>
    </row>
    <row r="212">
      <c r="A212" s="1" t="s">
        <v>10</v>
      </c>
      <c r="B212" s="1" t="s">
        <v>473</v>
      </c>
      <c r="C212" s="1" t="s">
        <v>19</v>
      </c>
      <c r="D212" s="1" t="s">
        <v>134</v>
      </c>
      <c r="E212" s="1" t="s">
        <v>76</v>
      </c>
      <c r="F212" s="1" t="s">
        <v>649</v>
      </c>
      <c r="G212" s="1">
        <v>41.5</v>
      </c>
      <c r="H212" s="1" t="s">
        <v>60</v>
      </c>
      <c r="I212" s="1">
        <v>-112.0</v>
      </c>
      <c r="J212" s="1">
        <v>-0.0947777066246649</v>
      </c>
      <c r="K212" s="1" t="s">
        <v>61</v>
      </c>
      <c r="L212" s="1" t="s">
        <v>61</v>
      </c>
      <c r="M212" s="1" t="s">
        <v>62</v>
      </c>
      <c r="N212" s="1">
        <v>-118.0</v>
      </c>
      <c r="O212" s="1">
        <v>0.0252316374990559</v>
      </c>
      <c r="P212" s="1" t="s">
        <v>61</v>
      </c>
      <c r="Q212" s="1" t="s">
        <v>61</v>
      </c>
      <c r="R212" s="1">
        <f t="shared" si="1"/>
        <v>0.0252316375</v>
      </c>
      <c r="S212" s="1">
        <f t="shared" si="2"/>
        <v>-118</v>
      </c>
      <c r="T212" s="1">
        <f t="shared" si="3"/>
        <v>1.847457627</v>
      </c>
      <c r="U212" s="1">
        <f t="shared" si="4"/>
        <v>0</v>
      </c>
      <c r="V212" s="3">
        <f t="shared" si="5"/>
        <v>1</v>
      </c>
      <c r="W212" s="3">
        <f t="shared" si="6"/>
        <v>3</v>
      </c>
      <c r="X212" s="3" t="str">
        <f>IFERROR(__xludf.DUMMYFUNCTION("split(B212,"" "")"),"A.")</f>
        <v>A.</v>
      </c>
      <c r="Y212" s="3" t="str">
        <f>IFERROR(__xludf.DUMMYFUNCTION("""COMPUTED_VALUE"""),"Mattison")</f>
        <v>Mattison</v>
      </c>
      <c r="AA212" s="8">
        <v>15.0</v>
      </c>
      <c r="AB212" s="3">
        <f t="shared" si="7"/>
        <v>0</v>
      </c>
      <c r="AC212" s="3">
        <f t="shared" si="8"/>
        <v>1</v>
      </c>
      <c r="AD212" s="3">
        <f t="shared" si="9"/>
        <v>0.8474576271</v>
      </c>
      <c r="AE212" s="3">
        <f t="shared" si="10"/>
        <v>0.8474576271</v>
      </c>
      <c r="AF212" s="3">
        <f t="shared" si="11"/>
        <v>2.542372881</v>
      </c>
      <c r="AG212" s="3">
        <f t="shared" si="12"/>
        <v>0.6385542169</v>
      </c>
    </row>
    <row r="213">
      <c r="A213" s="1" t="s">
        <v>9</v>
      </c>
      <c r="B213" s="1" t="s">
        <v>473</v>
      </c>
      <c r="C213" s="1" t="s">
        <v>19</v>
      </c>
      <c r="D213" s="1" t="s">
        <v>134</v>
      </c>
      <c r="E213" s="1" t="s">
        <v>76</v>
      </c>
      <c r="F213" s="1" t="s">
        <v>649</v>
      </c>
      <c r="G213" s="1">
        <v>61.5</v>
      </c>
      <c r="H213" s="1" t="s">
        <v>60</v>
      </c>
      <c r="I213" s="1">
        <v>-115.0</v>
      </c>
      <c r="J213" s="1">
        <v>-0.0896050313785078</v>
      </c>
      <c r="K213" s="1" t="s">
        <v>61</v>
      </c>
      <c r="L213" s="1" t="s">
        <v>61</v>
      </c>
      <c r="M213" s="1" t="s">
        <v>62</v>
      </c>
      <c r="N213" s="1">
        <v>-117.0</v>
      </c>
      <c r="O213" s="1">
        <v>0.0155701181717217</v>
      </c>
      <c r="P213" s="1" t="s">
        <v>61</v>
      </c>
      <c r="Q213" s="1" t="s">
        <v>61</v>
      </c>
      <c r="R213" s="1">
        <f t="shared" si="1"/>
        <v>0.01557011817</v>
      </c>
      <c r="S213" s="1">
        <f t="shared" si="2"/>
        <v>-117</v>
      </c>
      <c r="T213" s="1">
        <f t="shared" si="3"/>
        <v>1.854700855</v>
      </c>
      <c r="U213" s="1">
        <f t="shared" si="4"/>
        <v>0</v>
      </c>
      <c r="V213" s="3">
        <f t="shared" si="5"/>
        <v>1</v>
      </c>
      <c r="W213" s="3">
        <f t="shared" si="6"/>
        <v>2</v>
      </c>
      <c r="X213" s="3" t="str">
        <f>IFERROR(__xludf.DUMMYFUNCTION("split(B213,"" "")"),"A.")</f>
        <v>A.</v>
      </c>
      <c r="Y213" s="3" t="str">
        <f>IFERROR(__xludf.DUMMYFUNCTION("""COMPUTED_VALUE"""),"Mattison")</f>
        <v>Mattison</v>
      </c>
      <c r="AA213" s="8">
        <v>44.0</v>
      </c>
      <c r="AB213" s="3">
        <f t="shared" si="7"/>
        <v>0</v>
      </c>
      <c r="AC213" s="3">
        <f t="shared" si="8"/>
        <v>1</v>
      </c>
      <c r="AD213" s="3">
        <f t="shared" si="9"/>
        <v>0.8547008547</v>
      </c>
      <c r="AE213" s="3">
        <f t="shared" si="10"/>
        <v>0.8547008547</v>
      </c>
      <c r="AF213" s="3">
        <f t="shared" si="11"/>
        <v>1.709401709</v>
      </c>
      <c r="AG213" s="3">
        <f t="shared" si="12"/>
        <v>0.2845528455</v>
      </c>
    </row>
    <row r="214">
      <c r="A214" s="1" t="s">
        <v>11</v>
      </c>
      <c r="B214" s="1" t="s">
        <v>494</v>
      </c>
      <c r="C214" s="1" t="s">
        <v>20</v>
      </c>
      <c r="D214" s="1" t="s">
        <v>134</v>
      </c>
      <c r="E214" s="1" t="s">
        <v>76</v>
      </c>
      <c r="F214" s="1" t="s">
        <v>649</v>
      </c>
      <c r="G214" s="1">
        <v>58.5</v>
      </c>
      <c r="H214" s="1" t="s">
        <v>60</v>
      </c>
      <c r="I214" s="1">
        <v>-114.0</v>
      </c>
      <c r="J214" s="1">
        <v>-0.0805722415306843</v>
      </c>
      <c r="K214" s="1" t="s">
        <v>61</v>
      </c>
      <c r="L214" s="1" t="s">
        <v>61</v>
      </c>
      <c r="M214" s="1" t="s">
        <v>62</v>
      </c>
      <c r="N214" s="1">
        <v>-115.0</v>
      </c>
      <c r="O214" s="1">
        <v>0.0129569547906501</v>
      </c>
      <c r="P214" s="1" t="s">
        <v>61</v>
      </c>
      <c r="Q214" s="1" t="s">
        <v>61</v>
      </c>
      <c r="R214" s="1">
        <f t="shared" si="1"/>
        <v>0.01295695479</v>
      </c>
      <c r="S214" s="1">
        <f t="shared" si="2"/>
        <v>-115</v>
      </c>
      <c r="T214" s="1">
        <f t="shared" si="3"/>
        <v>1.869565217</v>
      </c>
      <c r="U214" s="1">
        <f t="shared" si="4"/>
        <v>0</v>
      </c>
      <c r="V214" s="3">
        <f t="shared" si="5"/>
        <v>1</v>
      </c>
      <c r="W214" s="3">
        <f t="shared" si="6"/>
        <v>2</v>
      </c>
      <c r="X214" s="3" t="str">
        <f>IFERROR(__xludf.DUMMYFUNCTION("split(B214,"" "")"),"B.")</f>
        <v>B.</v>
      </c>
      <c r="Y214" s="3" t="str">
        <f>IFERROR(__xludf.DUMMYFUNCTION("""COMPUTED_VALUE"""),"Bowers")</f>
        <v>Bowers</v>
      </c>
      <c r="AA214" s="8">
        <v>58.0</v>
      </c>
      <c r="AB214" s="3">
        <f t="shared" si="7"/>
        <v>0</v>
      </c>
      <c r="AC214" s="3">
        <f t="shared" si="8"/>
        <v>1</v>
      </c>
      <c r="AD214" s="3">
        <f t="shared" si="9"/>
        <v>0.8695652174</v>
      </c>
      <c r="AE214" s="3">
        <f t="shared" si="10"/>
        <v>0.8695652174</v>
      </c>
      <c r="AF214" s="3">
        <f t="shared" si="11"/>
        <v>1.739130435</v>
      </c>
      <c r="AG214" s="3">
        <f t="shared" si="12"/>
        <v>0.008547008547</v>
      </c>
    </row>
    <row r="215">
      <c r="A215" s="1" t="s">
        <v>10</v>
      </c>
      <c r="B215" s="1" t="s">
        <v>220</v>
      </c>
      <c r="C215" s="1" t="s">
        <v>20</v>
      </c>
      <c r="D215" s="1" t="s">
        <v>94</v>
      </c>
      <c r="E215" s="1" t="s">
        <v>105</v>
      </c>
      <c r="F215" s="1" t="s">
        <v>647</v>
      </c>
      <c r="G215" s="1">
        <v>0.5</v>
      </c>
      <c r="H215" s="1" t="s">
        <v>60</v>
      </c>
      <c r="I215" s="1">
        <v>731.0</v>
      </c>
      <c r="J215" s="1">
        <v>0.492368551052295</v>
      </c>
      <c r="K215" s="1" t="s">
        <v>61</v>
      </c>
      <c r="L215" s="1" t="s">
        <v>61</v>
      </c>
      <c r="M215" s="1" t="s">
        <v>62</v>
      </c>
      <c r="N215" s="1">
        <v>-1842.0</v>
      </c>
      <c r="O215" s="1">
        <v>-0.561173487944402</v>
      </c>
      <c r="P215" s="1" t="s">
        <v>61</v>
      </c>
      <c r="Q215" s="1" t="s">
        <v>61</v>
      </c>
      <c r="R215" s="1">
        <f t="shared" si="1"/>
        <v>0.4923685511</v>
      </c>
      <c r="S215" s="1">
        <f t="shared" si="2"/>
        <v>731</v>
      </c>
      <c r="T215" s="1">
        <f t="shared" si="3"/>
        <v>8.31</v>
      </c>
      <c r="U215" s="1">
        <f t="shared" si="4"/>
        <v>1</v>
      </c>
      <c r="V215" s="3">
        <f t="shared" si="5"/>
        <v>3</v>
      </c>
      <c r="W215" s="3">
        <f t="shared" si="6"/>
        <v>1</v>
      </c>
      <c r="X215" s="3" t="str">
        <f>IFERROR(__xludf.DUMMYFUNCTION("split(B215,"" "")"),"J.")</f>
        <v>J.</v>
      </c>
      <c r="Y215" s="3" t="str">
        <f>IFERROR(__xludf.DUMMYFUNCTION("""COMPUTED_VALUE"""),"Smith")</f>
        <v>Smith</v>
      </c>
      <c r="AA215" s="8">
        <v>0.0</v>
      </c>
      <c r="AB215" s="3">
        <f t="shared" si="7"/>
        <v>0</v>
      </c>
      <c r="AC215" s="3">
        <f t="shared" si="8"/>
        <v>0</v>
      </c>
      <c r="AD215" s="3">
        <f t="shared" si="9"/>
        <v>21.93</v>
      </c>
      <c r="AE215" s="3">
        <f t="shared" si="10"/>
        <v>0</v>
      </c>
      <c r="AF215" s="3">
        <f t="shared" si="11"/>
        <v>-1</v>
      </c>
      <c r="AG215" s="3">
        <f t="shared" si="12"/>
        <v>-1</v>
      </c>
    </row>
    <row r="216">
      <c r="A216" s="1" t="s">
        <v>12</v>
      </c>
      <c r="B216" s="1" t="s">
        <v>441</v>
      </c>
      <c r="C216" s="1" t="s">
        <v>18</v>
      </c>
      <c r="D216" s="1" t="s">
        <v>94</v>
      </c>
      <c r="E216" s="1" t="s">
        <v>105</v>
      </c>
      <c r="F216" s="1" t="s">
        <v>647</v>
      </c>
      <c r="G216" s="1">
        <v>6.5</v>
      </c>
      <c r="H216" s="1" t="s">
        <v>60</v>
      </c>
      <c r="I216" s="1">
        <v>119.0</v>
      </c>
      <c r="J216" s="1">
        <v>0.177278995433789</v>
      </c>
      <c r="K216" s="1" t="s">
        <v>61</v>
      </c>
      <c r="L216" s="1" t="s">
        <v>61</v>
      </c>
      <c r="M216" s="1" t="s">
        <v>62</v>
      </c>
      <c r="N216" s="1">
        <v>-155.0</v>
      </c>
      <c r="O216" s="1">
        <v>-0.241743137254902</v>
      </c>
      <c r="P216" s="1" t="s">
        <v>61</v>
      </c>
      <c r="Q216" s="1" t="s">
        <v>61</v>
      </c>
      <c r="R216" s="1">
        <f t="shared" si="1"/>
        <v>0.1772789954</v>
      </c>
      <c r="S216" s="1">
        <f t="shared" si="2"/>
        <v>119</v>
      </c>
      <c r="T216" s="1">
        <f t="shared" si="3"/>
        <v>2.19</v>
      </c>
      <c r="U216" s="1">
        <f t="shared" si="4"/>
        <v>1</v>
      </c>
      <c r="V216" s="3">
        <f t="shared" si="5"/>
        <v>3</v>
      </c>
      <c r="W216" s="3">
        <f t="shared" si="6"/>
        <v>1</v>
      </c>
      <c r="X216" s="3" t="str">
        <f>IFERROR(__xludf.DUMMYFUNCTION("split(B216,"" "")"),"T.")</f>
        <v>T.</v>
      </c>
      <c r="Y216" s="3" t="str">
        <f>IFERROR(__xludf.DUMMYFUNCTION("""COMPUTED_VALUE"""),"Hill")</f>
        <v>Hill</v>
      </c>
      <c r="AA216" s="8">
        <v>6.0</v>
      </c>
      <c r="AB216" s="3">
        <f t="shared" si="7"/>
        <v>0</v>
      </c>
      <c r="AC216" s="3">
        <f t="shared" si="8"/>
        <v>0</v>
      </c>
      <c r="AD216" s="3">
        <f t="shared" si="9"/>
        <v>3.57</v>
      </c>
      <c r="AE216" s="3">
        <f t="shared" si="10"/>
        <v>-3</v>
      </c>
      <c r="AF216" s="3">
        <f t="shared" si="11"/>
        <v>-1</v>
      </c>
      <c r="AG216" s="3">
        <f t="shared" si="12"/>
        <v>-0.07692307692</v>
      </c>
    </row>
    <row r="217">
      <c r="A217" s="1" t="s">
        <v>12</v>
      </c>
      <c r="B217" s="1" t="s">
        <v>220</v>
      </c>
      <c r="C217" s="1" t="s">
        <v>20</v>
      </c>
      <c r="D217" s="1" t="s">
        <v>94</v>
      </c>
      <c r="E217" s="1" t="s">
        <v>105</v>
      </c>
      <c r="F217" s="1" t="s">
        <v>647</v>
      </c>
      <c r="G217" s="1">
        <v>2.5</v>
      </c>
      <c r="H217" s="1" t="s">
        <v>60</v>
      </c>
      <c r="I217" s="1">
        <v>-147.0</v>
      </c>
      <c r="J217" s="1">
        <v>-0.241280520242915</v>
      </c>
      <c r="K217" s="1" t="s">
        <v>61</v>
      </c>
      <c r="L217" s="1" t="s">
        <v>61</v>
      </c>
      <c r="M217" s="1" t="s">
        <v>62</v>
      </c>
      <c r="N217" s="1">
        <v>111.0</v>
      </c>
      <c r="O217" s="1">
        <v>0.172211793838862</v>
      </c>
      <c r="P217" s="1" t="s">
        <v>61</v>
      </c>
      <c r="Q217" s="1" t="s">
        <v>61</v>
      </c>
      <c r="R217" s="1">
        <f t="shared" si="1"/>
        <v>0.1722117938</v>
      </c>
      <c r="S217" s="1">
        <f t="shared" si="2"/>
        <v>111</v>
      </c>
      <c r="T217" s="1">
        <f t="shared" si="3"/>
        <v>2.11</v>
      </c>
      <c r="U217" s="1">
        <f t="shared" si="4"/>
        <v>0</v>
      </c>
      <c r="V217" s="3">
        <f t="shared" si="5"/>
        <v>3</v>
      </c>
      <c r="W217" s="3">
        <f t="shared" si="6"/>
        <v>1</v>
      </c>
      <c r="X217" s="3" t="str">
        <f>IFERROR(__xludf.DUMMYFUNCTION("split(B217,"" "")"),"J.")</f>
        <v>J.</v>
      </c>
      <c r="Y217" s="3" t="str">
        <f>IFERROR(__xludf.DUMMYFUNCTION("""COMPUTED_VALUE"""),"Smith")</f>
        <v>Smith</v>
      </c>
      <c r="AA217" s="8">
        <v>4.0</v>
      </c>
      <c r="AB217" s="3">
        <f t="shared" si="7"/>
        <v>1</v>
      </c>
      <c r="AC217" s="3">
        <f t="shared" si="8"/>
        <v>0</v>
      </c>
      <c r="AD217" s="3">
        <f t="shared" si="9"/>
        <v>3.33</v>
      </c>
      <c r="AE217" s="3">
        <f t="shared" si="10"/>
        <v>-3</v>
      </c>
      <c r="AF217" s="3">
        <f t="shared" si="11"/>
        <v>-1</v>
      </c>
      <c r="AG217" s="3">
        <f t="shared" si="12"/>
        <v>-0.6</v>
      </c>
    </row>
    <row r="218">
      <c r="A218" s="1" t="s">
        <v>12</v>
      </c>
      <c r="B218" s="1" t="s">
        <v>475</v>
      </c>
      <c r="C218" s="1" t="s">
        <v>18</v>
      </c>
      <c r="D218" s="1" t="s">
        <v>94</v>
      </c>
      <c r="E218" s="1" t="s">
        <v>105</v>
      </c>
      <c r="F218" s="1" t="s">
        <v>647</v>
      </c>
      <c r="G218" s="1">
        <v>4.5</v>
      </c>
      <c r="H218" s="1" t="s">
        <v>60</v>
      </c>
      <c r="I218" s="1">
        <v>122.0</v>
      </c>
      <c r="J218" s="1">
        <v>0.0716495495495495</v>
      </c>
      <c r="K218" s="1" t="s">
        <v>61</v>
      </c>
      <c r="L218" s="1" t="s">
        <v>61</v>
      </c>
      <c r="M218" s="1" t="s">
        <v>62</v>
      </c>
      <c r="N218" s="1">
        <v>-162.0</v>
      </c>
      <c r="O218" s="1">
        <v>-0.140420610687022</v>
      </c>
      <c r="P218" s="1" t="s">
        <v>61</v>
      </c>
      <c r="Q218" s="1" t="s">
        <v>61</v>
      </c>
      <c r="R218" s="1">
        <f t="shared" si="1"/>
        <v>0.07164954955</v>
      </c>
      <c r="S218" s="1">
        <f t="shared" si="2"/>
        <v>122</v>
      </c>
      <c r="T218" s="1">
        <f t="shared" si="3"/>
        <v>2.22</v>
      </c>
      <c r="U218" s="1">
        <f t="shared" si="4"/>
        <v>1</v>
      </c>
      <c r="V218" s="3">
        <f t="shared" si="5"/>
        <v>2</v>
      </c>
      <c r="W218" s="3">
        <f t="shared" si="6"/>
        <v>1</v>
      </c>
      <c r="X218" s="3" t="str">
        <f>IFERROR(__xludf.DUMMYFUNCTION("split(B218,"" "")"),"J.")</f>
        <v>J.</v>
      </c>
      <c r="Y218" s="3" t="str">
        <f>IFERROR(__xludf.DUMMYFUNCTION("""COMPUTED_VALUE"""),"Waddle")</f>
        <v>Waddle</v>
      </c>
      <c r="AA218" s="8">
        <v>4.0</v>
      </c>
      <c r="AB218" s="3">
        <f t="shared" si="7"/>
        <v>0</v>
      </c>
      <c r="AC218" s="3">
        <f t="shared" si="8"/>
        <v>0</v>
      </c>
      <c r="AD218" s="3">
        <f t="shared" si="9"/>
        <v>2.44</v>
      </c>
      <c r="AE218" s="3">
        <f t="shared" si="10"/>
        <v>-2</v>
      </c>
      <c r="AF218" s="3">
        <f t="shared" si="11"/>
        <v>-1</v>
      </c>
      <c r="AG218" s="3">
        <f t="shared" si="12"/>
        <v>-0.1111111111</v>
      </c>
    </row>
    <row r="219">
      <c r="A219" s="1" t="s">
        <v>15</v>
      </c>
      <c r="B219" s="1" t="s">
        <v>316</v>
      </c>
      <c r="C219" s="1" t="s">
        <v>21</v>
      </c>
      <c r="D219" s="1" t="s">
        <v>94</v>
      </c>
      <c r="E219" s="1" t="s">
        <v>105</v>
      </c>
      <c r="F219" s="1" t="s">
        <v>647</v>
      </c>
      <c r="G219" s="1">
        <v>21.5</v>
      </c>
      <c r="H219" s="1" t="s">
        <v>60</v>
      </c>
      <c r="I219" s="1">
        <v>-108.0</v>
      </c>
      <c r="J219" s="1">
        <v>0.0624249999999999</v>
      </c>
      <c r="K219" s="1" t="s">
        <v>61</v>
      </c>
      <c r="L219" s="1" t="s">
        <v>61</v>
      </c>
      <c r="M219" s="1" t="s">
        <v>62</v>
      </c>
      <c r="N219" s="1">
        <v>-117.0</v>
      </c>
      <c r="O219" s="1">
        <v>-0.120808755760368</v>
      </c>
      <c r="P219" s="1" t="s">
        <v>61</v>
      </c>
      <c r="Q219" s="1" t="s">
        <v>61</v>
      </c>
      <c r="R219" s="1">
        <f t="shared" si="1"/>
        <v>0.062425</v>
      </c>
      <c r="S219" s="1">
        <f t="shared" si="2"/>
        <v>-108</v>
      </c>
      <c r="T219" s="1">
        <f t="shared" si="3"/>
        <v>1.925925926</v>
      </c>
      <c r="U219" s="1">
        <f t="shared" si="4"/>
        <v>1</v>
      </c>
      <c r="V219" s="3">
        <f t="shared" si="5"/>
        <v>2</v>
      </c>
      <c r="W219" s="3">
        <f t="shared" si="6"/>
        <v>2</v>
      </c>
      <c r="X219" s="3" t="str">
        <f>IFERROR(__xludf.DUMMYFUNCTION("split(B219,"" "")"),"T.")</f>
        <v>T.</v>
      </c>
      <c r="Y219" s="3" t="str">
        <f>IFERROR(__xludf.DUMMYFUNCTION("""COMPUTED_VALUE"""),"Tagovailoa")</f>
        <v>Tagovailoa</v>
      </c>
      <c r="AA219" s="8">
        <v>28.0</v>
      </c>
      <c r="AB219" s="3">
        <f t="shared" si="7"/>
        <v>1</v>
      </c>
      <c r="AC219" s="3">
        <f t="shared" si="8"/>
        <v>1</v>
      </c>
      <c r="AD219" s="3">
        <f t="shared" si="9"/>
        <v>1.851851852</v>
      </c>
      <c r="AE219" s="3">
        <f t="shared" si="10"/>
        <v>1.851851852</v>
      </c>
      <c r="AF219" s="3">
        <f t="shared" si="11"/>
        <v>1.851851852</v>
      </c>
      <c r="AG219" s="3">
        <f t="shared" si="12"/>
        <v>0.3023255814</v>
      </c>
    </row>
    <row r="220">
      <c r="A220" s="1" t="s">
        <v>12</v>
      </c>
      <c r="B220" s="1" t="s">
        <v>289</v>
      </c>
      <c r="C220" s="1" t="s">
        <v>19</v>
      </c>
      <c r="D220" s="1" t="s">
        <v>94</v>
      </c>
      <c r="E220" s="1" t="s">
        <v>105</v>
      </c>
      <c r="F220" s="1" t="s">
        <v>647</v>
      </c>
      <c r="G220" s="1">
        <v>3.5</v>
      </c>
      <c r="H220" s="1" t="s">
        <v>60</v>
      </c>
      <c r="I220" s="1">
        <v>-102.0</v>
      </c>
      <c r="J220" s="1">
        <v>-0.128750495049504</v>
      </c>
      <c r="K220" s="1" t="s">
        <v>61</v>
      </c>
      <c r="L220" s="1" t="s">
        <v>61</v>
      </c>
      <c r="M220" s="1" t="s">
        <v>62</v>
      </c>
      <c r="N220" s="1">
        <v>-130.0</v>
      </c>
      <c r="O220" s="1">
        <v>0.0585826086956521</v>
      </c>
      <c r="P220" s="1" t="s">
        <v>61</v>
      </c>
      <c r="Q220" s="1" t="s">
        <v>61</v>
      </c>
      <c r="R220" s="1">
        <f t="shared" si="1"/>
        <v>0.0585826087</v>
      </c>
      <c r="S220" s="1">
        <f t="shared" si="2"/>
        <v>-130</v>
      </c>
      <c r="T220" s="1">
        <f t="shared" si="3"/>
        <v>1.769230769</v>
      </c>
      <c r="U220" s="1">
        <f t="shared" si="4"/>
        <v>0</v>
      </c>
      <c r="V220" s="3">
        <f t="shared" si="5"/>
        <v>2</v>
      </c>
      <c r="W220" s="3">
        <f t="shared" si="6"/>
        <v>3</v>
      </c>
      <c r="X220" s="3" t="str">
        <f>IFERROR(__xludf.DUMMYFUNCTION("split(B220,"" "")"),"D.")</f>
        <v>D.</v>
      </c>
      <c r="Y220" s="3" t="str">
        <f>IFERROR(__xludf.DUMMYFUNCTION("""COMPUTED_VALUE"""),"Achane")</f>
        <v>Achane</v>
      </c>
      <c r="AA220" s="8">
        <v>6.0</v>
      </c>
      <c r="AB220" s="3">
        <f t="shared" si="7"/>
        <v>1</v>
      </c>
      <c r="AC220" s="3">
        <f t="shared" si="8"/>
        <v>0</v>
      </c>
      <c r="AD220" s="3">
        <f t="shared" si="9"/>
        <v>1.538461538</v>
      </c>
      <c r="AE220" s="3">
        <f t="shared" si="10"/>
        <v>-2</v>
      </c>
      <c r="AF220" s="3">
        <f t="shared" si="11"/>
        <v>-3</v>
      </c>
      <c r="AG220" s="3">
        <f t="shared" si="12"/>
        <v>-0.7142857143</v>
      </c>
    </row>
    <row r="221">
      <c r="A221" s="1" t="s">
        <v>9</v>
      </c>
      <c r="B221" s="1" t="s">
        <v>475</v>
      </c>
      <c r="C221" s="1" t="s">
        <v>18</v>
      </c>
      <c r="D221" s="1" t="s">
        <v>94</v>
      </c>
      <c r="E221" s="1" t="s">
        <v>105</v>
      </c>
      <c r="F221" s="1" t="s">
        <v>647</v>
      </c>
      <c r="G221" s="1">
        <v>53.5</v>
      </c>
      <c r="H221" s="1" t="s">
        <v>60</v>
      </c>
      <c r="I221" s="1">
        <v>-116.0</v>
      </c>
      <c r="J221" s="1">
        <v>0.0217144115689468</v>
      </c>
      <c r="K221" s="1" t="s">
        <v>61</v>
      </c>
      <c r="L221" s="1" t="s">
        <v>61</v>
      </c>
      <c r="M221" s="1" t="s">
        <v>62</v>
      </c>
      <c r="N221" s="1">
        <v>-116.0</v>
      </c>
      <c r="O221" s="1">
        <v>-0.0958287174199785</v>
      </c>
      <c r="P221" s="1" t="s">
        <v>61</v>
      </c>
      <c r="Q221" s="1" t="s">
        <v>61</v>
      </c>
      <c r="R221" s="1">
        <f t="shared" si="1"/>
        <v>0.02171441157</v>
      </c>
      <c r="S221" s="1">
        <f t="shared" si="2"/>
        <v>-116</v>
      </c>
      <c r="T221" s="1">
        <f t="shared" si="3"/>
        <v>1.862068966</v>
      </c>
      <c r="U221" s="1">
        <f t="shared" si="4"/>
        <v>1</v>
      </c>
      <c r="V221" s="3">
        <f t="shared" si="5"/>
        <v>1</v>
      </c>
      <c r="W221" s="3">
        <f t="shared" si="6"/>
        <v>2</v>
      </c>
      <c r="X221" s="3" t="str">
        <f>IFERROR(__xludf.DUMMYFUNCTION("split(B221,"" "")"),"J.")</f>
        <v>J.</v>
      </c>
      <c r="Y221" s="3" t="str">
        <f>IFERROR(__xludf.DUMMYFUNCTION("""COMPUTED_VALUE"""),"Waddle")</f>
        <v>Waddle</v>
      </c>
      <c r="AA221" s="8">
        <v>45.0</v>
      </c>
      <c r="AB221" s="3">
        <f t="shared" si="7"/>
        <v>0</v>
      </c>
      <c r="AC221" s="3">
        <f t="shared" si="8"/>
        <v>0</v>
      </c>
      <c r="AD221" s="3">
        <f t="shared" si="9"/>
        <v>0.8620689655</v>
      </c>
      <c r="AE221" s="3">
        <f t="shared" si="10"/>
        <v>-1</v>
      </c>
      <c r="AF221" s="3">
        <f t="shared" si="11"/>
        <v>-2</v>
      </c>
      <c r="AG221" s="3">
        <f t="shared" si="12"/>
        <v>-0.1588785047</v>
      </c>
    </row>
    <row r="222">
      <c r="A222" s="1" t="s">
        <v>14</v>
      </c>
      <c r="B222" s="1" t="s">
        <v>316</v>
      </c>
      <c r="C222" s="1" t="s">
        <v>21</v>
      </c>
      <c r="D222" s="1" t="s">
        <v>94</v>
      </c>
      <c r="E222" s="1" t="s">
        <v>105</v>
      </c>
      <c r="F222" s="1" t="s">
        <v>647</v>
      </c>
      <c r="G222" s="1">
        <v>1.5</v>
      </c>
      <c r="H222" s="1" t="s">
        <v>60</v>
      </c>
      <c r="I222" s="1">
        <v>-122.0</v>
      </c>
      <c r="J222" s="1">
        <v>-0.0850945945945944</v>
      </c>
      <c r="K222" s="1" t="s">
        <v>61</v>
      </c>
      <c r="L222" s="1" t="s">
        <v>61</v>
      </c>
      <c r="M222" s="1" t="s">
        <v>62</v>
      </c>
      <c r="N222" s="1">
        <v>-106.0</v>
      </c>
      <c r="O222" s="1">
        <v>0.020988349514563</v>
      </c>
      <c r="P222" s="1" t="s">
        <v>61</v>
      </c>
      <c r="Q222" s="1" t="s">
        <v>61</v>
      </c>
      <c r="R222" s="1">
        <f t="shared" si="1"/>
        <v>0.02098834951</v>
      </c>
      <c r="S222" s="1">
        <f t="shared" si="2"/>
        <v>-106</v>
      </c>
      <c r="T222" s="1">
        <f t="shared" si="3"/>
        <v>1.943396226</v>
      </c>
      <c r="U222" s="1">
        <f t="shared" si="4"/>
        <v>0</v>
      </c>
      <c r="V222" s="3">
        <f t="shared" si="5"/>
        <v>1</v>
      </c>
      <c r="W222" s="3">
        <f t="shared" si="6"/>
        <v>2</v>
      </c>
      <c r="X222" s="3" t="str">
        <f>IFERROR(__xludf.DUMMYFUNCTION("split(B222,"" "")"),"T.")</f>
        <v>T.</v>
      </c>
      <c r="Y222" s="3" t="str">
        <f>IFERROR(__xludf.DUMMYFUNCTION("""COMPUTED_VALUE"""),"Tagovailoa")</f>
        <v>Tagovailoa</v>
      </c>
      <c r="AA222" s="8">
        <v>1.0</v>
      </c>
      <c r="AB222" s="3">
        <f t="shared" si="7"/>
        <v>0</v>
      </c>
      <c r="AC222" s="3">
        <f t="shared" si="8"/>
        <v>1</v>
      </c>
      <c r="AD222" s="3">
        <f t="shared" si="9"/>
        <v>0.9433962264</v>
      </c>
      <c r="AE222" s="3">
        <f t="shared" si="10"/>
        <v>0.9433962264</v>
      </c>
      <c r="AF222" s="3">
        <f t="shared" si="11"/>
        <v>1.886792453</v>
      </c>
      <c r="AG222" s="3">
        <f t="shared" si="12"/>
        <v>0.3333333333</v>
      </c>
    </row>
    <row r="223">
      <c r="A223" s="1" t="s">
        <v>11</v>
      </c>
      <c r="B223" s="1" t="s">
        <v>289</v>
      </c>
      <c r="C223" s="1" t="s">
        <v>19</v>
      </c>
      <c r="D223" s="1" t="s">
        <v>94</v>
      </c>
      <c r="E223" s="1" t="s">
        <v>105</v>
      </c>
      <c r="F223" s="1" t="s">
        <v>647</v>
      </c>
      <c r="G223" s="1">
        <v>23.5</v>
      </c>
      <c r="H223" s="1" t="s">
        <v>60</v>
      </c>
      <c r="I223" s="1">
        <v>-119.0</v>
      </c>
      <c r="J223" s="1">
        <v>-0.0879338620789269</v>
      </c>
      <c r="K223" s="1" t="s">
        <v>61</v>
      </c>
      <c r="L223" s="1" t="s">
        <v>61</v>
      </c>
      <c r="M223" s="1" t="s">
        <v>62</v>
      </c>
      <c r="N223" s="1">
        <v>-110.0</v>
      </c>
      <c r="O223" s="1">
        <v>0.020782844641969</v>
      </c>
      <c r="P223" s="1" t="s">
        <v>61</v>
      </c>
      <c r="Q223" s="1" t="s">
        <v>61</v>
      </c>
      <c r="R223" s="1">
        <f t="shared" si="1"/>
        <v>0.02078284464</v>
      </c>
      <c r="S223" s="1">
        <f t="shared" si="2"/>
        <v>-110</v>
      </c>
      <c r="T223" s="1">
        <f t="shared" si="3"/>
        <v>1.909090909</v>
      </c>
      <c r="U223" s="1">
        <f t="shared" si="4"/>
        <v>0</v>
      </c>
      <c r="V223" s="3">
        <f t="shared" si="5"/>
        <v>1</v>
      </c>
      <c r="W223" s="3">
        <f t="shared" si="6"/>
        <v>2</v>
      </c>
      <c r="X223" s="3" t="str">
        <f>IFERROR(__xludf.DUMMYFUNCTION("split(B223,"" "")"),"D.")</f>
        <v>D.</v>
      </c>
      <c r="Y223" s="3" t="str">
        <f>IFERROR(__xludf.DUMMYFUNCTION("""COMPUTED_VALUE"""),"Achane")</f>
        <v>Achane</v>
      </c>
      <c r="AA223" s="8">
        <v>50.0</v>
      </c>
      <c r="AB223" s="3">
        <f t="shared" si="7"/>
        <v>1</v>
      </c>
      <c r="AC223" s="3">
        <f t="shared" si="8"/>
        <v>0</v>
      </c>
      <c r="AD223" s="3">
        <f t="shared" si="9"/>
        <v>0.9090909091</v>
      </c>
      <c r="AE223" s="3">
        <f t="shared" si="10"/>
        <v>-1</v>
      </c>
      <c r="AF223" s="3">
        <f t="shared" si="11"/>
        <v>-2</v>
      </c>
      <c r="AG223" s="3">
        <f t="shared" si="12"/>
        <v>-1.127659574</v>
      </c>
    </row>
    <row r="224">
      <c r="A224" s="1" t="s">
        <v>11</v>
      </c>
      <c r="B224" s="1" t="s">
        <v>220</v>
      </c>
      <c r="C224" s="1" t="s">
        <v>20</v>
      </c>
      <c r="D224" s="1" t="s">
        <v>94</v>
      </c>
      <c r="E224" s="1" t="s">
        <v>105</v>
      </c>
      <c r="F224" s="1" t="s">
        <v>647</v>
      </c>
      <c r="G224" s="1">
        <v>27.5</v>
      </c>
      <c r="H224" s="1" t="s">
        <v>60</v>
      </c>
      <c r="I224" s="1">
        <v>-111.0</v>
      </c>
      <c r="J224" s="1">
        <v>-0.0807310675368247</v>
      </c>
      <c r="K224" s="1" t="s">
        <v>61</v>
      </c>
      <c r="L224" s="1" t="s">
        <v>61</v>
      </c>
      <c r="M224" s="1" t="s">
        <v>62</v>
      </c>
      <c r="N224" s="1">
        <v>-119.0</v>
      </c>
      <c r="O224" s="1">
        <v>0.0112952043279512</v>
      </c>
      <c r="P224" s="1" t="s">
        <v>61</v>
      </c>
      <c r="Q224" s="1" t="s">
        <v>61</v>
      </c>
      <c r="R224" s="1">
        <f t="shared" si="1"/>
        <v>0.01129520433</v>
      </c>
      <c r="S224" s="1">
        <f t="shared" si="2"/>
        <v>-119</v>
      </c>
      <c r="T224" s="1">
        <f t="shared" si="3"/>
        <v>1.840336134</v>
      </c>
      <c r="U224" s="1">
        <f t="shared" si="4"/>
        <v>0</v>
      </c>
      <c r="V224" s="3">
        <f t="shared" si="5"/>
        <v>1</v>
      </c>
      <c r="W224" s="3">
        <f t="shared" si="6"/>
        <v>3</v>
      </c>
      <c r="X224" s="3" t="str">
        <f>IFERROR(__xludf.DUMMYFUNCTION("split(B224,"" "")"),"J.")</f>
        <v>J.</v>
      </c>
      <c r="Y224" s="3" t="str">
        <f>IFERROR(__xludf.DUMMYFUNCTION("""COMPUTED_VALUE"""),"Smith")</f>
        <v>Smith</v>
      </c>
      <c r="AA224" s="8">
        <v>20.0</v>
      </c>
      <c r="AB224" s="3">
        <f t="shared" si="7"/>
        <v>0</v>
      </c>
      <c r="AC224" s="3">
        <f t="shared" si="8"/>
        <v>1</v>
      </c>
      <c r="AD224" s="3">
        <f t="shared" si="9"/>
        <v>0.8403361345</v>
      </c>
      <c r="AE224" s="3">
        <f t="shared" si="10"/>
        <v>0.8403361345</v>
      </c>
      <c r="AF224" s="3">
        <f t="shared" si="11"/>
        <v>2.521008403</v>
      </c>
      <c r="AG224" s="3">
        <f t="shared" si="12"/>
        <v>0.2727272727</v>
      </c>
    </row>
    <row r="225">
      <c r="A225" s="1" t="s">
        <v>10</v>
      </c>
      <c r="B225" s="1" t="s">
        <v>280</v>
      </c>
      <c r="C225" s="1" t="s">
        <v>19</v>
      </c>
      <c r="D225" s="1" t="s">
        <v>94</v>
      </c>
      <c r="E225" s="1" t="s">
        <v>105</v>
      </c>
      <c r="F225" s="1" t="s">
        <v>647</v>
      </c>
      <c r="G225" s="1">
        <v>35.5</v>
      </c>
      <c r="H225" s="1" t="s">
        <v>60</v>
      </c>
      <c r="I225" s="1">
        <v>-113.0</v>
      </c>
      <c r="J225" s="1">
        <v>-0.0706828620133952</v>
      </c>
      <c r="K225" s="1" t="s">
        <v>61</v>
      </c>
      <c r="L225" s="1" t="s">
        <v>61</v>
      </c>
      <c r="M225" s="1" t="s">
        <v>62</v>
      </c>
      <c r="N225" s="1">
        <v>-116.0</v>
      </c>
      <c r="O225" s="1">
        <v>0.00315232147087818</v>
      </c>
      <c r="P225" s="1" t="s">
        <v>61</v>
      </c>
      <c r="Q225" s="1" t="s">
        <v>61</v>
      </c>
      <c r="R225" s="1">
        <f t="shared" si="1"/>
        <v>0.003152321471</v>
      </c>
      <c r="S225" s="1">
        <f t="shared" si="2"/>
        <v>-116</v>
      </c>
      <c r="T225" s="1">
        <f t="shared" si="3"/>
        <v>1.862068966</v>
      </c>
      <c r="U225" s="1">
        <f t="shared" si="4"/>
        <v>0</v>
      </c>
      <c r="V225" s="3">
        <f t="shared" si="5"/>
        <v>1</v>
      </c>
      <c r="W225" s="3">
        <f t="shared" si="6"/>
        <v>2</v>
      </c>
      <c r="X225" s="3" t="str">
        <f>IFERROR(__xludf.DUMMYFUNCTION("split(B225,"" "")"),"R.")</f>
        <v>R.</v>
      </c>
      <c r="Y225" s="3" t="str">
        <f>IFERROR(__xludf.DUMMYFUNCTION("""COMPUTED_VALUE"""),"Mostert")</f>
        <v>Mostert</v>
      </c>
      <c r="AA225" s="8">
        <v>19.0</v>
      </c>
      <c r="AB225" s="3">
        <f t="shared" si="7"/>
        <v>0</v>
      </c>
      <c r="AC225" s="3">
        <f t="shared" si="8"/>
        <v>1</v>
      </c>
      <c r="AD225" s="3">
        <f t="shared" si="9"/>
        <v>0.8620689655</v>
      </c>
      <c r="AE225" s="3">
        <f t="shared" si="10"/>
        <v>0.8620689655</v>
      </c>
      <c r="AF225" s="3">
        <f t="shared" si="11"/>
        <v>1.724137931</v>
      </c>
      <c r="AG225" s="3">
        <f t="shared" si="12"/>
        <v>0.4647887324</v>
      </c>
    </row>
    <row r="226">
      <c r="A226" s="1" t="s">
        <v>17</v>
      </c>
      <c r="B226" s="1" t="s">
        <v>316</v>
      </c>
      <c r="C226" s="1" t="s">
        <v>21</v>
      </c>
      <c r="D226" s="1" t="s">
        <v>94</v>
      </c>
      <c r="E226" s="1" t="s">
        <v>105</v>
      </c>
      <c r="F226" s="1" t="s">
        <v>647</v>
      </c>
      <c r="G226" s="1">
        <v>0.5</v>
      </c>
      <c r="H226" s="1" t="s">
        <v>60</v>
      </c>
      <c r="I226" s="1">
        <v>-114.0</v>
      </c>
      <c r="J226" s="1">
        <v>-0.0706102803738317</v>
      </c>
      <c r="K226" s="1" t="s">
        <v>61</v>
      </c>
      <c r="L226" s="1" t="s">
        <v>61</v>
      </c>
      <c r="M226" s="1" t="s">
        <v>62</v>
      </c>
      <c r="N226" s="1">
        <v>-115.0</v>
      </c>
      <c r="O226" s="1">
        <v>0.00301627906976742</v>
      </c>
      <c r="P226" s="1" t="s">
        <v>61</v>
      </c>
      <c r="Q226" s="1" t="s">
        <v>61</v>
      </c>
      <c r="R226" s="1">
        <f t="shared" si="1"/>
        <v>0.00301627907</v>
      </c>
      <c r="S226" s="1">
        <f t="shared" si="2"/>
        <v>-115</v>
      </c>
      <c r="T226" s="1">
        <f t="shared" si="3"/>
        <v>1.869565217</v>
      </c>
      <c r="U226" s="1">
        <f t="shared" si="4"/>
        <v>0</v>
      </c>
      <c r="V226" s="3">
        <f t="shared" si="5"/>
        <v>1</v>
      </c>
      <c r="W226" s="3">
        <f t="shared" si="6"/>
        <v>2</v>
      </c>
      <c r="X226" s="3" t="str">
        <f>IFERROR(__xludf.DUMMYFUNCTION("split(B226,"" "")"),"T.")</f>
        <v>T.</v>
      </c>
      <c r="Y226" s="3" t="str">
        <f>IFERROR(__xludf.DUMMYFUNCTION("""COMPUTED_VALUE"""),"Tagovailoa")</f>
        <v>Tagovailoa</v>
      </c>
      <c r="AA226" s="8">
        <v>0.0</v>
      </c>
      <c r="AB226" s="3">
        <f t="shared" si="7"/>
        <v>0</v>
      </c>
      <c r="AC226" s="3">
        <f t="shared" si="8"/>
        <v>1</v>
      </c>
      <c r="AD226" s="3">
        <f t="shared" si="9"/>
        <v>0.8695652174</v>
      </c>
      <c r="AE226" s="3">
        <f t="shared" si="10"/>
        <v>0.8695652174</v>
      </c>
      <c r="AF226" s="3">
        <f t="shared" si="11"/>
        <v>1.739130435</v>
      </c>
      <c r="AG226" s="3">
        <f t="shared" si="12"/>
        <v>1</v>
      </c>
    </row>
    <row r="227">
      <c r="A227" s="1" t="s">
        <v>9</v>
      </c>
      <c r="B227" s="1" t="s">
        <v>441</v>
      </c>
      <c r="C227" s="1" t="s">
        <v>18</v>
      </c>
      <c r="D227" s="1" t="s">
        <v>94</v>
      </c>
      <c r="E227" s="1" t="s">
        <v>105</v>
      </c>
      <c r="F227" s="1" t="s">
        <v>647</v>
      </c>
      <c r="G227" s="1">
        <v>89.5</v>
      </c>
      <c r="H227" s="1" t="s">
        <v>60</v>
      </c>
      <c r="I227" s="1">
        <v>-118.0</v>
      </c>
      <c r="J227" s="1">
        <v>-0.0821931366903581</v>
      </c>
      <c r="K227" s="1" t="s">
        <v>61</v>
      </c>
      <c r="L227" s="1" t="s">
        <v>61</v>
      </c>
      <c r="M227" s="1" t="s">
        <v>62</v>
      </c>
      <c r="N227" s="1">
        <v>-117.0</v>
      </c>
      <c r="O227" s="1">
        <v>0.00179146347515546</v>
      </c>
      <c r="P227" s="1" t="s">
        <v>61</v>
      </c>
      <c r="Q227" s="1" t="s">
        <v>61</v>
      </c>
      <c r="R227" s="1">
        <f t="shared" si="1"/>
        <v>0.001791463475</v>
      </c>
      <c r="S227" s="1">
        <f t="shared" si="2"/>
        <v>-117</v>
      </c>
      <c r="T227" s="1">
        <f t="shared" si="3"/>
        <v>1.854700855</v>
      </c>
      <c r="U227" s="1">
        <f t="shared" si="4"/>
        <v>0</v>
      </c>
      <c r="V227" s="3">
        <f t="shared" si="5"/>
        <v>1</v>
      </c>
      <c r="W227" s="3">
        <f t="shared" si="6"/>
        <v>2</v>
      </c>
      <c r="X227" s="3" t="str">
        <f>IFERROR(__xludf.DUMMYFUNCTION("split(B227,"" "")"),"T.")</f>
        <v>T.</v>
      </c>
      <c r="Y227" s="3" t="str">
        <f>IFERROR(__xludf.DUMMYFUNCTION("""COMPUTED_VALUE"""),"Hill")</f>
        <v>Hill</v>
      </c>
      <c r="AA227" s="8">
        <v>72.0</v>
      </c>
      <c r="AB227" s="3">
        <f t="shared" si="7"/>
        <v>0</v>
      </c>
      <c r="AC227" s="3">
        <f t="shared" si="8"/>
        <v>1</v>
      </c>
      <c r="AD227" s="3">
        <f t="shared" si="9"/>
        <v>0.8547008547</v>
      </c>
      <c r="AE227" s="3">
        <f t="shared" si="10"/>
        <v>0.8547008547</v>
      </c>
      <c r="AF227" s="3">
        <f t="shared" si="11"/>
        <v>1.709401709</v>
      </c>
      <c r="AG227" s="3">
        <f t="shared" si="12"/>
        <v>0.1955307263</v>
      </c>
    </row>
    <row r="228">
      <c r="A228" s="1" t="s">
        <v>8</v>
      </c>
      <c r="B228" s="1" t="s">
        <v>145</v>
      </c>
      <c r="C228" s="1" t="s">
        <v>21</v>
      </c>
      <c r="D228" s="1" t="s">
        <v>146</v>
      </c>
      <c r="E228" s="1" t="s">
        <v>196</v>
      </c>
      <c r="F228" s="1" t="s">
        <v>653</v>
      </c>
      <c r="G228" s="1">
        <v>3.5</v>
      </c>
      <c r="H228" s="1" t="s">
        <v>60</v>
      </c>
      <c r="I228" s="1">
        <v>-154.0</v>
      </c>
      <c r="J228" s="1">
        <v>-0.281155340008028</v>
      </c>
      <c r="K228" s="1" t="s">
        <v>61</v>
      </c>
      <c r="L228" s="1" t="s">
        <v>61</v>
      </c>
      <c r="M228" s="1" t="s">
        <v>62</v>
      </c>
      <c r="N228" s="1">
        <v>115.0</v>
      </c>
      <c r="O228" s="1">
        <v>0.209731890055996</v>
      </c>
      <c r="P228" s="1" t="s">
        <v>61</v>
      </c>
      <c r="Q228" s="1" t="s">
        <v>61</v>
      </c>
      <c r="R228" s="1">
        <f t="shared" si="1"/>
        <v>0.2097318901</v>
      </c>
      <c r="S228" s="1">
        <f t="shared" si="2"/>
        <v>115</v>
      </c>
      <c r="T228" s="1">
        <f t="shared" si="3"/>
        <v>2.15</v>
      </c>
      <c r="U228" s="1">
        <f t="shared" si="4"/>
        <v>0</v>
      </c>
      <c r="V228" s="3">
        <f t="shared" si="5"/>
        <v>3</v>
      </c>
      <c r="W228" s="3">
        <f t="shared" si="6"/>
        <v>1</v>
      </c>
      <c r="X228" s="3" t="str">
        <f>IFERROR(__xludf.DUMMYFUNCTION("split(B228,"" "")"),"S.")</f>
        <v>S.</v>
      </c>
      <c r="Y228" s="3" t="str">
        <f>IFERROR(__xludf.DUMMYFUNCTION("""COMPUTED_VALUE"""),"Darnold")</f>
        <v>Darnold</v>
      </c>
      <c r="AA228" s="8">
        <v>3.0</v>
      </c>
      <c r="AB228" s="3">
        <f t="shared" si="7"/>
        <v>0</v>
      </c>
      <c r="AC228" s="3">
        <f t="shared" si="8"/>
        <v>1</v>
      </c>
      <c r="AD228" s="3">
        <f t="shared" si="9"/>
        <v>3.45</v>
      </c>
      <c r="AE228" s="3">
        <f t="shared" si="10"/>
        <v>3.45</v>
      </c>
      <c r="AF228" s="3">
        <f t="shared" si="11"/>
        <v>1.15</v>
      </c>
      <c r="AG228" s="3">
        <f t="shared" si="12"/>
        <v>0.1428571429</v>
      </c>
    </row>
    <row r="229">
      <c r="A229" s="1" t="s">
        <v>8</v>
      </c>
      <c r="B229" s="1" t="s">
        <v>377</v>
      </c>
      <c r="C229" s="1" t="s">
        <v>19</v>
      </c>
      <c r="D229" s="1" t="s">
        <v>146</v>
      </c>
      <c r="E229" s="1" t="s">
        <v>196</v>
      </c>
      <c r="F229" s="1" t="s">
        <v>653</v>
      </c>
      <c r="G229" s="1">
        <v>5.5</v>
      </c>
      <c r="H229" s="1" t="s">
        <v>60</v>
      </c>
      <c r="I229" s="1">
        <v>-133.0</v>
      </c>
      <c r="J229" s="1">
        <v>-0.22946183451837</v>
      </c>
      <c r="K229" s="1" t="s">
        <v>61</v>
      </c>
      <c r="L229" s="1" t="s">
        <v>61</v>
      </c>
      <c r="M229" s="1" t="s">
        <v>62</v>
      </c>
      <c r="N229" s="1">
        <v>100.0</v>
      </c>
      <c r="O229" s="1">
        <v>0.158637537213901</v>
      </c>
      <c r="P229" s="1" t="s">
        <v>61</v>
      </c>
      <c r="Q229" s="1" t="s">
        <v>61</v>
      </c>
      <c r="R229" s="1">
        <f t="shared" si="1"/>
        <v>0.1586375372</v>
      </c>
      <c r="S229" s="1">
        <f t="shared" si="2"/>
        <v>100</v>
      </c>
      <c r="T229" s="1">
        <f t="shared" si="3"/>
        <v>2</v>
      </c>
      <c r="U229" s="1">
        <f t="shared" si="4"/>
        <v>0</v>
      </c>
      <c r="V229" s="3">
        <f t="shared" si="5"/>
        <v>3</v>
      </c>
      <c r="W229" s="3">
        <f t="shared" si="6"/>
        <v>2</v>
      </c>
      <c r="X229" s="3" t="str">
        <f>IFERROR(__xludf.DUMMYFUNCTION("split(B229,"" "")"),"T.")</f>
        <v>T.</v>
      </c>
      <c r="Y229" s="3" t="str">
        <f>IFERROR(__xludf.DUMMYFUNCTION("""COMPUTED_VALUE"""),"Chandler")</f>
        <v>Chandler</v>
      </c>
      <c r="AA229" s="8">
        <v>0.0</v>
      </c>
      <c r="AB229" s="3">
        <f t="shared" si="7"/>
        <v>0</v>
      </c>
      <c r="AC229" s="3">
        <f t="shared" si="8"/>
        <v>1</v>
      </c>
      <c r="AD229" s="3">
        <f t="shared" si="9"/>
        <v>3</v>
      </c>
      <c r="AE229" s="3">
        <f t="shared" si="10"/>
        <v>3</v>
      </c>
      <c r="AF229" s="3">
        <f t="shared" si="11"/>
        <v>2</v>
      </c>
      <c r="AG229" s="3">
        <f t="shared" si="12"/>
        <v>1</v>
      </c>
    </row>
    <row r="230">
      <c r="A230" s="1" t="s">
        <v>12</v>
      </c>
      <c r="B230" s="1" t="s">
        <v>379</v>
      </c>
      <c r="C230" s="1" t="s">
        <v>18</v>
      </c>
      <c r="D230" s="1" t="s">
        <v>146</v>
      </c>
      <c r="E230" s="1" t="s">
        <v>196</v>
      </c>
      <c r="F230" s="1" t="s">
        <v>653</v>
      </c>
      <c r="G230" s="1">
        <v>6.5</v>
      </c>
      <c r="H230" s="1" t="s">
        <v>60</v>
      </c>
      <c r="I230" s="1">
        <v>100.0</v>
      </c>
      <c r="J230" s="1">
        <v>0.146</v>
      </c>
      <c r="K230" s="1" t="s">
        <v>61</v>
      </c>
      <c r="L230" s="1" t="s">
        <v>61</v>
      </c>
      <c r="M230" s="1" t="s">
        <v>62</v>
      </c>
      <c r="N230" s="1">
        <v>-131.0</v>
      </c>
      <c r="O230" s="1">
        <v>-0.213112987012987</v>
      </c>
      <c r="P230" s="1" t="s">
        <v>61</v>
      </c>
      <c r="Q230" s="1" t="s">
        <v>61</v>
      </c>
      <c r="R230" s="1">
        <f t="shared" si="1"/>
        <v>0.146</v>
      </c>
      <c r="S230" s="1">
        <f t="shared" si="2"/>
        <v>100</v>
      </c>
      <c r="T230" s="1">
        <f t="shared" si="3"/>
        <v>2</v>
      </c>
      <c r="U230" s="1">
        <f t="shared" si="4"/>
        <v>1</v>
      </c>
      <c r="V230" s="3">
        <f t="shared" si="5"/>
        <v>3</v>
      </c>
      <c r="W230" s="3">
        <f t="shared" si="6"/>
        <v>2</v>
      </c>
      <c r="X230" s="3" t="str">
        <f>IFERROR(__xludf.DUMMYFUNCTION("split(B230,"" "")"),"J.")</f>
        <v>J.</v>
      </c>
      <c r="Y230" s="3" t="str">
        <f>IFERROR(__xludf.DUMMYFUNCTION("""COMPUTED_VALUE"""),"Jefferson")</f>
        <v>Jefferson</v>
      </c>
      <c r="AA230" s="8">
        <v>8.0</v>
      </c>
      <c r="AB230" s="3">
        <f t="shared" si="7"/>
        <v>1</v>
      </c>
      <c r="AC230" s="3">
        <f t="shared" si="8"/>
        <v>1</v>
      </c>
      <c r="AD230" s="3">
        <f t="shared" si="9"/>
        <v>3</v>
      </c>
      <c r="AE230" s="3">
        <f t="shared" si="10"/>
        <v>3</v>
      </c>
      <c r="AF230" s="3">
        <f t="shared" si="11"/>
        <v>2</v>
      </c>
      <c r="AG230" s="3">
        <f t="shared" si="12"/>
        <v>0.2307692308</v>
      </c>
    </row>
    <row r="231">
      <c r="A231" s="1" t="s">
        <v>11</v>
      </c>
      <c r="B231" s="1" t="s">
        <v>550</v>
      </c>
      <c r="C231" s="1" t="s">
        <v>20</v>
      </c>
      <c r="D231" s="1" t="s">
        <v>146</v>
      </c>
      <c r="E231" s="1" t="s">
        <v>196</v>
      </c>
      <c r="F231" s="1" t="s">
        <v>653</v>
      </c>
      <c r="G231" s="1">
        <v>4.5</v>
      </c>
      <c r="H231" s="1" t="s">
        <v>60</v>
      </c>
      <c r="I231" s="1">
        <v>-119.0</v>
      </c>
      <c r="J231" s="1">
        <v>0.130526344488523</v>
      </c>
      <c r="K231" s="1" t="s">
        <v>61</v>
      </c>
      <c r="L231" s="1" t="s">
        <v>61</v>
      </c>
      <c r="M231" s="1" t="s">
        <v>62</v>
      </c>
      <c r="N231" s="1">
        <v>-109.0</v>
      </c>
      <c r="O231" s="1">
        <v>-0.195394553554332</v>
      </c>
      <c r="P231" s="1" t="s">
        <v>61</v>
      </c>
      <c r="Q231" s="1" t="s">
        <v>61</v>
      </c>
      <c r="R231" s="1">
        <f t="shared" si="1"/>
        <v>0.1305263445</v>
      </c>
      <c r="S231" s="1">
        <f t="shared" si="2"/>
        <v>-119</v>
      </c>
      <c r="T231" s="1">
        <f t="shared" si="3"/>
        <v>1.840336134</v>
      </c>
      <c r="U231" s="1">
        <f t="shared" si="4"/>
        <v>1</v>
      </c>
      <c r="V231" s="3">
        <f t="shared" si="5"/>
        <v>3</v>
      </c>
      <c r="W231" s="3">
        <f t="shared" si="6"/>
        <v>3</v>
      </c>
      <c r="X231" s="3" t="str">
        <f>IFERROR(__xludf.DUMMYFUNCTION("split(B231,"" "")"),"J.")</f>
        <v>J.</v>
      </c>
      <c r="Y231" s="3" t="str">
        <f>IFERROR(__xludf.DUMMYFUNCTION("""COMPUTED_VALUE"""),"Oliver")</f>
        <v>Oliver</v>
      </c>
      <c r="AA231" s="8">
        <v>30.0</v>
      </c>
      <c r="AB231" s="3">
        <f t="shared" si="7"/>
        <v>1</v>
      </c>
      <c r="AC231" s="3">
        <f t="shared" si="8"/>
        <v>1</v>
      </c>
      <c r="AD231" s="3">
        <f t="shared" si="9"/>
        <v>2.521008403</v>
      </c>
      <c r="AE231" s="3">
        <f t="shared" si="10"/>
        <v>2.521008403</v>
      </c>
      <c r="AF231" s="3">
        <f t="shared" si="11"/>
        <v>2.521008403</v>
      </c>
      <c r="AG231" s="3">
        <f t="shared" si="12"/>
        <v>5.666666667</v>
      </c>
    </row>
    <row r="232">
      <c r="A232" s="1" t="s">
        <v>12</v>
      </c>
      <c r="B232" s="1" t="s">
        <v>377</v>
      </c>
      <c r="C232" s="1" t="s">
        <v>19</v>
      </c>
      <c r="D232" s="1" t="s">
        <v>146</v>
      </c>
      <c r="E232" s="1" t="s">
        <v>196</v>
      </c>
      <c r="F232" s="1" t="s">
        <v>653</v>
      </c>
      <c r="G232" s="1">
        <v>0.5</v>
      </c>
      <c r="H232" s="1" t="s">
        <v>60</v>
      </c>
      <c r="I232" s="1">
        <v>-218.0</v>
      </c>
      <c r="J232" s="1">
        <v>-0.176862827806603</v>
      </c>
      <c r="K232" s="1" t="s">
        <v>61</v>
      </c>
      <c r="L232" s="1" t="s">
        <v>61</v>
      </c>
      <c r="M232" s="1" t="s">
        <v>62</v>
      </c>
      <c r="N232" s="1">
        <v>164.0</v>
      </c>
      <c r="O232" s="1">
        <v>0.112546133494318</v>
      </c>
      <c r="P232" s="1" t="s">
        <v>61</v>
      </c>
      <c r="Q232" s="1" t="s">
        <v>61</v>
      </c>
      <c r="R232" s="1">
        <f t="shared" si="1"/>
        <v>0.1125461335</v>
      </c>
      <c r="S232" s="1">
        <f t="shared" si="2"/>
        <v>164</v>
      </c>
      <c r="T232" s="1">
        <f t="shared" si="3"/>
        <v>2.64</v>
      </c>
      <c r="U232" s="1">
        <f t="shared" si="4"/>
        <v>0</v>
      </c>
      <c r="V232" s="3">
        <f t="shared" si="5"/>
        <v>3</v>
      </c>
      <c r="W232" s="3">
        <f t="shared" si="6"/>
        <v>1</v>
      </c>
      <c r="X232" s="3" t="str">
        <f>IFERROR(__xludf.DUMMYFUNCTION("split(B232,"" "")"),"T.")</f>
        <v>T.</v>
      </c>
      <c r="Y232" s="3" t="str">
        <f>IFERROR(__xludf.DUMMYFUNCTION("""COMPUTED_VALUE"""),"Chandler")</f>
        <v>Chandler</v>
      </c>
      <c r="AA232" s="8">
        <v>0.0</v>
      </c>
      <c r="AB232" s="3">
        <f t="shared" si="7"/>
        <v>0</v>
      </c>
      <c r="AC232" s="3">
        <f t="shared" si="8"/>
        <v>1</v>
      </c>
      <c r="AD232" s="3">
        <f t="shared" si="9"/>
        <v>4.92</v>
      </c>
      <c r="AE232" s="3">
        <f t="shared" si="10"/>
        <v>4.92</v>
      </c>
      <c r="AF232" s="3">
        <f t="shared" si="11"/>
        <v>1.64</v>
      </c>
      <c r="AG232" s="3">
        <f t="shared" si="12"/>
        <v>1</v>
      </c>
    </row>
    <row r="233">
      <c r="A233" s="1" t="s">
        <v>11</v>
      </c>
      <c r="B233" s="1" t="s">
        <v>377</v>
      </c>
      <c r="C233" s="1" t="s">
        <v>19</v>
      </c>
      <c r="D233" s="1" t="s">
        <v>146</v>
      </c>
      <c r="E233" s="1" t="s">
        <v>196</v>
      </c>
      <c r="F233" s="1" t="s">
        <v>653</v>
      </c>
      <c r="G233" s="1">
        <v>3.5</v>
      </c>
      <c r="H233" s="1" t="s">
        <v>60</v>
      </c>
      <c r="I233" s="1">
        <v>-119.0</v>
      </c>
      <c r="J233" s="1">
        <v>0.0999492439353183</v>
      </c>
      <c r="K233" s="1" t="s">
        <v>61</v>
      </c>
      <c r="L233" s="1" t="s">
        <v>61</v>
      </c>
      <c r="M233" s="1" t="s">
        <v>62</v>
      </c>
      <c r="N233" s="1">
        <v>-109.0</v>
      </c>
      <c r="O233" s="1">
        <v>-0.164820708228707</v>
      </c>
      <c r="P233" s="1" t="s">
        <v>61</v>
      </c>
      <c r="Q233" s="1" t="s">
        <v>61</v>
      </c>
      <c r="R233" s="1">
        <f t="shared" si="1"/>
        <v>0.09994924394</v>
      </c>
      <c r="S233" s="1">
        <f t="shared" si="2"/>
        <v>-119</v>
      </c>
      <c r="T233" s="1">
        <f t="shared" si="3"/>
        <v>1.840336134</v>
      </c>
      <c r="U233" s="1">
        <f t="shared" si="4"/>
        <v>1</v>
      </c>
      <c r="V233" s="3">
        <f t="shared" si="5"/>
        <v>2</v>
      </c>
      <c r="W233" s="3">
        <f t="shared" si="6"/>
        <v>3</v>
      </c>
      <c r="X233" s="3" t="str">
        <f>IFERROR(__xludf.DUMMYFUNCTION("split(B233,"" "")"),"T.")</f>
        <v>T.</v>
      </c>
      <c r="Y233" s="3" t="str">
        <f>IFERROR(__xludf.DUMMYFUNCTION("""COMPUTED_VALUE"""),"Chandler")</f>
        <v>Chandler</v>
      </c>
      <c r="AA233" s="8">
        <v>0.0</v>
      </c>
      <c r="AB233" s="3">
        <f t="shared" si="7"/>
        <v>0</v>
      </c>
      <c r="AC233" s="3">
        <f t="shared" si="8"/>
        <v>0</v>
      </c>
      <c r="AD233" s="3">
        <f t="shared" si="9"/>
        <v>1.680672269</v>
      </c>
      <c r="AE233" s="3">
        <f t="shared" si="10"/>
        <v>-2</v>
      </c>
      <c r="AF233" s="3">
        <f t="shared" si="11"/>
        <v>-3</v>
      </c>
      <c r="AG233" s="3">
        <f t="shared" si="12"/>
        <v>-1</v>
      </c>
    </row>
    <row r="234">
      <c r="A234" s="1" t="s">
        <v>14</v>
      </c>
      <c r="B234" s="1" t="s">
        <v>145</v>
      </c>
      <c r="C234" s="1" t="s">
        <v>21</v>
      </c>
      <c r="D234" s="1" t="s">
        <v>146</v>
      </c>
      <c r="E234" s="1" t="s">
        <v>196</v>
      </c>
      <c r="F234" s="1" t="s">
        <v>653</v>
      </c>
      <c r="G234" s="1">
        <v>1.5</v>
      </c>
      <c r="H234" s="1" t="s">
        <v>60</v>
      </c>
      <c r="I234" s="1">
        <v>-134.0</v>
      </c>
      <c r="J234" s="1">
        <v>-0.153106837606837</v>
      </c>
      <c r="K234" s="1" t="s">
        <v>61</v>
      </c>
      <c r="L234" s="1" t="s">
        <v>61</v>
      </c>
      <c r="M234" s="1" t="s">
        <v>62</v>
      </c>
      <c r="N234" s="1">
        <v>102.0</v>
      </c>
      <c r="O234" s="1">
        <v>0.0854009900990099</v>
      </c>
      <c r="P234" s="1" t="s">
        <v>61</v>
      </c>
      <c r="Q234" s="1" t="s">
        <v>61</v>
      </c>
      <c r="R234" s="1">
        <f t="shared" si="1"/>
        <v>0.0854009901</v>
      </c>
      <c r="S234" s="1">
        <f t="shared" si="2"/>
        <v>102</v>
      </c>
      <c r="T234" s="1">
        <f t="shared" si="3"/>
        <v>2.02</v>
      </c>
      <c r="U234" s="1">
        <f t="shared" si="4"/>
        <v>0</v>
      </c>
      <c r="V234" s="3">
        <f t="shared" si="5"/>
        <v>2</v>
      </c>
      <c r="W234" s="3">
        <f t="shared" si="6"/>
        <v>2</v>
      </c>
      <c r="X234" s="3" t="str">
        <f>IFERROR(__xludf.DUMMYFUNCTION("split(B234,"" "")"),"S.")</f>
        <v>S.</v>
      </c>
      <c r="Y234" s="3" t="str">
        <f>IFERROR(__xludf.DUMMYFUNCTION("""COMPUTED_VALUE"""),"Darnold")</f>
        <v>Darnold</v>
      </c>
      <c r="AA234" s="8">
        <v>2.0</v>
      </c>
      <c r="AB234" s="3">
        <f t="shared" si="7"/>
        <v>1</v>
      </c>
      <c r="AC234" s="3">
        <f t="shared" si="8"/>
        <v>0</v>
      </c>
      <c r="AD234" s="3">
        <f t="shared" si="9"/>
        <v>2.04</v>
      </c>
      <c r="AE234" s="3">
        <f t="shared" si="10"/>
        <v>-2</v>
      </c>
      <c r="AF234" s="3">
        <f t="shared" si="11"/>
        <v>-2</v>
      </c>
      <c r="AG234" s="3">
        <f t="shared" si="12"/>
        <v>-0.3333333333</v>
      </c>
    </row>
    <row r="235">
      <c r="A235" s="1" t="s">
        <v>12</v>
      </c>
      <c r="B235" s="1" t="s">
        <v>549</v>
      </c>
      <c r="C235" s="1" t="s">
        <v>18</v>
      </c>
      <c r="D235" s="1" t="s">
        <v>146</v>
      </c>
      <c r="E235" s="1" t="s">
        <v>196</v>
      </c>
      <c r="F235" s="1" t="s">
        <v>653</v>
      </c>
      <c r="G235" s="1">
        <v>2.5</v>
      </c>
      <c r="H235" s="1" t="s">
        <v>60</v>
      </c>
      <c r="I235" s="1">
        <v>135.0</v>
      </c>
      <c r="J235" s="1">
        <v>-0.146627303523404</v>
      </c>
      <c r="K235" s="1" t="s">
        <v>61</v>
      </c>
      <c r="L235" s="1" t="s">
        <v>61</v>
      </c>
      <c r="M235" s="1" t="s">
        <v>62</v>
      </c>
      <c r="N235" s="1">
        <v>-178.0</v>
      </c>
      <c r="O235" s="1">
        <v>0.0808070904978417</v>
      </c>
      <c r="P235" s="1" t="s">
        <v>61</v>
      </c>
      <c r="Q235" s="1" t="s">
        <v>61</v>
      </c>
      <c r="R235" s="1">
        <f t="shared" si="1"/>
        <v>0.0808070905</v>
      </c>
      <c r="S235" s="1">
        <f t="shared" si="2"/>
        <v>-178</v>
      </c>
      <c r="T235" s="1">
        <f t="shared" si="3"/>
        <v>1.561797753</v>
      </c>
      <c r="U235" s="1">
        <f t="shared" si="4"/>
        <v>0</v>
      </c>
      <c r="V235" s="3">
        <f t="shared" si="5"/>
        <v>2</v>
      </c>
      <c r="W235" s="3">
        <f t="shared" si="6"/>
        <v>3</v>
      </c>
      <c r="X235" s="3" t="str">
        <f>IFERROR(__xludf.DUMMYFUNCTION("split(B235,"" "")"),"J.")</f>
        <v>J.</v>
      </c>
      <c r="Y235" s="3" t="str">
        <f>IFERROR(__xludf.DUMMYFUNCTION("""COMPUTED_VALUE"""),"Nailor")</f>
        <v>Nailor</v>
      </c>
      <c r="AA235" s="8">
        <v>2.0</v>
      </c>
      <c r="AB235" s="3">
        <f t="shared" si="7"/>
        <v>0</v>
      </c>
      <c r="AC235" s="3">
        <f t="shared" si="8"/>
        <v>1</v>
      </c>
      <c r="AD235" s="3">
        <f t="shared" si="9"/>
        <v>1.123595506</v>
      </c>
      <c r="AE235" s="3">
        <f t="shared" si="10"/>
        <v>1.123595506</v>
      </c>
      <c r="AF235" s="3">
        <f t="shared" si="11"/>
        <v>1.685393258</v>
      </c>
      <c r="AG235" s="3">
        <f t="shared" si="12"/>
        <v>0.2</v>
      </c>
    </row>
    <row r="236">
      <c r="A236" s="1" t="s">
        <v>10</v>
      </c>
      <c r="B236" s="1" t="s">
        <v>379</v>
      </c>
      <c r="C236" s="1" t="s">
        <v>18</v>
      </c>
      <c r="D236" s="1" t="s">
        <v>146</v>
      </c>
      <c r="E236" s="1" t="s">
        <v>196</v>
      </c>
      <c r="F236" s="1" t="s">
        <v>653</v>
      </c>
      <c r="G236" s="1">
        <v>0.5</v>
      </c>
      <c r="H236" s="1" t="s">
        <v>60</v>
      </c>
      <c r="I236" s="1">
        <v>-115.0</v>
      </c>
      <c r="J236" s="1">
        <v>0.0780548124101785</v>
      </c>
      <c r="K236" s="1" t="s">
        <v>61</v>
      </c>
      <c r="L236" s="1" t="s">
        <v>61</v>
      </c>
      <c r="M236" s="1" t="s">
        <v>62</v>
      </c>
      <c r="N236" s="1">
        <v>-115.0</v>
      </c>
      <c r="O236" s="1">
        <v>-0.147783034271705</v>
      </c>
      <c r="P236" s="1" t="s">
        <v>61</v>
      </c>
      <c r="Q236" s="1" t="s">
        <v>61</v>
      </c>
      <c r="R236" s="1">
        <f t="shared" si="1"/>
        <v>0.07805481241</v>
      </c>
      <c r="S236" s="1">
        <f t="shared" si="2"/>
        <v>-115</v>
      </c>
      <c r="T236" s="1">
        <f t="shared" si="3"/>
        <v>1.869565217</v>
      </c>
      <c r="U236" s="1">
        <f t="shared" si="4"/>
        <v>1</v>
      </c>
      <c r="V236" s="3">
        <f t="shared" si="5"/>
        <v>2</v>
      </c>
      <c r="W236" s="3">
        <f t="shared" si="6"/>
        <v>2</v>
      </c>
      <c r="X236" s="3" t="str">
        <f>IFERROR(__xludf.DUMMYFUNCTION("split(B236,"" "")"),"J.")</f>
        <v>J.</v>
      </c>
      <c r="Y236" s="3" t="str">
        <f>IFERROR(__xludf.DUMMYFUNCTION("""COMPUTED_VALUE"""),"Jefferson")</f>
        <v>Jefferson</v>
      </c>
      <c r="AA236" s="8">
        <v>0.0</v>
      </c>
      <c r="AB236" s="3">
        <f t="shared" si="7"/>
        <v>0</v>
      </c>
      <c r="AC236" s="3">
        <f t="shared" si="8"/>
        <v>0</v>
      </c>
      <c r="AD236" s="3">
        <f t="shared" si="9"/>
        <v>1.739130435</v>
      </c>
      <c r="AE236" s="3">
        <f t="shared" si="10"/>
        <v>-2</v>
      </c>
      <c r="AF236" s="3">
        <f t="shared" si="11"/>
        <v>-2</v>
      </c>
      <c r="AG236" s="3">
        <f t="shared" si="12"/>
        <v>-1</v>
      </c>
    </row>
    <row r="237">
      <c r="A237" s="1" t="s">
        <v>12</v>
      </c>
      <c r="B237" s="1" t="s">
        <v>304</v>
      </c>
      <c r="C237" s="1" t="s">
        <v>19</v>
      </c>
      <c r="D237" s="1" t="s">
        <v>146</v>
      </c>
      <c r="E237" s="1" t="s">
        <v>196</v>
      </c>
      <c r="F237" s="1" t="s">
        <v>653</v>
      </c>
      <c r="G237" s="1">
        <v>3.5</v>
      </c>
      <c r="H237" s="1" t="s">
        <v>60</v>
      </c>
      <c r="I237" s="1">
        <v>111.0</v>
      </c>
      <c r="J237" s="1">
        <v>-0.143981042654028</v>
      </c>
      <c r="K237" s="1" t="s">
        <v>61</v>
      </c>
      <c r="L237" s="1" t="s">
        <v>61</v>
      </c>
      <c r="M237" s="1" t="s">
        <v>62</v>
      </c>
      <c r="N237" s="1">
        <v>-147.0</v>
      </c>
      <c r="O237" s="1">
        <v>0.074898785425101</v>
      </c>
      <c r="P237" s="1" t="s">
        <v>61</v>
      </c>
      <c r="Q237" s="1" t="s">
        <v>61</v>
      </c>
      <c r="R237" s="1">
        <f t="shared" si="1"/>
        <v>0.07489878543</v>
      </c>
      <c r="S237" s="1">
        <f t="shared" si="2"/>
        <v>-147</v>
      </c>
      <c r="T237" s="1">
        <f t="shared" si="3"/>
        <v>1.680272109</v>
      </c>
      <c r="U237" s="1">
        <f t="shared" si="4"/>
        <v>0</v>
      </c>
      <c r="V237" s="3">
        <f t="shared" si="5"/>
        <v>2</v>
      </c>
      <c r="W237" s="3">
        <f t="shared" si="6"/>
        <v>3</v>
      </c>
      <c r="X237" s="3" t="str">
        <f>IFERROR(__xludf.DUMMYFUNCTION("split(B237,"" "")"),"A.")</f>
        <v>A.</v>
      </c>
      <c r="Y237" s="3" t="str">
        <f>IFERROR(__xludf.DUMMYFUNCTION("""COMPUTED_VALUE"""),"Jones")</f>
        <v>Jones</v>
      </c>
      <c r="AA237" s="8">
        <v>2.0</v>
      </c>
      <c r="AB237" s="3">
        <f t="shared" si="7"/>
        <v>0</v>
      </c>
      <c r="AC237" s="3">
        <f t="shared" si="8"/>
        <v>1</v>
      </c>
      <c r="AD237" s="3">
        <f t="shared" si="9"/>
        <v>1.360544218</v>
      </c>
      <c r="AE237" s="3">
        <f t="shared" si="10"/>
        <v>1.360544218</v>
      </c>
      <c r="AF237" s="3">
        <f t="shared" si="11"/>
        <v>2.040816327</v>
      </c>
      <c r="AG237" s="3">
        <f t="shared" si="12"/>
        <v>0.4285714286</v>
      </c>
    </row>
    <row r="238">
      <c r="A238" s="1" t="s">
        <v>9</v>
      </c>
      <c r="B238" s="1" t="s">
        <v>304</v>
      </c>
      <c r="C238" s="1" t="s">
        <v>19</v>
      </c>
      <c r="D238" s="1" t="s">
        <v>146</v>
      </c>
      <c r="E238" s="1" t="s">
        <v>196</v>
      </c>
      <c r="F238" s="1" t="s">
        <v>653</v>
      </c>
      <c r="G238" s="1">
        <v>99.5</v>
      </c>
      <c r="H238" s="1" t="s">
        <v>60</v>
      </c>
      <c r="I238" s="1">
        <v>-123.0</v>
      </c>
      <c r="J238" s="1">
        <v>-0.147956401297365</v>
      </c>
      <c r="K238" s="1" t="s">
        <v>61</v>
      </c>
      <c r="L238" s="1" t="s">
        <v>61</v>
      </c>
      <c r="M238" s="1" t="s">
        <v>62</v>
      </c>
      <c r="N238" s="1">
        <v>-110.0</v>
      </c>
      <c r="O238" s="1">
        <v>0.0725242048381613</v>
      </c>
      <c r="P238" s="1" t="s">
        <v>61</v>
      </c>
      <c r="Q238" s="1" t="s">
        <v>61</v>
      </c>
      <c r="R238" s="1">
        <f t="shared" si="1"/>
        <v>0.07252420484</v>
      </c>
      <c r="S238" s="1">
        <f t="shared" si="2"/>
        <v>-110</v>
      </c>
      <c r="T238" s="1">
        <f t="shared" si="3"/>
        <v>1.909090909</v>
      </c>
      <c r="U238" s="1">
        <f t="shared" si="4"/>
        <v>0</v>
      </c>
      <c r="V238" s="3">
        <f t="shared" si="5"/>
        <v>2</v>
      </c>
      <c r="W238" s="3">
        <f t="shared" si="6"/>
        <v>2</v>
      </c>
      <c r="X238" s="3" t="str">
        <f>IFERROR(__xludf.DUMMYFUNCTION("split(B238,"" "")"),"A.")</f>
        <v>A.</v>
      </c>
      <c r="Y238" s="3" t="str">
        <f>IFERROR(__xludf.DUMMYFUNCTION("""COMPUTED_VALUE"""),"Jones")</f>
        <v>Jones</v>
      </c>
      <c r="AA238" s="8">
        <v>95.0</v>
      </c>
      <c r="AB238" s="3">
        <f t="shared" si="7"/>
        <v>0</v>
      </c>
      <c r="AC238" s="3">
        <f t="shared" si="8"/>
        <v>1</v>
      </c>
      <c r="AD238" s="3">
        <f t="shared" si="9"/>
        <v>1.818181818</v>
      </c>
      <c r="AE238" s="3">
        <f t="shared" si="10"/>
        <v>1.818181818</v>
      </c>
      <c r="AF238" s="3">
        <f t="shared" si="11"/>
        <v>1.818181818</v>
      </c>
      <c r="AG238" s="3">
        <f t="shared" si="12"/>
        <v>0.04522613065</v>
      </c>
    </row>
    <row r="239">
      <c r="A239" s="1" t="s">
        <v>10</v>
      </c>
      <c r="B239" s="1" t="s">
        <v>304</v>
      </c>
      <c r="C239" s="1" t="s">
        <v>19</v>
      </c>
      <c r="D239" s="1" t="s">
        <v>146</v>
      </c>
      <c r="E239" s="1" t="s">
        <v>196</v>
      </c>
      <c r="F239" s="1" t="s">
        <v>653</v>
      </c>
      <c r="G239" s="1">
        <v>71.5</v>
      </c>
      <c r="H239" s="1" t="s">
        <v>60</v>
      </c>
      <c r="I239" s="1">
        <v>-121.0</v>
      </c>
      <c r="J239" s="1">
        <v>-0.131399719306955</v>
      </c>
      <c r="K239" s="1" t="s">
        <v>61</v>
      </c>
      <c r="L239" s="1" t="s">
        <v>61</v>
      </c>
      <c r="M239" s="1" t="s">
        <v>62</v>
      </c>
      <c r="N239" s="1">
        <v>-106.0</v>
      </c>
      <c r="O239" s="1">
        <v>0.0693362358894202</v>
      </c>
      <c r="P239" s="1" t="s">
        <v>61</v>
      </c>
      <c r="Q239" s="1" t="s">
        <v>61</v>
      </c>
      <c r="R239" s="1">
        <f t="shared" si="1"/>
        <v>0.06933623589</v>
      </c>
      <c r="S239" s="1">
        <f t="shared" si="2"/>
        <v>-106</v>
      </c>
      <c r="T239" s="1">
        <f t="shared" si="3"/>
        <v>1.943396226</v>
      </c>
      <c r="U239" s="1">
        <f t="shared" si="4"/>
        <v>0</v>
      </c>
      <c r="V239" s="3">
        <f t="shared" si="5"/>
        <v>2</v>
      </c>
      <c r="W239" s="3">
        <f t="shared" si="6"/>
        <v>2</v>
      </c>
      <c r="X239" s="3" t="str">
        <f>IFERROR(__xludf.DUMMYFUNCTION("split(B239,"" "")"),"A.")</f>
        <v>A.</v>
      </c>
      <c r="Y239" s="3" t="str">
        <f>IFERROR(__xludf.DUMMYFUNCTION("""COMPUTED_VALUE"""),"Jones")</f>
        <v>Jones</v>
      </c>
      <c r="AA239" s="8">
        <v>58.0</v>
      </c>
      <c r="AB239" s="3">
        <f t="shared" si="7"/>
        <v>0</v>
      </c>
      <c r="AC239" s="3">
        <f t="shared" si="8"/>
        <v>1</v>
      </c>
      <c r="AD239" s="3">
        <f t="shared" si="9"/>
        <v>1.886792453</v>
      </c>
      <c r="AE239" s="3">
        <f t="shared" si="10"/>
        <v>1.886792453</v>
      </c>
      <c r="AF239" s="3">
        <f t="shared" si="11"/>
        <v>1.886792453</v>
      </c>
      <c r="AG239" s="3">
        <f t="shared" si="12"/>
        <v>0.1888111888</v>
      </c>
    </row>
    <row r="240">
      <c r="A240" s="1" t="s">
        <v>12</v>
      </c>
      <c r="B240" s="1" t="s">
        <v>654</v>
      </c>
      <c r="C240" s="1" t="s">
        <v>20</v>
      </c>
      <c r="D240" s="1" t="s">
        <v>146</v>
      </c>
      <c r="E240" s="1" t="s">
        <v>196</v>
      </c>
      <c r="F240" s="1" t="s">
        <v>653</v>
      </c>
      <c r="G240" s="1">
        <v>2.5</v>
      </c>
      <c r="H240" s="1" t="s">
        <v>60</v>
      </c>
      <c r="I240" s="1">
        <v>-120.0</v>
      </c>
      <c r="J240" s="1">
        <v>-0.131796543363636</v>
      </c>
      <c r="K240" s="1" t="s">
        <v>61</v>
      </c>
      <c r="L240" s="1" t="s">
        <v>61</v>
      </c>
      <c r="M240" s="1" t="s">
        <v>62</v>
      </c>
      <c r="N240" s="1">
        <v>-109.0</v>
      </c>
      <c r="O240" s="1">
        <v>0.0648170865961723</v>
      </c>
      <c r="P240" s="1" t="s">
        <v>61</v>
      </c>
      <c r="Q240" s="1" t="s">
        <v>61</v>
      </c>
      <c r="R240" s="1">
        <f t="shared" si="1"/>
        <v>0.0648170866</v>
      </c>
      <c r="S240" s="1">
        <f t="shared" si="2"/>
        <v>-109</v>
      </c>
      <c r="T240" s="1">
        <f t="shared" si="3"/>
        <v>1.917431193</v>
      </c>
      <c r="U240" s="1">
        <f t="shared" si="4"/>
        <v>0</v>
      </c>
      <c r="V240" s="3">
        <f t="shared" si="5"/>
        <v>2</v>
      </c>
      <c r="W240" s="3">
        <f t="shared" si="6"/>
        <v>2</v>
      </c>
      <c r="X240" s="3" t="str">
        <f>IFERROR(__xludf.DUMMYFUNCTION("split(B240,"" "")"),"T.")</f>
        <v>T.</v>
      </c>
      <c r="Y240" s="3" t="str">
        <f>IFERROR(__xludf.DUMMYFUNCTION("""COMPUTED_VALUE"""),"Hockenson")</f>
        <v>Hockenson</v>
      </c>
      <c r="AA240" s="8">
        <v>0.0</v>
      </c>
      <c r="AB240" s="3">
        <f t="shared" si="7"/>
        <v>0</v>
      </c>
      <c r="AC240" s="3">
        <f t="shared" si="8"/>
        <v>1</v>
      </c>
      <c r="AD240" s="3">
        <f t="shared" si="9"/>
        <v>1.834862385</v>
      </c>
      <c r="AE240" s="3">
        <f t="shared" si="10"/>
        <v>1.834862385</v>
      </c>
      <c r="AF240" s="3">
        <f t="shared" si="11"/>
        <v>1.834862385</v>
      </c>
      <c r="AG240" s="3">
        <f t="shared" si="12"/>
        <v>1</v>
      </c>
    </row>
    <row r="241">
      <c r="A241" s="1" t="s">
        <v>10</v>
      </c>
      <c r="B241" s="1" t="s">
        <v>145</v>
      </c>
      <c r="C241" s="1" t="s">
        <v>21</v>
      </c>
      <c r="D241" s="1" t="s">
        <v>146</v>
      </c>
      <c r="E241" s="1" t="s">
        <v>196</v>
      </c>
      <c r="F241" s="1" t="s">
        <v>653</v>
      </c>
      <c r="G241" s="1">
        <v>14.5</v>
      </c>
      <c r="H241" s="1" t="s">
        <v>60</v>
      </c>
      <c r="I241" s="1">
        <v>-115.0</v>
      </c>
      <c r="J241" s="1">
        <v>-0.115632898128532</v>
      </c>
      <c r="K241" s="1" t="s">
        <v>61</v>
      </c>
      <c r="L241" s="1" t="s">
        <v>61</v>
      </c>
      <c r="M241" s="1" t="s">
        <v>62</v>
      </c>
      <c r="N241" s="1">
        <v>-113.0</v>
      </c>
      <c r="O241" s="1">
        <v>0.0502115380297045</v>
      </c>
      <c r="P241" s="1" t="s">
        <v>61</v>
      </c>
      <c r="Q241" s="1" t="s">
        <v>61</v>
      </c>
      <c r="R241" s="1">
        <f t="shared" si="1"/>
        <v>0.05021153803</v>
      </c>
      <c r="S241" s="1">
        <f t="shared" si="2"/>
        <v>-113</v>
      </c>
      <c r="T241" s="1">
        <f t="shared" si="3"/>
        <v>1.884955752</v>
      </c>
      <c r="U241" s="1">
        <f t="shared" si="4"/>
        <v>0</v>
      </c>
      <c r="V241" s="3">
        <f t="shared" si="5"/>
        <v>2</v>
      </c>
      <c r="W241" s="3">
        <f t="shared" si="6"/>
        <v>2</v>
      </c>
      <c r="X241" s="3" t="str">
        <f>IFERROR(__xludf.DUMMYFUNCTION("split(B241,"" "")"),"S.")</f>
        <v>S.</v>
      </c>
      <c r="Y241" s="3" t="str">
        <f>IFERROR(__xludf.DUMMYFUNCTION("""COMPUTED_VALUE"""),"Darnold")</f>
        <v>Darnold</v>
      </c>
      <c r="AA241" s="8">
        <v>6.0</v>
      </c>
      <c r="AB241" s="3">
        <f t="shared" si="7"/>
        <v>0</v>
      </c>
      <c r="AC241" s="3">
        <f t="shared" si="8"/>
        <v>1</v>
      </c>
      <c r="AD241" s="3">
        <f t="shared" si="9"/>
        <v>1.769911504</v>
      </c>
      <c r="AE241" s="3">
        <f t="shared" si="10"/>
        <v>1.769911504</v>
      </c>
      <c r="AF241" s="3">
        <f t="shared" si="11"/>
        <v>1.769911504</v>
      </c>
      <c r="AG241" s="3">
        <f t="shared" si="12"/>
        <v>0.5862068966</v>
      </c>
    </row>
    <row r="242">
      <c r="A242" s="1" t="s">
        <v>11</v>
      </c>
      <c r="B242" s="1" t="s">
        <v>549</v>
      </c>
      <c r="C242" s="1" t="s">
        <v>18</v>
      </c>
      <c r="D242" s="1" t="s">
        <v>146</v>
      </c>
      <c r="E242" s="1" t="s">
        <v>196</v>
      </c>
      <c r="F242" s="1" t="s">
        <v>653</v>
      </c>
      <c r="G242" s="1">
        <v>26.5</v>
      </c>
      <c r="H242" s="1" t="s">
        <v>60</v>
      </c>
      <c r="I242" s="1">
        <v>-113.0</v>
      </c>
      <c r="J242" s="1">
        <v>-0.115071956787028</v>
      </c>
      <c r="K242" s="1" t="s">
        <v>61</v>
      </c>
      <c r="L242" s="1" t="s">
        <v>61</v>
      </c>
      <c r="M242" s="1" t="s">
        <v>62</v>
      </c>
      <c r="N242" s="1">
        <v>-116.0</v>
      </c>
      <c r="O242" s="1">
        <v>0.0475696439024949</v>
      </c>
      <c r="P242" s="1" t="s">
        <v>61</v>
      </c>
      <c r="Q242" s="1" t="s">
        <v>61</v>
      </c>
      <c r="R242" s="1">
        <f t="shared" si="1"/>
        <v>0.0475696439</v>
      </c>
      <c r="S242" s="1">
        <f t="shared" si="2"/>
        <v>-116</v>
      </c>
      <c r="T242" s="1">
        <f t="shared" si="3"/>
        <v>1.862068966</v>
      </c>
      <c r="U242" s="1">
        <f t="shared" si="4"/>
        <v>0</v>
      </c>
      <c r="V242" s="3">
        <f t="shared" si="5"/>
        <v>1</v>
      </c>
      <c r="W242" s="3">
        <f t="shared" si="6"/>
        <v>2</v>
      </c>
      <c r="X242" s="3" t="str">
        <f>IFERROR(__xludf.DUMMYFUNCTION("split(B242,"" "")"),"J.")</f>
        <v>J.</v>
      </c>
      <c r="Y242" s="3" t="str">
        <f>IFERROR(__xludf.DUMMYFUNCTION("""COMPUTED_VALUE"""),"Nailor")</f>
        <v>Nailor</v>
      </c>
      <c r="AA242" s="8">
        <v>16.0</v>
      </c>
      <c r="AB242" s="3">
        <f t="shared" si="7"/>
        <v>0</v>
      </c>
      <c r="AC242" s="3">
        <f t="shared" si="8"/>
        <v>1</v>
      </c>
      <c r="AD242" s="3">
        <f t="shared" si="9"/>
        <v>0.8620689655</v>
      </c>
      <c r="AE242" s="3">
        <f t="shared" si="10"/>
        <v>0.8620689655</v>
      </c>
      <c r="AF242" s="3">
        <f t="shared" si="11"/>
        <v>1.724137931</v>
      </c>
      <c r="AG242" s="3">
        <f t="shared" si="12"/>
        <v>0.3962264151</v>
      </c>
    </row>
    <row r="243">
      <c r="A243" s="1" t="s">
        <v>11</v>
      </c>
      <c r="B243" s="1" t="s">
        <v>304</v>
      </c>
      <c r="C243" s="1" t="s">
        <v>19</v>
      </c>
      <c r="D243" s="1" t="s">
        <v>146</v>
      </c>
      <c r="E243" s="1" t="s">
        <v>196</v>
      </c>
      <c r="F243" s="1" t="s">
        <v>653</v>
      </c>
      <c r="G243" s="1">
        <v>24.5</v>
      </c>
      <c r="H243" s="1" t="s">
        <v>60</v>
      </c>
      <c r="I243" s="1">
        <v>-113.0</v>
      </c>
      <c r="J243" s="1">
        <v>-0.102487003075596</v>
      </c>
      <c r="K243" s="1" t="s">
        <v>61</v>
      </c>
      <c r="L243" s="1" t="s">
        <v>61</v>
      </c>
      <c r="M243" s="1" t="s">
        <v>62</v>
      </c>
      <c r="N243" s="1">
        <v>-113.0</v>
      </c>
      <c r="O243" s="1">
        <v>0.0414763134754238</v>
      </c>
      <c r="P243" s="1" t="s">
        <v>61</v>
      </c>
      <c r="Q243" s="1" t="s">
        <v>61</v>
      </c>
      <c r="R243" s="1">
        <f t="shared" si="1"/>
        <v>0.04147631348</v>
      </c>
      <c r="S243" s="1">
        <f t="shared" si="2"/>
        <v>-113</v>
      </c>
      <c r="T243" s="1">
        <f t="shared" si="3"/>
        <v>1.884955752</v>
      </c>
      <c r="U243" s="1">
        <f t="shared" si="4"/>
        <v>0</v>
      </c>
      <c r="V243" s="3">
        <f t="shared" si="5"/>
        <v>1</v>
      </c>
      <c r="W243" s="3">
        <f t="shared" si="6"/>
        <v>2</v>
      </c>
      <c r="X243" s="3" t="str">
        <f>IFERROR(__xludf.DUMMYFUNCTION("split(B243,"" "")"),"A.")</f>
        <v>A.</v>
      </c>
      <c r="Y243" s="3" t="str">
        <f>IFERROR(__xludf.DUMMYFUNCTION("""COMPUTED_VALUE"""),"Jones")</f>
        <v>Jones</v>
      </c>
      <c r="AA243" s="8">
        <v>37.0</v>
      </c>
      <c r="AB243" s="3">
        <f t="shared" si="7"/>
        <v>1</v>
      </c>
      <c r="AC243" s="3">
        <f t="shared" si="8"/>
        <v>0</v>
      </c>
      <c r="AD243" s="3">
        <f t="shared" si="9"/>
        <v>0.8849557522</v>
      </c>
      <c r="AE243" s="3">
        <f t="shared" si="10"/>
        <v>-1</v>
      </c>
      <c r="AF243" s="3">
        <f t="shared" si="11"/>
        <v>-2</v>
      </c>
      <c r="AG243" s="3">
        <f t="shared" si="12"/>
        <v>-0.5102040816</v>
      </c>
    </row>
    <row r="244">
      <c r="A244" s="1" t="s">
        <v>15</v>
      </c>
      <c r="B244" s="1" t="s">
        <v>145</v>
      </c>
      <c r="C244" s="1" t="s">
        <v>21</v>
      </c>
      <c r="D244" s="1" t="s">
        <v>146</v>
      </c>
      <c r="E244" s="1" t="s">
        <v>196</v>
      </c>
      <c r="F244" s="1" t="s">
        <v>653</v>
      </c>
      <c r="G244" s="1">
        <v>21.5</v>
      </c>
      <c r="H244" s="1" t="s">
        <v>60</v>
      </c>
      <c r="I244" s="1">
        <v>-102.0</v>
      </c>
      <c r="J244" s="1">
        <v>0.0275009900990099</v>
      </c>
      <c r="K244" s="1" t="s">
        <v>61</v>
      </c>
      <c r="L244" s="1" t="s">
        <v>61</v>
      </c>
      <c r="M244" s="1" t="s">
        <v>62</v>
      </c>
      <c r="N244" s="1">
        <v>-130.0</v>
      </c>
      <c r="O244" s="1">
        <v>-0.0976478260869566</v>
      </c>
      <c r="P244" s="1" t="s">
        <v>61</v>
      </c>
      <c r="Q244" s="1" t="s">
        <v>61</v>
      </c>
      <c r="R244" s="1">
        <f t="shared" si="1"/>
        <v>0.0275009901</v>
      </c>
      <c r="S244" s="1">
        <f t="shared" si="2"/>
        <v>-102</v>
      </c>
      <c r="T244" s="1">
        <f t="shared" si="3"/>
        <v>1.980392157</v>
      </c>
      <c r="U244" s="1">
        <f t="shared" si="4"/>
        <v>1</v>
      </c>
      <c r="V244" s="3">
        <f t="shared" si="5"/>
        <v>1</v>
      </c>
      <c r="W244" s="3">
        <f t="shared" si="6"/>
        <v>2</v>
      </c>
      <c r="X244" s="3" t="str">
        <f>IFERROR(__xludf.DUMMYFUNCTION("split(B244,"" "")"),"S.")</f>
        <v>S.</v>
      </c>
      <c r="Y244" s="3" t="str">
        <f>IFERROR(__xludf.DUMMYFUNCTION("""COMPUTED_VALUE"""),"Darnold")</f>
        <v>Darnold</v>
      </c>
      <c r="AA244" s="8">
        <v>18.0</v>
      </c>
      <c r="AB244" s="3">
        <f t="shared" si="7"/>
        <v>0</v>
      </c>
      <c r="AC244" s="3">
        <f t="shared" si="8"/>
        <v>0</v>
      </c>
      <c r="AD244" s="3">
        <f t="shared" si="9"/>
        <v>0.9803921569</v>
      </c>
      <c r="AE244" s="3">
        <f t="shared" si="10"/>
        <v>-1</v>
      </c>
      <c r="AF244" s="3">
        <f t="shared" si="11"/>
        <v>-2</v>
      </c>
      <c r="AG244" s="3">
        <f t="shared" si="12"/>
        <v>-0.1627906977</v>
      </c>
    </row>
    <row r="245">
      <c r="A245" s="1" t="s">
        <v>9</v>
      </c>
      <c r="B245" s="1" t="s">
        <v>379</v>
      </c>
      <c r="C245" s="1" t="s">
        <v>18</v>
      </c>
      <c r="D245" s="1" t="s">
        <v>146</v>
      </c>
      <c r="E245" s="1" t="s">
        <v>196</v>
      </c>
      <c r="F245" s="1" t="s">
        <v>653</v>
      </c>
      <c r="G245" s="1">
        <v>89.5</v>
      </c>
      <c r="H245" s="1" t="s">
        <v>60</v>
      </c>
      <c r="I245" s="1">
        <v>-117.0</v>
      </c>
      <c r="J245" s="1">
        <v>-0.0994225318416781</v>
      </c>
      <c r="K245" s="1" t="s">
        <v>61</v>
      </c>
      <c r="L245" s="1" t="s">
        <v>61</v>
      </c>
      <c r="M245" s="1" t="s">
        <v>62</v>
      </c>
      <c r="N245" s="1">
        <v>-115.0</v>
      </c>
      <c r="O245" s="1">
        <v>0.0254398922464919</v>
      </c>
      <c r="P245" s="1" t="s">
        <v>61</v>
      </c>
      <c r="Q245" s="1" t="s">
        <v>61</v>
      </c>
      <c r="R245" s="1">
        <f t="shared" si="1"/>
        <v>0.02543989225</v>
      </c>
      <c r="S245" s="1">
        <f t="shared" si="2"/>
        <v>-115</v>
      </c>
      <c r="T245" s="1">
        <f t="shared" si="3"/>
        <v>1.869565217</v>
      </c>
      <c r="U245" s="1">
        <f t="shared" si="4"/>
        <v>0</v>
      </c>
      <c r="V245" s="3">
        <f t="shared" si="5"/>
        <v>1</v>
      </c>
      <c r="W245" s="3">
        <f t="shared" si="6"/>
        <v>2</v>
      </c>
      <c r="X245" s="3" t="str">
        <f>IFERROR(__xludf.DUMMYFUNCTION("split(B245,"" "")"),"J.")</f>
        <v>J.</v>
      </c>
      <c r="Y245" s="3" t="str">
        <f>IFERROR(__xludf.DUMMYFUNCTION("""COMPUTED_VALUE"""),"Jefferson")</f>
        <v>Jefferson</v>
      </c>
      <c r="AA245" s="8">
        <v>115.0</v>
      </c>
      <c r="AB245" s="3">
        <f t="shared" si="7"/>
        <v>1</v>
      </c>
      <c r="AC245" s="3">
        <f t="shared" si="8"/>
        <v>0</v>
      </c>
      <c r="AD245" s="3">
        <f t="shared" si="9"/>
        <v>0.8695652174</v>
      </c>
      <c r="AE245" s="3">
        <f t="shared" si="10"/>
        <v>-1</v>
      </c>
      <c r="AF245" s="3">
        <f t="shared" si="11"/>
        <v>-2</v>
      </c>
      <c r="AG245" s="3">
        <f t="shared" si="12"/>
        <v>-0.2849162011</v>
      </c>
    </row>
    <row r="246">
      <c r="A246" s="1" t="s">
        <v>8</v>
      </c>
      <c r="B246" s="1" t="s">
        <v>304</v>
      </c>
      <c r="C246" s="1" t="s">
        <v>19</v>
      </c>
      <c r="D246" s="1" t="s">
        <v>146</v>
      </c>
      <c r="E246" s="1" t="s">
        <v>196</v>
      </c>
      <c r="F246" s="1" t="s">
        <v>653</v>
      </c>
      <c r="G246" s="1">
        <v>16.5</v>
      </c>
      <c r="H246" s="1" t="s">
        <v>60</v>
      </c>
      <c r="I246" s="1">
        <v>-103.0</v>
      </c>
      <c r="J246" s="1">
        <v>-0.0919901033004926</v>
      </c>
      <c r="K246" s="1" t="s">
        <v>61</v>
      </c>
      <c r="L246" s="1" t="s">
        <v>61</v>
      </c>
      <c r="M246" s="1" t="s">
        <v>62</v>
      </c>
      <c r="N246" s="1">
        <v>-128.0</v>
      </c>
      <c r="O246" s="1">
        <v>0.0231835984280702</v>
      </c>
      <c r="P246" s="1" t="s">
        <v>61</v>
      </c>
      <c r="Q246" s="1" t="s">
        <v>61</v>
      </c>
      <c r="R246" s="1">
        <f t="shared" si="1"/>
        <v>0.02318359843</v>
      </c>
      <c r="S246" s="1">
        <f t="shared" si="2"/>
        <v>-128</v>
      </c>
      <c r="T246" s="1">
        <f t="shared" si="3"/>
        <v>1.78125</v>
      </c>
      <c r="U246" s="1">
        <f t="shared" si="4"/>
        <v>0</v>
      </c>
      <c r="V246" s="3">
        <f t="shared" si="5"/>
        <v>1</v>
      </c>
      <c r="W246" s="3">
        <f t="shared" si="6"/>
        <v>3</v>
      </c>
      <c r="X246" s="3" t="str">
        <f>IFERROR(__xludf.DUMMYFUNCTION("split(B246,"" "")"),"A.")</f>
        <v>A.</v>
      </c>
      <c r="Y246" s="3" t="str">
        <f>IFERROR(__xludf.DUMMYFUNCTION("""COMPUTED_VALUE"""),"Jones")</f>
        <v>Jones</v>
      </c>
      <c r="AA246" s="8">
        <v>19.0</v>
      </c>
      <c r="AB246" s="3">
        <f t="shared" si="7"/>
        <v>1</v>
      </c>
      <c r="AC246" s="3">
        <f t="shared" si="8"/>
        <v>0</v>
      </c>
      <c r="AD246" s="3">
        <f t="shared" si="9"/>
        <v>0.78125</v>
      </c>
      <c r="AE246" s="3">
        <f t="shared" si="10"/>
        <v>-1</v>
      </c>
      <c r="AF246" s="3">
        <f t="shared" si="11"/>
        <v>-3</v>
      </c>
      <c r="AG246" s="3">
        <f t="shared" si="12"/>
        <v>-0.1515151515</v>
      </c>
    </row>
    <row r="247">
      <c r="A247" s="1" t="s">
        <v>10</v>
      </c>
      <c r="B247" s="1" t="s">
        <v>377</v>
      </c>
      <c r="C247" s="1" t="s">
        <v>19</v>
      </c>
      <c r="D247" s="1" t="s">
        <v>146</v>
      </c>
      <c r="E247" s="1" t="s">
        <v>196</v>
      </c>
      <c r="F247" s="1" t="s">
        <v>653</v>
      </c>
      <c r="G247" s="1">
        <v>22.5</v>
      </c>
      <c r="H247" s="1" t="s">
        <v>60</v>
      </c>
      <c r="I247" s="1">
        <v>-113.0</v>
      </c>
      <c r="J247" s="1">
        <v>-0.0868024773379848</v>
      </c>
      <c r="K247" s="1" t="s">
        <v>61</v>
      </c>
      <c r="L247" s="1" t="s">
        <v>61</v>
      </c>
      <c r="M247" s="1" t="s">
        <v>62</v>
      </c>
      <c r="N247" s="1">
        <v>-116.0</v>
      </c>
      <c r="O247" s="1">
        <v>0.0192470004660614</v>
      </c>
      <c r="P247" s="1" t="s">
        <v>61</v>
      </c>
      <c r="Q247" s="1" t="s">
        <v>61</v>
      </c>
      <c r="R247" s="1">
        <f t="shared" si="1"/>
        <v>0.01924700047</v>
      </c>
      <c r="S247" s="1">
        <f t="shared" si="2"/>
        <v>-116</v>
      </c>
      <c r="T247" s="1">
        <f t="shared" si="3"/>
        <v>1.862068966</v>
      </c>
      <c r="U247" s="1">
        <f t="shared" si="4"/>
        <v>0</v>
      </c>
      <c r="V247" s="3">
        <f t="shared" si="5"/>
        <v>1</v>
      </c>
      <c r="W247" s="3">
        <f t="shared" si="6"/>
        <v>2</v>
      </c>
      <c r="X247" s="3" t="str">
        <f>IFERROR(__xludf.DUMMYFUNCTION("split(B247,"" "")"),"T.")</f>
        <v>T.</v>
      </c>
      <c r="Y247" s="3" t="str">
        <f>IFERROR(__xludf.DUMMYFUNCTION("""COMPUTED_VALUE"""),"Chandler")</f>
        <v>Chandler</v>
      </c>
      <c r="AA247" s="8">
        <v>0.0</v>
      </c>
      <c r="AB247" s="3">
        <f t="shared" si="7"/>
        <v>0</v>
      </c>
      <c r="AC247" s="3">
        <f t="shared" si="8"/>
        <v>1</v>
      </c>
      <c r="AD247" s="3">
        <f t="shared" si="9"/>
        <v>0.8620689655</v>
      </c>
      <c r="AE247" s="3">
        <f t="shared" si="10"/>
        <v>0.8620689655</v>
      </c>
      <c r="AF247" s="3">
        <f t="shared" si="11"/>
        <v>1.724137931</v>
      </c>
      <c r="AG247" s="3">
        <f t="shared" si="12"/>
        <v>1</v>
      </c>
    </row>
    <row r="248">
      <c r="A248" s="1" t="s">
        <v>13</v>
      </c>
      <c r="B248" s="1" t="s">
        <v>145</v>
      </c>
      <c r="C248" s="1" t="s">
        <v>21</v>
      </c>
      <c r="D248" s="1" t="s">
        <v>146</v>
      </c>
      <c r="E248" s="1" t="s">
        <v>196</v>
      </c>
      <c r="F248" s="1" t="s">
        <v>653</v>
      </c>
      <c r="G248" s="1">
        <v>249.5</v>
      </c>
      <c r="H248" s="1" t="s">
        <v>60</v>
      </c>
      <c r="I248" s="1">
        <v>-117.0</v>
      </c>
      <c r="J248" s="1">
        <v>-0.0830244239631335</v>
      </c>
      <c r="K248" s="1" t="s">
        <v>61</v>
      </c>
      <c r="L248" s="1" t="s">
        <v>61</v>
      </c>
      <c r="M248" s="1" t="s">
        <v>62</v>
      </c>
      <c r="N248" s="1">
        <v>-111.0</v>
      </c>
      <c r="O248" s="1">
        <v>0.0177810426540284</v>
      </c>
      <c r="P248" s="1" t="s">
        <v>61</v>
      </c>
      <c r="Q248" s="1" t="s">
        <v>61</v>
      </c>
      <c r="R248" s="1">
        <f t="shared" si="1"/>
        <v>0.01778104265</v>
      </c>
      <c r="S248" s="1">
        <f t="shared" si="2"/>
        <v>-111</v>
      </c>
      <c r="T248" s="1">
        <f t="shared" si="3"/>
        <v>1.900900901</v>
      </c>
      <c r="U248" s="1">
        <f t="shared" si="4"/>
        <v>0</v>
      </c>
      <c r="V248" s="3">
        <f t="shared" si="5"/>
        <v>1</v>
      </c>
      <c r="W248" s="3">
        <f t="shared" si="6"/>
        <v>2</v>
      </c>
      <c r="X248" s="3" t="str">
        <f>IFERROR(__xludf.DUMMYFUNCTION("split(B248,"" "")"),"S.")</f>
        <v>S.</v>
      </c>
      <c r="Y248" s="3" t="str">
        <f>IFERROR(__xludf.DUMMYFUNCTION("""COMPUTED_VALUE"""),"Darnold")</f>
        <v>Darnold</v>
      </c>
      <c r="AA248" s="8">
        <v>240.0</v>
      </c>
      <c r="AB248" s="3">
        <f t="shared" si="7"/>
        <v>0</v>
      </c>
      <c r="AC248" s="3">
        <f t="shared" si="8"/>
        <v>1</v>
      </c>
      <c r="AD248" s="3">
        <f t="shared" si="9"/>
        <v>0.9009009009</v>
      </c>
      <c r="AE248" s="3">
        <f t="shared" si="10"/>
        <v>0.9009009009</v>
      </c>
      <c r="AF248" s="3">
        <f t="shared" si="11"/>
        <v>1.801801802</v>
      </c>
      <c r="AG248" s="3">
        <f t="shared" si="12"/>
        <v>0.0380761523</v>
      </c>
    </row>
    <row r="249">
      <c r="A249" s="1" t="s">
        <v>17</v>
      </c>
      <c r="B249" s="1" t="s">
        <v>145</v>
      </c>
      <c r="C249" s="1" t="s">
        <v>21</v>
      </c>
      <c r="D249" s="1" t="s">
        <v>146</v>
      </c>
      <c r="E249" s="1" t="s">
        <v>196</v>
      </c>
      <c r="F249" s="1" t="s">
        <v>653</v>
      </c>
      <c r="G249" s="1">
        <v>0.5</v>
      </c>
      <c r="H249" s="1" t="s">
        <v>60</v>
      </c>
      <c r="I249" s="1">
        <v>-117.0</v>
      </c>
      <c r="J249" s="1">
        <v>-0.0784705069124424</v>
      </c>
      <c r="K249" s="1" t="s">
        <v>61</v>
      </c>
      <c r="L249" s="1" t="s">
        <v>61</v>
      </c>
      <c r="M249" s="1" t="s">
        <v>62</v>
      </c>
      <c r="N249" s="1">
        <v>-112.0</v>
      </c>
      <c r="O249" s="1">
        <v>0.0109981132075471</v>
      </c>
      <c r="P249" s="1" t="s">
        <v>61</v>
      </c>
      <c r="Q249" s="1" t="s">
        <v>61</v>
      </c>
      <c r="R249" s="1">
        <f t="shared" si="1"/>
        <v>0.01099811321</v>
      </c>
      <c r="S249" s="1">
        <f t="shared" si="2"/>
        <v>-112</v>
      </c>
      <c r="T249" s="1">
        <f t="shared" si="3"/>
        <v>1.892857143</v>
      </c>
      <c r="U249" s="1">
        <f t="shared" si="4"/>
        <v>0</v>
      </c>
      <c r="V249" s="3">
        <f t="shared" si="5"/>
        <v>1</v>
      </c>
      <c r="W249" s="3">
        <f t="shared" si="6"/>
        <v>2</v>
      </c>
      <c r="X249" s="3" t="str">
        <f>IFERROR(__xludf.DUMMYFUNCTION("split(B249,"" "")"),"S.")</f>
        <v>S.</v>
      </c>
      <c r="Y249" s="3" t="str">
        <f>IFERROR(__xludf.DUMMYFUNCTION("""COMPUTED_VALUE"""),"Darnold")</f>
        <v>Darnold</v>
      </c>
      <c r="AA249" s="8">
        <v>0.0</v>
      </c>
      <c r="AB249" s="3">
        <f t="shared" si="7"/>
        <v>0</v>
      </c>
      <c r="AC249" s="3">
        <f t="shared" si="8"/>
        <v>1</v>
      </c>
      <c r="AD249" s="3">
        <f t="shared" si="9"/>
        <v>0.8928571429</v>
      </c>
      <c r="AE249" s="3">
        <f t="shared" si="10"/>
        <v>0.8928571429</v>
      </c>
      <c r="AF249" s="3">
        <f t="shared" si="11"/>
        <v>1.785714286</v>
      </c>
      <c r="AG249" s="3">
        <f t="shared" si="12"/>
        <v>1</v>
      </c>
    </row>
    <row r="250">
      <c r="A250" s="1" t="s">
        <v>9</v>
      </c>
      <c r="B250" s="1" t="s">
        <v>377</v>
      </c>
      <c r="C250" s="1" t="s">
        <v>19</v>
      </c>
      <c r="D250" s="1" t="s">
        <v>146</v>
      </c>
      <c r="E250" s="1" t="s">
        <v>196</v>
      </c>
      <c r="F250" s="1" t="s">
        <v>653</v>
      </c>
      <c r="G250" s="1">
        <v>29.5</v>
      </c>
      <c r="H250" s="1" t="s">
        <v>60</v>
      </c>
      <c r="I250" s="1">
        <v>-119.0</v>
      </c>
      <c r="J250" s="1">
        <v>0.010536927098002</v>
      </c>
      <c r="K250" s="1" t="s">
        <v>61</v>
      </c>
      <c r="L250" s="1" t="s">
        <v>61</v>
      </c>
      <c r="M250" s="1" t="s">
        <v>62</v>
      </c>
      <c r="N250" s="1">
        <v>-114.0</v>
      </c>
      <c r="O250" s="1">
        <v>-0.0865955290620896</v>
      </c>
      <c r="P250" s="1" t="s">
        <v>61</v>
      </c>
      <c r="Q250" s="1" t="s">
        <v>61</v>
      </c>
      <c r="R250" s="1">
        <f t="shared" si="1"/>
        <v>0.0105369271</v>
      </c>
      <c r="S250" s="1">
        <f t="shared" si="2"/>
        <v>-119</v>
      </c>
      <c r="T250" s="1">
        <f t="shared" si="3"/>
        <v>1.840336134</v>
      </c>
      <c r="U250" s="1">
        <f t="shared" si="4"/>
        <v>1</v>
      </c>
      <c r="V250" s="3">
        <f t="shared" si="5"/>
        <v>1</v>
      </c>
      <c r="W250" s="3">
        <f t="shared" si="6"/>
        <v>3</v>
      </c>
      <c r="X250" s="3" t="str">
        <f>IFERROR(__xludf.DUMMYFUNCTION("split(B250,"" "")"),"T.")</f>
        <v>T.</v>
      </c>
      <c r="Y250" s="3" t="str">
        <f>IFERROR(__xludf.DUMMYFUNCTION("""COMPUTED_VALUE"""),"Chandler")</f>
        <v>Chandler</v>
      </c>
      <c r="AA250" s="8">
        <v>0.0</v>
      </c>
      <c r="AB250" s="3">
        <f t="shared" si="7"/>
        <v>0</v>
      </c>
      <c r="AC250" s="3">
        <f t="shared" si="8"/>
        <v>0</v>
      </c>
      <c r="AD250" s="3">
        <f t="shared" si="9"/>
        <v>0.8403361345</v>
      </c>
      <c r="AE250" s="3">
        <f t="shared" si="10"/>
        <v>-1</v>
      </c>
      <c r="AF250" s="3">
        <f t="shared" si="11"/>
        <v>-3</v>
      </c>
      <c r="AG250" s="3">
        <f t="shared" si="12"/>
        <v>-1</v>
      </c>
    </row>
    <row r="251">
      <c r="A251" s="1" t="s">
        <v>12</v>
      </c>
      <c r="B251" s="1" t="s">
        <v>175</v>
      </c>
      <c r="C251" s="1" t="s">
        <v>18</v>
      </c>
      <c r="D251" s="1" t="s">
        <v>146</v>
      </c>
      <c r="E251" s="1" t="s">
        <v>196</v>
      </c>
      <c r="F251" s="1" t="s">
        <v>653</v>
      </c>
      <c r="G251" s="1">
        <v>3.5</v>
      </c>
      <c r="H251" s="1" t="s">
        <v>60</v>
      </c>
      <c r="I251" s="1">
        <v>-108.0</v>
      </c>
      <c r="J251" s="1">
        <v>-0.0812826923076922</v>
      </c>
      <c r="K251" s="1" t="s">
        <v>61</v>
      </c>
      <c r="L251" s="1" t="s">
        <v>61</v>
      </c>
      <c r="M251" s="1" t="s">
        <v>62</v>
      </c>
      <c r="N251" s="1">
        <v>-124.0</v>
      </c>
      <c r="O251" s="1">
        <v>0.00847321428571434</v>
      </c>
      <c r="P251" s="1" t="s">
        <v>61</v>
      </c>
      <c r="Q251" s="1" t="s">
        <v>61</v>
      </c>
      <c r="R251" s="1">
        <f t="shared" si="1"/>
        <v>0.008473214286</v>
      </c>
      <c r="S251" s="1">
        <f t="shared" si="2"/>
        <v>-124</v>
      </c>
      <c r="T251" s="1">
        <f t="shared" si="3"/>
        <v>1.806451613</v>
      </c>
      <c r="U251" s="1">
        <f t="shared" si="4"/>
        <v>0</v>
      </c>
      <c r="V251" s="3">
        <f t="shared" si="5"/>
        <v>1</v>
      </c>
      <c r="W251" s="3">
        <f t="shared" si="6"/>
        <v>3</v>
      </c>
      <c r="X251" s="3" t="str">
        <f>IFERROR(__xludf.DUMMYFUNCTION("split(B251,"" "")"),"J.")</f>
        <v>J.</v>
      </c>
      <c r="Y251" s="3" t="str">
        <f>IFERROR(__xludf.DUMMYFUNCTION("""COMPUTED_VALUE"""),"Addison")</f>
        <v>Addison</v>
      </c>
      <c r="AA251" s="8">
        <f> iferror(VLOOKUP(Y251, 'Stat data'!C$2:Z9844,MATCH(A251,'Stat data'!C$1:Z$1,0), False), 0)</f>
        <v>8</v>
      </c>
      <c r="AB251" s="3">
        <f t="shared" si="7"/>
        <v>1</v>
      </c>
      <c r="AC251" s="3">
        <f t="shared" si="8"/>
        <v>0</v>
      </c>
      <c r="AD251" s="3">
        <f t="shared" si="9"/>
        <v>0.8064516129</v>
      </c>
      <c r="AE251" s="3">
        <f t="shared" si="10"/>
        <v>-1</v>
      </c>
      <c r="AF251" s="3">
        <f t="shared" si="11"/>
        <v>-3</v>
      </c>
      <c r="AG251" s="3">
        <f t="shared" si="12"/>
        <v>-1.285714286</v>
      </c>
    </row>
    <row r="252">
      <c r="A252" s="1" t="s">
        <v>12</v>
      </c>
      <c r="B252" s="1" t="s">
        <v>550</v>
      </c>
      <c r="C252" s="1" t="s">
        <v>20</v>
      </c>
      <c r="D252" s="1" t="s">
        <v>146</v>
      </c>
      <c r="E252" s="1" t="s">
        <v>196</v>
      </c>
      <c r="F252" s="1" t="s">
        <v>653</v>
      </c>
      <c r="G252" s="1">
        <v>0.5</v>
      </c>
      <c r="H252" s="1" t="s">
        <v>60</v>
      </c>
      <c r="I252" s="1">
        <v>-186.0</v>
      </c>
      <c r="J252" s="1">
        <v>-0.071610989924825</v>
      </c>
      <c r="K252" s="1" t="s">
        <v>61</v>
      </c>
      <c r="L252" s="1" t="s">
        <v>61</v>
      </c>
      <c r="M252" s="1" t="s">
        <v>62</v>
      </c>
      <c r="N252" s="1">
        <v>140.0</v>
      </c>
      <c r="O252" s="1">
        <v>0.00458726299375006</v>
      </c>
      <c r="P252" s="1" t="s">
        <v>61</v>
      </c>
      <c r="Q252" s="1" t="s">
        <v>61</v>
      </c>
      <c r="R252" s="1">
        <f t="shared" si="1"/>
        <v>0.004587262994</v>
      </c>
      <c r="S252" s="1">
        <f t="shared" si="2"/>
        <v>140</v>
      </c>
      <c r="T252" s="1">
        <f t="shared" si="3"/>
        <v>2.4</v>
      </c>
      <c r="U252" s="1">
        <f t="shared" si="4"/>
        <v>0</v>
      </c>
      <c r="V252" s="3">
        <f t="shared" si="5"/>
        <v>1</v>
      </c>
      <c r="W252" s="3">
        <f t="shared" si="6"/>
        <v>1</v>
      </c>
      <c r="X252" s="3" t="str">
        <f>IFERROR(__xludf.DUMMYFUNCTION("split(B252,"" "")"),"J.")</f>
        <v>J.</v>
      </c>
      <c r="Y252" s="3" t="str">
        <f>IFERROR(__xludf.DUMMYFUNCTION("""COMPUTED_VALUE"""),"Oliver")</f>
        <v>Oliver</v>
      </c>
      <c r="AA252" s="8">
        <f> iferror(VLOOKUP(Y252, 'Stat data'!C$2:Z9846,MATCH(A252,'Stat data'!C$1:Z$1,0), False), 0)</f>
        <v>0</v>
      </c>
      <c r="AB252" s="3">
        <f t="shared" si="7"/>
        <v>0</v>
      </c>
      <c r="AC252" s="3">
        <f t="shared" si="8"/>
        <v>1</v>
      </c>
      <c r="AD252" s="3">
        <f t="shared" si="9"/>
        <v>1.4</v>
      </c>
      <c r="AE252" s="3">
        <f t="shared" si="10"/>
        <v>1.4</v>
      </c>
      <c r="AF252" s="3">
        <f t="shared" si="11"/>
        <v>1.4</v>
      </c>
      <c r="AG252" s="3">
        <f t="shared" si="12"/>
        <v>1</v>
      </c>
    </row>
    <row r="253">
      <c r="A253" s="1" t="s">
        <v>12</v>
      </c>
      <c r="B253" s="1" t="s">
        <v>476</v>
      </c>
      <c r="C253" s="1" t="s">
        <v>19</v>
      </c>
      <c r="D253" s="1" t="s">
        <v>66</v>
      </c>
      <c r="E253" s="1" t="s">
        <v>165</v>
      </c>
      <c r="F253" s="1" t="s">
        <v>647</v>
      </c>
      <c r="G253" s="1">
        <v>2.5</v>
      </c>
      <c r="H253" s="1" t="s">
        <v>60</v>
      </c>
      <c r="I253" s="1">
        <v>-114.0</v>
      </c>
      <c r="J253" s="1">
        <v>-0.234952248317757</v>
      </c>
      <c r="K253" s="1" t="s">
        <v>61</v>
      </c>
      <c r="L253" s="1" t="s">
        <v>61</v>
      </c>
      <c r="M253" s="1" t="s">
        <v>62</v>
      </c>
      <c r="N253" s="1">
        <v>-115.0</v>
      </c>
      <c r="O253" s="1">
        <v>0.167364317725581</v>
      </c>
      <c r="P253" s="1" t="s">
        <v>61</v>
      </c>
      <c r="Q253" s="1" t="s">
        <v>61</v>
      </c>
      <c r="R253" s="1">
        <f t="shared" si="1"/>
        <v>0.1673643177</v>
      </c>
      <c r="S253" s="1">
        <f t="shared" si="2"/>
        <v>-115</v>
      </c>
      <c r="T253" s="1">
        <f t="shared" si="3"/>
        <v>1.869565217</v>
      </c>
      <c r="U253" s="1">
        <f t="shared" si="4"/>
        <v>0</v>
      </c>
      <c r="V253" s="3">
        <f t="shared" si="5"/>
        <v>3</v>
      </c>
      <c r="W253" s="3">
        <f t="shared" si="6"/>
        <v>2</v>
      </c>
      <c r="X253" s="3" t="str">
        <f>IFERROR(__xludf.DUMMYFUNCTION("split(B253,"" "")"),"R.")</f>
        <v>R.</v>
      </c>
      <c r="Y253" s="3" t="str">
        <f>IFERROR(__xludf.DUMMYFUNCTION("""COMPUTED_VALUE"""),"Stevenson")</f>
        <v>Stevenson</v>
      </c>
      <c r="AA253" s="8">
        <v>3.0</v>
      </c>
      <c r="AB253" s="3">
        <f t="shared" si="7"/>
        <v>1</v>
      </c>
      <c r="AC253" s="3">
        <f t="shared" si="8"/>
        <v>0</v>
      </c>
      <c r="AD253" s="3">
        <f t="shared" si="9"/>
        <v>2.608695652</v>
      </c>
      <c r="AE253" s="3">
        <f t="shared" si="10"/>
        <v>-3</v>
      </c>
      <c r="AF253" s="3">
        <f t="shared" si="11"/>
        <v>-2</v>
      </c>
      <c r="AG253" s="3">
        <f t="shared" si="12"/>
        <v>-0.2</v>
      </c>
    </row>
    <row r="254">
      <c r="A254" s="1" t="s">
        <v>14</v>
      </c>
      <c r="B254" s="1" t="s">
        <v>621</v>
      </c>
      <c r="C254" s="1" t="s">
        <v>21</v>
      </c>
      <c r="D254" s="1" t="s">
        <v>66</v>
      </c>
      <c r="E254" s="1" t="s">
        <v>165</v>
      </c>
      <c r="F254" s="1" t="s">
        <v>647</v>
      </c>
      <c r="G254" s="1">
        <v>0.5</v>
      </c>
      <c r="H254" s="1" t="s">
        <v>60</v>
      </c>
      <c r="I254" s="1">
        <v>-242.0</v>
      </c>
      <c r="J254" s="1">
        <v>-0.222630240906432</v>
      </c>
      <c r="K254" s="1" t="s">
        <v>61</v>
      </c>
      <c r="L254" s="1" t="s">
        <v>61</v>
      </c>
      <c r="M254" s="1" t="s">
        <v>62</v>
      </c>
      <c r="N254" s="1">
        <v>182.0</v>
      </c>
      <c r="O254" s="1">
        <v>0.160423909184397</v>
      </c>
      <c r="P254" s="1" t="s">
        <v>61</v>
      </c>
      <c r="Q254" s="1" t="s">
        <v>61</v>
      </c>
      <c r="R254" s="1">
        <f t="shared" si="1"/>
        <v>0.1604239092</v>
      </c>
      <c r="S254" s="1">
        <f t="shared" si="2"/>
        <v>182</v>
      </c>
      <c r="T254" s="1">
        <f t="shared" si="3"/>
        <v>2.82</v>
      </c>
      <c r="U254" s="1">
        <f t="shared" si="4"/>
        <v>0</v>
      </c>
      <c r="V254" s="3">
        <f t="shared" si="5"/>
        <v>3</v>
      </c>
      <c r="W254" s="3">
        <f t="shared" si="6"/>
        <v>1</v>
      </c>
      <c r="X254" s="3" t="str">
        <f>IFERROR(__xludf.DUMMYFUNCTION("split(B254,"" "")"),"D.")</f>
        <v>D.</v>
      </c>
      <c r="Y254" s="3" t="str">
        <f>IFERROR(__xludf.DUMMYFUNCTION("""COMPUTED_VALUE"""),"Maye")</f>
        <v>Maye</v>
      </c>
      <c r="AA254" s="8">
        <v>0.0</v>
      </c>
      <c r="AB254" s="3">
        <f t="shared" si="7"/>
        <v>0</v>
      </c>
      <c r="AC254" s="3">
        <f t="shared" si="8"/>
        <v>1</v>
      </c>
      <c r="AD254" s="3">
        <f t="shared" si="9"/>
        <v>5.46</v>
      </c>
      <c r="AE254" s="3">
        <f t="shared" si="10"/>
        <v>5.46</v>
      </c>
      <c r="AF254" s="3">
        <f t="shared" si="11"/>
        <v>1.82</v>
      </c>
      <c r="AG254" s="3">
        <f t="shared" si="12"/>
        <v>1</v>
      </c>
    </row>
    <row r="255">
      <c r="A255" s="1" t="s">
        <v>8</v>
      </c>
      <c r="B255" s="1" t="s">
        <v>621</v>
      </c>
      <c r="C255" s="1" t="s">
        <v>21</v>
      </c>
      <c r="D255" s="1" t="s">
        <v>66</v>
      </c>
      <c r="E255" s="1" t="s">
        <v>165</v>
      </c>
      <c r="F255" s="1" t="s">
        <v>647</v>
      </c>
      <c r="G255" s="1">
        <v>4.5</v>
      </c>
      <c r="H255" s="1" t="s">
        <v>60</v>
      </c>
      <c r="I255" s="1">
        <v>-131.0</v>
      </c>
      <c r="J255" s="1">
        <v>-0.199346802140452</v>
      </c>
      <c r="K255" s="1" t="s">
        <v>61</v>
      </c>
      <c r="L255" s="1" t="s">
        <v>61</v>
      </c>
      <c r="M255" s="1" t="s">
        <v>62</v>
      </c>
      <c r="N255" s="1">
        <v>-102.0</v>
      </c>
      <c r="O255" s="1">
        <v>0.127287958021452</v>
      </c>
      <c r="P255" s="1" t="s">
        <v>61</v>
      </c>
      <c r="Q255" s="1" t="s">
        <v>61</v>
      </c>
      <c r="R255" s="1">
        <f t="shared" si="1"/>
        <v>0.127287958</v>
      </c>
      <c r="S255" s="1">
        <f t="shared" si="2"/>
        <v>-102</v>
      </c>
      <c r="T255" s="1">
        <f t="shared" si="3"/>
        <v>1.980392157</v>
      </c>
      <c r="U255" s="1">
        <f t="shared" si="4"/>
        <v>0</v>
      </c>
      <c r="V255" s="3">
        <f t="shared" si="5"/>
        <v>3</v>
      </c>
      <c r="W255" s="3">
        <f t="shared" si="6"/>
        <v>2</v>
      </c>
      <c r="X255" s="3" t="str">
        <f>IFERROR(__xludf.DUMMYFUNCTION("split(B255,"" "")"),"D.")</f>
        <v>D.</v>
      </c>
      <c r="Y255" s="3" t="str">
        <f>IFERROR(__xludf.DUMMYFUNCTION("""COMPUTED_VALUE"""),"Maye")</f>
        <v>Maye</v>
      </c>
      <c r="AA255" s="8">
        <v>3.0</v>
      </c>
      <c r="AB255" s="3">
        <f t="shared" si="7"/>
        <v>0</v>
      </c>
      <c r="AC255" s="3">
        <f t="shared" si="8"/>
        <v>1</v>
      </c>
      <c r="AD255" s="3">
        <f t="shared" si="9"/>
        <v>2.941176471</v>
      </c>
      <c r="AE255" s="3">
        <f t="shared" si="10"/>
        <v>2.941176471</v>
      </c>
      <c r="AF255" s="3">
        <f t="shared" si="11"/>
        <v>1.960784314</v>
      </c>
      <c r="AG255" s="3">
        <f t="shared" si="12"/>
        <v>0.3333333333</v>
      </c>
    </row>
    <row r="256">
      <c r="A256" s="1" t="s">
        <v>8</v>
      </c>
      <c r="B256" s="1" t="s">
        <v>476</v>
      </c>
      <c r="C256" s="1" t="s">
        <v>19</v>
      </c>
      <c r="D256" s="1" t="s">
        <v>66</v>
      </c>
      <c r="E256" s="1" t="s">
        <v>165</v>
      </c>
      <c r="F256" s="1" t="s">
        <v>647</v>
      </c>
      <c r="G256" s="1">
        <v>12.5</v>
      </c>
      <c r="H256" s="1" t="s">
        <v>60</v>
      </c>
      <c r="I256" s="1">
        <v>-108.0</v>
      </c>
      <c r="J256" s="1">
        <v>-0.162282310093749</v>
      </c>
      <c r="K256" s="1" t="s">
        <v>61</v>
      </c>
      <c r="L256" s="1" t="s">
        <v>61</v>
      </c>
      <c r="M256" s="1" t="s">
        <v>62</v>
      </c>
      <c r="N256" s="1">
        <v>-120.0</v>
      </c>
      <c r="O256" s="1">
        <v>0.0975904754518183</v>
      </c>
      <c r="P256" s="1" t="s">
        <v>61</v>
      </c>
      <c r="Q256" s="1" t="s">
        <v>61</v>
      </c>
      <c r="R256" s="1">
        <f t="shared" si="1"/>
        <v>0.09759047545</v>
      </c>
      <c r="S256" s="1">
        <f t="shared" si="2"/>
        <v>-120</v>
      </c>
      <c r="T256" s="1">
        <f t="shared" si="3"/>
        <v>1.833333333</v>
      </c>
      <c r="U256" s="1">
        <f t="shared" si="4"/>
        <v>0</v>
      </c>
      <c r="V256" s="3">
        <f t="shared" si="5"/>
        <v>2</v>
      </c>
      <c r="W256" s="3">
        <f t="shared" si="6"/>
        <v>3</v>
      </c>
      <c r="X256" s="3" t="str">
        <f>IFERROR(__xludf.DUMMYFUNCTION("split(B256,"" "")"),"R.")</f>
        <v>R.</v>
      </c>
      <c r="Y256" s="3" t="str">
        <f>IFERROR(__xludf.DUMMYFUNCTION("""COMPUTED_VALUE"""),"Stevenson")</f>
        <v>Stevenson</v>
      </c>
      <c r="AA256" s="8">
        <v>20.0</v>
      </c>
      <c r="AB256" s="3">
        <f t="shared" si="7"/>
        <v>1</v>
      </c>
      <c r="AC256" s="3">
        <f t="shared" si="8"/>
        <v>0</v>
      </c>
      <c r="AD256" s="3">
        <f t="shared" si="9"/>
        <v>1.666666667</v>
      </c>
      <c r="AE256" s="3">
        <f t="shared" si="10"/>
        <v>-2</v>
      </c>
      <c r="AF256" s="3">
        <f t="shared" si="11"/>
        <v>-3</v>
      </c>
      <c r="AG256" s="3">
        <f t="shared" si="12"/>
        <v>-0.6</v>
      </c>
    </row>
    <row r="257">
      <c r="A257" s="1" t="s">
        <v>12</v>
      </c>
      <c r="B257" s="1" t="s">
        <v>140</v>
      </c>
      <c r="C257" s="1" t="s">
        <v>20</v>
      </c>
      <c r="D257" s="1" t="s">
        <v>66</v>
      </c>
      <c r="E257" s="1" t="s">
        <v>165</v>
      </c>
      <c r="F257" s="1" t="s">
        <v>647</v>
      </c>
      <c r="G257" s="1">
        <v>3.5</v>
      </c>
      <c r="H257" s="1" t="s">
        <v>60</v>
      </c>
      <c r="I257" s="1">
        <v>119.0</v>
      </c>
      <c r="J257" s="1">
        <v>-0.13052100456621</v>
      </c>
      <c r="K257" s="1" t="s">
        <v>61</v>
      </c>
      <c r="L257" s="1" t="s">
        <v>61</v>
      </c>
      <c r="M257" s="1" t="s">
        <v>62</v>
      </c>
      <c r="N257" s="1">
        <v>-157.0</v>
      </c>
      <c r="O257" s="1">
        <v>0.0630050583657586</v>
      </c>
      <c r="P257" s="1" t="s">
        <v>61</v>
      </c>
      <c r="Q257" s="1" t="s">
        <v>61</v>
      </c>
      <c r="R257" s="1">
        <f t="shared" si="1"/>
        <v>0.06300505837</v>
      </c>
      <c r="S257" s="1">
        <f t="shared" si="2"/>
        <v>-157</v>
      </c>
      <c r="T257" s="1">
        <f t="shared" si="3"/>
        <v>1.636942675</v>
      </c>
      <c r="U257" s="1">
        <f t="shared" si="4"/>
        <v>0</v>
      </c>
      <c r="V257" s="3">
        <f t="shared" si="5"/>
        <v>2</v>
      </c>
      <c r="W257" s="3">
        <f t="shared" si="6"/>
        <v>3</v>
      </c>
      <c r="X257" s="3" t="str">
        <f>IFERROR(__xludf.DUMMYFUNCTION("split(B257,"" "")"),"H.")</f>
        <v>H.</v>
      </c>
      <c r="Y257" s="3" t="str">
        <f>IFERROR(__xludf.DUMMYFUNCTION("""COMPUTED_VALUE"""),"Henry")</f>
        <v>Henry</v>
      </c>
      <c r="AA257" s="8">
        <v>5.0</v>
      </c>
      <c r="AB257" s="3">
        <f t="shared" si="7"/>
        <v>1</v>
      </c>
      <c r="AC257" s="3">
        <f t="shared" si="8"/>
        <v>0</v>
      </c>
      <c r="AD257" s="3">
        <f t="shared" si="9"/>
        <v>1.27388535</v>
      </c>
      <c r="AE257" s="3">
        <f t="shared" si="10"/>
        <v>-2</v>
      </c>
      <c r="AF257" s="3">
        <f t="shared" si="11"/>
        <v>-3</v>
      </c>
      <c r="AG257" s="3">
        <f t="shared" si="12"/>
        <v>-0.4285714286</v>
      </c>
    </row>
    <row r="258">
      <c r="A258" s="1" t="s">
        <v>15</v>
      </c>
      <c r="B258" s="1" t="s">
        <v>621</v>
      </c>
      <c r="C258" s="1" t="s">
        <v>21</v>
      </c>
      <c r="D258" s="1" t="s">
        <v>66</v>
      </c>
      <c r="E258" s="1" t="s">
        <v>165</v>
      </c>
      <c r="F258" s="1" t="s">
        <v>647</v>
      </c>
      <c r="G258" s="1">
        <v>19.5</v>
      </c>
      <c r="H258" s="1" t="s">
        <v>60</v>
      </c>
      <c r="I258" s="1">
        <v>-114.0</v>
      </c>
      <c r="J258" s="1">
        <v>-0.126962581214953</v>
      </c>
      <c r="K258" s="1" t="s">
        <v>61</v>
      </c>
      <c r="L258" s="1" t="s">
        <v>61</v>
      </c>
      <c r="M258" s="1" t="s">
        <v>62</v>
      </c>
      <c r="N258" s="1">
        <v>-115.0</v>
      </c>
      <c r="O258" s="1">
        <v>0.059361680172093</v>
      </c>
      <c r="P258" s="1" t="s">
        <v>61</v>
      </c>
      <c r="Q258" s="1" t="s">
        <v>61</v>
      </c>
      <c r="R258" s="1">
        <f t="shared" si="1"/>
        <v>0.05936168017</v>
      </c>
      <c r="S258" s="1">
        <f t="shared" si="2"/>
        <v>-115</v>
      </c>
      <c r="T258" s="1">
        <f t="shared" si="3"/>
        <v>1.869565217</v>
      </c>
      <c r="U258" s="1">
        <f t="shared" si="4"/>
        <v>0</v>
      </c>
      <c r="V258" s="3">
        <f t="shared" si="5"/>
        <v>2</v>
      </c>
      <c r="W258" s="3">
        <f t="shared" si="6"/>
        <v>2</v>
      </c>
      <c r="X258" s="3" t="str">
        <f>IFERROR(__xludf.DUMMYFUNCTION("split(B258,"" "")"),"D.")</f>
        <v>D.</v>
      </c>
      <c r="Y258" s="3" t="str">
        <f>IFERROR(__xludf.DUMMYFUNCTION("""COMPUTED_VALUE"""),"Maye")</f>
        <v>Maye</v>
      </c>
      <c r="AA258" s="8">
        <v>3.0</v>
      </c>
      <c r="AB258" s="3">
        <f t="shared" si="7"/>
        <v>0</v>
      </c>
      <c r="AC258" s="3">
        <f t="shared" si="8"/>
        <v>1</v>
      </c>
      <c r="AD258" s="3">
        <f t="shared" si="9"/>
        <v>1.739130435</v>
      </c>
      <c r="AE258" s="3">
        <f t="shared" si="10"/>
        <v>1.739130435</v>
      </c>
      <c r="AF258" s="3">
        <f t="shared" si="11"/>
        <v>1.739130435</v>
      </c>
      <c r="AG258" s="3">
        <f t="shared" si="12"/>
        <v>0.8461538462</v>
      </c>
    </row>
    <row r="259">
      <c r="A259" s="1" t="s">
        <v>11</v>
      </c>
      <c r="B259" s="1" t="s">
        <v>140</v>
      </c>
      <c r="C259" s="1" t="s">
        <v>20</v>
      </c>
      <c r="D259" s="1" t="s">
        <v>66</v>
      </c>
      <c r="E259" s="1" t="s">
        <v>165</v>
      </c>
      <c r="F259" s="1" t="s">
        <v>647</v>
      </c>
      <c r="G259" s="1">
        <v>35.5</v>
      </c>
      <c r="H259" s="1" t="s">
        <v>60</v>
      </c>
      <c r="I259" s="1">
        <v>-115.0</v>
      </c>
      <c r="J259" s="1">
        <v>-0.129006970732604</v>
      </c>
      <c r="K259" s="1" t="s">
        <v>61</v>
      </c>
      <c r="L259" s="1" t="s">
        <v>61</v>
      </c>
      <c r="M259" s="1" t="s">
        <v>62</v>
      </c>
      <c r="N259" s="1">
        <v>-115.0</v>
      </c>
      <c r="O259" s="1">
        <v>0.0592423707724953</v>
      </c>
      <c r="P259" s="1" t="s">
        <v>61</v>
      </c>
      <c r="Q259" s="1" t="s">
        <v>61</v>
      </c>
      <c r="R259" s="1">
        <f t="shared" si="1"/>
        <v>0.05924237077</v>
      </c>
      <c r="S259" s="1">
        <f t="shared" si="2"/>
        <v>-115</v>
      </c>
      <c r="T259" s="1">
        <f t="shared" si="3"/>
        <v>1.869565217</v>
      </c>
      <c r="U259" s="1">
        <f t="shared" si="4"/>
        <v>0</v>
      </c>
      <c r="V259" s="3">
        <f t="shared" si="5"/>
        <v>2</v>
      </c>
      <c r="W259" s="3">
        <f t="shared" si="6"/>
        <v>2</v>
      </c>
      <c r="X259" s="3" t="str">
        <f>IFERROR(__xludf.DUMMYFUNCTION("split(B259,"" "")"),"H.")</f>
        <v>H.</v>
      </c>
      <c r="Y259" s="3" t="str">
        <f>IFERROR(__xludf.DUMMYFUNCTION("""COMPUTED_VALUE"""),"Henry")</f>
        <v>Henry</v>
      </c>
      <c r="AA259" s="8">
        <v>45.0</v>
      </c>
      <c r="AB259" s="3">
        <f t="shared" si="7"/>
        <v>1</v>
      </c>
      <c r="AC259" s="3">
        <f t="shared" si="8"/>
        <v>0</v>
      </c>
      <c r="AD259" s="3">
        <f t="shared" si="9"/>
        <v>1.739130435</v>
      </c>
      <c r="AE259" s="3">
        <f t="shared" si="10"/>
        <v>-2</v>
      </c>
      <c r="AF259" s="3">
        <f t="shared" si="11"/>
        <v>-2</v>
      </c>
      <c r="AG259" s="3">
        <f t="shared" si="12"/>
        <v>-0.2676056338</v>
      </c>
    </row>
    <row r="260">
      <c r="A260" s="1" t="s">
        <v>17</v>
      </c>
      <c r="B260" s="1" t="s">
        <v>621</v>
      </c>
      <c r="C260" s="1" t="s">
        <v>21</v>
      </c>
      <c r="D260" s="1" t="s">
        <v>66</v>
      </c>
      <c r="E260" s="1" t="s">
        <v>165</v>
      </c>
      <c r="F260" s="1" t="s">
        <v>647</v>
      </c>
      <c r="G260" s="1">
        <v>0.5</v>
      </c>
      <c r="H260" s="1" t="s">
        <v>60</v>
      </c>
      <c r="I260" s="1">
        <v>-132.0</v>
      </c>
      <c r="J260" s="1">
        <v>-0.118465517241379</v>
      </c>
      <c r="K260" s="1" t="s">
        <v>61</v>
      </c>
      <c r="L260" s="1" t="s">
        <v>61</v>
      </c>
      <c r="M260" s="1" t="s">
        <v>62</v>
      </c>
      <c r="N260" s="1">
        <v>101.0</v>
      </c>
      <c r="O260" s="1">
        <v>0.0519875621890547</v>
      </c>
      <c r="P260" s="1" t="s">
        <v>61</v>
      </c>
      <c r="Q260" s="1" t="s">
        <v>61</v>
      </c>
      <c r="R260" s="1">
        <f t="shared" si="1"/>
        <v>0.05198756219</v>
      </c>
      <c r="S260" s="1">
        <f t="shared" si="2"/>
        <v>101</v>
      </c>
      <c r="T260" s="1">
        <f t="shared" si="3"/>
        <v>2.01</v>
      </c>
      <c r="U260" s="1">
        <f t="shared" si="4"/>
        <v>0</v>
      </c>
      <c r="V260" s="3">
        <f t="shared" si="5"/>
        <v>2</v>
      </c>
      <c r="W260" s="3">
        <f t="shared" si="6"/>
        <v>2</v>
      </c>
      <c r="X260" s="3" t="str">
        <f>IFERROR(__xludf.DUMMYFUNCTION("split(B260,"" "")"),"D.")</f>
        <v>D.</v>
      </c>
      <c r="Y260" s="3" t="str">
        <f>IFERROR(__xludf.DUMMYFUNCTION("""COMPUTED_VALUE"""),"Maye")</f>
        <v>Maye</v>
      </c>
      <c r="AA260" s="8">
        <v>0.0</v>
      </c>
      <c r="AB260" s="3">
        <f t="shared" si="7"/>
        <v>0</v>
      </c>
      <c r="AC260" s="3">
        <f t="shared" si="8"/>
        <v>1</v>
      </c>
      <c r="AD260" s="3">
        <f t="shared" si="9"/>
        <v>2.02</v>
      </c>
      <c r="AE260" s="3">
        <f t="shared" si="10"/>
        <v>2.02</v>
      </c>
      <c r="AF260" s="3">
        <f t="shared" si="11"/>
        <v>2.02</v>
      </c>
      <c r="AG260" s="3">
        <f t="shared" si="12"/>
        <v>1</v>
      </c>
    </row>
    <row r="261">
      <c r="A261" s="1" t="s">
        <v>16</v>
      </c>
      <c r="B261" s="1" t="s">
        <v>621</v>
      </c>
      <c r="C261" s="1" t="s">
        <v>21</v>
      </c>
      <c r="D261" s="1" t="s">
        <v>66</v>
      </c>
      <c r="E261" s="1" t="s">
        <v>165</v>
      </c>
      <c r="F261" s="1" t="s">
        <v>647</v>
      </c>
      <c r="G261" s="1">
        <v>32.5</v>
      </c>
      <c r="H261" s="1" t="s">
        <v>60</v>
      </c>
      <c r="I261" s="1">
        <v>100.0</v>
      </c>
      <c r="J261" s="1">
        <v>-0.10704514565</v>
      </c>
      <c r="K261" s="1" t="s">
        <v>61</v>
      </c>
      <c r="L261" s="1" t="s">
        <v>61</v>
      </c>
      <c r="M261" s="1" t="s">
        <v>62</v>
      </c>
      <c r="N261" s="1">
        <v>-130.0</v>
      </c>
      <c r="O261" s="1">
        <v>0.0418205994304347</v>
      </c>
      <c r="P261" s="1" t="s">
        <v>61</v>
      </c>
      <c r="Q261" s="1" t="s">
        <v>61</v>
      </c>
      <c r="R261" s="1">
        <f t="shared" si="1"/>
        <v>0.04182059943</v>
      </c>
      <c r="S261" s="1">
        <f t="shared" si="2"/>
        <v>-130</v>
      </c>
      <c r="T261" s="1">
        <f t="shared" si="3"/>
        <v>1.769230769</v>
      </c>
      <c r="U261" s="1">
        <f t="shared" si="4"/>
        <v>0</v>
      </c>
      <c r="V261" s="3">
        <f t="shared" si="5"/>
        <v>1</v>
      </c>
      <c r="W261" s="3">
        <f t="shared" si="6"/>
        <v>3</v>
      </c>
      <c r="X261" s="3" t="str">
        <f>IFERROR(__xludf.DUMMYFUNCTION("split(B261,"" "")"),"D.")</f>
        <v>D.</v>
      </c>
      <c r="Y261" s="3" t="str">
        <f>IFERROR(__xludf.DUMMYFUNCTION("""COMPUTED_VALUE"""),"Maye")</f>
        <v>Maye</v>
      </c>
      <c r="AA261" s="8">
        <v>6.0</v>
      </c>
      <c r="AB261" s="3">
        <f t="shared" si="7"/>
        <v>0</v>
      </c>
      <c r="AC261" s="3">
        <f t="shared" si="8"/>
        <v>1</v>
      </c>
      <c r="AD261" s="3">
        <f t="shared" si="9"/>
        <v>0.7692307692</v>
      </c>
      <c r="AE261" s="3">
        <f t="shared" si="10"/>
        <v>0.7692307692</v>
      </c>
      <c r="AF261" s="3">
        <f t="shared" si="11"/>
        <v>2.307692308</v>
      </c>
      <c r="AG261" s="3">
        <f t="shared" si="12"/>
        <v>0.8153846154</v>
      </c>
    </row>
    <row r="262">
      <c r="A262" s="1" t="s">
        <v>13</v>
      </c>
      <c r="B262" s="1" t="s">
        <v>621</v>
      </c>
      <c r="C262" s="1" t="s">
        <v>21</v>
      </c>
      <c r="D262" s="1" t="s">
        <v>66</v>
      </c>
      <c r="E262" s="1" t="s">
        <v>165</v>
      </c>
      <c r="F262" s="1" t="s">
        <v>647</v>
      </c>
      <c r="G262" s="1">
        <v>213.5</v>
      </c>
      <c r="H262" s="1" t="s">
        <v>60</v>
      </c>
      <c r="I262" s="1">
        <v>-112.0</v>
      </c>
      <c r="J262" s="1">
        <v>-0.0821476582547169</v>
      </c>
      <c r="K262" s="1" t="s">
        <v>61</v>
      </c>
      <c r="L262" s="1" t="s">
        <v>61</v>
      </c>
      <c r="M262" s="1" t="s">
        <v>62</v>
      </c>
      <c r="N262" s="1">
        <v>-114.0</v>
      </c>
      <c r="O262" s="1">
        <v>0.0212319534906542</v>
      </c>
      <c r="P262" s="1" t="s">
        <v>61</v>
      </c>
      <c r="Q262" s="1" t="s">
        <v>61</v>
      </c>
      <c r="R262" s="1">
        <f t="shared" si="1"/>
        <v>0.02123195349</v>
      </c>
      <c r="S262" s="1">
        <f t="shared" si="2"/>
        <v>-114</v>
      </c>
      <c r="T262" s="1">
        <f t="shared" si="3"/>
        <v>1.877192982</v>
      </c>
      <c r="U262" s="1">
        <f t="shared" si="4"/>
        <v>0</v>
      </c>
      <c r="V262" s="3">
        <f t="shared" si="5"/>
        <v>1</v>
      </c>
      <c r="W262" s="3">
        <f t="shared" si="6"/>
        <v>2</v>
      </c>
      <c r="X262" s="3" t="str">
        <f>IFERROR(__xludf.DUMMYFUNCTION("split(B262,"" "")"),"D.")</f>
        <v>D.</v>
      </c>
      <c r="Y262" s="3" t="str">
        <f>IFERROR(__xludf.DUMMYFUNCTION("""COMPUTED_VALUE"""),"Maye")</f>
        <v>Maye</v>
      </c>
      <c r="AA262" s="8">
        <v>23.0</v>
      </c>
      <c r="AB262" s="3">
        <f t="shared" si="7"/>
        <v>0</v>
      </c>
      <c r="AC262" s="3">
        <f t="shared" si="8"/>
        <v>1</v>
      </c>
      <c r="AD262" s="3">
        <f t="shared" si="9"/>
        <v>0.8771929825</v>
      </c>
      <c r="AE262" s="3">
        <f t="shared" si="10"/>
        <v>0.8771929825</v>
      </c>
      <c r="AF262" s="3">
        <f t="shared" si="11"/>
        <v>1.754385965</v>
      </c>
      <c r="AG262" s="3">
        <f t="shared" si="12"/>
        <v>0.8922716628</v>
      </c>
    </row>
    <row r="263">
      <c r="A263" s="1" t="s">
        <v>9</v>
      </c>
      <c r="B263" s="1" t="s">
        <v>476</v>
      </c>
      <c r="C263" s="1" t="s">
        <v>19</v>
      </c>
      <c r="D263" s="1" t="s">
        <v>66</v>
      </c>
      <c r="E263" s="1" t="s">
        <v>165</v>
      </c>
      <c r="F263" s="1" t="s">
        <v>647</v>
      </c>
      <c r="G263" s="1">
        <v>65.5</v>
      </c>
      <c r="H263" s="1" t="s">
        <v>60</v>
      </c>
      <c r="I263" s="1">
        <v>-115.0</v>
      </c>
      <c r="J263" s="1">
        <v>-0.0905442944997124</v>
      </c>
      <c r="K263" s="1" t="s">
        <v>61</v>
      </c>
      <c r="L263" s="1" t="s">
        <v>61</v>
      </c>
      <c r="M263" s="1" t="s">
        <v>62</v>
      </c>
      <c r="N263" s="1">
        <v>-117.0</v>
      </c>
      <c r="O263" s="1">
        <v>0.0165315542921782</v>
      </c>
      <c r="P263" s="1" t="s">
        <v>61</v>
      </c>
      <c r="Q263" s="1" t="s">
        <v>61</v>
      </c>
      <c r="R263" s="1">
        <f t="shared" si="1"/>
        <v>0.01653155429</v>
      </c>
      <c r="S263" s="1">
        <f t="shared" si="2"/>
        <v>-117</v>
      </c>
      <c r="T263" s="1">
        <f t="shared" si="3"/>
        <v>1.854700855</v>
      </c>
      <c r="U263" s="1">
        <f t="shared" si="4"/>
        <v>0</v>
      </c>
      <c r="V263" s="3">
        <f t="shared" si="5"/>
        <v>1</v>
      </c>
      <c r="W263" s="3">
        <f t="shared" si="6"/>
        <v>2</v>
      </c>
      <c r="X263" s="3" t="str">
        <f>IFERROR(__xludf.DUMMYFUNCTION("split(B263,"" "")"),"R.")</f>
        <v>R.</v>
      </c>
      <c r="Y263" s="3" t="str">
        <f>IFERROR(__xludf.DUMMYFUNCTION("""COMPUTED_VALUE"""),"Stevenson")</f>
        <v>Stevenson</v>
      </c>
      <c r="AA263" s="8">
        <v>65.0</v>
      </c>
      <c r="AB263" s="3">
        <f t="shared" si="7"/>
        <v>0</v>
      </c>
      <c r="AC263" s="3">
        <f t="shared" si="8"/>
        <v>1</v>
      </c>
      <c r="AD263" s="3">
        <f t="shared" si="9"/>
        <v>0.8547008547</v>
      </c>
      <c r="AE263" s="3">
        <f t="shared" si="10"/>
        <v>0.8547008547</v>
      </c>
      <c r="AF263" s="3">
        <f t="shared" si="11"/>
        <v>1.709401709</v>
      </c>
      <c r="AG263" s="3">
        <f t="shared" si="12"/>
        <v>0.007633587786</v>
      </c>
    </row>
    <row r="264">
      <c r="A264" s="1" t="s">
        <v>10</v>
      </c>
      <c r="B264" s="1" t="s">
        <v>476</v>
      </c>
      <c r="C264" s="1" t="s">
        <v>19</v>
      </c>
      <c r="D264" s="1" t="s">
        <v>66</v>
      </c>
      <c r="E264" s="1" t="s">
        <v>165</v>
      </c>
      <c r="F264" s="1" t="s">
        <v>647</v>
      </c>
      <c r="G264" s="1">
        <v>45.5</v>
      </c>
      <c r="H264" s="1" t="s">
        <v>60</v>
      </c>
      <c r="I264" s="1">
        <v>-113.0</v>
      </c>
      <c r="J264" s="1">
        <v>-0.0830699678705296</v>
      </c>
      <c r="K264" s="1" t="s">
        <v>61</v>
      </c>
      <c r="L264" s="1" t="s">
        <v>61</v>
      </c>
      <c r="M264" s="1" t="s">
        <v>62</v>
      </c>
      <c r="N264" s="1">
        <v>-116.0</v>
      </c>
      <c r="O264" s="1">
        <v>0.0155960038703502</v>
      </c>
      <c r="P264" s="1" t="s">
        <v>61</v>
      </c>
      <c r="Q264" s="1" t="s">
        <v>61</v>
      </c>
      <c r="R264" s="1">
        <f t="shared" si="1"/>
        <v>0.01559600387</v>
      </c>
      <c r="S264" s="1">
        <f t="shared" si="2"/>
        <v>-116</v>
      </c>
      <c r="T264" s="1">
        <f t="shared" si="3"/>
        <v>1.862068966</v>
      </c>
      <c r="U264" s="1">
        <f t="shared" si="4"/>
        <v>0</v>
      </c>
      <c r="V264" s="3">
        <f t="shared" si="5"/>
        <v>1</v>
      </c>
      <c r="W264" s="3">
        <f t="shared" si="6"/>
        <v>2</v>
      </c>
      <c r="X264" s="3" t="str">
        <f>IFERROR(__xludf.DUMMYFUNCTION("split(B264,"" "")"),"R.")</f>
        <v>R.</v>
      </c>
      <c r="Y264" s="3" t="str">
        <f>IFERROR(__xludf.DUMMYFUNCTION("""COMPUTED_VALUE"""),"Stevenson")</f>
        <v>Stevenson</v>
      </c>
      <c r="AA264" s="8">
        <v>48.0</v>
      </c>
      <c r="AB264" s="3">
        <f t="shared" si="7"/>
        <v>1</v>
      </c>
      <c r="AC264" s="3">
        <f t="shared" si="8"/>
        <v>0</v>
      </c>
      <c r="AD264" s="3">
        <f t="shared" si="9"/>
        <v>0.8620689655</v>
      </c>
      <c r="AE264" s="3">
        <f t="shared" si="10"/>
        <v>-1</v>
      </c>
      <c r="AF264" s="3">
        <f t="shared" si="11"/>
        <v>-2</v>
      </c>
      <c r="AG264" s="3">
        <f t="shared" si="12"/>
        <v>-0.05494505495</v>
      </c>
    </row>
    <row r="265">
      <c r="A265" s="1" t="s">
        <v>10</v>
      </c>
      <c r="B265" s="1" t="s">
        <v>491</v>
      </c>
      <c r="C265" s="1" t="s">
        <v>18</v>
      </c>
      <c r="D265" s="1" t="s">
        <v>58</v>
      </c>
      <c r="E265" s="1" t="s">
        <v>135</v>
      </c>
      <c r="F265" s="1" t="s">
        <v>648</v>
      </c>
      <c r="G265" s="1">
        <v>0.5</v>
      </c>
      <c r="H265" s="1" t="s">
        <v>60</v>
      </c>
      <c r="I265" s="1">
        <v>850.0</v>
      </c>
      <c r="J265" s="1">
        <v>0.507433862820633</v>
      </c>
      <c r="K265" s="1" t="s">
        <v>61</v>
      </c>
      <c r="L265" s="1" t="s">
        <v>61</v>
      </c>
      <c r="M265" s="1" t="s">
        <v>62</v>
      </c>
      <c r="N265" s="1">
        <v>-2000.0</v>
      </c>
      <c r="O265" s="1">
        <v>-0.56504556826846</v>
      </c>
      <c r="P265" s="1" t="s">
        <v>61</v>
      </c>
      <c r="Q265" s="1" t="s">
        <v>61</v>
      </c>
      <c r="R265" s="1">
        <f t="shared" si="1"/>
        <v>0.5074338628</v>
      </c>
      <c r="S265" s="1">
        <f t="shared" si="2"/>
        <v>850</v>
      </c>
      <c r="T265" s="1">
        <f t="shared" si="3"/>
        <v>9.5</v>
      </c>
      <c r="U265" s="1">
        <f t="shared" si="4"/>
        <v>1</v>
      </c>
      <c r="V265" s="3">
        <f t="shared" si="5"/>
        <v>3</v>
      </c>
      <c r="W265" s="3">
        <f t="shared" si="6"/>
        <v>1</v>
      </c>
      <c r="X265" s="3" t="str">
        <f>IFERROR(__xludf.DUMMYFUNCTION("split(B265,"" "")"),"C.")</f>
        <v>C.</v>
      </c>
      <c r="Y265" s="3" t="str">
        <f>IFERROR(__xludf.DUMMYFUNCTION("""COMPUTED_VALUE"""),"Olave")</f>
        <v>Olave</v>
      </c>
      <c r="AA265" s="8">
        <v>0.0</v>
      </c>
      <c r="AB265" s="3">
        <f t="shared" si="7"/>
        <v>0</v>
      </c>
      <c r="AC265" s="3">
        <f t="shared" si="8"/>
        <v>0</v>
      </c>
      <c r="AD265" s="3">
        <f t="shared" si="9"/>
        <v>25.5</v>
      </c>
      <c r="AE265" s="3">
        <f t="shared" si="10"/>
        <v>0</v>
      </c>
      <c r="AF265" s="3">
        <f t="shared" si="11"/>
        <v>-1</v>
      </c>
      <c r="AG265" s="3">
        <f t="shared" si="12"/>
        <v>-1</v>
      </c>
    </row>
    <row r="266">
      <c r="A266" s="1" t="s">
        <v>8</v>
      </c>
      <c r="B266" s="1" t="s">
        <v>623</v>
      </c>
      <c r="C266" s="1" t="s">
        <v>21</v>
      </c>
      <c r="D266" s="1" t="s">
        <v>58</v>
      </c>
      <c r="E266" s="1" t="s">
        <v>135</v>
      </c>
      <c r="F266" s="1" t="s">
        <v>648</v>
      </c>
      <c r="G266" s="1">
        <v>4.5</v>
      </c>
      <c r="H266" s="1" t="s">
        <v>60</v>
      </c>
      <c r="I266" s="1">
        <v>-110.0</v>
      </c>
      <c r="J266" s="1">
        <v>-0.224300838247361</v>
      </c>
      <c r="K266" s="1" t="s">
        <v>61</v>
      </c>
      <c r="L266" s="1" t="s">
        <v>61</v>
      </c>
      <c r="M266" s="1" t="s">
        <v>62</v>
      </c>
      <c r="N266" s="1">
        <v>-120.0</v>
      </c>
      <c r="O266" s="1">
        <v>0.155035505628795</v>
      </c>
      <c r="P266" s="1" t="s">
        <v>61</v>
      </c>
      <c r="Q266" s="1" t="s">
        <v>61</v>
      </c>
      <c r="R266" s="1">
        <f t="shared" si="1"/>
        <v>0.1550355056</v>
      </c>
      <c r="S266" s="1">
        <f t="shared" si="2"/>
        <v>-120</v>
      </c>
      <c r="T266" s="1">
        <f t="shared" si="3"/>
        <v>1.833333333</v>
      </c>
      <c r="U266" s="1">
        <f t="shared" si="4"/>
        <v>0</v>
      </c>
      <c r="V266" s="3">
        <f t="shared" si="5"/>
        <v>3</v>
      </c>
      <c r="W266" s="3">
        <f t="shared" si="6"/>
        <v>3</v>
      </c>
      <c r="X266" s="3" t="str">
        <f>IFERROR(__xludf.DUMMYFUNCTION("split(B266,"" "")"),"S.")</f>
        <v>S.</v>
      </c>
      <c r="Y266" s="3" t="str">
        <f>IFERROR(__xludf.DUMMYFUNCTION("""COMPUTED_VALUE"""),"Rattler")</f>
        <v>Rattler</v>
      </c>
      <c r="AA266" s="8">
        <v>0.0</v>
      </c>
      <c r="AB266" s="3">
        <f t="shared" si="7"/>
        <v>0</v>
      </c>
      <c r="AC266" s="3">
        <f t="shared" si="8"/>
        <v>1</v>
      </c>
      <c r="AD266" s="3">
        <f t="shared" si="9"/>
        <v>2.5</v>
      </c>
      <c r="AE266" s="3">
        <f t="shared" si="10"/>
        <v>2.5</v>
      </c>
      <c r="AF266" s="3">
        <f t="shared" si="11"/>
        <v>2.5</v>
      </c>
      <c r="AG266" s="3">
        <f t="shared" si="12"/>
        <v>1</v>
      </c>
    </row>
    <row r="267">
      <c r="A267" s="1" t="s">
        <v>17</v>
      </c>
      <c r="B267" s="1" t="s">
        <v>623</v>
      </c>
      <c r="C267" s="1" t="s">
        <v>21</v>
      </c>
      <c r="D267" s="1" t="s">
        <v>58</v>
      </c>
      <c r="E267" s="1" t="s">
        <v>135</v>
      </c>
      <c r="F267" s="1" t="s">
        <v>648</v>
      </c>
      <c r="G267" s="1">
        <v>0.5</v>
      </c>
      <c r="H267" s="1" t="s">
        <v>60</v>
      </c>
      <c r="I267" s="1">
        <v>-169.0</v>
      </c>
      <c r="J267" s="1">
        <v>-0.170052788104089</v>
      </c>
      <c r="K267" s="1" t="s">
        <v>61</v>
      </c>
      <c r="L267" s="1" t="s">
        <v>61</v>
      </c>
      <c r="M267" s="1" t="s">
        <v>62</v>
      </c>
      <c r="N267" s="1">
        <v>128.0</v>
      </c>
      <c r="O267" s="1">
        <v>0.103203508771929</v>
      </c>
      <c r="P267" s="1" t="s">
        <v>61</v>
      </c>
      <c r="Q267" s="1" t="s">
        <v>61</v>
      </c>
      <c r="R267" s="1">
        <f t="shared" si="1"/>
        <v>0.1032035088</v>
      </c>
      <c r="S267" s="1">
        <f t="shared" si="2"/>
        <v>128</v>
      </c>
      <c r="T267" s="1">
        <f t="shared" si="3"/>
        <v>2.28</v>
      </c>
      <c r="U267" s="1">
        <f t="shared" si="4"/>
        <v>0</v>
      </c>
      <c r="V267" s="3">
        <f t="shared" si="5"/>
        <v>3</v>
      </c>
      <c r="W267" s="3">
        <f t="shared" si="6"/>
        <v>1</v>
      </c>
      <c r="X267" s="3" t="str">
        <f>IFERROR(__xludf.DUMMYFUNCTION("split(B267,"" "")"),"S.")</f>
        <v>S.</v>
      </c>
      <c r="Y267" s="3" t="str">
        <f>IFERROR(__xludf.DUMMYFUNCTION("""COMPUTED_VALUE"""),"Rattler")</f>
        <v>Rattler</v>
      </c>
      <c r="AA267" s="8">
        <v>0.0</v>
      </c>
      <c r="AB267" s="3">
        <f t="shared" si="7"/>
        <v>0</v>
      </c>
      <c r="AC267" s="3">
        <f t="shared" si="8"/>
        <v>1</v>
      </c>
      <c r="AD267" s="3">
        <f t="shared" si="9"/>
        <v>3.84</v>
      </c>
      <c r="AE267" s="3">
        <f t="shared" si="10"/>
        <v>3.84</v>
      </c>
      <c r="AF267" s="3">
        <f t="shared" si="11"/>
        <v>1.28</v>
      </c>
      <c r="AG267" s="3">
        <f t="shared" si="12"/>
        <v>1</v>
      </c>
    </row>
    <row r="268">
      <c r="A268" s="1" t="s">
        <v>10</v>
      </c>
      <c r="B268" s="1" t="s">
        <v>623</v>
      </c>
      <c r="C268" s="1" t="s">
        <v>21</v>
      </c>
      <c r="D268" s="1" t="s">
        <v>58</v>
      </c>
      <c r="E268" s="1" t="s">
        <v>135</v>
      </c>
      <c r="F268" s="1" t="s">
        <v>648</v>
      </c>
      <c r="G268" s="1">
        <v>21.5</v>
      </c>
      <c r="H268" s="1" t="s">
        <v>60</v>
      </c>
      <c r="I268" s="1">
        <v>-119.0</v>
      </c>
      <c r="J268" s="1">
        <v>-0.152676731293904</v>
      </c>
      <c r="K268" s="1" t="s">
        <v>61</v>
      </c>
      <c r="L268" s="1" t="s">
        <v>61</v>
      </c>
      <c r="M268" s="1" t="s">
        <v>62</v>
      </c>
      <c r="N268" s="1">
        <v>-110.0</v>
      </c>
      <c r="O268" s="1">
        <v>0.0855467360414361</v>
      </c>
      <c r="P268" s="1" t="s">
        <v>61</v>
      </c>
      <c r="Q268" s="1" t="s">
        <v>61</v>
      </c>
      <c r="R268" s="1">
        <f t="shared" si="1"/>
        <v>0.08554673604</v>
      </c>
      <c r="S268" s="1">
        <f t="shared" si="2"/>
        <v>-110</v>
      </c>
      <c r="T268" s="1">
        <f t="shared" si="3"/>
        <v>1.909090909</v>
      </c>
      <c r="U268" s="1">
        <f t="shared" si="4"/>
        <v>0</v>
      </c>
      <c r="V268" s="3">
        <f t="shared" si="5"/>
        <v>2</v>
      </c>
      <c r="W268" s="3">
        <f t="shared" si="6"/>
        <v>2</v>
      </c>
      <c r="X268" s="3" t="str">
        <f>IFERROR(__xludf.DUMMYFUNCTION("split(B268,"" "")"),"S.")</f>
        <v>S.</v>
      </c>
      <c r="Y268" s="3" t="str">
        <f>IFERROR(__xludf.DUMMYFUNCTION("""COMPUTED_VALUE"""),"Rattler")</f>
        <v>Rattler</v>
      </c>
      <c r="AA268" s="8">
        <v>0.0</v>
      </c>
      <c r="AB268" s="3">
        <f t="shared" si="7"/>
        <v>0</v>
      </c>
      <c r="AC268" s="3">
        <f t="shared" si="8"/>
        <v>1</v>
      </c>
      <c r="AD268" s="3">
        <f t="shared" si="9"/>
        <v>1.818181818</v>
      </c>
      <c r="AE268" s="3">
        <f t="shared" si="10"/>
        <v>1.818181818</v>
      </c>
      <c r="AF268" s="3">
        <f t="shared" si="11"/>
        <v>1.818181818</v>
      </c>
      <c r="AG268" s="3">
        <f t="shared" si="12"/>
        <v>1</v>
      </c>
    </row>
    <row r="269">
      <c r="A269" s="1" t="s">
        <v>14</v>
      </c>
      <c r="B269" s="1" t="s">
        <v>623</v>
      </c>
      <c r="C269" s="1" t="s">
        <v>21</v>
      </c>
      <c r="D269" s="1" t="s">
        <v>58</v>
      </c>
      <c r="E269" s="1" t="s">
        <v>135</v>
      </c>
      <c r="F269" s="1" t="s">
        <v>648</v>
      </c>
      <c r="G269" s="1">
        <v>0.5</v>
      </c>
      <c r="H269" s="1" t="s">
        <v>60</v>
      </c>
      <c r="I269" s="1">
        <v>-170.0</v>
      </c>
      <c r="J269" s="1">
        <v>-0.146165016333333</v>
      </c>
      <c r="K269" s="1" t="s">
        <v>61</v>
      </c>
      <c r="L269" s="1" t="s">
        <v>61</v>
      </c>
      <c r="M269" s="1" t="s">
        <v>62</v>
      </c>
      <c r="N269" s="1">
        <v>131.0</v>
      </c>
      <c r="O269" s="1">
        <v>0.0836409281818181</v>
      </c>
      <c r="P269" s="1" t="s">
        <v>61</v>
      </c>
      <c r="Q269" s="1" t="s">
        <v>61</v>
      </c>
      <c r="R269" s="1">
        <f t="shared" si="1"/>
        <v>0.08364092818</v>
      </c>
      <c r="S269" s="1">
        <f t="shared" si="2"/>
        <v>131</v>
      </c>
      <c r="T269" s="1">
        <f t="shared" si="3"/>
        <v>2.31</v>
      </c>
      <c r="U269" s="1">
        <f t="shared" si="4"/>
        <v>0</v>
      </c>
      <c r="V269" s="3">
        <f t="shared" si="5"/>
        <v>2</v>
      </c>
      <c r="W269" s="3">
        <f t="shared" si="6"/>
        <v>1</v>
      </c>
      <c r="X269" s="3" t="str">
        <f>IFERROR(__xludf.DUMMYFUNCTION("split(B269,"" "")"),"S.")</f>
        <v>S.</v>
      </c>
      <c r="Y269" s="3" t="str">
        <f>IFERROR(__xludf.DUMMYFUNCTION("""COMPUTED_VALUE"""),"Rattler")</f>
        <v>Rattler</v>
      </c>
      <c r="AA269" s="8">
        <v>0.0</v>
      </c>
      <c r="AB269" s="3">
        <f t="shared" si="7"/>
        <v>0</v>
      </c>
      <c r="AC269" s="3">
        <f t="shared" si="8"/>
        <v>1</v>
      </c>
      <c r="AD269" s="3">
        <f t="shared" si="9"/>
        <v>2.62</v>
      </c>
      <c r="AE269" s="3">
        <f t="shared" si="10"/>
        <v>2.62</v>
      </c>
      <c r="AF269" s="3">
        <f t="shared" si="11"/>
        <v>1.31</v>
      </c>
      <c r="AG269" s="3">
        <f t="shared" si="12"/>
        <v>1</v>
      </c>
    </row>
    <row r="270">
      <c r="A270" s="1" t="s">
        <v>9</v>
      </c>
      <c r="B270" s="1" t="s">
        <v>491</v>
      </c>
      <c r="C270" s="1" t="s">
        <v>18</v>
      </c>
      <c r="D270" s="1" t="s">
        <v>58</v>
      </c>
      <c r="E270" s="1" t="s">
        <v>135</v>
      </c>
      <c r="F270" s="1" t="s">
        <v>648</v>
      </c>
      <c r="G270" s="1">
        <v>48.5</v>
      </c>
      <c r="H270" s="1" t="s">
        <v>60</v>
      </c>
      <c r="I270" s="1">
        <v>-115.0</v>
      </c>
      <c r="J270" s="1">
        <v>0.024394096930784</v>
      </c>
      <c r="K270" s="1" t="s">
        <v>61</v>
      </c>
      <c r="L270" s="1" t="s">
        <v>61</v>
      </c>
      <c r="M270" s="1" t="s">
        <v>62</v>
      </c>
      <c r="N270" s="1">
        <v>-117.0</v>
      </c>
      <c r="O270" s="1">
        <v>-0.0984288713499482</v>
      </c>
      <c r="P270" s="1" t="s">
        <v>61</v>
      </c>
      <c r="Q270" s="1" t="s">
        <v>61</v>
      </c>
      <c r="R270" s="1">
        <f t="shared" si="1"/>
        <v>0.02439409693</v>
      </c>
      <c r="S270" s="1">
        <f t="shared" si="2"/>
        <v>-115</v>
      </c>
      <c r="T270" s="1">
        <f t="shared" si="3"/>
        <v>1.869565217</v>
      </c>
      <c r="U270" s="1">
        <f t="shared" si="4"/>
        <v>1</v>
      </c>
      <c r="V270" s="3">
        <f t="shared" si="5"/>
        <v>1</v>
      </c>
      <c r="W270" s="3">
        <f t="shared" si="6"/>
        <v>2</v>
      </c>
      <c r="X270" s="3" t="str">
        <f>IFERROR(__xludf.DUMMYFUNCTION("split(B270,"" "")"),"C.")</f>
        <v>C.</v>
      </c>
      <c r="Y270" s="3" t="str">
        <f>IFERROR(__xludf.DUMMYFUNCTION("""COMPUTED_VALUE"""),"Olave")</f>
        <v>Olave</v>
      </c>
      <c r="AA270" s="8">
        <v>107.0</v>
      </c>
      <c r="AB270" s="3">
        <f t="shared" si="7"/>
        <v>1</v>
      </c>
      <c r="AC270" s="3">
        <f t="shared" si="8"/>
        <v>1</v>
      </c>
      <c r="AD270" s="3">
        <f t="shared" si="9"/>
        <v>0.8695652174</v>
      </c>
      <c r="AE270" s="3">
        <f t="shared" si="10"/>
        <v>0.8695652174</v>
      </c>
      <c r="AF270" s="3">
        <f t="shared" si="11"/>
        <v>1.739130435</v>
      </c>
      <c r="AG270" s="3">
        <f t="shared" si="12"/>
        <v>1.206185567</v>
      </c>
    </row>
    <row r="271">
      <c r="A271" s="1" t="s">
        <v>12</v>
      </c>
      <c r="B271" s="1" t="s">
        <v>491</v>
      </c>
      <c r="C271" s="1" t="s">
        <v>18</v>
      </c>
      <c r="D271" s="1" t="s">
        <v>58</v>
      </c>
      <c r="E271" s="1" t="s">
        <v>135</v>
      </c>
      <c r="F271" s="1" t="s">
        <v>648</v>
      </c>
      <c r="G271" s="1">
        <v>4.5</v>
      </c>
      <c r="H271" s="1" t="s">
        <v>60</v>
      </c>
      <c r="I271" s="1">
        <v>110.0</v>
      </c>
      <c r="J271" s="1">
        <v>0.0224619047619047</v>
      </c>
      <c r="K271" s="1" t="s">
        <v>61</v>
      </c>
      <c r="L271" s="1" t="s">
        <v>61</v>
      </c>
      <c r="M271" s="1" t="s">
        <v>62</v>
      </c>
      <c r="N271" s="1">
        <v>-144.0</v>
      </c>
      <c r="O271" s="1">
        <v>-0.0888229508196721</v>
      </c>
      <c r="P271" s="1" t="s">
        <v>61</v>
      </c>
      <c r="Q271" s="1" t="s">
        <v>61</v>
      </c>
      <c r="R271" s="1">
        <f t="shared" si="1"/>
        <v>0.02246190476</v>
      </c>
      <c r="S271" s="1">
        <f t="shared" si="2"/>
        <v>110</v>
      </c>
      <c r="T271" s="1">
        <f t="shared" si="3"/>
        <v>2.1</v>
      </c>
      <c r="U271" s="1">
        <f t="shared" si="4"/>
        <v>1</v>
      </c>
      <c r="V271" s="3">
        <f t="shared" si="5"/>
        <v>1</v>
      </c>
      <c r="W271" s="3">
        <f t="shared" si="6"/>
        <v>2</v>
      </c>
      <c r="X271" s="3" t="str">
        <f>IFERROR(__xludf.DUMMYFUNCTION("split(B271,"" "")"),"C.")</f>
        <v>C.</v>
      </c>
      <c r="Y271" s="3" t="str">
        <f>IFERROR(__xludf.DUMMYFUNCTION("""COMPUTED_VALUE"""),"Olave")</f>
        <v>Olave</v>
      </c>
      <c r="AA271" s="8">
        <v>8.0</v>
      </c>
      <c r="AB271" s="3">
        <f t="shared" si="7"/>
        <v>1</v>
      </c>
      <c r="AC271" s="3">
        <f t="shared" si="8"/>
        <v>1</v>
      </c>
      <c r="AD271" s="3">
        <f t="shared" si="9"/>
        <v>1.1</v>
      </c>
      <c r="AE271" s="3">
        <f t="shared" si="10"/>
        <v>1.1</v>
      </c>
      <c r="AF271" s="3">
        <f t="shared" si="11"/>
        <v>2.2</v>
      </c>
      <c r="AG271" s="3">
        <f t="shared" si="12"/>
        <v>0.7777777778</v>
      </c>
    </row>
    <row r="272">
      <c r="A272" s="1" t="s">
        <v>13</v>
      </c>
      <c r="B272" s="1" t="s">
        <v>623</v>
      </c>
      <c r="C272" s="1" t="s">
        <v>21</v>
      </c>
      <c r="D272" s="1" t="s">
        <v>58</v>
      </c>
      <c r="E272" s="1" t="s">
        <v>135</v>
      </c>
      <c r="F272" s="1" t="s">
        <v>648</v>
      </c>
      <c r="G272" s="1">
        <v>174.5</v>
      </c>
      <c r="H272" s="1" t="s">
        <v>60</v>
      </c>
      <c r="I272" s="1">
        <v>-116.0</v>
      </c>
      <c r="J272" s="1">
        <v>0.0196917110046292</v>
      </c>
      <c r="K272" s="1" t="s">
        <v>61</v>
      </c>
      <c r="L272" s="1" t="s">
        <v>61</v>
      </c>
      <c r="M272" s="1" t="s">
        <v>62</v>
      </c>
      <c r="N272" s="1">
        <v>-111.0</v>
      </c>
      <c r="O272" s="1">
        <v>-0.0826763442202367</v>
      </c>
      <c r="P272" s="1" t="s">
        <v>61</v>
      </c>
      <c r="Q272" s="1" t="s">
        <v>61</v>
      </c>
      <c r="R272" s="1">
        <f t="shared" si="1"/>
        <v>0.019691711</v>
      </c>
      <c r="S272" s="1">
        <f t="shared" si="2"/>
        <v>-116</v>
      </c>
      <c r="T272" s="1">
        <f t="shared" si="3"/>
        <v>1.862068966</v>
      </c>
      <c r="U272" s="1">
        <f t="shared" si="4"/>
        <v>1</v>
      </c>
      <c r="V272" s="3">
        <f t="shared" si="5"/>
        <v>1</v>
      </c>
      <c r="W272" s="3">
        <f t="shared" si="6"/>
        <v>2</v>
      </c>
      <c r="X272" s="3" t="str">
        <f>IFERROR(__xludf.DUMMYFUNCTION("split(B272,"" "")"),"S.")</f>
        <v>S.</v>
      </c>
      <c r="Y272" s="3" t="str">
        <f>IFERROR(__xludf.DUMMYFUNCTION("""COMPUTED_VALUE"""),"Rattler")</f>
        <v>Rattler</v>
      </c>
      <c r="AA272" s="8">
        <v>156.0</v>
      </c>
      <c r="AB272" s="3">
        <f t="shared" si="7"/>
        <v>0</v>
      </c>
      <c r="AC272" s="3">
        <f t="shared" si="8"/>
        <v>0</v>
      </c>
      <c r="AD272" s="3">
        <f t="shared" si="9"/>
        <v>0.8620689655</v>
      </c>
      <c r="AE272" s="3">
        <f t="shared" si="10"/>
        <v>-1</v>
      </c>
      <c r="AF272" s="3">
        <f t="shared" si="11"/>
        <v>-2</v>
      </c>
      <c r="AG272" s="3">
        <f t="shared" si="12"/>
        <v>-0.106017192</v>
      </c>
    </row>
    <row r="273">
      <c r="A273" s="1" t="s">
        <v>8</v>
      </c>
      <c r="B273" s="1" t="s">
        <v>282</v>
      </c>
      <c r="C273" s="1" t="s">
        <v>19</v>
      </c>
      <c r="D273" s="1" t="s">
        <v>58</v>
      </c>
      <c r="E273" s="1" t="s">
        <v>135</v>
      </c>
      <c r="F273" s="1" t="s">
        <v>648</v>
      </c>
      <c r="G273" s="1">
        <v>12.5</v>
      </c>
      <c r="H273" s="1" t="s">
        <v>60</v>
      </c>
      <c r="I273" s="1">
        <v>-123.0</v>
      </c>
      <c r="J273" s="1">
        <v>-0.0900682200035874</v>
      </c>
      <c r="K273" s="1" t="s">
        <v>61</v>
      </c>
      <c r="L273" s="1" t="s">
        <v>61</v>
      </c>
      <c r="M273" s="1" t="s">
        <v>62</v>
      </c>
      <c r="N273" s="1">
        <v>-108.0</v>
      </c>
      <c r="O273" s="1">
        <v>0.0192677408926154</v>
      </c>
      <c r="P273" s="1" t="s">
        <v>61</v>
      </c>
      <c r="Q273" s="1" t="s">
        <v>61</v>
      </c>
      <c r="R273" s="1">
        <f t="shared" si="1"/>
        <v>0.01926774089</v>
      </c>
      <c r="S273" s="1">
        <f t="shared" si="2"/>
        <v>-108</v>
      </c>
      <c r="T273" s="1">
        <f t="shared" si="3"/>
        <v>1.925925926</v>
      </c>
      <c r="U273" s="1">
        <f t="shared" si="4"/>
        <v>0</v>
      </c>
      <c r="V273" s="3">
        <f t="shared" si="5"/>
        <v>1</v>
      </c>
      <c r="W273" s="3">
        <f t="shared" si="6"/>
        <v>2</v>
      </c>
      <c r="X273" s="3" t="str">
        <f>IFERROR(__xludf.DUMMYFUNCTION("split(B273,"" "")"),"A.")</f>
        <v>A.</v>
      </c>
      <c r="Y273" s="3" t="str">
        <f>IFERROR(__xludf.DUMMYFUNCTION("""COMPUTED_VALUE"""),"Kamara")</f>
        <v>Kamara</v>
      </c>
      <c r="AA273" s="8">
        <v>10.0</v>
      </c>
      <c r="AB273" s="3">
        <f t="shared" si="7"/>
        <v>0</v>
      </c>
      <c r="AC273" s="3">
        <f t="shared" si="8"/>
        <v>1</v>
      </c>
      <c r="AD273" s="3">
        <f t="shared" si="9"/>
        <v>0.9259259259</v>
      </c>
      <c r="AE273" s="3">
        <f t="shared" si="10"/>
        <v>0.9259259259</v>
      </c>
      <c r="AF273" s="3">
        <f t="shared" si="11"/>
        <v>1.851851852</v>
      </c>
      <c r="AG273" s="3">
        <f t="shared" si="12"/>
        <v>0.2</v>
      </c>
    </row>
    <row r="274">
      <c r="A274" s="1" t="s">
        <v>16</v>
      </c>
      <c r="B274" s="1" t="s">
        <v>623</v>
      </c>
      <c r="C274" s="1" t="s">
        <v>21</v>
      </c>
      <c r="D274" s="1" t="s">
        <v>58</v>
      </c>
      <c r="E274" s="1" t="s">
        <v>135</v>
      </c>
      <c r="F274" s="1" t="s">
        <v>648</v>
      </c>
      <c r="G274" s="1">
        <v>29.5</v>
      </c>
      <c r="H274" s="1" t="s">
        <v>60</v>
      </c>
      <c r="I274" s="1">
        <v>-111.0</v>
      </c>
      <c r="J274" s="1">
        <v>-0.08241705492891</v>
      </c>
      <c r="K274" s="1" t="s">
        <v>61</v>
      </c>
      <c r="L274" s="1" t="s">
        <v>61</v>
      </c>
      <c r="M274" s="1" t="s">
        <v>62</v>
      </c>
      <c r="N274" s="1">
        <v>-118.0</v>
      </c>
      <c r="O274" s="1">
        <v>0.0150592951201835</v>
      </c>
      <c r="P274" s="1" t="s">
        <v>61</v>
      </c>
      <c r="Q274" s="1" t="s">
        <v>61</v>
      </c>
      <c r="R274" s="1">
        <f t="shared" si="1"/>
        <v>0.01505929512</v>
      </c>
      <c r="S274" s="1">
        <f t="shared" si="2"/>
        <v>-118</v>
      </c>
      <c r="T274" s="1">
        <f t="shared" si="3"/>
        <v>1.847457627</v>
      </c>
      <c r="U274" s="1">
        <f t="shared" si="4"/>
        <v>0</v>
      </c>
      <c r="V274" s="3">
        <f t="shared" si="5"/>
        <v>1</v>
      </c>
      <c r="W274" s="3">
        <f t="shared" si="6"/>
        <v>3</v>
      </c>
      <c r="X274" s="3" t="str">
        <f>IFERROR(__xludf.DUMMYFUNCTION("split(B274,"" "")"),"S.")</f>
        <v>S.</v>
      </c>
      <c r="Y274" s="3" t="str">
        <f>IFERROR(__xludf.DUMMYFUNCTION("""COMPUTED_VALUE"""),"Rattler")</f>
        <v>Rattler</v>
      </c>
      <c r="AA274" s="8">
        <v>24.0</v>
      </c>
      <c r="AB274" s="3">
        <f t="shared" si="7"/>
        <v>0</v>
      </c>
      <c r="AC274" s="3">
        <f t="shared" si="8"/>
        <v>1</v>
      </c>
      <c r="AD274" s="3">
        <f t="shared" si="9"/>
        <v>0.8474576271</v>
      </c>
      <c r="AE274" s="3">
        <f t="shared" si="10"/>
        <v>0.8474576271</v>
      </c>
      <c r="AF274" s="3">
        <f t="shared" si="11"/>
        <v>2.542372881</v>
      </c>
      <c r="AG274" s="3">
        <f t="shared" si="12"/>
        <v>0.186440678</v>
      </c>
    </row>
    <row r="275">
      <c r="A275" s="1" t="s">
        <v>10</v>
      </c>
      <c r="B275" s="1" t="s">
        <v>354</v>
      </c>
      <c r="C275" s="1" t="s">
        <v>18</v>
      </c>
      <c r="D275" s="1" t="s">
        <v>147</v>
      </c>
      <c r="E275" s="1" t="s">
        <v>110</v>
      </c>
      <c r="F275" s="1" t="s">
        <v>655</v>
      </c>
      <c r="G275" s="1">
        <v>0.5</v>
      </c>
      <c r="H275" s="1" t="s">
        <v>60</v>
      </c>
      <c r="I275" s="1">
        <v>310.0</v>
      </c>
      <c r="J275" s="1">
        <v>0.392587554978546</v>
      </c>
      <c r="K275" s="1" t="s">
        <v>61</v>
      </c>
      <c r="L275" s="1" t="s">
        <v>61</v>
      </c>
      <c r="M275" s="1" t="s">
        <v>62</v>
      </c>
      <c r="N275" s="1">
        <v>-450.0</v>
      </c>
      <c r="O275" s="1">
        <v>-0.454654569450145</v>
      </c>
      <c r="P275" s="1" t="s">
        <v>61</v>
      </c>
      <c r="Q275" s="1" t="s">
        <v>61</v>
      </c>
      <c r="R275" s="1">
        <f t="shared" si="1"/>
        <v>0.392587555</v>
      </c>
      <c r="S275" s="1">
        <f t="shared" si="2"/>
        <v>310</v>
      </c>
      <c r="T275" s="1">
        <f t="shared" si="3"/>
        <v>4.1</v>
      </c>
      <c r="U275" s="1">
        <f t="shared" si="4"/>
        <v>1</v>
      </c>
      <c r="V275" s="3">
        <f t="shared" si="5"/>
        <v>3</v>
      </c>
      <c r="W275" s="3">
        <f t="shared" si="6"/>
        <v>1</v>
      </c>
      <c r="X275" s="3" t="str">
        <f>IFERROR(__xludf.DUMMYFUNCTION("split(B275,"" "")"),"W.")</f>
        <v>W.</v>
      </c>
      <c r="Y275" s="3" t="str">
        <f>IFERROR(__xludf.DUMMYFUNCTION("""COMPUTED_VALUE"""),"Robinson")</f>
        <v>Robinson</v>
      </c>
      <c r="AA275" s="8">
        <v>0.0</v>
      </c>
      <c r="AB275" s="3">
        <f t="shared" si="7"/>
        <v>0</v>
      </c>
      <c r="AC275" s="3">
        <f t="shared" si="8"/>
        <v>0</v>
      </c>
      <c r="AD275" s="3">
        <f t="shared" si="9"/>
        <v>9.3</v>
      </c>
      <c r="AE275" s="3">
        <f t="shared" si="10"/>
        <v>0</v>
      </c>
      <c r="AF275" s="3">
        <f t="shared" si="11"/>
        <v>-1</v>
      </c>
      <c r="AG275" s="3">
        <f t="shared" si="12"/>
        <v>-1</v>
      </c>
    </row>
    <row r="276">
      <c r="A276" s="1" t="s">
        <v>10</v>
      </c>
      <c r="B276" s="1" t="s">
        <v>478</v>
      </c>
      <c r="C276" s="1" t="s">
        <v>18</v>
      </c>
      <c r="D276" s="1" t="s">
        <v>147</v>
      </c>
      <c r="E276" s="1" t="s">
        <v>110</v>
      </c>
      <c r="F276" s="1" t="s">
        <v>655</v>
      </c>
      <c r="G276" s="1">
        <v>0.5</v>
      </c>
      <c r="H276" s="1" t="s">
        <v>60</v>
      </c>
      <c r="I276" s="1">
        <v>270.0</v>
      </c>
      <c r="J276" s="1">
        <v>0.342519509740834</v>
      </c>
      <c r="K276" s="1" t="s">
        <v>61</v>
      </c>
      <c r="L276" s="1" t="s">
        <v>61</v>
      </c>
      <c r="M276" s="1" t="s">
        <v>62</v>
      </c>
      <c r="N276" s="1">
        <v>-380.0</v>
      </c>
      <c r="O276" s="1">
        <v>-0.404421628623158</v>
      </c>
      <c r="P276" s="1" t="s">
        <v>61</v>
      </c>
      <c r="Q276" s="1" t="s">
        <v>61</v>
      </c>
      <c r="R276" s="1">
        <f t="shared" si="1"/>
        <v>0.3425195097</v>
      </c>
      <c r="S276" s="1">
        <f t="shared" si="2"/>
        <v>270</v>
      </c>
      <c r="T276" s="1">
        <f t="shared" si="3"/>
        <v>3.7</v>
      </c>
      <c r="U276" s="1">
        <f t="shared" si="4"/>
        <v>1</v>
      </c>
      <c r="V276" s="3">
        <f t="shared" si="5"/>
        <v>3</v>
      </c>
      <c r="W276" s="3">
        <f t="shared" si="6"/>
        <v>1</v>
      </c>
      <c r="X276" s="3" t="str">
        <f>IFERROR(__xludf.DUMMYFUNCTION("split(B276,"" "")"),"M.")</f>
        <v>M.</v>
      </c>
      <c r="Y276" s="3" t="str">
        <f>IFERROR(__xludf.DUMMYFUNCTION("""COMPUTED_VALUE"""),"Nabers")</f>
        <v>Nabers</v>
      </c>
      <c r="AA276" s="8">
        <v>0.0</v>
      </c>
      <c r="AB276" s="3">
        <f t="shared" si="7"/>
        <v>0</v>
      </c>
      <c r="AC276" s="3">
        <f t="shared" si="8"/>
        <v>0</v>
      </c>
      <c r="AD276" s="3">
        <f t="shared" si="9"/>
        <v>8.1</v>
      </c>
      <c r="AE276" s="3">
        <f t="shared" si="10"/>
        <v>-3</v>
      </c>
      <c r="AF276" s="3">
        <f t="shared" si="11"/>
        <v>-1</v>
      </c>
      <c r="AG276" s="3">
        <f t="shared" si="12"/>
        <v>-1</v>
      </c>
    </row>
    <row r="277">
      <c r="A277" s="1" t="s">
        <v>12</v>
      </c>
      <c r="B277" s="1" t="s">
        <v>568</v>
      </c>
      <c r="C277" s="1" t="s">
        <v>19</v>
      </c>
      <c r="D277" s="1" t="s">
        <v>147</v>
      </c>
      <c r="E277" s="1" t="s">
        <v>110</v>
      </c>
      <c r="F277" s="1" t="s">
        <v>655</v>
      </c>
      <c r="G277" s="1">
        <v>1.5</v>
      </c>
      <c r="H277" s="1" t="s">
        <v>60</v>
      </c>
      <c r="I277" s="1">
        <v>-173.0</v>
      </c>
      <c r="J277" s="1">
        <v>-0.278093165516483</v>
      </c>
      <c r="K277" s="1" t="s">
        <v>61</v>
      </c>
      <c r="L277" s="1" t="s">
        <v>61</v>
      </c>
      <c r="M277" s="1" t="s">
        <v>62</v>
      </c>
      <c r="N277" s="1">
        <v>131.0</v>
      </c>
      <c r="O277" s="1">
        <v>0.211491922883116</v>
      </c>
      <c r="P277" s="1" t="s">
        <v>61</v>
      </c>
      <c r="Q277" s="1" t="s">
        <v>61</v>
      </c>
      <c r="R277" s="1">
        <f t="shared" si="1"/>
        <v>0.2114919229</v>
      </c>
      <c r="S277" s="1">
        <f t="shared" si="2"/>
        <v>131</v>
      </c>
      <c r="T277" s="1">
        <f t="shared" si="3"/>
        <v>2.31</v>
      </c>
      <c r="U277" s="1">
        <f t="shared" si="4"/>
        <v>0</v>
      </c>
      <c r="V277" s="3">
        <f t="shared" si="5"/>
        <v>3</v>
      </c>
      <c r="W277" s="3">
        <f t="shared" si="6"/>
        <v>1</v>
      </c>
      <c r="X277" s="3" t="str">
        <f>IFERROR(__xludf.DUMMYFUNCTION("split(B277,"" "")"),"T.")</f>
        <v>T.</v>
      </c>
      <c r="Y277" s="3" t="str">
        <f>IFERROR(__xludf.DUMMYFUNCTION("""COMPUTED_VALUE"""),"Tracy")</f>
        <v>Tracy</v>
      </c>
      <c r="AA277" s="8">
        <v>2.0</v>
      </c>
      <c r="AB277" s="3">
        <f t="shared" si="7"/>
        <v>1</v>
      </c>
      <c r="AC277" s="3">
        <f t="shared" si="8"/>
        <v>0</v>
      </c>
      <c r="AD277" s="3">
        <f t="shared" si="9"/>
        <v>3.93</v>
      </c>
      <c r="AE277" s="3">
        <f t="shared" si="10"/>
        <v>-3</v>
      </c>
      <c r="AF277" s="3">
        <f t="shared" si="11"/>
        <v>-1</v>
      </c>
      <c r="AG277" s="3">
        <f t="shared" si="12"/>
        <v>-0.3333333333</v>
      </c>
    </row>
    <row r="278">
      <c r="A278" s="1" t="s">
        <v>12</v>
      </c>
      <c r="B278" s="1" t="s">
        <v>478</v>
      </c>
      <c r="C278" s="1" t="s">
        <v>18</v>
      </c>
      <c r="D278" s="1" t="s">
        <v>147</v>
      </c>
      <c r="E278" s="1" t="s">
        <v>110</v>
      </c>
      <c r="F278" s="1" t="s">
        <v>655</v>
      </c>
      <c r="G278" s="1">
        <v>6.5</v>
      </c>
      <c r="H278" s="1" t="s">
        <v>60</v>
      </c>
      <c r="I278" s="1">
        <v>116.0</v>
      </c>
      <c r="J278" s="1">
        <v>0.185675925925926</v>
      </c>
      <c r="K278" s="1" t="s">
        <v>61</v>
      </c>
      <c r="L278" s="1" t="s">
        <v>61</v>
      </c>
      <c r="M278" s="1" t="s">
        <v>62</v>
      </c>
      <c r="N278" s="1">
        <v>-151.0</v>
      </c>
      <c r="O278" s="1">
        <v>-0.250213147410358</v>
      </c>
      <c r="P278" s="1" t="s">
        <v>61</v>
      </c>
      <c r="Q278" s="1" t="s">
        <v>61</v>
      </c>
      <c r="R278" s="1">
        <f t="shared" si="1"/>
        <v>0.1856759259</v>
      </c>
      <c r="S278" s="1">
        <f t="shared" si="2"/>
        <v>116</v>
      </c>
      <c r="T278" s="1">
        <f t="shared" si="3"/>
        <v>2.16</v>
      </c>
      <c r="U278" s="1">
        <f t="shared" si="4"/>
        <v>1</v>
      </c>
      <c r="V278" s="3">
        <f t="shared" si="5"/>
        <v>3</v>
      </c>
      <c r="W278" s="3">
        <f t="shared" si="6"/>
        <v>1</v>
      </c>
      <c r="X278" s="3" t="str">
        <f>IFERROR(__xludf.DUMMYFUNCTION("split(B278,"" "")"),"M.")</f>
        <v>M.</v>
      </c>
      <c r="Y278" s="3" t="str">
        <f>IFERROR(__xludf.DUMMYFUNCTION("""COMPUTED_VALUE"""),"Nabers")</f>
        <v>Nabers</v>
      </c>
      <c r="AA278" s="8">
        <v>7.0</v>
      </c>
      <c r="AB278" s="3">
        <f t="shared" si="7"/>
        <v>1</v>
      </c>
      <c r="AC278" s="3">
        <f t="shared" si="8"/>
        <v>1</v>
      </c>
      <c r="AD278" s="3">
        <f t="shared" si="9"/>
        <v>3.48</v>
      </c>
      <c r="AE278" s="3">
        <f t="shared" si="10"/>
        <v>3.48</v>
      </c>
      <c r="AF278" s="3">
        <f t="shared" si="11"/>
        <v>1.16</v>
      </c>
      <c r="AG278" s="3">
        <f t="shared" si="12"/>
        <v>0.07692307692</v>
      </c>
    </row>
    <row r="279">
      <c r="A279" s="1" t="s">
        <v>8</v>
      </c>
      <c r="B279" s="1" t="s">
        <v>260</v>
      </c>
      <c r="C279" s="1" t="s">
        <v>21</v>
      </c>
      <c r="D279" s="1" t="s">
        <v>147</v>
      </c>
      <c r="E279" s="1" t="s">
        <v>110</v>
      </c>
      <c r="F279" s="1" t="s">
        <v>655</v>
      </c>
      <c r="G279" s="1">
        <v>5.5</v>
      </c>
      <c r="H279" s="1" t="s">
        <v>60</v>
      </c>
      <c r="I279" s="1">
        <v>-153.0</v>
      </c>
      <c r="J279" s="1">
        <v>-0.245456371637819</v>
      </c>
      <c r="K279" s="1" t="s">
        <v>61</v>
      </c>
      <c r="L279" s="1" t="s">
        <v>61</v>
      </c>
      <c r="M279" s="1" t="s">
        <v>62</v>
      </c>
      <c r="N279" s="1">
        <v>114.0</v>
      </c>
      <c r="O279" s="1">
        <v>0.17340776646901</v>
      </c>
      <c r="P279" s="1" t="s">
        <v>61</v>
      </c>
      <c r="Q279" s="1" t="s">
        <v>61</v>
      </c>
      <c r="R279" s="1">
        <f t="shared" si="1"/>
        <v>0.1734077665</v>
      </c>
      <c r="S279" s="1">
        <f t="shared" si="2"/>
        <v>114</v>
      </c>
      <c r="T279" s="1">
        <f t="shared" si="3"/>
        <v>2.14</v>
      </c>
      <c r="U279" s="1">
        <f t="shared" si="4"/>
        <v>0</v>
      </c>
      <c r="V279" s="3">
        <f t="shared" si="5"/>
        <v>3</v>
      </c>
      <c r="W279" s="3">
        <f t="shared" si="6"/>
        <v>1</v>
      </c>
      <c r="X279" s="3" t="str">
        <f>IFERROR(__xludf.DUMMYFUNCTION("split(B279,"" "")"),"D.")</f>
        <v>D.</v>
      </c>
      <c r="Y279" s="3" t="str">
        <f>IFERROR(__xludf.DUMMYFUNCTION("""COMPUTED_VALUE"""),"Jones")</f>
        <v>Jones</v>
      </c>
      <c r="AA279" s="8">
        <v>3.0</v>
      </c>
      <c r="AB279" s="3">
        <f t="shared" si="7"/>
        <v>0</v>
      </c>
      <c r="AC279" s="3">
        <f t="shared" si="8"/>
        <v>1</v>
      </c>
      <c r="AD279" s="3">
        <f t="shared" si="9"/>
        <v>3.42</v>
      </c>
      <c r="AE279" s="3">
        <f t="shared" si="10"/>
        <v>3.42</v>
      </c>
      <c r="AF279" s="3">
        <f t="shared" si="11"/>
        <v>1.14</v>
      </c>
      <c r="AG279" s="3">
        <f t="shared" si="12"/>
        <v>0.4545454545</v>
      </c>
    </row>
    <row r="280">
      <c r="A280" s="1" t="s">
        <v>12</v>
      </c>
      <c r="B280" s="1" t="s">
        <v>477</v>
      </c>
      <c r="C280" s="1" t="s">
        <v>20</v>
      </c>
      <c r="D280" s="1" t="s">
        <v>147</v>
      </c>
      <c r="E280" s="1" t="s">
        <v>110</v>
      </c>
      <c r="F280" s="1" t="s">
        <v>655</v>
      </c>
      <c r="G280" s="1">
        <v>1.5</v>
      </c>
      <c r="H280" s="1" t="s">
        <v>60</v>
      </c>
      <c r="I280" s="1">
        <v>-121.0</v>
      </c>
      <c r="J280" s="1">
        <v>-0.208459607303167</v>
      </c>
      <c r="K280" s="1" t="s">
        <v>61</v>
      </c>
      <c r="L280" s="1" t="s">
        <v>61</v>
      </c>
      <c r="M280" s="1" t="s">
        <v>62</v>
      </c>
      <c r="N280" s="1">
        <v>-109.0</v>
      </c>
      <c r="O280" s="1">
        <v>0.139409305278756</v>
      </c>
      <c r="P280" s="1" t="s">
        <v>61</v>
      </c>
      <c r="Q280" s="1" t="s">
        <v>61</v>
      </c>
      <c r="R280" s="1">
        <f t="shared" si="1"/>
        <v>0.1394093053</v>
      </c>
      <c r="S280" s="1">
        <f t="shared" si="2"/>
        <v>-109</v>
      </c>
      <c r="T280" s="1">
        <f t="shared" si="3"/>
        <v>1.917431193</v>
      </c>
      <c r="U280" s="1">
        <f t="shared" si="4"/>
        <v>0</v>
      </c>
      <c r="V280" s="3">
        <f t="shared" si="5"/>
        <v>3</v>
      </c>
      <c r="W280" s="3">
        <f t="shared" si="6"/>
        <v>2</v>
      </c>
      <c r="X280" s="3" t="str">
        <f>IFERROR(__xludf.DUMMYFUNCTION("split(B280,"" "")"),"T.")</f>
        <v>T.</v>
      </c>
      <c r="Y280" s="3" t="str">
        <f>IFERROR(__xludf.DUMMYFUNCTION("""COMPUTED_VALUE"""),"Johnson")</f>
        <v>Johnson</v>
      </c>
      <c r="AA280" s="8">
        <v>3.0</v>
      </c>
      <c r="AB280" s="3">
        <f t="shared" si="7"/>
        <v>1</v>
      </c>
      <c r="AC280" s="3">
        <f t="shared" si="8"/>
        <v>0</v>
      </c>
      <c r="AD280" s="3">
        <f t="shared" si="9"/>
        <v>2.752293578</v>
      </c>
      <c r="AE280" s="3">
        <f t="shared" si="10"/>
        <v>-3</v>
      </c>
      <c r="AF280" s="3">
        <f t="shared" si="11"/>
        <v>-2</v>
      </c>
      <c r="AG280" s="3">
        <f t="shared" si="12"/>
        <v>-1</v>
      </c>
    </row>
    <row r="281">
      <c r="A281" s="1" t="s">
        <v>8</v>
      </c>
      <c r="B281" s="1" t="s">
        <v>270</v>
      </c>
      <c r="C281" s="1" t="s">
        <v>19</v>
      </c>
      <c r="D281" s="1" t="s">
        <v>147</v>
      </c>
      <c r="E281" s="1" t="s">
        <v>110</v>
      </c>
      <c r="F281" s="1" t="s">
        <v>655</v>
      </c>
      <c r="G281" s="1">
        <v>8.5</v>
      </c>
      <c r="H281" s="1" t="s">
        <v>60</v>
      </c>
      <c r="I281" s="1">
        <v>100.0</v>
      </c>
      <c r="J281" s="1">
        <v>-0.187340189671177</v>
      </c>
      <c r="K281" s="1" t="s">
        <v>61</v>
      </c>
      <c r="L281" s="1" t="s">
        <v>61</v>
      </c>
      <c r="M281" s="1" t="s">
        <v>62</v>
      </c>
      <c r="N281" s="1">
        <v>-133.0</v>
      </c>
      <c r="O281" s="1">
        <v>0.116516268036623</v>
      </c>
      <c r="P281" s="1" t="s">
        <v>61</v>
      </c>
      <c r="Q281" s="1" t="s">
        <v>61</v>
      </c>
      <c r="R281" s="1">
        <f t="shared" si="1"/>
        <v>0.116516268</v>
      </c>
      <c r="S281" s="1">
        <f t="shared" si="2"/>
        <v>-133</v>
      </c>
      <c r="T281" s="1">
        <f t="shared" si="3"/>
        <v>1.751879699</v>
      </c>
      <c r="U281" s="1">
        <f t="shared" si="4"/>
        <v>0</v>
      </c>
      <c r="V281" s="3">
        <f t="shared" si="5"/>
        <v>3</v>
      </c>
      <c r="W281" s="3">
        <f t="shared" si="6"/>
        <v>3</v>
      </c>
      <c r="X281" s="3" t="str">
        <f>IFERROR(__xludf.DUMMYFUNCTION("split(B281,"" "")"),"D.")</f>
        <v>D.</v>
      </c>
      <c r="Y281" s="3" t="str">
        <f>IFERROR(__xludf.DUMMYFUNCTION("""COMPUTED_VALUE"""),"Singletary")</f>
        <v>Singletary</v>
      </c>
      <c r="AA281" s="8">
        <v>2.0</v>
      </c>
      <c r="AB281" s="3">
        <f t="shared" si="7"/>
        <v>0</v>
      </c>
      <c r="AC281" s="3">
        <f t="shared" si="8"/>
        <v>1</v>
      </c>
      <c r="AD281" s="3">
        <f t="shared" si="9"/>
        <v>2.255639098</v>
      </c>
      <c r="AE281" s="3">
        <f t="shared" si="10"/>
        <v>2.255639098</v>
      </c>
      <c r="AF281" s="3">
        <f t="shared" si="11"/>
        <v>2.255639098</v>
      </c>
      <c r="AG281" s="3">
        <f t="shared" si="12"/>
        <v>0.7647058824</v>
      </c>
    </row>
    <row r="282">
      <c r="A282" s="1" t="s">
        <v>14</v>
      </c>
      <c r="B282" s="1" t="s">
        <v>260</v>
      </c>
      <c r="C282" s="1" t="s">
        <v>21</v>
      </c>
      <c r="D282" s="1" t="s">
        <v>147</v>
      </c>
      <c r="E282" s="1" t="s">
        <v>110</v>
      </c>
      <c r="F282" s="1" t="s">
        <v>655</v>
      </c>
      <c r="G282" s="1">
        <v>0.5</v>
      </c>
      <c r="H282" s="1" t="s">
        <v>60</v>
      </c>
      <c r="I282" s="1">
        <v>-190.0</v>
      </c>
      <c r="J282" s="1">
        <v>-0.163970655103448</v>
      </c>
      <c r="K282" s="1" t="s">
        <v>61</v>
      </c>
      <c r="L282" s="1" t="s">
        <v>61</v>
      </c>
      <c r="M282" s="1" t="s">
        <v>62</v>
      </c>
      <c r="N282" s="1">
        <v>143.0</v>
      </c>
      <c r="O282" s="1">
        <v>0.0972752674074073</v>
      </c>
      <c r="P282" s="1" t="s">
        <v>61</v>
      </c>
      <c r="Q282" s="1" t="s">
        <v>61</v>
      </c>
      <c r="R282" s="1">
        <f t="shared" si="1"/>
        <v>0.09727526741</v>
      </c>
      <c r="S282" s="1">
        <f t="shared" si="2"/>
        <v>143</v>
      </c>
      <c r="T282" s="1">
        <f t="shared" si="3"/>
        <v>2.43</v>
      </c>
      <c r="U282" s="1">
        <f t="shared" si="4"/>
        <v>0</v>
      </c>
      <c r="V282" s="3">
        <f t="shared" si="5"/>
        <v>2</v>
      </c>
      <c r="W282" s="3">
        <f t="shared" si="6"/>
        <v>1</v>
      </c>
      <c r="X282" s="3" t="str">
        <f>IFERROR(__xludf.DUMMYFUNCTION("split(B282,"" "")"),"D.")</f>
        <v>D.</v>
      </c>
      <c r="Y282" s="3" t="str">
        <f>IFERROR(__xludf.DUMMYFUNCTION("""COMPUTED_VALUE"""),"Jones")</f>
        <v>Jones</v>
      </c>
      <c r="AA282" s="8">
        <v>0.0</v>
      </c>
      <c r="AB282" s="3">
        <f t="shared" si="7"/>
        <v>0</v>
      </c>
      <c r="AC282" s="3">
        <f t="shared" si="8"/>
        <v>1</v>
      </c>
      <c r="AD282" s="3">
        <f t="shared" si="9"/>
        <v>2.86</v>
      </c>
      <c r="AE282" s="3">
        <f t="shared" si="10"/>
        <v>2.86</v>
      </c>
      <c r="AF282" s="3">
        <f t="shared" si="11"/>
        <v>1.43</v>
      </c>
      <c r="AG282" s="3">
        <f t="shared" si="12"/>
        <v>1</v>
      </c>
    </row>
    <row r="283">
      <c r="A283" s="1" t="s">
        <v>12</v>
      </c>
      <c r="B283" s="1" t="s">
        <v>483</v>
      </c>
      <c r="C283" s="1" t="s">
        <v>18</v>
      </c>
      <c r="D283" s="1" t="s">
        <v>147</v>
      </c>
      <c r="E283" s="1" t="s">
        <v>110</v>
      </c>
      <c r="F283" s="1" t="s">
        <v>655</v>
      </c>
      <c r="G283" s="1">
        <v>2.5</v>
      </c>
      <c r="H283" s="1" t="s">
        <v>60</v>
      </c>
      <c r="I283" s="1">
        <v>106.0</v>
      </c>
      <c r="J283" s="1">
        <v>-0.16418688033398</v>
      </c>
      <c r="K283" s="1" t="s">
        <v>61</v>
      </c>
      <c r="L283" s="1" t="s">
        <v>61</v>
      </c>
      <c r="M283" s="1" t="s">
        <v>62</v>
      </c>
      <c r="N283" s="1">
        <v>-139.0</v>
      </c>
      <c r="O283" s="1">
        <v>0.0971665402811716</v>
      </c>
      <c r="P283" s="1" t="s">
        <v>61</v>
      </c>
      <c r="Q283" s="1" t="s">
        <v>61</v>
      </c>
      <c r="R283" s="1">
        <f t="shared" si="1"/>
        <v>0.09716654028</v>
      </c>
      <c r="S283" s="1">
        <f t="shared" si="2"/>
        <v>-139</v>
      </c>
      <c r="T283" s="1">
        <f t="shared" si="3"/>
        <v>1.71942446</v>
      </c>
      <c r="U283" s="1">
        <f t="shared" si="4"/>
        <v>0</v>
      </c>
      <c r="V283" s="3">
        <f t="shared" si="5"/>
        <v>2</v>
      </c>
      <c r="W283" s="3">
        <f t="shared" si="6"/>
        <v>3</v>
      </c>
      <c r="X283" s="3" t="str">
        <f>IFERROR(__xludf.DUMMYFUNCTION("split(B283,"" "")"),"D.")</f>
        <v>D.</v>
      </c>
      <c r="Y283" s="3" t="str">
        <f>IFERROR(__xludf.DUMMYFUNCTION("""COMPUTED_VALUE"""),"Slayton")</f>
        <v>Slayton</v>
      </c>
      <c r="AA283" s="8">
        <v>4.0</v>
      </c>
      <c r="AB283" s="3">
        <f t="shared" si="7"/>
        <v>1</v>
      </c>
      <c r="AC283" s="3">
        <f t="shared" si="8"/>
        <v>0</v>
      </c>
      <c r="AD283" s="3">
        <f t="shared" si="9"/>
        <v>1.438848921</v>
      </c>
      <c r="AE283" s="3">
        <f t="shared" si="10"/>
        <v>-2</v>
      </c>
      <c r="AF283" s="3">
        <f t="shared" si="11"/>
        <v>-3</v>
      </c>
      <c r="AG283" s="3">
        <f t="shared" si="12"/>
        <v>-0.6</v>
      </c>
    </row>
    <row r="284">
      <c r="A284" s="1" t="s">
        <v>12</v>
      </c>
      <c r="B284" s="1" t="s">
        <v>354</v>
      </c>
      <c r="C284" s="1" t="s">
        <v>18</v>
      </c>
      <c r="D284" s="1" t="s">
        <v>147</v>
      </c>
      <c r="E284" s="1" t="s">
        <v>110</v>
      </c>
      <c r="F284" s="1" t="s">
        <v>655</v>
      </c>
      <c r="G284" s="1">
        <v>4.5</v>
      </c>
      <c r="H284" s="1" t="s">
        <v>60</v>
      </c>
      <c r="I284" s="1">
        <v>-173.0</v>
      </c>
      <c r="J284" s="1">
        <v>-0.135899633699633</v>
      </c>
      <c r="K284" s="1" t="s">
        <v>61</v>
      </c>
      <c r="L284" s="1" t="s">
        <v>61</v>
      </c>
      <c r="M284" s="1" t="s">
        <v>62</v>
      </c>
      <c r="N284" s="1">
        <v>131.0</v>
      </c>
      <c r="O284" s="1">
        <v>0.069299567099567</v>
      </c>
      <c r="P284" s="1" t="s">
        <v>61</v>
      </c>
      <c r="Q284" s="1" t="s">
        <v>61</v>
      </c>
      <c r="R284" s="1">
        <f t="shared" si="1"/>
        <v>0.0692995671</v>
      </c>
      <c r="S284" s="1">
        <f t="shared" si="2"/>
        <v>131</v>
      </c>
      <c r="T284" s="1">
        <f t="shared" si="3"/>
        <v>2.31</v>
      </c>
      <c r="U284" s="1">
        <f t="shared" si="4"/>
        <v>0</v>
      </c>
      <c r="V284" s="3">
        <f t="shared" si="5"/>
        <v>2</v>
      </c>
      <c r="W284" s="3">
        <f t="shared" si="6"/>
        <v>1</v>
      </c>
      <c r="X284" s="3" t="str">
        <f>IFERROR(__xludf.DUMMYFUNCTION("split(B284,"" "")"),"W.")</f>
        <v>W.</v>
      </c>
      <c r="Y284" s="3" t="str">
        <f>IFERROR(__xludf.DUMMYFUNCTION("""COMPUTED_VALUE"""),"Robinson")</f>
        <v>Robinson</v>
      </c>
      <c r="AA284" s="8">
        <v>5.0</v>
      </c>
      <c r="AB284" s="3">
        <f t="shared" si="7"/>
        <v>1</v>
      </c>
      <c r="AC284" s="3">
        <f t="shared" si="8"/>
        <v>0</v>
      </c>
      <c r="AD284" s="3">
        <f t="shared" si="9"/>
        <v>2.62</v>
      </c>
      <c r="AE284" s="3">
        <f t="shared" si="10"/>
        <v>-2</v>
      </c>
      <c r="AF284" s="3">
        <f t="shared" si="11"/>
        <v>-1</v>
      </c>
      <c r="AG284" s="3">
        <f t="shared" si="12"/>
        <v>-0.1111111111</v>
      </c>
    </row>
    <row r="285">
      <c r="A285" s="1" t="s">
        <v>12</v>
      </c>
      <c r="B285" s="1" t="s">
        <v>270</v>
      </c>
      <c r="C285" s="1" t="s">
        <v>19</v>
      </c>
      <c r="D285" s="1" t="s">
        <v>147</v>
      </c>
      <c r="E285" s="1" t="s">
        <v>110</v>
      </c>
      <c r="F285" s="1" t="s">
        <v>655</v>
      </c>
      <c r="G285" s="1">
        <v>1.5</v>
      </c>
      <c r="H285" s="1" t="s">
        <v>60</v>
      </c>
      <c r="I285" s="1">
        <v>108.0</v>
      </c>
      <c r="J285" s="1">
        <v>-0.130112534947692</v>
      </c>
      <c r="K285" s="1" t="s">
        <v>61</v>
      </c>
      <c r="L285" s="1" t="s">
        <v>61</v>
      </c>
      <c r="M285" s="1" t="s">
        <v>62</v>
      </c>
      <c r="N285" s="1">
        <v>-141.0</v>
      </c>
      <c r="O285" s="1">
        <v>0.0642865539014109</v>
      </c>
      <c r="P285" s="1" t="s">
        <v>61</v>
      </c>
      <c r="Q285" s="1" t="s">
        <v>61</v>
      </c>
      <c r="R285" s="1">
        <f t="shared" si="1"/>
        <v>0.0642865539</v>
      </c>
      <c r="S285" s="1">
        <f t="shared" si="2"/>
        <v>-141</v>
      </c>
      <c r="T285" s="1">
        <f t="shared" si="3"/>
        <v>1.709219858</v>
      </c>
      <c r="U285" s="1">
        <f t="shared" si="4"/>
        <v>0</v>
      </c>
      <c r="V285" s="3">
        <f t="shared" si="5"/>
        <v>2</v>
      </c>
      <c r="W285" s="3">
        <f t="shared" si="6"/>
        <v>3</v>
      </c>
      <c r="X285" s="3" t="str">
        <f>IFERROR(__xludf.DUMMYFUNCTION("split(B285,"" "")"),"D.")</f>
        <v>D.</v>
      </c>
      <c r="Y285" s="3" t="str">
        <f>IFERROR(__xludf.DUMMYFUNCTION("""COMPUTED_VALUE"""),"Singletary")</f>
        <v>Singletary</v>
      </c>
      <c r="AA285" s="8">
        <v>2.0</v>
      </c>
      <c r="AB285" s="3">
        <f t="shared" si="7"/>
        <v>1</v>
      </c>
      <c r="AC285" s="3">
        <f t="shared" si="8"/>
        <v>0</v>
      </c>
      <c r="AD285" s="3">
        <f t="shared" si="9"/>
        <v>1.418439716</v>
      </c>
      <c r="AE285" s="3">
        <f t="shared" si="10"/>
        <v>-2</v>
      </c>
      <c r="AF285" s="3">
        <f t="shared" si="11"/>
        <v>-3</v>
      </c>
      <c r="AG285" s="3">
        <f t="shared" si="12"/>
        <v>-0.3333333333</v>
      </c>
    </row>
    <row r="286">
      <c r="A286" s="1" t="s">
        <v>17</v>
      </c>
      <c r="B286" s="1" t="s">
        <v>260</v>
      </c>
      <c r="C286" s="1" t="s">
        <v>21</v>
      </c>
      <c r="D286" s="1" t="s">
        <v>147</v>
      </c>
      <c r="E286" s="1" t="s">
        <v>110</v>
      </c>
      <c r="F286" s="1" t="s">
        <v>655</v>
      </c>
      <c r="G286" s="1">
        <v>0.5</v>
      </c>
      <c r="H286" s="1" t="s">
        <v>60</v>
      </c>
      <c r="I286" s="1">
        <v>-131.0</v>
      </c>
      <c r="J286" s="1">
        <v>-0.124699567099567</v>
      </c>
      <c r="K286" s="1" t="s">
        <v>61</v>
      </c>
      <c r="L286" s="1" t="s">
        <v>61</v>
      </c>
      <c r="M286" s="1" t="s">
        <v>62</v>
      </c>
      <c r="N286" s="1">
        <v>-101.0</v>
      </c>
      <c r="O286" s="1">
        <v>0.0551124378109453</v>
      </c>
      <c r="P286" s="1" t="s">
        <v>61</v>
      </c>
      <c r="Q286" s="1" t="s">
        <v>61</v>
      </c>
      <c r="R286" s="1">
        <f t="shared" si="1"/>
        <v>0.05511243781</v>
      </c>
      <c r="S286" s="1">
        <f t="shared" si="2"/>
        <v>-101</v>
      </c>
      <c r="T286" s="1">
        <f t="shared" si="3"/>
        <v>1.99009901</v>
      </c>
      <c r="U286" s="1">
        <f t="shared" si="4"/>
        <v>0</v>
      </c>
      <c r="V286" s="3">
        <f t="shared" si="5"/>
        <v>2</v>
      </c>
      <c r="W286" s="3">
        <f t="shared" si="6"/>
        <v>2</v>
      </c>
      <c r="X286" s="3" t="str">
        <f>IFERROR(__xludf.DUMMYFUNCTION("split(B286,"" "")"),"D.")</f>
        <v>D.</v>
      </c>
      <c r="Y286" s="3" t="str">
        <f>IFERROR(__xludf.DUMMYFUNCTION("""COMPUTED_VALUE"""),"Jones")</f>
        <v>Jones</v>
      </c>
      <c r="AA286" s="8">
        <v>1.0</v>
      </c>
      <c r="AB286" s="3">
        <f t="shared" si="7"/>
        <v>1</v>
      </c>
      <c r="AC286" s="3">
        <f t="shared" si="8"/>
        <v>0</v>
      </c>
      <c r="AD286" s="3">
        <f t="shared" si="9"/>
        <v>1.98019802</v>
      </c>
      <c r="AE286" s="3">
        <f t="shared" si="10"/>
        <v>-2</v>
      </c>
      <c r="AF286" s="3">
        <f t="shared" si="11"/>
        <v>-2</v>
      </c>
      <c r="AG286" s="3">
        <f t="shared" si="12"/>
        <v>-1</v>
      </c>
    </row>
    <row r="287">
      <c r="A287" s="1" t="s">
        <v>9</v>
      </c>
      <c r="B287" s="1" t="s">
        <v>483</v>
      </c>
      <c r="C287" s="1" t="s">
        <v>18</v>
      </c>
      <c r="D287" s="1" t="s">
        <v>147</v>
      </c>
      <c r="E287" s="1" t="s">
        <v>110</v>
      </c>
      <c r="F287" s="1" t="s">
        <v>655</v>
      </c>
      <c r="G287" s="1">
        <v>25.5</v>
      </c>
      <c r="H287" s="1" t="s">
        <v>60</v>
      </c>
      <c r="I287" s="1">
        <v>-110.0</v>
      </c>
      <c r="J287" s="1">
        <v>0.0545982111723373</v>
      </c>
      <c r="K287" s="1" t="s">
        <v>61</v>
      </c>
      <c r="L287" s="1" t="s">
        <v>61</v>
      </c>
      <c r="M287" s="1" t="s">
        <v>62</v>
      </c>
      <c r="N287" s="1">
        <v>-120.0</v>
      </c>
      <c r="O287" s="1">
        <v>-0.12381976916104</v>
      </c>
      <c r="P287" s="1" t="s">
        <v>61</v>
      </c>
      <c r="Q287" s="1" t="s">
        <v>61</v>
      </c>
      <c r="R287" s="1">
        <f t="shared" si="1"/>
        <v>0.05459821117</v>
      </c>
      <c r="S287" s="1">
        <f t="shared" si="2"/>
        <v>-110</v>
      </c>
      <c r="T287" s="1">
        <f t="shared" si="3"/>
        <v>1.909090909</v>
      </c>
      <c r="U287" s="1">
        <f t="shared" si="4"/>
        <v>1</v>
      </c>
      <c r="V287" s="3">
        <f t="shared" si="5"/>
        <v>2</v>
      </c>
      <c r="W287" s="3">
        <f t="shared" si="6"/>
        <v>2</v>
      </c>
      <c r="X287" s="3" t="str">
        <f>IFERROR(__xludf.DUMMYFUNCTION("split(B287,"" "")"),"D.")</f>
        <v>D.</v>
      </c>
      <c r="Y287" s="3" t="str">
        <f>IFERROR(__xludf.DUMMYFUNCTION("""COMPUTED_VALUE"""),"Slayton")</f>
        <v>Slayton</v>
      </c>
      <c r="AA287" s="8">
        <v>108.0</v>
      </c>
      <c r="AB287" s="3">
        <f t="shared" si="7"/>
        <v>1</v>
      </c>
      <c r="AC287" s="3">
        <f t="shared" si="8"/>
        <v>1</v>
      </c>
      <c r="AD287" s="3">
        <f t="shared" si="9"/>
        <v>1.818181818</v>
      </c>
      <c r="AE287" s="3">
        <f t="shared" si="10"/>
        <v>1.818181818</v>
      </c>
      <c r="AF287" s="3">
        <f t="shared" si="11"/>
        <v>1.818181818</v>
      </c>
      <c r="AG287" s="3">
        <f t="shared" si="12"/>
        <v>3.235294118</v>
      </c>
    </row>
    <row r="288">
      <c r="A288" s="1" t="s">
        <v>11</v>
      </c>
      <c r="B288" s="1" t="s">
        <v>270</v>
      </c>
      <c r="C288" s="1" t="s">
        <v>19</v>
      </c>
      <c r="D288" s="1" t="s">
        <v>147</v>
      </c>
      <c r="E288" s="1" t="s">
        <v>110</v>
      </c>
      <c r="F288" s="1" t="s">
        <v>655</v>
      </c>
      <c r="G288" s="1">
        <v>7.5</v>
      </c>
      <c r="H288" s="1" t="s">
        <v>60</v>
      </c>
      <c r="I288" s="1">
        <v>-119.0</v>
      </c>
      <c r="J288" s="1">
        <v>0.0467924194780347</v>
      </c>
      <c r="K288" s="1" t="s">
        <v>61</v>
      </c>
      <c r="L288" s="1" t="s">
        <v>61</v>
      </c>
      <c r="M288" s="1" t="s">
        <v>62</v>
      </c>
      <c r="N288" s="1">
        <v>-108.0</v>
      </c>
      <c r="O288" s="1">
        <v>-0.109343418533388</v>
      </c>
      <c r="P288" s="1" t="s">
        <v>61</v>
      </c>
      <c r="Q288" s="1" t="s">
        <v>61</v>
      </c>
      <c r="R288" s="1">
        <f t="shared" si="1"/>
        <v>0.04679241948</v>
      </c>
      <c r="S288" s="1">
        <f t="shared" si="2"/>
        <v>-119</v>
      </c>
      <c r="T288" s="1">
        <f t="shared" si="3"/>
        <v>1.840336134</v>
      </c>
      <c r="U288" s="1">
        <f t="shared" si="4"/>
        <v>1</v>
      </c>
      <c r="V288" s="3">
        <f t="shared" si="5"/>
        <v>1</v>
      </c>
      <c r="W288" s="3">
        <f t="shared" si="6"/>
        <v>3</v>
      </c>
      <c r="X288" s="3" t="str">
        <f>IFERROR(__xludf.DUMMYFUNCTION("split(B288,"" "")"),"D.")</f>
        <v>D.</v>
      </c>
      <c r="Y288" s="3" t="str">
        <f>IFERROR(__xludf.DUMMYFUNCTION("""COMPUTED_VALUE"""),"Singletary")</f>
        <v>Singletary</v>
      </c>
      <c r="AA288" s="8">
        <v>12.0</v>
      </c>
      <c r="AB288" s="3">
        <f t="shared" si="7"/>
        <v>1</v>
      </c>
      <c r="AC288" s="3">
        <f t="shared" si="8"/>
        <v>1</v>
      </c>
      <c r="AD288" s="3">
        <f t="shared" si="9"/>
        <v>0.8403361345</v>
      </c>
      <c r="AE288" s="3">
        <f t="shared" si="10"/>
        <v>0.8403361345</v>
      </c>
      <c r="AF288" s="3">
        <f t="shared" si="11"/>
        <v>2.521008403</v>
      </c>
      <c r="AG288" s="3">
        <f t="shared" si="12"/>
        <v>0.6</v>
      </c>
    </row>
    <row r="289">
      <c r="A289" s="1" t="s">
        <v>10</v>
      </c>
      <c r="B289" s="1" t="s">
        <v>260</v>
      </c>
      <c r="C289" s="1" t="s">
        <v>21</v>
      </c>
      <c r="D289" s="1" t="s">
        <v>147</v>
      </c>
      <c r="E289" s="1" t="s">
        <v>110</v>
      </c>
      <c r="F289" s="1" t="s">
        <v>655</v>
      </c>
      <c r="G289" s="1">
        <v>26.5</v>
      </c>
      <c r="H289" s="1" t="s">
        <v>60</v>
      </c>
      <c r="I289" s="1">
        <v>-119.0</v>
      </c>
      <c r="J289" s="1">
        <v>-0.091941934983893</v>
      </c>
      <c r="K289" s="1" t="s">
        <v>61</v>
      </c>
      <c r="L289" s="1" t="s">
        <v>61</v>
      </c>
      <c r="M289" s="1" t="s">
        <v>62</v>
      </c>
      <c r="N289" s="1">
        <v>-109.0</v>
      </c>
      <c r="O289" s="1">
        <v>0.0269981401914121</v>
      </c>
      <c r="P289" s="1" t="s">
        <v>61</v>
      </c>
      <c r="Q289" s="1" t="s">
        <v>61</v>
      </c>
      <c r="R289" s="1">
        <f t="shared" si="1"/>
        <v>0.02699814019</v>
      </c>
      <c r="S289" s="1">
        <f t="shared" si="2"/>
        <v>-109</v>
      </c>
      <c r="T289" s="1">
        <f t="shared" si="3"/>
        <v>1.917431193</v>
      </c>
      <c r="U289" s="1">
        <f t="shared" si="4"/>
        <v>0</v>
      </c>
      <c r="V289" s="3">
        <f t="shared" si="5"/>
        <v>1</v>
      </c>
      <c r="W289" s="3">
        <f t="shared" si="6"/>
        <v>2</v>
      </c>
      <c r="X289" s="3" t="str">
        <f>IFERROR(__xludf.DUMMYFUNCTION("split(B289,"" "")"),"D.")</f>
        <v>D.</v>
      </c>
      <c r="Y289" s="3" t="str">
        <f>IFERROR(__xludf.DUMMYFUNCTION("""COMPUTED_VALUE"""),"Jones")</f>
        <v>Jones</v>
      </c>
      <c r="AA289" s="8">
        <v>1.0</v>
      </c>
      <c r="AB289" s="3">
        <f t="shared" si="7"/>
        <v>0</v>
      </c>
      <c r="AC289" s="3">
        <f t="shared" si="8"/>
        <v>1</v>
      </c>
      <c r="AD289" s="3">
        <f t="shared" si="9"/>
        <v>0.9174311927</v>
      </c>
      <c r="AE289" s="3">
        <f t="shared" si="10"/>
        <v>0.9174311927</v>
      </c>
      <c r="AF289" s="3">
        <f t="shared" si="11"/>
        <v>1.834862385</v>
      </c>
      <c r="AG289" s="3">
        <f t="shared" si="12"/>
        <v>0.9622641509</v>
      </c>
    </row>
    <row r="290">
      <c r="A290" s="1" t="s">
        <v>11</v>
      </c>
      <c r="B290" s="1" t="s">
        <v>354</v>
      </c>
      <c r="C290" s="1" t="s">
        <v>18</v>
      </c>
      <c r="D290" s="1" t="s">
        <v>147</v>
      </c>
      <c r="E290" s="1" t="s">
        <v>110</v>
      </c>
      <c r="F290" s="1" t="s">
        <v>655</v>
      </c>
      <c r="G290" s="1">
        <v>39.5</v>
      </c>
      <c r="H290" s="1" t="s">
        <v>60</v>
      </c>
      <c r="I290" s="1">
        <v>-121.0</v>
      </c>
      <c r="J290" s="1">
        <v>-0.0940475727410408</v>
      </c>
      <c r="K290" s="1" t="s">
        <v>61</v>
      </c>
      <c r="L290" s="1" t="s">
        <v>61</v>
      </c>
      <c r="M290" s="1" t="s">
        <v>62</v>
      </c>
      <c r="N290" s="1">
        <v>-109.0</v>
      </c>
      <c r="O290" s="1">
        <v>0.0250102021677609</v>
      </c>
      <c r="P290" s="1" t="s">
        <v>61</v>
      </c>
      <c r="Q290" s="1" t="s">
        <v>61</v>
      </c>
      <c r="R290" s="1">
        <f t="shared" si="1"/>
        <v>0.02501020217</v>
      </c>
      <c r="S290" s="1">
        <f t="shared" si="2"/>
        <v>-109</v>
      </c>
      <c r="T290" s="1">
        <f t="shared" si="3"/>
        <v>1.917431193</v>
      </c>
      <c r="U290" s="1">
        <f t="shared" si="4"/>
        <v>0</v>
      </c>
      <c r="V290" s="3">
        <f t="shared" si="5"/>
        <v>1</v>
      </c>
      <c r="W290" s="3">
        <f t="shared" si="6"/>
        <v>2</v>
      </c>
      <c r="X290" s="3" t="str">
        <f>IFERROR(__xludf.DUMMYFUNCTION("split(B290,"" "")"),"W.")</f>
        <v>W.</v>
      </c>
      <c r="Y290" s="3" t="str">
        <f>IFERROR(__xludf.DUMMYFUNCTION("""COMPUTED_VALUE"""),"Robinson")</f>
        <v>Robinson</v>
      </c>
      <c r="AA290" s="8">
        <v>30.0</v>
      </c>
      <c r="AB290" s="3">
        <f t="shared" si="7"/>
        <v>0</v>
      </c>
      <c r="AC290" s="3">
        <f t="shared" si="8"/>
        <v>1</v>
      </c>
      <c r="AD290" s="3">
        <f t="shared" si="9"/>
        <v>0.9174311927</v>
      </c>
      <c r="AE290" s="3">
        <f t="shared" si="10"/>
        <v>0.9174311927</v>
      </c>
      <c r="AF290" s="3">
        <f t="shared" si="11"/>
        <v>1.834862385</v>
      </c>
      <c r="AG290" s="3">
        <f t="shared" si="12"/>
        <v>0.2405063291</v>
      </c>
    </row>
    <row r="291">
      <c r="A291" s="1" t="s">
        <v>11</v>
      </c>
      <c r="B291" s="1" t="s">
        <v>483</v>
      </c>
      <c r="C291" s="1" t="s">
        <v>18</v>
      </c>
      <c r="D291" s="1" t="s">
        <v>147</v>
      </c>
      <c r="E291" s="1" t="s">
        <v>110</v>
      </c>
      <c r="F291" s="1" t="s">
        <v>655</v>
      </c>
      <c r="G291" s="1">
        <v>25.5</v>
      </c>
      <c r="H291" s="1" t="s">
        <v>60</v>
      </c>
      <c r="I291" s="1">
        <v>-123.0</v>
      </c>
      <c r="J291" s="1">
        <v>-0.0953038762548161</v>
      </c>
      <c r="K291" s="1" t="s">
        <v>61</v>
      </c>
      <c r="L291" s="1" t="s">
        <v>61</v>
      </c>
      <c r="M291" s="1" t="s">
        <v>62</v>
      </c>
      <c r="N291" s="1">
        <v>-108.0</v>
      </c>
      <c r="O291" s="1">
        <v>0.0245563921019708</v>
      </c>
      <c r="P291" s="1" t="s">
        <v>61</v>
      </c>
      <c r="Q291" s="1" t="s">
        <v>61</v>
      </c>
      <c r="R291" s="1">
        <f t="shared" si="1"/>
        <v>0.0245563921</v>
      </c>
      <c r="S291" s="1">
        <f t="shared" si="2"/>
        <v>-108</v>
      </c>
      <c r="T291" s="1">
        <f t="shared" si="3"/>
        <v>1.925925926</v>
      </c>
      <c r="U291" s="1">
        <f t="shared" si="4"/>
        <v>0</v>
      </c>
      <c r="V291" s="3">
        <f t="shared" si="5"/>
        <v>1</v>
      </c>
      <c r="W291" s="3">
        <f t="shared" si="6"/>
        <v>2</v>
      </c>
      <c r="X291" s="3" t="str">
        <f>IFERROR(__xludf.DUMMYFUNCTION("split(B291,"" "")"),"D.")</f>
        <v>D.</v>
      </c>
      <c r="Y291" s="3" t="str">
        <f>IFERROR(__xludf.DUMMYFUNCTION("""COMPUTED_VALUE"""),"Slayton")</f>
        <v>Slayton</v>
      </c>
      <c r="AA291" s="8">
        <v>108.0</v>
      </c>
      <c r="AB291" s="3">
        <f t="shared" si="7"/>
        <v>1</v>
      </c>
      <c r="AC291" s="3">
        <f t="shared" si="8"/>
        <v>0</v>
      </c>
      <c r="AD291" s="3">
        <f t="shared" si="9"/>
        <v>0.9259259259</v>
      </c>
      <c r="AE291" s="3">
        <f t="shared" si="10"/>
        <v>-1</v>
      </c>
      <c r="AF291" s="3">
        <f t="shared" si="11"/>
        <v>-2</v>
      </c>
      <c r="AG291" s="3">
        <f t="shared" si="12"/>
        <v>-3.235294118</v>
      </c>
    </row>
    <row r="292">
      <c r="A292" s="1" t="s">
        <v>16</v>
      </c>
      <c r="B292" s="1" t="s">
        <v>260</v>
      </c>
      <c r="C292" s="1" t="s">
        <v>21</v>
      </c>
      <c r="D292" s="1" t="s">
        <v>147</v>
      </c>
      <c r="E292" s="1" t="s">
        <v>110</v>
      </c>
      <c r="F292" s="1" t="s">
        <v>655</v>
      </c>
      <c r="G292" s="1">
        <v>31.5</v>
      </c>
      <c r="H292" s="1" t="s">
        <v>60</v>
      </c>
      <c r="I292" s="1">
        <v>-110.0</v>
      </c>
      <c r="J292" s="1">
        <v>-0.0899098691428572</v>
      </c>
      <c r="K292" s="1" t="s">
        <v>61</v>
      </c>
      <c r="L292" s="1" t="s">
        <v>61</v>
      </c>
      <c r="M292" s="1" t="s">
        <v>62</v>
      </c>
      <c r="N292" s="1">
        <v>-120.0</v>
      </c>
      <c r="O292" s="1">
        <v>0.0206313046545455</v>
      </c>
      <c r="P292" s="1" t="s">
        <v>61</v>
      </c>
      <c r="Q292" s="1" t="s">
        <v>61</v>
      </c>
      <c r="R292" s="1">
        <f t="shared" si="1"/>
        <v>0.02063130465</v>
      </c>
      <c r="S292" s="1">
        <f t="shared" si="2"/>
        <v>-120</v>
      </c>
      <c r="T292" s="1">
        <f t="shared" si="3"/>
        <v>1.833333333</v>
      </c>
      <c r="U292" s="1">
        <f t="shared" si="4"/>
        <v>0</v>
      </c>
      <c r="V292" s="3">
        <f t="shared" si="5"/>
        <v>1</v>
      </c>
      <c r="W292" s="3">
        <f t="shared" si="6"/>
        <v>3</v>
      </c>
      <c r="X292" s="3" t="str">
        <f>IFERROR(__xludf.DUMMYFUNCTION("split(B292,"" "")"),"D.")</f>
        <v>D.</v>
      </c>
      <c r="Y292" s="3" t="str">
        <f>IFERROR(__xludf.DUMMYFUNCTION("""COMPUTED_VALUE"""),"Jones")</f>
        <v>Jones</v>
      </c>
      <c r="AA292" s="8">
        <v>38.0</v>
      </c>
      <c r="AB292" s="3">
        <f t="shared" si="7"/>
        <v>1</v>
      </c>
      <c r="AC292" s="3">
        <f t="shared" si="8"/>
        <v>0</v>
      </c>
      <c r="AD292" s="3">
        <f t="shared" si="9"/>
        <v>0.8333333333</v>
      </c>
      <c r="AE292" s="3">
        <f t="shared" si="10"/>
        <v>-1</v>
      </c>
      <c r="AF292" s="3">
        <f t="shared" si="11"/>
        <v>-3</v>
      </c>
      <c r="AG292" s="3">
        <f t="shared" si="12"/>
        <v>-0.2063492063</v>
      </c>
    </row>
    <row r="293">
      <c r="A293" s="1" t="s">
        <v>10</v>
      </c>
      <c r="B293" s="1" t="s">
        <v>270</v>
      </c>
      <c r="C293" s="1" t="s">
        <v>19</v>
      </c>
      <c r="D293" s="1" t="s">
        <v>147</v>
      </c>
      <c r="E293" s="1" t="s">
        <v>110</v>
      </c>
      <c r="F293" s="1" t="s">
        <v>655</v>
      </c>
      <c r="G293" s="1">
        <v>30.5</v>
      </c>
      <c r="H293" s="1" t="s">
        <v>60</v>
      </c>
      <c r="I293" s="1">
        <v>-111.0</v>
      </c>
      <c r="J293" s="1">
        <v>-0.0853666357554198</v>
      </c>
      <c r="K293" s="1" t="s">
        <v>61</v>
      </c>
      <c r="L293" s="1" t="s">
        <v>61</v>
      </c>
      <c r="M293" s="1" t="s">
        <v>62</v>
      </c>
      <c r="N293" s="1">
        <v>-119.0</v>
      </c>
      <c r="O293" s="1">
        <v>0.0159213313782118</v>
      </c>
      <c r="P293" s="1" t="s">
        <v>61</v>
      </c>
      <c r="Q293" s="1" t="s">
        <v>61</v>
      </c>
      <c r="R293" s="1">
        <f t="shared" si="1"/>
        <v>0.01592133138</v>
      </c>
      <c r="S293" s="1">
        <f t="shared" si="2"/>
        <v>-119</v>
      </c>
      <c r="T293" s="1">
        <f t="shared" si="3"/>
        <v>1.840336134</v>
      </c>
      <c r="U293" s="1">
        <f t="shared" si="4"/>
        <v>0</v>
      </c>
      <c r="V293" s="3">
        <f t="shared" si="5"/>
        <v>1</v>
      </c>
      <c r="W293" s="3">
        <f t="shared" si="6"/>
        <v>3</v>
      </c>
      <c r="X293" s="3" t="str">
        <f>IFERROR(__xludf.DUMMYFUNCTION("split(B293,"" "")"),"D.")</f>
        <v>D.</v>
      </c>
      <c r="Y293" s="3" t="str">
        <f>IFERROR(__xludf.DUMMYFUNCTION("""COMPUTED_VALUE"""),"Singletary")</f>
        <v>Singletary</v>
      </c>
      <c r="AA293" s="8">
        <v>11.0</v>
      </c>
      <c r="AB293" s="3">
        <f t="shared" si="7"/>
        <v>0</v>
      </c>
      <c r="AC293" s="3">
        <f t="shared" si="8"/>
        <v>1</v>
      </c>
      <c r="AD293" s="3">
        <f t="shared" si="9"/>
        <v>0.8403361345</v>
      </c>
      <c r="AE293" s="3">
        <f t="shared" si="10"/>
        <v>0.8403361345</v>
      </c>
      <c r="AF293" s="3">
        <f t="shared" si="11"/>
        <v>2.521008403</v>
      </c>
      <c r="AG293" s="3">
        <f t="shared" si="12"/>
        <v>0.6393442623</v>
      </c>
    </row>
    <row r="294">
      <c r="A294" s="1" t="s">
        <v>9</v>
      </c>
      <c r="B294" s="1" t="s">
        <v>568</v>
      </c>
      <c r="C294" s="1" t="s">
        <v>19</v>
      </c>
      <c r="D294" s="1" t="s">
        <v>147</v>
      </c>
      <c r="E294" s="1" t="s">
        <v>110</v>
      </c>
      <c r="F294" s="1" t="s">
        <v>655</v>
      </c>
      <c r="G294" s="1">
        <v>44.5</v>
      </c>
      <c r="H294" s="1" t="s">
        <v>60</v>
      </c>
      <c r="I294" s="1">
        <v>-118.0</v>
      </c>
      <c r="J294" s="1">
        <v>0.00646887095813919</v>
      </c>
      <c r="K294" s="1" t="s">
        <v>61</v>
      </c>
      <c r="L294" s="1" t="s">
        <v>61</v>
      </c>
      <c r="M294" s="1" t="s">
        <v>62</v>
      </c>
      <c r="N294" s="1">
        <v>-115.0</v>
      </c>
      <c r="O294" s="1">
        <v>-0.0825794230195605</v>
      </c>
      <c r="P294" s="1" t="s">
        <v>61</v>
      </c>
      <c r="Q294" s="1" t="s">
        <v>61</v>
      </c>
      <c r="R294" s="1">
        <f t="shared" si="1"/>
        <v>0.006468870958</v>
      </c>
      <c r="S294" s="1">
        <f t="shared" si="2"/>
        <v>-118</v>
      </c>
      <c r="T294" s="1">
        <f t="shared" si="3"/>
        <v>1.847457627</v>
      </c>
      <c r="U294" s="1">
        <f t="shared" si="4"/>
        <v>1</v>
      </c>
      <c r="V294" s="3">
        <f t="shared" si="5"/>
        <v>1</v>
      </c>
      <c r="W294" s="3">
        <f t="shared" si="6"/>
        <v>3</v>
      </c>
      <c r="X294" s="3" t="str">
        <f>IFERROR(__xludf.DUMMYFUNCTION("split(B294,"" "")"),"T.")</f>
        <v>T.</v>
      </c>
      <c r="Y294" s="3" t="str">
        <f>IFERROR(__xludf.DUMMYFUNCTION("""COMPUTED_VALUE"""),"Tracy")</f>
        <v>Tracy</v>
      </c>
      <c r="AA294" s="8">
        <v>150.0</v>
      </c>
      <c r="AB294" s="3">
        <f t="shared" si="7"/>
        <v>1</v>
      </c>
      <c r="AC294" s="3">
        <f t="shared" si="8"/>
        <v>1</v>
      </c>
      <c r="AD294" s="3">
        <f t="shared" si="9"/>
        <v>0.8474576271</v>
      </c>
      <c r="AE294" s="3">
        <f t="shared" si="10"/>
        <v>0.8474576271</v>
      </c>
      <c r="AF294" s="3">
        <f t="shared" si="11"/>
        <v>2.542372881</v>
      </c>
      <c r="AG294" s="3">
        <f t="shared" si="12"/>
        <v>2.370786517</v>
      </c>
    </row>
    <row r="295">
      <c r="A295" s="1" t="s">
        <v>10</v>
      </c>
      <c r="B295" s="1" t="s">
        <v>479</v>
      </c>
      <c r="C295" s="1" t="s">
        <v>18</v>
      </c>
      <c r="D295" s="1" t="s">
        <v>165</v>
      </c>
      <c r="E295" s="1" t="s">
        <v>66</v>
      </c>
      <c r="F295" s="1" t="s">
        <v>647</v>
      </c>
      <c r="G295" s="1">
        <v>0.5</v>
      </c>
      <c r="H295" s="1" t="s">
        <v>60</v>
      </c>
      <c r="I295" s="1">
        <v>483.0</v>
      </c>
      <c r="J295" s="1">
        <v>0.453043312306332</v>
      </c>
      <c r="K295" s="1" t="s">
        <v>61</v>
      </c>
      <c r="L295" s="1" t="s">
        <v>61</v>
      </c>
      <c r="M295" s="1" t="s">
        <v>62</v>
      </c>
      <c r="N295" s="1">
        <v>-839.0</v>
      </c>
      <c r="O295" s="1">
        <v>-0.518024604875153</v>
      </c>
      <c r="P295" s="1" t="s">
        <v>61</v>
      </c>
      <c r="Q295" s="1" t="s">
        <v>61</v>
      </c>
      <c r="R295" s="1">
        <f t="shared" si="1"/>
        <v>0.4530433123</v>
      </c>
      <c r="S295" s="1">
        <f t="shared" si="2"/>
        <v>483</v>
      </c>
      <c r="T295" s="1">
        <f t="shared" si="3"/>
        <v>5.83</v>
      </c>
      <c r="U295" s="1">
        <f t="shared" si="4"/>
        <v>1</v>
      </c>
      <c r="V295" s="3">
        <f t="shared" si="5"/>
        <v>3</v>
      </c>
      <c r="W295" s="3">
        <f t="shared" si="6"/>
        <v>1</v>
      </c>
      <c r="X295" s="3" t="str">
        <f>IFERROR(__xludf.DUMMYFUNCTION("split(B295,"" "")"),"G.")</f>
        <v>G.</v>
      </c>
      <c r="Y295" s="3" t="str">
        <f>IFERROR(__xludf.DUMMYFUNCTION("""COMPUTED_VALUE"""),"Wilson")</f>
        <v>Wilson</v>
      </c>
      <c r="AA295" s="8">
        <v>7.0</v>
      </c>
      <c r="AB295" s="3">
        <f t="shared" si="7"/>
        <v>1</v>
      </c>
      <c r="AC295" s="3">
        <f t="shared" si="8"/>
        <v>1</v>
      </c>
      <c r="AD295" s="3">
        <f t="shared" si="9"/>
        <v>14.49</v>
      </c>
      <c r="AE295" s="3">
        <f t="shared" si="10"/>
        <v>0</v>
      </c>
      <c r="AF295" s="3">
        <f t="shared" si="11"/>
        <v>4.83</v>
      </c>
      <c r="AG295" s="3">
        <f t="shared" si="12"/>
        <v>13</v>
      </c>
    </row>
    <row r="296">
      <c r="A296" s="1" t="s">
        <v>12</v>
      </c>
      <c r="B296" s="1" t="s">
        <v>336</v>
      </c>
      <c r="C296" s="1" t="s">
        <v>19</v>
      </c>
      <c r="D296" s="1" t="s">
        <v>165</v>
      </c>
      <c r="E296" s="1" t="s">
        <v>66</v>
      </c>
      <c r="F296" s="1" t="s">
        <v>647</v>
      </c>
      <c r="G296" s="1">
        <v>3.5</v>
      </c>
      <c r="H296" s="1" t="s">
        <v>60</v>
      </c>
      <c r="I296" s="1">
        <v>-158.0</v>
      </c>
      <c r="J296" s="1">
        <v>-0.210103100775193</v>
      </c>
      <c r="K296" s="1" t="s">
        <v>61</v>
      </c>
      <c r="L296" s="1" t="s">
        <v>61</v>
      </c>
      <c r="M296" s="1" t="s">
        <v>62</v>
      </c>
      <c r="N296" s="1">
        <v>120.0</v>
      </c>
      <c r="O296" s="1">
        <v>0.143154545454545</v>
      </c>
      <c r="P296" s="1" t="s">
        <v>61</v>
      </c>
      <c r="Q296" s="1" t="s">
        <v>61</v>
      </c>
      <c r="R296" s="1">
        <f t="shared" si="1"/>
        <v>0.1431545455</v>
      </c>
      <c r="S296" s="1">
        <f t="shared" si="2"/>
        <v>120</v>
      </c>
      <c r="T296" s="1">
        <f t="shared" si="3"/>
        <v>2.2</v>
      </c>
      <c r="U296" s="1">
        <f t="shared" si="4"/>
        <v>0</v>
      </c>
      <c r="V296" s="3">
        <f t="shared" si="5"/>
        <v>3</v>
      </c>
      <c r="W296" s="3">
        <f t="shared" si="6"/>
        <v>1</v>
      </c>
      <c r="X296" s="3" t="str">
        <f>IFERROR(__xludf.DUMMYFUNCTION("split(B296,"" "")"),"B.")</f>
        <v>B.</v>
      </c>
      <c r="Y296" s="3" t="str">
        <f>IFERROR(__xludf.DUMMYFUNCTION("""COMPUTED_VALUE"""),"Hall")</f>
        <v>Hall</v>
      </c>
      <c r="AA296" s="8">
        <v>1.0</v>
      </c>
      <c r="AB296" s="3">
        <f t="shared" si="7"/>
        <v>0</v>
      </c>
      <c r="AC296" s="3">
        <f t="shared" si="8"/>
        <v>1</v>
      </c>
      <c r="AD296" s="3">
        <f t="shared" si="9"/>
        <v>3.6</v>
      </c>
      <c r="AE296" s="3">
        <f t="shared" si="10"/>
        <v>3.6</v>
      </c>
      <c r="AF296" s="3">
        <f t="shared" si="11"/>
        <v>1.2</v>
      </c>
      <c r="AG296" s="3">
        <f t="shared" si="12"/>
        <v>0.7142857143</v>
      </c>
    </row>
    <row r="297">
      <c r="A297" s="1" t="s">
        <v>10</v>
      </c>
      <c r="B297" s="1" t="s">
        <v>336</v>
      </c>
      <c r="C297" s="1" t="s">
        <v>19</v>
      </c>
      <c r="D297" s="1" t="s">
        <v>165</v>
      </c>
      <c r="E297" s="1" t="s">
        <v>66</v>
      </c>
      <c r="F297" s="1" t="s">
        <v>647</v>
      </c>
      <c r="G297" s="1">
        <v>74.5</v>
      </c>
      <c r="H297" s="1" t="s">
        <v>60</v>
      </c>
      <c r="I297" s="1">
        <v>-115.0</v>
      </c>
      <c r="J297" s="1">
        <v>-0.105918567036207</v>
      </c>
      <c r="K297" s="1" t="s">
        <v>61</v>
      </c>
      <c r="L297" s="1" t="s">
        <v>61</v>
      </c>
      <c r="M297" s="1" t="s">
        <v>62</v>
      </c>
      <c r="N297" s="1">
        <v>-114.0</v>
      </c>
      <c r="O297" s="1">
        <v>0.0383568496334097</v>
      </c>
      <c r="P297" s="1" t="s">
        <v>61</v>
      </c>
      <c r="Q297" s="1" t="s">
        <v>61</v>
      </c>
      <c r="R297" s="1">
        <f t="shared" si="1"/>
        <v>0.03835684963</v>
      </c>
      <c r="S297" s="1">
        <f t="shared" si="2"/>
        <v>-114</v>
      </c>
      <c r="T297" s="1">
        <f t="shared" si="3"/>
        <v>1.877192982</v>
      </c>
      <c r="U297" s="1">
        <f t="shared" si="4"/>
        <v>0</v>
      </c>
      <c r="V297" s="3">
        <f t="shared" si="5"/>
        <v>1</v>
      </c>
      <c r="W297" s="3">
        <f t="shared" si="6"/>
        <v>2</v>
      </c>
      <c r="X297" s="3" t="str">
        <f>IFERROR(__xludf.DUMMYFUNCTION("split(B297,"" "")"),"B.")</f>
        <v>B.</v>
      </c>
      <c r="Y297" s="3" t="str">
        <f>IFERROR(__xludf.DUMMYFUNCTION("""COMPUTED_VALUE"""),"Hall")</f>
        <v>Hall</v>
      </c>
      <c r="AA297" s="8">
        <v>80.0</v>
      </c>
      <c r="AB297" s="3">
        <f t="shared" si="7"/>
        <v>1</v>
      </c>
      <c r="AC297" s="3">
        <f t="shared" si="8"/>
        <v>0</v>
      </c>
      <c r="AD297" s="3">
        <f t="shared" si="9"/>
        <v>0.8771929825</v>
      </c>
      <c r="AE297" s="3">
        <f t="shared" si="10"/>
        <v>-1</v>
      </c>
      <c r="AF297" s="3">
        <f t="shared" si="11"/>
        <v>-2</v>
      </c>
      <c r="AG297" s="3">
        <f t="shared" si="12"/>
        <v>-0.07382550336</v>
      </c>
    </row>
    <row r="298">
      <c r="A298" s="1" t="s">
        <v>12</v>
      </c>
      <c r="B298" s="1" t="s">
        <v>322</v>
      </c>
      <c r="C298" s="1" t="s">
        <v>18</v>
      </c>
      <c r="D298" s="1" t="s">
        <v>165</v>
      </c>
      <c r="E298" s="1" t="s">
        <v>66</v>
      </c>
      <c r="F298" s="1" t="s">
        <v>647</v>
      </c>
      <c r="G298" s="1">
        <v>5.5</v>
      </c>
      <c r="H298" s="1" t="s">
        <v>60</v>
      </c>
      <c r="I298" s="1">
        <v>106.0</v>
      </c>
      <c r="J298" s="1">
        <v>0.0345631067961165</v>
      </c>
      <c r="K298" s="1" t="s">
        <v>61</v>
      </c>
      <c r="L298" s="1" t="s">
        <v>61</v>
      </c>
      <c r="M298" s="1" t="s">
        <v>62</v>
      </c>
      <c r="N298" s="1">
        <v>-139.0</v>
      </c>
      <c r="O298" s="1">
        <v>-0.101589958158995</v>
      </c>
      <c r="P298" s="1" t="s">
        <v>61</v>
      </c>
      <c r="Q298" s="1" t="s">
        <v>61</v>
      </c>
      <c r="R298" s="1">
        <f t="shared" si="1"/>
        <v>0.0345631068</v>
      </c>
      <c r="S298" s="1">
        <f t="shared" si="2"/>
        <v>106</v>
      </c>
      <c r="T298" s="1">
        <f t="shared" si="3"/>
        <v>2.06</v>
      </c>
      <c r="U298" s="1">
        <f t="shared" si="4"/>
        <v>1</v>
      </c>
      <c r="V298" s="3">
        <f t="shared" si="5"/>
        <v>1</v>
      </c>
      <c r="W298" s="3">
        <f t="shared" si="6"/>
        <v>2</v>
      </c>
      <c r="X298" s="3" t="str">
        <f>IFERROR(__xludf.DUMMYFUNCTION("split(B298,"" "")"),"D.")</f>
        <v>D.</v>
      </c>
      <c r="Y298" s="3" t="str">
        <f>IFERROR(__xludf.DUMMYFUNCTION("""COMPUTED_VALUE"""),"Adams")</f>
        <v>Adams</v>
      </c>
      <c r="AA298" s="8">
        <v>4.0</v>
      </c>
      <c r="AB298" s="3">
        <f t="shared" si="7"/>
        <v>0</v>
      </c>
      <c r="AC298" s="3">
        <f t="shared" si="8"/>
        <v>0</v>
      </c>
      <c r="AD298" s="3">
        <f t="shared" si="9"/>
        <v>1.06</v>
      </c>
      <c r="AE298" s="3">
        <f t="shared" si="10"/>
        <v>-1</v>
      </c>
      <c r="AF298" s="3">
        <f t="shared" si="11"/>
        <v>-2</v>
      </c>
      <c r="AG298" s="3">
        <f t="shared" si="12"/>
        <v>-0.2727272727</v>
      </c>
    </row>
    <row r="299">
      <c r="A299" s="1" t="s">
        <v>11</v>
      </c>
      <c r="B299" s="1" t="s">
        <v>479</v>
      </c>
      <c r="C299" s="1" t="s">
        <v>18</v>
      </c>
      <c r="D299" s="1" t="s">
        <v>165</v>
      </c>
      <c r="E299" s="1" t="s">
        <v>66</v>
      </c>
      <c r="F299" s="1" t="s">
        <v>647</v>
      </c>
      <c r="G299" s="1">
        <v>57.5</v>
      </c>
      <c r="H299" s="1" t="s">
        <v>60</v>
      </c>
      <c r="I299" s="1">
        <v>-113.0</v>
      </c>
      <c r="J299" s="1">
        <v>-0.102743957151779</v>
      </c>
      <c r="K299" s="1" t="s">
        <v>61</v>
      </c>
      <c r="L299" s="1" t="s">
        <v>61</v>
      </c>
      <c r="M299" s="1" t="s">
        <v>62</v>
      </c>
      <c r="N299" s="1">
        <v>-117.0</v>
      </c>
      <c r="O299" s="1">
        <v>0.0331054363261751</v>
      </c>
      <c r="P299" s="1" t="s">
        <v>61</v>
      </c>
      <c r="Q299" s="1" t="s">
        <v>61</v>
      </c>
      <c r="R299" s="1">
        <f t="shared" si="1"/>
        <v>0.03310543633</v>
      </c>
      <c r="S299" s="1">
        <f t="shared" si="2"/>
        <v>-117</v>
      </c>
      <c r="T299" s="1">
        <f t="shared" si="3"/>
        <v>1.854700855</v>
      </c>
      <c r="U299" s="1">
        <f t="shared" si="4"/>
        <v>0</v>
      </c>
      <c r="V299" s="3">
        <f t="shared" si="5"/>
        <v>1</v>
      </c>
      <c r="W299" s="3">
        <f t="shared" si="6"/>
        <v>2</v>
      </c>
      <c r="X299" s="3" t="str">
        <f>IFERROR(__xludf.DUMMYFUNCTION("split(B299,"" "")"),"G.")</f>
        <v>G.</v>
      </c>
      <c r="Y299" s="3" t="str">
        <f>IFERROR(__xludf.DUMMYFUNCTION("""COMPUTED_VALUE"""),"Wilson")</f>
        <v>Wilson</v>
      </c>
      <c r="AA299" s="8">
        <v>113.0</v>
      </c>
      <c r="AB299" s="3">
        <f t="shared" si="7"/>
        <v>1</v>
      </c>
      <c r="AC299" s="3">
        <f t="shared" si="8"/>
        <v>0</v>
      </c>
      <c r="AD299" s="3">
        <f t="shared" si="9"/>
        <v>0.8547008547</v>
      </c>
      <c r="AE299" s="3">
        <f t="shared" si="10"/>
        <v>-1</v>
      </c>
      <c r="AF299" s="3">
        <f t="shared" si="11"/>
        <v>-2</v>
      </c>
      <c r="AG299" s="3">
        <f t="shared" si="12"/>
        <v>-0.9652173913</v>
      </c>
    </row>
    <row r="300">
      <c r="A300" s="1" t="s">
        <v>16</v>
      </c>
      <c r="B300" s="1" t="s">
        <v>330</v>
      </c>
      <c r="C300" s="1" t="s">
        <v>21</v>
      </c>
      <c r="D300" s="1" t="s">
        <v>165</v>
      </c>
      <c r="E300" s="1" t="s">
        <v>66</v>
      </c>
      <c r="F300" s="1" t="s">
        <v>647</v>
      </c>
      <c r="G300" s="1">
        <v>32.5</v>
      </c>
      <c r="H300" s="1" t="s">
        <v>60</v>
      </c>
      <c r="I300" s="1">
        <v>-129.0</v>
      </c>
      <c r="J300" s="1">
        <v>-0.0921538992379912</v>
      </c>
      <c r="K300" s="1" t="s">
        <v>61</v>
      </c>
      <c r="L300" s="1" t="s">
        <v>61</v>
      </c>
      <c r="M300" s="1" t="s">
        <v>62</v>
      </c>
      <c r="N300" s="1">
        <v>101.0</v>
      </c>
      <c r="O300" s="1">
        <v>0.0313404888532337</v>
      </c>
      <c r="P300" s="1" t="s">
        <v>61</v>
      </c>
      <c r="Q300" s="1" t="s">
        <v>61</v>
      </c>
      <c r="R300" s="1">
        <f t="shared" si="1"/>
        <v>0.03134048885</v>
      </c>
      <c r="S300" s="1">
        <f t="shared" si="2"/>
        <v>101</v>
      </c>
      <c r="T300" s="1">
        <f t="shared" si="3"/>
        <v>2.01</v>
      </c>
      <c r="U300" s="1">
        <f t="shared" si="4"/>
        <v>0</v>
      </c>
      <c r="V300" s="3">
        <f t="shared" si="5"/>
        <v>1</v>
      </c>
      <c r="W300" s="3">
        <f t="shared" si="6"/>
        <v>2</v>
      </c>
      <c r="X300" s="3" t="str">
        <f>IFERROR(__xludf.DUMMYFUNCTION("split(B300,"" "")"),"A.")</f>
        <v>A.</v>
      </c>
      <c r="Y300" s="3" t="str">
        <f>IFERROR(__xludf.DUMMYFUNCTION("""COMPUTED_VALUE"""),"Rodgers")</f>
        <v>Rodgers</v>
      </c>
      <c r="AA300" s="8">
        <v>28.0</v>
      </c>
      <c r="AB300" s="3">
        <f t="shared" si="7"/>
        <v>0</v>
      </c>
      <c r="AC300" s="3">
        <f t="shared" si="8"/>
        <v>1</v>
      </c>
      <c r="AD300" s="3">
        <f t="shared" si="9"/>
        <v>1.01</v>
      </c>
      <c r="AE300" s="3">
        <f t="shared" si="10"/>
        <v>1.01</v>
      </c>
      <c r="AF300" s="3">
        <f t="shared" si="11"/>
        <v>2.02</v>
      </c>
      <c r="AG300" s="3">
        <f t="shared" si="12"/>
        <v>0.1384615385</v>
      </c>
    </row>
    <row r="301">
      <c r="A301" s="1" t="s">
        <v>9</v>
      </c>
      <c r="B301" s="1" t="s">
        <v>336</v>
      </c>
      <c r="C301" s="1" t="s">
        <v>19</v>
      </c>
      <c r="D301" s="1" t="s">
        <v>165</v>
      </c>
      <c r="E301" s="1" t="s">
        <v>66</v>
      </c>
      <c r="F301" s="1" t="s">
        <v>647</v>
      </c>
      <c r="G301" s="1">
        <v>108.5</v>
      </c>
      <c r="H301" s="1" t="s">
        <v>60</v>
      </c>
      <c r="I301" s="1">
        <v>-117.0</v>
      </c>
      <c r="J301" s="1">
        <v>-0.10076716350557</v>
      </c>
      <c r="K301" s="1" t="s">
        <v>61</v>
      </c>
      <c r="L301" s="1" t="s">
        <v>61</v>
      </c>
      <c r="M301" s="1" t="s">
        <v>62</v>
      </c>
      <c r="N301" s="1">
        <v>-115.0</v>
      </c>
      <c r="O301" s="1">
        <v>0.0267122606528169</v>
      </c>
      <c r="P301" s="1" t="s">
        <v>61</v>
      </c>
      <c r="Q301" s="1" t="s">
        <v>61</v>
      </c>
      <c r="R301" s="1">
        <f t="shared" si="1"/>
        <v>0.02671226065</v>
      </c>
      <c r="S301" s="1">
        <f t="shared" si="2"/>
        <v>-115</v>
      </c>
      <c r="T301" s="1">
        <f t="shared" si="3"/>
        <v>1.869565217</v>
      </c>
      <c r="U301" s="1">
        <f t="shared" si="4"/>
        <v>0</v>
      </c>
      <c r="V301" s="3">
        <f t="shared" si="5"/>
        <v>1</v>
      </c>
      <c r="W301" s="3">
        <f t="shared" si="6"/>
        <v>2</v>
      </c>
      <c r="X301" s="3" t="str">
        <f>IFERROR(__xludf.DUMMYFUNCTION("split(B301,"" "")"),"B.")</f>
        <v>B.</v>
      </c>
      <c r="Y301" s="3" t="str">
        <f>IFERROR(__xludf.DUMMYFUNCTION("""COMPUTED_VALUE"""),"Hall")</f>
        <v>Hall</v>
      </c>
      <c r="AA301" s="8">
        <v>89.0</v>
      </c>
      <c r="AB301" s="3">
        <f t="shared" si="7"/>
        <v>0</v>
      </c>
      <c r="AC301" s="3">
        <f t="shared" si="8"/>
        <v>1</v>
      </c>
      <c r="AD301" s="3">
        <f t="shared" si="9"/>
        <v>0.8695652174</v>
      </c>
      <c r="AE301" s="3">
        <f t="shared" si="10"/>
        <v>0.8695652174</v>
      </c>
      <c r="AF301" s="3">
        <f t="shared" si="11"/>
        <v>1.739130435</v>
      </c>
      <c r="AG301" s="3">
        <f t="shared" si="12"/>
        <v>0.1797235023</v>
      </c>
    </row>
    <row r="302">
      <c r="A302" s="1" t="s">
        <v>11</v>
      </c>
      <c r="B302" s="1" t="s">
        <v>336</v>
      </c>
      <c r="C302" s="1" t="s">
        <v>19</v>
      </c>
      <c r="D302" s="1" t="s">
        <v>165</v>
      </c>
      <c r="E302" s="1" t="s">
        <v>66</v>
      </c>
      <c r="F302" s="1" t="s">
        <v>647</v>
      </c>
      <c r="G302" s="1">
        <v>29.5</v>
      </c>
      <c r="H302" s="1" t="s">
        <v>60</v>
      </c>
      <c r="I302" s="1">
        <v>-111.0</v>
      </c>
      <c r="J302" s="1">
        <v>-0.0925197670621801</v>
      </c>
      <c r="K302" s="1" t="s">
        <v>61</v>
      </c>
      <c r="L302" s="1" t="s">
        <v>61</v>
      </c>
      <c r="M302" s="1" t="s">
        <v>62</v>
      </c>
      <c r="N302" s="1">
        <v>-118.0</v>
      </c>
      <c r="O302" s="1">
        <v>0.0251908146933101</v>
      </c>
      <c r="P302" s="1" t="s">
        <v>61</v>
      </c>
      <c r="Q302" s="1" t="s">
        <v>61</v>
      </c>
      <c r="R302" s="1">
        <f t="shared" si="1"/>
        <v>0.02519081469</v>
      </c>
      <c r="S302" s="1">
        <f t="shared" si="2"/>
        <v>-118</v>
      </c>
      <c r="T302" s="1">
        <f t="shared" si="3"/>
        <v>1.847457627</v>
      </c>
      <c r="U302" s="1">
        <f t="shared" si="4"/>
        <v>0</v>
      </c>
      <c r="V302" s="3">
        <f t="shared" si="5"/>
        <v>1</v>
      </c>
      <c r="W302" s="3">
        <f t="shared" si="6"/>
        <v>3</v>
      </c>
      <c r="X302" s="3" t="str">
        <f>IFERROR(__xludf.DUMMYFUNCTION("split(B302,"" "")"),"B.")</f>
        <v>B.</v>
      </c>
      <c r="Y302" s="3" t="str">
        <f>IFERROR(__xludf.DUMMYFUNCTION("""COMPUTED_VALUE"""),"Hall")</f>
        <v>Hall</v>
      </c>
      <c r="AA302" s="8">
        <v>9.0</v>
      </c>
      <c r="AB302" s="3">
        <f t="shared" si="7"/>
        <v>0</v>
      </c>
      <c r="AC302" s="3">
        <f t="shared" si="8"/>
        <v>1</v>
      </c>
      <c r="AD302" s="3">
        <f t="shared" si="9"/>
        <v>0.8474576271</v>
      </c>
      <c r="AE302" s="3">
        <f t="shared" si="10"/>
        <v>0.8474576271</v>
      </c>
      <c r="AF302" s="3">
        <f t="shared" si="11"/>
        <v>2.542372881</v>
      </c>
      <c r="AG302" s="3">
        <f t="shared" si="12"/>
        <v>0.6949152542</v>
      </c>
    </row>
    <row r="303">
      <c r="A303" s="1" t="s">
        <v>12</v>
      </c>
      <c r="B303" s="1" t="s">
        <v>479</v>
      </c>
      <c r="C303" s="1" t="s">
        <v>18</v>
      </c>
      <c r="D303" s="1" t="s">
        <v>165</v>
      </c>
      <c r="E303" s="1" t="s">
        <v>66</v>
      </c>
      <c r="F303" s="1" t="s">
        <v>647</v>
      </c>
      <c r="G303" s="1">
        <v>5.5</v>
      </c>
      <c r="H303" s="1" t="s">
        <v>60</v>
      </c>
      <c r="I303" s="1">
        <v>124.0</v>
      </c>
      <c r="J303" s="1">
        <v>0.0100821428571429</v>
      </c>
      <c r="K303" s="1" t="s">
        <v>61</v>
      </c>
      <c r="L303" s="1" t="s">
        <v>61</v>
      </c>
      <c r="M303" s="1" t="s">
        <v>62</v>
      </c>
      <c r="N303" s="1">
        <v>-164.0</v>
      </c>
      <c r="O303" s="1">
        <v>-0.0777363636363636</v>
      </c>
      <c r="P303" s="1" t="s">
        <v>61</v>
      </c>
      <c r="Q303" s="1" t="s">
        <v>61</v>
      </c>
      <c r="R303" s="1">
        <f t="shared" si="1"/>
        <v>0.01008214286</v>
      </c>
      <c r="S303" s="1">
        <f t="shared" si="2"/>
        <v>124</v>
      </c>
      <c r="T303" s="1">
        <f t="shared" si="3"/>
        <v>2.24</v>
      </c>
      <c r="U303" s="1">
        <f t="shared" si="4"/>
        <v>1</v>
      </c>
      <c r="V303" s="3">
        <f t="shared" si="5"/>
        <v>1</v>
      </c>
      <c r="W303" s="3">
        <f t="shared" si="6"/>
        <v>1</v>
      </c>
      <c r="X303" s="3" t="str">
        <f>IFERROR(__xludf.DUMMYFUNCTION("split(B303,"" "")"),"G.")</f>
        <v>G.</v>
      </c>
      <c r="Y303" s="3" t="str">
        <f>IFERROR(__xludf.DUMMYFUNCTION("""COMPUTED_VALUE"""),"Wilson")</f>
        <v>Wilson</v>
      </c>
      <c r="AA303" s="8">
        <v>5.0</v>
      </c>
      <c r="AB303" s="3">
        <f t="shared" si="7"/>
        <v>0</v>
      </c>
      <c r="AC303" s="3">
        <f t="shared" si="8"/>
        <v>0</v>
      </c>
      <c r="AD303" s="3">
        <f t="shared" si="9"/>
        <v>1.24</v>
      </c>
      <c r="AE303" s="3">
        <f t="shared" si="10"/>
        <v>-1</v>
      </c>
      <c r="AF303" s="3">
        <f t="shared" si="11"/>
        <v>-1</v>
      </c>
      <c r="AG303" s="3">
        <f t="shared" si="12"/>
        <v>-0.09090909091</v>
      </c>
    </row>
    <row r="304">
      <c r="A304" s="1" t="s">
        <v>12</v>
      </c>
      <c r="B304" s="1" t="s">
        <v>492</v>
      </c>
      <c r="C304" s="1" t="s">
        <v>18</v>
      </c>
      <c r="D304" s="1" t="s">
        <v>156</v>
      </c>
      <c r="E304" s="1" t="s">
        <v>67</v>
      </c>
      <c r="F304" s="1" t="s">
        <v>647</v>
      </c>
      <c r="G304" s="1">
        <v>5.5</v>
      </c>
      <c r="H304" s="1" t="s">
        <v>60</v>
      </c>
      <c r="I304" s="1">
        <v>-122.0</v>
      </c>
      <c r="J304" s="1">
        <v>0.0619504504504505</v>
      </c>
      <c r="K304" s="1" t="s">
        <v>61</v>
      </c>
      <c r="L304" s="1" t="s">
        <v>61</v>
      </c>
      <c r="M304" s="1" t="s">
        <v>62</v>
      </c>
      <c r="N304" s="1">
        <v>-108.0</v>
      </c>
      <c r="O304" s="1">
        <v>-0.130730769230769</v>
      </c>
      <c r="P304" s="1" t="s">
        <v>61</v>
      </c>
      <c r="Q304" s="1" t="s">
        <v>61</v>
      </c>
      <c r="R304" s="1">
        <f t="shared" si="1"/>
        <v>0.06195045045</v>
      </c>
      <c r="S304" s="1">
        <f t="shared" si="2"/>
        <v>-122</v>
      </c>
      <c r="T304" s="1">
        <f t="shared" si="3"/>
        <v>1.819672131</v>
      </c>
      <c r="U304" s="1">
        <f t="shared" si="4"/>
        <v>1</v>
      </c>
      <c r="V304" s="3">
        <f t="shared" si="5"/>
        <v>2</v>
      </c>
      <c r="W304" s="3">
        <f t="shared" si="6"/>
        <v>3</v>
      </c>
      <c r="X304" s="3" t="str">
        <f>IFERROR(__xludf.DUMMYFUNCTION("split(B304,"" "")"),"A.")</f>
        <v>A.</v>
      </c>
      <c r="Y304" s="3" t="str">
        <f>IFERROR(__xludf.DUMMYFUNCTION("""COMPUTED_VALUE"""),"Brown")</f>
        <v>Brown</v>
      </c>
      <c r="AA304" s="8">
        <v>5.0</v>
      </c>
      <c r="AB304" s="3">
        <f t="shared" si="7"/>
        <v>0</v>
      </c>
      <c r="AC304" s="3">
        <f t="shared" si="8"/>
        <v>0</v>
      </c>
      <c r="AD304" s="3">
        <f t="shared" si="9"/>
        <v>1.639344262</v>
      </c>
      <c r="AE304" s="3">
        <f t="shared" si="10"/>
        <v>-2</v>
      </c>
      <c r="AF304" s="3">
        <f t="shared" si="11"/>
        <v>-3</v>
      </c>
      <c r="AG304" s="3">
        <f t="shared" si="12"/>
        <v>-0.09090909091</v>
      </c>
    </row>
    <row r="305">
      <c r="A305" s="1" t="s">
        <v>8</v>
      </c>
      <c r="B305" s="1" t="s">
        <v>338</v>
      </c>
      <c r="C305" s="1" t="s">
        <v>21</v>
      </c>
      <c r="D305" s="1" t="s">
        <v>156</v>
      </c>
      <c r="E305" s="1" t="s">
        <v>67</v>
      </c>
      <c r="F305" s="1" t="s">
        <v>647</v>
      </c>
      <c r="G305" s="1">
        <v>9.5</v>
      </c>
      <c r="H305" s="1" t="s">
        <v>60</v>
      </c>
      <c r="I305" s="1">
        <v>112.0</v>
      </c>
      <c r="J305" s="1">
        <v>-0.120889292704104</v>
      </c>
      <c r="K305" s="1" t="s">
        <v>61</v>
      </c>
      <c r="L305" s="1" t="s">
        <v>61</v>
      </c>
      <c r="M305" s="1" t="s">
        <v>62</v>
      </c>
      <c r="N305" s="1">
        <v>-150.0</v>
      </c>
      <c r="O305" s="1">
        <v>0.0491764109996619</v>
      </c>
      <c r="P305" s="1" t="s">
        <v>61</v>
      </c>
      <c r="Q305" s="1" t="s">
        <v>61</v>
      </c>
      <c r="R305" s="1">
        <f t="shared" si="1"/>
        <v>0.049176411</v>
      </c>
      <c r="S305" s="1">
        <f t="shared" si="2"/>
        <v>-150</v>
      </c>
      <c r="T305" s="1">
        <f t="shared" si="3"/>
        <v>1.666666667</v>
      </c>
      <c r="U305" s="1">
        <f t="shared" si="4"/>
        <v>0</v>
      </c>
      <c r="V305" s="3">
        <f t="shared" si="5"/>
        <v>1</v>
      </c>
      <c r="W305" s="3">
        <f t="shared" si="6"/>
        <v>3</v>
      </c>
      <c r="X305" s="3" t="str">
        <f>IFERROR(__xludf.DUMMYFUNCTION("split(B305,"" "")"),"J.")</f>
        <v>J.</v>
      </c>
      <c r="Y305" s="3" t="str">
        <f>IFERROR(__xludf.DUMMYFUNCTION("""COMPUTED_VALUE"""),"Hurts")</f>
        <v>Hurts</v>
      </c>
      <c r="AA305" s="8">
        <v>10.0</v>
      </c>
      <c r="AB305" s="3">
        <f t="shared" si="7"/>
        <v>1</v>
      </c>
      <c r="AC305" s="3">
        <f t="shared" si="8"/>
        <v>0</v>
      </c>
      <c r="AD305" s="3">
        <f t="shared" si="9"/>
        <v>0.6666666667</v>
      </c>
      <c r="AE305" s="3">
        <f t="shared" si="10"/>
        <v>-1</v>
      </c>
      <c r="AF305" s="3">
        <f t="shared" si="11"/>
        <v>-3</v>
      </c>
      <c r="AG305" s="3">
        <f t="shared" si="12"/>
        <v>-0.05263157895</v>
      </c>
    </row>
    <row r="306">
      <c r="A306" s="1" t="s">
        <v>12</v>
      </c>
      <c r="B306" s="1" t="s">
        <v>155</v>
      </c>
      <c r="C306" s="1" t="s">
        <v>19</v>
      </c>
      <c r="D306" s="1" t="s">
        <v>156</v>
      </c>
      <c r="E306" s="1" t="s">
        <v>67</v>
      </c>
      <c r="F306" s="1" t="s">
        <v>647</v>
      </c>
      <c r="G306" s="1">
        <v>2.5</v>
      </c>
      <c r="H306" s="1" t="s">
        <v>60</v>
      </c>
      <c r="I306" s="1">
        <v>105.0</v>
      </c>
      <c r="J306" s="1">
        <v>-0.111802212687804</v>
      </c>
      <c r="K306" s="1" t="s">
        <v>61</v>
      </c>
      <c r="L306" s="1" t="s">
        <v>61</v>
      </c>
      <c r="M306" s="1" t="s">
        <v>62</v>
      </c>
      <c r="N306" s="1">
        <v>-137.0</v>
      </c>
      <c r="O306" s="1">
        <v>0.0459379201662447</v>
      </c>
      <c r="P306" s="1" t="s">
        <v>61</v>
      </c>
      <c r="Q306" s="1" t="s">
        <v>61</v>
      </c>
      <c r="R306" s="1">
        <f t="shared" si="1"/>
        <v>0.04593792017</v>
      </c>
      <c r="S306" s="1">
        <f t="shared" si="2"/>
        <v>-137</v>
      </c>
      <c r="T306" s="1">
        <f t="shared" si="3"/>
        <v>1.729927007</v>
      </c>
      <c r="U306" s="1">
        <f t="shared" si="4"/>
        <v>0</v>
      </c>
      <c r="V306" s="3">
        <f t="shared" si="5"/>
        <v>1</v>
      </c>
      <c r="W306" s="3">
        <f t="shared" si="6"/>
        <v>3</v>
      </c>
      <c r="X306" s="3" t="str">
        <f>IFERROR(__xludf.DUMMYFUNCTION("split(B306,"" "")"),"S.")</f>
        <v>S.</v>
      </c>
      <c r="Y306" s="3" t="str">
        <f>IFERROR(__xludf.DUMMYFUNCTION("""COMPUTED_VALUE"""),"Barkley")</f>
        <v>Barkley</v>
      </c>
      <c r="AA306" s="8">
        <v>1.0</v>
      </c>
      <c r="AB306" s="3">
        <f t="shared" si="7"/>
        <v>0</v>
      </c>
      <c r="AC306" s="3">
        <f t="shared" si="8"/>
        <v>1</v>
      </c>
      <c r="AD306" s="3">
        <f t="shared" si="9"/>
        <v>0.7299270073</v>
      </c>
      <c r="AE306" s="3">
        <f t="shared" si="10"/>
        <v>0.7299270073</v>
      </c>
      <c r="AF306" s="3">
        <f t="shared" si="11"/>
        <v>2.189781022</v>
      </c>
      <c r="AG306" s="3">
        <f t="shared" si="12"/>
        <v>0.6</v>
      </c>
    </row>
    <row r="307">
      <c r="A307" s="1" t="s">
        <v>14</v>
      </c>
      <c r="B307" s="1" t="s">
        <v>338</v>
      </c>
      <c r="C307" s="1" t="s">
        <v>21</v>
      </c>
      <c r="D307" s="1" t="s">
        <v>156</v>
      </c>
      <c r="E307" s="1" t="s">
        <v>67</v>
      </c>
      <c r="F307" s="1" t="s">
        <v>647</v>
      </c>
      <c r="G307" s="1">
        <v>1.5</v>
      </c>
      <c r="H307" s="1" t="s">
        <v>60</v>
      </c>
      <c r="I307" s="1">
        <v>152.0</v>
      </c>
      <c r="J307" s="1">
        <v>0.0306746031746031</v>
      </c>
      <c r="K307" s="1" t="s">
        <v>61</v>
      </c>
      <c r="L307" s="1" t="s">
        <v>61</v>
      </c>
      <c r="M307" s="1" t="s">
        <v>62</v>
      </c>
      <c r="N307" s="1">
        <v>-202.0</v>
      </c>
      <c r="O307" s="1">
        <v>-0.0963741721854304</v>
      </c>
      <c r="P307" s="1" t="s">
        <v>61</v>
      </c>
      <c r="Q307" s="1" t="s">
        <v>61</v>
      </c>
      <c r="R307" s="1">
        <f t="shared" si="1"/>
        <v>0.03067460317</v>
      </c>
      <c r="S307" s="1">
        <f t="shared" si="2"/>
        <v>152</v>
      </c>
      <c r="T307" s="1">
        <f t="shared" si="3"/>
        <v>2.52</v>
      </c>
      <c r="U307" s="1">
        <f t="shared" si="4"/>
        <v>1</v>
      </c>
      <c r="V307" s="3">
        <f t="shared" si="5"/>
        <v>1</v>
      </c>
      <c r="W307" s="3">
        <f t="shared" si="6"/>
        <v>1</v>
      </c>
      <c r="X307" s="3" t="str">
        <f>IFERROR(__xludf.DUMMYFUNCTION("split(B307,"" "")"),"J.")</f>
        <v>J.</v>
      </c>
      <c r="Y307" s="3" t="str">
        <f>IFERROR(__xludf.DUMMYFUNCTION("""COMPUTED_VALUE"""),"Hurts")</f>
        <v>Hurts</v>
      </c>
      <c r="AA307" s="8">
        <v>1.0</v>
      </c>
      <c r="AB307" s="3">
        <f t="shared" si="7"/>
        <v>0</v>
      </c>
      <c r="AC307" s="3">
        <f t="shared" si="8"/>
        <v>0</v>
      </c>
      <c r="AD307" s="3">
        <f t="shared" si="9"/>
        <v>1.52</v>
      </c>
      <c r="AE307" s="3">
        <f t="shared" si="10"/>
        <v>-1</v>
      </c>
      <c r="AF307" s="3">
        <f t="shared" si="11"/>
        <v>-1</v>
      </c>
      <c r="AG307" s="3">
        <f t="shared" si="12"/>
        <v>-0.3333333333</v>
      </c>
    </row>
    <row r="308">
      <c r="A308" s="1" t="s">
        <v>10</v>
      </c>
      <c r="B308" s="1" t="s">
        <v>338</v>
      </c>
      <c r="C308" s="1" t="s">
        <v>21</v>
      </c>
      <c r="D308" s="1" t="s">
        <v>156</v>
      </c>
      <c r="E308" s="1" t="s">
        <v>67</v>
      </c>
      <c r="F308" s="1" t="s">
        <v>647</v>
      </c>
      <c r="G308" s="1">
        <v>35.5</v>
      </c>
      <c r="H308" s="1" t="s">
        <v>60</v>
      </c>
      <c r="I308" s="1">
        <v>-114.0</v>
      </c>
      <c r="J308" s="1">
        <v>-0.0839015457660966</v>
      </c>
      <c r="K308" s="1" t="s">
        <v>61</v>
      </c>
      <c r="L308" s="1" t="s">
        <v>61</v>
      </c>
      <c r="M308" s="1" t="s">
        <v>62</v>
      </c>
      <c r="N308" s="1">
        <v>-116.0</v>
      </c>
      <c r="O308" s="1">
        <v>0.0142263029786289</v>
      </c>
      <c r="P308" s="1" t="s">
        <v>61</v>
      </c>
      <c r="Q308" s="1" t="s">
        <v>61</v>
      </c>
      <c r="R308" s="1">
        <f t="shared" si="1"/>
        <v>0.01422630298</v>
      </c>
      <c r="S308" s="1">
        <f t="shared" si="2"/>
        <v>-116</v>
      </c>
      <c r="T308" s="1">
        <f t="shared" si="3"/>
        <v>1.862068966</v>
      </c>
      <c r="U308" s="1">
        <f t="shared" si="4"/>
        <v>0</v>
      </c>
      <c r="V308" s="3">
        <f t="shared" si="5"/>
        <v>1</v>
      </c>
      <c r="W308" s="3">
        <f t="shared" si="6"/>
        <v>2</v>
      </c>
      <c r="X308" s="3" t="str">
        <f>IFERROR(__xludf.DUMMYFUNCTION("split(B308,"" "")"),"J.")</f>
        <v>J.</v>
      </c>
      <c r="Y308" s="3" t="str">
        <f>IFERROR(__xludf.DUMMYFUNCTION("""COMPUTED_VALUE"""),"Hurts")</f>
        <v>Hurts</v>
      </c>
      <c r="AA308" s="8">
        <v>37.0</v>
      </c>
      <c r="AB308" s="3">
        <f t="shared" si="7"/>
        <v>1</v>
      </c>
      <c r="AC308" s="3">
        <f t="shared" si="8"/>
        <v>0</v>
      </c>
      <c r="AD308" s="3">
        <f t="shared" si="9"/>
        <v>0.8620689655</v>
      </c>
      <c r="AE308" s="3">
        <f t="shared" si="10"/>
        <v>-1</v>
      </c>
      <c r="AF308" s="3">
        <f t="shared" si="11"/>
        <v>-2</v>
      </c>
      <c r="AG308" s="3">
        <f t="shared" si="12"/>
        <v>-0.04225352113</v>
      </c>
    </row>
    <row r="309">
      <c r="A309" s="1" t="s">
        <v>16</v>
      </c>
      <c r="B309" s="1" t="s">
        <v>338</v>
      </c>
      <c r="C309" s="1" t="s">
        <v>21</v>
      </c>
      <c r="D309" s="1" t="s">
        <v>156</v>
      </c>
      <c r="E309" s="1" t="s">
        <v>67</v>
      </c>
      <c r="F309" s="1" t="s">
        <v>647</v>
      </c>
      <c r="G309" s="1">
        <v>28.5</v>
      </c>
      <c r="H309" s="1" t="s">
        <v>60</v>
      </c>
      <c r="I309" s="1">
        <v>-129.0</v>
      </c>
      <c r="J309" s="1">
        <v>-0.0745733815720524</v>
      </c>
      <c r="K309" s="1" t="s">
        <v>61</v>
      </c>
      <c r="L309" s="1" t="s">
        <v>61</v>
      </c>
      <c r="M309" s="1" t="s">
        <v>62</v>
      </c>
      <c r="N309" s="1">
        <v>101.0</v>
      </c>
      <c r="O309" s="1">
        <v>0.013735842686567</v>
      </c>
      <c r="P309" s="1" t="s">
        <v>61</v>
      </c>
      <c r="Q309" s="1" t="s">
        <v>61</v>
      </c>
      <c r="R309" s="1">
        <f t="shared" si="1"/>
        <v>0.01373584269</v>
      </c>
      <c r="S309" s="1">
        <f t="shared" si="2"/>
        <v>101</v>
      </c>
      <c r="T309" s="1">
        <f t="shared" si="3"/>
        <v>2.01</v>
      </c>
      <c r="U309" s="1">
        <f t="shared" si="4"/>
        <v>0</v>
      </c>
      <c r="V309" s="3">
        <f t="shared" si="5"/>
        <v>1</v>
      </c>
      <c r="W309" s="3">
        <f t="shared" si="6"/>
        <v>2</v>
      </c>
      <c r="X309" s="3" t="str">
        <f>IFERROR(__xludf.DUMMYFUNCTION("split(B309,"" "")"),"J.")</f>
        <v>J.</v>
      </c>
      <c r="Y309" s="3" t="str">
        <f>IFERROR(__xludf.DUMMYFUNCTION("""COMPUTED_VALUE"""),"Hurts")</f>
        <v>Hurts</v>
      </c>
      <c r="AA309" s="8">
        <v>20.0</v>
      </c>
      <c r="AB309" s="3">
        <f t="shared" si="7"/>
        <v>0</v>
      </c>
      <c r="AC309" s="3">
        <f t="shared" si="8"/>
        <v>1</v>
      </c>
      <c r="AD309" s="3">
        <f t="shared" si="9"/>
        <v>1.01</v>
      </c>
      <c r="AE309" s="3">
        <f t="shared" si="10"/>
        <v>1.01</v>
      </c>
      <c r="AF309" s="3">
        <f t="shared" si="11"/>
        <v>2.02</v>
      </c>
      <c r="AG309" s="3">
        <f t="shared" si="12"/>
        <v>0.298245614</v>
      </c>
    </row>
    <row r="310">
      <c r="A310" s="1" t="s">
        <v>8</v>
      </c>
      <c r="B310" s="1" t="s">
        <v>155</v>
      </c>
      <c r="C310" s="1" t="s">
        <v>19</v>
      </c>
      <c r="D310" s="1" t="s">
        <v>156</v>
      </c>
      <c r="E310" s="1" t="s">
        <v>67</v>
      </c>
      <c r="F310" s="1" t="s">
        <v>647</v>
      </c>
      <c r="G310" s="1">
        <v>16.5</v>
      </c>
      <c r="H310" s="1" t="s">
        <v>60</v>
      </c>
      <c r="I310" s="1">
        <v>-122.0</v>
      </c>
      <c r="J310" s="1">
        <v>0.0120435544144144</v>
      </c>
      <c r="K310" s="1" t="s">
        <v>61</v>
      </c>
      <c r="L310" s="1" t="s">
        <v>61</v>
      </c>
      <c r="M310" s="1" t="s">
        <v>62</v>
      </c>
      <c r="N310" s="1">
        <v>-107.0</v>
      </c>
      <c r="O310" s="1">
        <v>-0.078515052732367</v>
      </c>
      <c r="P310" s="1" t="s">
        <v>61</v>
      </c>
      <c r="Q310" s="1" t="s">
        <v>61</v>
      </c>
      <c r="R310" s="1">
        <f t="shared" si="1"/>
        <v>0.01204355441</v>
      </c>
      <c r="S310" s="1">
        <f t="shared" si="2"/>
        <v>-122</v>
      </c>
      <c r="T310" s="1">
        <f t="shared" si="3"/>
        <v>1.819672131</v>
      </c>
      <c r="U310" s="1">
        <f t="shared" si="4"/>
        <v>1</v>
      </c>
      <c r="V310" s="3">
        <f t="shared" si="5"/>
        <v>1</v>
      </c>
      <c r="W310" s="3">
        <f t="shared" si="6"/>
        <v>3</v>
      </c>
      <c r="X310" s="3" t="str">
        <f>IFERROR(__xludf.DUMMYFUNCTION("split(B310,"" "")"),"S.")</f>
        <v>S.</v>
      </c>
      <c r="Y310" s="3" t="str">
        <f>IFERROR(__xludf.DUMMYFUNCTION("""COMPUTED_VALUE"""),"Barkley")</f>
        <v>Barkley</v>
      </c>
      <c r="AA310" s="8">
        <v>22.0</v>
      </c>
      <c r="AB310" s="3">
        <f t="shared" si="7"/>
        <v>1</v>
      </c>
      <c r="AC310" s="3">
        <f t="shared" si="8"/>
        <v>1</v>
      </c>
      <c r="AD310" s="3">
        <f t="shared" si="9"/>
        <v>0.8196721311</v>
      </c>
      <c r="AE310" s="3">
        <f t="shared" si="10"/>
        <v>0.8196721311</v>
      </c>
      <c r="AF310" s="3">
        <f t="shared" si="11"/>
        <v>2.459016393</v>
      </c>
      <c r="AG310" s="3">
        <f t="shared" si="12"/>
        <v>0.3333333333</v>
      </c>
    </row>
    <row r="311">
      <c r="A311" s="1" t="s">
        <v>9</v>
      </c>
      <c r="B311" s="1" t="s">
        <v>507</v>
      </c>
      <c r="C311" s="1" t="s">
        <v>18</v>
      </c>
      <c r="D311" s="1" t="s">
        <v>156</v>
      </c>
      <c r="E311" s="1" t="s">
        <v>67</v>
      </c>
      <c r="F311" s="1" t="s">
        <v>647</v>
      </c>
      <c r="G311" s="1">
        <v>55.5</v>
      </c>
      <c r="H311" s="1" t="s">
        <v>60</v>
      </c>
      <c r="I311" s="1">
        <v>-115.0</v>
      </c>
      <c r="J311" s="1">
        <v>0.0101737131759235</v>
      </c>
      <c r="K311" s="1" t="s">
        <v>61</v>
      </c>
      <c r="L311" s="1" t="s">
        <v>61</v>
      </c>
      <c r="M311" s="1" t="s">
        <v>62</v>
      </c>
      <c r="N311" s="1">
        <v>-117.0</v>
      </c>
      <c r="O311" s="1">
        <v>-0.0842530071401085</v>
      </c>
      <c r="P311" s="1" t="s">
        <v>61</v>
      </c>
      <c r="Q311" s="1" t="s">
        <v>61</v>
      </c>
      <c r="R311" s="1">
        <f t="shared" si="1"/>
        <v>0.01017371318</v>
      </c>
      <c r="S311" s="1">
        <f t="shared" si="2"/>
        <v>-115</v>
      </c>
      <c r="T311" s="1">
        <f t="shared" si="3"/>
        <v>1.869565217</v>
      </c>
      <c r="U311" s="1">
        <f t="shared" si="4"/>
        <v>1</v>
      </c>
      <c r="V311" s="3">
        <f t="shared" si="5"/>
        <v>1</v>
      </c>
      <c r="W311" s="3">
        <f t="shared" si="6"/>
        <v>2</v>
      </c>
      <c r="X311" s="3" t="str">
        <f>IFERROR(__xludf.DUMMYFUNCTION("split(B311,"" "")"),"D.")</f>
        <v>D.</v>
      </c>
      <c r="Y311" s="3" t="str">
        <f>IFERROR(__xludf.DUMMYFUNCTION("""COMPUTED_VALUE"""),"Smith")</f>
        <v>Smith</v>
      </c>
      <c r="AA311" s="8">
        <v>85.0</v>
      </c>
      <c r="AB311" s="3">
        <f t="shared" si="7"/>
        <v>1</v>
      </c>
      <c r="AC311" s="3">
        <f t="shared" si="8"/>
        <v>1</v>
      </c>
      <c r="AD311" s="3">
        <f t="shared" si="9"/>
        <v>0.8695652174</v>
      </c>
      <c r="AE311" s="3">
        <f t="shared" si="10"/>
        <v>0.8695652174</v>
      </c>
      <c r="AF311" s="3">
        <f t="shared" si="11"/>
        <v>1.739130435</v>
      </c>
      <c r="AG311" s="3">
        <f t="shared" si="12"/>
        <v>0.5315315315</v>
      </c>
    </row>
    <row r="312">
      <c r="A312" s="1" t="s">
        <v>17</v>
      </c>
      <c r="B312" s="1" t="s">
        <v>338</v>
      </c>
      <c r="C312" s="1" t="s">
        <v>21</v>
      </c>
      <c r="D312" s="1" t="s">
        <v>156</v>
      </c>
      <c r="E312" s="1" t="s">
        <v>67</v>
      </c>
      <c r="F312" s="1" t="s">
        <v>647</v>
      </c>
      <c r="G312" s="1">
        <v>0.5</v>
      </c>
      <c r="H312" s="1" t="s">
        <v>60</v>
      </c>
      <c r="I312" s="1">
        <v>-109.0</v>
      </c>
      <c r="J312" s="1">
        <v>-0.0765832535885167</v>
      </c>
      <c r="K312" s="1" t="s">
        <v>61</v>
      </c>
      <c r="L312" s="1" t="s">
        <v>61</v>
      </c>
      <c r="M312" s="1" t="s">
        <v>62</v>
      </c>
      <c r="N312" s="1">
        <v>-120.0</v>
      </c>
      <c r="O312" s="1">
        <v>0.00959090909090909</v>
      </c>
      <c r="P312" s="1" t="s">
        <v>61</v>
      </c>
      <c r="Q312" s="1" t="s">
        <v>61</v>
      </c>
      <c r="R312" s="1">
        <f t="shared" si="1"/>
        <v>0.009590909091</v>
      </c>
      <c r="S312" s="1">
        <f t="shared" si="2"/>
        <v>-120</v>
      </c>
      <c r="T312" s="1">
        <f t="shared" si="3"/>
        <v>1.833333333</v>
      </c>
      <c r="U312" s="1">
        <f t="shared" si="4"/>
        <v>0</v>
      </c>
      <c r="V312" s="3">
        <f t="shared" si="5"/>
        <v>1</v>
      </c>
      <c r="W312" s="3">
        <f t="shared" si="6"/>
        <v>3</v>
      </c>
      <c r="X312" s="3" t="str">
        <f>IFERROR(__xludf.DUMMYFUNCTION("split(B312,"" "")"),"J.")</f>
        <v>J.</v>
      </c>
      <c r="Y312" s="3" t="str">
        <f>IFERROR(__xludf.DUMMYFUNCTION("""COMPUTED_VALUE"""),"Hurts")</f>
        <v>Hurts</v>
      </c>
      <c r="AA312" s="8">
        <v>0.0</v>
      </c>
      <c r="AB312" s="3">
        <f t="shared" si="7"/>
        <v>0</v>
      </c>
      <c r="AC312" s="3">
        <f t="shared" si="8"/>
        <v>1</v>
      </c>
      <c r="AD312" s="3">
        <f t="shared" si="9"/>
        <v>0.8333333333</v>
      </c>
      <c r="AE312" s="3">
        <f t="shared" si="10"/>
        <v>0.8333333333</v>
      </c>
      <c r="AF312" s="3">
        <f t="shared" si="11"/>
        <v>2.5</v>
      </c>
      <c r="AG312" s="3">
        <f t="shared" si="12"/>
        <v>1</v>
      </c>
    </row>
    <row r="313">
      <c r="A313" s="1" t="s">
        <v>9</v>
      </c>
      <c r="B313" s="1" t="s">
        <v>492</v>
      </c>
      <c r="C313" s="1" t="s">
        <v>18</v>
      </c>
      <c r="D313" s="1" t="s">
        <v>156</v>
      </c>
      <c r="E313" s="1" t="s">
        <v>67</v>
      </c>
      <c r="F313" s="1" t="s">
        <v>647</v>
      </c>
      <c r="G313" s="1">
        <v>75.5</v>
      </c>
      <c r="H313" s="1" t="s">
        <v>60</v>
      </c>
      <c r="I313" s="1">
        <v>-124.0</v>
      </c>
      <c r="J313" s="1">
        <v>-0.0844424117867497</v>
      </c>
      <c r="K313" s="1" t="s">
        <v>61</v>
      </c>
      <c r="L313" s="1" t="s">
        <v>61</v>
      </c>
      <c r="M313" s="1" t="s">
        <v>62</v>
      </c>
      <c r="N313" s="1">
        <v>-112.0</v>
      </c>
      <c r="O313" s="1">
        <v>0.00258211447669698</v>
      </c>
      <c r="P313" s="1" t="s">
        <v>61</v>
      </c>
      <c r="Q313" s="1" t="s">
        <v>61</v>
      </c>
      <c r="R313" s="1">
        <f t="shared" si="1"/>
        <v>0.002582114477</v>
      </c>
      <c r="S313" s="1">
        <f t="shared" si="2"/>
        <v>-112</v>
      </c>
      <c r="T313" s="1">
        <f t="shared" si="3"/>
        <v>1.892857143</v>
      </c>
      <c r="U313" s="1">
        <f t="shared" si="4"/>
        <v>0</v>
      </c>
      <c r="V313" s="3">
        <f t="shared" si="5"/>
        <v>1</v>
      </c>
      <c r="W313" s="3">
        <f t="shared" si="6"/>
        <v>2</v>
      </c>
      <c r="X313" s="3" t="str">
        <f>IFERROR(__xludf.DUMMYFUNCTION("split(B313,"" "")"),"A.")</f>
        <v>A.</v>
      </c>
      <c r="Y313" s="3" t="str">
        <f>IFERROR(__xludf.DUMMYFUNCTION("""COMPUTED_VALUE"""),"Brown")</f>
        <v>Brown</v>
      </c>
      <c r="AA313" s="8">
        <v>84.0</v>
      </c>
      <c r="AB313" s="3">
        <f t="shared" si="7"/>
        <v>1</v>
      </c>
      <c r="AC313" s="3">
        <f t="shared" si="8"/>
        <v>0</v>
      </c>
      <c r="AD313" s="3">
        <f t="shared" si="9"/>
        <v>0.8928571429</v>
      </c>
      <c r="AE313" s="3">
        <f t="shared" si="10"/>
        <v>-1</v>
      </c>
      <c r="AF313" s="3">
        <f t="shared" si="11"/>
        <v>-2</v>
      </c>
      <c r="AG313" s="3">
        <f t="shared" si="12"/>
        <v>-0.1125827815</v>
      </c>
    </row>
    <row r="314">
      <c r="A314" s="1" t="s">
        <v>10</v>
      </c>
      <c r="B314" s="1" t="s">
        <v>415</v>
      </c>
      <c r="C314" s="1" t="s">
        <v>18</v>
      </c>
      <c r="D314" s="1" t="s">
        <v>110</v>
      </c>
      <c r="E314" s="1" t="s">
        <v>147</v>
      </c>
      <c r="F314" s="1" t="s">
        <v>655</v>
      </c>
      <c r="G314" s="1">
        <v>0.5</v>
      </c>
      <c r="H314" s="1" t="s">
        <v>60</v>
      </c>
      <c r="I314" s="1">
        <v>464.0</v>
      </c>
      <c r="J314" s="1">
        <v>0.43543255471701</v>
      </c>
      <c r="K314" s="1" t="s">
        <v>61</v>
      </c>
      <c r="L314" s="1" t="s">
        <v>61</v>
      </c>
      <c r="M314" s="1" t="s">
        <v>62</v>
      </c>
      <c r="N314" s="1">
        <v>-790.0</v>
      </c>
      <c r="O314" s="1">
        <v>-0.500341459414256</v>
      </c>
      <c r="P314" s="1" t="s">
        <v>61</v>
      </c>
      <c r="Q314" s="1" t="s">
        <v>61</v>
      </c>
      <c r="R314" s="1">
        <f t="shared" si="1"/>
        <v>0.4354325547</v>
      </c>
      <c r="S314" s="1">
        <f t="shared" si="2"/>
        <v>464</v>
      </c>
      <c r="T314" s="1">
        <f t="shared" si="3"/>
        <v>5.64</v>
      </c>
      <c r="U314" s="1">
        <f t="shared" si="4"/>
        <v>1</v>
      </c>
      <c r="V314" s="3">
        <f t="shared" si="5"/>
        <v>3</v>
      </c>
      <c r="W314" s="3">
        <f t="shared" si="6"/>
        <v>1</v>
      </c>
      <c r="X314" s="3" t="str">
        <f>IFERROR(__xludf.DUMMYFUNCTION("split(B314,"" "")"),"G.")</f>
        <v>G.</v>
      </c>
      <c r="Y314" s="3" t="str">
        <f>IFERROR(__xludf.DUMMYFUNCTION("""COMPUTED_VALUE"""),"Pickens")</f>
        <v>Pickens</v>
      </c>
      <c r="AA314" s="8">
        <v>0.0</v>
      </c>
      <c r="AB314" s="3">
        <f t="shared" si="7"/>
        <v>0</v>
      </c>
      <c r="AC314" s="3">
        <f t="shared" si="8"/>
        <v>0</v>
      </c>
      <c r="AD314" s="3">
        <f t="shared" si="9"/>
        <v>13.92</v>
      </c>
      <c r="AE314" s="3">
        <f t="shared" si="10"/>
        <v>0</v>
      </c>
      <c r="AF314" s="3">
        <f t="shared" si="11"/>
        <v>-1</v>
      </c>
      <c r="AG314" s="3">
        <f t="shared" si="12"/>
        <v>-1</v>
      </c>
    </row>
    <row r="315">
      <c r="A315" s="1" t="s">
        <v>10</v>
      </c>
      <c r="B315" s="1" t="s">
        <v>600</v>
      </c>
      <c r="C315" s="1" t="s">
        <v>18</v>
      </c>
      <c r="D315" s="1" t="s">
        <v>110</v>
      </c>
      <c r="E315" s="1" t="s">
        <v>147</v>
      </c>
      <c r="F315" s="1" t="s">
        <v>655</v>
      </c>
      <c r="G315" s="1">
        <v>0.5</v>
      </c>
      <c r="H315" s="1" t="s">
        <v>60</v>
      </c>
      <c r="I315" s="1">
        <v>410.0</v>
      </c>
      <c r="J315" s="1">
        <v>0.416669641450141</v>
      </c>
      <c r="K315" s="1" t="s">
        <v>61</v>
      </c>
      <c r="L315" s="1" t="s">
        <v>61</v>
      </c>
      <c r="M315" s="1" t="s">
        <v>62</v>
      </c>
      <c r="N315" s="1">
        <v>-668.0</v>
      </c>
      <c r="O315" s="1">
        <v>-0.48250271039518</v>
      </c>
      <c r="P315" s="1" t="s">
        <v>61</v>
      </c>
      <c r="Q315" s="1" t="s">
        <v>61</v>
      </c>
      <c r="R315" s="1">
        <f t="shared" si="1"/>
        <v>0.4166696415</v>
      </c>
      <c r="S315" s="1">
        <f t="shared" si="2"/>
        <v>410</v>
      </c>
      <c r="T315" s="1">
        <f t="shared" si="3"/>
        <v>5.1</v>
      </c>
      <c r="U315" s="1">
        <f t="shared" si="4"/>
        <v>1</v>
      </c>
      <c r="V315" s="3">
        <f t="shared" si="5"/>
        <v>3</v>
      </c>
      <c r="W315" s="3">
        <f t="shared" si="6"/>
        <v>1</v>
      </c>
      <c r="X315" s="3" t="str">
        <f>IFERROR(__xludf.DUMMYFUNCTION("split(B315,"" "")"),"C.")</f>
        <v>C.</v>
      </c>
      <c r="Y315" s="3" t="str">
        <f>IFERROR(__xludf.DUMMYFUNCTION("""COMPUTED_VALUE"""),"Austin")</f>
        <v>Austin</v>
      </c>
      <c r="Z315" s="3" t="str">
        <f>IFERROR(__xludf.DUMMYFUNCTION("""COMPUTED_VALUE"""),"III")</f>
        <v>III</v>
      </c>
      <c r="AA315" s="8">
        <v>0.0</v>
      </c>
      <c r="AB315" s="3">
        <f t="shared" si="7"/>
        <v>0</v>
      </c>
      <c r="AC315" s="3">
        <f t="shared" si="8"/>
        <v>0</v>
      </c>
      <c r="AD315" s="3">
        <f t="shared" si="9"/>
        <v>12.3</v>
      </c>
      <c r="AE315" s="3">
        <f t="shared" si="10"/>
        <v>0</v>
      </c>
      <c r="AF315" s="3">
        <f t="shared" si="11"/>
        <v>-1</v>
      </c>
      <c r="AG315" s="3">
        <f t="shared" si="12"/>
        <v>-1</v>
      </c>
    </row>
    <row r="316">
      <c r="A316" s="1" t="s">
        <v>12</v>
      </c>
      <c r="B316" s="1" t="s">
        <v>600</v>
      </c>
      <c r="C316" s="1" t="s">
        <v>18</v>
      </c>
      <c r="D316" s="1" t="s">
        <v>110</v>
      </c>
      <c r="E316" s="1" t="s">
        <v>147</v>
      </c>
      <c r="F316" s="1" t="s">
        <v>655</v>
      </c>
      <c r="G316" s="1">
        <v>1.5</v>
      </c>
      <c r="H316" s="1" t="s">
        <v>60</v>
      </c>
      <c r="I316" s="1">
        <v>-180.0</v>
      </c>
      <c r="J316" s="1">
        <v>-0.293887060085714</v>
      </c>
      <c r="K316" s="1" t="s">
        <v>61</v>
      </c>
      <c r="L316" s="1" t="s">
        <v>61</v>
      </c>
      <c r="M316" s="1" t="s">
        <v>62</v>
      </c>
      <c r="N316" s="1">
        <v>135.0</v>
      </c>
      <c r="O316" s="1">
        <v>0.225503731165957</v>
      </c>
      <c r="P316" s="1" t="s">
        <v>61</v>
      </c>
      <c r="Q316" s="1" t="s">
        <v>61</v>
      </c>
      <c r="R316" s="1">
        <f t="shared" si="1"/>
        <v>0.2255037312</v>
      </c>
      <c r="S316" s="1">
        <f t="shared" si="2"/>
        <v>135</v>
      </c>
      <c r="T316" s="1">
        <f t="shared" si="3"/>
        <v>2.35</v>
      </c>
      <c r="U316" s="1">
        <f t="shared" si="4"/>
        <v>0</v>
      </c>
      <c r="V316" s="3">
        <f t="shared" si="5"/>
        <v>3</v>
      </c>
      <c r="W316" s="3">
        <f t="shared" si="6"/>
        <v>1</v>
      </c>
      <c r="X316" s="3" t="str">
        <f>IFERROR(__xludf.DUMMYFUNCTION("split(B316,"" "")"),"C.")</f>
        <v>C.</v>
      </c>
      <c r="Y316" s="3" t="str">
        <f>IFERROR(__xludf.DUMMYFUNCTION("""COMPUTED_VALUE"""),"Austin")</f>
        <v>Austin</v>
      </c>
      <c r="Z316" s="3" t="str">
        <f>IFERROR(__xludf.DUMMYFUNCTION("""COMPUTED_VALUE"""),"III")</f>
        <v>III</v>
      </c>
      <c r="AA316" s="8">
        <v>3.0</v>
      </c>
      <c r="AB316" s="3">
        <f t="shared" si="7"/>
        <v>1</v>
      </c>
      <c r="AC316" s="3">
        <f t="shared" si="8"/>
        <v>0</v>
      </c>
      <c r="AD316" s="3">
        <f t="shared" si="9"/>
        <v>4.05</v>
      </c>
      <c r="AE316" s="3">
        <f t="shared" si="10"/>
        <v>-3</v>
      </c>
      <c r="AF316" s="3">
        <f t="shared" si="11"/>
        <v>-1</v>
      </c>
      <c r="AG316" s="3">
        <f t="shared" si="12"/>
        <v>-1</v>
      </c>
    </row>
    <row r="317">
      <c r="A317" s="1" t="s">
        <v>12</v>
      </c>
      <c r="B317" s="1" t="s">
        <v>403</v>
      </c>
      <c r="C317" s="1" t="s">
        <v>18</v>
      </c>
      <c r="D317" s="1" t="s">
        <v>110</v>
      </c>
      <c r="E317" s="1" t="s">
        <v>147</v>
      </c>
      <c r="F317" s="1" t="s">
        <v>655</v>
      </c>
      <c r="G317" s="1">
        <v>1.5</v>
      </c>
      <c r="H317" s="1" t="s">
        <v>60</v>
      </c>
      <c r="I317" s="1">
        <v>-151.0</v>
      </c>
      <c r="J317" s="1">
        <v>-0.257887586920318</v>
      </c>
      <c r="K317" s="1" t="s">
        <v>61</v>
      </c>
      <c r="L317" s="1" t="s">
        <v>61</v>
      </c>
      <c r="M317" s="1" t="s">
        <v>62</v>
      </c>
      <c r="N317" s="1">
        <v>115.0</v>
      </c>
      <c r="O317" s="1">
        <v>0.19117667124186</v>
      </c>
      <c r="P317" s="1" t="s">
        <v>61</v>
      </c>
      <c r="Q317" s="1" t="s">
        <v>61</v>
      </c>
      <c r="R317" s="1">
        <f t="shared" si="1"/>
        <v>0.1911766712</v>
      </c>
      <c r="S317" s="1">
        <f t="shared" si="2"/>
        <v>115</v>
      </c>
      <c r="T317" s="1">
        <f t="shared" si="3"/>
        <v>2.15</v>
      </c>
      <c r="U317" s="1">
        <f t="shared" si="4"/>
        <v>0</v>
      </c>
      <c r="V317" s="3">
        <f t="shared" si="5"/>
        <v>3</v>
      </c>
      <c r="W317" s="3">
        <f t="shared" si="6"/>
        <v>1</v>
      </c>
      <c r="X317" s="3" t="str">
        <f>IFERROR(__xludf.DUMMYFUNCTION("split(B317,"" "")"),"V.")</f>
        <v>V.</v>
      </c>
      <c r="Y317" s="3" t="str">
        <f>IFERROR(__xludf.DUMMYFUNCTION("""COMPUTED_VALUE"""),"Jefferson")</f>
        <v>Jefferson</v>
      </c>
      <c r="AA317" s="8">
        <v>4.0</v>
      </c>
      <c r="AB317" s="3">
        <f t="shared" si="7"/>
        <v>1</v>
      </c>
      <c r="AC317" s="3">
        <f t="shared" si="8"/>
        <v>0</v>
      </c>
      <c r="AD317" s="3">
        <f t="shared" si="9"/>
        <v>3.45</v>
      </c>
      <c r="AE317" s="3">
        <f t="shared" si="10"/>
        <v>-3</v>
      </c>
      <c r="AF317" s="3">
        <f t="shared" si="11"/>
        <v>-1</v>
      </c>
      <c r="AG317" s="3">
        <f t="shared" si="12"/>
        <v>-1.666666667</v>
      </c>
    </row>
    <row r="318">
      <c r="A318" s="1" t="s">
        <v>12</v>
      </c>
      <c r="B318" s="1" t="s">
        <v>489</v>
      </c>
      <c r="C318" s="1" t="s">
        <v>20</v>
      </c>
      <c r="D318" s="1" t="s">
        <v>110</v>
      </c>
      <c r="E318" s="1" t="s">
        <v>147</v>
      </c>
      <c r="F318" s="1" t="s">
        <v>655</v>
      </c>
      <c r="G318" s="1">
        <v>2.5</v>
      </c>
      <c r="H318" s="1" t="s">
        <v>60</v>
      </c>
      <c r="I318" s="1">
        <v>-164.0</v>
      </c>
      <c r="J318" s="1">
        <v>-0.230185581666666</v>
      </c>
      <c r="K318" s="1" t="s">
        <v>61</v>
      </c>
      <c r="L318" s="1" t="s">
        <v>61</v>
      </c>
      <c r="M318" s="1" t="s">
        <v>62</v>
      </c>
      <c r="N318" s="1">
        <v>125.0</v>
      </c>
      <c r="O318" s="1">
        <v>0.164541749155555</v>
      </c>
      <c r="P318" s="1" t="s">
        <v>61</v>
      </c>
      <c r="Q318" s="1" t="s">
        <v>61</v>
      </c>
      <c r="R318" s="1">
        <f t="shared" si="1"/>
        <v>0.1645417492</v>
      </c>
      <c r="S318" s="1">
        <f t="shared" si="2"/>
        <v>125</v>
      </c>
      <c r="T318" s="1">
        <f t="shared" si="3"/>
        <v>2.25</v>
      </c>
      <c r="U318" s="1">
        <f t="shared" si="4"/>
        <v>0</v>
      </c>
      <c r="V318" s="3">
        <f t="shared" si="5"/>
        <v>3</v>
      </c>
      <c r="W318" s="3">
        <f t="shared" si="6"/>
        <v>1</v>
      </c>
      <c r="X318" s="3" t="str">
        <f>IFERROR(__xludf.DUMMYFUNCTION("split(B318,"" "")"),"P.")</f>
        <v>P.</v>
      </c>
      <c r="Y318" s="3" t="str">
        <f>IFERROR(__xludf.DUMMYFUNCTION("""COMPUTED_VALUE"""),"Freiermuth")</f>
        <v>Freiermuth</v>
      </c>
      <c r="AA318" s="8">
        <v>2.0</v>
      </c>
      <c r="AB318" s="3">
        <f t="shared" si="7"/>
        <v>0</v>
      </c>
      <c r="AC318" s="3">
        <f t="shared" si="8"/>
        <v>1</v>
      </c>
      <c r="AD318" s="3">
        <f t="shared" si="9"/>
        <v>3.75</v>
      </c>
      <c r="AE318" s="3">
        <f t="shared" si="10"/>
        <v>3.75</v>
      </c>
      <c r="AF318" s="3">
        <f t="shared" si="11"/>
        <v>1.25</v>
      </c>
      <c r="AG318" s="3">
        <f t="shared" si="12"/>
        <v>0.2</v>
      </c>
    </row>
    <row r="319">
      <c r="A319" s="1" t="s">
        <v>8</v>
      </c>
      <c r="B319" s="1" t="s">
        <v>214</v>
      </c>
      <c r="C319" s="1" t="s">
        <v>21</v>
      </c>
      <c r="D319" s="1" t="s">
        <v>110</v>
      </c>
      <c r="E319" s="1" t="s">
        <v>147</v>
      </c>
      <c r="F319" s="1" t="s">
        <v>655</v>
      </c>
      <c r="G319" s="1">
        <v>4.5</v>
      </c>
      <c r="H319" s="1" t="s">
        <v>60</v>
      </c>
      <c r="I319" s="1">
        <v>-128.0</v>
      </c>
      <c r="J319" s="1">
        <v>-0.218896606032098</v>
      </c>
      <c r="K319" s="1" t="s">
        <v>61</v>
      </c>
      <c r="L319" s="1" t="s">
        <v>61</v>
      </c>
      <c r="M319" s="1" t="s">
        <v>62</v>
      </c>
      <c r="N319" s="1">
        <v>-103.0</v>
      </c>
      <c r="O319" s="1">
        <v>0.150102852022551</v>
      </c>
      <c r="P319" s="1" t="s">
        <v>61</v>
      </c>
      <c r="Q319" s="1" t="s">
        <v>61</v>
      </c>
      <c r="R319" s="1">
        <f t="shared" si="1"/>
        <v>0.150102852</v>
      </c>
      <c r="S319" s="1">
        <f t="shared" si="2"/>
        <v>-103</v>
      </c>
      <c r="T319" s="1">
        <f t="shared" si="3"/>
        <v>1.970873786</v>
      </c>
      <c r="U319" s="1">
        <f t="shared" si="4"/>
        <v>0</v>
      </c>
      <c r="V319" s="3">
        <f t="shared" si="5"/>
        <v>3</v>
      </c>
      <c r="W319" s="3">
        <f t="shared" si="6"/>
        <v>2</v>
      </c>
      <c r="X319" s="3" t="str">
        <f>IFERROR(__xludf.DUMMYFUNCTION("split(B319,"" "")"),"R.")</f>
        <v>R.</v>
      </c>
      <c r="Y319" s="3" t="str">
        <f>IFERROR(__xludf.DUMMYFUNCTION("""COMPUTED_VALUE"""),"Wilson")</f>
        <v>Wilson</v>
      </c>
      <c r="AA319" s="8">
        <v>3.0</v>
      </c>
      <c r="AB319" s="3">
        <f t="shared" si="7"/>
        <v>0</v>
      </c>
      <c r="AC319" s="3">
        <f t="shared" si="8"/>
        <v>1</v>
      </c>
      <c r="AD319" s="3">
        <f t="shared" si="9"/>
        <v>2.912621359</v>
      </c>
      <c r="AE319" s="3">
        <f t="shared" si="10"/>
        <v>2.912621359</v>
      </c>
      <c r="AF319" s="3">
        <f t="shared" si="11"/>
        <v>1.941747573</v>
      </c>
      <c r="AG319" s="3">
        <f t="shared" si="12"/>
        <v>0.3333333333</v>
      </c>
    </row>
    <row r="320">
      <c r="A320" s="1" t="s">
        <v>9</v>
      </c>
      <c r="B320" s="1" t="s">
        <v>403</v>
      </c>
      <c r="C320" s="1" t="s">
        <v>18</v>
      </c>
      <c r="D320" s="1" t="s">
        <v>110</v>
      </c>
      <c r="E320" s="1" t="s">
        <v>147</v>
      </c>
      <c r="F320" s="1" t="s">
        <v>655</v>
      </c>
      <c r="G320" s="1">
        <v>17.5</v>
      </c>
      <c r="H320" s="1" t="s">
        <v>60</v>
      </c>
      <c r="I320" s="1">
        <v>-116.0</v>
      </c>
      <c r="J320" s="1">
        <v>0.135669529993704</v>
      </c>
      <c r="K320" s="1" t="s">
        <v>61</v>
      </c>
      <c r="L320" s="1" t="s">
        <v>61</v>
      </c>
      <c r="M320" s="1" t="s">
        <v>62</v>
      </c>
      <c r="N320" s="1">
        <v>-116.0</v>
      </c>
      <c r="O320" s="1">
        <v>-0.209728654792697</v>
      </c>
      <c r="P320" s="1" t="s">
        <v>61</v>
      </c>
      <c r="Q320" s="1" t="s">
        <v>61</v>
      </c>
      <c r="R320" s="1">
        <f t="shared" si="1"/>
        <v>0.13566953</v>
      </c>
      <c r="S320" s="1">
        <f t="shared" si="2"/>
        <v>-116</v>
      </c>
      <c r="T320" s="1">
        <f t="shared" si="3"/>
        <v>1.862068966</v>
      </c>
      <c r="U320" s="1">
        <f t="shared" si="4"/>
        <v>1</v>
      </c>
      <c r="V320" s="3">
        <f t="shared" si="5"/>
        <v>3</v>
      </c>
      <c r="W320" s="3">
        <f t="shared" si="6"/>
        <v>2</v>
      </c>
      <c r="X320" s="3" t="str">
        <f>IFERROR(__xludf.DUMMYFUNCTION("split(B320,"" "")"),"V.")</f>
        <v>V.</v>
      </c>
      <c r="Y320" s="3" t="str">
        <f>IFERROR(__xludf.DUMMYFUNCTION("""COMPUTED_VALUE"""),"Jefferson")</f>
        <v>Jefferson</v>
      </c>
      <c r="AA320" s="8">
        <v>62.0</v>
      </c>
      <c r="AB320" s="3">
        <f t="shared" si="7"/>
        <v>1</v>
      </c>
      <c r="AC320" s="3">
        <f t="shared" si="8"/>
        <v>1</v>
      </c>
      <c r="AD320" s="3">
        <f t="shared" si="9"/>
        <v>2.586206897</v>
      </c>
      <c r="AE320" s="3">
        <f t="shared" si="10"/>
        <v>2.586206897</v>
      </c>
      <c r="AF320" s="3">
        <f t="shared" si="11"/>
        <v>1.724137931</v>
      </c>
      <c r="AG320" s="3">
        <f t="shared" si="12"/>
        <v>2.542857143</v>
      </c>
    </row>
    <row r="321">
      <c r="A321" s="1" t="s">
        <v>16</v>
      </c>
      <c r="B321" s="1" t="s">
        <v>214</v>
      </c>
      <c r="C321" s="1" t="s">
        <v>21</v>
      </c>
      <c r="D321" s="1" t="s">
        <v>110</v>
      </c>
      <c r="E321" s="1" t="s">
        <v>147</v>
      </c>
      <c r="F321" s="1" t="s">
        <v>655</v>
      </c>
      <c r="G321" s="1">
        <v>27.5</v>
      </c>
      <c r="H321" s="1" t="s">
        <v>60</v>
      </c>
      <c r="I321" s="1">
        <v>-130.0</v>
      </c>
      <c r="J321" s="1">
        <v>-0.196386711021739</v>
      </c>
      <c r="K321" s="1" t="s">
        <v>61</v>
      </c>
      <c r="L321" s="1" t="s">
        <v>61</v>
      </c>
      <c r="M321" s="1" t="s">
        <v>62</v>
      </c>
      <c r="N321" s="1">
        <v>100.0</v>
      </c>
      <c r="O321" s="1">
        <v>0.131149717675</v>
      </c>
      <c r="P321" s="1" t="s">
        <v>61</v>
      </c>
      <c r="Q321" s="1" t="s">
        <v>61</v>
      </c>
      <c r="R321" s="1">
        <f t="shared" si="1"/>
        <v>0.1311497177</v>
      </c>
      <c r="S321" s="1">
        <f t="shared" si="2"/>
        <v>100</v>
      </c>
      <c r="T321" s="1">
        <f t="shared" si="3"/>
        <v>2</v>
      </c>
      <c r="U321" s="1">
        <f t="shared" si="4"/>
        <v>0</v>
      </c>
      <c r="V321" s="3">
        <f t="shared" si="5"/>
        <v>3</v>
      </c>
      <c r="W321" s="3">
        <f t="shared" si="6"/>
        <v>2</v>
      </c>
      <c r="X321" s="3" t="str">
        <f>IFERROR(__xludf.DUMMYFUNCTION("split(B321,"" "")"),"R.")</f>
        <v>R.</v>
      </c>
      <c r="Y321" s="3" t="str">
        <f>IFERROR(__xludf.DUMMYFUNCTION("""COMPUTED_VALUE"""),"Wilson")</f>
        <v>Wilson</v>
      </c>
      <c r="AA321" s="8">
        <v>28.0</v>
      </c>
      <c r="AB321" s="3">
        <f t="shared" si="7"/>
        <v>1</v>
      </c>
      <c r="AC321" s="3">
        <f t="shared" si="8"/>
        <v>0</v>
      </c>
      <c r="AD321" s="3">
        <f t="shared" si="9"/>
        <v>3</v>
      </c>
      <c r="AE321" s="3">
        <f t="shared" si="10"/>
        <v>-3</v>
      </c>
      <c r="AF321" s="3">
        <f t="shared" si="11"/>
        <v>-2</v>
      </c>
      <c r="AG321" s="3">
        <f t="shared" si="12"/>
        <v>-0.01818181818</v>
      </c>
    </row>
    <row r="322">
      <c r="A322" s="1" t="s">
        <v>12</v>
      </c>
      <c r="B322" s="1" t="s">
        <v>123</v>
      </c>
      <c r="C322" s="1" t="s">
        <v>19</v>
      </c>
      <c r="D322" s="1" t="s">
        <v>110</v>
      </c>
      <c r="E322" s="1" t="s">
        <v>147</v>
      </c>
      <c r="F322" s="1" t="s">
        <v>655</v>
      </c>
      <c r="G322" s="1">
        <v>1.5</v>
      </c>
      <c r="H322" s="1" t="s">
        <v>60</v>
      </c>
      <c r="I322" s="1">
        <v>-130.0</v>
      </c>
      <c r="J322" s="1">
        <v>-0.177759835965217</v>
      </c>
      <c r="K322" s="1" t="s">
        <v>61</v>
      </c>
      <c r="L322" s="1" t="s">
        <v>61</v>
      </c>
      <c r="M322" s="1" t="s">
        <v>62</v>
      </c>
      <c r="N322" s="1">
        <v>-101.0</v>
      </c>
      <c r="O322" s="1">
        <v>0.110061492013532</v>
      </c>
      <c r="P322" s="1" t="s">
        <v>61</v>
      </c>
      <c r="Q322" s="1" t="s">
        <v>61</v>
      </c>
      <c r="R322" s="1">
        <f t="shared" si="1"/>
        <v>0.110061492</v>
      </c>
      <c r="S322" s="1">
        <f t="shared" si="2"/>
        <v>-101</v>
      </c>
      <c r="T322" s="1">
        <f t="shared" si="3"/>
        <v>1.99009901</v>
      </c>
      <c r="U322" s="1">
        <f t="shared" si="4"/>
        <v>0</v>
      </c>
      <c r="V322" s="3">
        <f t="shared" si="5"/>
        <v>3</v>
      </c>
      <c r="W322" s="3">
        <f t="shared" si="6"/>
        <v>2</v>
      </c>
      <c r="X322" s="3" t="str">
        <f>IFERROR(__xludf.DUMMYFUNCTION("split(B322,"" "")"),"N.")</f>
        <v>N.</v>
      </c>
      <c r="Y322" s="3" t="str">
        <f>IFERROR(__xludf.DUMMYFUNCTION("""COMPUTED_VALUE"""),"Harris")</f>
        <v>Harris</v>
      </c>
      <c r="AA322" s="8">
        <v>3.0</v>
      </c>
      <c r="AB322" s="3">
        <f t="shared" si="7"/>
        <v>1</v>
      </c>
      <c r="AC322" s="3">
        <f t="shared" si="8"/>
        <v>0</v>
      </c>
      <c r="AD322" s="3">
        <f t="shared" si="9"/>
        <v>2.97029703</v>
      </c>
      <c r="AE322" s="3">
        <f t="shared" si="10"/>
        <v>-3</v>
      </c>
      <c r="AF322" s="3">
        <f t="shared" si="11"/>
        <v>-2</v>
      </c>
      <c r="AG322" s="3">
        <f t="shared" si="12"/>
        <v>-1</v>
      </c>
    </row>
    <row r="323">
      <c r="A323" s="1" t="s">
        <v>8</v>
      </c>
      <c r="B323" s="1" t="s">
        <v>177</v>
      </c>
      <c r="C323" s="1" t="s">
        <v>19</v>
      </c>
      <c r="D323" s="1" t="s">
        <v>110</v>
      </c>
      <c r="E323" s="1" t="s">
        <v>147</v>
      </c>
      <c r="F323" s="1" t="s">
        <v>655</v>
      </c>
      <c r="G323" s="1">
        <v>7.5</v>
      </c>
      <c r="H323" s="1" t="s">
        <v>60</v>
      </c>
      <c r="I323" s="1">
        <v>-105.0</v>
      </c>
      <c r="J323" s="1">
        <v>-0.148736183847662</v>
      </c>
      <c r="K323" s="1" t="s">
        <v>61</v>
      </c>
      <c r="L323" s="1" t="s">
        <v>61</v>
      </c>
      <c r="M323" s="1" t="s">
        <v>62</v>
      </c>
      <c r="N323" s="1">
        <v>-128.0</v>
      </c>
      <c r="O323" s="1">
        <v>0.0751437484281863</v>
      </c>
      <c r="P323" s="1" t="s">
        <v>61</v>
      </c>
      <c r="Q323" s="1" t="s">
        <v>61</v>
      </c>
      <c r="R323" s="1">
        <f t="shared" si="1"/>
        <v>0.07514374843</v>
      </c>
      <c r="S323" s="1">
        <f t="shared" si="2"/>
        <v>-128</v>
      </c>
      <c r="T323" s="1">
        <f t="shared" si="3"/>
        <v>1.78125</v>
      </c>
      <c r="U323" s="1">
        <f t="shared" si="4"/>
        <v>0</v>
      </c>
      <c r="V323" s="3">
        <f t="shared" si="5"/>
        <v>2</v>
      </c>
      <c r="W323" s="3">
        <f t="shared" si="6"/>
        <v>3</v>
      </c>
      <c r="X323" s="3" t="str">
        <f>IFERROR(__xludf.DUMMYFUNCTION("split(B323,"" "")"),"J.")</f>
        <v>J.</v>
      </c>
      <c r="Y323" s="3" t="str">
        <f>IFERROR(__xludf.DUMMYFUNCTION("""COMPUTED_VALUE"""),"Warren")</f>
        <v>Warren</v>
      </c>
      <c r="AA323" s="8">
        <v>9.0</v>
      </c>
      <c r="AB323" s="3">
        <f t="shared" si="7"/>
        <v>1</v>
      </c>
      <c r="AC323" s="3">
        <f t="shared" si="8"/>
        <v>0</v>
      </c>
      <c r="AD323" s="3">
        <f t="shared" si="9"/>
        <v>1.5625</v>
      </c>
      <c r="AE323" s="3">
        <f t="shared" si="10"/>
        <v>-2</v>
      </c>
      <c r="AF323" s="3">
        <f t="shared" si="11"/>
        <v>-3</v>
      </c>
      <c r="AG323" s="3">
        <f t="shared" si="12"/>
        <v>-0.2</v>
      </c>
    </row>
    <row r="324">
      <c r="A324" s="1" t="s">
        <v>11</v>
      </c>
      <c r="B324" s="1" t="s">
        <v>602</v>
      </c>
      <c r="C324" s="1" t="s">
        <v>20</v>
      </c>
      <c r="D324" s="1" t="s">
        <v>110</v>
      </c>
      <c r="E324" s="1" t="s">
        <v>147</v>
      </c>
      <c r="F324" s="1" t="s">
        <v>655</v>
      </c>
      <c r="G324" s="1">
        <v>7.5</v>
      </c>
      <c r="H324" s="1" t="s">
        <v>60</v>
      </c>
      <c r="I324" s="1">
        <v>-112.0</v>
      </c>
      <c r="J324" s="1">
        <v>0.062303082599164</v>
      </c>
      <c r="K324" s="1" t="s">
        <v>61</v>
      </c>
      <c r="L324" s="1" t="s">
        <v>61</v>
      </c>
      <c r="M324" s="1" t="s">
        <v>62</v>
      </c>
      <c r="N324" s="1">
        <v>-115.0</v>
      </c>
      <c r="O324" s="1">
        <v>-0.125435774593842</v>
      </c>
      <c r="P324" s="1" t="s">
        <v>61</v>
      </c>
      <c r="Q324" s="1" t="s">
        <v>61</v>
      </c>
      <c r="R324" s="1">
        <f t="shared" si="1"/>
        <v>0.0623030826</v>
      </c>
      <c r="S324" s="1">
        <f t="shared" si="2"/>
        <v>-112</v>
      </c>
      <c r="T324" s="1">
        <f t="shared" si="3"/>
        <v>1.892857143</v>
      </c>
      <c r="U324" s="1">
        <f t="shared" si="4"/>
        <v>1</v>
      </c>
      <c r="V324" s="3">
        <f t="shared" si="5"/>
        <v>2</v>
      </c>
      <c r="W324" s="3">
        <f t="shared" si="6"/>
        <v>2</v>
      </c>
      <c r="X324" s="3" t="str">
        <f>IFERROR(__xludf.DUMMYFUNCTION("split(B324,"" "")"),"D.")</f>
        <v>D.</v>
      </c>
      <c r="Y324" s="3" t="str">
        <f>IFERROR(__xludf.DUMMYFUNCTION("""COMPUTED_VALUE"""),"Washington")</f>
        <v>Washington</v>
      </c>
      <c r="AA324" s="8">
        <v>29.0</v>
      </c>
      <c r="AB324" s="3">
        <f t="shared" si="7"/>
        <v>1</v>
      </c>
      <c r="AC324" s="3">
        <f t="shared" si="8"/>
        <v>1</v>
      </c>
      <c r="AD324" s="3">
        <f t="shared" si="9"/>
        <v>1.785714286</v>
      </c>
      <c r="AE324" s="3">
        <f t="shared" si="10"/>
        <v>1.785714286</v>
      </c>
      <c r="AF324" s="3">
        <f t="shared" si="11"/>
        <v>1.785714286</v>
      </c>
      <c r="AG324" s="3">
        <f t="shared" si="12"/>
        <v>2.866666667</v>
      </c>
    </row>
    <row r="325">
      <c r="A325" s="1" t="s">
        <v>9</v>
      </c>
      <c r="B325" s="1" t="s">
        <v>600</v>
      </c>
      <c r="C325" s="1" t="s">
        <v>18</v>
      </c>
      <c r="D325" s="1" t="s">
        <v>110</v>
      </c>
      <c r="E325" s="1" t="s">
        <v>147</v>
      </c>
      <c r="F325" s="1" t="s">
        <v>655</v>
      </c>
      <c r="G325" s="1">
        <v>21.5</v>
      </c>
      <c r="H325" s="1" t="s">
        <v>60</v>
      </c>
      <c r="I325" s="1">
        <v>-116.0</v>
      </c>
      <c r="J325" s="1">
        <v>0.0622738411485412</v>
      </c>
      <c r="K325" s="1" t="s">
        <v>61</v>
      </c>
      <c r="L325" s="1" t="s">
        <v>61</v>
      </c>
      <c r="M325" s="1" t="s">
        <v>62</v>
      </c>
      <c r="N325" s="1">
        <v>-117.0</v>
      </c>
      <c r="O325" s="1">
        <v>-0.138450254078614</v>
      </c>
      <c r="P325" s="1" t="s">
        <v>61</v>
      </c>
      <c r="Q325" s="1" t="s">
        <v>61</v>
      </c>
      <c r="R325" s="1">
        <f t="shared" si="1"/>
        <v>0.06227384115</v>
      </c>
      <c r="S325" s="1">
        <f t="shared" si="2"/>
        <v>-116</v>
      </c>
      <c r="T325" s="1">
        <f t="shared" si="3"/>
        <v>1.862068966</v>
      </c>
      <c r="U325" s="1">
        <f t="shared" si="4"/>
        <v>1</v>
      </c>
      <c r="V325" s="3">
        <f t="shared" si="5"/>
        <v>2</v>
      </c>
      <c r="W325" s="3">
        <f t="shared" si="6"/>
        <v>2</v>
      </c>
      <c r="X325" s="3" t="str">
        <f>IFERROR(__xludf.DUMMYFUNCTION("split(B325,"" "")"),"C.")</f>
        <v>C.</v>
      </c>
      <c r="Y325" s="3" t="str">
        <f>IFERROR(__xludf.DUMMYFUNCTION("""COMPUTED_VALUE"""),"Austin")</f>
        <v>Austin</v>
      </c>
      <c r="Z325" s="3" t="str">
        <f>IFERROR(__xludf.DUMMYFUNCTION("""COMPUTED_VALUE"""),"III")</f>
        <v>III</v>
      </c>
      <c r="AA325" s="8">
        <v>54.0</v>
      </c>
      <c r="AB325" s="3">
        <f t="shared" si="7"/>
        <v>1</v>
      </c>
      <c r="AC325" s="3">
        <f t="shared" si="8"/>
        <v>1</v>
      </c>
      <c r="AD325" s="3">
        <f t="shared" si="9"/>
        <v>1.724137931</v>
      </c>
      <c r="AE325" s="3">
        <f t="shared" si="10"/>
        <v>1.724137931</v>
      </c>
      <c r="AF325" s="3">
        <f t="shared" si="11"/>
        <v>1.724137931</v>
      </c>
      <c r="AG325" s="3">
        <f t="shared" si="12"/>
        <v>1.511627907</v>
      </c>
    </row>
    <row r="326">
      <c r="A326" s="1" t="s">
        <v>15</v>
      </c>
      <c r="B326" s="1" t="s">
        <v>214</v>
      </c>
      <c r="C326" s="1" t="s">
        <v>21</v>
      </c>
      <c r="D326" s="1" t="s">
        <v>110</v>
      </c>
      <c r="E326" s="1" t="s">
        <v>147</v>
      </c>
      <c r="F326" s="1" t="s">
        <v>655</v>
      </c>
      <c r="G326" s="1">
        <v>18.5</v>
      </c>
      <c r="H326" s="1" t="s">
        <v>60</v>
      </c>
      <c r="I326" s="1">
        <v>-105.0</v>
      </c>
      <c r="J326" s="1">
        <v>-0.123043408439024</v>
      </c>
      <c r="K326" s="1" t="s">
        <v>61</v>
      </c>
      <c r="L326" s="1" t="s">
        <v>61</v>
      </c>
      <c r="M326" s="1" t="s">
        <v>62</v>
      </c>
      <c r="N326" s="1">
        <v>-126.0</v>
      </c>
      <c r="O326" s="1">
        <v>0.053333063715929</v>
      </c>
      <c r="P326" s="1" t="s">
        <v>61</v>
      </c>
      <c r="Q326" s="1" t="s">
        <v>61</v>
      </c>
      <c r="R326" s="1">
        <f t="shared" si="1"/>
        <v>0.05333306372</v>
      </c>
      <c r="S326" s="1">
        <f t="shared" si="2"/>
        <v>-126</v>
      </c>
      <c r="T326" s="1">
        <f t="shared" si="3"/>
        <v>1.793650794</v>
      </c>
      <c r="U326" s="1">
        <f t="shared" si="4"/>
        <v>0</v>
      </c>
      <c r="V326" s="3">
        <f t="shared" si="5"/>
        <v>2</v>
      </c>
      <c r="W326" s="3">
        <f t="shared" si="6"/>
        <v>3</v>
      </c>
      <c r="X326" s="3" t="str">
        <f>IFERROR(__xludf.DUMMYFUNCTION("split(B326,"" "")"),"R.")</f>
        <v>R.</v>
      </c>
      <c r="Y326" s="3" t="str">
        <f>IFERROR(__xludf.DUMMYFUNCTION("""COMPUTED_VALUE"""),"Wilson")</f>
        <v>Wilson</v>
      </c>
      <c r="AA326" s="8">
        <v>20.0</v>
      </c>
      <c r="AB326" s="3">
        <f t="shared" si="7"/>
        <v>1</v>
      </c>
      <c r="AC326" s="3">
        <f t="shared" si="8"/>
        <v>0</v>
      </c>
      <c r="AD326" s="3">
        <f t="shared" si="9"/>
        <v>1.587301587</v>
      </c>
      <c r="AE326" s="3">
        <f t="shared" si="10"/>
        <v>-2</v>
      </c>
      <c r="AF326" s="3">
        <f t="shared" si="11"/>
        <v>-3</v>
      </c>
      <c r="AG326" s="3">
        <f t="shared" si="12"/>
        <v>-0.08108108108</v>
      </c>
    </row>
    <row r="327">
      <c r="A327" s="1" t="s">
        <v>10</v>
      </c>
      <c r="B327" s="1" t="s">
        <v>214</v>
      </c>
      <c r="C327" s="1" t="s">
        <v>21</v>
      </c>
      <c r="D327" s="1" t="s">
        <v>110</v>
      </c>
      <c r="E327" s="1" t="s">
        <v>147</v>
      </c>
      <c r="F327" s="1" t="s">
        <v>655</v>
      </c>
      <c r="G327" s="1">
        <v>16.5</v>
      </c>
      <c r="H327" s="1" t="s">
        <v>60</v>
      </c>
      <c r="I327" s="1">
        <v>-116.0</v>
      </c>
      <c r="J327" s="1">
        <v>-0.0995429022265236</v>
      </c>
      <c r="K327" s="1" t="s">
        <v>61</v>
      </c>
      <c r="L327" s="1" t="s">
        <v>61</v>
      </c>
      <c r="M327" s="1" t="s">
        <v>62</v>
      </c>
      <c r="N327" s="1">
        <v>-111.0</v>
      </c>
      <c r="O327" s="1">
        <v>0.0364948352503853</v>
      </c>
      <c r="P327" s="1" t="s">
        <v>61</v>
      </c>
      <c r="Q327" s="1" t="s">
        <v>61</v>
      </c>
      <c r="R327" s="1">
        <f t="shared" si="1"/>
        <v>0.03649483525</v>
      </c>
      <c r="S327" s="1">
        <f t="shared" si="2"/>
        <v>-111</v>
      </c>
      <c r="T327" s="1">
        <f t="shared" si="3"/>
        <v>1.900900901</v>
      </c>
      <c r="U327" s="1">
        <f t="shared" si="4"/>
        <v>0</v>
      </c>
      <c r="V327" s="3">
        <f t="shared" si="5"/>
        <v>1</v>
      </c>
      <c r="W327" s="3">
        <f t="shared" si="6"/>
        <v>2</v>
      </c>
      <c r="X327" s="3" t="str">
        <f>IFERROR(__xludf.DUMMYFUNCTION("split(B327,"" "")"),"R.")</f>
        <v>R.</v>
      </c>
      <c r="Y327" s="3" t="str">
        <f>IFERROR(__xludf.DUMMYFUNCTION("""COMPUTED_VALUE"""),"Wilson")</f>
        <v>Wilson</v>
      </c>
      <c r="AA327" s="8">
        <v>7.0</v>
      </c>
      <c r="AB327" s="3">
        <f t="shared" si="7"/>
        <v>0</v>
      </c>
      <c r="AC327" s="3">
        <f t="shared" si="8"/>
        <v>1</v>
      </c>
      <c r="AD327" s="3">
        <f t="shared" si="9"/>
        <v>0.9009009009</v>
      </c>
      <c r="AE327" s="3">
        <f t="shared" si="10"/>
        <v>0.9009009009</v>
      </c>
      <c r="AF327" s="3">
        <f t="shared" si="11"/>
        <v>1.801801802</v>
      </c>
      <c r="AG327" s="3">
        <f t="shared" si="12"/>
        <v>0.5757575758</v>
      </c>
    </row>
    <row r="328">
      <c r="A328" s="1" t="s">
        <v>14</v>
      </c>
      <c r="B328" s="1" t="s">
        <v>214</v>
      </c>
      <c r="C328" s="1" t="s">
        <v>21</v>
      </c>
      <c r="D328" s="1" t="s">
        <v>110</v>
      </c>
      <c r="E328" s="1" t="s">
        <v>147</v>
      </c>
      <c r="F328" s="1" t="s">
        <v>655</v>
      </c>
      <c r="G328" s="1">
        <v>1.5</v>
      </c>
      <c r="H328" s="1" t="s">
        <v>60</v>
      </c>
      <c r="I328" s="1">
        <v>157.0</v>
      </c>
      <c r="J328" s="1">
        <v>0.0358949416342413</v>
      </c>
      <c r="K328" s="1" t="s">
        <v>61</v>
      </c>
      <c r="L328" s="1" t="s">
        <v>61</v>
      </c>
      <c r="M328" s="1" t="s">
        <v>62</v>
      </c>
      <c r="N328" s="1">
        <v>-204.0</v>
      </c>
      <c r="O328" s="1">
        <v>-0.0960526315789473</v>
      </c>
      <c r="P328" s="1" t="s">
        <v>61</v>
      </c>
      <c r="Q328" s="1" t="s">
        <v>61</v>
      </c>
      <c r="R328" s="1">
        <f t="shared" si="1"/>
        <v>0.03589494163</v>
      </c>
      <c r="S328" s="1">
        <f t="shared" si="2"/>
        <v>157</v>
      </c>
      <c r="T328" s="1">
        <f t="shared" si="3"/>
        <v>2.57</v>
      </c>
      <c r="U328" s="1">
        <f t="shared" si="4"/>
        <v>1</v>
      </c>
      <c r="V328" s="3">
        <f t="shared" si="5"/>
        <v>1</v>
      </c>
      <c r="W328" s="3">
        <f t="shared" si="6"/>
        <v>1</v>
      </c>
      <c r="X328" s="3" t="str">
        <f>IFERROR(__xludf.DUMMYFUNCTION("split(B328,"" "")"),"R.")</f>
        <v>R.</v>
      </c>
      <c r="Y328" s="3" t="str">
        <f>IFERROR(__xludf.DUMMYFUNCTION("""COMPUTED_VALUE"""),"Wilson")</f>
        <v>Wilson</v>
      </c>
      <c r="AA328" s="8">
        <v>1.0</v>
      </c>
      <c r="AB328" s="3">
        <f t="shared" si="7"/>
        <v>0</v>
      </c>
      <c r="AC328" s="3">
        <f t="shared" si="8"/>
        <v>0</v>
      </c>
      <c r="AD328" s="3">
        <f t="shared" si="9"/>
        <v>1.57</v>
      </c>
      <c r="AE328" s="3">
        <f t="shared" si="10"/>
        <v>-1</v>
      </c>
      <c r="AF328" s="3">
        <f t="shared" si="11"/>
        <v>-1</v>
      </c>
      <c r="AG328" s="3">
        <f t="shared" si="12"/>
        <v>-0.3333333333</v>
      </c>
    </row>
    <row r="329">
      <c r="A329" s="1" t="s">
        <v>11</v>
      </c>
      <c r="B329" s="1" t="s">
        <v>123</v>
      </c>
      <c r="C329" s="1" t="s">
        <v>19</v>
      </c>
      <c r="D329" s="1" t="s">
        <v>110</v>
      </c>
      <c r="E329" s="1" t="s">
        <v>147</v>
      </c>
      <c r="F329" s="1" t="s">
        <v>655</v>
      </c>
      <c r="G329" s="1">
        <v>9.5</v>
      </c>
      <c r="H329" s="1" t="s">
        <v>60</v>
      </c>
      <c r="I329" s="1">
        <v>-115.0</v>
      </c>
      <c r="J329" s="1">
        <v>0.026967199285403</v>
      </c>
      <c r="K329" s="1" t="s">
        <v>61</v>
      </c>
      <c r="L329" s="1" t="s">
        <v>61</v>
      </c>
      <c r="M329" s="1" t="s">
        <v>62</v>
      </c>
      <c r="N329" s="1">
        <v>-113.0</v>
      </c>
      <c r="O329" s="1">
        <v>-0.0923463899830454</v>
      </c>
      <c r="P329" s="1" t="s">
        <v>61</v>
      </c>
      <c r="Q329" s="1" t="s">
        <v>61</v>
      </c>
      <c r="R329" s="1">
        <f t="shared" si="1"/>
        <v>0.02696719929</v>
      </c>
      <c r="S329" s="1">
        <f t="shared" si="2"/>
        <v>-115</v>
      </c>
      <c r="T329" s="1">
        <f t="shared" si="3"/>
        <v>1.869565217</v>
      </c>
      <c r="U329" s="1">
        <f t="shared" si="4"/>
        <v>1</v>
      </c>
      <c r="V329" s="3">
        <f t="shared" si="5"/>
        <v>1</v>
      </c>
      <c r="W329" s="3">
        <f t="shared" si="6"/>
        <v>2</v>
      </c>
      <c r="X329" s="3" t="str">
        <f>IFERROR(__xludf.DUMMYFUNCTION("split(B329,"" "")"),"N.")</f>
        <v>N.</v>
      </c>
      <c r="Y329" s="3" t="str">
        <f>IFERROR(__xludf.DUMMYFUNCTION("""COMPUTED_VALUE"""),"Harris")</f>
        <v>Harris</v>
      </c>
      <c r="AA329" s="8">
        <v>17.0</v>
      </c>
      <c r="AB329" s="3">
        <f t="shared" si="7"/>
        <v>1</v>
      </c>
      <c r="AC329" s="3">
        <f t="shared" si="8"/>
        <v>1</v>
      </c>
      <c r="AD329" s="3">
        <f t="shared" si="9"/>
        <v>0.8695652174</v>
      </c>
      <c r="AE329" s="3">
        <f t="shared" si="10"/>
        <v>0.8695652174</v>
      </c>
      <c r="AF329" s="3">
        <f t="shared" si="11"/>
        <v>1.739130435</v>
      </c>
      <c r="AG329" s="3">
        <f t="shared" si="12"/>
        <v>0.7894736842</v>
      </c>
    </row>
    <row r="330">
      <c r="A330" s="1" t="s">
        <v>12</v>
      </c>
      <c r="B330" s="1" t="s">
        <v>415</v>
      </c>
      <c r="C330" s="1" t="s">
        <v>18</v>
      </c>
      <c r="D330" s="1" t="s">
        <v>110</v>
      </c>
      <c r="E330" s="1" t="s">
        <v>147</v>
      </c>
      <c r="F330" s="1" t="s">
        <v>655</v>
      </c>
      <c r="G330" s="1">
        <v>4.5</v>
      </c>
      <c r="H330" s="1" t="s">
        <v>60</v>
      </c>
      <c r="I330" s="1">
        <v>-137.0</v>
      </c>
      <c r="J330" s="1">
        <v>-0.0826168776371307</v>
      </c>
      <c r="K330" s="1" t="s">
        <v>61</v>
      </c>
      <c r="L330" s="1" t="s">
        <v>61</v>
      </c>
      <c r="M330" s="1" t="s">
        <v>62</v>
      </c>
      <c r="N330" s="1">
        <v>106.0</v>
      </c>
      <c r="O330" s="1">
        <v>0.0191145631067961</v>
      </c>
      <c r="P330" s="1" t="s">
        <v>61</v>
      </c>
      <c r="Q330" s="1" t="s">
        <v>61</v>
      </c>
      <c r="R330" s="1">
        <f t="shared" si="1"/>
        <v>0.01911456311</v>
      </c>
      <c r="S330" s="1">
        <f t="shared" si="2"/>
        <v>106</v>
      </c>
      <c r="T330" s="1">
        <f t="shared" si="3"/>
        <v>2.06</v>
      </c>
      <c r="U330" s="1">
        <f t="shared" si="4"/>
        <v>0</v>
      </c>
      <c r="V330" s="3">
        <f t="shared" si="5"/>
        <v>1</v>
      </c>
      <c r="W330" s="3">
        <f t="shared" si="6"/>
        <v>2</v>
      </c>
      <c r="X330" s="3" t="str">
        <f>IFERROR(__xludf.DUMMYFUNCTION("split(B330,"" "")"),"G.")</f>
        <v>G.</v>
      </c>
      <c r="Y330" s="3" t="str">
        <f>IFERROR(__xludf.DUMMYFUNCTION("""COMPUTED_VALUE"""),"Pickens")</f>
        <v>Pickens</v>
      </c>
      <c r="AA330" s="8">
        <v>4.0</v>
      </c>
      <c r="AB330" s="3">
        <f t="shared" si="7"/>
        <v>0</v>
      </c>
      <c r="AC330" s="3">
        <f t="shared" si="8"/>
        <v>1</v>
      </c>
      <c r="AD330" s="3">
        <f t="shared" si="9"/>
        <v>1.06</v>
      </c>
      <c r="AE330" s="3">
        <f t="shared" si="10"/>
        <v>1.06</v>
      </c>
      <c r="AF330" s="3">
        <f t="shared" si="11"/>
        <v>2.12</v>
      </c>
      <c r="AG330" s="3">
        <f t="shared" si="12"/>
        <v>0.1111111111</v>
      </c>
    </row>
    <row r="331">
      <c r="A331" s="1" t="s">
        <v>12</v>
      </c>
      <c r="B331" s="1" t="s">
        <v>177</v>
      </c>
      <c r="C331" s="1" t="s">
        <v>19</v>
      </c>
      <c r="D331" s="1" t="s">
        <v>110</v>
      </c>
      <c r="E331" s="1" t="s">
        <v>147</v>
      </c>
      <c r="F331" s="1" t="s">
        <v>655</v>
      </c>
      <c r="G331" s="1">
        <v>2.5</v>
      </c>
      <c r="H331" s="1" t="s">
        <v>60</v>
      </c>
      <c r="I331" s="1">
        <v>124.0</v>
      </c>
      <c r="J331" s="1">
        <v>-0.0811706431124999</v>
      </c>
      <c r="K331" s="1" t="s">
        <v>61</v>
      </c>
      <c r="L331" s="1" t="s">
        <v>61</v>
      </c>
      <c r="M331" s="1" t="s">
        <v>62</v>
      </c>
      <c r="N331" s="1">
        <v>-162.0</v>
      </c>
      <c r="O331" s="1">
        <v>0.0164146853381681</v>
      </c>
      <c r="P331" s="1" t="s">
        <v>61</v>
      </c>
      <c r="Q331" s="1" t="s">
        <v>61</v>
      </c>
      <c r="R331" s="1">
        <f t="shared" si="1"/>
        <v>0.01641468534</v>
      </c>
      <c r="S331" s="1">
        <f t="shared" si="2"/>
        <v>-162</v>
      </c>
      <c r="T331" s="1">
        <f t="shared" si="3"/>
        <v>1.617283951</v>
      </c>
      <c r="U331" s="1">
        <f t="shared" si="4"/>
        <v>0</v>
      </c>
      <c r="V331" s="3">
        <f t="shared" si="5"/>
        <v>1</v>
      </c>
      <c r="W331" s="3">
        <f t="shared" si="6"/>
        <v>3</v>
      </c>
      <c r="X331" s="3" t="str">
        <f>IFERROR(__xludf.DUMMYFUNCTION("split(B331,"" "")"),"J.")</f>
        <v>J.</v>
      </c>
      <c r="Y331" s="3" t="str">
        <f>IFERROR(__xludf.DUMMYFUNCTION("""COMPUTED_VALUE"""),"Warren")</f>
        <v>Warren</v>
      </c>
      <c r="AA331" s="8">
        <v>2.0</v>
      </c>
      <c r="AB331" s="3">
        <f t="shared" si="7"/>
        <v>0</v>
      </c>
      <c r="AC331" s="3">
        <f t="shared" si="8"/>
        <v>1</v>
      </c>
      <c r="AD331" s="3">
        <f t="shared" si="9"/>
        <v>0.6172839506</v>
      </c>
      <c r="AE331" s="3">
        <f t="shared" si="10"/>
        <v>0.6172839506</v>
      </c>
      <c r="AF331" s="3">
        <f t="shared" si="11"/>
        <v>1.851851852</v>
      </c>
      <c r="AG331" s="3">
        <f t="shared" si="12"/>
        <v>0.2</v>
      </c>
    </row>
    <row r="332">
      <c r="A332" s="1" t="s">
        <v>11</v>
      </c>
      <c r="B332" s="1" t="s">
        <v>600</v>
      </c>
      <c r="C332" s="1" t="s">
        <v>18</v>
      </c>
      <c r="D332" s="1" t="s">
        <v>110</v>
      </c>
      <c r="E332" s="1" t="s">
        <v>147</v>
      </c>
      <c r="F332" s="1" t="s">
        <v>655</v>
      </c>
      <c r="G332" s="1">
        <v>19.5</v>
      </c>
      <c r="H332" s="1" t="s">
        <v>60</v>
      </c>
      <c r="I332" s="1">
        <v>-121.0</v>
      </c>
      <c r="J332" s="1">
        <v>-0.0846085919849005</v>
      </c>
      <c r="K332" s="1" t="s">
        <v>61</v>
      </c>
      <c r="L332" s="1" t="s">
        <v>61</v>
      </c>
      <c r="M332" s="1" t="s">
        <v>62</v>
      </c>
      <c r="N332" s="1">
        <v>-109.0</v>
      </c>
      <c r="O332" s="1">
        <v>0.0155810225992474</v>
      </c>
      <c r="P332" s="1" t="s">
        <v>61</v>
      </c>
      <c r="Q332" s="1" t="s">
        <v>61</v>
      </c>
      <c r="R332" s="1">
        <f t="shared" si="1"/>
        <v>0.0155810226</v>
      </c>
      <c r="S332" s="1">
        <f t="shared" si="2"/>
        <v>-109</v>
      </c>
      <c r="T332" s="1">
        <f t="shared" si="3"/>
        <v>1.917431193</v>
      </c>
      <c r="U332" s="1">
        <f t="shared" si="4"/>
        <v>0</v>
      </c>
      <c r="V332" s="3">
        <f t="shared" si="5"/>
        <v>1</v>
      </c>
      <c r="W332" s="3">
        <f t="shared" si="6"/>
        <v>2</v>
      </c>
      <c r="X332" s="3" t="str">
        <f>IFERROR(__xludf.DUMMYFUNCTION("split(B332,"" "")"),"C.")</f>
        <v>C.</v>
      </c>
      <c r="Y332" s="3" t="str">
        <f>IFERROR(__xludf.DUMMYFUNCTION("""COMPUTED_VALUE"""),"Austin")</f>
        <v>Austin</v>
      </c>
      <c r="Z332" s="3" t="str">
        <f>IFERROR(__xludf.DUMMYFUNCTION("""COMPUTED_VALUE"""),"III")</f>
        <v>III</v>
      </c>
      <c r="AA332" s="8">
        <v>54.0</v>
      </c>
      <c r="AB332" s="3">
        <f t="shared" si="7"/>
        <v>1</v>
      </c>
      <c r="AC332" s="3">
        <f t="shared" si="8"/>
        <v>0</v>
      </c>
      <c r="AD332" s="3">
        <f t="shared" si="9"/>
        <v>0.9174311927</v>
      </c>
      <c r="AE332" s="3">
        <f t="shared" si="10"/>
        <v>-1</v>
      </c>
      <c r="AF332" s="3">
        <f t="shared" si="11"/>
        <v>-2</v>
      </c>
      <c r="AG332" s="3">
        <f t="shared" si="12"/>
        <v>-1.769230769</v>
      </c>
    </row>
    <row r="333">
      <c r="A333" s="1" t="s">
        <v>11</v>
      </c>
      <c r="B333" s="1" t="s">
        <v>489</v>
      </c>
      <c r="C333" s="1" t="s">
        <v>20</v>
      </c>
      <c r="D333" s="1" t="s">
        <v>110</v>
      </c>
      <c r="E333" s="1" t="s">
        <v>147</v>
      </c>
      <c r="F333" s="1" t="s">
        <v>655</v>
      </c>
      <c r="G333" s="1">
        <v>28.5</v>
      </c>
      <c r="H333" s="1" t="s">
        <v>60</v>
      </c>
      <c r="I333" s="1">
        <v>-119.0</v>
      </c>
      <c r="J333" s="1">
        <v>-0.0829332336327852</v>
      </c>
      <c r="K333" s="1" t="s">
        <v>61</v>
      </c>
      <c r="L333" s="1" t="s">
        <v>61</v>
      </c>
      <c r="M333" s="1" t="s">
        <v>62</v>
      </c>
      <c r="N333" s="1">
        <v>-111.0</v>
      </c>
      <c r="O333" s="1">
        <v>0.0135100100601885</v>
      </c>
      <c r="P333" s="1" t="s">
        <v>61</v>
      </c>
      <c r="Q333" s="1" t="s">
        <v>61</v>
      </c>
      <c r="R333" s="1">
        <f t="shared" si="1"/>
        <v>0.01351001006</v>
      </c>
      <c r="S333" s="1">
        <f t="shared" si="2"/>
        <v>-111</v>
      </c>
      <c r="T333" s="1">
        <f t="shared" si="3"/>
        <v>1.900900901</v>
      </c>
      <c r="U333" s="1">
        <f t="shared" si="4"/>
        <v>0</v>
      </c>
      <c r="V333" s="3">
        <f t="shared" si="5"/>
        <v>1</v>
      </c>
      <c r="W333" s="3">
        <f t="shared" si="6"/>
        <v>2</v>
      </c>
      <c r="X333" s="3" t="str">
        <f>IFERROR(__xludf.DUMMYFUNCTION("split(B333,"" "")"),"P.")</f>
        <v>P.</v>
      </c>
      <c r="Y333" s="3" t="str">
        <f>IFERROR(__xludf.DUMMYFUNCTION("""COMPUTED_VALUE"""),"Freiermuth")</f>
        <v>Freiermuth</v>
      </c>
      <c r="AA333" s="8">
        <v>19.0</v>
      </c>
      <c r="AB333" s="3">
        <f t="shared" si="7"/>
        <v>0</v>
      </c>
      <c r="AC333" s="3">
        <f t="shared" si="8"/>
        <v>1</v>
      </c>
      <c r="AD333" s="3">
        <f t="shared" si="9"/>
        <v>0.9009009009</v>
      </c>
      <c r="AE333" s="3">
        <f t="shared" si="10"/>
        <v>0.9009009009</v>
      </c>
      <c r="AF333" s="3">
        <f t="shared" si="11"/>
        <v>1.801801802</v>
      </c>
      <c r="AG333" s="3">
        <f t="shared" si="12"/>
        <v>0.3333333333</v>
      </c>
    </row>
    <row r="334">
      <c r="A334" s="1" t="s">
        <v>17</v>
      </c>
      <c r="B334" s="1" t="s">
        <v>214</v>
      </c>
      <c r="C334" s="1" t="s">
        <v>21</v>
      </c>
      <c r="D334" s="1" t="s">
        <v>110</v>
      </c>
      <c r="E334" s="1" t="s">
        <v>147</v>
      </c>
      <c r="F334" s="1" t="s">
        <v>655</v>
      </c>
      <c r="G334" s="1">
        <v>0.5</v>
      </c>
      <c r="H334" s="1" t="s">
        <v>60</v>
      </c>
      <c r="I334" s="1">
        <v>-104.0</v>
      </c>
      <c r="J334" s="1">
        <v>-0.0782039215686273</v>
      </c>
      <c r="K334" s="1" t="s">
        <v>61</v>
      </c>
      <c r="L334" s="1" t="s">
        <v>61</v>
      </c>
      <c r="M334" s="1" t="s">
        <v>62</v>
      </c>
      <c r="N334" s="1">
        <v>-126.0</v>
      </c>
      <c r="O334" s="1">
        <v>0.0108778761061946</v>
      </c>
      <c r="P334" s="1" t="s">
        <v>61</v>
      </c>
      <c r="Q334" s="1" t="s">
        <v>61</v>
      </c>
      <c r="R334" s="1">
        <f t="shared" si="1"/>
        <v>0.01087787611</v>
      </c>
      <c r="S334" s="1">
        <f t="shared" si="2"/>
        <v>-126</v>
      </c>
      <c r="T334" s="1">
        <f t="shared" si="3"/>
        <v>1.793650794</v>
      </c>
      <c r="U334" s="1">
        <f t="shared" si="4"/>
        <v>0</v>
      </c>
      <c r="V334" s="3">
        <f t="shared" si="5"/>
        <v>1</v>
      </c>
      <c r="W334" s="3">
        <f t="shared" si="6"/>
        <v>3</v>
      </c>
      <c r="X334" s="3" t="str">
        <f>IFERROR(__xludf.DUMMYFUNCTION("split(B334,"" "")"),"R.")</f>
        <v>R.</v>
      </c>
      <c r="Y334" s="3" t="str">
        <f>IFERROR(__xludf.DUMMYFUNCTION("""COMPUTED_VALUE"""),"Wilson")</f>
        <v>Wilson</v>
      </c>
      <c r="AA334" s="8">
        <v>0.0</v>
      </c>
      <c r="AB334" s="3">
        <f t="shared" si="7"/>
        <v>0</v>
      </c>
      <c r="AC334" s="3">
        <f t="shared" si="8"/>
        <v>1</v>
      </c>
      <c r="AD334" s="3">
        <f t="shared" si="9"/>
        <v>0.7936507937</v>
      </c>
      <c r="AE334" s="3">
        <f t="shared" si="10"/>
        <v>0.7936507937</v>
      </c>
      <c r="AF334" s="3">
        <f t="shared" si="11"/>
        <v>2.380952381</v>
      </c>
      <c r="AG334" s="3">
        <f t="shared" si="12"/>
        <v>1</v>
      </c>
    </row>
    <row r="335">
      <c r="A335" s="1" t="s">
        <v>8</v>
      </c>
      <c r="B335" s="1" t="s">
        <v>123</v>
      </c>
      <c r="C335" s="1" t="s">
        <v>19</v>
      </c>
      <c r="D335" s="1" t="s">
        <v>110</v>
      </c>
      <c r="E335" s="1" t="s">
        <v>147</v>
      </c>
      <c r="F335" s="1" t="s">
        <v>655</v>
      </c>
      <c r="G335" s="1">
        <v>15.5</v>
      </c>
      <c r="H335" s="1" t="s">
        <v>60</v>
      </c>
      <c r="I335" s="1">
        <v>-135.0</v>
      </c>
      <c r="J335" s="1">
        <v>-0.0786101845531915</v>
      </c>
      <c r="K335" s="1" t="s">
        <v>61</v>
      </c>
      <c r="L335" s="1" t="s">
        <v>61</v>
      </c>
      <c r="M335" s="1" t="s">
        <v>62</v>
      </c>
      <c r="N335" s="1">
        <v>102.0</v>
      </c>
      <c r="O335" s="1">
        <v>0.00909947212871281</v>
      </c>
      <c r="P335" s="1" t="s">
        <v>61</v>
      </c>
      <c r="Q335" s="1" t="s">
        <v>61</v>
      </c>
      <c r="R335" s="1">
        <f t="shared" si="1"/>
        <v>0.009099472129</v>
      </c>
      <c r="S335" s="1">
        <f t="shared" si="2"/>
        <v>102</v>
      </c>
      <c r="T335" s="1">
        <f t="shared" si="3"/>
        <v>2.02</v>
      </c>
      <c r="U335" s="1">
        <f t="shared" si="4"/>
        <v>0</v>
      </c>
      <c r="V335" s="3">
        <f t="shared" si="5"/>
        <v>1</v>
      </c>
      <c r="W335" s="3">
        <f t="shared" si="6"/>
        <v>2</v>
      </c>
      <c r="X335" s="3" t="str">
        <f>IFERROR(__xludf.DUMMYFUNCTION("split(B335,"" "")"),"N.")</f>
        <v>N.</v>
      </c>
      <c r="Y335" s="3" t="str">
        <f>IFERROR(__xludf.DUMMYFUNCTION("""COMPUTED_VALUE"""),"Harris")</f>
        <v>Harris</v>
      </c>
      <c r="AA335" s="8">
        <v>19.0</v>
      </c>
      <c r="AB335" s="3">
        <f t="shared" si="7"/>
        <v>1</v>
      </c>
      <c r="AC335" s="3">
        <f t="shared" si="8"/>
        <v>0</v>
      </c>
      <c r="AD335" s="3">
        <f t="shared" si="9"/>
        <v>1.02</v>
      </c>
      <c r="AE335" s="3">
        <f t="shared" si="10"/>
        <v>-1</v>
      </c>
      <c r="AF335" s="3">
        <f t="shared" si="11"/>
        <v>-2</v>
      </c>
      <c r="AG335" s="3">
        <f t="shared" si="12"/>
        <v>-0.2258064516</v>
      </c>
    </row>
    <row r="336">
      <c r="A336" s="1" t="s">
        <v>9</v>
      </c>
      <c r="B336" s="1" t="s">
        <v>177</v>
      </c>
      <c r="C336" s="1" t="s">
        <v>19</v>
      </c>
      <c r="D336" s="1" t="s">
        <v>110</v>
      </c>
      <c r="E336" s="1" t="s">
        <v>147</v>
      </c>
      <c r="F336" s="1" t="s">
        <v>655</v>
      </c>
      <c r="G336" s="1">
        <v>50.5</v>
      </c>
      <c r="H336" s="1" t="s">
        <v>60</v>
      </c>
      <c r="I336" s="1">
        <v>-119.0</v>
      </c>
      <c r="J336" s="1">
        <v>0.00574107327645911</v>
      </c>
      <c r="K336" s="1" t="s">
        <v>61</v>
      </c>
      <c r="L336" s="1" t="s">
        <v>61</v>
      </c>
      <c r="M336" s="1" t="s">
        <v>62</v>
      </c>
      <c r="N336" s="1">
        <v>-112.0</v>
      </c>
      <c r="O336" s="1">
        <v>-0.0774251059115561</v>
      </c>
      <c r="P336" s="1" t="s">
        <v>61</v>
      </c>
      <c r="Q336" s="1" t="s">
        <v>61</v>
      </c>
      <c r="R336" s="1">
        <f t="shared" si="1"/>
        <v>0.005741073276</v>
      </c>
      <c r="S336" s="1">
        <f t="shared" si="2"/>
        <v>-119</v>
      </c>
      <c r="T336" s="1">
        <f t="shared" si="3"/>
        <v>1.840336134</v>
      </c>
      <c r="U336" s="1">
        <f t="shared" si="4"/>
        <v>1</v>
      </c>
      <c r="V336" s="3">
        <f t="shared" si="5"/>
        <v>1</v>
      </c>
      <c r="W336" s="3">
        <f t="shared" si="6"/>
        <v>3</v>
      </c>
      <c r="X336" s="3" t="str">
        <f>IFERROR(__xludf.DUMMYFUNCTION("split(B336,"" "")"),"J.")</f>
        <v>J.</v>
      </c>
      <c r="Y336" s="3" t="str">
        <f>IFERROR(__xludf.DUMMYFUNCTION("""COMPUTED_VALUE"""),"Warren")</f>
        <v>Warren</v>
      </c>
      <c r="AA336" s="8">
        <v>59.0</v>
      </c>
      <c r="AB336" s="3">
        <f t="shared" si="7"/>
        <v>1</v>
      </c>
      <c r="AC336" s="3">
        <f t="shared" si="8"/>
        <v>1</v>
      </c>
      <c r="AD336" s="3">
        <f t="shared" si="9"/>
        <v>0.8403361345</v>
      </c>
      <c r="AE336" s="3">
        <f t="shared" si="10"/>
        <v>0.8403361345</v>
      </c>
      <c r="AF336" s="3">
        <f t="shared" si="11"/>
        <v>2.521008403</v>
      </c>
      <c r="AG336" s="3">
        <f t="shared" si="12"/>
        <v>0.1683168317</v>
      </c>
    </row>
    <row r="337">
      <c r="A337" s="1" t="s">
        <v>10</v>
      </c>
      <c r="B337" s="1" t="s">
        <v>123</v>
      </c>
      <c r="C337" s="1" t="s">
        <v>19</v>
      </c>
      <c r="D337" s="1" t="s">
        <v>110</v>
      </c>
      <c r="E337" s="1" t="s">
        <v>147</v>
      </c>
      <c r="F337" s="1" t="s">
        <v>655</v>
      </c>
      <c r="G337" s="1">
        <v>65.5</v>
      </c>
      <c r="H337" s="1" t="s">
        <v>60</v>
      </c>
      <c r="I337" s="1">
        <v>-116.0</v>
      </c>
      <c r="J337" s="1">
        <v>-0.0684609128859831</v>
      </c>
      <c r="K337" s="1" t="s">
        <v>61</v>
      </c>
      <c r="L337" s="1" t="s">
        <v>61</v>
      </c>
      <c r="M337" s="1" t="s">
        <v>62</v>
      </c>
      <c r="N337" s="1">
        <v>-111.0</v>
      </c>
      <c r="O337" s="1">
        <v>0.00540024245636627</v>
      </c>
      <c r="P337" s="1" t="s">
        <v>61</v>
      </c>
      <c r="Q337" s="1" t="s">
        <v>61</v>
      </c>
      <c r="R337" s="1">
        <f t="shared" si="1"/>
        <v>0.005400242456</v>
      </c>
      <c r="S337" s="1">
        <f t="shared" si="2"/>
        <v>-111</v>
      </c>
      <c r="T337" s="1">
        <f t="shared" si="3"/>
        <v>1.900900901</v>
      </c>
      <c r="U337" s="1">
        <f t="shared" si="4"/>
        <v>0</v>
      </c>
      <c r="V337" s="3">
        <f t="shared" si="5"/>
        <v>1</v>
      </c>
      <c r="W337" s="3">
        <f t="shared" si="6"/>
        <v>2</v>
      </c>
      <c r="X337" s="3" t="str">
        <f>IFERROR(__xludf.DUMMYFUNCTION("split(B337,"" "")"),"N.")</f>
        <v>N.</v>
      </c>
      <c r="Y337" s="3" t="str">
        <f>IFERROR(__xludf.DUMMYFUNCTION("""COMPUTED_VALUE"""),"Harris")</f>
        <v>Harris</v>
      </c>
      <c r="AA337" s="8">
        <v>114.0</v>
      </c>
      <c r="AB337" s="3">
        <f t="shared" si="7"/>
        <v>1</v>
      </c>
      <c r="AC337" s="3">
        <f t="shared" si="8"/>
        <v>0</v>
      </c>
      <c r="AD337" s="3">
        <f t="shared" si="9"/>
        <v>0.9009009009</v>
      </c>
      <c r="AE337" s="3">
        <f t="shared" si="10"/>
        <v>-1</v>
      </c>
      <c r="AF337" s="3">
        <f t="shared" si="11"/>
        <v>-2</v>
      </c>
      <c r="AG337" s="3">
        <f t="shared" si="12"/>
        <v>-0.7404580153</v>
      </c>
    </row>
    <row r="338">
      <c r="A338" s="1" t="s">
        <v>9</v>
      </c>
      <c r="B338" s="1" t="s">
        <v>123</v>
      </c>
      <c r="C338" s="1" t="s">
        <v>19</v>
      </c>
      <c r="D338" s="1" t="s">
        <v>110</v>
      </c>
      <c r="E338" s="1" t="s">
        <v>147</v>
      </c>
      <c r="F338" s="1" t="s">
        <v>655</v>
      </c>
      <c r="G338" s="1">
        <v>78.5</v>
      </c>
      <c r="H338" s="1" t="s">
        <v>60</v>
      </c>
      <c r="I338" s="1">
        <v>-120.0</v>
      </c>
      <c r="J338" s="1">
        <v>-0.0796155467106572</v>
      </c>
      <c r="K338" s="1" t="s">
        <v>61</v>
      </c>
      <c r="L338" s="1" t="s">
        <v>61</v>
      </c>
      <c r="M338" s="1" t="s">
        <v>62</v>
      </c>
      <c r="N338" s="1">
        <v>-113.0</v>
      </c>
      <c r="O338" s="1">
        <v>0.00367147846135862</v>
      </c>
      <c r="P338" s="1" t="s">
        <v>61</v>
      </c>
      <c r="Q338" s="1" t="s">
        <v>61</v>
      </c>
      <c r="R338" s="1">
        <f t="shared" si="1"/>
        <v>0.003671478461</v>
      </c>
      <c r="S338" s="1">
        <f t="shared" si="2"/>
        <v>-113</v>
      </c>
      <c r="T338" s="1">
        <f t="shared" si="3"/>
        <v>1.884955752</v>
      </c>
      <c r="U338" s="1">
        <f t="shared" si="4"/>
        <v>0</v>
      </c>
      <c r="V338" s="3">
        <f t="shared" si="5"/>
        <v>1</v>
      </c>
      <c r="W338" s="3">
        <f t="shared" si="6"/>
        <v>2</v>
      </c>
      <c r="X338" s="3" t="str">
        <f>IFERROR(__xludf.DUMMYFUNCTION("split(B338,"" "")"),"N.")</f>
        <v>N.</v>
      </c>
      <c r="Y338" s="3" t="str">
        <f>IFERROR(__xludf.DUMMYFUNCTION("""COMPUTED_VALUE"""),"Harris")</f>
        <v>Harris</v>
      </c>
      <c r="AA338" s="8">
        <v>131.0</v>
      </c>
      <c r="AB338" s="3">
        <f t="shared" si="7"/>
        <v>1</v>
      </c>
      <c r="AC338" s="3">
        <f t="shared" si="8"/>
        <v>0</v>
      </c>
      <c r="AD338" s="3">
        <f t="shared" si="9"/>
        <v>0.8849557522</v>
      </c>
      <c r="AE338" s="3">
        <f t="shared" si="10"/>
        <v>-1</v>
      </c>
      <c r="AF338" s="3">
        <f t="shared" si="11"/>
        <v>-2</v>
      </c>
      <c r="AG338" s="3">
        <f t="shared" si="12"/>
        <v>-0.6687898089</v>
      </c>
    </row>
    <row r="339">
      <c r="A339" s="1" t="s">
        <v>12</v>
      </c>
      <c r="B339" s="1" t="s">
        <v>81</v>
      </c>
      <c r="C339" s="1" t="s">
        <v>20</v>
      </c>
      <c r="D339" s="1" t="s">
        <v>82</v>
      </c>
      <c r="E339" s="1" t="s">
        <v>104</v>
      </c>
      <c r="F339" s="1" t="s">
        <v>648</v>
      </c>
      <c r="G339" s="1">
        <v>2.5</v>
      </c>
      <c r="H339" s="1" t="s">
        <v>60</v>
      </c>
      <c r="I339" s="1">
        <v>-185.0</v>
      </c>
      <c r="J339" s="1">
        <v>-0.272456057263157</v>
      </c>
      <c r="K339" s="1" t="s">
        <v>61</v>
      </c>
      <c r="L339" s="1" t="s">
        <v>61</v>
      </c>
      <c r="M339" s="1" t="s">
        <v>62</v>
      </c>
      <c r="N339" s="1">
        <v>139.0</v>
      </c>
      <c r="O339" s="1">
        <v>0.204929608033472</v>
      </c>
      <c r="P339" s="1" t="s">
        <v>61</v>
      </c>
      <c r="Q339" s="1" t="s">
        <v>61</v>
      </c>
      <c r="R339" s="1">
        <f t="shared" si="1"/>
        <v>0.204929608</v>
      </c>
      <c r="S339" s="1">
        <f t="shared" si="2"/>
        <v>139</v>
      </c>
      <c r="T339" s="1">
        <f t="shared" si="3"/>
        <v>2.39</v>
      </c>
      <c r="U339" s="1">
        <f t="shared" si="4"/>
        <v>0</v>
      </c>
      <c r="V339" s="3">
        <f t="shared" si="5"/>
        <v>3</v>
      </c>
      <c r="W339" s="3">
        <f t="shared" si="6"/>
        <v>1</v>
      </c>
      <c r="X339" s="3" t="str">
        <f>IFERROR(__xludf.DUMMYFUNCTION("split(B339,"" "")"),"N.")</f>
        <v>N.</v>
      </c>
      <c r="Y339" s="3" t="str">
        <f>IFERROR(__xludf.DUMMYFUNCTION("""COMPUTED_VALUE"""),"Fant")</f>
        <v>Fant</v>
      </c>
      <c r="AA339" s="8">
        <v>3.0</v>
      </c>
      <c r="AB339" s="3">
        <f t="shared" si="7"/>
        <v>1</v>
      </c>
      <c r="AC339" s="3">
        <f t="shared" si="8"/>
        <v>0</v>
      </c>
      <c r="AD339" s="3">
        <f t="shared" si="9"/>
        <v>4.17</v>
      </c>
      <c r="AE339" s="3">
        <f t="shared" si="10"/>
        <v>-3</v>
      </c>
      <c r="AF339" s="3">
        <f t="shared" si="11"/>
        <v>-1</v>
      </c>
      <c r="AG339" s="3">
        <f t="shared" si="12"/>
        <v>-0.2</v>
      </c>
    </row>
    <row r="340">
      <c r="A340" s="1" t="s">
        <v>8</v>
      </c>
      <c r="B340" s="1" t="s">
        <v>500</v>
      </c>
      <c r="C340" s="1" t="s">
        <v>21</v>
      </c>
      <c r="D340" s="1" t="s">
        <v>82</v>
      </c>
      <c r="E340" s="1" t="s">
        <v>104</v>
      </c>
      <c r="F340" s="1" t="s">
        <v>648</v>
      </c>
      <c r="G340" s="1">
        <v>2.5</v>
      </c>
      <c r="H340" s="1" t="s">
        <v>60</v>
      </c>
      <c r="I340" s="1">
        <v>-165.0</v>
      </c>
      <c r="J340" s="1">
        <v>-0.253709628950122</v>
      </c>
      <c r="K340" s="1" t="s">
        <v>61</v>
      </c>
      <c r="L340" s="1" t="s">
        <v>61</v>
      </c>
      <c r="M340" s="1" t="s">
        <v>62</v>
      </c>
      <c r="N340" s="1">
        <v>125.0</v>
      </c>
      <c r="O340" s="1">
        <v>0.186635785207922</v>
      </c>
      <c r="P340" s="1" t="s">
        <v>61</v>
      </c>
      <c r="Q340" s="1" t="s">
        <v>61</v>
      </c>
      <c r="R340" s="1">
        <f t="shared" si="1"/>
        <v>0.1866357852</v>
      </c>
      <c r="S340" s="1">
        <f t="shared" si="2"/>
        <v>125</v>
      </c>
      <c r="T340" s="1">
        <f t="shared" si="3"/>
        <v>2.25</v>
      </c>
      <c r="U340" s="1">
        <f t="shared" si="4"/>
        <v>0</v>
      </c>
      <c r="V340" s="3">
        <f t="shared" si="5"/>
        <v>3</v>
      </c>
      <c r="W340" s="3">
        <f t="shared" si="6"/>
        <v>1</v>
      </c>
      <c r="X340" s="3" t="str">
        <f>IFERROR(__xludf.DUMMYFUNCTION("split(B340,"" "")"),"G.")</f>
        <v>G.</v>
      </c>
      <c r="Y340" s="3" t="str">
        <f>IFERROR(__xludf.DUMMYFUNCTION("""COMPUTED_VALUE"""),"Smith")</f>
        <v>Smith</v>
      </c>
      <c r="AA340" s="8">
        <v>5.0</v>
      </c>
      <c r="AB340" s="3">
        <f t="shared" si="7"/>
        <v>1</v>
      </c>
      <c r="AC340" s="3">
        <f t="shared" si="8"/>
        <v>0</v>
      </c>
      <c r="AD340" s="3">
        <f t="shared" si="9"/>
        <v>3.75</v>
      </c>
      <c r="AE340" s="3">
        <f t="shared" si="10"/>
        <v>-3</v>
      </c>
      <c r="AF340" s="3">
        <f t="shared" si="11"/>
        <v>-1</v>
      </c>
      <c r="AG340" s="3">
        <f t="shared" si="12"/>
        <v>-1</v>
      </c>
    </row>
    <row r="341">
      <c r="A341" s="1" t="s">
        <v>12</v>
      </c>
      <c r="B341" s="1" t="s">
        <v>490</v>
      </c>
      <c r="C341" s="1" t="s">
        <v>19</v>
      </c>
      <c r="D341" s="1" t="s">
        <v>82</v>
      </c>
      <c r="E341" s="1" t="s">
        <v>104</v>
      </c>
      <c r="F341" s="1" t="s">
        <v>648</v>
      </c>
      <c r="G341" s="1">
        <v>3.5</v>
      </c>
      <c r="H341" s="1" t="s">
        <v>60</v>
      </c>
      <c r="I341" s="1">
        <v>-123.0</v>
      </c>
      <c r="J341" s="1">
        <v>-0.243869506726457</v>
      </c>
      <c r="K341" s="1" t="s">
        <v>61</v>
      </c>
      <c r="L341" s="1" t="s">
        <v>61</v>
      </c>
      <c r="M341" s="1" t="s">
        <v>62</v>
      </c>
      <c r="N341" s="1">
        <v>-106.0</v>
      </c>
      <c r="O341" s="1">
        <v>0.177736893203883</v>
      </c>
      <c r="P341" s="1" t="s">
        <v>61</v>
      </c>
      <c r="Q341" s="1" t="s">
        <v>61</v>
      </c>
      <c r="R341" s="1">
        <f t="shared" si="1"/>
        <v>0.1777368932</v>
      </c>
      <c r="S341" s="1">
        <f t="shared" si="2"/>
        <v>-106</v>
      </c>
      <c r="T341" s="1">
        <f t="shared" si="3"/>
        <v>1.943396226</v>
      </c>
      <c r="U341" s="1">
        <f t="shared" si="4"/>
        <v>0</v>
      </c>
      <c r="V341" s="3">
        <f t="shared" si="5"/>
        <v>3</v>
      </c>
      <c r="W341" s="3">
        <f t="shared" si="6"/>
        <v>2</v>
      </c>
      <c r="X341" s="3" t="str">
        <f>IFERROR(__xludf.DUMMYFUNCTION("split(B341,"" "")"),"K.")</f>
        <v>K.</v>
      </c>
      <c r="Y341" s="3" t="str">
        <f>IFERROR(__xludf.DUMMYFUNCTION("""COMPUTED_VALUE"""),"Walker")</f>
        <v>Walker</v>
      </c>
      <c r="Z341" s="3" t="str">
        <f>IFERROR(__xludf.DUMMYFUNCTION("""COMPUTED_VALUE"""),"III")</f>
        <v>III</v>
      </c>
      <c r="AA341" s="8">
        <v>4.0</v>
      </c>
      <c r="AB341" s="3">
        <f t="shared" si="7"/>
        <v>1</v>
      </c>
      <c r="AC341" s="3">
        <f t="shared" si="8"/>
        <v>0</v>
      </c>
      <c r="AD341" s="3">
        <f t="shared" si="9"/>
        <v>2.830188679</v>
      </c>
      <c r="AE341" s="3">
        <f t="shared" si="10"/>
        <v>-3</v>
      </c>
      <c r="AF341" s="3">
        <f t="shared" si="11"/>
        <v>-2</v>
      </c>
      <c r="AG341" s="3">
        <f t="shared" si="12"/>
        <v>-0.1428571429</v>
      </c>
    </row>
    <row r="342">
      <c r="A342" s="1" t="s">
        <v>12</v>
      </c>
      <c r="B342" s="1" t="s">
        <v>334</v>
      </c>
      <c r="C342" s="1" t="s">
        <v>18</v>
      </c>
      <c r="D342" s="1" t="s">
        <v>82</v>
      </c>
      <c r="E342" s="1" t="s">
        <v>104</v>
      </c>
      <c r="F342" s="1" t="s">
        <v>648</v>
      </c>
      <c r="G342" s="1">
        <v>5.5</v>
      </c>
      <c r="H342" s="1" t="s">
        <v>60</v>
      </c>
      <c r="I342" s="1">
        <v>104.0</v>
      </c>
      <c r="J342" s="1">
        <v>0.106254901960784</v>
      </c>
      <c r="K342" s="1" t="s">
        <v>61</v>
      </c>
      <c r="L342" s="1" t="s">
        <v>61</v>
      </c>
      <c r="M342" s="1" t="s">
        <v>62</v>
      </c>
      <c r="N342" s="1">
        <v>-137.0</v>
      </c>
      <c r="O342" s="1">
        <v>-0.17451687763713</v>
      </c>
      <c r="P342" s="1" t="s">
        <v>61</v>
      </c>
      <c r="Q342" s="1" t="s">
        <v>61</v>
      </c>
      <c r="R342" s="1">
        <f t="shared" si="1"/>
        <v>0.106254902</v>
      </c>
      <c r="S342" s="1">
        <f t="shared" si="2"/>
        <v>104</v>
      </c>
      <c r="T342" s="1">
        <f t="shared" si="3"/>
        <v>2.04</v>
      </c>
      <c r="U342" s="1">
        <f t="shared" si="4"/>
        <v>1</v>
      </c>
      <c r="V342" s="3">
        <f t="shared" si="5"/>
        <v>3</v>
      </c>
      <c r="W342" s="3">
        <f t="shared" si="6"/>
        <v>2</v>
      </c>
      <c r="X342" s="3" t="str">
        <f>IFERROR(__xludf.DUMMYFUNCTION("split(B342,"" "")"),"J.")</f>
        <v>J.</v>
      </c>
      <c r="Y342" s="3" t="str">
        <f>IFERROR(__xludf.DUMMYFUNCTION("""COMPUTED_VALUE"""),"Smith-Njigba")</f>
        <v>Smith-Njigba</v>
      </c>
      <c r="AA342" s="8">
        <v>6.0</v>
      </c>
      <c r="AB342" s="3">
        <f t="shared" si="7"/>
        <v>1</v>
      </c>
      <c r="AC342" s="3">
        <f t="shared" si="8"/>
        <v>1</v>
      </c>
      <c r="AD342" s="3">
        <f t="shared" si="9"/>
        <v>3.12</v>
      </c>
      <c r="AE342" s="3">
        <f t="shared" si="10"/>
        <v>3.12</v>
      </c>
      <c r="AF342" s="3">
        <f t="shared" si="11"/>
        <v>2.08</v>
      </c>
      <c r="AG342" s="3">
        <f t="shared" si="12"/>
        <v>0.09090909091</v>
      </c>
    </row>
    <row r="343">
      <c r="A343" s="1" t="s">
        <v>15</v>
      </c>
      <c r="B343" s="1" t="s">
        <v>500</v>
      </c>
      <c r="C343" s="1" t="s">
        <v>21</v>
      </c>
      <c r="D343" s="1" t="s">
        <v>82</v>
      </c>
      <c r="E343" s="1" t="s">
        <v>104</v>
      </c>
      <c r="F343" s="1" t="s">
        <v>648</v>
      </c>
      <c r="G343" s="1">
        <v>23.5</v>
      </c>
      <c r="H343" s="1" t="s">
        <v>60</v>
      </c>
      <c r="I343" s="1">
        <v>-116.0</v>
      </c>
      <c r="J343" s="1">
        <v>0.0559018518518518</v>
      </c>
      <c r="K343" s="1" t="s">
        <v>61</v>
      </c>
      <c r="L343" s="1" t="s">
        <v>61</v>
      </c>
      <c r="M343" s="1" t="s">
        <v>62</v>
      </c>
      <c r="N343" s="1">
        <v>-114.0</v>
      </c>
      <c r="O343" s="1">
        <v>-0.125670093457943</v>
      </c>
      <c r="P343" s="1" t="s">
        <v>61</v>
      </c>
      <c r="Q343" s="1" t="s">
        <v>61</v>
      </c>
      <c r="R343" s="1">
        <f t="shared" si="1"/>
        <v>0.05590185185</v>
      </c>
      <c r="S343" s="1">
        <f t="shared" si="2"/>
        <v>-116</v>
      </c>
      <c r="T343" s="1">
        <f t="shared" si="3"/>
        <v>1.862068966</v>
      </c>
      <c r="U343" s="1">
        <f t="shared" si="4"/>
        <v>1</v>
      </c>
      <c r="V343" s="3">
        <f t="shared" si="5"/>
        <v>2</v>
      </c>
      <c r="W343" s="3">
        <f t="shared" si="6"/>
        <v>2</v>
      </c>
      <c r="X343" s="3" t="str">
        <f>IFERROR(__xludf.DUMMYFUNCTION("split(B343,"" "")"),"G.")</f>
        <v>G.</v>
      </c>
      <c r="Y343" s="3" t="str">
        <f>IFERROR(__xludf.DUMMYFUNCTION("""COMPUTED_VALUE"""),"Smith")</f>
        <v>Smith</v>
      </c>
      <c r="AA343" s="8">
        <v>21.0</v>
      </c>
      <c r="AB343" s="3">
        <f t="shared" si="7"/>
        <v>0</v>
      </c>
      <c r="AC343" s="3">
        <f t="shared" si="8"/>
        <v>0</v>
      </c>
      <c r="AD343" s="3">
        <f t="shared" si="9"/>
        <v>1.724137931</v>
      </c>
      <c r="AE343" s="3">
        <f t="shared" si="10"/>
        <v>-2</v>
      </c>
      <c r="AF343" s="3">
        <f t="shared" si="11"/>
        <v>-2</v>
      </c>
      <c r="AG343" s="3">
        <f t="shared" si="12"/>
        <v>-0.1063829787</v>
      </c>
    </row>
    <row r="344">
      <c r="A344" s="1" t="s">
        <v>8</v>
      </c>
      <c r="B344" s="1" t="s">
        <v>490</v>
      </c>
      <c r="C344" s="1" t="s">
        <v>19</v>
      </c>
      <c r="D344" s="1" t="s">
        <v>82</v>
      </c>
      <c r="E344" s="1" t="s">
        <v>104</v>
      </c>
      <c r="F344" s="1" t="s">
        <v>648</v>
      </c>
      <c r="G344" s="1">
        <v>14.5</v>
      </c>
      <c r="H344" s="1" t="s">
        <v>60</v>
      </c>
      <c r="I344" s="1">
        <v>-115.0</v>
      </c>
      <c r="J344" s="1">
        <v>-0.124872255153488</v>
      </c>
      <c r="K344" s="1" t="s">
        <v>61</v>
      </c>
      <c r="L344" s="1" t="s">
        <v>61</v>
      </c>
      <c r="M344" s="1" t="s">
        <v>62</v>
      </c>
      <c r="N344" s="1">
        <v>-115.0</v>
      </c>
      <c r="O344" s="1">
        <v>0.0551180934265116</v>
      </c>
      <c r="P344" s="1" t="s">
        <v>61</v>
      </c>
      <c r="Q344" s="1" t="s">
        <v>61</v>
      </c>
      <c r="R344" s="1">
        <f t="shared" si="1"/>
        <v>0.05511809343</v>
      </c>
      <c r="S344" s="1">
        <f t="shared" si="2"/>
        <v>-115</v>
      </c>
      <c r="T344" s="1">
        <f t="shared" si="3"/>
        <v>1.869565217</v>
      </c>
      <c r="U344" s="1">
        <f t="shared" si="4"/>
        <v>0</v>
      </c>
      <c r="V344" s="3">
        <f t="shared" si="5"/>
        <v>2</v>
      </c>
      <c r="W344" s="3">
        <f t="shared" si="6"/>
        <v>2</v>
      </c>
      <c r="X344" s="3" t="str">
        <f>IFERROR(__xludf.DUMMYFUNCTION("split(B344,"" "")"),"K.")</f>
        <v>K.</v>
      </c>
      <c r="Y344" s="3" t="str">
        <f>IFERROR(__xludf.DUMMYFUNCTION("""COMPUTED_VALUE"""),"Walker")</f>
        <v>Walker</v>
      </c>
      <c r="Z344" s="3" t="str">
        <f>IFERROR(__xludf.DUMMYFUNCTION("""COMPUTED_VALUE"""),"III")</f>
        <v>III</v>
      </c>
      <c r="AA344" s="8">
        <v>9.0</v>
      </c>
      <c r="AB344" s="3">
        <f t="shared" si="7"/>
        <v>0</v>
      </c>
      <c r="AC344" s="3">
        <f t="shared" si="8"/>
        <v>1</v>
      </c>
      <c r="AD344" s="3">
        <f t="shared" si="9"/>
        <v>1.739130435</v>
      </c>
      <c r="AE344" s="3">
        <f t="shared" si="10"/>
        <v>1.739130435</v>
      </c>
      <c r="AF344" s="3">
        <f t="shared" si="11"/>
        <v>1.739130435</v>
      </c>
      <c r="AG344" s="3">
        <f t="shared" si="12"/>
        <v>0.3793103448</v>
      </c>
    </row>
    <row r="345">
      <c r="A345" s="1" t="s">
        <v>11</v>
      </c>
      <c r="B345" s="1" t="s">
        <v>490</v>
      </c>
      <c r="C345" s="1" t="s">
        <v>19</v>
      </c>
      <c r="D345" s="1" t="s">
        <v>82</v>
      </c>
      <c r="E345" s="1" t="s">
        <v>104</v>
      </c>
      <c r="F345" s="1" t="s">
        <v>648</v>
      </c>
      <c r="G345" s="1">
        <v>23.5</v>
      </c>
      <c r="H345" s="1" t="s">
        <v>60</v>
      </c>
      <c r="I345" s="1">
        <v>-118.0</v>
      </c>
      <c r="J345" s="1">
        <v>-0.121333027473857</v>
      </c>
      <c r="K345" s="1" t="s">
        <v>61</v>
      </c>
      <c r="L345" s="1" t="s">
        <v>61</v>
      </c>
      <c r="M345" s="1" t="s">
        <v>62</v>
      </c>
      <c r="N345" s="1">
        <v>-111.0</v>
      </c>
      <c r="O345" s="1">
        <v>0.0540187771949011</v>
      </c>
      <c r="P345" s="1" t="s">
        <v>61</v>
      </c>
      <c r="Q345" s="1" t="s">
        <v>61</v>
      </c>
      <c r="R345" s="1">
        <f t="shared" si="1"/>
        <v>0.05401877719</v>
      </c>
      <c r="S345" s="1">
        <f t="shared" si="2"/>
        <v>-111</v>
      </c>
      <c r="T345" s="1">
        <f t="shared" si="3"/>
        <v>1.900900901</v>
      </c>
      <c r="U345" s="1">
        <f t="shared" si="4"/>
        <v>0</v>
      </c>
      <c r="V345" s="3">
        <f t="shared" si="5"/>
        <v>2</v>
      </c>
      <c r="W345" s="3">
        <f t="shared" si="6"/>
        <v>2</v>
      </c>
      <c r="X345" s="3" t="str">
        <f>IFERROR(__xludf.DUMMYFUNCTION("split(B345,"" "")"),"K.")</f>
        <v>K.</v>
      </c>
      <c r="Y345" s="3" t="str">
        <f>IFERROR(__xludf.DUMMYFUNCTION("""COMPUTED_VALUE"""),"Walker")</f>
        <v>Walker</v>
      </c>
      <c r="Z345" s="3" t="str">
        <f>IFERROR(__xludf.DUMMYFUNCTION("""COMPUTED_VALUE"""),"III")</f>
        <v>III</v>
      </c>
      <c r="AA345" s="8">
        <v>33.0</v>
      </c>
      <c r="AB345" s="3">
        <f t="shared" si="7"/>
        <v>1</v>
      </c>
      <c r="AC345" s="3">
        <f t="shared" si="8"/>
        <v>0</v>
      </c>
      <c r="AD345" s="3">
        <f t="shared" si="9"/>
        <v>1.801801802</v>
      </c>
      <c r="AE345" s="3">
        <f t="shared" si="10"/>
        <v>-2</v>
      </c>
      <c r="AF345" s="3">
        <f t="shared" si="11"/>
        <v>-2</v>
      </c>
      <c r="AG345" s="3">
        <f t="shared" si="12"/>
        <v>-0.4042553191</v>
      </c>
    </row>
    <row r="346">
      <c r="A346" s="1" t="s">
        <v>17</v>
      </c>
      <c r="B346" s="1" t="s">
        <v>500</v>
      </c>
      <c r="C346" s="1" t="s">
        <v>21</v>
      </c>
      <c r="D346" s="1" t="s">
        <v>82</v>
      </c>
      <c r="E346" s="1" t="s">
        <v>104</v>
      </c>
      <c r="F346" s="1" t="s">
        <v>648</v>
      </c>
      <c r="G346" s="1">
        <v>0.5</v>
      </c>
      <c r="H346" s="1" t="s">
        <v>60</v>
      </c>
      <c r="I346" s="1">
        <v>-132.0</v>
      </c>
      <c r="J346" s="1">
        <v>-0.114465517241379</v>
      </c>
      <c r="K346" s="1" t="s">
        <v>61</v>
      </c>
      <c r="L346" s="1" t="s">
        <v>61</v>
      </c>
      <c r="M346" s="1" t="s">
        <v>62</v>
      </c>
      <c r="N346" s="1">
        <v>100.0</v>
      </c>
      <c r="O346" s="1">
        <v>0.0454999999999999</v>
      </c>
      <c r="P346" s="1" t="s">
        <v>61</v>
      </c>
      <c r="Q346" s="1" t="s">
        <v>61</v>
      </c>
      <c r="R346" s="1">
        <f t="shared" si="1"/>
        <v>0.0455</v>
      </c>
      <c r="S346" s="1">
        <f t="shared" si="2"/>
        <v>100</v>
      </c>
      <c r="T346" s="1">
        <f t="shared" si="3"/>
        <v>2</v>
      </c>
      <c r="U346" s="1">
        <f t="shared" si="4"/>
        <v>0</v>
      </c>
      <c r="V346" s="3">
        <f t="shared" si="5"/>
        <v>1</v>
      </c>
      <c r="W346" s="3">
        <f t="shared" si="6"/>
        <v>2</v>
      </c>
      <c r="X346" s="3" t="str">
        <f>IFERROR(__xludf.DUMMYFUNCTION("split(B346,"" "")"),"G.")</f>
        <v>G.</v>
      </c>
      <c r="Y346" s="3" t="str">
        <f>IFERROR(__xludf.DUMMYFUNCTION("""COMPUTED_VALUE"""),"Smith")</f>
        <v>Smith</v>
      </c>
      <c r="AA346" s="8">
        <v>1.0</v>
      </c>
      <c r="AB346" s="3">
        <f t="shared" si="7"/>
        <v>1</v>
      </c>
      <c r="AC346" s="3">
        <f t="shared" si="8"/>
        <v>0</v>
      </c>
      <c r="AD346" s="3">
        <f t="shared" si="9"/>
        <v>1</v>
      </c>
      <c r="AE346" s="3">
        <f t="shared" si="10"/>
        <v>-1</v>
      </c>
      <c r="AF346" s="3">
        <f t="shared" si="11"/>
        <v>-2</v>
      </c>
      <c r="AG346" s="3">
        <f t="shared" si="12"/>
        <v>-1</v>
      </c>
    </row>
    <row r="347">
      <c r="A347" s="1" t="s">
        <v>9</v>
      </c>
      <c r="B347" s="1" t="s">
        <v>490</v>
      </c>
      <c r="C347" s="1" t="s">
        <v>19</v>
      </c>
      <c r="D347" s="1" t="s">
        <v>82</v>
      </c>
      <c r="E347" s="1" t="s">
        <v>104</v>
      </c>
      <c r="F347" s="1" t="s">
        <v>648</v>
      </c>
      <c r="G347" s="1">
        <v>91.5</v>
      </c>
      <c r="H347" s="1" t="s">
        <v>60</v>
      </c>
      <c r="I347" s="1">
        <v>-115.0</v>
      </c>
      <c r="J347" s="1">
        <v>-0.123708898391059</v>
      </c>
      <c r="K347" s="1" t="s">
        <v>61</v>
      </c>
      <c r="L347" s="1" t="s">
        <v>61</v>
      </c>
      <c r="M347" s="1" t="s">
        <v>62</v>
      </c>
      <c r="N347" s="1">
        <v>-120.0</v>
      </c>
      <c r="O347" s="1">
        <v>0.0434082706540603</v>
      </c>
      <c r="P347" s="1" t="s">
        <v>61</v>
      </c>
      <c r="Q347" s="1" t="s">
        <v>61</v>
      </c>
      <c r="R347" s="1">
        <f t="shared" si="1"/>
        <v>0.04340827065</v>
      </c>
      <c r="S347" s="1">
        <f t="shared" si="2"/>
        <v>-120</v>
      </c>
      <c r="T347" s="1">
        <f t="shared" si="3"/>
        <v>1.833333333</v>
      </c>
      <c r="U347" s="1">
        <f t="shared" si="4"/>
        <v>0</v>
      </c>
      <c r="V347" s="3">
        <f t="shared" si="5"/>
        <v>1</v>
      </c>
      <c r="W347" s="3">
        <f t="shared" si="6"/>
        <v>3</v>
      </c>
      <c r="X347" s="3" t="str">
        <f>IFERROR(__xludf.DUMMYFUNCTION("split(B347,"" "")"),"K.")</f>
        <v>K.</v>
      </c>
      <c r="Y347" s="3" t="str">
        <f>IFERROR(__xludf.DUMMYFUNCTION("""COMPUTED_VALUE"""),"Walker")</f>
        <v>Walker</v>
      </c>
      <c r="Z347" s="3" t="str">
        <f>IFERROR(__xludf.DUMMYFUNCTION("""COMPUTED_VALUE"""),"III")</f>
        <v>III</v>
      </c>
      <c r="AA347" s="8">
        <v>45.0</v>
      </c>
      <c r="AB347" s="3">
        <f t="shared" si="7"/>
        <v>0</v>
      </c>
      <c r="AC347" s="3">
        <f t="shared" si="8"/>
        <v>1</v>
      </c>
      <c r="AD347" s="3">
        <f t="shared" si="9"/>
        <v>0.8333333333</v>
      </c>
      <c r="AE347" s="3">
        <f t="shared" si="10"/>
        <v>0.8333333333</v>
      </c>
      <c r="AF347" s="3">
        <f t="shared" si="11"/>
        <v>2.5</v>
      </c>
      <c r="AG347" s="3">
        <f t="shared" si="12"/>
        <v>0.5081967213</v>
      </c>
    </row>
    <row r="348">
      <c r="A348" s="1" t="s">
        <v>11</v>
      </c>
      <c r="B348" s="1" t="s">
        <v>81</v>
      </c>
      <c r="C348" s="1" t="s">
        <v>20</v>
      </c>
      <c r="D348" s="1" t="s">
        <v>82</v>
      </c>
      <c r="E348" s="1" t="s">
        <v>104</v>
      </c>
      <c r="F348" s="1" t="s">
        <v>648</v>
      </c>
      <c r="G348" s="1">
        <v>30.5</v>
      </c>
      <c r="H348" s="1" t="s">
        <v>60</v>
      </c>
      <c r="I348" s="1">
        <v>-118.0</v>
      </c>
      <c r="J348" s="1">
        <v>-0.106820628221835</v>
      </c>
      <c r="K348" s="1" t="s">
        <v>61</v>
      </c>
      <c r="L348" s="1" t="s">
        <v>61</v>
      </c>
      <c r="M348" s="1" t="s">
        <v>62</v>
      </c>
      <c r="N348" s="1">
        <v>-112.0</v>
      </c>
      <c r="O348" s="1">
        <v>0.0372841369814491</v>
      </c>
      <c r="P348" s="1" t="s">
        <v>61</v>
      </c>
      <c r="Q348" s="1" t="s">
        <v>61</v>
      </c>
      <c r="R348" s="1">
        <f t="shared" si="1"/>
        <v>0.03728413698</v>
      </c>
      <c r="S348" s="1">
        <f t="shared" si="2"/>
        <v>-112</v>
      </c>
      <c r="T348" s="1">
        <f t="shared" si="3"/>
        <v>1.892857143</v>
      </c>
      <c r="U348" s="1">
        <f t="shared" si="4"/>
        <v>0</v>
      </c>
      <c r="V348" s="3">
        <f t="shared" si="5"/>
        <v>1</v>
      </c>
      <c r="W348" s="3">
        <f t="shared" si="6"/>
        <v>2</v>
      </c>
      <c r="X348" s="3" t="str">
        <f>IFERROR(__xludf.DUMMYFUNCTION("split(B348,"" "")"),"N.")</f>
        <v>N.</v>
      </c>
      <c r="Y348" s="3" t="str">
        <f>IFERROR(__xludf.DUMMYFUNCTION("""COMPUTED_VALUE"""),"Fant")</f>
        <v>Fant</v>
      </c>
      <c r="AA348" s="8">
        <v>22.0</v>
      </c>
      <c r="AB348" s="3">
        <f t="shared" si="7"/>
        <v>0</v>
      </c>
      <c r="AC348" s="3">
        <f t="shared" si="8"/>
        <v>1</v>
      </c>
      <c r="AD348" s="3">
        <f t="shared" si="9"/>
        <v>0.8928571429</v>
      </c>
      <c r="AE348" s="3">
        <f t="shared" si="10"/>
        <v>0.8928571429</v>
      </c>
      <c r="AF348" s="3">
        <f t="shared" si="11"/>
        <v>1.785714286</v>
      </c>
      <c r="AG348" s="3">
        <f t="shared" si="12"/>
        <v>0.2786885246</v>
      </c>
    </row>
    <row r="349">
      <c r="A349" s="1" t="s">
        <v>10</v>
      </c>
      <c r="B349" s="1" t="s">
        <v>500</v>
      </c>
      <c r="C349" s="1" t="s">
        <v>21</v>
      </c>
      <c r="D349" s="1" t="s">
        <v>82</v>
      </c>
      <c r="E349" s="1" t="s">
        <v>104</v>
      </c>
      <c r="F349" s="1" t="s">
        <v>648</v>
      </c>
      <c r="G349" s="1">
        <v>12.5</v>
      </c>
      <c r="H349" s="1" t="s">
        <v>60</v>
      </c>
      <c r="I349" s="1">
        <v>-117.0</v>
      </c>
      <c r="J349" s="1">
        <v>-0.0933552815164068</v>
      </c>
      <c r="K349" s="1" t="s">
        <v>61</v>
      </c>
      <c r="L349" s="1" t="s">
        <v>61</v>
      </c>
      <c r="M349" s="1" t="s">
        <v>62</v>
      </c>
      <c r="N349" s="1">
        <v>-112.0</v>
      </c>
      <c r="O349" s="1">
        <v>0.0258953000931487</v>
      </c>
      <c r="P349" s="1" t="s">
        <v>61</v>
      </c>
      <c r="Q349" s="1" t="s">
        <v>61</v>
      </c>
      <c r="R349" s="1">
        <f t="shared" si="1"/>
        <v>0.02589530009</v>
      </c>
      <c r="S349" s="1">
        <f t="shared" si="2"/>
        <v>-112</v>
      </c>
      <c r="T349" s="1">
        <f t="shared" si="3"/>
        <v>1.892857143</v>
      </c>
      <c r="U349" s="1">
        <f t="shared" si="4"/>
        <v>0</v>
      </c>
      <c r="V349" s="3">
        <f t="shared" si="5"/>
        <v>1</v>
      </c>
      <c r="W349" s="3">
        <f t="shared" si="6"/>
        <v>2</v>
      </c>
      <c r="X349" s="3" t="str">
        <f>IFERROR(__xludf.DUMMYFUNCTION("split(B349,"" "")"),"G.")</f>
        <v>G.</v>
      </c>
      <c r="Y349" s="3" t="str">
        <f>IFERROR(__xludf.DUMMYFUNCTION("""COMPUTED_VALUE"""),"Smith")</f>
        <v>Smith</v>
      </c>
      <c r="AA349" s="8">
        <v>16.0</v>
      </c>
      <c r="AB349" s="3">
        <f t="shared" si="7"/>
        <v>1</v>
      </c>
      <c r="AC349" s="3">
        <f t="shared" si="8"/>
        <v>0</v>
      </c>
      <c r="AD349" s="3">
        <f t="shared" si="9"/>
        <v>0.8928571429</v>
      </c>
      <c r="AE349" s="3">
        <f t="shared" si="10"/>
        <v>-1</v>
      </c>
      <c r="AF349" s="3">
        <f t="shared" si="11"/>
        <v>-2</v>
      </c>
      <c r="AG349" s="3">
        <f t="shared" si="12"/>
        <v>-0.28</v>
      </c>
    </row>
    <row r="350">
      <c r="A350" s="1" t="s">
        <v>12</v>
      </c>
      <c r="B350" s="1" t="s">
        <v>480</v>
      </c>
      <c r="C350" s="1" t="s">
        <v>18</v>
      </c>
      <c r="D350" s="1" t="s">
        <v>82</v>
      </c>
      <c r="E350" s="1" t="s">
        <v>104</v>
      </c>
      <c r="F350" s="1" t="s">
        <v>648</v>
      </c>
      <c r="G350" s="1">
        <v>4.5</v>
      </c>
      <c r="H350" s="1" t="s">
        <v>60</v>
      </c>
      <c r="I350" s="1">
        <v>-143.0</v>
      </c>
      <c r="J350" s="1">
        <v>-0.092359670781893</v>
      </c>
      <c r="K350" s="1" t="s">
        <v>61</v>
      </c>
      <c r="L350" s="1" t="s">
        <v>61</v>
      </c>
      <c r="M350" s="1" t="s">
        <v>62</v>
      </c>
      <c r="N350" s="1">
        <v>109.0</v>
      </c>
      <c r="O350" s="1">
        <v>0.0254267942583731</v>
      </c>
      <c r="P350" s="1" t="s">
        <v>61</v>
      </c>
      <c r="Q350" s="1" t="s">
        <v>61</v>
      </c>
      <c r="R350" s="1">
        <f t="shared" si="1"/>
        <v>0.02542679426</v>
      </c>
      <c r="S350" s="1">
        <f t="shared" si="2"/>
        <v>109</v>
      </c>
      <c r="T350" s="1">
        <f t="shared" si="3"/>
        <v>2.09</v>
      </c>
      <c r="U350" s="1">
        <f t="shared" si="4"/>
        <v>0</v>
      </c>
      <c r="V350" s="3">
        <f t="shared" si="5"/>
        <v>1</v>
      </c>
      <c r="W350" s="3">
        <f t="shared" si="6"/>
        <v>2</v>
      </c>
      <c r="X350" s="3" t="str">
        <f>IFERROR(__xludf.DUMMYFUNCTION("split(B350,"" "")"),"T.")</f>
        <v>T.</v>
      </c>
      <c r="Y350" s="3" t="str">
        <f>IFERROR(__xludf.DUMMYFUNCTION("""COMPUTED_VALUE"""),"Lockett")</f>
        <v>Lockett</v>
      </c>
      <c r="AA350" s="8">
        <v>1.0</v>
      </c>
      <c r="AB350" s="3">
        <f t="shared" si="7"/>
        <v>0</v>
      </c>
      <c r="AC350" s="3">
        <f t="shared" si="8"/>
        <v>1</v>
      </c>
      <c r="AD350" s="3">
        <f t="shared" si="9"/>
        <v>1.09</v>
      </c>
      <c r="AE350" s="3">
        <f t="shared" si="10"/>
        <v>1.09</v>
      </c>
      <c r="AF350" s="3">
        <f t="shared" si="11"/>
        <v>2.18</v>
      </c>
      <c r="AG350" s="3">
        <f t="shared" si="12"/>
        <v>0.7777777778</v>
      </c>
    </row>
    <row r="351">
      <c r="A351" s="1" t="s">
        <v>9</v>
      </c>
      <c r="B351" s="1" t="s">
        <v>334</v>
      </c>
      <c r="C351" s="1" t="s">
        <v>18</v>
      </c>
      <c r="D351" s="1" t="s">
        <v>82</v>
      </c>
      <c r="E351" s="1" t="s">
        <v>104</v>
      </c>
      <c r="F351" s="1" t="s">
        <v>648</v>
      </c>
      <c r="G351" s="1">
        <v>52.5</v>
      </c>
      <c r="H351" s="1" t="s">
        <v>60</v>
      </c>
      <c r="I351" s="1">
        <v>-112.0</v>
      </c>
      <c r="J351" s="1">
        <v>0.0253896854709072</v>
      </c>
      <c r="K351" s="1" t="s">
        <v>61</v>
      </c>
      <c r="L351" s="1" t="s">
        <v>61</v>
      </c>
      <c r="M351" s="1" t="s">
        <v>62</v>
      </c>
      <c r="N351" s="1">
        <v>-121.0</v>
      </c>
      <c r="O351" s="1">
        <v>-0.101153312746593</v>
      </c>
      <c r="P351" s="1" t="s">
        <v>61</v>
      </c>
      <c r="Q351" s="1" t="s">
        <v>61</v>
      </c>
      <c r="R351" s="1">
        <f t="shared" si="1"/>
        <v>0.02538968547</v>
      </c>
      <c r="S351" s="1">
        <f t="shared" si="2"/>
        <v>-112</v>
      </c>
      <c r="T351" s="1">
        <f t="shared" si="3"/>
        <v>1.892857143</v>
      </c>
      <c r="U351" s="1">
        <f t="shared" si="4"/>
        <v>1</v>
      </c>
      <c r="V351" s="3">
        <f t="shared" si="5"/>
        <v>1</v>
      </c>
      <c r="W351" s="3">
        <f t="shared" si="6"/>
        <v>2</v>
      </c>
      <c r="X351" s="3" t="str">
        <f>IFERROR(__xludf.DUMMYFUNCTION("split(B351,"" "")"),"J.")</f>
        <v>J.</v>
      </c>
      <c r="Y351" s="3" t="str">
        <f>IFERROR(__xludf.DUMMYFUNCTION("""COMPUTED_VALUE"""),"Smith-Njigba")</f>
        <v>Smith-Njigba</v>
      </c>
      <c r="AA351" s="8">
        <v>69.0</v>
      </c>
      <c r="AB351" s="3">
        <f t="shared" si="7"/>
        <v>1</v>
      </c>
      <c r="AC351" s="3">
        <f t="shared" si="8"/>
        <v>1</v>
      </c>
      <c r="AD351" s="3">
        <f t="shared" si="9"/>
        <v>0.8928571429</v>
      </c>
      <c r="AE351" s="3">
        <f t="shared" si="10"/>
        <v>0.8928571429</v>
      </c>
      <c r="AF351" s="3">
        <f t="shared" si="11"/>
        <v>1.785714286</v>
      </c>
      <c r="AG351" s="3">
        <f t="shared" si="12"/>
        <v>0.3142857143</v>
      </c>
    </row>
    <row r="352">
      <c r="A352" s="1" t="s">
        <v>10</v>
      </c>
      <c r="B352" s="1" t="s">
        <v>490</v>
      </c>
      <c r="C352" s="1" t="s">
        <v>19</v>
      </c>
      <c r="D352" s="1" t="s">
        <v>82</v>
      </c>
      <c r="E352" s="1" t="s">
        <v>104</v>
      </c>
      <c r="F352" s="1" t="s">
        <v>648</v>
      </c>
      <c r="G352" s="1">
        <v>62.5</v>
      </c>
      <c r="H352" s="1" t="s">
        <v>60</v>
      </c>
      <c r="I352" s="1">
        <v>-116.0</v>
      </c>
      <c r="J352" s="1">
        <v>-0.0854715573390765</v>
      </c>
      <c r="K352" s="1" t="s">
        <v>61</v>
      </c>
      <c r="L352" s="1" t="s">
        <v>61</v>
      </c>
      <c r="M352" s="1" t="s">
        <v>62</v>
      </c>
      <c r="N352" s="1">
        <v>-113.0</v>
      </c>
      <c r="O352" s="1">
        <v>0.0179372304265934</v>
      </c>
      <c r="P352" s="1" t="s">
        <v>61</v>
      </c>
      <c r="Q352" s="1" t="s">
        <v>61</v>
      </c>
      <c r="R352" s="1">
        <f t="shared" si="1"/>
        <v>0.01793723043</v>
      </c>
      <c r="S352" s="1">
        <f t="shared" si="2"/>
        <v>-113</v>
      </c>
      <c r="T352" s="1">
        <f t="shared" si="3"/>
        <v>1.884955752</v>
      </c>
      <c r="U352" s="1">
        <f t="shared" si="4"/>
        <v>0</v>
      </c>
      <c r="V352" s="3">
        <f t="shared" si="5"/>
        <v>1</v>
      </c>
      <c r="W352" s="3">
        <f t="shared" si="6"/>
        <v>2</v>
      </c>
      <c r="X352" s="3" t="str">
        <f>IFERROR(__xludf.DUMMYFUNCTION("split(B352,"" "")"),"K.")</f>
        <v>K.</v>
      </c>
      <c r="Y352" s="3" t="str">
        <f>IFERROR(__xludf.DUMMYFUNCTION("""COMPUTED_VALUE"""),"Walker")</f>
        <v>Walker</v>
      </c>
      <c r="Z352" s="3" t="str">
        <f>IFERROR(__xludf.DUMMYFUNCTION("""COMPUTED_VALUE"""),"III")</f>
        <v>III</v>
      </c>
      <c r="AA352" s="8">
        <v>12.0</v>
      </c>
      <c r="AB352" s="3">
        <f t="shared" si="7"/>
        <v>0</v>
      </c>
      <c r="AC352" s="3">
        <f t="shared" si="8"/>
        <v>1</v>
      </c>
      <c r="AD352" s="3">
        <f t="shared" si="9"/>
        <v>0.8849557522</v>
      </c>
      <c r="AE352" s="3">
        <f t="shared" si="10"/>
        <v>0.8849557522</v>
      </c>
      <c r="AF352" s="3">
        <f t="shared" si="11"/>
        <v>1.769911504</v>
      </c>
      <c r="AG352" s="3">
        <f t="shared" si="12"/>
        <v>0.808</v>
      </c>
    </row>
    <row r="353">
      <c r="A353" s="1" t="s">
        <v>8</v>
      </c>
      <c r="B353" s="1" t="s">
        <v>262</v>
      </c>
      <c r="C353" s="1" t="s">
        <v>21</v>
      </c>
      <c r="D353" s="1" t="s">
        <v>164</v>
      </c>
      <c r="E353" s="1" t="s">
        <v>88</v>
      </c>
      <c r="F353" s="1" t="s">
        <v>651</v>
      </c>
      <c r="G353" s="1">
        <v>4.5</v>
      </c>
      <c r="H353" s="1" t="s">
        <v>60</v>
      </c>
      <c r="I353" s="1">
        <v>-120.0</v>
      </c>
      <c r="J353" s="1">
        <v>-0.224894689628425</v>
      </c>
      <c r="K353" s="1" t="s">
        <v>61</v>
      </c>
      <c r="L353" s="1" t="s">
        <v>61</v>
      </c>
      <c r="M353" s="1" t="s">
        <v>62</v>
      </c>
      <c r="N353" s="1">
        <v>-110.0</v>
      </c>
      <c r="O353" s="1">
        <v>0.155636737571804</v>
      </c>
      <c r="P353" s="1" t="s">
        <v>61</v>
      </c>
      <c r="Q353" s="1" t="s">
        <v>61</v>
      </c>
      <c r="R353" s="1">
        <f t="shared" si="1"/>
        <v>0.1556367376</v>
      </c>
      <c r="S353" s="1">
        <f t="shared" si="2"/>
        <v>-110</v>
      </c>
      <c r="T353" s="1">
        <f t="shared" si="3"/>
        <v>1.909090909</v>
      </c>
      <c r="U353" s="1">
        <f t="shared" si="4"/>
        <v>0</v>
      </c>
      <c r="V353" s="3">
        <f t="shared" si="5"/>
        <v>3</v>
      </c>
      <c r="W353" s="3">
        <f t="shared" si="6"/>
        <v>2</v>
      </c>
      <c r="X353" s="3" t="str">
        <f>IFERROR(__xludf.DUMMYFUNCTION("split(B353,"" "")"),"B.")</f>
        <v>B.</v>
      </c>
      <c r="Y353" s="3" t="str">
        <f>IFERROR(__xludf.DUMMYFUNCTION("""COMPUTED_VALUE"""),"Purdy")</f>
        <v>Purdy</v>
      </c>
      <c r="AA353" s="8">
        <v>8.0</v>
      </c>
      <c r="AB353" s="3">
        <f t="shared" si="7"/>
        <v>1</v>
      </c>
      <c r="AC353" s="3">
        <f t="shared" si="8"/>
        <v>0</v>
      </c>
      <c r="AD353" s="3">
        <f t="shared" si="9"/>
        <v>2.727272727</v>
      </c>
      <c r="AE353" s="3">
        <f t="shared" si="10"/>
        <v>-3</v>
      </c>
      <c r="AF353" s="3">
        <f t="shared" si="11"/>
        <v>-2</v>
      </c>
      <c r="AG353" s="3">
        <f t="shared" si="12"/>
        <v>-0.7777777778</v>
      </c>
    </row>
    <row r="354">
      <c r="A354" s="1" t="s">
        <v>11</v>
      </c>
      <c r="B354" s="1" t="s">
        <v>497</v>
      </c>
      <c r="C354" s="1" t="s">
        <v>19</v>
      </c>
      <c r="D354" s="1" t="s">
        <v>164</v>
      </c>
      <c r="E354" s="1" t="s">
        <v>88</v>
      </c>
      <c r="F354" s="1" t="s">
        <v>651</v>
      </c>
      <c r="G354" s="1">
        <v>9.5</v>
      </c>
      <c r="H354" s="1" t="s">
        <v>60</v>
      </c>
      <c r="I354" s="1">
        <v>-110.0</v>
      </c>
      <c r="J354" s="1">
        <v>0.10357976963498</v>
      </c>
      <c r="K354" s="1" t="s">
        <v>61</v>
      </c>
      <c r="L354" s="1" t="s">
        <v>61</v>
      </c>
      <c r="M354" s="1" t="s">
        <v>62</v>
      </c>
      <c r="N354" s="1">
        <v>-117.0</v>
      </c>
      <c r="O354" s="1">
        <v>-0.166531932715736</v>
      </c>
      <c r="P354" s="1" t="s">
        <v>61</v>
      </c>
      <c r="Q354" s="1" t="s">
        <v>61</v>
      </c>
      <c r="R354" s="1">
        <f t="shared" si="1"/>
        <v>0.1035797696</v>
      </c>
      <c r="S354" s="1">
        <f t="shared" si="2"/>
        <v>-110</v>
      </c>
      <c r="T354" s="1">
        <f t="shared" si="3"/>
        <v>1.909090909</v>
      </c>
      <c r="U354" s="1">
        <f t="shared" si="4"/>
        <v>1</v>
      </c>
      <c r="V354" s="3">
        <f t="shared" si="5"/>
        <v>3</v>
      </c>
      <c r="W354" s="3">
        <f t="shared" si="6"/>
        <v>2</v>
      </c>
      <c r="X354" s="3" t="str">
        <f>IFERROR(__xludf.DUMMYFUNCTION("split(B354,"" "")"),"J.")</f>
        <v>J.</v>
      </c>
      <c r="Y354" s="3" t="str">
        <f>IFERROR(__xludf.DUMMYFUNCTION("""COMPUTED_VALUE"""),"Mason")</f>
        <v>Mason</v>
      </c>
      <c r="AA354" s="8">
        <v>0.0</v>
      </c>
      <c r="AB354" s="3">
        <f t="shared" si="7"/>
        <v>0</v>
      </c>
      <c r="AC354" s="3">
        <f t="shared" si="8"/>
        <v>0</v>
      </c>
      <c r="AD354" s="3">
        <f t="shared" si="9"/>
        <v>2.727272727</v>
      </c>
      <c r="AE354" s="3">
        <f t="shared" si="10"/>
        <v>-3</v>
      </c>
      <c r="AF354" s="3">
        <f t="shared" si="11"/>
        <v>-2</v>
      </c>
      <c r="AG354" s="3">
        <f t="shared" si="12"/>
        <v>-1</v>
      </c>
    </row>
    <row r="355">
      <c r="A355" s="1" t="s">
        <v>10</v>
      </c>
      <c r="B355" s="1" t="s">
        <v>262</v>
      </c>
      <c r="C355" s="1" t="s">
        <v>21</v>
      </c>
      <c r="D355" s="1" t="s">
        <v>164</v>
      </c>
      <c r="E355" s="1" t="s">
        <v>88</v>
      </c>
      <c r="F355" s="1" t="s">
        <v>651</v>
      </c>
      <c r="G355" s="1">
        <v>18.5</v>
      </c>
      <c r="H355" s="1" t="s">
        <v>60</v>
      </c>
      <c r="I355" s="1">
        <v>-114.0</v>
      </c>
      <c r="J355" s="1">
        <v>-0.12802922872364</v>
      </c>
      <c r="K355" s="1" t="s">
        <v>61</v>
      </c>
      <c r="L355" s="1" t="s">
        <v>61</v>
      </c>
      <c r="M355" s="1" t="s">
        <v>62</v>
      </c>
      <c r="N355" s="1">
        <v>-115.0</v>
      </c>
      <c r="O355" s="1">
        <v>0.0604813636692458</v>
      </c>
      <c r="P355" s="1" t="s">
        <v>61</v>
      </c>
      <c r="Q355" s="1" t="s">
        <v>61</v>
      </c>
      <c r="R355" s="1">
        <f t="shared" si="1"/>
        <v>0.06048136367</v>
      </c>
      <c r="S355" s="1">
        <f t="shared" si="2"/>
        <v>-115</v>
      </c>
      <c r="T355" s="1">
        <f t="shared" si="3"/>
        <v>1.869565217</v>
      </c>
      <c r="U355" s="1">
        <f t="shared" si="4"/>
        <v>0</v>
      </c>
      <c r="V355" s="3">
        <f t="shared" si="5"/>
        <v>2</v>
      </c>
      <c r="W355" s="3">
        <f t="shared" si="6"/>
        <v>2</v>
      </c>
      <c r="X355" s="3" t="str">
        <f>IFERROR(__xludf.DUMMYFUNCTION("split(B355,"" "")"),"B.")</f>
        <v>B.</v>
      </c>
      <c r="Y355" s="3" t="str">
        <f>IFERROR(__xludf.DUMMYFUNCTION("""COMPUTED_VALUE"""),"Purdy")</f>
        <v>Purdy</v>
      </c>
      <c r="AA355" s="8">
        <v>56.0</v>
      </c>
      <c r="AB355" s="3">
        <f t="shared" si="7"/>
        <v>1</v>
      </c>
      <c r="AC355" s="3">
        <f t="shared" si="8"/>
        <v>0</v>
      </c>
      <c r="AD355" s="3">
        <f t="shared" si="9"/>
        <v>1.739130435</v>
      </c>
      <c r="AE355" s="3">
        <f t="shared" si="10"/>
        <v>-2</v>
      </c>
      <c r="AF355" s="3">
        <f t="shared" si="11"/>
        <v>-2</v>
      </c>
      <c r="AG355" s="3">
        <f t="shared" si="12"/>
        <v>-2.027027027</v>
      </c>
    </row>
    <row r="356">
      <c r="A356" s="1" t="s">
        <v>16</v>
      </c>
      <c r="B356" s="1" t="s">
        <v>262</v>
      </c>
      <c r="C356" s="1" t="s">
        <v>21</v>
      </c>
      <c r="D356" s="1" t="s">
        <v>164</v>
      </c>
      <c r="E356" s="1" t="s">
        <v>88</v>
      </c>
      <c r="F356" s="1" t="s">
        <v>651</v>
      </c>
      <c r="G356" s="1">
        <v>30.5</v>
      </c>
      <c r="H356" s="1" t="s">
        <v>60</v>
      </c>
      <c r="I356" s="1">
        <v>-124.0</v>
      </c>
      <c r="J356" s="1">
        <v>-0.0786781695089285</v>
      </c>
      <c r="K356" s="1" t="s">
        <v>61</v>
      </c>
      <c r="L356" s="1" t="s">
        <v>61</v>
      </c>
      <c r="M356" s="1" t="s">
        <v>62</v>
      </c>
      <c r="N356" s="1">
        <v>-104.0</v>
      </c>
      <c r="O356" s="1">
        <v>0.0152895802392156</v>
      </c>
      <c r="P356" s="1" t="s">
        <v>61</v>
      </c>
      <c r="Q356" s="1" t="s">
        <v>61</v>
      </c>
      <c r="R356" s="1">
        <f t="shared" si="1"/>
        <v>0.01528958024</v>
      </c>
      <c r="S356" s="1">
        <f t="shared" si="2"/>
        <v>-104</v>
      </c>
      <c r="T356" s="1">
        <f t="shared" si="3"/>
        <v>1.961538462</v>
      </c>
      <c r="U356" s="1">
        <f t="shared" si="4"/>
        <v>0</v>
      </c>
      <c r="V356" s="3">
        <f t="shared" si="5"/>
        <v>1</v>
      </c>
      <c r="W356" s="3">
        <f t="shared" si="6"/>
        <v>2</v>
      </c>
      <c r="X356" s="3" t="str">
        <f>IFERROR(__xludf.DUMMYFUNCTION("split(B356,"" "")"),"B.")</f>
        <v>B.</v>
      </c>
      <c r="Y356" s="3" t="str">
        <f>IFERROR(__xludf.DUMMYFUNCTION("""COMPUTED_VALUE"""),"Purdy")</f>
        <v>Purdy</v>
      </c>
      <c r="AA356" s="8">
        <v>26.0</v>
      </c>
      <c r="AB356" s="3">
        <f t="shared" si="7"/>
        <v>0</v>
      </c>
      <c r="AC356" s="3">
        <f t="shared" si="8"/>
        <v>1</v>
      </c>
      <c r="AD356" s="3">
        <f t="shared" si="9"/>
        <v>0.9615384615</v>
      </c>
      <c r="AE356" s="3">
        <f t="shared" si="10"/>
        <v>0.9615384615</v>
      </c>
      <c r="AF356" s="3">
        <f t="shared" si="11"/>
        <v>1.923076923</v>
      </c>
      <c r="AG356" s="3">
        <f t="shared" si="12"/>
        <v>0.1475409836</v>
      </c>
    </row>
    <row r="357">
      <c r="A357" s="1" t="s">
        <v>17</v>
      </c>
      <c r="B357" s="1" t="s">
        <v>262</v>
      </c>
      <c r="C357" s="1" t="s">
        <v>21</v>
      </c>
      <c r="D357" s="1" t="s">
        <v>164</v>
      </c>
      <c r="E357" s="1" t="s">
        <v>88</v>
      </c>
      <c r="F357" s="1" t="s">
        <v>651</v>
      </c>
      <c r="G357" s="1">
        <v>0.5</v>
      </c>
      <c r="H357" s="1" t="s">
        <v>60</v>
      </c>
      <c r="I357" s="1">
        <v>-114.0</v>
      </c>
      <c r="J357" s="1">
        <v>-0.0847102803738317</v>
      </c>
      <c r="K357" s="1" t="s">
        <v>61</v>
      </c>
      <c r="L357" s="1" t="s">
        <v>61</v>
      </c>
      <c r="M357" s="1" t="s">
        <v>62</v>
      </c>
      <c r="N357" s="1">
        <v>-116.0</v>
      </c>
      <c r="O357" s="1">
        <v>0.0149629629629629</v>
      </c>
      <c r="P357" s="1" t="s">
        <v>61</v>
      </c>
      <c r="Q357" s="1" t="s">
        <v>61</v>
      </c>
      <c r="R357" s="1">
        <f t="shared" si="1"/>
        <v>0.01496296296</v>
      </c>
      <c r="S357" s="1">
        <f t="shared" si="2"/>
        <v>-116</v>
      </c>
      <c r="T357" s="1">
        <f t="shared" si="3"/>
        <v>1.862068966</v>
      </c>
      <c r="U357" s="1">
        <f t="shared" si="4"/>
        <v>0</v>
      </c>
      <c r="V357" s="3">
        <f t="shared" si="5"/>
        <v>1</v>
      </c>
      <c r="W357" s="3">
        <f t="shared" si="6"/>
        <v>2</v>
      </c>
      <c r="X357" s="3" t="str">
        <f>IFERROR(__xludf.DUMMYFUNCTION("split(B357,"" "")"),"B.")</f>
        <v>B.</v>
      </c>
      <c r="Y357" s="3" t="str">
        <f>IFERROR(__xludf.DUMMYFUNCTION("""COMPUTED_VALUE"""),"Purdy")</f>
        <v>Purdy</v>
      </c>
      <c r="AA357" s="8">
        <v>0.0</v>
      </c>
      <c r="AB357" s="3">
        <f t="shared" si="7"/>
        <v>0</v>
      </c>
      <c r="AC357" s="3">
        <f t="shared" si="8"/>
        <v>1</v>
      </c>
      <c r="AD357" s="3">
        <f t="shared" si="9"/>
        <v>0.8620689655</v>
      </c>
      <c r="AE357" s="3">
        <f t="shared" si="10"/>
        <v>0.8620689655</v>
      </c>
      <c r="AF357" s="3">
        <f t="shared" si="11"/>
        <v>1.724137931</v>
      </c>
      <c r="AG357" s="3">
        <f t="shared" si="12"/>
        <v>1</v>
      </c>
    </row>
    <row r="358">
      <c r="A358" s="1" t="s">
        <v>14</v>
      </c>
      <c r="B358" s="1" t="s">
        <v>262</v>
      </c>
      <c r="C358" s="1" t="s">
        <v>21</v>
      </c>
      <c r="D358" s="1" t="s">
        <v>164</v>
      </c>
      <c r="E358" s="1" t="s">
        <v>88</v>
      </c>
      <c r="F358" s="1" t="s">
        <v>651</v>
      </c>
      <c r="G358" s="1">
        <v>1.5</v>
      </c>
      <c r="H358" s="1" t="s">
        <v>60</v>
      </c>
      <c r="I358" s="1">
        <v>-119.0</v>
      </c>
      <c r="J358" s="1">
        <v>-0.0757333333333332</v>
      </c>
      <c r="K358" s="1" t="s">
        <v>61</v>
      </c>
      <c r="L358" s="1" t="s">
        <v>61</v>
      </c>
      <c r="M358" s="1" t="s">
        <v>62</v>
      </c>
      <c r="N358" s="1">
        <v>-109.0</v>
      </c>
      <c r="O358" s="1">
        <v>0.0108167464114833</v>
      </c>
      <c r="P358" s="1" t="s">
        <v>61</v>
      </c>
      <c r="Q358" s="1" t="s">
        <v>61</v>
      </c>
      <c r="R358" s="1">
        <f t="shared" si="1"/>
        <v>0.01081674641</v>
      </c>
      <c r="S358" s="1">
        <f t="shared" si="2"/>
        <v>-109</v>
      </c>
      <c r="T358" s="1">
        <f t="shared" si="3"/>
        <v>1.917431193</v>
      </c>
      <c r="U358" s="1">
        <f t="shared" si="4"/>
        <v>0</v>
      </c>
      <c r="V358" s="3">
        <f t="shared" si="5"/>
        <v>1</v>
      </c>
      <c r="W358" s="3">
        <f t="shared" si="6"/>
        <v>2</v>
      </c>
      <c r="X358" s="3" t="str">
        <f>IFERROR(__xludf.DUMMYFUNCTION("split(B358,"" "")"),"B.")</f>
        <v>B.</v>
      </c>
      <c r="Y358" s="3" t="str">
        <f>IFERROR(__xludf.DUMMYFUNCTION("""COMPUTED_VALUE"""),"Purdy")</f>
        <v>Purdy</v>
      </c>
      <c r="AA358" s="8">
        <v>1.0</v>
      </c>
      <c r="AB358" s="3">
        <f t="shared" si="7"/>
        <v>0</v>
      </c>
      <c r="AC358" s="3">
        <f t="shared" si="8"/>
        <v>1</v>
      </c>
      <c r="AD358" s="3">
        <f t="shared" si="9"/>
        <v>0.9174311927</v>
      </c>
      <c r="AE358" s="3">
        <f t="shared" si="10"/>
        <v>0.9174311927</v>
      </c>
      <c r="AF358" s="3">
        <f t="shared" si="11"/>
        <v>1.834862385</v>
      </c>
      <c r="AG358" s="3">
        <f t="shared" si="12"/>
        <v>0.3333333333</v>
      </c>
    </row>
    <row r="359">
      <c r="A359" s="1" t="s">
        <v>13</v>
      </c>
      <c r="B359" s="1" t="s">
        <v>262</v>
      </c>
      <c r="C359" s="1" t="s">
        <v>21</v>
      </c>
      <c r="D359" s="1" t="s">
        <v>164</v>
      </c>
      <c r="E359" s="1" t="s">
        <v>88</v>
      </c>
      <c r="F359" s="1" t="s">
        <v>651</v>
      </c>
      <c r="G359" s="1">
        <v>239.5</v>
      </c>
      <c r="H359" s="1" t="s">
        <v>60</v>
      </c>
      <c r="I359" s="1">
        <v>-113.0</v>
      </c>
      <c r="J359" s="1">
        <v>0.00986525821596229</v>
      </c>
      <c r="K359" s="1" t="s">
        <v>61</v>
      </c>
      <c r="L359" s="1" t="s">
        <v>61</v>
      </c>
      <c r="M359" s="1" t="s">
        <v>62</v>
      </c>
      <c r="N359" s="1">
        <v>-114.0</v>
      </c>
      <c r="O359" s="1">
        <v>-0.073129906542056</v>
      </c>
      <c r="P359" s="1" t="s">
        <v>61</v>
      </c>
      <c r="Q359" s="1" t="s">
        <v>61</v>
      </c>
      <c r="R359" s="1">
        <f t="shared" si="1"/>
        <v>0.009865258216</v>
      </c>
      <c r="S359" s="1">
        <f t="shared" si="2"/>
        <v>-113</v>
      </c>
      <c r="T359" s="1">
        <f t="shared" si="3"/>
        <v>1.884955752</v>
      </c>
      <c r="U359" s="1">
        <f t="shared" si="4"/>
        <v>1</v>
      </c>
      <c r="V359" s="3">
        <f t="shared" si="5"/>
        <v>1</v>
      </c>
      <c r="W359" s="3">
        <f t="shared" si="6"/>
        <v>2</v>
      </c>
      <c r="X359" s="3" t="str">
        <f>IFERROR(__xludf.DUMMYFUNCTION("split(B359,"" "")"),"B.")</f>
        <v>B.</v>
      </c>
      <c r="Y359" s="3" t="str">
        <f>IFERROR(__xludf.DUMMYFUNCTION("""COMPUTED_VALUE"""),"Purdy")</f>
        <v>Purdy</v>
      </c>
      <c r="AA359" s="8">
        <v>260.0</v>
      </c>
      <c r="AB359" s="3">
        <f t="shared" si="7"/>
        <v>1</v>
      </c>
      <c r="AC359" s="3">
        <f t="shared" si="8"/>
        <v>1</v>
      </c>
      <c r="AD359" s="3">
        <f t="shared" si="9"/>
        <v>0.8849557522</v>
      </c>
      <c r="AE359" s="3">
        <f t="shared" si="10"/>
        <v>0.8849557522</v>
      </c>
      <c r="AF359" s="3">
        <f t="shared" si="11"/>
        <v>1.769911504</v>
      </c>
      <c r="AG359" s="3">
        <f t="shared" si="12"/>
        <v>0.08559498956</v>
      </c>
    </row>
    <row r="360">
      <c r="A360" s="1" t="s">
        <v>12</v>
      </c>
      <c r="B360" s="1" t="s">
        <v>497</v>
      </c>
      <c r="C360" s="1" t="s">
        <v>19</v>
      </c>
      <c r="D360" s="1" t="s">
        <v>164</v>
      </c>
      <c r="E360" s="1" t="s">
        <v>88</v>
      </c>
      <c r="F360" s="1" t="s">
        <v>651</v>
      </c>
      <c r="G360" s="1">
        <v>1.5</v>
      </c>
      <c r="H360" s="1" t="s">
        <v>60</v>
      </c>
      <c r="I360" s="1">
        <v>-106.0</v>
      </c>
      <c r="J360" s="1">
        <v>7.93650873786355E-4</v>
      </c>
      <c r="K360" s="1" t="s">
        <v>61</v>
      </c>
      <c r="L360" s="1" t="s">
        <v>61</v>
      </c>
      <c r="M360" s="1" t="s">
        <v>62</v>
      </c>
      <c r="N360" s="1">
        <v>-123.0</v>
      </c>
      <c r="O360" s="1">
        <v>-0.0669203733560537</v>
      </c>
      <c r="P360" s="1" t="s">
        <v>61</v>
      </c>
      <c r="Q360" s="1" t="s">
        <v>61</v>
      </c>
      <c r="R360" s="1">
        <f t="shared" si="1"/>
        <v>0.0007936508738</v>
      </c>
      <c r="S360" s="1">
        <f t="shared" si="2"/>
        <v>-106</v>
      </c>
      <c r="T360" s="1">
        <f t="shared" si="3"/>
        <v>1.943396226</v>
      </c>
      <c r="U360" s="1">
        <f t="shared" si="4"/>
        <v>1</v>
      </c>
      <c r="V360" s="3">
        <f t="shared" si="5"/>
        <v>1</v>
      </c>
      <c r="W360" s="3">
        <f t="shared" si="6"/>
        <v>2</v>
      </c>
      <c r="X360" s="3" t="str">
        <f>IFERROR(__xludf.DUMMYFUNCTION("split(B360,"" "")"),"J.")</f>
        <v>J.</v>
      </c>
      <c r="Y360" s="3" t="str">
        <f>IFERROR(__xludf.DUMMYFUNCTION("""COMPUTED_VALUE"""),"Mason")</f>
        <v>Mason</v>
      </c>
      <c r="AA360" s="8">
        <v>0.0</v>
      </c>
      <c r="AB360" s="3">
        <f t="shared" si="7"/>
        <v>0</v>
      </c>
      <c r="AC360" s="3">
        <f t="shared" si="8"/>
        <v>0</v>
      </c>
      <c r="AD360" s="3">
        <f t="shared" si="9"/>
        <v>0.9433962264</v>
      </c>
      <c r="AE360" s="3">
        <f t="shared" si="10"/>
        <v>-1</v>
      </c>
      <c r="AF360" s="3">
        <f t="shared" si="11"/>
        <v>-2</v>
      </c>
      <c r="AG360" s="3">
        <f t="shared" si="12"/>
        <v>-1</v>
      </c>
    </row>
    <row r="361">
      <c r="A361" s="1" t="s">
        <v>12</v>
      </c>
      <c r="B361" s="1" t="s">
        <v>656</v>
      </c>
      <c r="C361" s="1" t="s">
        <v>19</v>
      </c>
      <c r="D361" s="1" t="s">
        <v>113</v>
      </c>
      <c r="E361" s="1" t="s">
        <v>109</v>
      </c>
      <c r="F361" s="1" t="s">
        <v>647</v>
      </c>
      <c r="G361" s="1">
        <v>1.5</v>
      </c>
      <c r="H361" s="1" t="s">
        <v>60</v>
      </c>
      <c r="I361" s="1">
        <v>-166.0</v>
      </c>
      <c r="J361" s="1">
        <v>-0.331815540571428</v>
      </c>
      <c r="K361" s="1" t="s">
        <v>61</v>
      </c>
      <c r="L361" s="1" t="s">
        <v>61</v>
      </c>
      <c r="M361" s="1" t="s">
        <v>62</v>
      </c>
      <c r="N361" s="1">
        <v>127.0</v>
      </c>
      <c r="O361" s="1">
        <v>0.267219091594713</v>
      </c>
      <c r="P361" s="1" t="s">
        <v>61</v>
      </c>
      <c r="Q361" s="1" t="s">
        <v>61</v>
      </c>
      <c r="R361" s="1">
        <f t="shared" si="1"/>
        <v>0.2672190916</v>
      </c>
      <c r="S361" s="1">
        <f t="shared" si="2"/>
        <v>127</v>
      </c>
      <c r="T361" s="1">
        <f t="shared" si="3"/>
        <v>2.27</v>
      </c>
      <c r="U361" s="1">
        <f t="shared" si="4"/>
        <v>0</v>
      </c>
      <c r="V361" s="3">
        <f t="shared" si="5"/>
        <v>3</v>
      </c>
      <c r="W361" s="3">
        <f t="shared" si="6"/>
        <v>1</v>
      </c>
      <c r="X361" s="3" t="str">
        <f>IFERROR(__xludf.DUMMYFUNCTION("split(B361,"" "")"),"S.")</f>
        <v>S.</v>
      </c>
      <c r="Y361" s="3" t="str">
        <f>IFERROR(__xludf.DUMMYFUNCTION("""COMPUTED_VALUE"""),"Tucker")</f>
        <v>Tucker</v>
      </c>
      <c r="AA361" s="8">
        <v>1.0</v>
      </c>
      <c r="AB361" s="3">
        <f t="shared" si="7"/>
        <v>0</v>
      </c>
      <c r="AC361" s="3">
        <f t="shared" si="8"/>
        <v>1</v>
      </c>
      <c r="AD361" s="3">
        <f t="shared" si="9"/>
        <v>3.81</v>
      </c>
      <c r="AE361" s="3">
        <f t="shared" si="10"/>
        <v>3.81</v>
      </c>
      <c r="AF361" s="3">
        <f t="shared" si="11"/>
        <v>1.27</v>
      </c>
      <c r="AG361" s="3">
        <f t="shared" si="12"/>
        <v>0.3333333333</v>
      </c>
    </row>
    <row r="362">
      <c r="A362" s="1" t="s">
        <v>8</v>
      </c>
      <c r="B362" s="1" t="s">
        <v>656</v>
      </c>
      <c r="C362" s="1" t="s">
        <v>19</v>
      </c>
      <c r="D362" s="1" t="s">
        <v>113</v>
      </c>
      <c r="E362" s="1" t="s">
        <v>109</v>
      </c>
      <c r="F362" s="1" t="s">
        <v>647</v>
      </c>
      <c r="G362" s="1">
        <v>8.5</v>
      </c>
      <c r="H362" s="1" t="s">
        <v>60</v>
      </c>
      <c r="I362" s="1">
        <v>105.0</v>
      </c>
      <c r="J362" s="1">
        <v>-0.304245668736785</v>
      </c>
      <c r="K362" s="1" t="s">
        <v>61</v>
      </c>
      <c r="L362" s="1" t="s">
        <v>61</v>
      </c>
      <c r="M362" s="1" t="s">
        <v>62</v>
      </c>
      <c r="N362" s="1">
        <v>-140.0</v>
      </c>
      <c r="O362" s="1">
        <v>0.233113122728005</v>
      </c>
      <c r="P362" s="1" t="s">
        <v>61</v>
      </c>
      <c r="Q362" s="1" t="s">
        <v>61</v>
      </c>
      <c r="R362" s="1">
        <f t="shared" si="1"/>
        <v>0.2331131227</v>
      </c>
      <c r="S362" s="1">
        <f t="shared" si="2"/>
        <v>-140</v>
      </c>
      <c r="T362" s="1">
        <f t="shared" si="3"/>
        <v>1.714285714</v>
      </c>
      <c r="U362" s="1">
        <f t="shared" si="4"/>
        <v>0</v>
      </c>
      <c r="V362" s="3">
        <f t="shared" si="5"/>
        <v>3</v>
      </c>
      <c r="W362" s="3">
        <f t="shared" si="6"/>
        <v>3</v>
      </c>
      <c r="X362" s="3" t="str">
        <f>IFERROR(__xludf.DUMMYFUNCTION("split(B362,"" "")"),"S.")</f>
        <v>S.</v>
      </c>
      <c r="Y362" s="3" t="str">
        <f>IFERROR(__xludf.DUMMYFUNCTION("""COMPUTED_VALUE"""),"Tucker")</f>
        <v>Tucker</v>
      </c>
      <c r="AA362" s="8">
        <v>2.0</v>
      </c>
      <c r="AB362" s="3">
        <f t="shared" si="7"/>
        <v>0</v>
      </c>
      <c r="AC362" s="3">
        <f t="shared" si="8"/>
        <v>1</v>
      </c>
      <c r="AD362" s="3">
        <f t="shared" si="9"/>
        <v>2.142857143</v>
      </c>
      <c r="AE362" s="3">
        <f t="shared" si="10"/>
        <v>2.142857143</v>
      </c>
      <c r="AF362" s="3">
        <f t="shared" si="11"/>
        <v>2.142857143</v>
      </c>
      <c r="AG362" s="3">
        <f t="shared" si="12"/>
        <v>0.7647058824</v>
      </c>
    </row>
    <row r="363">
      <c r="A363" s="1" t="s">
        <v>8</v>
      </c>
      <c r="B363" s="1" t="s">
        <v>417</v>
      </c>
      <c r="C363" s="1" t="s">
        <v>19</v>
      </c>
      <c r="D363" s="1" t="s">
        <v>113</v>
      </c>
      <c r="E363" s="1" t="s">
        <v>109</v>
      </c>
      <c r="F363" s="1" t="s">
        <v>647</v>
      </c>
      <c r="G363" s="1">
        <v>12.5</v>
      </c>
      <c r="H363" s="1" t="s">
        <v>60</v>
      </c>
      <c r="I363" s="1">
        <v>-112.0</v>
      </c>
      <c r="J363" s="1">
        <v>-0.262896125495141</v>
      </c>
      <c r="K363" s="1" t="s">
        <v>61</v>
      </c>
      <c r="L363" s="1" t="s">
        <v>61</v>
      </c>
      <c r="M363" s="1" t="s">
        <v>62</v>
      </c>
      <c r="N363" s="1">
        <v>-118.0</v>
      </c>
      <c r="O363" s="1">
        <v>0.193323737403048</v>
      </c>
      <c r="P363" s="1" t="s">
        <v>61</v>
      </c>
      <c r="Q363" s="1" t="s">
        <v>61</v>
      </c>
      <c r="R363" s="1">
        <f t="shared" si="1"/>
        <v>0.1933237374</v>
      </c>
      <c r="S363" s="1">
        <f t="shared" si="2"/>
        <v>-118</v>
      </c>
      <c r="T363" s="1">
        <f t="shared" si="3"/>
        <v>1.847457627</v>
      </c>
      <c r="U363" s="1">
        <f t="shared" si="4"/>
        <v>0</v>
      </c>
      <c r="V363" s="3">
        <f t="shared" si="5"/>
        <v>3</v>
      </c>
      <c r="W363" s="3">
        <f t="shared" si="6"/>
        <v>3</v>
      </c>
      <c r="X363" s="3" t="str">
        <f>IFERROR(__xludf.DUMMYFUNCTION("split(B363,"" "")"),"R.")</f>
        <v>R.</v>
      </c>
      <c r="Y363" s="3" t="str">
        <f>IFERROR(__xludf.DUMMYFUNCTION("""COMPUTED_VALUE"""),"White")</f>
        <v>White</v>
      </c>
      <c r="AA363" s="8">
        <v>6.0</v>
      </c>
      <c r="AB363" s="3">
        <f t="shared" si="7"/>
        <v>0</v>
      </c>
      <c r="AC363" s="3">
        <f t="shared" si="8"/>
        <v>1</v>
      </c>
      <c r="AD363" s="3">
        <f t="shared" si="9"/>
        <v>2.542372881</v>
      </c>
      <c r="AE363" s="3">
        <f t="shared" si="10"/>
        <v>2.542372881</v>
      </c>
      <c r="AF363" s="3">
        <f t="shared" si="11"/>
        <v>2.542372881</v>
      </c>
      <c r="AG363" s="3">
        <f t="shared" si="12"/>
        <v>0.52</v>
      </c>
    </row>
    <row r="364">
      <c r="A364" s="1" t="s">
        <v>8</v>
      </c>
      <c r="B364" s="1" t="s">
        <v>253</v>
      </c>
      <c r="C364" s="1" t="s">
        <v>21</v>
      </c>
      <c r="D364" s="1" t="s">
        <v>113</v>
      </c>
      <c r="E364" s="1" t="s">
        <v>109</v>
      </c>
      <c r="F364" s="1" t="s">
        <v>647</v>
      </c>
      <c r="G364" s="1">
        <v>3.5</v>
      </c>
      <c r="H364" s="1" t="s">
        <v>60</v>
      </c>
      <c r="I364" s="1">
        <v>-130.0</v>
      </c>
      <c r="J364" s="1">
        <v>-0.240712458965546</v>
      </c>
      <c r="K364" s="1" t="s">
        <v>61</v>
      </c>
      <c r="L364" s="1" t="s">
        <v>61</v>
      </c>
      <c r="M364" s="1" t="s">
        <v>62</v>
      </c>
      <c r="N364" s="1">
        <v>100.0</v>
      </c>
      <c r="O364" s="1">
        <v>0.175494327810378</v>
      </c>
      <c r="P364" s="1" t="s">
        <v>61</v>
      </c>
      <c r="Q364" s="1" t="s">
        <v>61</v>
      </c>
      <c r="R364" s="1">
        <f t="shared" si="1"/>
        <v>0.1754943278</v>
      </c>
      <c r="S364" s="1">
        <f t="shared" si="2"/>
        <v>100</v>
      </c>
      <c r="T364" s="1">
        <f t="shared" si="3"/>
        <v>2</v>
      </c>
      <c r="U364" s="1">
        <f t="shared" si="4"/>
        <v>0</v>
      </c>
      <c r="V364" s="3">
        <f t="shared" si="5"/>
        <v>3</v>
      </c>
      <c r="W364" s="3">
        <f t="shared" si="6"/>
        <v>2</v>
      </c>
      <c r="X364" s="3" t="str">
        <f>IFERROR(__xludf.DUMMYFUNCTION("split(B364,"" "")"),"B.")</f>
        <v>B.</v>
      </c>
      <c r="Y364" s="3" t="str">
        <f>IFERROR(__xludf.DUMMYFUNCTION("""COMPUTED_VALUE"""),"Mayfield")</f>
        <v>Mayfield</v>
      </c>
      <c r="AA364" s="8">
        <v>3.0</v>
      </c>
      <c r="AB364" s="3">
        <f t="shared" si="7"/>
        <v>0</v>
      </c>
      <c r="AC364" s="3">
        <f t="shared" si="8"/>
        <v>1</v>
      </c>
      <c r="AD364" s="3">
        <f t="shared" si="9"/>
        <v>3</v>
      </c>
      <c r="AE364" s="3">
        <f t="shared" si="10"/>
        <v>3</v>
      </c>
      <c r="AF364" s="3">
        <f t="shared" si="11"/>
        <v>2</v>
      </c>
      <c r="AG364" s="3">
        <f t="shared" si="12"/>
        <v>0.1428571429</v>
      </c>
    </row>
    <row r="365">
      <c r="A365" s="1" t="s">
        <v>10</v>
      </c>
      <c r="B365" s="1" t="s">
        <v>656</v>
      </c>
      <c r="C365" s="1" t="s">
        <v>19</v>
      </c>
      <c r="D365" s="1" t="s">
        <v>113</v>
      </c>
      <c r="E365" s="1" t="s">
        <v>109</v>
      </c>
      <c r="F365" s="1" t="s">
        <v>647</v>
      </c>
      <c r="G365" s="1">
        <v>38.5</v>
      </c>
      <c r="H365" s="1" t="s">
        <v>60</v>
      </c>
      <c r="I365" s="1">
        <v>-113.0</v>
      </c>
      <c r="J365" s="1">
        <v>-0.216308743451656</v>
      </c>
      <c r="K365" s="1" t="s">
        <v>61</v>
      </c>
      <c r="L365" s="1" t="s">
        <v>61</v>
      </c>
      <c r="M365" s="1" t="s">
        <v>62</v>
      </c>
      <c r="N365" s="1">
        <v>-117.0</v>
      </c>
      <c r="O365" s="1">
        <v>0.146620663389803</v>
      </c>
      <c r="P365" s="1" t="s">
        <v>61</v>
      </c>
      <c r="Q365" s="1" t="s">
        <v>61</v>
      </c>
      <c r="R365" s="1">
        <f t="shared" si="1"/>
        <v>0.1466206634</v>
      </c>
      <c r="S365" s="1">
        <f t="shared" si="2"/>
        <v>-117</v>
      </c>
      <c r="T365" s="1">
        <f t="shared" si="3"/>
        <v>1.854700855</v>
      </c>
      <c r="U365" s="1">
        <f t="shared" si="4"/>
        <v>0</v>
      </c>
      <c r="V365" s="3">
        <f t="shared" si="5"/>
        <v>3</v>
      </c>
      <c r="W365" s="3">
        <f t="shared" si="6"/>
        <v>2</v>
      </c>
      <c r="X365" s="3" t="str">
        <f>IFERROR(__xludf.DUMMYFUNCTION("split(B365,"" "")"),"S.")</f>
        <v>S.</v>
      </c>
      <c r="Y365" s="3" t="str">
        <f>IFERROR(__xludf.DUMMYFUNCTION("""COMPUTED_VALUE"""),"Tucker")</f>
        <v>Tucker</v>
      </c>
      <c r="AA365" s="8">
        <v>3.0</v>
      </c>
      <c r="AB365" s="3">
        <f t="shared" si="7"/>
        <v>0</v>
      </c>
      <c r="AC365" s="3">
        <f t="shared" si="8"/>
        <v>1</v>
      </c>
      <c r="AD365" s="3">
        <f t="shared" si="9"/>
        <v>2.564102564</v>
      </c>
      <c r="AE365" s="3">
        <f t="shared" si="10"/>
        <v>2.564102564</v>
      </c>
      <c r="AF365" s="3">
        <f t="shared" si="11"/>
        <v>1.709401709</v>
      </c>
      <c r="AG365" s="3">
        <f t="shared" si="12"/>
        <v>0.9220779221</v>
      </c>
    </row>
    <row r="366">
      <c r="A366" s="1" t="s">
        <v>15</v>
      </c>
      <c r="B366" s="1" t="s">
        <v>253</v>
      </c>
      <c r="C366" s="1" t="s">
        <v>21</v>
      </c>
      <c r="D366" s="1" t="s">
        <v>113</v>
      </c>
      <c r="E366" s="1" t="s">
        <v>109</v>
      </c>
      <c r="F366" s="1" t="s">
        <v>647</v>
      </c>
      <c r="G366" s="1">
        <v>21.5</v>
      </c>
      <c r="H366" s="1" t="s">
        <v>60</v>
      </c>
      <c r="I366" s="1">
        <v>-106.0</v>
      </c>
      <c r="J366" s="1">
        <v>0.0818398058252426</v>
      </c>
      <c r="K366" s="1" t="s">
        <v>61</v>
      </c>
      <c r="L366" s="1" t="s">
        <v>61</v>
      </c>
      <c r="M366" s="1" t="s">
        <v>62</v>
      </c>
      <c r="N366" s="1">
        <v>-124.0</v>
      </c>
      <c r="O366" s="1">
        <v>-0.149960714285714</v>
      </c>
      <c r="P366" s="1" t="s">
        <v>61</v>
      </c>
      <c r="Q366" s="1" t="s">
        <v>61</v>
      </c>
      <c r="R366" s="1">
        <f t="shared" si="1"/>
        <v>0.08183980583</v>
      </c>
      <c r="S366" s="1">
        <f t="shared" si="2"/>
        <v>-106</v>
      </c>
      <c r="T366" s="1">
        <f t="shared" si="3"/>
        <v>1.943396226</v>
      </c>
      <c r="U366" s="1">
        <f t="shared" si="4"/>
        <v>1</v>
      </c>
      <c r="V366" s="3">
        <f t="shared" si="5"/>
        <v>2</v>
      </c>
      <c r="W366" s="3">
        <f t="shared" si="6"/>
        <v>2</v>
      </c>
      <c r="X366" s="3" t="str">
        <f>IFERROR(__xludf.DUMMYFUNCTION("split(B366,"" "")"),"B.")</f>
        <v>B.</v>
      </c>
      <c r="Y366" s="3" t="str">
        <f>IFERROR(__xludf.DUMMYFUNCTION("""COMPUTED_VALUE"""),"Mayfield")</f>
        <v>Mayfield</v>
      </c>
      <c r="AA366" s="8">
        <v>37.0</v>
      </c>
      <c r="AB366" s="3">
        <f t="shared" si="7"/>
        <v>1</v>
      </c>
      <c r="AC366" s="3">
        <f t="shared" si="8"/>
        <v>1</v>
      </c>
      <c r="AD366" s="3">
        <f t="shared" si="9"/>
        <v>1.886792453</v>
      </c>
      <c r="AE366" s="3">
        <f t="shared" si="10"/>
        <v>1.886792453</v>
      </c>
      <c r="AF366" s="3">
        <f t="shared" si="11"/>
        <v>1.886792453</v>
      </c>
      <c r="AG366" s="3">
        <f t="shared" si="12"/>
        <v>0.7209302326</v>
      </c>
    </row>
    <row r="367">
      <c r="A367" s="1" t="s">
        <v>17</v>
      </c>
      <c r="B367" s="1" t="s">
        <v>253</v>
      </c>
      <c r="C367" s="1" t="s">
        <v>21</v>
      </c>
      <c r="D367" s="1" t="s">
        <v>113</v>
      </c>
      <c r="E367" s="1" t="s">
        <v>109</v>
      </c>
      <c r="F367" s="1" t="s">
        <v>647</v>
      </c>
      <c r="G367" s="1">
        <v>0.5</v>
      </c>
      <c r="H367" s="1" t="s">
        <v>60</v>
      </c>
      <c r="I367" s="1">
        <v>-149.0</v>
      </c>
      <c r="J367" s="1">
        <v>-0.139753413654618</v>
      </c>
      <c r="K367" s="1" t="s">
        <v>61</v>
      </c>
      <c r="L367" s="1" t="s">
        <v>61</v>
      </c>
      <c r="M367" s="1" t="s">
        <v>62</v>
      </c>
      <c r="N367" s="1">
        <v>115.0</v>
      </c>
      <c r="O367" s="1">
        <v>0.0762372093023254</v>
      </c>
      <c r="P367" s="1" t="s">
        <v>61</v>
      </c>
      <c r="Q367" s="1" t="s">
        <v>61</v>
      </c>
      <c r="R367" s="1">
        <f t="shared" si="1"/>
        <v>0.0762372093</v>
      </c>
      <c r="S367" s="1">
        <f t="shared" si="2"/>
        <v>115</v>
      </c>
      <c r="T367" s="1">
        <f t="shared" si="3"/>
        <v>2.15</v>
      </c>
      <c r="U367" s="1">
        <f t="shared" si="4"/>
        <v>0</v>
      </c>
      <c r="V367" s="3">
        <f t="shared" si="5"/>
        <v>2</v>
      </c>
      <c r="W367" s="3">
        <f t="shared" si="6"/>
        <v>1</v>
      </c>
      <c r="X367" s="3" t="str">
        <f>IFERROR(__xludf.DUMMYFUNCTION("split(B367,"" "")"),"B.")</f>
        <v>B.</v>
      </c>
      <c r="Y367" s="3" t="str">
        <f>IFERROR(__xludf.DUMMYFUNCTION("""COMPUTED_VALUE"""),"Mayfield")</f>
        <v>Mayfield</v>
      </c>
      <c r="AA367" s="8">
        <v>2.0</v>
      </c>
      <c r="AB367" s="3">
        <f t="shared" si="7"/>
        <v>1</v>
      </c>
      <c r="AC367" s="3">
        <f t="shared" si="8"/>
        <v>0</v>
      </c>
      <c r="AD367" s="3">
        <f t="shared" si="9"/>
        <v>2.3</v>
      </c>
      <c r="AE367" s="3">
        <f t="shared" si="10"/>
        <v>-2</v>
      </c>
      <c r="AF367" s="3">
        <f t="shared" si="11"/>
        <v>-1</v>
      </c>
      <c r="AG367" s="3">
        <f t="shared" si="12"/>
        <v>-3</v>
      </c>
    </row>
    <row r="368">
      <c r="A368" s="1" t="s">
        <v>10</v>
      </c>
      <c r="B368" s="1" t="s">
        <v>417</v>
      </c>
      <c r="C368" s="1" t="s">
        <v>19</v>
      </c>
      <c r="D368" s="1" t="s">
        <v>113</v>
      </c>
      <c r="E368" s="1" t="s">
        <v>109</v>
      </c>
      <c r="F368" s="1" t="s">
        <v>647</v>
      </c>
      <c r="G368" s="1">
        <v>42.5</v>
      </c>
      <c r="H368" s="1" t="s">
        <v>60</v>
      </c>
      <c r="I368" s="1">
        <v>-112.0</v>
      </c>
      <c r="J368" s="1">
        <v>-0.138557260427905</v>
      </c>
      <c r="K368" s="1" t="s">
        <v>61</v>
      </c>
      <c r="L368" s="1" t="s">
        <v>61</v>
      </c>
      <c r="M368" s="1" t="s">
        <v>62</v>
      </c>
      <c r="N368" s="1">
        <v>-116.0</v>
      </c>
      <c r="O368" s="1">
        <v>0.0732806519846598</v>
      </c>
      <c r="P368" s="1" t="s">
        <v>61</v>
      </c>
      <c r="Q368" s="1" t="s">
        <v>61</v>
      </c>
      <c r="R368" s="1">
        <f t="shared" si="1"/>
        <v>0.07328065198</v>
      </c>
      <c r="S368" s="1">
        <f t="shared" si="2"/>
        <v>-116</v>
      </c>
      <c r="T368" s="1">
        <f t="shared" si="3"/>
        <v>1.862068966</v>
      </c>
      <c r="U368" s="1">
        <f t="shared" si="4"/>
        <v>0</v>
      </c>
      <c r="V368" s="3">
        <f t="shared" si="5"/>
        <v>2</v>
      </c>
      <c r="W368" s="3">
        <f t="shared" si="6"/>
        <v>2</v>
      </c>
      <c r="X368" s="3" t="str">
        <f>IFERROR(__xludf.DUMMYFUNCTION("split(B368,"" "")"),"R.")</f>
        <v>R.</v>
      </c>
      <c r="Y368" s="3" t="str">
        <f>IFERROR(__xludf.DUMMYFUNCTION("""COMPUTED_VALUE"""),"White")</f>
        <v>White</v>
      </c>
      <c r="AA368" s="8">
        <v>29.0</v>
      </c>
      <c r="AB368" s="3">
        <f t="shared" si="7"/>
        <v>0</v>
      </c>
      <c r="AC368" s="3">
        <f t="shared" si="8"/>
        <v>1</v>
      </c>
      <c r="AD368" s="3">
        <f t="shared" si="9"/>
        <v>1.724137931</v>
      </c>
      <c r="AE368" s="3">
        <f t="shared" si="10"/>
        <v>1.724137931</v>
      </c>
      <c r="AF368" s="3">
        <f t="shared" si="11"/>
        <v>1.724137931</v>
      </c>
      <c r="AG368" s="3">
        <f t="shared" si="12"/>
        <v>0.3176470588</v>
      </c>
    </row>
    <row r="369">
      <c r="A369" s="1" t="s">
        <v>9</v>
      </c>
      <c r="B369" s="1" t="s">
        <v>656</v>
      </c>
      <c r="C369" s="1" t="s">
        <v>19</v>
      </c>
      <c r="D369" s="1" t="s">
        <v>113</v>
      </c>
      <c r="E369" s="1" t="s">
        <v>109</v>
      </c>
      <c r="F369" s="1" t="s">
        <v>647</v>
      </c>
      <c r="G369" s="1">
        <v>53.5</v>
      </c>
      <c r="H369" s="1" t="s">
        <v>60</v>
      </c>
      <c r="I369" s="1">
        <v>-114.0</v>
      </c>
      <c r="J369" s="1">
        <v>-0.143348626001162</v>
      </c>
      <c r="K369" s="1" t="s">
        <v>61</v>
      </c>
      <c r="L369" s="1" t="s">
        <v>61</v>
      </c>
      <c r="M369" s="1" t="s">
        <v>62</v>
      </c>
      <c r="N369" s="1">
        <v>-118.0</v>
      </c>
      <c r="O369" s="1">
        <v>0.0692966744853835</v>
      </c>
      <c r="P369" s="1" t="s">
        <v>61</v>
      </c>
      <c r="Q369" s="1" t="s">
        <v>61</v>
      </c>
      <c r="R369" s="1">
        <f t="shared" si="1"/>
        <v>0.06929667449</v>
      </c>
      <c r="S369" s="1">
        <f t="shared" si="2"/>
        <v>-118</v>
      </c>
      <c r="T369" s="1">
        <f t="shared" si="3"/>
        <v>1.847457627</v>
      </c>
      <c r="U369" s="1">
        <f t="shared" si="4"/>
        <v>0</v>
      </c>
      <c r="V369" s="3">
        <f t="shared" si="5"/>
        <v>2</v>
      </c>
      <c r="W369" s="3">
        <f t="shared" si="6"/>
        <v>3</v>
      </c>
      <c r="X369" s="3" t="str">
        <f>IFERROR(__xludf.DUMMYFUNCTION("split(B369,"" "")"),"S.")</f>
        <v>S.</v>
      </c>
      <c r="Y369" s="3" t="str">
        <f>IFERROR(__xludf.DUMMYFUNCTION("""COMPUTED_VALUE"""),"Tucker")</f>
        <v>Tucker</v>
      </c>
      <c r="AA369" s="8">
        <v>15.0</v>
      </c>
      <c r="AB369" s="3">
        <f t="shared" si="7"/>
        <v>0</v>
      </c>
      <c r="AC369" s="3">
        <f t="shared" si="8"/>
        <v>1</v>
      </c>
      <c r="AD369" s="3">
        <f t="shared" si="9"/>
        <v>1.694915254</v>
      </c>
      <c r="AE369" s="3">
        <f t="shared" si="10"/>
        <v>1.694915254</v>
      </c>
      <c r="AF369" s="3">
        <f t="shared" si="11"/>
        <v>2.542372881</v>
      </c>
      <c r="AG369" s="3">
        <f t="shared" si="12"/>
        <v>0.7196261682</v>
      </c>
    </row>
    <row r="370">
      <c r="A370" s="1" t="s">
        <v>10</v>
      </c>
      <c r="B370" s="1" t="s">
        <v>253</v>
      </c>
      <c r="C370" s="1" t="s">
        <v>21</v>
      </c>
      <c r="D370" s="1" t="s">
        <v>113</v>
      </c>
      <c r="E370" s="1" t="s">
        <v>109</v>
      </c>
      <c r="F370" s="1" t="s">
        <v>647</v>
      </c>
      <c r="G370" s="1">
        <v>17.5</v>
      </c>
      <c r="H370" s="1" t="s">
        <v>60</v>
      </c>
      <c r="I370" s="1">
        <v>-119.0</v>
      </c>
      <c r="J370" s="1">
        <v>-0.132667203360725</v>
      </c>
      <c r="K370" s="1" t="s">
        <v>61</v>
      </c>
      <c r="L370" s="1" t="s">
        <v>61</v>
      </c>
      <c r="M370" s="1" t="s">
        <v>62</v>
      </c>
      <c r="N370" s="1">
        <v>-110.0</v>
      </c>
      <c r="O370" s="1">
        <v>0.0654769489980899</v>
      </c>
      <c r="P370" s="1" t="s">
        <v>61</v>
      </c>
      <c r="Q370" s="1" t="s">
        <v>61</v>
      </c>
      <c r="R370" s="1">
        <f t="shared" si="1"/>
        <v>0.065476949</v>
      </c>
      <c r="S370" s="1">
        <f t="shared" si="2"/>
        <v>-110</v>
      </c>
      <c r="T370" s="1">
        <f t="shared" si="3"/>
        <v>1.909090909</v>
      </c>
      <c r="U370" s="1">
        <f t="shared" si="4"/>
        <v>0</v>
      </c>
      <c r="V370" s="3">
        <f t="shared" si="5"/>
        <v>2</v>
      </c>
      <c r="W370" s="3">
        <f t="shared" si="6"/>
        <v>2</v>
      </c>
      <c r="X370" s="3" t="str">
        <f>IFERROR(__xludf.DUMMYFUNCTION("split(B370,"" "")"),"B.")</f>
        <v>B.</v>
      </c>
      <c r="Y370" s="3" t="str">
        <f>IFERROR(__xludf.DUMMYFUNCTION("""COMPUTED_VALUE"""),"Mayfield")</f>
        <v>Mayfield</v>
      </c>
      <c r="AA370" s="8">
        <v>11.0</v>
      </c>
      <c r="AB370" s="3">
        <f t="shared" si="7"/>
        <v>0</v>
      </c>
      <c r="AC370" s="3">
        <f t="shared" si="8"/>
        <v>1</v>
      </c>
      <c r="AD370" s="3">
        <f t="shared" si="9"/>
        <v>1.818181818</v>
      </c>
      <c r="AE370" s="3">
        <f t="shared" si="10"/>
        <v>1.818181818</v>
      </c>
      <c r="AF370" s="3">
        <f t="shared" si="11"/>
        <v>1.818181818</v>
      </c>
      <c r="AG370" s="3">
        <f t="shared" si="12"/>
        <v>0.3714285714</v>
      </c>
    </row>
    <row r="371">
      <c r="A371" s="1" t="s">
        <v>14</v>
      </c>
      <c r="B371" s="1" t="s">
        <v>253</v>
      </c>
      <c r="C371" s="1" t="s">
        <v>21</v>
      </c>
      <c r="D371" s="1" t="s">
        <v>113</v>
      </c>
      <c r="E371" s="1" t="s">
        <v>109</v>
      </c>
      <c r="F371" s="1" t="s">
        <v>647</v>
      </c>
      <c r="G371" s="1">
        <v>1.5</v>
      </c>
      <c r="H371" s="1" t="s">
        <v>60</v>
      </c>
      <c r="I371" s="1">
        <v>131.0</v>
      </c>
      <c r="J371" s="1">
        <v>0.0543428571428571</v>
      </c>
      <c r="K371" s="1" t="s">
        <v>61</v>
      </c>
      <c r="L371" s="1" t="s">
        <v>61</v>
      </c>
      <c r="M371" s="1" t="s">
        <v>62</v>
      </c>
      <c r="N371" s="1">
        <v>-170.0</v>
      </c>
      <c r="O371" s="1">
        <v>-0.116866666666666</v>
      </c>
      <c r="P371" s="1" t="s">
        <v>61</v>
      </c>
      <c r="Q371" s="1" t="s">
        <v>61</v>
      </c>
      <c r="R371" s="1">
        <f t="shared" si="1"/>
        <v>0.05434285714</v>
      </c>
      <c r="S371" s="1">
        <f t="shared" si="2"/>
        <v>131</v>
      </c>
      <c r="T371" s="1">
        <f t="shared" si="3"/>
        <v>2.31</v>
      </c>
      <c r="U371" s="1">
        <f t="shared" si="4"/>
        <v>1</v>
      </c>
      <c r="V371" s="3">
        <f t="shared" si="5"/>
        <v>2</v>
      </c>
      <c r="W371" s="3">
        <f t="shared" si="6"/>
        <v>1</v>
      </c>
      <c r="X371" s="3" t="str">
        <f>IFERROR(__xludf.DUMMYFUNCTION("split(B371,"" "")"),"B.")</f>
        <v>B.</v>
      </c>
      <c r="Y371" s="3" t="str">
        <f>IFERROR(__xludf.DUMMYFUNCTION("""COMPUTED_VALUE"""),"Mayfield")</f>
        <v>Mayfield</v>
      </c>
      <c r="AA371" s="8">
        <v>3.0</v>
      </c>
      <c r="AB371" s="3">
        <f t="shared" si="7"/>
        <v>1</v>
      </c>
      <c r="AC371" s="3">
        <f t="shared" si="8"/>
        <v>1</v>
      </c>
      <c r="AD371" s="3">
        <f t="shared" si="9"/>
        <v>2.62</v>
      </c>
      <c r="AE371" s="3">
        <f t="shared" si="10"/>
        <v>2.62</v>
      </c>
      <c r="AF371" s="3">
        <f t="shared" si="11"/>
        <v>1.31</v>
      </c>
      <c r="AG371" s="3">
        <f t="shared" si="12"/>
        <v>1</v>
      </c>
    </row>
    <row r="372">
      <c r="A372" s="1" t="s">
        <v>9</v>
      </c>
      <c r="B372" s="1" t="s">
        <v>417</v>
      </c>
      <c r="C372" s="1" t="s">
        <v>19</v>
      </c>
      <c r="D372" s="1" t="s">
        <v>113</v>
      </c>
      <c r="E372" s="1" t="s">
        <v>109</v>
      </c>
      <c r="F372" s="1" t="s">
        <v>647</v>
      </c>
      <c r="G372" s="1">
        <v>67.5</v>
      </c>
      <c r="H372" s="1" t="s">
        <v>60</v>
      </c>
      <c r="I372" s="1">
        <v>-113.0</v>
      </c>
      <c r="J372" s="1">
        <v>-0.109997978863236</v>
      </c>
      <c r="K372" s="1" t="s">
        <v>61</v>
      </c>
      <c r="L372" s="1" t="s">
        <v>61</v>
      </c>
      <c r="M372" s="1" t="s">
        <v>62</v>
      </c>
      <c r="N372" s="1">
        <v>-120.0</v>
      </c>
      <c r="O372" s="1">
        <v>0.0340240154429235</v>
      </c>
      <c r="P372" s="1" t="s">
        <v>61</v>
      </c>
      <c r="Q372" s="1" t="s">
        <v>61</v>
      </c>
      <c r="R372" s="1">
        <f t="shared" si="1"/>
        <v>0.03402401544</v>
      </c>
      <c r="S372" s="1">
        <f t="shared" si="2"/>
        <v>-120</v>
      </c>
      <c r="T372" s="1">
        <f t="shared" si="3"/>
        <v>1.833333333</v>
      </c>
      <c r="U372" s="1">
        <f t="shared" si="4"/>
        <v>0</v>
      </c>
      <c r="V372" s="3">
        <f t="shared" si="5"/>
        <v>1</v>
      </c>
      <c r="W372" s="3">
        <f t="shared" si="6"/>
        <v>3</v>
      </c>
      <c r="X372" s="3" t="str">
        <f>IFERROR(__xludf.DUMMYFUNCTION("split(B372,"" "")"),"R.")</f>
        <v>R.</v>
      </c>
      <c r="Y372" s="3" t="str">
        <f>IFERROR(__xludf.DUMMYFUNCTION("""COMPUTED_VALUE"""),"White")</f>
        <v>White</v>
      </c>
      <c r="AA372" s="8">
        <v>67.0</v>
      </c>
      <c r="AB372" s="3">
        <f t="shared" si="7"/>
        <v>0</v>
      </c>
      <c r="AC372" s="3">
        <f t="shared" si="8"/>
        <v>1</v>
      </c>
      <c r="AD372" s="3">
        <f t="shared" si="9"/>
        <v>0.8333333333</v>
      </c>
      <c r="AE372" s="3">
        <f t="shared" si="10"/>
        <v>0.8333333333</v>
      </c>
      <c r="AF372" s="3">
        <f t="shared" si="11"/>
        <v>2.5</v>
      </c>
      <c r="AG372" s="3">
        <f t="shared" si="12"/>
        <v>0.007407407407</v>
      </c>
    </row>
    <row r="373">
      <c r="A373" s="1" t="s">
        <v>12</v>
      </c>
      <c r="B373" s="1" t="s">
        <v>657</v>
      </c>
      <c r="C373" s="1" t="s">
        <v>18</v>
      </c>
      <c r="D373" s="1" t="s">
        <v>113</v>
      </c>
      <c r="E373" s="1" t="s">
        <v>109</v>
      </c>
      <c r="F373" s="1" t="s">
        <v>647</v>
      </c>
      <c r="G373" s="1">
        <v>3.5</v>
      </c>
      <c r="H373" s="1" t="s">
        <v>60</v>
      </c>
      <c r="I373" s="1">
        <v>-112.0</v>
      </c>
      <c r="J373" s="1">
        <v>-0.0920490566037736</v>
      </c>
      <c r="K373" s="1" t="s">
        <v>61</v>
      </c>
      <c r="L373" s="1" t="s">
        <v>61</v>
      </c>
      <c r="M373" s="1" t="s">
        <v>62</v>
      </c>
      <c r="N373" s="1">
        <v>-117.0</v>
      </c>
      <c r="O373" s="1">
        <v>0.0245834101382488</v>
      </c>
      <c r="P373" s="1" t="s">
        <v>61</v>
      </c>
      <c r="Q373" s="1" t="s">
        <v>61</v>
      </c>
      <c r="R373" s="1">
        <f t="shared" si="1"/>
        <v>0.02458341014</v>
      </c>
      <c r="S373" s="1">
        <f t="shared" si="2"/>
        <v>-117</v>
      </c>
      <c r="T373" s="1">
        <f t="shared" si="3"/>
        <v>1.854700855</v>
      </c>
      <c r="U373" s="1">
        <f t="shared" si="4"/>
        <v>0</v>
      </c>
      <c r="V373" s="3">
        <f t="shared" si="5"/>
        <v>1</v>
      </c>
      <c r="W373" s="3">
        <f t="shared" si="6"/>
        <v>2</v>
      </c>
      <c r="X373" s="3" t="str">
        <f>IFERROR(__xludf.DUMMYFUNCTION("split(B373,"" "")"),"T.")</f>
        <v>T.</v>
      </c>
      <c r="Y373" s="3" t="str">
        <f>IFERROR(__xludf.DUMMYFUNCTION("""COMPUTED_VALUE"""),"Palmer")</f>
        <v>Palmer</v>
      </c>
      <c r="AA373" s="8">
        <v>2.0</v>
      </c>
      <c r="AB373" s="3">
        <f t="shared" si="7"/>
        <v>0</v>
      </c>
      <c r="AC373" s="3">
        <f t="shared" si="8"/>
        <v>1</v>
      </c>
      <c r="AD373" s="3">
        <f t="shared" si="9"/>
        <v>0.8547008547</v>
      </c>
      <c r="AE373" s="3">
        <f t="shared" si="10"/>
        <v>0.8547008547</v>
      </c>
      <c r="AF373" s="3">
        <f t="shared" si="11"/>
        <v>1.709401709</v>
      </c>
      <c r="AG373" s="3">
        <f t="shared" si="12"/>
        <v>0.4285714286</v>
      </c>
    </row>
    <row r="374">
      <c r="A374" s="1" t="s">
        <v>12</v>
      </c>
      <c r="B374" s="1" t="s">
        <v>307</v>
      </c>
      <c r="C374" s="1" t="s">
        <v>18</v>
      </c>
      <c r="D374" s="1" t="s">
        <v>113</v>
      </c>
      <c r="E374" s="1" t="s">
        <v>109</v>
      </c>
      <c r="F374" s="1" t="s">
        <v>647</v>
      </c>
      <c r="G374" s="1">
        <v>4.0</v>
      </c>
      <c r="H374" s="1" t="s">
        <v>60</v>
      </c>
      <c r="I374" s="1">
        <v>-125.0</v>
      </c>
      <c r="J374" s="1">
        <v>-0.0982666666666666</v>
      </c>
      <c r="K374" s="1" t="s">
        <v>61</v>
      </c>
      <c r="L374" s="1" t="s">
        <v>61</v>
      </c>
      <c r="M374" s="1" t="s">
        <v>62</v>
      </c>
      <c r="N374" s="1">
        <v>-117.0</v>
      </c>
      <c r="O374" s="1">
        <v>0.0203165898617511</v>
      </c>
      <c r="P374" s="1" t="s">
        <v>61</v>
      </c>
      <c r="Q374" s="1" t="s">
        <v>61</v>
      </c>
      <c r="R374" s="1">
        <f t="shared" si="1"/>
        <v>0.02031658986</v>
      </c>
      <c r="S374" s="1">
        <f t="shared" si="2"/>
        <v>-117</v>
      </c>
      <c r="T374" s="1">
        <f t="shared" si="3"/>
        <v>1.854700855</v>
      </c>
      <c r="U374" s="1">
        <f t="shared" si="4"/>
        <v>0</v>
      </c>
      <c r="V374" s="3">
        <f t="shared" si="5"/>
        <v>1</v>
      </c>
      <c r="W374" s="3">
        <f t="shared" si="6"/>
        <v>2</v>
      </c>
      <c r="X374" s="3" t="str">
        <f>IFERROR(__xludf.DUMMYFUNCTION("split(B374,"" "")"),"J.")</f>
        <v>J.</v>
      </c>
      <c r="Y374" s="3" t="str">
        <f>IFERROR(__xludf.DUMMYFUNCTION("""COMPUTED_VALUE"""),"McMillan")</f>
        <v>McMillan</v>
      </c>
      <c r="AA374" s="8">
        <v>4.0</v>
      </c>
      <c r="AB374" s="3">
        <f t="shared" si="7"/>
        <v>1</v>
      </c>
      <c r="AC374" s="3">
        <f t="shared" si="8"/>
        <v>0</v>
      </c>
      <c r="AD374" s="3">
        <f t="shared" si="9"/>
        <v>0.8547008547</v>
      </c>
      <c r="AE374" s="3">
        <f t="shared" si="10"/>
        <v>-1</v>
      </c>
      <c r="AF374" s="3">
        <f t="shared" si="11"/>
        <v>-2</v>
      </c>
      <c r="AG374" s="3">
        <f t="shared" si="12"/>
        <v>0</v>
      </c>
    </row>
    <row r="375">
      <c r="A375" s="1" t="s">
        <v>12</v>
      </c>
      <c r="B375" s="1" t="s">
        <v>417</v>
      </c>
      <c r="C375" s="1" t="s">
        <v>19</v>
      </c>
      <c r="D375" s="1" t="s">
        <v>113</v>
      </c>
      <c r="E375" s="1" t="s">
        <v>109</v>
      </c>
      <c r="F375" s="1" t="s">
        <v>647</v>
      </c>
      <c r="G375" s="1">
        <v>3.5</v>
      </c>
      <c r="H375" s="1" t="s">
        <v>60</v>
      </c>
      <c r="I375" s="1">
        <v>125.0</v>
      </c>
      <c r="J375" s="1">
        <v>-0.0861444444444444</v>
      </c>
      <c r="K375" s="1" t="s">
        <v>61</v>
      </c>
      <c r="L375" s="1" t="s">
        <v>61</v>
      </c>
      <c r="M375" s="1" t="s">
        <v>62</v>
      </c>
      <c r="N375" s="1">
        <v>-165.0</v>
      </c>
      <c r="O375" s="1">
        <v>0.0190584905660377</v>
      </c>
      <c r="P375" s="1" t="s">
        <v>61</v>
      </c>
      <c r="Q375" s="1" t="s">
        <v>61</v>
      </c>
      <c r="R375" s="1">
        <f t="shared" si="1"/>
        <v>0.01905849057</v>
      </c>
      <c r="S375" s="1">
        <f t="shared" si="2"/>
        <v>-165</v>
      </c>
      <c r="T375" s="1">
        <f t="shared" si="3"/>
        <v>1.606060606</v>
      </c>
      <c r="U375" s="1">
        <f t="shared" si="4"/>
        <v>0</v>
      </c>
      <c r="V375" s="3">
        <f t="shared" si="5"/>
        <v>1</v>
      </c>
      <c r="W375" s="3">
        <f t="shared" si="6"/>
        <v>3</v>
      </c>
      <c r="X375" s="3" t="str">
        <f>IFERROR(__xludf.DUMMYFUNCTION("split(B375,"" "")"),"R.")</f>
        <v>R.</v>
      </c>
      <c r="Y375" s="3" t="str">
        <f>IFERROR(__xludf.DUMMYFUNCTION("""COMPUTED_VALUE"""),"White")</f>
        <v>White</v>
      </c>
      <c r="AA375" s="8">
        <v>5.0</v>
      </c>
      <c r="AB375" s="3">
        <f t="shared" si="7"/>
        <v>1</v>
      </c>
      <c r="AC375" s="3">
        <f t="shared" si="8"/>
        <v>0</v>
      </c>
      <c r="AD375" s="3">
        <f t="shared" si="9"/>
        <v>0.6060606061</v>
      </c>
      <c r="AE375" s="3">
        <f t="shared" si="10"/>
        <v>-1</v>
      </c>
      <c r="AF375" s="3">
        <f t="shared" si="11"/>
        <v>-3</v>
      </c>
      <c r="AG375" s="3">
        <f t="shared" si="12"/>
        <v>-0.4285714286</v>
      </c>
    </row>
    <row r="376">
      <c r="A376" s="1" t="s">
        <v>16</v>
      </c>
      <c r="B376" s="1" t="s">
        <v>253</v>
      </c>
      <c r="C376" s="1" t="s">
        <v>21</v>
      </c>
      <c r="D376" s="1" t="s">
        <v>113</v>
      </c>
      <c r="E376" s="1" t="s">
        <v>109</v>
      </c>
      <c r="F376" s="1" t="s">
        <v>647</v>
      </c>
      <c r="G376" s="1">
        <v>33.5</v>
      </c>
      <c r="H376" s="1" t="s">
        <v>60</v>
      </c>
      <c r="I376" s="1">
        <v>-114.0</v>
      </c>
      <c r="J376" s="1">
        <v>0.0130357934177569</v>
      </c>
      <c r="K376" s="1" t="s">
        <v>61</v>
      </c>
      <c r="L376" s="1" t="s">
        <v>61</v>
      </c>
      <c r="M376" s="1" t="s">
        <v>62</v>
      </c>
      <c r="N376" s="1">
        <v>-114.0</v>
      </c>
      <c r="O376" s="1">
        <v>-0.0784629766822429</v>
      </c>
      <c r="P376" s="1" t="s">
        <v>61</v>
      </c>
      <c r="Q376" s="1" t="s">
        <v>61</v>
      </c>
      <c r="R376" s="1">
        <f t="shared" si="1"/>
        <v>0.01303579342</v>
      </c>
      <c r="S376" s="1">
        <f t="shared" si="2"/>
        <v>-114</v>
      </c>
      <c r="T376" s="1">
        <f t="shared" si="3"/>
        <v>1.877192982</v>
      </c>
      <c r="U376" s="1">
        <f t="shared" si="4"/>
        <v>1</v>
      </c>
      <c r="V376" s="3">
        <f t="shared" si="5"/>
        <v>1</v>
      </c>
      <c r="W376" s="3">
        <f t="shared" si="6"/>
        <v>2</v>
      </c>
      <c r="X376" s="3" t="str">
        <f>IFERROR(__xludf.DUMMYFUNCTION("split(B376,"" "")"),"B.")</f>
        <v>B.</v>
      </c>
      <c r="Y376" s="3" t="str">
        <f>IFERROR(__xludf.DUMMYFUNCTION("""COMPUTED_VALUE"""),"Mayfield")</f>
        <v>Mayfield</v>
      </c>
      <c r="AA376" s="8">
        <v>50.0</v>
      </c>
      <c r="AB376" s="3">
        <f t="shared" si="7"/>
        <v>1</v>
      </c>
      <c r="AC376" s="3">
        <f t="shared" si="8"/>
        <v>1</v>
      </c>
      <c r="AD376" s="3">
        <f t="shared" si="9"/>
        <v>0.8771929825</v>
      </c>
      <c r="AE376" s="3">
        <f t="shared" si="10"/>
        <v>0.8771929825</v>
      </c>
      <c r="AF376" s="3">
        <f t="shared" si="11"/>
        <v>1.754385965</v>
      </c>
      <c r="AG376" s="3">
        <f t="shared" si="12"/>
        <v>0.4925373134</v>
      </c>
    </row>
    <row r="377">
      <c r="A377" s="1" t="s">
        <v>11</v>
      </c>
      <c r="B377" s="1" t="s">
        <v>112</v>
      </c>
      <c r="C377" s="1" t="s">
        <v>20</v>
      </c>
      <c r="D377" s="1" t="s">
        <v>113</v>
      </c>
      <c r="E377" s="1" t="s">
        <v>109</v>
      </c>
      <c r="F377" s="1" t="s">
        <v>647</v>
      </c>
      <c r="G377" s="1">
        <v>46.5</v>
      </c>
      <c r="H377" s="1" t="s">
        <v>60</v>
      </c>
      <c r="I377" s="1">
        <v>-113.0</v>
      </c>
      <c r="J377" s="1">
        <v>-0.0787655128476056</v>
      </c>
      <c r="K377" s="1" t="s">
        <v>61</v>
      </c>
      <c r="L377" s="1" t="s">
        <v>61</v>
      </c>
      <c r="M377" s="1" t="s">
        <v>62</v>
      </c>
      <c r="N377" s="1">
        <v>-116.0</v>
      </c>
      <c r="O377" s="1">
        <v>0.0112183833916666</v>
      </c>
      <c r="P377" s="1" t="s">
        <v>61</v>
      </c>
      <c r="Q377" s="1" t="s">
        <v>61</v>
      </c>
      <c r="R377" s="1">
        <f t="shared" si="1"/>
        <v>0.01121838339</v>
      </c>
      <c r="S377" s="1">
        <f t="shared" si="2"/>
        <v>-116</v>
      </c>
      <c r="T377" s="1">
        <f t="shared" si="3"/>
        <v>1.862068966</v>
      </c>
      <c r="U377" s="1">
        <f t="shared" si="4"/>
        <v>0</v>
      </c>
      <c r="V377" s="3">
        <f t="shared" si="5"/>
        <v>1</v>
      </c>
      <c r="W377" s="3">
        <f t="shared" si="6"/>
        <v>2</v>
      </c>
      <c r="X377" s="3" t="str">
        <f>IFERROR(__xludf.DUMMYFUNCTION("split(B377,"" "")"),"C.")</f>
        <v>C.</v>
      </c>
      <c r="Y377" s="3" t="str">
        <f>IFERROR(__xludf.DUMMYFUNCTION("""COMPUTED_VALUE"""),"Otton")</f>
        <v>Otton</v>
      </c>
      <c r="AA377" s="8">
        <v>81.0</v>
      </c>
      <c r="AB377" s="3">
        <f t="shared" si="7"/>
        <v>1</v>
      </c>
      <c r="AC377" s="3">
        <f t="shared" si="8"/>
        <v>0</v>
      </c>
      <c r="AD377" s="3">
        <f t="shared" si="9"/>
        <v>0.8620689655</v>
      </c>
      <c r="AE377" s="3">
        <f t="shared" si="10"/>
        <v>-1</v>
      </c>
      <c r="AF377" s="3">
        <f t="shared" si="11"/>
        <v>-2</v>
      </c>
      <c r="AG377" s="3">
        <f t="shared" si="12"/>
        <v>-0.7419354839</v>
      </c>
    </row>
    <row r="378">
      <c r="A378" s="1" t="s">
        <v>13</v>
      </c>
      <c r="B378" s="1" t="s">
        <v>253</v>
      </c>
      <c r="C378" s="1" t="s">
        <v>21</v>
      </c>
      <c r="D378" s="1" t="s">
        <v>113</v>
      </c>
      <c r="E378" s="1" t="s">
        <v>109</v>
      </c>
      <c r="F378" s="1" t="s">
        <v>647</v>
      </c>
      <c r="G378" s="1">
        <v>229.5</v>
      </c>
      <c r="H378" s="1" t="s">
        <v>60</v>
      </c>
      <c r="I378" s="1">
        <v>-113.0</v>
      </c>
      <c r="J378" s="1">
        <v>0.00844272300469484</v>
      </c>
      <c r="K378" s="1" t="s">
        <v>61</v>
      </c>
      <c r="L378" s="1" t="s">
        <v>61</v>
      </c>
      <c r="M378" s="1" t="s">
        <v>62</v>
      </c>
      <c r="N378" s="1">
        <v>-114.0</v>
      </c>
      <c r="O378" s="1">
        <v>-0.0716504672897195</v>
      </c>
      <c r="P378" s="1" t="s">
        <v>61</v>
      </c>
      <c r="Q378" s="1" t="s">
        <v>61</v>
      </c>
      <c r="R378" s="1">
        <f t="shared" si="1"/>
        <v>0.008442723005</v>
      </c>
      <c r="S378" s="1">
        <f t="shared" si="2"/>
        <v>-113</v>
      </c>
      <c r="T378" s="1">
        <f t="shared" si="3"/>
        <v>1.884955752</v>
      </c>
      <c r="U378" s="1">
        <f t="shared" si="4"/>
        <v>1</v>
      </c>
      <c r="V378" s="3">
        <f t="shared" si="5"/>
        <v>1</v>
      </c>
      <c r="W378" s="3">
        <f t="shared" si="6"/>
        <v>2</v>
      </c>
      <c r="X378" s="3" t="str">
        <f>IFERROR(__xludf.DUMMYFUNCTION("split(B378,"" "")"),"B.")</f>
        <v>B.</v>
      </c>
      <c r="Y378" s="3" t="str">
        <f>IFERROR(__xludf.DUMMYFUNCTION("""COMPUTED_VALUE"""),"Mayfield")</f>
        <v>Mayfield</v>
      </c>
      <c r="AA378" s="8">
        <v>330.0</v>
      </c>
      <c r="AB378" s="3">
        <f t="shared" si="7"/>
        <v>1</v>
      </c>
      <c r="AC378" s="3">
        <f t="shared" si="8"/>
        <v>1</v>
      </c>
      <c r="AD378" s="3">
        <f t="shared" si="9"/>
        <v>0.8849557522</v>
      </c>
      <c r="AE378" s="3">
        <f t="shared" si="10"/>
        <v>0.8849557522</v>
      </c>
      <c r="AF378" s="3">
        <f t="shared" si="11"/>
        <v>1.769911504</v>
      </c>
      <c r="AG378" s="3">
        <f t="shared" si="12"/>
        <v>0.4379084967</v>
      </c>
    </row>
    <row r="379">
      <c r="A379" s="1" t="s">
        <v>11</v>
      </c>
      <c r="B379" s="1" t="s">
        <v>417</v>
      </c>
      <c r="C379" s="1" t="s">
        <v>19</v>
      </c>
      <c r="D379" s="1" t="s">
        <v>113</v>
      </c>
      <c r="E379" s="1" t="s">
        <v>109</v>
      </c>
      <c r="F379" s="1" t="s">
        <v>647</v>
      </c>
      <c r="G379" s="1">
        <v>20.5</v>
      </c>
      <c r="H379" s="1" t="s">
        <v>60</v>
      </c>
      <c r="I379" s="1">
        <v>-113.0</v>
      </c>
      <c r="J379" s="1">
        <v>-0.0701259593303286</v>
      </c>
      <c r="K379" s="1" t="s">
        <v>61</v>
      </c>
      <c r="L379" s="1" t="s">
        <v>61</v>
      </c>
      <c r="M379" s="1" t="s">
        <v>62</v>
      </c>
      <c r="N379" s="1">
        <v>-116.0</v>
      </c>
      <c r="O379" s="1">
        <v>0.00258825014508146</v>
      </c>
      <c r="P379" s="1" t="s">
        <v>61</v>
      </c>
      <c r="Q379" s="1" t="s">
        <v>61</v>
      </c>
      <c r="R379" s="1">
        <f t="shared" si="1"/>
        <v>0.002588250145</v>
      </c>
      <c r="S379" s="1">
        <f t="shared" si="2"/>
        <v>-116</v>
      </c>
      <c r="T379" s="1">
        <f t="shared" si="3"/>
        <v>1.862068966</v>
      </c>
      <c r="U379" s="1">
        <f t="shared" si="4"/>
        <v>0</v>
      </c>
      <c r="V379" s="3">
        <f t="shared" si="5"/>
        <v>1</v>
      </c>
      <c r="W379" s="3">
        <f t="shared" si="6"/>
        <v>2</v>
      </c>
      <c r="X379" s="3" t="str">
        <f>IFERROR(__xludf.DUMMYFUNCTION("split(B379,"" "")"),"R.")</f>
        <v>R.</v>
      </c>
      <c r="Y379" s="3" t="str">
        <f>IFERROR(__xludf.DUMMYFUNCTION("""COMPUTED_VALUE"""),"White")</f>
        <v>White</v>
      </c>
      <c r="AA379" s="8">
        <v>38.0</v>
      </c>
      <c r="AB379" s="3">
        <f t="shared" si="7"/>
        <v>1</v>
      </c>
      <c r="AC379" s="3">
        <f t="shared" si="8"/>
        <v>0</v>
      </c>
      <c r="AD379" s="3">
        <f t="shared" si="9"/>
        <v>0.8620689655</v>
      </c>
      <c r="AE379" s="3">
        <f t="shared" si="10"/>
        <v>-1</v>
      </c>
      <c r="AF379" s="3">
        <f t="shared" si="11"/>
        <v>-2</v>
      </c>
      <c r="AG379" s="3">
        <f t="shared" si="12"/>
        <v>-0.8536585366</v>
      </c>
    </row>
    <row r="380">
      <c r="A380" s="1" t="s">
        <v>14</v>
      </c>
      <c r="B380" s="1" t="s">
        <v>631</v>
      </c>
      <c r="C380" s="1" t="s">
        <v>21</v>
      </c>
      <c r="D380" s="1" t="s">
        <v>100</v>
      </c>
      <c r="E380" s="1" t="s">
        <v>197</v>
      </c>
      <c r="F380" s="1" t="s">
        <v>647</v>
      </c>
      <c r="G380" s="1">
        <v>0.5</v>
      </c>
      <c r="H380" s="1" t="s">
        <v>60</v>
      </c>
      <c r="I380" s="1">
        <v>-221.0</v>
      </c>
      <c r="J380" s="1">
        <v>-0.195703039034267</v>
      </c>
      <c r="K380" s="1" t="s">
        <v>61</v>
      </c>
      <c r="L380" s="1" t="s">
        <v>61</v>
      </c>
      <c r="M380" s="1" t="s">
        <v>62</v>
      </c>
      <c r="N380" s="1">
        <v>168.0</v>
      </c>
      <c r="O380" s="1">
        <v>0.134101028097014</v>
      </c>
      <c r="P380" s="1" t="s">
        <v>61</v>
      </c>
      <c r="Q380" s="1" t="s">
        <v>61</v>
      </c>
      <c r="R380" s="1">
        <f t="shared" si="1"/>
        <v>0.1341010281</v>
      </c>
      <c r="S380" s="1">
        <f t="shared" si="2"/>
        <v>168</v>
      </c>
      <c r="T380" s="1">
        <f t="shared" si="3"/>
        <v>2.68</v>
      </c>
      <c r="U380" s="1">
        <f t="shared" si="4"/>
        <v>0</v>
      </c>
      <c r="V380" s="3">
        <f t="shared" si="5"/>
        <v>3</v>
      </c>
      <c r="W380" s="3">
        <f t="shared" si="6"/>
        <v>1</v>
      </c>
      <c r="X380" s="3" t="str">
        <f>IFERROR(__xludf.DUMMYFUNCTION("split(B380,"" "")"),"M.")</f>
        <v>M.</v>
      </c>
      <c r="Y380" s="3" t="str">
        <f>IFERROR(__xludf.DUMMYFUNCTION("""COMPUTED_VALUE"""),"Rudolph")</f>
        <v>Rudolph</v>
      </c>
      <c r="AA380" s="8">
        <v>1.0</v>
      </c>
      <c r="AB380" s="3">
        <f t="shared" si="7"/>
        <v>1</v>
      </c>
      <c r="AC380" s="3">
        <f t="shared" si="8"/>
        <v>0</v>
      </c>
      <c r="AD380" s="3">
        <f t="shared" si="9"/>
        <v>5.04</v>
      </c>
      <c r="AE380" s="3">
        <f t="shared" si="10"/>
        <v>-3</v>
      </c>
      <c r="AF380" s="3">
        <f t="shared" si="11"/>
        <v>-1</v>
      </c>
      <c r="AG380" s="3">
        <f t="shared" si="12"/>
        <v>-1</v>
      </c>
    </row>
    <row r="381">
      <c r="A381" s="1" t="s">
        <v>17</v>
      </c>
      <c r="B381" s="1" t="s">
        <v>631</v>
      </c>
      <c r="C381" s="1" t="s">
        <v>21</v>
      </c>
      <c r="D381" s="1" t="s">
        <v>100</v>
      </c>
      <c r="E381" s="1" t="s">
        <v>197</v>
      </c>
      <c r="F381" s="1" t="s">
        <v>647</v>
      </c>
      <c r="G381" s="1">
        <v>0.5</v>
      </c>
      <c r="H381" s="1" t="s">
        <v>60</v>
      </c>
      <c r="I381" s="1">
        <v>-149.0</v>
      </c>
      <c r="J381" s="1">
        <v>-0.152533734939759</v>
      </c>
      <c r="K381" s="1" t="s">
        <v>61</v>
      </c>
      <c r="L381" s="1" t="s">
        <v>61</v>
      </c>
      <c r="M381" s="1" t="s">
        <v>62</v>
      </c>
      <c r="N381" s="1">
        <v>113.0</v>
      </c>
      <c r="O381" s="1">
        <v>0.0846633802816901</v>
      </c>
      <c r="P381" s="1" t="s">
        <v>61</v>
      </c>
      <c r="Q381" s="1" t="s">
        <v>61</v>
      </c>
      <c r="R381" s="1">
        <f t="shared" si="1"/>
        <v>0.08466338028</v>
      </c>
      <c r="S381" s="1">
        <f t="shared" si="2"/>
        <v>113</v>
      </c>
      <c r="T381" s="1">
        <f t="shared" si="3"/>
        <v>2.13</v>
      </c>
      <c r="U381" s="1">
        <f t="shared" si="4"/>
        <v>0</v>
      </c>
      <c r="V381" s="3">
        <f t="shared" si="5"/>
        <v>2</v>
      </c>
      <c r="W381" s="3">
        <f t="shared" si="6"/>
        <v>1</v>
      </c>
      <c r="X381" s="3" t="str">
        <f>IFERROR(__xludf.DUMMYFUNCTION("split(B381,"" "")"),"M.")</f>
        <v>M.</v>
      </c>
      <c r="Y381" s="3" t="str">
        <f>IFERROR(__xludf.DUMMYFUNCTION("""COMPUTED_VALUE"""),"Rudolph")</f>
        <v>Rudolph</v>
      </c>
      <c r="AA381" s="8">
        <v>2.0</v>
      </c>
      <c r="AB381" s="3">
        <f t="shared" si="7"/>
        <v>1</v>
      </c>
      <c r="AC381" s="3">
        <f t="shared" si="8"/>
        <v>0</v>
      </c>
      <c r="AD381" s="3">
        <f t="shared" si="9"/>
        <v>2.26</v>
      </c>
      <c r="AE381" s="3">
        <f t="shared" si="10"/>
        <v>-2</v>
      </c>
      <c r="AF381" s="3">
        <f t="shared" si="11"/>
        <v>-1</v>
      </c>
      <c r="AG381" s="3">
        <f t="shared" si="12"/>
        <v>-3</v>
      </c>
    </row>
    <row r="382">
      <c r="A382" s="1" t="s">
        <v>10</v>
      </c>
      <c r="B382" s="1" t="s">
        <v>340</v>
      </c>
      <c r="C382" s="1" t="s">
        <v>19</v>
      </c>
      <c r="D382" s="1" t="s">
        <v>100</v>
      </c>
      <c r="E382" s="1" t="s">
        <v>197</v>
      </c>
      <c r="F382" s="1" t="s">
        <v>647</v>
      </c>
      <c r="G382" s="1">
        <v>58.5</v>
      </c>
      <c r="H382" s="1" t="s">
        <v>60</v>
      </c>
      <c r="I382" s="1">
        <v>-116.0</v>
      </c>
      <c r="J382" s="1">
        <v>-0.0867881286502489</v>
      </c>
      <c r="K382" s="1" t="s">
        <v>61</v>
      </c>
      <c r="L382" s="1" t="s">
        <v>61</v>
      </c>
      <c r="M382" s="1" t="s">
        <v>62</v>
      </c>
      <c r="N382" s="1">
        <v>-113.0</v>
      </c>
      <c r="O382" s="1">
        <v>0.0192264846883821</v>
      </c>
      <c r="P382" s="1" t="s">
        <v>61</v>
      </c>
      <c r="Q382" s="1" t="s">
        <v>61</v>
      </c>
      <c r="R382" s="1">
        <f t="shared" si="1"/>
        <v>0.01922648469</v>
      </c>
      <c r="S382" s="1">
        <f t="shared" si="2"/>
        <v>-113</v>
      </c>
      <c r="T382" s="1">
        <f t="shared" si="3"/>
        <v>1.884955752</v>
      </c>
      <c r="U382" s="1">
        <f t="shared" si="4"/>
        <v>0</v>
      </c>
      <c r="V382" s="3">
        <f t="shared" si="5"/>
        <v>1</v>
      </c>
      <c r="W382" s="3">
        <f t="shared" si="6"/>
        <v>2</v>
      </c>
      <c r="X382" s="3" t="str">
        <f>IFERROR(__xludf.DUMMYFUNCTION("split(B382,"" "")"),"T.")</f>
        <v>T.</v>
      </c>
      <c r="Y382" s="3" t="str">
        <f>IFERROR(__xludf.DUMMYFUNCTION("""COMPUTED_VALUE"""),"Pollard")</f>
        <v>Pollard</v>
      </c>
      <c r="AA382" s="8">
        <v>94.0</v>
      </c>
      <c r="AB382" s="3">
        <f t="shared" si="7"/>
        <v>1</v>
      </c>
      <c r="AC382" s="3">
        <f t="shared" si="8"/>
        <v>0</v>
      </c>
      <c r="AD382" s="3">
        <f t="shared" si="9"/>
        <v>0.8849557522</v>
      </c>
      <c r="AE382" s="3">
        <f t="shared" si="10"/>
        <v>-1</v>
      </c>
      <c r="AF382" s="3">
        <f t="shared" si="11"/>
        <v>-2</v>
      </c>
      <c r="AG382" s="3">
        <f t="shared" si="12"/>
        <v>-0.6068376068</v>
      </c>
    </row>
    <row r="383">
      <c r="A383" s="1" t="s">
        <v>11</v>
      </c>
      <c r="B383" s="1" t="s">
        <v>437</v>
      </c>
      <c r="C383" s="1" t="s">
        <v>18</v>
      </c>
      <c r="D383" s="1" t="s">
        <v>100</v>
      </c>
      <c r="E383" s="1" t="s">
        <v>197</v>
      </c>
      <c r="F383" s="1" t="s">
        <v>647</v>
      </c>
      <c r="G383" s="1">
        <v>44.5</v>
      </c>
      <c r="H383" s="1" t="s">
        <v>60</v>
      </c>
      <c r="I383" s="1">
        <v>-114.0</v>
      </c>
      <c r="J383" s="1">
        <v>0.0052896648225702</v>
      </c>
      <c r="K383" s="1" t="s">
        <v>61</v>
      </c>
      <c r="L383" s="1" t="s">
        <v>61</v>
      </c>
      <c r="M383" s="1" t="s">
        <v>62</v>
      </c>
      <c r="N383" s="1">
        <v>-117.0</v>
      </c>
      <c r="O383" s="1">
        <v>-0.0771707872627187</v>
      </c>
      <c r="P383" s="1" t="s">
        <v>61</v>
      </c>
      <c r="Q383" s="1" t="s">
        <v>61</v>
      </c>
      <c r="R383" s="1">
        <f t="shared" si="1"/>
        <v>0.005289664823</v>
      </c>
      <c r="S383" s="1">
        <f t="shared" si="2"/>
        <v>-114</v>
      </c>
      <c r="T383" s="1">
        <f t="shared" si="3"/>
        <v>1.877192982</v>
      </c>
      <c r="U383" s="1">
        <f t="shared" si="4"/>
        <v>1</v>
      </c>
      <c r="V383" s="3">
        <f t="shared" si="5"/>
        <v>1</v>
      </c>
      <c r="W383" s="3">
        <f t="shared" si="6"/>
        <v>2</v>
      </c>
      <c r="X383" s="3" t="str">
        <f>IFERROR(__xludf.DUMMYFUNCTION("split(B383,"" "")"),"C.")</f>
        <v>C.</v>
      </c>
      <c r="Y383" s="3" t="str">
        <f>IFERROR(__xludf.DUMMYFUNCTION("""COMPUTED_VALUE"""),"Ridley")</f>
        <v>Ridley</v>
      </c>
      <c r="AA383" s="8">
        <v>143.0</v>
      </c>
      <c r="AB383" s="3">
        <f t="shared" si="7"/>
        <v>1</v>
      </c>
      <c r="AC383" s="3">
        <f t="shared" si="8"/>
        <v>1</v>
      </c>
      <c r="AD383" s="3">
        <f t="shared" si="9"/>
        <v>0.8771929825</v>
      </c>
      <c r="AE383" s="3">
        <f t="shared" si="10"/>
        <v>0.8771929825</v>
      </c>
      <c r="AF383" s="3">
        <f t="shared" si="11"/>
        <v>1.754385965</v>
      </c>
      <c r="AG383" s="3">
        <f t="shared" si="12"/>
        <v>2.213483146</v>
      </c>
    </row>
    <row r="384">
      <c r="A384" s="1" t="s">
        <v>11</v>
      </c>
      <c r="B384" s="1" t="s">
        <v>488</v>
      </c>
      <c r="C384" s="1" t="s">
        <v>20</v>
      </c>
      <c r="D384" s="1" t="s">
        <v>114</v>
      </c>
      <c r="E384" s="1" t="s">
        <v>99</v>
      </c>
      <c r="F384" s="1" t="s">
        <v>649</v>
      </c>
      <c r="G384" s="1">
        <v>30.5</v>
      </c>
      <c r="H384" s="1" t="s">
        <v>60</v>
      </c>
      <c r="I384" s="1">
        <v>-115.0</v>
      </c>
      <c r="J384" s="1">
        <v>-0.0832213418480002</v>
      </c>
      <c r="K384" s="1" t="s">
        <v>61</v>
      </c>
      <c r="L384" s="1" t="s">
        <v>61</v>
      </c>
      <c r="M384" s="1" t="s">
        <v>62</v>
      </c>
      <c r="N384" s="1">
        <v>-114.0</v>
      </c>
      <c r="O384" s="1">
        <v>0.0156028776062376</v>
      </c>
      <c r="P384" s="1" t="s">
        <v>61</v>
      </c>
      <c r="Q384" s="1" t="s">
        <v>61</v>
      </c>
      <c r="R384" s="1">
        <f t="shared" si="1"/>
        <v>0.01560287761</v>
      </c>
      <c r="S384" s="1">
        <f t="shared" si="2"/>
        <v>-114</v>
      </c>
      <c r="T384" s="1">
        <f t="shared" si="3"/>
        <v>1.877192982</v>
      </c>
      <c r="U384" s="1">
        <f t="shared" si="4"/>
        <v>0</v>
      </c>
      <c r="V384" s="3">
        <f t="shared" si="5"/>
        <v>1</v>
      </c>
      <c r="W384" s="3">
        <f t="shared" si="6"/>
        <v>2</v>
      </c>
      <c r="X384" s="3" t="str">
        <f>IFERROR(__xludf.DUMMYFUNCTION("split(B384,"" "")"),"Z.")</f>
        <v>Z.</v>
      </c>
      <c r="Y384" s="3" t="str">
        <f>IFERROR(__xludf.DUMMYFUNCTION("""COMPUTED_VALUE"""),"Ertz")</f>
        <v>Ertz</v>
      </c>
      <c r="AA384" s="8">
        <v>77.0</v>
      </c>
      <c r="AB384" s="3">
        <f t="shared" si="7"/>
        <v>1</v>
      </c>
      <c r="AC384" s="3">
        <f t="shared" si="8"/>
        <v>0</v>
      </c>
      <c r="AD384" s="3">
        <f t="shared" si="9"/>
        <v>0.8771929825</v>
      </c>
      <c r="AE384" s="3">
        <f t="shared" si="10"/>
        <v>-1</v>
      </c>
      <c r="AF384" s="3">
        <f t="shared" si="11"/>
        <v>-2</v>
      </c>
      <c r="AG384" s="3">
        <f t="shared" si="12"/>
        <v>-1.524590164</v>
      </c>
    </row>
    <row r="385">
      <c r="A385" s="1" t="s">
        <v>12</v>
      </c>
      <c r="B385" s="1" t="s">
        <v>249</v>
      </c>
      <c r="C385" s="1" t="s">
        <v>18</v>
      </c>
      <c r="D385" s="1" t="s">
        <v>114</v>
      </c>
      <c r="E385" s="1" t="s">
        <v>99</v>
      </c>
      <c r="F385" s="1" t="s">
        <v>649</v>
      </c>
      <c r="G385" s="1">
        <v>4.5</v>
      </c>
      <c r="H385" s="1" t="s">
        <v>60</v>
      </c>
      <c r="I385" s="1">
        <v>-125.0</v>
      </c>
      <c r="J385" s="1">
        <v>-0.0692</v>
      </c>
      <c r="K385" s="1" t="s">
        <v>61</v>
      </c>
      <c r="L385" s="1" t="s">
        <v>61</v>
      </c>
      <c r="M385" s="1" t="s">
        <v>62</v>
      </c>
      <c r="N385" s="1">
        <v>-105.0</v>
      </c>
      <c r="O385" s="1">
        <v>0.00145609756097564</v>
      </c>
      <c r="P385" s="1" t="s">
        <v>61</v>
      </c>
      <c r="Q385" s="1" t="s">
        <v>61</v>
      </c>
      <c r="R385" s="1">
        <f t="shared" si="1"/>
        <v>0.001456097561</v>
      </c>
      <c r="S385" s="1">
        <f t="shared" si="2"/>
        <v>-105</v>
      </c>
      <c r="T385" s="1">
        <f t="shared" si="3"/>
        <v>1.952380952</v>
      </c>
      <c r="U385" s="1">
        <f t="shared" si="4"/>
        <v>0</v>
      </c>
      <c r="V385" s="3">
        <f t="shared" si="5"/>
        <v>1</v>
      </c>
      <c r="W385" s="3">
        <f t="shared" si="6"/>
        <v>2</v>
      </c>
      <c r="X385" s="3" t="str">
        <f>IFERROR(__xludf.DUMMYFUNCTION("split(B385,"" "")"),"T.")</f>
        <v>T.</v>
      </c>
      <c r="Y385" s="3" t="str">
        <f>IFERROR(__xludf.DUMMYFUNCTION("""COMPUTED_VALUE"""),"McLaurin")</f>
        <v>McLaurin</v>
      </c>
      <c r="AA385" s="8">
        <v>5.0</v>
      </c>
      <c r="AB385" s="3">
        <f t="shared" si="7"/>
        <v>1</v>
      </c>
      <c r="AC385" s="3">
        <f t="shared" si="8"/>
        <v>0</v>
      </c>
      <c r="AD385" s="3">
        <f t="shared" si="9"/>
        <v>0.9523809524</v>
      </c>
      <c r="AE385" s="3">
        <f t="shared" si="10"/>
        <v>-1</v>
      </c>
      <c r="AF385" s="3">
        <f t="shared" si="11"/>
        <v>-2</v>
      </c>
      <c r="AG385" s="3">
        <f t="shared" si="12"/>
        <v>-0.1111111111</v>
      </c>
    </row>
    <row r="386">
      <c r="AA386" s="8"/>
    </row>
    <row r="387">
      <c r="AA387" s="8"/>
    </row>
    <row r="388">
      <c r="AA388" s="8"/>
    </row>
    <row r="389">
      <c r="AA389" s="8"/>
    </row>
    <row r="390">
      <c r="AA390" s="8"/>
    </row>
    <row r="391">
      <c r="AA391" s="8"/>
    </row>
    <row r="392">
      <c r="AA392" s="8"/>
    </row>
    <row r="393">
      <c r="AA393" s="8"/>
    </row>
    <row r="394">
      <c r="AA394" s="8"/>
    </row>
    <row r="395">
      <c r="AA395" s="8"/>
    </row>
    <row r="396">
      <c r="AA396" s="8"/>
    </row>
    <row r="397">
      <c r="AA397" s="8"/>
    </row>
    <row r="398">
      <c r="AA398" s="8"/>
    </row>
    <row r="399">
      <c r="AA399" s="8"/>
    </row>
    <row r="400">
      <c r="AA400" s="8"/>
    </row>
    <row r="401">
      <c r="AA401" s="8"/>
    </row>
    <row r="402">
      <c r="AA402" s="8"/>
    </row>
    <row r="403">
      <c r="AA403" s="8"/>
    </row>
    <row r="404">
      <c r="AA404" s="8"/>
    </row>
    <row r="405">
      <c r="AA405" s="8"/>
    </row>
    <row r="406">
      <c r="AA406" s="8"/>
    </row>
    <row r="407">
      <c r="AA407" s="8"/>
    </row>
    <row r="408">
      <c r="AA408" s="8"/>
    </row>
    <row r="409">
      <c r="AA409" s="8"/>
    </row>
    <row r="410">
      <c r="AA410" s="8"/>
    </row>
    <row r="411">
      <c r="AA411" s="8"/>
    </row>
    <row r="412">
      <c r="AA412" s="8"/>
    </row>
  </sheetData>
  <conditionalFormatting sqref="AK19:AK30">
    <cfRule type="colorScale" priority="1">
      <colorScale>
        <cfvo type="min"/>
        <cfvo type="max"/>
        <color rgb="FFD9EAD3"/>
        <color rgb="FF57BB8A"/>
      </colorScale>
    </cfRule>
  </conditionalFormatting>
  <conditionalFormatting sqref="AN19:AN30">
    <cfRule type="colorScale" priority="2">
      <colorScale>
        <cfvo type="min"/>
        <cfvo type="percentile" val="50"/>
        <cfvo type="max"/>
        <color rgb="FFDD7E6B"/>
        <color rgb="FFFFFFFF"/>
        <color rgb="FF57BB8A"/>
      </colorScale>
    </cfRule>
  </conditionalFormatting>
  <conditionalFormatting sqref="O1:O996">
    <cfRule type="cellIs" dxfId="0" priority="3" operator="greaterThan">
      <formula>0</formula>
    </cfRule>
  </conditionalFormatting>
  <conditionalFormatting sqref="J1:J996">
    <cfRule type="cellIs" dxfId="0" priority="4" operator="greaterThan">
      <formula>0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SUM(AE2:AE99896)</f>
        <v>-30.2166351</v>
      </c>
      <c r="AH1" s="2">
        <f>COUNTIF(AC:AC,1)/COUNT(AC:AC)</f>
        <v>0.486784141</v>
      </c>
      <c r="AI1" s="3">
        <f>COUNTIF(AC:AC,1)</f>
        <v>221</v>
      </c>
      <c r="AJ1" s="1">
        <f>COUNT(AC:AC)-AI1</f>
        <v>233</v>
      </c>
      <c r="AK1" s="1">
        <f>SUM(AF2:AF949)</f>
        <v>-59.28866219</v>
      </c>
      <c r="AL1" s="1"/>
      <c r="AM1" s="1"/>
      <c r="AN1" s="1"/>
      <c r="AO1" s="1"/>
      <c r="AP1" s="1"/>
      <c r="AQ1" s="1"/>
      <c r="AR1" s="1"/>
    </row>
    <row r="2">
      <c r="A2" s="1" t="s">
        <v>8</v>
      </c>
      <c r="B2" s="1" t="s">
        <v>202</v>
      </c>
      <c r="C2" s="1" t="s">
        <v>19</v>
      </c>
      <c r="D2" s="1" t="s">
        <v>109</v>
      </c>
      <c r="E2" s="1" t="s">
        <v>88</v>
      </c>
      <c r="F2" s="1" t="s">
        <v>658</v>
      </c>
      <c r="G2" s="1">
        <v>9.5</v>
      </c>
      <c r="H2" s="1" t="s">
        <v>60</v>
      </c>
      <c r="I2" s="1">
        <v>-123.0</v>
      </c>
      <c r="J2" s="1">
        <v>-0.24866796147954</v>
      </c>
      <c r="K2" s="1" t="s">
        <v>61</v>
      </c>
      <c r="L2" s="1" t="s">
        <v>61</v>
      </c>
      <c r="M2" s="1" t="s">
        <v>62</v>
      </c>
      <c r="N2" s="1">
        <v>-108.0</v>
      </c>
      <c r="O2" s="1">
        <v>0.177867441551599</v>
      </c>
      <c r="P2" s="1" t="s">
        <v>61</v>
      </c>
      <c r="Q2" s="1" t="s">
        <v>61</v>
      </c>
      <c r="R2" s="1">
        <f t="shared" ref="R2:R455" si="1">if(O2&gt;0, O2, J2)</f>
        <v>0.1778674416</v>
      </c>
      <c r="S2" s="1">
        <f t="shared" ref="S2:S455" si="2">if(O2&gt;0,N2,I2)</f>
        <v>-108</v>
      </c>
      <c r="T2" s="1">
        <f t="shared" ref="T2:T455" si="3">if(S2&gt;0, S2/100, -100/S2) + 1</f>
        <v>1.925925926</v>
      </c>
      <c r="U2" s="1">
        <f t="shared" ref="U2:U455" si="4">if(and(M2="under", O2&gt;0),0,1)</f>
        <v>0</v>
      </c>
      <c r="V2" s="3">
        <f t="shared" ref="V2:V455" si="5">IF(R2&lt;0.05, 1,if(R2&gt;0.1,3,2))</f>
        <v>3</v>
      </c>
      <c r="W2" s="3">
        <f t="shared" ref="W2:W455" si="6">IFS(T2&gt;2.1, 1, T2&lt;1.85,3, TRUE,2)</f>
        <v>2</v>
      </c>
      <c r="X2" s="3" t="str">
        <f>IFERROR(__xludf.DUMMYFUNCTION("split(B2,"" "")"),"T.")</f>
        <v>T.</v>
      </c>
      <c r="Y2" s="3" t="str">
        <f>IFERROR(__xludf.DUMMYFUNCTION("""COMPUTED_VALUE"""),"Allgeier")</f>
        <v>Allgeier</v>
      </c>
      <c r="AA2" s="8">
        <v>6.0</v>
      </c>
      <c r="AB2" s="3">
        <f t="shared" ref="AB2:AB455" si="7">if(AA2&lt;G2,0,1)</f>
        <v>0</v>
      </c>
      <c r="AC2" s="3">
        <f t="shared" ref="AC2:AC455" si="8">if(AB2=U2,1,0)</f>
        <v>1</v>
      </c>
      <c r="AD2" s="3">
        <f t="shared" ref="AD2:AD455" si="9">if(S2&lt;0, (100/(-S2))*V2, (S2/100)*V2)</f>
        <v>2.777777778</v>
      </c>
      <c r="AE2" s="3">
        <f t="shared" ref="AE2:AE455" si="10">if(T2&gt;4, 0, if(AC2=1,AD2,-V2))</f>
        <v>2.777777778</v>
      </c>
      <c r="AF2" s="3">
        <f t="shared" ref="AF2:AF455" si="11">IF(AC2=0, -W2, (W2*T2)-W2)</f>
        <v>1.851851852</v>
      </c>
      <c r="AG2" s="3">
        <f t="shared" ref="AG2:AG455" si="12">if(AC2 = 1, ABS((AA2-G2)/G2), ABS((AA2-G2)/G2)*-1)</f>
        <v>0.3684210526</v>
      </c>
    </row>
    <row r="3">
      <c r="A3" s="1" t="s">
        <v>10</v>
      </c>
      <c r="B3" s="1" t="s">
        <v>328</v>
      </c>
      <c r="C3" s="1" t="s">
        <v>21</v>
      </c>
      <c r="D3" s="1" t="s">
        <v>109</v>
      </c>
      <c r="E3" s="1" t="s">
        <v>88</v>
      </c>
      <c r="F3" s="1" t="s">
        <v>658</v>
      </c>
      <c r="G3" s="1">
        <v>0.5</v>
      </c>
      <c r="H3" s="1" t="s">
        <v>60</v>
      </c>
      <c r="I3" s="1">
        <v>-110.0</v>
      </c>
      <c r="J3" s="1">
        <v>0.125749459602713</v>
      </c>
      <c r="K3" s="1" t="s">
        <v>61</v>
      </c>
      <c r="L3" s="1" t="s">
        <v>61</v>
      </c>
      <c r="M3" s="1" t="s">
        <v>62</v>
      </c>
      <c r="N3" s="1">
        <v>-120.0</v>
      </c>
      <c r="O3" s="1">
        <v>-0.1950075628201</v>
      </c>
      <c r="P3" s="1" t="s">
        <v>61</v>
      </c>
      <c r="Q3" s="1" t="s">
        <v>61</v>
      </c>
      <c r="R3" s="1">
        <f t="shared" si="1"/>
        <v>0.1257494596</v>
      </c>
      <c r="S3" s="1">
        <f t="shared" si="2"/>
        <v>-110</v>
      </c>
      <c r="T3" s="1">
        <f t="shared" si="3"/>
        <v>1.909090909</v>
      </c>
      <c r="U3" s="1">
        <f t="shared" si="4"/>
        <v>1</v>
      </c>
      <c r="V3" s="3">
        <f t="shared" si="5"/>
        <v>3</v>
      </c>
      <c r="W3" s="3">
        <f t="shared" si="6"/>
        <v>2</v>
      </c>
      <c r="X3" s="3" t="str">
        <f>IFERROR(__xludf.DUMMYFUNCTION("split(B3,"" "")"),"K.")</f>
        <v>K.</v>
      </c>
      <c r="Y3" s="3" t="str">
        <f>IFERROR(__xludf.DUMMYFUNCTION("""COMPUTED_VALUE"""),"Cousins")</f>
        <v>Cousins</v>
      </c>
      <c r="AA3" s="8">
        <v>-11.0</v>
      </c>
      <c r="AB3" s="3">
        <f t="shared" si="7"/>
        <v>0</v>
      </c>
      <c r="AC3" s="3">
        <f t="shared" si="8"/>
        <v>0</v>
      </c>
      <c r="AD3" s="3">
        <f t="shared" si="9"/>
        <v>2.727272727</v>
      </c>
      <c r="AE3" s="3">
        <f t="shared" si="10"/>
        <v>-3</v>
      </c>
      <c r="AF3" s="3">
        <f t="shared" si="11"/>
        <v>-2</v>
      </c>
      <c r="AG3" s="3">
        <f t="shared" si="12"/>
        <v>-23</v>
      </c>
    </row>
    <row r="4">
      <c r="A4" s="1" t="s">
        <v>12</v>
      </c>
      <c r="B4" s="1" t="s">
        <v>202</v>
      </c>
      <c r="C4" s="1" t="s">
        <v>19</v>
      </c>
      <c r="D4" s="1" t="s">
        <v>109</v>
      </c>
      <c r="E4" s="1" t="s">
        <v>88</v>
      </c>
      <c r="F4" s="1" t="s">
        <v>658</v>
      </c>
      <c r="G4" s="1">
        <v>0.5</v>
      </c>
      <c r="H4" s="1" t="s">
        <v>60</v>
      </c>
      <c r="I4" s="1">
        <v>-243.0</v>
      </c>
      <c r="J4" s="1">
        <v>-0.17165331579446</v>
      </c>
      <c r="K4" s="1" t="s">
        <v>61</v>
      </c>
      <c r="L4" s="1" t="s">
        <v>61</v>
      </c>
      <c r="M4" s="1" t="s">
        <v>62</v>
      </c>
      <c r="N4" s="1">
        <v>180.0</v>
      </c>
      <c r="O4" s="1">
        <v>0.106055311848214</v>
      </c>
      <c r="P4" s="1" t="s">
        <v>61</v>
      </c>
      <c r="Q4" s="1" t="s">
        <v>61</v>
      </c>
      <c r="R4" s="1">
        <f t="shared" si="1"/>
        <v>0.1060553118</v>
      </c>
      <c r="S4" s="1">
        <f t="shared" si="2"/>
        <v>180</v>
      </c>
      <c r="T4" s="1">
        <f t="shared" si="3"/>
        <v>2.8</v>
      </c>
      <c r="U4" s="1">
        <f t="shared" si="4"/>
        <v>0</v>
      </c>
      <c r="V4" s="3">
        <f t="shared" si="5"/>
        <v>3</v>
      </c>
      <c r="W4" s="3">
        <f t="shared" si="6"/>
        <v>1</v>
      </c>
      <c r="X4" s="3" t="str">
        <f>IFERROR(__xludf.DUMMYFUNCTION("split(B4,"" "")"),"T.")</f>
        <v>T.</v>
      </c>
      <c r="Y4" s="3" t="str">
        <f>IFERROR(__xludf.DUMMYFUNCTION("""COMPUTED_VALUE"""),"Allgeier")</f>
        <v>Allgeier</v>
      </c>
      <c r="AA4" s="8">
        <v>0.0</v>
      </c>
      <c r="AB4" s="3">
        <f t="shared" si="7"/>
        <v>0</v>
      </c>
      <c r="AC4" s="3">
        <f t="shared" si="8"/>
        <v>1</v>
      </c>
      <c r="AD4" s="3">
        <f t="shared" si="9"/>
        <v>5.4</v>
      </c>
      <c r="AE4" s="3">
        <f t="shared" si="10"/>
        <v>5.4</v>
      </c>
      <c r="AF4" s="3">
        <f t="shared" si="11"/>
        <v>1.8</v>
      </c>
      <c r="AG4" s="3">
        <f t="shared" si="12"/>
        <v>1</v>
      </c>
    </row>
    <row r="5">
      <c r="A5" s="1" t="s">
        <v>11</v>
      </c>
      <c r="B5" s="1" t="s">
        <v>202</v>
      </c>
      <c r="C5" s="1" t="s">
        <v>19</v>
      </c>
      <c r="D5" s="1" t="s">
        <v>109</v>
      </c>
      <c r="E5" s="1" t="s">
        <v>88</v>
      </c>
      <c r="F5" s="1" t="s">
        <v>658</v>
      </c>
      <c r="G5" s="1">
        <v>4.5</v>
      </c>
      <c r="H5" s="1" t="s">
        <v>60</v>
      </c>
      <c r="I5" s="1">
        <v>-116.0</v>
      </c>
      <c r="J5" s="1">
        <v>0.101695713514973</v>
      </c>
      <c r="K5" s="1" t="s">
        <v>61</v>
      </c>
      <c r="L5" s="1" t="s">
        <v>61</v>
      </c>
      <c r="M5" s="1" t="s">
        <v>62</v>
      </c>
      <c r="N5" s="1">
        <v>-113.0</v>
      </c>
      <c r="O5" s="1">
        <v>-0.169224778191243</v>
      </c>
      <c r="P5" s="1" t="s">
        <v>61</v>
      </c>
      <c r="Q5" s="1" t="s">
        <v>61</v>
      </c>
      <c r="R5" s="1">
        <f t="shared" si="1"/>
        <v>0.1016957135</v>
      </c>
      <c r="S5" s="1">
        <f t="shared" si="2"/>
        <v>-116</v>
      </c>
      <c r="T5" s="1">
        <f t="shared" si="3"/>
        <v>1.862068966</v>
      </c>
      <c r="U5" s="1">
        <f t="shared" si="4"/>
        <v>1</v>
      </c>
      <c r="V5" s="3">
        <f t="shared" si="5"/>
        <v>3</v>
      </c>
      <c r="W5" s="3">
        <f t="shared" si="6"/>
        <v>2</v>
      </c>
      <c r="X5" s="3" t="str">
        <f>IFERROR(__xludf.DUMMYFUNCTION("split(B5,"" "")"),"T.")</f>
        <v>T.</v>
      </c>
      <c r="Y5" s="3" t="str">
        <f>IFERROR(__xludf.DUMMYFUNCTION("""COMPUTED_VALUE"""),"Allgeier")</f>
        <v>Allgeier</v>
      </c>
      <c r="AA5" s="8">
        <v>0.0</v>
      </c>
      <c r="AB5" s="3">
        <f t="shared" si="7"/>
        <v>0</v>
      </c>
      <c r="AC5" s="3">
        <f t="shared" si="8"/>
        <v>0</v>
      </c>
      <c r="AD5" s="3">
        <f t="shared" si="9"/>
        <v>2.586206897</v>
      </c>
      <c r="AE5" s="3">
        <f t="shared" si="10"/>
        <v>-3</v>
      </c>
      <c r="AF5" s="3">
        <f t="shared" si="11"/>
        <v>-2</v>
      </c>
      <c r="AG5" s="3">
        <f t="shared" si="12"/>
        <v>-1</v>
      </c>
    </row>
    <row r="6">
      <c r="A6" s="1" t="s">
        <v>14</v>
      </c>
      <c r="B6" s="1" t="s">
        <v>328</v>
      </c>
      <c r="C6" s="1" t="s">
        <v>21</v>
      </c>
      <c r="D6" s="1" t="s">
        <v>109</v>
      </c>
      <c r="E6" s="1" t="s">
        <v>88</v>
      </c>
      <c r="F6" s="1" t="s">
        <v>658</v>
      </c>
      <c r="G6" s="1">
        <v>1.5</v>
      </c>
      <c r="H6" s="1" t="s">
        <v>60</v>
      </c>
      <c r="I6" s="1">
        <v>-161.0</v>
      </c>
      <c r="J6" s="1">
        <v>-0.134219923371647</v>
      </c>
      <c r="K6" s="1" t="s">
        <v>61</v>
      </c>
      <c r="L6" s="1" t="s">
        <v>61</v>
      </c>
      <c r="M6" s="1" t="s">
        <v>62</v>
      </c>
      <c r="N6" s="1">
        <v>125.0</v>
      </c>
      <c r="O6" s="1">
        <v>0.0729111111111112</v>
      </c>
      <c r="P6" s="1" t="s">
        <v>61</v>
      </c>
      <c r="Q6" s="1" t="s">
        <v>61</v>
      </c>
      <c r="R6" s="1">
        <f t="shared" si="1"/>
        <v>0.07291111111</v>
      </c>
      <c r="S6" s="1">
        <f t="shared" si="2"/>
        <v>125</v>
      </c>
      <c r="T6" s="1">
        <f t="shared" si="3"/>
        <v>2.25</v>
      </c>
      <c r="U6" s="1">
        <f t="shared" si="4"/>
        <v>0</v>
      </c>
      <c r="V6" s="3">
        <f t="shared" si="5"/>
        <v>2</v>
      </c>
      <c r="W6" s="3">
        <f t="shared" si="6"/>
        <v>1</v>
      </c>
      <c r="X6" s="3" t="str">
        <f>IFERROR(__xludf.DUMMYFUNCTION("split(B6,"" "")"),"K.")</f>
        <v>K.</v>
      </c>
      <c r="Y6" s="3" t="str">
        <f>IFERROR(__xludf.DUMMYFUNCTION("""COMPUTED_VALUE"""),"Cousins")</f>
        <v>Cousins</v>
      </c>
      <c r="AA6" s="8">
        <v>3.0</v>
      </c>
      <c r="AB6" s="3">
        <f t="shared" si="7"/>
        <v>1</v>
      </c>
      <c r="AC6" s="3">
        <f t="shared" si="8"/>
        <v>0</v>
      </c>
      <c r="AD6" s="3">
        <f t="shared" si="9"/>
        <v>2.5</v>
      </c>
      <c r="AE6" s="3">
        <f t="shared" si="10"/>
        <v>-2</v>
      </c>
      <c r="AF6" s="3">
        <f t="shared" si="11"/>
        <v>-1</v>
      </c>
      <c r="AG6" s="3">
        <f t="shared" si="12"/>
        <v>-1</v>
      </c>
    </row>
    <row r="7">
      <c r="A7" s="1" t="s">
        <v>11</v>
      </c>
      <c r="B7" s="1" t="s">
        <v>108</v>
      </c>
      <c r="C7" s="1" t="s">
        <v>20</v>
      </c>
      <c r="D7" s="1" t="s">
        <v>109</v>
      </c>
      <c r="E7" s="1" t="s">
        <v>88</v>
      </c>
      <c r="F7" s="1" t="s">
        <v>658</v>
      </c>
      <c r="G7" s="1">
        <v>46.5</v>
      </c>
      <c r="H7" s="1" t="s">
        <v>60</v>
      </c>
      <c r="I7" s="1">
        <v>-124.0</v>
      </c>
      <c r="J7" s="1">
        <v>-0.121629940987678</v>
      </c>
      <c r="K7" s="1" t="s">
        <v>61</v>
      </c>
      <c r="L7" s="1" t="s">
        <v>61</v>
      </c>
      <c r="M7" s="1" t="s">
        <v>62</v>
      </c>
      <c r="N7" s="1">
        <v>-105.0</v>
      </c>
      <c r="O7" s="1">
        <v>0.0558563328953659</v>
      </c>
      <c r="P7" s="1" t="s">
        <v>61</v>
      </c>
      <c r="Q7" s="1" t="s">
        <v>61</v>
      </c>
      <c r="R7" s="1">
        <f t="shared" si="1"/>
        <v>0.0558563329</v>
      </c>
      <c r="S7" s="1">
        <f t="shared" si="2"/>
        <v>-105</v>
      </c>
      <c r="T7" s="1">
        <f t="shared" si="3"/>
        <v>1.952380952</v>
      </c>
      <c r="U7" s="1">
        <f t="shared" si="4"/>
        <v>0</v>
      </c>
      <c r="V7" s="3">
        <f t="shared" si="5"/>
        <v>2</v>
      </c>
      <c r="W7" s="3">
        <f t="shared" si="6"/>
        <v>2</v>
      </c>
      <c r="X7" s="3" t="str">
        <f>IFERROR(__xludf.DUMMYFUNCTION("split(B7,"" "")"),"K.")</f>
        <v>K.</v>
      </c>
      <c r="Y7" s="3" t="str">
        <f>IFERROR(__xludf.DUMMYFUNCTION("""COMPUTED_VALUE"""),"Pitts")</f>
        <v>Pitts</v>
      </c>
      <c r="AA7" s="8">
        <v>11.0</v>
      </c>
      <c r="AB7" s="3">
        <f t="shared" si="7"/>
        <v>0</v>
      </c>
      <c r="AC7" s="3">
        <f t="shared" si="8"/>
        <v>1</v>
      </c>
      <c r="AD7" s="3">
        <f t="shared" si="9"/>
        <v>1.904761905</v>
      </c>
      <c r="AE7" s="3">
        <f t="shared" si="10"/>
        <v>1.904761905</v>
      </c>
      <c r="AF7" s="3">
        <f t="shared" si="11"/>
        <v>1.904761905</v>
      </c>
      <c r="AG7" s="3">
        <f t="shared" si="12"/>
        <v>0.7634408602</v>
      </c>
    </row>
    <row r="8">
      <c r="A8" s="1" t="s">
        <v>12</v>
      </c>
      <c r="B8" s="1" t="s">
        <v>264</v>
      </c>
      <c r="C8" s="1" t="s">
        <v>19</v>
      </c>
      <c r="D8" s="1" t="s">
        <v>109</v>
      </c>
      <c r="E8" s="1" t="s">
        <v>88</v>
      </c>
      <c r="F8" s="1" t="s">
        <v>658</v>
      </c>
      <c r="G8" s="1">
        <v>3.5</v>
      </c>
      <c r="H8" s="1" t="s">
        <v>60</v>
      </c>
      <c r="I8" s="1">
        <v>-109.0</v>
      </c>
      <c r="J8" s="1">
        <v>-0.124378947368421</v>
      </c>
      <c r="K8" s="1" t="s">
        <v>61</v>
      </c>
      <c r="L8" s="1" t="s">
        <v>61</v>
      </c>
      <c r="M8" s="1" t="s">
        <v>62</v>
      </c>
      <c r="N8" s="1">
        <v>-122.0</v>
      </c>
      <c r="O8" s="1">
        <v>0.0533054054054055</v>
      </c>
      <c r="P8" s="1" t="s">
        <v>61</v>
      </c>
      <c r="Q8" s="1" t="s">
        <v>61</v>
      </c>
      <c r="R8" s="1">
        <f t="shared" si="1"/>
        <v>0.05330540541</v>
      </c>
      <c r="S8" s="1">
        <f t="shared" si="2"/>
        <v>-122</v>
      </c>
      <c r="T8" s="1">
        <f t="shared" si="3"/>
        <v>1.819672131</v>
      </c>
      <c r="U8" s="1">
        <f t="shared" si="4"/>
        <v>0</v>
      </c>
      <c r="V8" s="3">
        <f t="shared" si="5"/>
        <v>2</v>
      </c>
      <c r="W8" s="3">
        <f t="shared" si="6"/>
        <v>3</v>
      </c>
      <c r="X8" s="3" t="str">
        <f>IFERROR(__xludf.DUMMYFUNCTION("split(B8,"" "")"),"B.")</f>
        <v>B.</v>
      </c>
      <c r="Y8" s="3" t="str">
        <f>IFERROR(__xludf.DUMMYFUNCTION("""COMPUTED_VALUE"""),"Robinson")</f>
        <v>Robinson</v>
      </c>
      <c r="AA8" s="8">
        <v>7.0</v>
      </c>
      <c r="AB8" s="3">
        <f t="shared" si="7"/>
        <v>1</v>
      </c>
      <c r="AC8" s="3">
        <f t="shared" si="8"/>
        <v>0</v>
      </c>
      <c r="AD8" s="3">
        <f t="shared" si="9"/>
        <v>1.639344262</v>
      </c>
      <c r="AE8" s="3">
        <f t="shared" si="10"/>
        <v>-2</v>
      </c>
      <c r="AF8" s="3">
        <f t="shared" si="11"/>
        <v>-3</v>
      </c>
      <c r="AG8" s="3">
        <f t="shared" si="12"/>
        <v>-1</v>
      </c>
    </row>
    <row r="9">
      <c r="A9" s="1" t="s">
        <v>10</v>
      </c>
      <c r="B9" s="1" t="s">
        <v>202</v>
      </c>
      <c r="C9" s="1" t="s">
        <v>19</v>
      </c>
      <c r="D9" s="1" t="s">
        <v>109</v>
      </c>
      <c r="E9" s="1" t="s">
        <v>88</v>
      </c>
      <c r="F9" s="1" t="s">
        <v>658</v>
      </c>
      <c r="G9" s="1">
        <v>42.5</v>
      </c>
      <c r="H9" s="1" t="s">
        <v>60</v>
      </c>
      <c r="I9" s="1">
        <v>-117.0</v>
      </c>
      <c r="J9" s="1">
        <v>-0.11930207263358</v>
      </c>
      <c r="K9" s="1" t="s">
        <v>61</v>
      </c>
      <c r="L9" s="1" t="s">
        <v>61</v>
      </c>
      <c r="M9" s="1" t="s">
        <v>62</v>
      </c>
      <c r="N9" s="1">
        <v>-112.0</v>
      </c>
      <c r="O9" s="1">
        <v>0.0518484559062707</v>
      </c>
      <c r="P9" s="1" t="s">
        <v>61</v>
      </c>
      <c r="Q9" s="1" t="s">
        <v>61</v>
      </c>
      <c r="R9" s="1">
        <f t="shared" si="1"/>
        <v>0.05184845591</v>
      </c>
      <c r="S9" s="1">
        <f t="shared" si="2"/>
        <v>-112</v>
      </c>
      <c r="T9" s="1">
        <f t="shared" si="3"/>
        <v>1.892857143</v>
      </c>
      <c r="U9" s="1">
        <f t="shared" si="4"/>
        <v>0</v>
      </c>
      <c r="V9" s="3">
        <f t="shared" si="5"/>
        <v>2</v>
      </c>
      <c r="W9" s="3">
        <f t="shared" si="6"/>
        <v>2</v>
      </c>
      <c r="X9" s="3" t="str">
        <f>IFERROR(__xludf.DUMMYFUNCTION("split(B9,"" "")"),"T.")</f>
        <v>T.</v>
      </c>
      <c r="Y9" s="3" t="str">
        <f>IFERROR(__xludf.DUMMYFUNCTION("""COMPUTED_VALUE"""),"Allgeier")</f>
        <v>Allgeier</v>
      </c>
      <c r="AA9" s="8">
        <v>18.0</v>
      </c>
      <c r="AB9" s="3">
        <f t="shared" si="7"/>
        <v>0</v>
      </c>
      <c r="AC9" s="3">
        <f t="shared" si="8"/>
        <v>1</v>
      </c>
      <c r="AD9" s="3">
        <f t="shared" si="9"/>
        <v>1.785714286</v>
      </c>
      <c r="AE9" s="3">
        <f t="shared" si="10"/>
        <v>1.785714286</v>
      </c>
      <c r="AF9" s="3">
        <f t="shared" si="11"/>
        <v>1.785714286</v>
      </c>
      <c r="AG9" s="3">
        <f t="shared" si="12"/>
        <v>0.5764705882</v>
      </c>
    </row>
    <row r="10">
      <c r="A10" s="1" t="s">
        <v>9</v>
      </c>
      <c r="B10" s="1" t="s">
        <v>501</v>
      </c>
      <c r="C10" s="1" t="s">
        <v>18</v>
      </c>
      <c r="D10" s="1" t="s">
        <v>109</v>
      </c>
      <c r="E10" s="1" t="s">
        <v>88</v>
      </c>
      <c r="F10" s="1" t="s">
        <v>658</v>
      </c>
      <c r="G10" s="1">
        <v>32.5</v>
      </c>
      <c r="H10" s="1" t="s">
        <v>60</v>
      </c>
      <c r="I10" s="1">
        <v>-116.0</v>
      </c>
      <c r="J10" s="1">
        <v>0.0357830832360769</v>
      </c>
      <c r="K10" s="1" t="s">
        <v>61</v>
      </c>
      <c r="L10" s="1" t="s">
        <v>61</v>
      </c>
      <c r="M10" s="1" t="s">
        <v>62</v>
      </c>
      <c r="N10" s="1">
        <v>-116.0</v>
      </c>
      <c r="O10" s="1">
        <v>-0.109812376553849</v>
      </c>
      <c r="P10" s="1" t="s">
        <v>61</v>
      </c>
      <c r="Q10" s="1" t="s">
        <v>61</v>
      </c>
      <c r="R10" s="1">
        <f t="shared" si="1"/>
        <v>0.03578308324</v>
      </c>
      <c r="S10" s="1">
        <f t="shared" si="2"/>
        <v>-116</v>
      </c>
      <c r="T10" s="1">
        <f t="shared" si="3"/>
        <v>1.862068966</v>
      </c>
      <c r="U10" s="1">
        <f t="shared" si="4"/>
        <v>1</v>
      </c>
      <c r="V10" s="3">
        <f t="shared" si="5"/>
        <v>1</v>
      </c>
      <c r="W10" s="3">
        <f t="shared" si="6"/>
        <v>2</v>
      </c>
      <c r="X10" s="3" t="str">
        <f>IFERROR(__xludf.DUMMYFUNCTION("split(B10,"" "")"),"R.")</f>
        <v>R.</v>
      </c>
      <c r="Y10" s="3" t="str">
        <f>IFERROR(__xludf.DUMMYFUNCTION("""COMPUTED_VALUE"""),"McCloud")</f>
        <v>McCloud</v>
      </c>
      <c r="Z10" s="3" t="str">
        <f>IFERROR(__xludf.DUMMYFUNCTION("""COMPUTED_VALUE"""),"III")</f>
        <v>III</v>
      </c>
      <c r="AA10" s="8">
        <v>35.0</v>
      </c>
      <c r="AB10" s="3">
        <f t="shared" si="7"/>
        <v>1</v>
      </c>
      <c r="AC10" s="3">
        <f t="shared" si="8"/>
        <v>1</v>
      </c>
      <c r="AD10" s="3">
        <f t="shared" si="9"/>
        <v>0.8620689655</v>
      </c>
      <c r="AE10" s="3">
        <f t="shared" si="10"/>
        <v>0.8620689655</v>
      </c>
      <c r="AF10" s="3">
        <f t="shared" si="11"/>
        <v>1.724137931</v>
      </c>
      <c r="AG10" s="3">
        <f t="shared" si="12"/>
        <v>0.07692307692</v>
      </c>
    </row>
    <row r="11">
      <c r="A11" s="1" t="s">
        <v>15</v>
      </c>
      <c r="B11" s="1" t="s">
        <v>328</v>
      </c>
      <c r="C11" s="1" t="s">
        <v>21</v>
      </c>
      <c r="D11" s="1" t="s">
        <v>109</v>
      </c>
      <c r="E11" s="1" t="s">
        <v>88</v>
      </c>
      <c r="F11" s="1" t="s">
        <v>658</v>
      </c>
      <c r="G11" s="1">
        <v>23.5</v>
      </c>
      <c r="H11" s="1" t="s">
        <v>60</v>
      </c>
      <c r="I11" s="1">
        <v>101.0</v>
      </c>
      <c r="J11" s="1">
        <v>0.0342870646766169</v>
      </c>
      <c r="K11" s="1" t="s">
        <v>61</v>
      </c>
      <c r="L11" s="1" t="s">
        <v>61</v>
      </c>
      <c r="M11" s="1" t="s">
        <v>62</v>
      </c>
      <c r="N11" s="1">
        <v>-131.0</v>
      </c>
      <c r="O11" s="1">
        <v>-0.0988861471861471</v>
      </c>
      <c r="P11" s="1" t="s">
        <v>61</v>
      </c>
      <c r="Q11" s="1" t="s">
        <v>61</v>
      </c>
      <c r="R11" s="1">
        <f t="shared" si="1"/>
        <v>0.03428706468</v>
      </c>
      <c r="S11" s="1">
        <f t="shared" si="2"/>
        <v>101</v>
      </c>
      <c r="T11" s="1">
        <f t="shared" si="3"/>
        <v>2.01</v>
      </c>
      <c r="U11" s="1">
        <f t="shared" si="4"/>
        <v>1</v>
      </c>
      <c r="V11" s="3">
        <f t="shared" si="5"/>
        <v>1</v>
      </c>
      <c r="W11" s="3">
        <f t="shared" si="6"/>
        <v>2</v>
      </c>
      <c r="X11" s="3" t="str">
        <f>IFERROR(__xludf.DUMMYFUNCTION("split(B11,"" "")"),"K.")</f>
        <v>K.</v>
      </c>
      <c r="Y11" s="3" t="str">
        <f>IFERROR(__xludf.DUMMYFUNCTION("""COMPUTED_VALUE"""),"Cousins")</f>
        <v>Cousins</v>
      </c>
      <c r="AA11" s="8">
        <v>19.0</v>
      </c>
      <c r="AB11" s="3">
        <f t="shared" si="7"/>
        <v>0</v>
      </c>
      <c r="AC11" s="3">
        <f t="shared" si="8"/>
        <v>0</v>
      </c>
      <c r="AD11" s="3">
        <f t="shared" si="9"/>
        <v>1.01</v>
      </c>
      <c r="AE11" s="3">
        <f t="shared" si="10"/>
        <v>-1</v>
      </c>
      <c r="AF11" s="3">
        <f t="shared" si="11"/>
        <v>-2</v>
      </c>
      <c r="AG11" s="3">
        <f t="shared" si="12"/>
        <v>-0.1914893617</v>
      </c>
    </row>
    <row r="12">
      <c r="A12" s="1" t="s">
        <v>12</v>
      </c>
      <c r="B12" s="1" t="s">
        <v>499</v>
      </c>
      <c r="C12" s="1" t="s">
        <v>18</v>
      </c>
      <c r="D12" s="1" t="s">
        <v>109</v>
      </c>
      <c r="E12" s="1" t="s">
        <v>88</v>
      </c>
      <c r="F12" s="1" t="s">
        <v>658</v>
      </c>
      <c r="G12" s="1">
        <v>5.5</v>
      </c>
      <c r="H12" s="1" t="s">
        <v>60</v>
      </c>
      <c r="I12" s="1">
        <v>-139.0</v>
      </c>
      <c r="J12" s="1">
        <v>0.0217100418410041</v>
      </c>
      <c r="K12" s="1" t="s">
        <v>61</v>
      </c>
      <c r="L12" s="1" t="s">
        <v>61</v>
      </c>
      <c r="M12" s="1" t="s">
        <v>62</v>
      </c>
      <c r="N12" s="1">
        <v>105.0</v>
      </c>
      <c r="O12" s="1">
        <v>-0.0911048780487805</v>
      </c>
      <c r="P12" s="1" t="s">
        <v>61</v>
      </c>
      <c r="Q12" s="1" t="s">
        <v>61</v>
      </c>
      <c r="R12" s="1">
        <f t="shared" si="1"/>
        <v>0.02171004184</v>
      </c>
      <c r="S12" s="1">
        <f t="shared" si="2"/>
        <v>-139</v>
      </c>
      <c r="T12" s="1">
        <f t="shared" si="3"/>
        <v>1.71942446</v>
      </c>
      <c r="U12" s="1">
        <f t="shared" si="4"/>
        <v>1</v>
      </c>
      <c r="V12" s="3">
        <f t="shared" si="5"/>
        <v>1</v>
      </c>
      <c r="W12" s="3">
        <f t="shared" si="6"/>
        <v>3</v>
      </c>
      <c r="X12" s="3" t="str">
        <f>IFERROR(__xludf.DUMMYFUNCTION("split(B12,"" "")"),"D.")</f>
        <v>D.</v>
      </c>
      <c r="Y12" s="3" t="str">
        <f>IFERROR(__xludf.DUMMYFUNCTION("""COMPUTED_VALUE"""),"London")</f>
        <v>London</v>
      </c>
      <c r="AA12" s="8">
        <v>2.0</v>
      </c>
      <c r="AB12" s="3">
        <f t="shared" si="7"/>
        <v>0</v>
      </c>
      <c r="AC12" s="3">
        <f t="shared" si="8"/>
        <v>0</v>
      </c>
      <c r="AD12" s="3">
        <f t="shared" si="9"/>
        <v>0.7194244604</v>
      </c>
      <c r="AE12" s="3">
        <f t="shared" si="10"/>
        <v>-1</v>
      </c>
      <c r="AF12" s="3">
        <f t="shared" si="11"/>
        <v>-3</v>
      </c>
      <c r="AG12" s="3">
        <f t="shared" si="12"/>
        <v>-0.6363636364</v>
      </c>
    </row>
    <row r="13">
      <c r="A13" s="1" t="s">
        <v>12</v>
      </c>
      <c r="B13" s="1" t="s">
        <v>355</v>
      </c>
      <c r="C13" s="1" t="s">
        <v>18</v>
      </c>
      <c r="D13" s="1" t="s">
        <v>109</v>
      </c>
      <c r="E13" s="1" t="s">
        <v>88</v>
      </c>
      <c r="F13" s="1" t="s">
        <v>658</v>
      </c>
      <c r="G13" s="1">
        <v>4.5</v>
      </c>
      <c r="H13" s="1" t="s">
        <v>60</v>
      </c>
      <c r="I13" s="1">
        <v>-112.0</v>
      </c>
      <c r="J13" s="1">
        <v>-0.0883490566037736</v>
      </c>
      <c r="K13" s="1" t="s">
        <v>61</v>
      </c>
      <c r="L13" s="1" t="s">
        <v>61</v>
      </c>
      <c r="M13" s="1" t="s">
        <v>62</v>
      </c>
      <c r="N13" s="1">
        <v>-117.0</v>
      </c>
      <c r="O13" s="1">
        <v>0.0208834101382489</v>
      </c>
      <c r="P13" s="1" t="s">
        <v>61</v>
      </c>
      <c r="Q13" s="1" t="s">
        <v>61</v>
      </c>
      <c r="R13" s="1">
        <f t="shared" si="1"/>
        <v>0.02088341014</v>
      </c>
      <c r="S13" s="1">
        <f t="shared" si="2"/>
        <v>-117</v>
      </c>
      <c r="T13" s="1">
        <f t="shared" si="3"/>
        <v>1.854700855</v>
      </c>
      <c r="U13" s="1">
        <f t="shared" si="4"/>
        <v>0</v>
      </c>
      <c r="V13" s="3">
        <f t="shared" si="5"/>
        <v>1</v>
      </c>
      <c r="W13" s="3">
        <f t="shared" si="6"/>
        <v>2</v>
      </c>
      <c r="X13" s="3" t="str">
        <f>IFERROR(__xludf.DUMMYFUNCTION("split(B13,"" "")"),"D.")</f>
        <v>D.</v>
      </c>
      <c r="Y13" s="3" t="str">
        <f>IFERROR(__xludf.DUMMYFUNCTION("""COMPUTED_VALUE"""),"Mooney")</f>
        <v>Mooney</v>
      </c>
      <c r="AA13" s="8">
        <v>5.0</v>
      </c>
      <c r="AB13" s="3">
        <f t="shared" si="7"/>
        <v>1</v>
      </c>
      <c r="AC13" s="3">
        <f t="shared" si="8"/>
        <v>0</v>
      </c>
      <c r="AD13" s="3">
        <f t="shared" si="9"/>
        <v>0.8547008547</v>
      </c>
      <c r="AE13" s="3">
        <f t="shared" si="10"/>
        <v>-1</v>
      </c>
      <c r="AF13" s="3">
        <f t="shared" si="11"/>
        <v>-2</v>
      </c>
      <c r="AG13" s="3">
        <f t="shared" si="12"/>
        <v>-0.1111111111</v>
      </c>
    </row>
    <row r="14">
      <c r="A14" s="1" t="s">
        <v>10</v>
      </c>
      <c r="B14" s="1" t="s">
        <v>264</v>
      </c>
      <c r="C14" s="1" t="s">
        <v>19</v>
      </c>
      <c r="D14" s="1" t="s">
        <v>109</v>
      </c>
      <c r="E14" s="1" t="s">
        <v>88</v>
      </c>
      <c r="F14" s="1" t="s">
        <v>658</v>
      </c>
      <c r="G14" s="1">
        <v>71.5</v>
      </c>
      <c r="H14" s="1" t="s">
        <v>60</v>
      </c>
      <c r="I14" s="1">
        <v>-116.0</v>
      </c>
      <c r="J14" s="1">
        <v>-0.0834855011861587</v>
      </c>
      <c r="K14" s="1" t="s">
        <v>61</v>
      </c>
      <c r="L14" s="1" t="s">
        <v>61</v>
      </c>
      <c r="M14" s="1" t="s">
        <v>62</v>
      </c>
      <c r="N14" s="1">
        <v>-112.0</v>
      </c>
      <c r="O14" s="1">
        <v>0.0181516532281428</v>
      </c>
      <c r="P14" s="1" t="s">
        <v>61</v>
      </c>
      <c r="Q14" s="1" t="s">
        <v>61</v>
      </c>
      <c r="R14" s="1">
        <f t="shared" si="1"/>
        <v>0.01815165323</v>
      </c>
      <c r="S14" s="1">
        <f t="shared" si="2"/>
        <v>-112</v>
      </c>
      <c r="T14" s="1">
        <f t="shared" si="3"/>
        <v>1.892857143</v>
      </c>
      <c r="U14" s="1">
        <f t="shared" si="4"/>
        <v>0</v>
      </c>
      <c r="V14" s="3">
        <f t="shared" si="5"/>
        <v>1</v>
      </c>
      <c r="W14" s="3">
        <f t="shared" si="6"/>
        <v>2</v>
      </c>
      <c r="X14" s="3" t="str">
        <f>IFERROR(__xludf.DUMMYFUNCTION("split(B14,"" "")"),"B.")</f>
        <v>B.</v>
      </c>
      <c r="Y14" s="3" t="str">
        <f>IFERROR(__xludf.DUMMYFUNCTION("""COMPUTED_VALUE"""),"Robinson")</f>
        <v>Robinson</v>
      </c>
      <c r="AA14" s="8">
        <v>86.0</v>
      </c>
      <c r="AB14" s="3">
        <f t="shared" si="7"/>
        <v>1</v>
      </c>
      <c r="AC14" s="3">
        <f t="shared" si="8"/>
        <v>0</v>
      </c>
      <c r="AD14" s="3">
        <f t="shared" si="9"/>
        <v>0.8928571429</v>
      </c>
      <c r="AE14" s="3">
        <f t="shared" si="10"/>
        <v>-1</v>
      </c>
      <c r="AF14" s="3">
        <f t="shared" si="11"/>
        <v>-2</v>
      </c>
      <c r="AG14" s="3">
        <f t="shared" si="12"/>
        <v>-0.2027972028</v>
      </c>
    </row>
    <row r="15">
      <c r="A15" s="1" t="s">
        <v>11</v>
      </c>
      <c r="B15" s="1" t="s">
        <v>355</v>
      </c>
      <c r="C15" s="1" t="s">
        <v>18</v>
      </c>
      <c r="D15" s="1" t="s">
        <v>109</v>
      </c>
      <c r="E15" s="1" t="s">
        <v>88</v>
      </c>
      <c r="F15" s="1" t="s">
        <v>658</v>
      </c>
      <c r="G15" s="1">
        <v>54.5</v>
      </c>
      <c r="H15" s="1" t="s">
        <v>60</v>
      </c>
      <c r="I15" s="1">
        <v>-120.0</v>
      </c>
      <c r="J15" s="1">
        <v>-0.0853807573612724</v>
      </c>
      <c r="K15" s="1" t="s">
        <v>61</v>
      </c>
      <c r="L15" s="1" t="s">
        <v>61</v>
      </c>
      <c r="M15" s="1" t="s">
        <v>62</v>
      </c>
      <c r="N15" s="1">
        <v>-110.0</v>
      </c>
      <c r="O15" s="1">
        <v>0.0161509578614283</v>
      </c>
      <c r="P15" s="1" t="s">
        <v>61</v>
      </c>
      <c r="Q15" s="1" t="s">
        <v>61</v>
      </c>
      <c r="R15" s="1">
        <f t="shared" si="1"/>
        <v>0.01615095786</v>
      </c>
      <c r="S15" s="1">
        <f t="shared" si="2"/>
        <v>-110</v>
      </c>
      <c r="T15" s="1">
        <f t="shared" si="3"/>
        <v>1.909090909</v>
      </c>
      <c r="U15" s="1">
        <f t="shared" si="4"/>
        <v>0</v>
      </c>
      <c r="V15" s="3">
        <f t="shared" si="5"/>
        <v>1</v>
      </c>
      <c r="W15" s="3">
        <f t="shared" si="6"/>
        <v>2</v>
      </c>
      <c r="X15" s="3" t="str">
        <f>IFERROR(__xludf.DUMMYFUNCTION("split(B15,"" "")"),"D.")</f>
        <v>D.</v>
      </c>
      <c r="Y15" s="3" t="str">
        <f>IFERROR(__xludf.DUMMYFUNCTION("""COMPUTED_VALUE"""),"Mooney")</f>
        <v>Mooney</v>
      </c>
      <c r="AA15" s="8">
        <v>88.0</v>
      </c>
      <c r="AB15" s="3">
        <f t="shared" si="7"/>
        <v>1</v>
      </c>
      <c r="AC15" s="3">
        <f t="shared" si="8"/>
        <v>0</v>
      </c>
      <c r="AD15" s="3">
        <f t="shared" si="9"/>
        <v>0.9090909091</v>
      </c>
      <c r="AE15" s="3">
        <f t="shared" si="10"/>
        <v>-1</v>
      </c>
      <c r="AF15" s="3">
        <f t="shared" si="11"/>
        <v>-2</v>
      </c>
      <c r="AG15" s="3">
        <f t="shared" si="12"/>
        <v>-0.6146788991</v>
      </c>
    </row>
    <row r="16">
      <c r="A16" s="1" t="s">
        <v>17</v>
      </c>
      <c r="B16" s="1" t="s">
        <v>328</v>
      </c>
      <c r="C16" s="1" t="s">
        <v>21</v>
      </c>
      <c r="D16" s="1" t="s">
        <v>109</v>
      </c>
      <c r="E16" s="1" t="s">
        <v>88</v>
      </c>
      <c r="F16" s="1" t="s">
        <v>658</v>
      </c>
      <c r="G16" s="1">
        <v>0.5</v>
      </c>
      <c r="H16" s="1" t="s">
        <v>60</v>
      </c>
      <c r="I16" s="1">
        <v>-109.0</v>
      </c>
      <c r="J16" s="1">
        <v>-0.0734789473684209</v>
      </c>
      <c r="K16" s="1" t="s">
        <v>61</v>
      </c>
      <c r="L16" s="1" t="s">
        <v>61</v>
      </c>
      <c r="M16" s="1" t="s">
        <v>62</v>
      </c>
      <c r="N16" s="1">
        <v>-119.0</v>
      </c>
      <c r="O16" s="1">
        <v>0.00857534246575353</v>
      </c>
      <c r="P16" s="1" t="s">
        <v>61</v>
      </c>
      <c r="Q16" s="1" t="s">
        <v>61</v>
      </c>
      <c r="R16" s="1">
        <f t="shared" si="1"/>
        <v>0.008575342466</v>
      </c>
      <c r="S16" s="1">
        <f t="shared" si="2"/>
        <v>-119</v>
      </c>
      <c r="T16" s="1">
        <f t="shared" si="3"/>
        <v>1.840336134</v>
      </c>
      <c r="U16" s="1">
        <f t="shared" si="4"/>
        <v>0</v>
      </c>
      <c r="V16" s="3">
        <f t="shared" si="5"/>
        <v>1</v>
      </c>
      <c r="W16" s="3">
        <f t="shared" si="6"/>
        <v>3</v>
      </c>
      <c r="X16" s="3" t="str">
        <f>IFERROR(__xludf.DUMMYFUNCTION("split(B16,"" "")"),"K.")</f>
        <v>K.</v>
      </c>
      <c r="Y16" s="3" t="str">
        <f>IFERROR(__xludf.DUMMYFUNCTION("""COMPUTED_VALUE"""),"Cousins")</f>
        <v>Cousins</v>
      </c>
      <c r="AA16" s="8">
        <v>0.0</v>
      </c>
      <c r="AB16" s="3">
        <f t="shared" si="7"/>
        <v>0</v>
      </c>
      <c r="AC16" s="3">
        <f t="shared" si="8"/>
        <v>1</v>
      </c>
      <c r="AD16" s="3">
        <f t="shared" si="9"/>
        <v>0.8403361345</v>
      </c>
      <c r="AE16" s="3">
        <f t="shared" si="10"/>
        <v>0.8403361345</v>
      </c>
      <c r="AF16" s="3">
        <f t="shared" si="11"/>
        <v>2.521008403</v>
      </c>
      <c r="AG16" s="3">
        <f t="shared" si="12"/>
        <v>1</v>
      </c>
    </row>
    <row r="17">
      <c r="A17" s="1" t="s">
        <v>11</v>
      </c>
      <c r="B17" s="1" t="s">
        <v>264</v>
      </c>
      <c r="C17" s="1" t="s">
        <v>19</v>
      </c>
      <c r="D17" s="1" t="s">
        <v>109</v>
      </c>
      <c r="E17" s="1" t="s">
        <v>88</v>
      </c>
      <c r="F17" s="1" t="s">
        <v>658</v>
      </c>
      <c r="G17" s="1">
        <v>23.5</v>
      </c>
      <c r="H17" s="1" t="s">
        <v>60</v>
      </c>
      <c r="I17" s="1">
        <v>-115.0</v>
      </c>
      <c r="J17" s="1">
        <v>-0.0741353484869907</v>
      </c>
      <c r="K17" s="1" t="s">
        <v>61</v>
      </c>
      <c r="L17" s="1" t="s">
        <v>61</v>
      </c>
      <c r="M17" s="1" t="s">
        <v>62</v>
      </c>
      <c r="N17" s="1">
        <v>-114.0</v>
      </c>
      <c r="O17" s="1">
        <v>0.00659244819701598</v>
      </c>
      <c r="P17" s="1" t="s">
        <v>61</v>
      </c>
      <c r="Q17" s="1" t="s">
        <v>61</v>
      </c>
      <c r="R17" s="1">
        <f t="shared" si="1"/>
        <v>0.006592448197</v>
      </c>
      <c r="S17" s="1">
        <f t="shared" si="2"/>
        <v>-114</v>
      </c>
      <c r="T17" s="1">
        <f t="shared" si="3"/>
        <v>1.877192982</v>
      </c>
      <c r="U17" s="1">
        <f t="shared" si="4"/>
        <v>0</v>
      </c>
      <c r="V17" s="3">
        <f t="shared" si="5"/>
        <v>1</v>
      </c>
      <c r="W17" s="3">
        <f t="shared" si="6"/>
        <v>2</v>
      </c>
      <c r="X17" s="3" t="str">
        <f>IFERROR(__xludf.DUMMYFUNCTION("split(B17,"" "")"),"B.")</f>
        <v>B.</v>
      </c>
      <c r="Y17" s="3" t="str">
        <f>IFERROR(__xludf.DUMMYFUNCTION("""COMPUTED_VALUE"""),"Robinson")</f>
        <v>Robinson</v>
      </c>
      <c r="AA17" s="8">
        <v>59.0</v>
      </c>
      <c r="AB17" s="3">
        <f t="shared" si="7"/>
        <v>1</v>
      </c>
      <c r="AC17" s="3">
        <f t="shared" si="8"/>
        <v>0</v>
      </c>
      <c r="AD17" s="3">
        <f t="shared" si="9"/>
        <v>0.8771929825</v>
      </c>
      <c r="AE17" s="3">
        <f t="shared" si="10"/>
        <v>-1</v>
      </c>
      <c r="AF17" s="3">
        <f t="shared" si="11"/>
        <v>-2</v>
      </c>
      <c r="AG17" s="3">
        <f t="shared" si="12"/>
        <v>-1.510638298</v>
      </c>
    </row>
    <row r="18">
      <c r="A18" s="1" t="s">
        <v>10</v>
      </c>
      <c r="B18" s="1" t="s">
        <v>353</v>
      </c>
      <c r="C18" s="1" t="s">
        <v>18</v>
      </c>
      <c r="D18" s="1" t="s">
        <v>77</v>
      </c>
      <c r="E18" s="1" t="s">
        <v>83</v>
      </c>
      <c r="F18" s="1" t="s">
        <v>658</v>
      </c>
      <c r="G18" s="1">
        <v>0.5</v>
      </c>
      <c r="H18" s="1" t="s">
        <v>60</v>
      </c>
      <c r="I18" s="1">
        <v>861.0</v>
      </c>
      <c r="J18" s="1">
        <v>0.508638070752447</v>
      </c>
      <c r="K18" s="1" t="s">
        <v>61</v>
      </c>
      <c r="L18" s="1" t="s">
        <v>61</v>
      </c>
      <c r="M18" s="1" t="s">
        <v>62</v>
      </c>
      <c r="N18" s="1">
        <v>-2133.0</v>
      </c>
      <c r="O18" s="1">
        <v>-0.567880218079918</v>
      </c>
      <c r="P18" s="1" t="s">
        <v>61</v>
      </c>
      <c r="Q18" s="1" t="s">
        <v>61</v>
      </c>
      <c r="R18" s="1">
        <f t="shared" si="1"/>
        <v>0.5086380708</v>
      </c>
      <c r="S18" s="1">
        <f t="shared" si="2"/>
        <v>861</v>
      </c>
      <c r="T18" s="1">
        <f t="shared" si="3"/>
        <v>9.61</v>
      </c>
      <c r="U18" s="1">
        <f t="shared" si="4"/>
        <v>1</v>
      </c>
      <c r="V18" s="3">
        <f t="shared" si="5"/>
        <v>3</v>
      </c>
      <c r="W18" s="3">
        <f t="shared" si="6"/>
        <v>1</v>
      </c>
      <c r="X18" s="3" t="str">
        <f>IFERROR(__xludf.DUMMYFUNCTION("split(B18,"" "")"),"D.")</f>
        <v>D.</v>
      </c>
      <c r="Y18" s="3" t="str">
        <f>IFERROR(__xludf.DUMMYFUNCTION("""COMPUTED_VALUE"""),"Johnson")</f>
        <v>Johnson</v>
      </c>
      <c r="AA18" s="8">
        <v>2.0</v>
      </c>
      <c r="AB18" s="3">
        <f t="shared" si="7"/>
        <v>1</v>
      </c>
      <c r="AC18" s="3">
        <f t="shared" si="8"/>
        <v>1</v>
      </c>
      <c r="AD18" s="3">
        <f t="shared" si="9"/>
        <v>25.83</v>
      </c>
      <c r="AE18" s="3">
        <f t="shared" si="10"/>
        <v>0</v>
      </c>
      <c r="AF18" s="3">
        <f t="shared" si="11"/>
        <v>8.61</v>
      </c>
      <c r="AG18" s="3">
        <f t="shared" si="12"/>
        <v>3</v>
      </c>
    </row>
    <row r="19">
      <c r="A19" s="1" t="s">
        <v>9</v>
      </c>
      <c r="B19" s="1" t="s">
        <v>353</v>
      </c>
      <c r="C19" s="1" t="s">
        <v>18</v>
      </c>
      <c r="D19" s="1" t="s">
        <v>77</v>
      </c>
      <c r="E19" s="1" t="s">
        <v>83</v>
      </c>
      <c r="F19" s="1" t="s">
        <v>658</v>
      </c>
      <c r="G19" s="1">
        <v>16.5</v>
      </c>
      <c r="H19" s="1" t="s">
        <v>60</v>
      </c>
      <c r="I19" s="1">
        <v>-118.0</v>
      </c>
      <c r="J19" s="1">
        <v>0.180087932796029</v>
      </c>
      <c r="K19" s="1" t="s">
        <v>61</v>
      </c>
      <c r="L19" s="1" t="s">
        <v>61</v>
      </c>
      <c r="M19" s="1" t="s">
        <v>62</v>
      </c>
      <c r="N19" s="1">
        <v>-115.0</v>
      </c>
      <c r="O19" s="1">
        <v>-0.2562182546603</v>
      </c>
      <c r="P19" s="1" t="s">
        <v>61</v>
      </c>
      <c r="Q19" s="1" t="s">
        <v>61</v>
      </c>
      <c r="R19" s="1">
        <f t="shared" si="1"/>
        <v>0.1800879328</v>
      </c>
      <c r="S19" s="1">
        <f t="shared" si="2"/>
        <v>-118</v>
      </c>
      <c r="T19" s="1">
        <f t="shared" si="3"/>
        <v>1.847457627</v>
      </c>
      <c r="U19" s="1">
        <f t="shared" si="4"/>
        <v>1</v>
      </c>
      <c r="V19" s="3">
        <f t="shared" si="5"/>
        <v>3</v>
      </c>
      <c r="W19" s="3">
        <f t="shared" si="6"/>
        <v>3</v>
      </c>
      <c r="X19" s="3" t="str">
        <f>IFERROR(__xludf.DUMMYFUNCTION("split(B19,"" "")"),"D.")</f>
        <v>D.</v>
      </c>
      <c r="Y19" s="3" t="str">
        <f>IFERROR(__xludf.DUMMYFUNCTION("""COMPUTED_VALUE"""),"Johnson")</f>
        <v>Johnson</v>
      </c>
      <c r="AA19" s="8">
        <v>2.0</v>
      </c>
      <c r="AB19" s="3">
        <f t="shared" si="7"/>
        <v>0</v>
      </c>
      <c r="AC19" s="3">
        <f t="shared" si="8"/>
        <v>0</v>
      </c>
      <c r="AD19" s="3">
        <f t="shared" si="9"/>
        <v>2.542372881</v>
      </c>
      <c r="AE19" s="3">
        <f t="shared" si="10"/>
        <v>-3</v>
      </c>
      <c r="AF19" s="3">
        <f t="shared" si="11"/>
        <v>-3</v>
      </c>
      <c r="AG19" s="3">
        <f t="shared" si="12"/>
        <v>-0.8787878788</v>
      </c>
    </row>
    <row r="20">
      <c r="A20" s="1" t="s">
        <v>12</v>
      </c>
      <c r="B20" s="1" t="s">
        <v>418</v>
      </c>
      <c r="C20" s="1" t="s">
        <v>20</v>
      </c>
      <c r="D20" s="1" t="s">
        <v>77</v>
      </c>
      <c r="E20" s="1" t="s">
        <v>83</v>
      </c>
      <c r="F20" s="1" t="s">
        <v>658</v>
      </c>
      <c r="G20" s="1">
        <v>2.5</v>
      </c>
      <c r="H20" s="1" t="s">
        <v>60</v>
      </c>
      <c r="I20" s="1">
        <v>-134.0</v>
      </c>
      <c r="J20" s="1">
        <v>-0.230890768760683</v>
      </c>
      <c r="K20" s="1" t="s">
        <v>61</v>
      </c>
      <c r="L20" s="1" t="s">
        <v>61</v>
      </c>
      <c r="M20" s="1" t="s">
        <v>62</v>
      </c>
      <c r="N20" s="1">
        <v>103.0</v>
      </c>
      <c r="O20" s="1">
        <v>0.165636649704433</v>
      </c>
      <c r="P20" s="1" t="s">
        <v>61</v>
      </c>
      <c r="Q20" s="1" t="s">
        <v>61</v>
      </c>
      <c r="R20" s="1">
        <f t="shared" si="1"/>
        <v>0.1656366497</v>
      </c>
      <c r="S20" s="1">
        <f t="shared" si="2"/>
        <v>103</v>
      </c>
      <c r="T20" s="1">
        <f t="shared" si="3"/>
        <v>2.03</v>
      </c>
      <c r="U20" s="1">
        <f t="shared" si="4"/>
        <v>0</v>
      </c>
      <c r="V20" s="3">
        <f t="shared" si="5"/>
        <v>3</v>
      </c>
      <c r="W20" s="3">
        <f t="shared" si="6"/>
        <v>2</v>
      </c>
      <c r="X20" s="3" t="str">
        <f>IFERROR(__xludf.DUMMYFUNCTION("split(B20,"" "")"),"M.")</f>
        <v>M.</v>
      </c>
      <c r="Y20" s="3" t="str">
        <f>IFERROR(__xludf.DUMMYFUNCTION("""COMPUTED_VALUE"""),"Andrews")</f>
        <v>Andrews</v>
      </c>
      <c r="AA20" s="8">
        <v>2.0</v>
      </c>
      <c r="AB20" s="3">
        <f t="shared" si="7"/>
        <v>0</v>
      </c>
      <c r="AC20" s="3">
        <f t="shared" si="8"/>
        <v>1</v>
      </c>
      <c r="AD20" s="3">
        <f t="shared" si="9"/>
        <v>3.09</v>
      </c>
      <c r="AE20" s="3">
        <f t="shared" si="10"/>
        <v>3.09</v>
      </c>
      <c r="AF20" s="3">
        <f t="shared" si="11"/>
        <v>2.06</v>
      </c>
      <c r="AG20" s="3">
        <f t="shared" si="12"/>
        <v>0.2</v>
      </c>
    </row>
    <row r="21">
      <c r="A21" s="1" t="s">
        <v>11</v>
      </c>
      <c r="B21" s="1" t="s">
        <v>309</v>
      </c>
      <c r="C21" s="1" t="s">
        <v>19</v>
      </c>
      <c r="D21" s="1" t="s">
        <v>77</v>
      </c>
      <c r="E21" s="1" t="s">
        <v>83</v>
      </c>
      <c r="F21" s="1" t="s">
        <v>658</v>
      </c>
      <c r="G21" s="1">
        <v>4.5</v>
      </c>
      <c r="H21" s="1" t="s">
        <v>60</v>
      </c>
      <c r="I21" s="1">
        <v>-108.0</v>
      </c>
      <c r="J21" s="1">
        <v>0.124335740540475</v>
      </c>
      <c r="K21" s="1" t="s">
        <v>61</v>
      </c>
      <c r="L21" s="1" t="s">
        <v>61</v>
      </c>
      <c r="M21" s="1" t="s">
        <v>62</v>
      </c>
      <c r="N21" s="1">
        <v>-119.0</v>
      </c>
      <c r="O21" s="1">
        <v>-0.186967189491226</v>
      </c>
      <c r="P21" s="1" t="s">
        <v>61</v>
      </c>
      <c r="Q21" s="1" t="s">
        <v>61</v>
      </c>
      <c r="R21" s="1">
        <f t="shared" si="1"/>
        <v>0.1243357405</v>
      </c>
      <c r="S21" s="1">
        <f t="shared" si="2"/>
        <v>-108</v>
      </c>
      <c r="T21" s="1">
        <f t="shared" si="3"/>
        <v>1.925925926</v>
      </c>
      <c r="U21" s="1">
        <f t="shared" si="4"/>
        <v>1</v>
      </c>
      <c r="V21" s="3">
        <f t="shared" si="5"/>
        <v>3</v>
      </c>
      <c r="W21" s="3">
        <f t="shared" si="6"/>
        <v>2</v>
      </c>
      <c r="X21" s="3" t="str">
        <f>IFERROR(__xludf.DUMMYFUNCTION("split(B21,"" "")"),"D.")</f>
        <v>D.</v>
      </c>
      <c r="Y21" s="3" t="str">
        <f>IFERROR(__xludf.DUMMYFUNCTION("""COMPUTED_VALUE"""),"Henry")</f>
        <v>Henry</v>
      </c>
      <c r="AA21" s="8">
        <v>27.0</v>
      </c>
      <c r="AB21" s="3">
        <f t="shared" si="7"/>
        <v>1</v>
      </c>
      <c r="AC21" s="3">
        <f t="shared" si="8"/>
        <v>1</v>
      </c>
      <c r="AD21" s="3">
        <f t="shared" si="9"/>
        <v>2.777777778</v>
      </c>
      <c r="AE21" s="3">
        <f t="shared" si="10"/>
        <v>2.777777778</v>
      </c>
      <c r="AF21" s="3">
        <f t="shared" si="11"/>
        <v>1.851851852</v>
      </c>
      <c r="AG21" s="3">
        <f t="shared" si="12"/>
        <v>5</v>
      </c>
    </row>
    <row r="22">
      <c r="A22" s="1" t="s">
        <v>12</v>
      </c>
      <c r="B22" s="1" t="s">
        <v>239</v>
      </c>
      <c r="C22" s="1" t="s">
        <v>18</v>
      </c>
      <c r="D22" s="1" t="s">
        <v>77</v>
      </c>
      <c r="E22" s="1" t="s">
        <v>83</v>
      </c>
      <c r="F22" s="1" t="s">
        <v>658</v>
      </c>
      <c r="G22" s="1">
        <v>2.5</v>
      </c>
      <c r="H22" s="1" t="s">
        <v>60</v>
      </c>
      <c r="I22" s="1">
        <v>114.0</v>
      </c>
      <c r="J22" s="1">
        <v>-0.169184267656074</v>
      </c>
      <c r="K22" s="1" t="s">
        <v>61</v>
      </c>
      <c r="L22" s="1" t="s">
        <v>61</v>
      </c>
      <c r="M22" s="1" t="s">
        <v>62</v>
      </c>
      <c r="N22" s="1">
        <v>-150.0</v>
      </c>
      <c r="O22" s="1">
        <v>0.101893859359999</v>
      </c>
      <c r="P22" s="1" t="s">
        <v>61</v>
      </c>
      <c r="Q22" s="1" t="s">
        <v>61</v>
      </c>
      <c r="R22" s="1">
        <f t="shared" si="1"/>
        <v>0.1018938594</v>
      </c>
      <c r="S22" s="1">
        <f t="shared" si="2"/>
        <v>-150</v>
      </c>
      <c r="T22" s="1">
        <f t="shared" si="3"/>
        <v>1.666666667</v>
      </c>
      <c r="U22" s="1">
        <f t="shared" si="4"/>
        <v>0</v>
      </c>
      <c r="V22" s="3">
        <f t="shared" si="5"/>
        <v>3</v>
      </c>
      <c r="W22" s="3">
        <f t="shared" si="6"/>
        <v>3</v>
      </c>
      <c r="X22" s="3" t="str">
        <f>IFERROR(__xludf.DUMMYFUNCTION("split(B22,"" "")"),"R.")</f>
        <v>R.</v>
      </c>
      <c r="Y22" s="3" t="str">
        <f>IFERROR(__xludf.DUMMYFUNCTION("""COMPUTED_VALUE"""),"Bateman")</f>
        <v>Bateman</v>
      </c>
      <c r="AA22" s="8">
        <v>3.0</v>
      </c>
      <c r="AB22" s="3">
        <f t="shared" si="7"/>
        <v>1</v>
      </c>
      <c r="AC22" s="3">
        <f t="shared" si="8"/>
        <v>0</v>
      </c>
      <c r="AD22" s="3">
        <f t="shared" si="9"/>
        <v>2</v>
      </c>
      <c r="AE22" s="3">
        <f t="shared" si="10"/>
        <v>-3</v>
      </c>
      <c r="AF22" s="3">
        <f t="shared" si="11"/>
        <v>-3</v>
      </c>
      <c r="AG22" s="3">
        <f t="shared" si="12"/>
        <v>-0.2</v>
      </c>
    </row>
    <row r="23">
      <c r="A23" s="1" t="s">
        <v>8</v>
      </c>
      <c r="B23" s="1" t="s">
        <v>347</v>
      </c>
      <c r="C23" s="1" t="s">
        <v>21</v>
      </c>
      <c r="D23" s="1" t="s">
        <v>77</v>
      </c>
      <c r="E23" s="1" t="s">
        <v>83</v>
      </c>
      <c r="F23" s="1" t="s">
        <v>658</v>
      </c>
      <c r="G23" s="1">
        <v>9.5</v>
      </c>
      <c r="H23" s="1" t="s">
        <v>60</v>
      </c>
      <c r="I23" s="1">
        <v>102.0</v>
      </c>
      <c r="J23" s="1">
        <v>-0.160297474253728</v>
      </c>
      <c r="K23" s="1" t="s">
        <v>61</v>
      </c>
      <c r="L23" s="1" t="s">
        <v>61</v>
      </c>
      <c r="M23" s="1" t="s">
        <v>62</v>
      </c>
      <c r="N23" s="1">
        <v>-133.0</v>
      </c>
      <c r="O23" s="1">
        <v>0.0944387757006088</v>
      </c>
      <c r="P23" s="1" t="s">
        <v>61</v>
      </c>
      <c r="Q23" s="1" t="s">
        <v>61</v>
      </c>
      <c r="R23" s="1">
        <f t="shared" si="1"/>
        <v>0.0944387757</v>
      </c>
      <c r="S23" s="1">
        <f t="shared" si="2"/>
        <v>-133</v>
      </c>
      <c r="T23" s="1">
        <f t="shared" si="3"/>
        <v>1.751879699</v>
      </c>
      <c r="U23" s="1">
        <f t="shared" si="4"/>
        <v>0</v>
      </c>
      <c r="V23" s="3">
        <f t="shared" si="5"/>
        <v>2</v>
      </c>
      <c r="W23" s="3">
        <f t="shared" si="6"/>
        <v>3</v>
      </c>
      <c r="X23" s="3" t="str">
        <f>IFERROR(__xludf.DUMMYFUNCTION("split(B23,"" "")"),"L.")</f>
        <v>L.</v>
      </c>
      <c r="Y23" s="3" t="str">
        <f>IFERROR(__xludf.DUMMYFUNCTION("""COMPUTED_VALUE"""),"Jackson")</f>
        <v>Jackson</v>
      </c>
      <c r="AA23" s="8">
        <v>3.0</v>
      </c>
      <c r="AB23" s="3">
        <f t="shared" si="7"/>
        <v>0</v>
      </c>
      <c r="AC23" s="3">
        <f t="shared" si="8"/>
        <v>1</v>
      </c>
      <c r="AD23" s="3">
        <f t="shared" si="9"/>
        <v>1.503759398</v>
      </c>
      <c r="AE23" s="3">
        <f t="shared" si="10"/>
        <v>1.503759398</v>
      </c>
      <c r="AF23" s="3">
        <f t="shared" si="11"/>
        <v>2.255639098</v>
      </c>
      <c r="AG23" s="3">
        <f t="shared" si="12"/>
        <v>0.6842105263</v>
      </c>
    </row>
    <row r="24">
      <c r="A24" s="1" t="s">
        <v>8</v>
      </c>
      <c r="B24" s="1" t="s">
        <v>309</v>
      </c>
      <c r="C24" s="1" t="s">
        <v>19</v>
      </c>
      <c r="D24" s="1" t="s">
        <v>77</v>
      </c>
      <c r="E24" s="1" t="s">
        <v>83</v>
      </c>
      <c r="F24" s="1" t="s">
        <v>658</v>
      </c>
      <c r="G24" s="1">
        <v>18.5</v>
      </c>
      <c r="H24" s="1" t="s">
        <v>60</v>
      </c>
      <c r="I24" s="1">
        <v>-112.0</v>
      </c>
      <c r="J24" s="1">
        <v>0.074548663245283</v>
      </c>
      <c r="K24" s="1" t="s">
        <v>61</v>
      </c>
      <c r="L24" s="1" t="s">
        <v>61</v>
      </c>
      <c r="M24" s="1" t="s">
        <v>62</v>
      </c>
      <c r="N24" s="1">
        <v>-119.0</v>
      </c>
      <c r="O24" s="1">
        <v>-0.14622268675799</v>
      </c>
      <c r="P24" s="1" t="s">
        <v>61</v>
      </c>
      <c r="Q24" s="1" t="s">
        <v>61</v>
      </c>
      <c r="R24" s="1">
        <f t="shared" si="1"/>
        <v>0.07454866325</v>
      </c>
      <c r="S24" s="1">
        <f t="shared" si="2"/>
        <v>-112</v>
      </c>
      <c r="T24" s="1">
        <f t="shared" si="3"/>
        <v>1.892857143</v>
      </c>
      <c r="U24" s="1">
        <f t="shared" si="4"/>
        <v>1</v>
      </c>
      <c r="V24" s="3">
        <f t="shared" si="5"/>
        <v>2</v>
      </c>
      <c r="W24" s="3">
        <f t="shared" si="6"/>
        <v>2</v>
      </c>
      <c r="X24" s="3" t="str">
        <f>IFERROR(__xludf.DUMMYFUNCTION("split(B24,"" "")"),"D.")</f>
        <v>D.</v>
      </c>
      <c r="Y24" s="3" t="str">
        <f>IFERROR(__xludf.DUMMYFUNCTION("""COMPUTED_VALUE"""),"Henry")</f>
        <v>Henry</v>
      </c>
      <c r="AA24" s="8">
        <v>23.0</v>
      </c>
      <c r="AB24" s="3">
        <f t="shared" si="7"/>
        <v>1</v>
      </c>
      <c r="AC24" s="3">
        <f t="shared" si="8"/>
        <v>1</v>
      </c>
      <c r="AD24" s="3">
        <f t="shared" si="9"/>
        <v>1.785714286</v>
      </c>
      <c r="AE24" s="3">
        <f t="shared" si="10"/>
        <v>1.785714286</v>
      </c>
      <c r="AF24" s="3">
        <f t="shared" si="11"/>
        <v>1.785714286</v>
      </c>
      <c r="AG24" s="3">
        <f t="shared" si="12"/>
        <v>0.2432432432</v>
      </c>
    </row>
    <row r="25">
      <c r="A25" s="1" t="s">
        <v>16</v>
      </c>
      <c r="B25" s="1" t="s">
        <v>347</v>
      </c>
      <c r="C25" s="1" t="s">
        <v>21</v>
      </c>
      <c r="D25" s="1" t="s">
        <v>77</v>
      </c>
      <c r="E25" s="1" t="s">
        <v>83</v>
      </c>
      <c r="F25" s="1" t="s">
        <v>658</v>
      </c>
      <c r="G25" s="1">
        <v>28.5</v>
      </c>
      <c r="H25" s="1" t="s">
        <v>60</v>
      </c>
      <c r="I25" s="1">
        <v>-117.0</v>
      </c>
      <c r="J25" s="1">
        <v>-0.139054172119815</v>
      </c>
      <c r="K25" s="1" t="s">
        <v>61</v>
      </c>
      <c r="L25" s="1" t="s">
        <v>61</v>
      </c>
      <c r="M25" s="1" t="s">
        <v>62</v>
      </c>
      <c r="N25" s="1">
        <v>-112.0</v>
      </c>
      <c r="O25" s="1">
        <v>0.0716086697735849</v>
      </c>
      <c r="P25" s="1" t="s">
        <v>61</v>
      </c>
      <c r="Q25" s="1" t="s">
        <v>61</v>
      </c>
      <c r="R25" s="1">
        <f t="shared" si="1"/>
        <v>0.07160866977</v>
      </c>
      <c r="S25" s="1">
        <f t="shared" si="2"/>
        <v>-112</v>
      </c>
      <c r="T25" s="1">
        <f t="shared" si="3"/>
        <v>1.892857143</v>
      </c>
      <c r="U25" s="1">
        <f t="shared" si="4"/>
        <v>0</v>
      </c>
      <c r="V25" s="3">
        <f t="shared" si="5"/>
        <v>2</v>
      </c>
      <c r="W25" s="3">
        <f t="shared" si="6"/>
        <v>2</v>
      </c>
      <c r="X25" s="3" t="str">
        <f>IFERROR(__xludf.DUMMYFUNCTION("split(B25,"" "")"),"L.")</f>
        <v>L.</v>
      </c>
      <c r="Y25" s="3" t="str">
        <f>IFERROR(__xludf.DUMMYFUNCTION("""COMPUTED_VALUE"""),"Jackson")</f>
        <v>Jackson</v>
      </c>
      <c r="AA25" s="8">
        <v>19.0</v>
      </c>
      <c r="AB25" s="3">
        <f t="shared" si="7"/>
        <v>0</v>
      </c>
      <c r="AC25" s="3">
        <f t="shared" si="8"/>
        <v>1</v>
      </c>
      <c r="AD25" s="3">
        <f t="shared" si="9"/>
        <v>1.785714286</v>
      </c>
      <c r="AE25" s="3">
        <f t="shared" si="10"/>
        <v>1.785714286</v>
      </c>
      <c r="AF25" s="3">
        <f t="shared" si="11"/>
        <v>1.785714286</v>
      </c>
      <c r="AG25" s="3">
        <f t="shared" si="12"/>
        <v>0.3333333333</v>
      </c>
    </row>
    <row r="26">
      <c r="A26" s="1" t="s">
        <v>9</v>
      </c>
      <c r="B26" s="1" t="s">
        <v>182</v>
      </c>
      <c r="C26" s="1" t="s">
        <v>19</v>
      </c>
      <c r="D26" s="1" t="s">
        <v>77</v>
      </c>
      <c r="E26" s="1" t="s">
        <v>83</v>
      </c>
      <c r="F26" s="1" t="s">
        <v>658</v>
      </c>
      <c r="G26" s="1">
        <v>28.5</v>
      </c>
      <c r="H26" s="1" t="s">
        <v>60</v>
      </c>
      <c r="I26" s="1">
        <v>-120.0</v>
      </c>
      <c r="J26" s="1">
        <v>0.0510051049194234</v>
      </c>
      <c r="K26" s="1" t="s">
        <v>61</v>
      </c>
      <c r="L26" s="1" t="s">
        <v>61</v>
      </c>
      <c r="M26" s="1" t="s">
        <v>62</v>
      </c>
      <c r="N26" s="1">
        <v>-113.0</v>
      </c>
      <c r="O26" s="1">
        <v>-0.126969338417693</v>
      </c>
      <c r="P26" s="1" t="s">
        <v>61</v>
      </c>
      <c r="Q26" s="1" t="s">
        <v>61</v>
      </c>
      <c r="R26" s="1">
        <f t="shared" si="1"/>
        <v>0.05100510492</v>
      </c>
      <c r="S26" s="1">
        <f t="shared" si="2"/>
        <v>-120</v>
      </c>
      <c r="T26" s="1">
        <f t="shared" si="3"/>
        <v>1.833333333</v>
      </c>
      <c r="U26" s="1">
        <f t="shared" si="4"/>
        <v>1</v>
      </c>
      <c r="V26" s="3">
        <f t="shared" si="5"/>
        <v>2</v>
      </c>
      <c r="W26" s="3">
        <f t="shared" si="6"/>
        <v>3</v>
      </c>
      <c r="X26" s="3" t="str">
        <f>IFERROR(__xludf.DUMMYFUNCTION("split(B26,"" "")"),"J.")</f>
        <v>J.</v>
      </c>
      <c r="Y26" s="3" t="str">
        <f>IFERROR(__xludf.DUMMYFUNCTION("""COMPUTED_VALUE"""),"Hill")</f>
        <v>Hill</v>
      </c>
      <c r="AA26" s="8">
        <v>58.0</v>
      </c>
      <c r="AB26" s="3">
        <f t="shared" si="7"/>
        <v>1</v>
      </c>
      <c r="AC26" s="3">
        <f t="shared" si="8"/>
        <v>1</v>
      </c>
      <c r="AD26" s="3">
        <f t="shared" si="9"/>
        <v>1.666666667</v>
      </c>
      <c r="AE26" s="3">
        <f t="shared" si="10"/>
        <v>1.666666667</v>
      </c>
      <c r="AF26" s="3">
        <f t="shared" si="11"/>
        <v>2.5</v>
      </c>
      <c r="AG26" s="3">
        <f t="shared" si="12"/>
        <v>1.035087719</v>
      </c>
    </row>
    <row r="27">
      <c r="A27" s="1" t="s">
        <v>11</v>
      </c>
      <c r="B27" s="1" t="s">
        <v>418</v>
      </c>
      <c r="C27" s="1" t="s">
        <v>20</v>
      </c>
      <c r="D27" s="1" t="s">
        <v>77</v>
      </c>
      <c r="E27" s="1" t="s">
        <v>83</v>
      </c>
      <c r="F27" s="1" t="s">
        <v>658</v>
      </c>
      <c r="G27" s="1">
        <v>30.5</v>
      </c>
      <c r="H27" s="1" t="s">
        <v>60</v>
      </c>
      <c r="I27" s="1">
        <v>-114.0</v>
      </c>
      <c r="J27" s="1">
        <v>-0.113321088471635</v>
      </c>
      <c r="K27" s="1" t="s">
        <v>61</v>
      </c>
      <c r="L27" s="1" t="s">
        <v>61</v>
      </c>
      <c r="M27" s="1" t="s">
        <v>62</v>
      </c>
      <c r="N27" s="1">
        <v>-113.0</v>
      </c>
      <c r="O27" s="1">
        <v>0.0500958385643705</v>
      </c>
      <c r="P27" s="1" t="s">
        <v>61</v>
      </c>
      <c r="Q27" s="1" t="s">
        <v>61</v>
      </c>
      <c r="R27" s="1">
        <f t="shared" si="1"/>
        <v>0.05009583856</v>
      </c>
      <c r="S27" s="1">
        <f t="shared" si="2"/>
        <v>-113</v>
      </c>
      <c r="T27" s="1">
        <f t="shared" si="3"/>
        <v>1.884955752</v>
      </c>
      <c r="U27" s="1">
        <f t="shared" si="4"/>
        <v>0</v>
      </c>
      <c r="V27" s="3">
        <f t="shared" si="5"/>
        <v>2</v>
      </c>
      <c r="W27" s="3">
        <f t="shared" si="6"/>
        <v>2</v>
      </c>
      <c r="X27" s="3" t="str">
        <f>IFERROR(__xludf.DUMMYFUNCTION("split(B27,"" "")"),"M.")</f>
        <v>M.</v>
      </c>
      <c r="Y27" s="3" t="str">
        <f>IFERROR(__xludf.DUMMYFUNCTION("""COMPUTED_VALUE"""),"Andrews")</f>
        <v>Andrews</v>
      </c>
      <c r="AA27" s="8">
        <v>26.0</v>
      </c>
      <c r="AB27" s="3">
        <f t="shared" si="7"/>
        <v>0</v>
      </c>
      <c r="AC27" s="3">
        <f t="shared" si="8"/>
        <v>1</v>
      </c>
      <c r="AD27" s="3">
        <f t="shared" si="9"/>
        <v>1.769911504</v>
      </c>
      <c r="AE27" s="3">
        <f t="shared" si="10"/>
        <v>1.769911504</v>
      </c>
      <c r="AF27" s="3">
        <f t="shared" si="11"/>
        <v>1.769911504</v>
      </c>
      <c r="AG27" s="3">
        <f t="shared" si="12"/>
        <v>0.1475409836</v>
      </c>
    </row>
    <row r="28">
      <c r="A28" s="1" t="s">
        <v>12</v>
      </c>
      <c r="B28" s="1" t="s">
        <v>454</v>
      </c>
      <c r="C28" s="1" t="s">
        <v>20</v>
      </c>
      <c r="D28" s="1" t="s">
        <v>77</v>
      </c>
      <c r="E28" s="1" t="s">
        <v>83</v>
      </c>
      <c r="F28" s="1" t="s">
        <v>658</v>
      </c>
      <c r="G28" s="1">
        <v>2.5</v>
      </c>
      <c r="H28" s="1" t="s">
        <v>60</v>
      </c>
      <c r="I28" s="1">
        <v>132.0</v>
      </c>
      <c r="J28" s="1">
        <v>-0.110519081018965</v>
      </c>
      <c r="K28" s="1" t="s">
        <v>61</v>
      </c>
      <c r="L28" s="1" t="s">
        <v>61</v>
      </c>
      <c r="M28" s="1" t="s">
        <v>62</v>
      </c>
      <c r="N28" s="1">
        <v>-174.0</v>
      </c>
      <c r="O28" s="1">
        <v>0.0444347009116788</v>
      </c>
      <c r="P28" s="1" t="s">
        <v>61</v>
      </c>
      <c r="Q28" s="1" t="s">
        <v>61</v>
      </c>
      <c r="R28" s="1">
        <f t="shared" si="1"/>
        <v>0.04443470091</v>
      </c>
      <c r="S28" s="1">
        <f t="shared" si="2"/>
        <v>-174</v>
      </c>
      <c r="T28" s="1">
        <f t="shared" si="3"/>
        <v>1.574712644</v>
      </c>
      <c r="U28" s="1">
        <f t="shared" si="4"/>
        <v>0</v>
      </c>
      <c r="V28" s="3">
        <f t="shared" si="5"/>
        <v>1</v>
      </c>
      <c r="W28" s="3">
        <f t="shared" si="6"/>
        <v>3</v>
      </c>
      <c r="X28" s="3" t="str">
        <f>IFERROR(__xludf.DUMMYFUNCTION("split(B28,"" "")"),"I.")</f>
        <v>I.</v>
      </c>
      <c r="Y28" s="3" t="str">
        <f>IFERROR(__xludf.DUMMYFUNCTION("""COMPUTED_VALUE"""),"Likely")</f>
        <v>Likely</v>
      </c>
      <c r="AA28" s="8">
        <v>0.0</v>
      </c>
      <c r="AB28" s="3">
        <f t="shared" si="7"/>
        <v>0</v>
      </c>
      <c r="AC28" s="3">
        <f t="shared" si="8"/>
        <v>1</v>
      </c>
      <c r="AD28" s="3">
        <f t="shared" si="9"/>
        <v>0.5747126437</v>
      </c>
      <c r="AE28" s="3">
        <f t="shared" si="10"/>
        <v>0.5747126437</v>
      </c>
      <c r="AF28" s="3">
        <f t="shared" si="11"/>
        <v>1.724137931</v>
      </c>
      <c r="AG28" s="3">
        <f t="shared" si="12"/>
        <v>1</v>
      </c>
    </row>
    <row r="29">
      <c r="A29" s="1" t="s">
        <v>11</v>
      </c>
      <c r="B29" s="1" t="s">
        <v>239</v>
      </c>
      <c r="C29" s="1" t="s">
        <v>18</v>
      </c>
      <c r="D29" s="1" t="s">
        <v>77</v>
      </c>
      <c r="E29" s="1" t="s">
        <v>83</v>
      </c>
      <c r="F29" s="1" t="s">
        <v>658</v>
      </c>
      <c r="G29" s="1">
        <v>28.5</v>
      </c>
      <c r="H29" s="1" t="s">
        <v>60</v>
      </c>
      <c r="I29" s="1">
        <v>-118.0</v>
      </c>
      <c r="J29" s="1">
        <v>-0.117132003007844</v>
      </c>
      <c r="K29" s="1" t="s">
        <v>61</v>
      </c>
      <c r="L29" s="1" t="s">
        <v>61</v>
      </c>
      <c r="M29" s="1" t="s">
        <v>62</v>
      </c>
      <c r="N29" s="1">
        <v>-114.0</v>
      </c>
      <c r="O29" s="1">
        <v>0.0431772588201375</v>
      </c>
      <c r="P29" s="1" t="s">
        <v>61</v>
      </c>
      <c r="Q29" s="1" t="s">
        <v>61</v>
      </c>
      <c r="R29" s="1">
        <f t="shared" si="1"/>
        <v>0.04317725882</v>
      </c>
      <c r="S29" s="1">
        <f t="shared" si="2"/>
        <v>-114</v>
      </c>
      <c r="T29" s="1">
        <f t="shared" si="3"/>
        <v>1.877192982</v>
      </c>
      <c r="U29" s="1">
        <f t="shared" si="4"/>
        <v>0</v>
      </c>
      <c r="V29" s="3">
        <f t="shared" si="5"/>
        <v>1</v>
      </c>
      <c r="W29" s="3">
        <f t="shared" si="6"/>
        <v>2</v>
      </c>
      <c r="X29" s="3" t="str">
        <f>IFERROR(__xludf.DUMMYFUNCTION("split(B29,"" "")"),"R.")</f>
        <v>R.</v>
      </c>
      <c r="Y29" s="3" t="str">
        <f>IFERROR(__xludf.DUMMYFUNCTION("""COMPUTED_VALUE"""),"Bateman")</f>
        <v>Bateman</v>
      </c>
      <c r="AA29" s="8">
        <v>25.0</v>
      </c>
      <c r="AB29" s="3">
        <f t="shared" si="7"/>
        <v>0</v>
      </c>
      <c r="AC29" s="3">
        <f t="shared" si="8"/>
        <v>1</v>
      </c>
      <c r="AD29" s="3">
        <f t="shared" si="9"/>
        <v>0.8771929825</v>
      </c>
      <c r="AE29" s="3">
        <f t="shared" si="10"/>
        <v>0.8771929825</v>
      </c>
      <c r="AF29" s="3">
        <f t="shared" si="11"/>
        <v>1.754385965</v>
      </c>
      <c r="AG29" s="3">
        <f t="shared" si="12"/>
        <v>0.1228070175</v>
      </c>
    </row>
    <row r="30">
      <c r="A30" s="1" t="s">
        <v>12</v>
      </c>
      <c r="B30" s="1" t="s">
        <v>353</v>
      </c>
      <c r="C30" s="1" t="s">
        <v>18</v>
      </c>
      <c r="D30" s="1" t="s">
        <v>77</v>
      </c>
      <c r="E30" s="1" t="s">
        <v>83</v>
      </c>
      <c r="F30" s="1" t="s">
        <v>658</v>
      </c>
      <c r="G30" s="1">
        <v>1.5</v>
      </c>
      <c r="H30" s="1" t="s">
        <v>60</v>
      </c>
      <c r="I30" s="1">
        <v>-118.0</v>
      </c>
      <c r="J30" s="1">
        <v>-0.0939821046330274</v>
      </c>
      <c r="K30" s="1" t="s">
        <v>61</v>
      </c>
      <c r="L30" s="1" t="s">
        <v>61</v>
      </c>
      <c r="M30" s="1" t="s">
        <v>62</v>
      </c>
      <c r="N30" s="1">
        <v>-110.0</v>
      </c>
      <c r="O30" s="1">
        <v>0.0288878509095238</v>
      </c>
      <c r="P30" s="1" t="s">
        <v>61</v>
      </c>
      <c r="Q30" s="1" t="s">
        <v>61</v>
      </c>
      <c r="R30" s="1">
        <f t="shared" si="1"/>
        <v>0.02888785091</v>
      </c>
      <c r="S30" s="1">
        <f t="shared" si="2"/>
        <v>-110</v>
      </c>
      <c r="T30" s="1">
        <f t="shared" si="3"/>
        <v>1.909090909</v>
      </c>
      <c r="U30" s="1">
        <f t="shared" si="4"/>
        <v>0</v>
      </c>
      <c r="V30" s="3">
        <f t="shared" si="5"/>
        <v>1</v>
      </c>
      <c r="W30" s="3">
        <f t="shared" si="6"/>
        <v>2</v>
      </c>
      <c r="X30" s="3" t="str">
        <f>IFERROR(__xludf.DUMMYFUNCTION("split(B30,"" "")"),"D.")</f>
        <v>D.</v>
      </c>
      <c r="Y30" s="3" t="str">
        <f>IFERROR(__xludf.DUMMYFUNCTION("""COMPUTED_VALUE"""),"Johnson")</f>
        <v>Johnson</v>
      </c>
      <c r="AA30" s="8">
        <v>0.0</v>
      </c>
      <c r="AB30" s="3">
        <f t="shared" si="7"/>
        <v>0</v>
      </c>
      <c r="AC30" s="3">
        <f t="shared" si="8"/>
        <v>1</v>
      </c>
      <c r="AD30" s="3">
        <f t="shared" si="9"/>
        <v>0.9090909091</v>
      </c>
      <c r="AE30" s="3">
        <f t="shared" si="10"/>
        <v>0.9090909091</v>
      </c>
      <c r="AF30" s="3">
        <f t="shared" si="11"/>
        <v>1.818181818</v>
      </c>
      <c r="AG30" s="3">
        <f t="shared" si="12"/>
        <v>1</v>
      </c>
    </row>
    <row r="31">
      <c r="A31" s="1" t="s">
        <v>10</v>
      </c>
      <c r="B31" s="1" t="s">
        <v>309</v>
      </c>
      <c r="C31" s="1" t="s">
        <v>19</v>
      </c>
      <c r="D31" s="1" t="s">
        <v>77</v>
      </c>
      <c r="E31" s="1" t="s">
        <v>83</v>
      </c>
      <c r="F31" s="1" t="s">
        <v>658</v>
      </c>
      <c r="G31" s="1">
        <v>89.5</v>
      </c>
      <c r="H31" s="1" t="s">
        <v>60</v>
      </c>
      <c r="I31" s="1">
        <v>-108.0</v>
      </c>
      <c r="J31" s="1">
        <v>0.0272072093217811</v>
      </c>
      <c r="K31" s="1" t="s">
        <v>61</v>
      </c>
      <c r="L31" s="1" t="s">
        <v>61</v>
      </c>
      <c r="M31" s="1" t="s">
        <v>62</v>
      </c>
      <c r="N31" s="1">
        <v>-119.0</v>
      </c>
      <c r="O31" s="1">
        <v>-0.0898248295026976</v>
      </c>
      <c r="P31" s="1" t="s">
        <v>61</v>
      </c>
      <c r="Q31" s="1" t="s">
        <v>61</v>
      </c>
      <c r="R31" s="1">
        <f t="shared" si="1"/>
        <v>0.02720720932</v>
      </c>
      <c r="S31" s="1">
        <f t="shared" si="2"/>
        <v>-108</v>
      </c>
      <c r="T31" s="1">
        <f t="shared" si="3"/>
        <v>1.925925926</v>
      </c>
      <c r="U31" s="1">
        <f t="shared" si="4"/>
        <v>1</v>
      </c>
      <c r="V31" s="3">
        <f t="shared" si="5"/>
        <v>1</v>
      </c>
      <c r="W31" s="3">
        <f t="shared" si="6"/>
        <v>2</v>
      </c>
      <c r="X31" s="3" t="str">
        <f>IFERROR(__xludf.DUMMYFUNCTION("split(B31,"" "")"),"D.")</f>
        <v>D.</v>
      </c>
      <c r="Y31" s="3" t="str">
        <f>IFERROR(__xludf.DUMMYFUNCTION("""COMPUTED_VALUE"""),"Henry")</f>
        <v>Henry</v>
      </c>
      <c r="AA31" s="8">
        <v>106.0</v>
      </c>
      <c r="AB31" s="3">
        <f t="shared" si="7"/>
        <v>1</v>
      </c>
      <c r="AC31" s="3">
        <f t="shared" si="8"/>
        <v>1</v>
      </c>
      <c r="AD31" s="3">
        <f t="shared" si="9"/>
        <v>0.9259259259</v>
      </c>
      <c r="AE31" s="3">
        <f t="shared" si="10"/>
        <v>0.9259259259</v>
      </c>
      <c r="AF31" s="3">
        <f t="shared" si="11"/>
        <v>1.851851852</v>
      </c>
      <c r="AG31" s="3">
        <f t="shared" si="12"/>
        <v>0.1843575419</v>
      </c>
    </row>
    <row r="32">
      <c r="A32" s="1" t="s">
        <v>12</v>
      </c>
      <c r="B32" s="1" t="s">
        <v>399</v>
      </c>
      <c r="C32" s="1" t="s">
        <v>18</v>
      </c>
      <c r="D32" s="1" t="s">
        <v>77</v>
      </c>
      <c r="E32" s="1" t="s">
        <v>83</v>
      </c>
      <c r="F32" s="1" t="s">
        <v>658</v>
      </c>
      <c r="G32" s="1">
        <v>4.5</v>
      </c>
      <c r="H32" s="1" t="s">
        <v>60</v>
      </c>
      <c r="I32" s="1">
        <v>-130.0</v>
      </c>
      <c r="J32" s="1">
        <v>-0.0893608695652175</v>
      </c>
      <c r="K32" s="1" t="s">
        <v>61</v>
      </c>
      <c r="L32" s="1" t="s">
        <v>61</v>
      </c>
      <c r="M32" s="1" t="s">
        <v>62</v>
      </c>
      <c r="N32" s="1">
        <v>-101.0</v>
      </c>
      <c r="O32" s="1">
        <v>0.0216626865671641</v>
      </c>
      <c r="P32" s="1" t="s">
        <v>61</v>
      </c>
      <c r="Q32" s="1" t="s">
        <v>61</v>
      </c>
      <c r="R32" s="1">
        <f t="shared" si="1"/>
        <v>0.02166268657</v>
      </c>
      <c r="S32" s="1">
        <f t="shared" si="2"/>
        <v>-101</v>
      </c>
      <c r="T32" s="1">
        <f t="shared" si="3"/>
        <v>1.99009901</v>
      </c>
      <c r="U32" s="1">
        <f t="shared" si="4"/>
        <v>0</v>
      </c>
      <c r="V32" s="3">
        <f t="shared" si="5"/>
        <v>1</v>
      </c>
      <c r="W32" s="3">
        <f t="shared" si="6"/>
        <v>2</v>
      </c>
      <c r="X32" s="3" t="str">
        <f>IFERROR(__xludf.DUMMYFUNCTION("split(B32,"" "")"),"Z.")</f>
        <v>Z.</v>
      </c>
      <c r="Y32" s="3" t="str">
        <f>IFERROR(__xludf.DUMMYFUNCTION("""COMPUTED_VALUE"""),"Flowers")</f>
        <v>Flowers</v>
      </c>
      <c r="AA32" s="8">
        <v>5.0</v>
      </c>
      <c r="AB32" s="3">
        <f t="shared" si="7"/>
        <v>1</v>
      </c>
      <c r="AC32" s="3">
        <f t="shared" si="8"/>
        <v>0</v>
      </c>
      <c r="AD32" s="3">
        <f t="shared" si="9"/>
        <v>0.9900990099</v>
      </c>
      <c r="AE32" s="3">
        <f t="shared" si="10"/>
        <v>-1</v>
      </c>
      <c r="AF32" s="3">
        <f t="shared" si="11"/>
        <v>-2</v>
      </c>
      <c r="AG32" s="3">
        <f t="shared" si="12"/>
        <v>-0.1111111111</v>
      </c>
    </row>
    <row r="33">
      <c r="A33" s="1" t="s">
        <v>14</v>
      </c>
      <c r="B33" s="1" t="s">
        <v>347</v>
      </c>
      <c r="C33" s="1" t="s">
        <v>21</v>
      </c>
      <c r="D33" s="1" t="s">
        <v>77</v>
      </c>
      <c r="E33" s="1" t="s">
        <v>83</v>
      </c>
      <c r="F33" s="1" t="s">
        <v>658</v>
      </c>
      <c r="G33" s="1">
        <v>1.5</v>
      </c>
      <c r="H33" s="1" t="s">
        <v>60</v>
      </c>
      <c r="I33" s="1">
        <v>-109.0</v>
      </c>
      <c r="J33" s="1">
        <v>-0.0862832535885166</v>
      </c>
      <c r="K33" s="1" t="s">
        <v>61</v>
      </c>
      <c r="L33" s="1" t="s">
        <v>61</v>
      </c>
      <c r="M33" s="1" t="s">
        <v>62</v>
      </c>
      <c r="N33" s="1">
        <v>-120.0</v>
      </c>
      <c r="O33" s="1">
        <v>0.0192909090909091</v>
      </c>
      <c r="P33" s="1" t="s">
        <v>61</v>
      </c>
      <c r="Q33" s="1" t="s">
        <v>61</v>
      </c>
      <c r="R33" s="1">
        <f t="shared" si="1"/>
        <v>0.01929090909</v>
      </c>
      <c r="S33" s="1">
        <f t="shared" si="2"/>
        <v>-120</v>
      </c>
      <c r="T33" s="1">
        <f t="shared" si="3"/>
        <v>1.833333333</v>
      </c>
      <c r="U33" s="1">
        <f t="shared" si="4"/>
        <v>0</v>
      </c>
      <c r="V33" s="3">
        <f t="shared" si="5"/>
        <v>1</v>
      </c>
      <c r="W33" s="3">
        <f t="shared" si="6"/>
        <v>3</v>
      </c>
      <c r="X33" s="3" t="str">
        <f>IFERROR(__xludf.DUMMYFUNCTION("split(B33,"" "")"),"L.")</f>
        <v>L.</v>
      </c>
      <c r="Y33" s="3" t="str">
        <f>IFERROR(__xludf.DUMMYFUNCTION("""COMPUTED_VALUE"""),"Jackson")</f>
        <v>Jackson</v>
      </c>
      <c r="AA33" s="8">
        <v>3.0</v>
      </c>
      <c r="AB33" s="3">
        <f t="shared" si="7"/>
        <v>1</v>
      </c>
      <c r="AC33" s="3">
        <f t="shared" si="8"/>
        <v>0</v>
      </c>
      <c r="AD33" s="3">
        <f t="shared" si="9"/>
        <v>0.8333333333</v>
      </c>
      <c r="AE33" s="3">
        <f t="shared" si="10"/>
        <v>-1</v>
      </c>
      <c r="AF33" s="3">
        <f t="shared" si="11"/>
        <v>-3</v>
      </c>
      <c r="AG33" s="3">
        <f t="shared" si="12"/>
        <v>-1</v>
      </c>
    </row>
    <row r="34">
      <c r="A34" s="1" t="s">
        <v>11</v>
      </c>
      <c r="B34" s="1" t="s">
        <v>353</v>
      </c>
      <c r="C34" s="1" t="s">
        <v>18</v>
      </c>
      <c r="D34" s="1" t="s">
        <v>77</v>
      </c>
      <c r="E34" s="1" t="s">
        <v>83</v>
      </c>
      <c r="F34" s="1" t="s">
        <v>658</v>
      </c>
      <c r="G34" s="1">
        <v>16.5</v>
      </c>
      <c r="H34" s="1" t="s">
        <v>60</v>
      </c>
      <c r="I34" s="1">
        <v>-114.0</v>
      </c>
      <c r="J34" s="1">
        <v>0.0170385490398552</v>
      </c>
      <c r="K34" s="1" t="s">
        <v>61</v>
      </c>
      <c r="L34" s="1" t="s">
        <v>61</v>
      </c>
      <c r="M34" s="1" t="s">
        <v>62</v>
      </c>
      <c r="N34" s="1">
        <v>-114.0</v>
      </c>
      <c r="O34" s="1">
        <v>-0.0823959459054347</v>
      </c>
      <c r="P34" s="1" t="s">
        <v>61</v>
      </c>
      <c r="Q34" s="1" t="s">
        <v>61</v>
      </c>
      <c r="R34" s="1">
        <f t="shared" si="1"/>
        <v>0.01703854904</v>
      </c>
      <c r="S34" s="1">
        <f t="shared" si="2"/>
        <v>-114</v>
      </c>
      <c r="T34" s="1">
        <f t="shared" si="3"/>
        <v>1.877192982</v>
      </c>
      <c r="U34" s="1">
        <f t="shared" si="4"/>
        <v>1</v>
      </c>
      <c r="V34" s="3">
        <f t="shared" si="5"/>
        <v>1</v>
      </c>
      <c r="W34" s="3">
        <f t="shared" si="6"/>
        <v>2</v>
      </c>
      <c r="X34" s="3" t="str">
        <f>IFERROR(__xludf.DUMMYFUNCTION("split(B34,"" "")"),"D.")</f>
        <v>D.</v>
      </c>
      <c r="Y34" s="3" t="str">
        <f>IFERROR(__xludf.DUMMYFUNCTION("""COMPUTED_VALUE"""),"Johnson")</f>
        <v>Johnson</v>
      </c>
      <c r="AA34" s="8">
        <v>0.0</v>
      </c>
      <c r="AB34" s="3">
        <f t="shared" si="7"/>
        <v>0</v>
      </c>
      <c r="AC34" s="3">
        <f t="shared" si="8"/>
        <v>0</v>
      </c>
      <c r="AD34" s="3">
        <f t="shared" si="9"/>
        <v>0.8771929825</v>
      </c>
      <c r="AE34" s="3">
        <f t="shared" si="10"/>
        <v>-1</v>
      </c>
      <c r="AF34" s="3">
        <f t="shared" si="11"/>
        <v>-2</v>
      </c>
      <c r="AG34" s="3">
        <f t="shared" si="12"/>
        <v>-1</v>
      </c>
    </row>
    <row r="35">
      <c r="A35" s="1" t="s">
        <v>9</v>
      </c>
      <c r="B35" s="1" t="s">
        <v>239</v>
      </c>
      <c r="C35" s="1" t="s">
        <v>18</v>
      </c>
      <c r="D35" s="1" t="s">
        <v>77</v>
      </c>
      <c r="E35" s="1" t="s">
        <v>83</v>
      </c>
      <c r="F35" s="1" t="s">
        <v>658</v>
      </c>
      <c r="G35" s="1">
        <v>28.5</v>
      </c>
      <c r="H35" s="1" t="s">
        <v>60</v>
      </c>
      <c r="I35" s="1">
        <v>-115.0</v>
      </c>
      <c r="J35" s="1">
        <v>0.0128279081992244</v>
      </c>
      <c r="K35" s="1" t="s">
        <v>61</v>
      </c>
      <c r="L35" s="1" t="s">
        <v>61</v>
      </c>
      <c r="M35" s="1" t="s">
        <v>62</v>
      </c>
      <c r="N35" s="1">
        <v>-115.0</v>
      </c>
      <c r="O35" s="1">
        <v>-0.082567094429108</v>
      </c>
      <c r="P35" s="1" t="s">
        <v>61</v>
      </c>
      <c r="Q35" s="1" t="s">
        <v>61</v>
      </c>
      <c r="R35" s="1">
        <f t="shared" si="1"/>
        <v>0.0128279082</v>
      </c>
      <c r="S35" s="1">
        <f t="shared" si="2"/>
        <v>-115</v>
      </c>
      <c r="T35" s="1">
        <f t="shared" si="3"/>
        <v>1.869565217</v>
      </c>
      <c r="U35" s="1">
        <f t="shared" si="4"/>
        <v>1</v>
      </c>
      <c r="V35" s="3">
        <f t="shared" si="5"/>
        <v>1</v>
      </c>
      <c r="W35" s="3">
        <f t="shared" si="6"/>
        <v>2</v>
      </c>
      <c r="X35" s="3" t="str">
        <f>IFERROR(__xludf.DUMMYFUNCTION("split(B35,"" "")"),"R.")</f>
        <v>R.</v>
      </c>
      <c r="Y35" s="3" t="str">
        <f>IFERROR(__xludf.DUMMYFUNCTION("""COMPUTED_VALUE"""),"Bateman")</f>
        <v>Bateman</v>
      </c>
      <c r="AA35" s="8">
        <v>25.0</v>
      </c>
      <c r="AB35" s="3">
        <f t="shared" si="7"/>
        <v>0</v>
      </c>
      <c r="AC35" s="3">
        <f t="shared" si="8"/>
        <v>0</v>
      </c>
      <c r="AD35" s="3">
        <f t="shared" si="9"/>
        <v>0.8695652174</v>
      </c>
      <c r="AE35" s="3">
        <f t="shared" si="10"/>
        <v>-1</v>
      </c>
      <c r="AF35" s="3">
        <f t="shared" si="11"/>
        <v>-2</v>
      </c>
      <c r="AG35" s="3">
        <f t="shared" si="12"/>
        <v>-0.1228070175</v>
      </c>
    </row>
    <row r="36">
      <c r="A36" s="1" t="s">
        <v>11</v>
      </c>
      <c r="B36" s="1" t="s">
        <v>454</v>
      </c>
      <c r="C36" s="1" t="s">
        <v>20</v>
      </c>
      <c r="D36" s="1" t="s">
        <v>77</v>
      </c>
      <c r="E36" s="1" t="s">
        <v>83</v>
      </c>
      <c r="F36" s="1" t="s">
        <v>658</v>
      </c>
      <c r="G36" s="1">
        <v>22.5</v>
      </c>
      <c r="H36" s="1" t="s">
        <v>60</v>
      </c>
      <c r="I36" s="1">
        <v>-109.0</v>
      </c>
      <c r="J36" s="1">
        <v>-0.071105856878421</v>
      </c>
      <c r="K36" s="1" t="s">
        <v>61</v>
      </c>
      <c r="L36" s="1" t="s">
        <v>61</v>
      </c>
      <c r="M36" s="1" t="s">
        <v>62</v>
      </c>
      <c r="N36" s="1">
        <v>-117.0</v>
      </c>
      <c r="O36" s="1">
        <v>0.0104264201957617</v>
      </c>
      <c r="P36" s="1" t="s">
        <v>61</v>
      </c>
      <c r="Q36" s="1" t="s">
        <v>61</v>
      </c>
      <c r="R36" s="1">
        <f t="shared" si="1"/>
        <v>0.0104264202</v>
      </c>
      <c r="S36" s="1">
        <f t="shared" si="2"/>
        <v>-117</v>
      </c>
      <c r="T36" s="1">
        <f t="shared" si="3"/>
        <v>1.854700855</v>
      </c>
      <c r="U36" s="1">
        <f t="shared" si="4"/>
        <v>0</v>
      </c>
      <c r="V36" s="3">
        <f t="shared" si="5"/>
        <v>1</v>
      </c>
      <c r="W36" s="3">
        <f t="shared" si="6"/>
        <v>2</v>
      </c>
      <c r="X36" s="3" t="str">
        <f>IFERROR(__xludf.DUMMYFUNCTION("split(B36,"" "")"),"I.")</f>
        <v>I.</v>
      </c>
      <c r="Y36" s="3" t="str">
        <f>IFERROR(__xludf.DUMMYFUNCTION("""COMPUTED_VALUE"""),"Likely")</f>
        <v>Likely</v>
      </c>
      <c r="AA36" s="8">
        <v>0.0</v>
      </c>
      <c r="AB36" s="3">
        <f t="shared" si="7"/>
        <v>0</v>
      </c>
      <c r="AC36" s="3">
        <f t="shared" si="8"/>
        <v>1</v>
      </c>
      <c r="AD36" s="3">
        <f t="shared" si="9"/>
        <v>0.8547008547</v>
      </c>
      <c r="AE36" s="3">
        <f t="shared" si="10"/>
        <v>0.8547008547</v>
      </c>
      <c r="AF36" s="3">
        <f t="shared" si="11"/>
        <v>1.709401709</v>
      </c>
      <c r="AG36" s="3">
        <f t="shared" si="12"/>
        <v>1</v>
      </c>
    </row>
    <row r="37">
      <c r="A37" s="1" t="s">
        <v>10</v>
      </c>
      <c r="B37" s="1" t="s">
        <v>347</v>
      </c>
      <c r="C37" s="1" t="s">
        <v>21</v>
      </c>
      <c r="D37" s="1" t="s">
        <v>77</v>
      </c>
      <c r="E37" s="1" t="s">
        <v>83</v>
      </c>
      <c r="F37" s="1" t="s">
        <v>658</v>
      </c>
      <c r="G37" s="1">
        <v>47.5</v>
      </c>
      <c r="H37" s="1" t="s">
        <v>60</v>
      </c>
      <c r="I37" s="1">
        <v>-118.0</v>
      </c>
      <c r="J37" s="1">
        <v>-0.0693140707558225</v>
      </c>
      <c r="K37" s="1" t="s">
        <v>61</v>
      </c>
      <c r="L37" s="1" t="s">
        <v>61</v>
      </c>
      <c r="M37" s="1" t="s">
        <v>62</v>
      </c>
      <c r="N37" s="1">
        <v>-108.0</v>
      </c>
      <c r="O37" s="1">
        <v>0.00880276356111786</v>
      </c>
      <c r="P37" s="1" t="s">
        <v>61</v>
      </c>
      <c r="Q37" s="1" t="s">
        <v>61</v>
      </c>
      <c r="R37" s="1">
        <f t="shared" si="1"/>
        <v>0.008802763561</v>
      </c>
      <c r="S37" s="1">
        <f t="shared" si="2"/>
        <v>-108</v>
      </c>
      <c r="T37" s="1">
        <f t="shared" si="3"/>
        <v>1.925925926</v>
      </c>
      <c r="U37" s="1">
        <f t="shared" si="4"/>
        <v>0</v>
      </c>
      <c r="V37" s="3">
        <f t="shared" si="5"/>
        <v>1</v>
      </c>
      <c r="W37" s="3">
        <f t="shared" si="6"/>
        <v>2</v>
      </c>
      <c r="X37" s="3" t="str">
        <f>IFERROR(__xludf.DUMMYFUNCTION("split(B37,"" "")"),"L.")</f>
        <v>L.</v>
      </c>
      <c r="Y37" s="3" t="str">
        <f>IFERROR(__xludf.DUMMYFUNCTION("""COMPUTED_VALUE"""),"Jackson")</f>
        <v>Jackson</v>
      </c>
      <c r="AA37" s="8">
        <v>4.0</v>
      </c>
      <c r="AB37" s="3">
        <f t="shared" si="7"/>
        <v>0</v>
      </c>
      <c r="AC37" s="3">
        <f t="shared" si="8"/>
        <v>1</v>
      </c>
      <c r="AD37" s="3">
        <f t="shared" si="9"/>
        <v>0.9259259259</v>
      </c>
      <c r="AE37" s="3">
        <f t="shared" si="10"/>
        <v>0.9259259259</v>
      </c>
      <c r="AF37" s="3">
        <f t="shared" si="11"/>
        <v>1.851851852</v>
      </c>
      <c r="AG37" s="3">
        <f t="shared" si="12"/>
        <v>0.9157894737</v>
      </c>
    </row>
    <row r="38">
      <c r="A38" s="1" t="s">
        <v>12</v>
      </c>
      <c r="B38" s="1" t="s">
        <v>103</v>
      </c>
      <c r="C38" s="1" t="s">
        <v>18</v>
      </c>
      <c r="D38" s="1" t="s">
        <v>104</v>
      </c>
      <c r="E38" s="1" t="s">
        <v>94</v>
      </c>
      <c r="F38" s="1" t="s">
        <v>658</v>
      </c>
      <c r="G38" s="1">
        <v>1.5</v>
      </c>
      <c r="H38" s="1" t="s">
        <v>60</v>
      </c>
      <c r="I38" s="1">
        <v>-139.0</v>
      </c>
      <c r="J38" s="1">
        <v>-0.229166531790794</v>
      </c>
      <c r="K38" s="1" t="s">
        <v>61</v>
      </c>
      <c r="L38" s="1" t="s">
        <v>61</v>
      </c>
      <c r="M38" s="1" t="s">
        <v>62</v>
      </c>
      <c r="N38" s="1">
        <v>106.0</v>
      </c>
      <c r="O38" s="1">
        <v>0.162151947077669</v>
      </c>
      <c r="P38" s="1" t="s">
        <v>61</v>
      </c>
      <c r="Q38" s="1" t="s">
        <v>61</v>
      </c>
      <c r="R38" s="1">
        <f t="shared" si="1"/>
        <v>0.1621519471</v>
      </c>
      <c r="S38" s="1">
        <f t="shared" si="2"/>
        <v>106</v>
      </c>
      <c r="T38" s="1">
        <f t="shared" si="3"/>
        <v>2.06</v>
      </c>
      <c r="U38" s="1">
        <f t="shared" si="4"/>
        <v>0</v>
      </c>
      <c r="V38" s="3">
        <f t="shared" si="5"/>
        <v>3</v>
      </c>
      <c r="W38" s="3">
        <f t="shared" si="6"/>
        <v>2</v>
      </c>
      <c r="X38" s="3" t="str">
        <f>IFERROR(__xludf.DUMMYFUNCTION("split(B38,"" "")"),"C.")</f>
        <v>C.</v>
      </c>
      <c r="Y38" s="3" t="str">
        <f>IFERROR(__xludf.DUMMYFUNCTION("""COMPUTED_VALUE"""),"Samuel")</f>
        <v>Samuel</v>
      </c>
      <c r="AA38" s="8">
        <v>0.0</v>
      </c>
      <c r="AB38" s="3">
        <f t="shared" si="7"/>
        <v>0</v>
      </c>
      <c r="AC38" s="3">
        <f t="shared" si="8"/>
        <v>1</v>
      </c>
      <c r="AD38" s="3">
        <f t="shared" si="9"/>
        <v>3.18</v>
      </c>
      <c r="AE38" s="3">
        <f t="shared" si="10"/>
        <v>3.18</v>
      </c>
      <c r="AF38" s="3">
        <f t="shared" si="11"/>
        <v>2.12</v>
      </c>
      <c r="AG38" s="3">
        <f t="shared" si="12"/>
        <v>1</v>
      </c>
    </row>
    <row r="39">
      <c r="A39" s="1" t="s">
        <v>8</v>
      </c>
      <c r="B39" s="1" t="s">
        <v>434</v>
      </c>
      <c r="C39" s="1" t="s">
        <v>21</v>
      </c>
      <c r="D39" s="1" t="s">
        <v>104</v>
      </c>
      <c r="E39" s="1" t="s">
        <v>94</v>
      </c>
      <c r="F39" s="1" t="s">
        <v>658</v>
      </c>
      <c r="G39" s="1">
        <v>6.5</v>
      </c>
      <c r="H39" s="1" t="s">
        <v>60</v>
      </c>
      <c r="I39" s="1">
        <v>-115.0</v>
      </c>
      <c r="J39" s="1">
        <v>-0.226475152375485</v>
      </c>
      <c r="K39" s="1" t="s">
        <v>61</v>
      </c>
      <c r="L39" s="1" t="s">
        <v>61</v>
      </c>
      <c r="M39" s="1" t="s">
        <v>62</v>
      </c>
      <c r="N39" s="1">
        <v>-116.0</v>
      </c>
      <c r="O39" s="1">
        <v>0.154553069455768</v>
      </c>
      <c r="P39" s="1" t="s">
        <v>61</v>
      </c>
      <c r="Q39" s="1" t="s">
        <v>61</v>
      </c>
      <c r="R39" s="1">
        <f t="shared" si="1"/>
        <v>0.1545530695</v>
      </c>
      <c r="S39" s="1">
        <f t="shared" si="2"/>
        <v>-116</v>
      </c>
      <c r="T39" s="1">
        <f t="shared" si="3"/>
        <v>1.862068966</v>
      </c>
      <c r="U39" s="1">
        <f t="shared" si="4"/>
        <v>0</v>
      </c>
      <c r="V39" s="3">
        <f t="shared" si="5"/>
        <v>3</v>
      </c>
      <c r="W39" s="3">
        <f t="shared" si="6"/>
        <v>2</v>
      </c>
      <c r="X39" s="3" t="str">
        <f>IFERROR(__xludf.DUMMYFUNCTION("split(B39,"" "")"),"J.")</f>
        <v>J.</v>
      </c>
      <c r="Y39" s="3" t="str">
        <f>IFERROR(__xludf.DUMMYFUNCTION("""COMPUTED_VALUE"""),"Allen")</f>
        <v>Allen</v>
      </c>
      <c r="AA39" s="8">
        <v>2.0</v>
      </c>
      <c r="AB39" s="3">
        <f t="shared" si="7"/>
        <v>0</v>
      </c>
      <c r="AC39" s="3">
        <f t="shared" si="8"/>
        <v>1</v>
      </c>
      <c r="AD39" s="3">
        <f t="shared" si="9"/>
        <v>2.586206897</v>
      </c>
      <c r="AE39" s="3">
        <f t="shared" si="10"/>
        <v>2.586206897</v>
      </c>
      <c r="AF39" s="3">
        <f t="shared" si="11"/>
        <v>1.724137931</v>
      </c>
      <c r="AG39" s="3">
        <f t="shared" si="12"/>
        <v>0.6923076923</v>
      </c>
    </row>
    <row r="40">
      <c r="A40" s="1" t="s">
        <v>9</v>
      </c>
      <c r="B40" s="1" t="s">
        <v>457</v>
      </c>
      <c r="C40" s="1" t="s">
        <v>18</v>
      </c>
      <c r="D40" s="1" t="s">
        <v>104</v>
      </c>
      <c r="E40" s="1" t="s">
        <v>94</v>
      </c>
      <c r="F40" s="1" t="s">
        <v>658</v>
      </c>
      <c r="G40" s="1">
        <v>17.5</v>
      </c>
      <c r="H40" s="1" t="s">
        <v>60</v>
      </c>
      <c r="I40" s="1">
        <v>-114.0</v>
      </c>
      <c r="J40" s="1">
        <v>0.15374722841183</v>
      </c>
      <c r="K40" s="1" t="s">
        <v>61</v>
      </c>
      <c r="L40" s="1" t="s">
        <v>61</v>
      </c>
      <c r="M40" s="1" t="s">
        <v>62</v>
      </c>
      <c r="N40" s="1">
        <v>-119.0</v>
      </c>
      <c r="O40" s="1">
        <v>-0.229813302225373</v>
      </c>
      <c r="P40" s="1" t="s">
        <v>61</v>
      </c>
      <c r="Q40" s="1" t="s">
        <v>61</v>
      </c>
      <c r="R40" s="1">
        <f t="shared" si="1"/>
        <v>0.1537472284</v>
      </c>
      <c r="S40" s="1">
        <f t="shared" si="2"/>
        <v>-114</v>
      </c>
      <c r="T40" s="1">
        <f t="shared" si="3"/>
        <v>1.877192982</v>
      </c>
      <c r="U40" s="1">
        <f t="shared" si="4"/>
        <v>1</v>
      </c>
      <c r="V40" s="3">
        <f t="shared" si="5"/>
        <v>3</v>
      </c>
      <c r="W40" s="3">
        <f t="shared" si="6"/>
        <v>2</v>
      </c>
      <c r="X40" s="3" t="str">
        <f>IFERROR(__xludf.DUMMYFUNCTION("split(B40,"" "")"),"M.")</f>
        <v>M.</v>
      </c>
      <c r="Y40" s="3" t="str">
        <f>IFERROR(__xludf.DUMMYFUNCTION("""COMPUTED_VALUE"""),"Hollins")</f>
        <v>Hollins</v>
      </c>
      <c r="AA40" s="8">
        <v>30.0</v>
      </c>
      <c r="AB40" s="3">
        <f t="shared" si="7"/>
        <v>1</v>
      </c>
      <c r="AC40" s="3">
        <f t="shared" si="8"/>
        <v>1</v>
      </c>
      <c r="AD40" s="3">
        <f t="shared" si="9"/>
        <v>2.631578947</v>
      </c>
      <c r="AE40" s="3">
        <f t="shared" si="10"/>
        <v>2.631578947</v>
      </c>
      <c r="AF40" s="3">
        <f t="shared" si="11"/>
        <v>1.754385965</v>
      </c>
      <c r="AG40" s="3">
        <f t="shared" si="12"/>
        <v>0.7142857143</v>
      </c>
    </row>
    <row r="41">
      <c r="A41" s="1" t="s">
        <v>9</v>
      </c>
      <c r="B41" s="1" t="s">
        <v>103</v>
      </c>
      <c r="C41" s="1" t="s">
        <v>18</v>
      </c>
      <c r="D41" s="1" t="s">
        <v>104</v>
      </c>
      <c r="E41" s="1" t="s">
        <v>94</v>
      </c>
      <c r="F41" s="1" t="s">
        <v>658</v>
      </c>
      <c r="G41" s="1">
        <v>16.5</v>
      </c>
      <c r="H41" s="1" t="s">
        <v>60</v>
      </c>
      <c r="I41" s="1">
        <v>-120.0</v>
      </c>
      <c r="J41" s="1">
        <v>0.125286463496051</v>
      </c>
      <c r="K41" s="1" t="s">
        <v>61</v>
      </c>
      <c r="L41" s="1" t="s">
        <v>61</v>
      </c>
      <c r="M41" s="1" t="s">
        <v>62</v>
      </c>
      <c r="N41" s="1">
        <v>-115.0</v>
      </c>
      <c r="O41" s="1">
        <v>-0.205561280300004</v>
      </c>
      <c r="P41" s="1" t="s">
        <v>61</v>
      </c>
      <c r="Q41" s="1" t="s">
        <v>61</v>
      </c>
      <c r="R41" s="1">
        <f t="shared" si="1"/>
        <v>0.1252864635</v>
      </c>
      <c r="S41" s="1">
        <f t="shared" si="2"/>
        <v>-120</v>
      </c>
      <c r="T41" s="1">
        <f t="shared" si="3"/>
        <v>1.833333333</v>
      </c>
      <c r="U41" s="1">
        <f t="shared" si="4"/>
        <v>1</v>
      </c>
      <c r="V41" s="3">
        <f t="shared" si="5"/>
        <v>3</v>
      </c>
      <c r="W41" s="3">
        <f t="shared" si="6"/>
        <v>3</v>
      </c>
      <c r="X41" s="3" t="str">
        <f>IFERROR(__xludf.DUMMYFUNCTION("split(B41,"" "")"),"C.")</f>
        <v>C.</v>
      </c>
      <c r="Y41" s="3" t="str">
        <f>IFERROR(__xludf.DUMMYFUNCTION("""COMPUTED_VALUE"""),"Samuel")</f>
        <v>Samuel</v>
      </c>
      <c r="AA41" s="8">
        <v>0.0</v>
      </c>
      <c r="AB41" s="3">
        <f t="shared" si="7"/>
        <v>0</v>
      </c>
      <c r="AC41" s="3">
        <f t="shared" si="8"/>
        <v>0</v>
      </c>
      <c r="AD41" s="3">
        <f t="shared" si="9"/>
        <v>2.5</v>
      </c>
      <c r="AE41" s="3">
        <f t="shared" si="10"/>
        <v>-3</v>
      </c>
      <c r="AF41" s="3">
        <f t="shared" si="11"/>
        <v>-3</v>
      </c>
      <c r="AG41" s="3">
        <f t="shared" si="12"/>
        <v>-1</v>
      </c>
    </row>
    <row r="42">
      <c r="A42" s="1" t="s">
        <v>11</v>
      </c>
      <c r="B42" s="1" t="s">
        <v>342</v>
      </c>
      <c r="C42" s="1" t="s">
        <v>19</v>
      </c>
      <c r="D42" s="1" t="s">
        <v>104</v>
      </c>
      <c r="E42" s="1" t="s">
        <v>94</v>
      </c>
      <c r="F42" s="1" t="s">
        <v>658</v>
      </c>
      <c r="G42" s="1">
        <v>2.5</v>
      </c>
      <c r="H42" s="1" t="s">
        <v>60</v>
      </c>
      <c r="I42" s="1">
        <v>-117.0</v>
      </c>
      <c r="J42" s="1">
        <v>0.121155947520717</v>
      </c>
      <c r="K42" s="1" t="s">
        <v>61</v>
      </c>
      <c r="L42" s="1" t="s">
        <v>61</v>
      </c>
      <c r="M42" s="1" t="s">
        <v>62</v>
      </c>
      <c r="N42" s="1">
        <v>-109.0</v>
      </c>
      <c r="O42" s="1">
        <v>-0.181821522808972</v>
      </c>
      <c r="P42" s="1" t="s">
        <v>61</v>
      </c>
      <c r="Q42" s="1" t="s">
        <v>61</v>
      </c>
      <c r="R42" s="1">
        <f t="shared" si="1"/>
        <v>0.1211559475</v>
      </c>
      <c r="S42" s="1">
        <f t="shared" si="2"/>
        <v>-117</v>
      </c>
      <c r="T42" s="1">
        <f t="shared" si="3"/>
        <v>1.854700855</v>
      </c>
      <c r="U42" s="1">
        <f t="shared" si="4"/>
        <v>1</v>
      </c>
      <c r="V42" s="3">
        <f t="shared" si="5"/>
        <v>3</v>
      </c>
      <c r="W42" s="3">
        <f t="shared" si="6"/>
        <v>2</v>
      </c>
      <c r="X42" s="3" t="str">
        <f>IFERROR(__xludf.DUMMYFUNCTION("split(B42,"" "")"),"R.")</f>
        <v>R.</v>
      </c>
      <c r="Y42" s="3" t="str">
        <f>IFERROR(__xludf.DUMMYFUNCTION("""COMPUTED_VALUE"""),"Davis")</f>
        <v>Davis</v>
      </c>
      <c r="AA42" s="8">
        <v>70.0</v>
      </c>
      <c r="AB42" s="3">
        <f t="shared" si="7"/>
        <v>1</v>
      </c>
      <c r="AC42" s="3">
        <f t="shared" si="8"/>
        <v>1</v>
      </c>
      <c r="AD42" s="3">
        <f t="shared" si="9"/>
        <v>2.564102564</v>
      </c>
      <c r="AE42" s="3">
        <f t="shared" si="10"/>
        <v>2.564102564</v>
      </c>
      <c r="AF42" s="3">
        <f t="shared" si="11"/>
        <v>1.709401709</v>
      </c>
      <c r="AG42" s="3">
        <f t="shared" si="12"/>
        <v>27</v>
      </c>
    </row>
    <row r="43">
      <c r="A43" s="1" t="s">
        <v>8</v>
      </c>
      <c r="B43" s="1" t="s">
        <v>342</v>
      </c>
      <c r="C43" s="1" t="s">
        <v>19</v>
      </c>
      <c r="D43" s="1" t="s">
        <v>104</v>
      </c>
      <c r="E43" s="1" t="s">
        <v>94</v>
      </c>
      <c r="F43" s="1" t="s">
        <v>658</v>
      </c>
      <c r="G43" s="1">
        <v>5.5</v>
      </c>
      <c r="H43" s="1" t="s">
        <v>60</v>
      </c>
      <c r="I43" s="1">
        <v>102.0</v>
      </c>
      <c r="J43" s="1">
        <v>-0.182536909788116</v>
      </c>
      <c r="K43" s="1" t="s">
        <v>61</v>
      </c>
      <c r="L43" s="1" t="s">
        <v>61</v>
      </c>
      <c r="M43" s="1" t="s">
        <v>62</v>
      </c>
      <c r="N43" s="1">
        <v>-133.0</v>
      </c>
      <c r="O43" s="1">
        <v>0.116670311300494</v>
      </c>
      <c r="P43" s="1" t="s">
        <v>61</v>
      </c>
      <c r="Q43" s="1" t="s">
        <v>61</v>
      </c>
      <c r="R43" s="1">
        <f t="shared" si="1"/>
        <v>0.1166703113</v>
      </c>
      <c r="S43" s="1">
        <f t="shared" si="2"/>
        <v>-133</v>
      </c>
      <c r="T43" s="1">
        <f t="shared" si="3"/>
        <v>1.751879699</v>
      </c>
      <c r="U43" s="1">
        <f t="shared" si="4"/>
        <v>0</v>
      </c>
      <c r="V43" s="3">
        <f t="shared" si="5"/>
        <v>3</v>
      </c>
      <c r="W43" s="3">
        <f t="shared" si="6"/>
        <v>3</v>
      </c>
      <c r="X43" s="3" t="str">
        <f>IFERROR(__xludf.DUMMYFUNCTION("split(B43,"" "")"),"R.")</f>
        <v>R.</v>
      </c>
      <c r="Y43" s="3" t="str">
        <f>IFERROR(__xludf.DUMMYFUNCTION("""COMPUTED_VALUE"""),"Davis")</f>
        <v>Davis</v>
      </c>
      <c r="AA43" s="8">
        <v>4.0</v>
      </c>
      <c r="AB43" s="3">
        <f t="shared" si="7"/>
        <v>0</v>
      </c>
      <c r="AC43" s="3">
        <f t="shared" si="8"/>
        <v>1</v>
      </c>
      <c r="AD43" s="3">
        <f t="shared" si="9"/>
        <v>2.255639098</v>
      </c>
      <c r="AE43" s="3">
        <f t="shared" si="10"/>
        <v>2.255639098</v>
      </c>
      <c r="AF43" s="3">
        <f t="shared" si="11"/>
        <v>2.255639098</v>
      </c>
      <c r="AG43" s="3">
        <f t="shared" si="12"/>
        <v>0.2727272727</v>
      </c>
    </row>
    <row r="44">
      <c r="A44" s="1" t="s">
        <v>12</v>
      </c>
      <c r="B44" s="1" t="s">
        <v>426</v>
      </c>
      <c r="C44" s="1" t="s">
        <v>18</v>
      </c>
      <c r="D44" s="1" t="s">
        <v>104</v>
      </c>
      <c r="E44" s="1" t="s">
        <v>94</v>
      </c>
      <c r="F44" s="1" t="s">
        <v>658</v>
      </c>
      <c r="G44" s="1">
        <v>3.5</v>
      </c>
      <c r="H44" s="1" t="s">
        <v>60</v>
      </c>
      <c r="I44" s="1">
        <v>-134.0</v>
      </c>
      <c r="J44" s="1">
        <v>-0.168992307692307</v>
      </c>
      <c r="K44" s="1" t="s">
        <v>61</v>
      </c>
      <c r="L44" s="1" t="s">
        <v>61</v>
      </c>
      <c r="M44" s="1" t="s">
        <v>62</v>
      </c>
      <c r="N44" s="1">
        <v>103.0</v>
      </c>
      <c r="O44" s="1">
        <v>0.10373842364532</v>
      </c>
      <c r="P44" s="1" t="s">
        <v>61</v>
      </c>
      <c r="Q44" s="1" t="s">
        <v>61</v>
      </c>
      <c r="R44" s="1">
        <f t="shared" si="1"/>
        <v>0.1037384236</v>
      </c>
      <c r="S44" s="1">
        <f t="shared" si="2"/>
        <v>103</v>
      </c>
      <c r="T44" s="1">
        <f t="shared" si="3"/>
        <v>2.03</v>
      </c>
      <c r="U44" s="1">
        <f t="shared" si="4"/>
        <v>0</v>
      </c>
      <c r="V44" s="3">
        <f t="shared" si="5"/>
        <v>3</v>
      </c>
      <c r="W44" s="3">
        <f t="shared" si="6"/>
        <v>2</v>
      </c>
      <c r="X44" s="3" t="str">
        <f>IFERROR(__xludf.DUMMYFUNCTION("split(B44,"" "")"),"K.")</f>
        <v>K.</v>
      </c>
      <c r="Y44" s="3" t="str">
        <f>IFERROR(__xludf.DUMMYFUNCTION("""COMPUTED_VALUE"""),"Coleman")</f>
        <v>Coleman</v>
      </c>
      <c r="AA44" s="8">
        <v>1.0</v>
      </c>
      <c r="AB44" s="3">
        <f t="shared" si="7"/>
        <v>0</v>
      </c>
      <c r="AC44" s="3">
        <f t="shared" si="8"/>
        <v>1</v>
      </c>
      <c r="AD44" s="3">
        <f t="shared" si="9"/>
        <v>3.09</v>
      </c>
      <c r="AE44" s="3">
        <f t="shared" si="10"/>
        <v>3.09</v>
      </c>
      <c r="AF44" s="3">
        <f t="shared" si="11"/>
        <v>2.06</v>
      </c>
      <c r="AG44" s="3">
        <f t="shared" si="12"/>
        <v>0.7142857143</v>
      </c>
    </row>
    <row r="45">
      <c r="A45" s="1" t="s">
        <v>12</v>
      </c>
      <c r="B45" s="1" t="s">
        <v>457</v>
      </c>
      <c r="C45" s="1" t="s">
        <v>18</v>
      </c>
      <c r="D45" s="1" t="s">
        <v>104</v>
      </c>
      <c r="E45" s="1" t="s">
        <v>94</v>
      </c>
      <c r="F45" s="1" t="s">
        <v>658</v>
      </c>
      <c r="G45" s="1">
        <v>1.5</v>
      </c>
      <c r="H45" s="1" t="s">
        <v>60</v>
      </c>
      <c r="I45" s="1">
        <v>-116.0</v>
      </c>
      <c r="J45" s="1">
        <v>-0.167080962004629</v>
      </c>
      <c r="K45" s="1" t="s">
        <v>61</v>
      </c>
      <c r="L45" s="1" t="s">
        <v>61</v>
      </c>
      <c r="M45" s="1" t="s">
        <v>62</v>
      </c>
      <c r="N45" s="1">
        <v>-113.0</v>
      </c>
      <c r="O45" s="1">
        <v>0.0995193108267136</v>
      </c>
      <c r="P45" s="1" t="s">
        <v>61</v>
      </c>
      <c r="Q45" s="1" t="s">
        <v>61</v>
      </c>
      <c r="R45" s="1">
        <f t="shared" si="1"/>
        <v>0.09951931083</v>
      </c>
      <c r="S45" s="1">
        <f t="shared" si="2"/>
        <v>-113</v>
      </c>
      <c r="T45" s="1">
        <f t="shared" si="3"/>
        <v>1.884955752</v>
      </c>
      <c r="U45" s="1">
        <f t="shared" si="4"/>
        <v>0</v>
      </c>
      <c r="V45" s="3">
        <f t="shared" si="5"/>
        <v>2</v>
      </c>
      <c r="W45" s="3">
        <f t="shared" si="6"/>
        <v>2</v>
      </c>
      <c r="X45" s="3" t="str">
        <f>IFERROR(__xludf.DUMMYFUNCTION("split(B45,"" "")"),"M.")</f>
        <v>M.</v>
      </c>
      <c r="Y45" s="3" t="str">
        <f>IFERROR(__xludf.DUMMYFUNCTION("""COMPUTED_VALUE"""),"Hollins")</f>
        <v>Hollins</v>
      </c>
      <c r="AA45" s="8">
        <v>5.0</v>
      </c>
      <c r="AB45" s="3">
        <f t="shared" si="7"/>
        <v>1</v>
      </c>
      <c r="AC45" s="3">
        <f t="shared" si="8"/>
        <v>0</v>
      </c>
      <c r="AD45" s="3">
        <f t="shared" si="9"/>
        <v>1.769911504</v>
      </c>
      <c r="AE45" s="3">
        <f t="shared" si="10"/>
        <v>-2</v>
      </c>
      <c r="AF45" s="3">
        <f t="shared" si="11"/>
        <v>-2</v>
      </c>
      <c r="AG45" s="3">
        <f t="shared" si="12"/>
        <v>-2.333333333</v>
      </c>
    </row>
    <row r="46">
      <c r="A46" s="1" t="s">
        <v>12</v>
      </c>
      <c r="B46" s="1" t="s">
        <v>342</v>
      </c>
      <c r="C46" s="1" t="s">
        <v>19</v>
      </c>
      <c r="D46" s="1" t="s">
        <v>104</v>
      </c>
      <c r="E46" s="1" t="s">
        <v>94</v>
      </c>
      <c r="F46" s="1" t="s">
        <v>658</v>
      </c>
      <c r="G46" s="1">
        <v>0.5</v>
      </c>
      <c r="H46" s="1" t="s">
        <v>60</v>
      </c>
      <c r="I46" s="1">
        <v>-171.0</v>
      </c>
      <c r="J46" s="1">
        <v>-0.107728359245387</v>
      </c>
      <c r="K46" s="1" t="s">
        <v>61</v>
      </c>
      <c r="L46" s="1" t="s">
        <v>61</v>
      </c>
      <c r="M46" s="1" t="s">
        <v>62</v>
      </c>
      <c r="N46" s="1">
        <v>139.0</v>
      </c>
      <c r="O46" s="1">
        <v>0.0583262985585774</v>
      </c>
      <c r="P46" s="1" t="s">
        <v>61</v>
      </c>
      <c r="Q46" s="1" t="s">
        <v>61</v>
      </c>
      <c r="R46" s="1">
        <f t="shared" si="1"/>
        <v>0.05832629856</v>
      </c>
      <c r="S46" s="1">
        <f t="shared" si="2"/>
        <v>139</v>
      </c>
      <c r="T46" s="1">
        <f t="shared" si="3"/>
        <v>2.39</v>
      </c>
      <c r="U46" s="1">
        <f t="shared" si="4"/>
        <v>0</v>
      </c>
      <c r="V46" s="3">
        <f t="shared" si="5"/>
        <v>2</v>
      </c>
      <c r="W46" s="3">
        <f t="shared" si="6"/>
        <v>1</v>
      </c>
      <c r="X46" s="3" t="str">
        <f>IFERROR(__xludf.DUMMYFUNCTION("split(B46,"" "")"),"R.")</f>
        <v>R.</v>
      </c>
      <c r="Y46" s="3" t="str">
        <f>IFERROR(__xludf.DUMMYFUNCTION("""COMPUTED_VALUE"""),"Davis")</f>
        <v>Davis</v>
      </c>
      <c r="AA46" s="8">
        <v>2.0</v>
      </c>
      <c r="AB46" s="3">
        <f t="shared" si="7"/>
        <v>1</v>
      </c>
      <c r="AC46" s="3">
        <f t="shared" si="8"/>
        <v>0</v>
      </c>
      <c r="AD46" s="3">
        <f t="shared" si="9"/>
        <v>2.78</v>
      </c>
      <c r="AE46" s="3">
        <f t="shared" si="10"/>
        <v>-2</v>
      </c>
      <c r="AF46" s="3">
        <f t="shared" si="11"/>
        <v>-1</v>
      </c>
      <c r="AG46" s="3">
        <f t="shared" si="12"/>
        <v>-3</v>
      </c>
    </row>
    <row r="47">
      <c r="A47" s="1" t="s">
        <v>10</v>
      </c>
      <c r="B47" s="1" t="s">
        <v>458</v>
      </c>
      <c r="C47" s="1" t="s">
        <v>19</v>
      </c>
      <c r="D47" s="1" t="s">
        <v>104</v>
      </c>
      <c r="E47" s="1" t="s">
        <v>94</v>
      </c>
      <c r="F47" s="1" t="s">
        <v>658</v>
      </c>
      <c r="G47" s="1">
        <v>65.5</v>
      </c>
      <c r="H47" s="1" t="s">
        <v>60</v>
      </c>
      <c r="I47" s="1">
        <v>-118.0</v>
      </c>
      <c r="J47" s="1">
        <v>-0.116741167949908</v>
      </c>
      <c r="K47" s="1" t="s">
        <v>61</v>
      </c>
      <c r="L47" s="1" t="s">
        <v>61</v>
      </c>
      <c r="M47" s="1" t="s">
        <v>62</v>
      </c>
      <c r="N47" s="1">
        <v>-111.0</v>
      </c>
      <c r="O47" s="1">
        <v>0.0493689819224957</v>
      </c>
      <c r="P47" s="1" t="s">
        <v>61</v>
      </c>
      <c r="Q47" s="1" t="s">
        <v>61</v>
      </c>
      <c r="R47" s="1">
        <f t="shared" si="1"/>
        <v>0.04936898192</v>
      </c>
      <c r="S47" s="1">
        <f t="shared" si="2"/>
        <v>-111</v>
      </c>
      <c r="T47" s="1">
        <f t="shared" si="3"/>
        <v>1.900900901</v>
      </c>
      <c r="U47" s="1">
        <f t="shared" si="4"/>
        <v>0</v>
      </c>
      <c r="V47" s="3">
        <f t="shared" si="5"/>
        <v>1</v>
      </c>
      <c r="W47" s="3">
        <f t="shared" si="6"/>
        <v>2</v>
      </c>
      <c r="X47" s="3" t="str">
        <f>IFERROR(__xludf.DUMMYFUNCTION("split(B47,"" "")"),"J.")</f>
        <v>J.</v>
      </c>
      <c r="Y47" s="3" t="str">
        <f>IFERROR(__xludf.DUMMYFUNCTION("""COMPUTED_VALUE"""),"Cook")</f>
        <v>Cook</v>
      </c>
      <c r="AA47" s="8">
        <v>44.0</v>
      </c>
      <c r="AB47" s="3">
        <f t="shared" si="7"/>
        <v>0</v>
      </c>
      <c r="AC47" s="3">
        <f t="shared" si="8"/>
        <v>1</v>
      </c>
      <c r="AD47" s="3">
        <f t="shared" si="9"/>
        <v>0.9009009009</v>
      </c>
      <c r="AE47" s="3">
        <f t="shared" si="10"/>
        <v>0.9009009009</v>
      </c>
      <c r="AF47" s="3">
        <f t="shared" si="11"/>
        <v>1.801801802</v>
      </c>
      <c r="AG47" s="3">
        <f t="shared" si="12"/>
        <v>0.3282442748</v>
      </c>
    </row>
    <row r="48">
      <c r="A48" s="1" t="s">
        <v>8</v>
      </c>
      <c r="B48" s="1" t="s">
        <v>458</v>
      </c>
      <c r="C48" s="1" t="s">
        <v>19</v>
      </c>
      <c r="D48" s="1" t="s">
        <v>104</v>
      </c>
      <c r="E48" s="1" t="s">
        <v>94</v>
      </c>
      <c r="F48" s="1" t="s">
        <v>658</v>
      </c>
      <c r="G48" s="1">
        <v>15.5</v>
      </c>
      <c r="H48" s="1" t="s">
        <v>60</v>
      </c>
      <c r="I48" s="1">
        <v>-122.0</v>
      </c>
      <c r="J48" s="1">
        <v>-0.117749344139639</v>
      </c>
      <c r="K48" s="1" t="s">
        <v>61</v>
      </c>
      <c r="L48" s="1" t="s">
        <v>61</v>
      </c>
      <c r="M48" s="1" t="s">
        <v>62</v>
      </c>
      <c r="N48" s="1">
        <v>-108.0</v>
      </c>
      <c r="O48" s="1">
        <v>0.0489689939948077</v>
      </c>
      <c r="P48" s="1" t="s">
        <v>61</v>
      </c>
      <c r="Q48" s="1" t="s">
        <v>61</v>
      </c>
      <c r="R48" s="1">
        <f t="shared" si="1"/>
        <v>0.04896899399</v>
      </c>
      <c r="S48" s="1">
        <f t="shared" si="2"/>
        <v>-108</v>
      </c>
      <c r="T48" s="1">
        <f t="shared" si="3"/>
        <v>1.925925926</v>
      </c>
      <c r="U48" s="1">
        <f t="shared" si="4"/>
        <v>0</v>
      </c>
      <c r="V48" s="3">
        <f t="shared" si="5"/>
        <v>1</v>
      </c>
      <c r="W48" s="3">
        <f t="shared" si="6"/>
        <v>2</v>
      </c>
      <c r="X48" s="3" t="str">
        <f>IFERROR(__xludf.DUMMYFUNCTION("split(B48,"" "")"),"J.")</f>
        <v>J.</v>
      </c>
      <c r="Y48" s="3" t="str">
        <f>IFERROR(__xludf.DUMMYFUNCTION("""COMPUTED_VALUE"""),"Cook")</f>
        <v>Cook</v>
      </c>
      <c r="AA48" s="8">
        <v>10.0</v>
      </c>
      <c r="AB48" s="3">
        <f t="shared" si="7"/>
        <v>0</v>
      </c>
      <c r="AC48" s="3">
        <f t="shared" si="8"/>
        <v>1</v>
      </c>
      <c r="AD48" s="3">
        <f t="shared" si="9"/>
        <v>0.9259259259</v>
      </c>
      <c r="AE48" s="3">
        <f t="shared" si="10"/>
        <v>0.9259259259</v>
      </c>
      <c r="AF48" s="3">
        <f t="shared" si="11"/>
        <v>1.851851852</v>
      </c>
      <c r="AG48" s="3">
        <f t="shared" si="12"/>
        <v>0.3548387097</v>
      </c>
    </row>
    <row r="49">
      <c r="A49" s="1" t="s">
        <v>11</v>
      </c>
      <c r="B49" s="1" t="s">
        <v>235</v>
      </c>
      <c r="C49" s="1" t="s">
        <v>20</v>
      </c>
      <c r="D49" s="1" t="s">
        <v>104</v>
      </c>
      <c r="E49" s="1" t="s">
        <v>94</v>
      </c>
      <c r="F49" s="1" t="s">
        <v>658</v>
      </c>
      <c r="G49" s="1">
        <v>43.5</v>
      </c>
      <c r="H49" s="1" t="s">
        <v>60</v>
      </c>
      <c r="I49" s="1">
        <v>-119.0</v>
      </c>
      <c r="J49" s="1">
        <v>-0.113926733924474</v>
      </c>
      <c r="K49" s="1" t="s">
        <v>61</v>
      </c>
      <c r="L49" s="1" t="s">
        <v>61</v>
      </c>
      <c r="M49" s="1" t="s">
        <v>62</v>
      </c>
      <c r="N49" s="1">
        <v>-110.0</v>
      </c>
      <c r="O49" s="1">
        <v>0.0467437158450475</v>
      </c>
      <c r="P49" s="1" t="s">
        <v>61</v>
      </c>
      <c r="Q49" s="1" t="s">
        <v>61</v>
      </c>
      <c r="R49" s="1">
        <f t="shared" si="1"/>
        <v>0.04674371585</v>
      </c>
      <c r="S49" s="1">
        <f t="shared" si="2"/>
        <v>-110</v>
      </c>
      <c r="T49" s="1">
        <f t="shared" si="3"/>
        <v>1.909090909</v>
      </c>
      <c r="U49" s="1">
        <f t="shared" si="4"/>
        <v>0</v>
      </c>
      <c r="V49" s="3">
        <f t="shared" si="5"/>
        <v>1</v>
      </c>
      <c r="W49" s="3">
        <f t="shared" si="6"/>
        <v>2</v>
      </c>
      <c r="X49" s="3" t="str">
        <f>IFERROR(__xludf.DUMMYFUNCTION("split(B49,"" "")"),"D.")</f>
        <v>D.</v>
      </c>
      <c r="Y49" s="3" t="str">
        <f>IFERROR(__xludf.DUMMYFUNCTION("""COMPUTED_VALUE"""),"Kincaid")</f>
        <v>Kincaid</v>
      </c>
      <c r="AA49" s="8">
        <v>32.0</v>
      </c>
      <c r="AB49" s="3">
        <f t="shared" si="7"/>
        <v>0</v>
      </c>
      <c r="AC49" s="3">
        <f t="shared" si="8"/>
        <v>1</v>
      </c>
      <c r="AD49" s="3">
        <f t="shared" si="9"/>
        <v>0.9090909091</v>
      </c>
      <c r="AE49" s="3">
        <f t="shared" si="10"/>
        <v>0.9090909091</v>
      </c>
      <c r="AF49" s="3">
        <f t="shared" si="11"/>
        <v>1.818181818</v>
      </c>
      <c r="AG49" s="3">
        <f t="shared" si="12"/>
        <v>0.2643678161</v>
      </c>
    </row>
    <row r="50">
      <c r="A50" s="1" t="s">
        <v>9</v>
      </c>
      <c r="B50" s="1" t="s">
        <v>458</v>
      </c>
      <c r="C50" s="1" t="s">
        <v>19</v>
      </c>
      <c r="D50" s="1" t="s">
        <v>104</v>
      </c>
      <c r="E50" s="1" t="s">
        <v>94</v>
      </c>
      <c r="F50" s="1" t="s">
        <v>658</v>
      </c>
      <c r="G50" s="1">
        <v>83.5</v>
      </c>
      <c r="H50" s="1" t="s">
        <v>60</v>
      </c>
      <c r="I50" s="1">
        <v>-120.0</v>
      </c>
      <c r="J50" s="1">
        <v>-0.124042068926165</v>
      </c>
      <c r="K50" s="1" t="s">
        <v>61</v>
      </c>
      <c r="L50" s="1" t="s">
        <v>61</v>
      </c>
      <c r="M50" s="1" t="s">
        <v>62</v>
      </c>
      <c r="N50" s="1">
        <v>-115.0</v>
      </c>
      <c r="O50" s="1">
        <v>0.0437015973875337</v>
      </c>
      <c r="P50" s="1" t="s">
        <v>61</v>
      </c>
      <c r="Q50" s="1" t="s">
        <v>61</v>
      </c>
      <c r="R50" s="1">
        <f t="shared" si="1"/>
        <v>0.04370159739</v>
      </c>
      <c r="S50" s="1">
        <f t="shared" si="2"/>
        <v>-115</v>
      </c>
      <c r="T50" s="1">
        <f t="shared" si="3"/>
        <v>1.869565217</v>
      </c>
      <c r="U50" s="1">
        <f t="shared" si="4"/>
        <v>0</v>
      </c>
      <c r="V50" s="3">
        <f t="shared" si="5"/>
        <v>1</v>
      </c>
      <c r="W50" s="3">
        <f t="shared" si="6"/>
        <v>2</v>
      </c>
      <c r="X50" s="3" t="str">
        <f>IFERROR(__xludf.DUMMYFUNCTION("split(B50,"" "")"),"J.")</f>
        <v>J.</v>
      </c>
      <c r="Y50" s="3" t="str">
        <f>IFERROR(__xludf.DUMMYFUNCTION("""COMPUTED_VALUE"""),"Cook")</f>
        <v>Cook</v>
      </c>
      <c r="AA50" s="8">
        <v>69.0</v>
      </c>
      <c r="AB50" s="3">
        <f t="shared" si="7"/>
        <v>0</v>
      </c>
      <c r="AC50" s="3">
        <f t="shared" si="8"/>
        <v>1</v>
      </c>
      <c r="AD50" s="3">
        <f t="shared" si="9"/>
        <v>0.8695652174</v>
      </c>
      <c r="AE50" s="3">
        <f t="shared" si="10"/>
        <v>0.8695652174</v>
      </c>
      <c r="AF50" s="3">
        <f t="shared" si="11"/>
        <v>1.739130435</v>
      </c>
      <c r="AG50" s="3">
        <f t="shared" si="12"/>
        <v>0.1736526946</v>
      </c>
    </row>
    <row r="51">
      <c r="A51" s="1" t="s">
        <v>10</v>
      </c>
      <c r="B51" s="1" t="s">
        <v>342</v>
      </c>
      <c r="C51" s="1" t="s">
        <v>19</v>
      </c>
      <c r="D51" s="1" t="s">
        <v>104</v>
      </c>
      <c r="E51" s="1" t="s">
        <v>94</v>
      </c>
      <c r="F51" s="1" t="s">
        <v>658</v>
      </c>
      <c r="G51" s="1">
        <v>20.5</v>
      </c>
      <c r="H51" s="1" t="s">
        <v>60</v>
      </c>
      <c r="I51" s="1">
        <v>-117.0</v>
      </c>
      <c r="J51" s="1">
        <v>-0.103582880629021</v>
      </c>
      <c r="K51" s="1" t="s">
        <v>61</v>
      </c>
      <c r="L51" s="1" t="s">
        <v>61</v>
      </c>
      <c r="M51" s="1" t="s">
        <v>62</v>
      </c>
      <c r="N51" s="1">
        <v>-110.0</v>
      </c>
      <c r="O51" s="1">
        <v>0.0406318743149877</v>
      </c>
      <c r="P51" s="1" t="s">
        <v>61</v>
      </c>
      <c r="Q51" s="1" t="s">
        <v>61</v>
      </c>
      <c r="R51" s="1">
        <f t="shared" si="1"/>
        <v>0.04063187431</v>
      </c>
      <c r="S51" s="1">
        <f t="shared" si="2"/>
        <v>-110</v>
      </c>
      <c r="T51" s="1">
        <f t="shared" si="3"/>
        <v>1.909090909</v>
      </c>
      <c r="U51" s="1">
        <f t="shared" si="4"/>
        <v>0</v>
      </c>
      <c r="V51" s="3">
        <f t="shared" si="5"/>
        <v>1</v>
      </c>
      <c r="W51" s="3">
        <f t="shared" si="6"/>
        <v>2</v>
      </c>
      <c r="X51" s="3" t="str">
        <f>IFERROR(__xludf.DUMMYFUNCTION("split(B51,"" "")"),"R.")</f>
        <v>R.</v>
      </c>
      <c r="Y51" s="3" t="str">
        <f>IFERROR(__xludf.DUMMYFUNCTION("""COMPUTED_VALUE"""),"Davis")</f>
        <v>Davis</v>
      </c>
      <c r="AA51" s="8">
        <v>20.0</v>
      </c>
      <c r="AB51" s="3">
        <f t="shared" si="7"/>
        <v>0</v>
      </c>
      <c r="AC51" s="3">
        <f t="shared" si="8"/>
        <v>1</v>
      </c>
      <c r="AD51" s="3">
        <f t="shared" si="9"/>
        <v>0.9090909091</v>
      </c>
      <c r="AE51" s="3">
        <f t="shared" si="10"/>
        <v>0.9090909091</v>
      </c>
      <c r="AF51" s="3">
        <f t="shared" si="11"/>
        <v>1.818181818</v>
      </c>
      <c r="AG51" s="3">
        <f t="shared" si="12"/>
        <v>0.0243902439</v>
      </c>
    </row>
    <row r="52">
      <c r="A52" s="1" t="s">
        <v>14</v>
      </c>
      <c r="B52" s="1" t="s">
        <v>434</v>
      </c>
      <c r="C52" s="1" t="s">
        <v>21</v>
      </c>
      <c r="D52" s="1" t="s">
        <v>104</v>
      </c>
      <c r="E52" s="1" t="s">
        <v>94</v>
      </c>
      <c r="F52" s="1" t="s">
        <v>658</v>
      </c>
      <c r="G52" s="1">
        <v>1.5</v>
      </c>
      <c r="H52" s="1" t="s">
        <v>60</v>
      </c>
      <c r="I52" s="1">
        <v>-126.0</v>
      </c>
      <c r="J52" s="1">
        <v>-0.102822123893805</v>
      </c>
      <c r="K52" s="1" t="s">
        <v>61</v>
      </c>
      <c r="L52" s="1" t="s">
        <v>61</v>
      </c>
      <c r="M52" s="1" t="s">
        <v>62</v>
      </c>
      <c r="N52" s="1">
        <v>-104.0</v>
      </c>
      <c r="O52" s="1">
        <v>0.0354960784313725</v>
      </c>
      <c r="P52" s="1" t="s">
        <v>61</v>
      </c>
      <c r="Q52" s="1" t="s">
        <v>61</v>
      </c>
      <c r="R52" s="1">
        <f t="shared" si="1"/>
        <v>0.03549607843</v>
      </c>
      <c r="S52" s="1">
        <f t="shared" si="2"/>
        <v>-104</v>
      </c>
      <c r="T52" s="1">
        <f t="shared" si="3"/>
        <v>1.961538462</v>
      </c>
      <c r="U52" s="1">
        <f t="shared" si="4"/>
        <v>0</v>
      </c>
      <c r="V52" s="3">
        <f t="shared" si="5"/>
        <v>1</v>
      </c>
      <c r="W52" s="3">
        <f t="shared" si="6"/>
        <v>2</v>
      </c>
      <c r="X52" s="3" t="str">
        <f>IFERROR(__xludf.DUMMYFUNCTION("split(B52,"" "")"),"J.")</f>
        <v>J.</v>
      </c>
      <c r="Y52" s="3" t="str">
        <f>IFERROR(__xludf.DUMMYFUNCTION("""COMPUTED_VALUE"""),"Allen")</f>
        <v>Allen</v>
      </c>
      <c r="AA52" s="8">
        <v>3.0</v>
      </c>
      <c r="AB52" s="3">
        <f t="shared" si="7"/>
        <v>1</v>
      </c>
      <c r="AC52" s="3">
        <f t="shared" si="8"/>
        <v>0</v>
      </c>
      <c r="AD52" s="3">
        <f t="shared" si="9"/>
        <v>0.9615384615</v>
      </c>
      <c r="AE52" s="3">
        <f t="shared" si="10"/>
        <v>-1</v>
      </c>
      <c r="AF52" s="3">
        <f t="shared" si="11"/>
        <v>-2</v>
      </c>
      <c r="AG52" s="3">
        <f t="shared" si="12"/>
        <v>-1</v>
      </c>
    </row>
    <row r="53">
      <c r="A53" s="1" t="s">
        <v>10</v>
      </c>
      <c r="B53" s="1" t="s">
        <v>434</v>
      </c>
      <c r="C53" s="1" t="s">
        <v>21</v>
      </c>
      <c r="D53" s="1" t="s">
        <v>104</v>
      </c>
      <c r="E53" s="1" t="s">
        <v>94</v>
      </c>
      <c r="F53" s="1" t="s">
        <v>658</v>
      </c>
      <c r="G53" s="1">
        <v>29.5</v>
      </c>
      <c r="H53" s="1" t="s">
        <v>60</v>
      </c>
      <c r="I53" s="1">
        <v>-117.0</v>
      </c>
      <c r="J53" s="1">
        <v>-0.102883358868807</v>
      </c>
      <c r="K53" s="1" t="s">
        <v>61</v>
      </c>
      <c r="L53" s="1" t="s">
        <v>61</v>
      </c>
      <c r="M53" s="1" t="s">
        <v>62</v>
      </c>
      <c r="N53" s="1">
        <v>-112.0</v>
      </c>
      <c r="O53" s="1">
        <v>0.0354567714126176</v>
      </c>
      <c r="P53" s="1" t="s">
        <v>61</v>
      </c>
      <c r="Q53" s="1" t="s">
        <v>61</v>
      </c>
      <c r="R53" s="1">
        <f t="shared" si="1"/>
        <v>0.03545677141</v>
      </c>
      <c r="S53" s="1">
        <f t="shared" si="2"/>
        <v>-112</v>
      </c>
      <c r="T53" s="1">
        <f t="shared" si="3"/>
        <v>1.892857143</v>
      </c>
      <c r="U53" s="1">
        <f t="shared" si="4"/>
        <v>0</v>
      </c>
      <c r="V53" s="3">
        <f t="shared" si="5"/>
        <v>1</v>
      </c>
      <c r="W53" s="3">
        <f t="shared" si="6"/>
        <v>2</v>
      </c>
      <c r="X53" s="3" t="str">
        <f>IFERROR(__xludf.DUMMYFUNCTION("split(B53,"" "")"),"J.")</f>
        <v>J.</v>
      </c>
      <c r="Y53" s="3" t="str">
        <f>IFERROR(__xludf.DUMMYFUNCTION("""COMPUTED_VALUE"""),"Allen")</f>
        <v>Allen</v>
      </c>
      <c r="AA53" s="8">
        <v>7.0</v>
      </c>
      <c r="AB53" s="3">
        <f t="shared" si="7"/>
        <v>0</v>
      </c>
      <c r="AC53" s="3">
        <f t="shared" si="8"/>
        <v>1</v>
      </c>
      <c r="AD53" s="3">
        <f t="shared" si="9"/>
        <v>0.8928571429</v>
      </c>
      <c r="AE53" s="3">
        <f t="shared" si="10"/>
        <v>0.8928571429</v>
      </c>
      <c r="AF53" s="3">
        <f t="shared" si="11"/>
        <v>1.785714286</v>
      </c>
      <c r="AG53" s="3">
        <f t="shared" si="12"/>
        <v>0.7627118644</v>
      </c>
    </row>
    <row r="54">
      <c r="A54" s="1" t="s">
        <v>9</v>
      </c>
      <c r="B54" s="1" t="s">
        <v>342</v>
      </c>
      <c r="C54" s="1" t="s">
        <v>19</v>
      </c>
      <c r="D54" s="1" t="s">
        <v>104</v>
      </c>
      <c r="E54" s="1" t="s">
        <v>94</v>
      </c>
      <c r="F54" s="1" t="s">
        <v>658</v>
      </c>
      <c r="G54" s="1">
        <v>27.5</v>
      </c>
      <c r="H54" s="1" t="s">
        <v>60</v>
      </c>
      <c r="I54" s="1">
        <v>-120.0</v>
      </c>
      <c r="J54" s="1">
        <v>0.0212527543915848</v>
      </c>
      <c r="K54" s="1" t="s">
        <v>61</v>
      </c>
      <c r="L54" s="1" t="s">
        <v>61</v>
      </c>
      <c r="M54" s="1" t="s">
        <v>62</v>
      </c>
      <c r="N54" s="1">
        <v>-113.0</v>
      </c>
      <c r="O54" s="1">
        <v>-0.0972082382241689</v>
      </c>
      <c r="P54" s="1" t="s">
        <v>61</v>
      </c>
      <c r="Q54" s="1" t="s">
        <v>61</v>
      </c>
      <c r="R54" s="1">
        <f t="shared" si="1"/>
        <v>0.02125275439</v>
      </c>
      <c r="S54" s="1">
        <f t="shared" si="2"/>
        <v>-120</v>
      </c>
      <c r="T54" s="1">
        <f t="shared" si="3"/>
        <v>1.833333333</v>
      </c>
      <c r="U54" s="1">
        <f t="shared" si="4"/>
        <v>1</v>
      </c>
      <c r="V54" s="3">
        <f t="shared" si="5"/>
        <v>1</v>
      </c>
      <c r="W54" s="3">
        <f t="shared" si="6"/>
        <v>3</v>
      </c>
      <c r="X54" s="3" t="str">
        <f>IFERROR(__xludf.DUMMYFUNCTION("split(B54,"" "")"),"R.")</f>
        <v>R.</v>
      </c>
      <c r="Y54" s="3" t="str">
        <f>IFERROR(__xludf.DUMMYFUNCTION("""COMPUTED_VALUE"""),"Davis")</f>
        <v>Davis</v>
      </c>
      <c r="AA54" s="8">
        <v>90.0</v>
      </c>
      <c r="AB54" s="3">
        <f t="shared" si="7"/>
        <v>1</v>
      </c>
      <c r="AC54" s="3">
        <f t="shared" si="8"/>
        <v>1</v>
      </c>
      <c r="AD54" s="3">
        <f t="shared" si="9"/>
        <v>0.8333333333</v>
      </c>
      <c r="AE54" s="3">
        <f t="shared" si="10"/>
        <v>0.8333333333</v>
      </c>
      <c r="AF54" s="3">
        <f t="shared" si="11"/>
        <v>2.5</v>
      </c>
      <c r="AG54" s="3">
        <f t="shared" si="12"/>
        <v>2.272727273</v>
      </c>
    </row>
    <row r="55">
      <c r="A55" s="1" t="s">
        <v>15</v>
      </c>
      <c r="B55" s="1" t="s">
        <v>434</v>
      </c>
      <c r="C55" s="1" t="s">
        <v>21</v>
      </c>
      <c r="D55" s="1" t="s">
        <v>104</v>
      </c>
      <c r="E55" s="1" t="s">
        <v>94</v>
      </c>
      <c r="F55" s="1" t="s">
        <v>658</v>
      </c>
      <c r="G55" s="1">
        <v>21.5</v>
      </c>
      <c r="H55" s="1" t="s">
        <v>60</v>
      </c>
      <c r="I55" s="1">
        <v>-103.0</v>
      </c>
      <c r="J55" s="1">
        <v>0.0207093596059112</v>
      </c>
      <c r="K55" s="1" t="s">
        <v>61</v>
      </c>
      <c r="L55" s="1" t="s">
        <v>61</v>
      </c>
      <c r="M55" s="1" t="s">
        <v>62</v>
      </c>
      <c r="N55" s="1">
        <v>-127.0</v>
      </c>
      <c r="O55" s="1">
        <v>-0.0875832599118942</v>
      </c>
      <c r="P55" s="1" t="s">
        <v>61</v>
      </c>
      <c r="Q55" s="1" t="s">
        <v>61</v>
      </c>
      <c r="R55" s="1">
        <f t="shared" si="1"/>
        <v>0.02070935961</v>
      </c>
      <c r="S55" s="1">
        <f t="shared" si="2"/>
        <v>-103</v>
      </c>
      <c r="T55" s="1">
        <f t="shared" si="3"/>
        <v>1.970873786</v>
      </c>
      <c r="U55" s="1">
        <f t="shared" si="4"/>
        <v>1</v>
      </c>
      <c r="V55" s="3">
        <f t="shared" si="5"/>
        <v>1</v>
      </c>
      <c r="W55" s="3">
        <f t="shared" si="6"/>
        <v>2</v>
      </c>
      <c r="X55" s="3" t="str">
        <f>IFERROR(__xludf.DUMMYFUNCTION("split(B55,"" "")"),"J.")</f>
        <v>J.</v>
      </c>
      <c r="Y55" s="3" t="str">
        <f>IFERROR(__xludf.DUMMYFUNCTION("""COMPUTED_VALUE"""),"Allen")</f>
        <v>Allen</v>
      </c>
      <c r="AA55" s="8">
        <v>25.0</v>
      </c>
      <c r="AB55" s="3">
        <f t="shared" si="7"/>
        <v>1</v>
      </c>
      <c r="AC55" s="3">
        <f t="shared" si="8"/>
        <v>1</v>
      </c>
      <c r="AD55" s="3">
        <f t="shared" si="9"/>
        <v>0.9708737864</v>
      </c>
      <c r="AE55" s="3">
        <f t="shared" si="10"/>
        <v>0.9708737864</v>
      </c>
      <c r="AF55" s="3">
        <f t="shared" si="11"/>
        <v>1.941747573</v>
      </c>
      <c r="AG55" s="3">
        <f t="shared" si="12"/>
        <v>0.1627906977</v>
      </c>
    </row>
    <row r="56">
      <c r="A56" s="1" t="s">
        <v>12</v>
      </c>
      <c r="B56" s="1" t="s">
        <v>189</v>
      </c>
      <c r="C56" s="1" t="s">
        <v>18</v>
      </c>
      <c r="D56" s="1" t="s">
        <v>104</v>
      </c>
      <c r="E56" s="1" t="s">
        <v>94</v>
      </c>
      <c r="F56" s="1" t="s">
        <v>658</v>
      </c>
      <c r="G56" s="1">
        <v>4.5</v>
      </c>
      <c r="H56" s="1" t="s">
        <v>60</v>
      </c>
      <c r="I56" s="1">
        <v>-134.0</v>
      </c>
      <c r="J56" s="1">
        <v>-0.0905495726495726</v>
      </c>
      <c r="K56" s="1" t="s">
        <v>61</v>
      </c>
      <c r="L56" s="1" t="s">
        <v>61</v>
      </c>
      <c r="M56" s="1" t="s">
        <v>62</v>
      </c>
      <c r="N56" s="1">
        <v>101.0</v>
      </c>
      <c r="O56" s="1">
        <v>0.0203875621890546</v>
      </c>
      <c r="P56" s="1" t="s">
        <v>61</v>
      </c>
      <c r="Q56" s="1" t="s">
        <v>61</v>
      </c>
      <c r="R56" s="1">
        <f t="shared" si="1"/>
        <v>0.02038756219</v>
      </c>
      <c r="S56" s="1">
        <f t="shared" si="2"/>
        <v>101</v>
      </c>
      <c r="T56" s="1">
        <f t="shared" si="3"/>
        <v>2.01</v>
      </c>
      <c r="U56" s="1">
        <f t="shared" si="4"/>
        <v>0</v>
      </c>
      <c r="V56" s="3">
        <f t="shared" si="5"/>
        <v>1</v>
      </c>
      <c r="W56" s="3">
        <f t="shared" si="6"/>
        <v>2</v>
      </c>
      <c r="X56" s="3" t="str">
        <f>IFERROR(__xludf.DUMMYFUNCTION("split(B56,"" "")"),"K.")</f>
        <v>K.</v>
      </c>
      <c r="Y56" s="3" t="str">
        <f>IFERROR(__xludf.DUMMYFUNCTION("""COMPUTED_VALUE"""),"Shakir")</f>
        <v>Shakir</v>
      </c>
      <c r="AA56" s="8">
        <v>6.0</v>
      </c>
      <c r="AB56" s="3">
        <f t="shared" si="7"/>
        <v>1</v>
      </c>
      <c r="AC56" s="3">
        <f t="shared" si="8"/>
        <v>0</v>
      </c>
      <c r="AD56" s="3">
        <f t="shared" si="9"/>
        <v>1.01</v>
      </c>
      <c r="AE56" s="3">
        <f t="shared" si="10"/>
        <v>-1</v>
      </c>
      <c r="AF56" s="3">
        <f t="shared" si="11"/>
        <v>-2</v>
      </c>
      <c r="AG56" s="3">
        <f t="shared" si="12"/>
        <v>-0.3333333333</v>
      </c>
    </row>
    <row r="57">
      <c r="A57" s="1" t="s">
        <v>16</v>
      </c>
      <c r="B57" s="1" t="s">
        <v>434</v>
      </c>
      <c r="C57" s="1" t="s">
        <v>21</v>
      </c>
      <c r="D57" s="1" t="s">
        <v>104</v>
      </c>
      <c r="E57" s="1" t="s">
        <v>94</v>
      </c>
      <c r="F57" s="1" t="s">
        <v>658</v>
      </c>
      <c r="G57" s="1">
        <v>31.5</v>
      </c>
      <c r="H57" s="1" t="s">
        <v>60</v>
      </c>
      <c r="I57" s="1">
        <v>-115.0</v>
      </c>
      <c r="J57" s="1">
        <v>-0.0853302325581394</v>
      </c>
      <c r="K57" s="1" t="s">
        <v>61</v>
      </c>
      <c r="L57" s="1" t="s">
        <v>61</v>
      </c>
      <c r="M57" s="1" t="s">
        <v>62</v>
      </c>
      <c r="N57" s="1">
        <v>-114.0</v>
      </c>
      <c r="O57" s="1">
        <v>0.0177429906542055</v>
      </c>
      <c r="P57" s="1" t="s">
        <v>61</v>
      </c>
      <c r="Q57" s="1" t="s">
        <v>61</v>
      </c>
      <c r="R57" s="1">
        <f t="shared" si="1"/>
        <v>0.01774299065</v>
      </c>
      <c r="S57" s="1">
        <f t="shared" si="2"/>
        <v>-114</v>
      </c>
      <c r="T57" s="1">
        <f t="shared" si="3"/>
        <v>1.877192982</v>
      </c>
      <c r="U57" s="1">
        <f t="shared" si="4"/>
        <v>0</v>
      </c>
      <c r="V57" s="3">
        <f t="shared" si="5"/>
        <v>1</v>
      </c>
      <c r="W57" s="3">
        <f t="shared" si="6"/>
        <v>2</v>
      </c>
      <c r="X57" s="3" t="str">
        <f>IFERROR(__xludf.DUMMYFUNCTION("split(B57,"" "")"),"J.")</f>
        <v>J.</v>
      </c>
      <c r="Y57" s="3" t="str">
        <f>IFERROR(__xludf.DUMMYFUNCTION("""COMPUTED_VALUE"""),"Allen")</f>
        <v>Allen</v>
      </c>
      <c r="AA57" s="8">
        <v>39.0</v>
      </c>
      <c r="AB57" s="3">
        <f t="shared" si="7"/>
        <v>1</v>
      </c>
      <c r="AC57" s="3">
        <f t="shared" si="8"/>
        <v>0</v>
      </c>
      <c r="AD57" s="3">
        <f t="shared" si="9"/>
        <v>0.8771929825</v>
      </c>
      <c r="AE57" s="3">
        <f t="shared" si="10"/>
        <v>-1</v>
      </c>
      <c r="AF57" s="3">
        <f t="shared" si="11"/>
        <v>-2</v>
      </c>
      <c r="AG57" s="3">
        <f t="shared" si="12"/>
        <v>-0.2380952381</v>
      </c>
    </row>
    <row r="58">
      <c r="A58" s="1" t="s">
        <v>11</v>
      </c>
      <c r="B58" s="1" t="s">
        <v>189</v>
      </c>
      <c r="C58" s="1" t="s">
        <v>18</v>
      </c>
      <c r="D58" s="1" t="s">
        <v>104</v>
      </c>
      <c r="E58" s="1" t="s">
        <v>94</v>
      </c>
      <c r="F58" s="1" t="s">
        <v>658</v>
      </c>
      <c r="G58" s="1">
        <v>53.5</v>
      </c>
      <c r="H58" s="1" t="s">
        <v>60</v>
      </c>
      <c r="I58" s="1">
        <v>-118.0</v>
      </c>
      <c r="J58" s="1">
        <v>-0.0785836446117798</v>
      </c>
      <c r="K58" s="1" t="s">
        <v>61</v>
      </c>
      <c r="L58" s="1" t="s">
        <v>61</v>
      </c>
      <c r="M58" s="1" t="s">
        <v>62</v>
      </c>
      <c r="N58" s="1">
        <v>-111.0</v>
      </c>
      <c r="O58" s="1">
        <v>0.011232555847725</v>
      </c>
      <c r="P58" s="1" t="s">
        <v>61</v>
      </c>
      <c r="Q58" s="1" t="s">
        <v>61</v>
      </c>
      <c r="R58" s="1">
        <f t="shared" si="1"/>
        <v>0.01123255585</v>
      </c>
      <c r="S58" s="1">
        <f t="shared" si="2"/>
        <v>-111</v>
      </c>
      <c r="T58" s="1">
        <f t="shared" si="3"/>
        <v>1.900900901</v>
      </c>
      <c r="U58" s="1">
        <f t="shared" si="4"/>
        <v>0</v>
      </c>
      <c r="V58" s="3">
        <f t="shared" si="5"/>
        <v>1</v>
      </c>
      <c r="W58" s="3">
        <f t="shared" si="6"/>
        <v>2</v>
      </c>
      <c r="X58" s="3" t="str">
        <f>IFERROR(__xludf.DUMMYFUNCTION("split(B58,"" "")"),"K.")</f>
        <v>K.</v>
      </c>
      <c r="Y58" s="3" t="str">
        <f>IFERROR(__xludf.DUMMYFUNCTION("""COMPUTED_VALUE"""),"Shakir")</f>
        <v>Shakir</v>
      </c>
      <c r="AA58" s="8">
        <v>50.0</v>
      </c>
      <c r="AB58" s="3">
        <f t="shared" si="7"/>
        <v>0</v>
      </c>
      <c r="AC58" s="3">
        <f t="shared" si="8"/>
        <v>1</v>
      </c>
      <c r="AD58" s="3">
        <f t="shared" si="9"/>
        <v>0.9009009009</v>
      </c>
      <c r="AE58" s="3">
        <f t="shared" si="10"/>
        <v>0.9009009009</v>
      </c>
      <c r="AF58" s="3">
        <f t="shared" si="11"/>
        <v>1.801801802</v>
      </c>
      <c r="AG58" s="3">
        <f t="shared" si="12"/>
        <v>0.06542056075</v>
      </c>
    </row>
    <row r="59">
      <c r="A59" s="1" t="s">
        <v>11</v>
      </c>
      <c r="B59" s="1" t="s">
        <v>459</v>
      </c>
      <c r="C59" s="1" t="s">
        <v>20</v>
      </c>
      <c r="D59" s="1" t="s">
        <v>104</v>
      </c>
      <c r="E59" s="1" t="s">
        <v>94</v>
      </c>
      <c r="F59" s="1" t="s">
        <v>658</v>
      </c>
      <c r="G59" s="1">
        <v>8.5</v>
      </c>
      <c r="H59" s="1" t="s">
        <v>60</v>
      </c>
      <c r="I59" s="1">
        <v>-119.0</v>
      </c>
      <c r="J59" s="1">
        <v>0.00765349620419952</v>
      </c>
      <c r="K59" s="1" t="s">
        <v>61</v>
      </c>
      <c r="L59" s="1" t="s">
        <v>61</v>
      </c>
      <c r="M59" s="1" t="s">
        <v>62</v>
      </c>
      <c r="N59" s="1">
        <v>-108.0</v>
      </c>
      <c r="O59" s="1">
        <v>-0.0702677159721982</v>
      </c>
      <c r="P59" s="1" t="s">
        <v>61</v>
      </c>
      <c r="Q59" s="1" t="s">
        <v>61</v>
      </c>
      <c r="R59" s="1">
        <f t="shared" si="1"/>
        <v>0.007653496204</v>
      </c>
      <c r="S59" s="1">
        <f t="shared" si="2"/>
        <v>-119</v>
      </c>
      <c r="T59" s="1">
        <f t="shared" si="3"/>
        <v>1.840336134</v>
      </c>
      <c r="U59" s="1">
        <f t="shared" si="4"/>
        <v>1</v>
      </c>
      <c r="V59" s="3">
        <f t="shared" si="5"/>
        <v>1</v>
      </c>
      <c r="W59" s="3">
        <f t="shared" si="6"/>
        <v>3</v>
      </c>
      <c r="X59" s="3" t="str">
        <f>IFERROR(__xludf.DUMMYFUNCTION("split(B59,"" "")"),"D.")</f>
        <v>D.</v>
      </c>
      <c r="Y59" s="3" t="str">
        <f>IFERROR(__xludf.DUMMYFUNCTION("""COMPUTED_VALUE"""),"Knox")</f>
        <v>Knox</v>
      </c>
      <c r="AA59" s="8">
        <v>5.0</v>
      </c>
      <c r="AB59" s="3">
        <f t="shared" si="7"/>
        <v>0</v>
      </c>
      <c r="AC59" s="3">
        <f t="shared" si="8"/>
        <v>0</v>
      </c>
      <c r="AD59" s="3">
        <f t="shared" si="9"/>
        <v>0.8403361345</v>
      </c>
      <c r="AE59" s="3">
        <f t="shared" si="10"/>
        <v>-1</v>
      </c>
      <c r="AF59" s="3">
        <f t="shared" si="11"/>
        <v>-3</v>
      </c>
      <c r="AG59" s="3">
        <f t="shared" si="12"/>
        <v>-0.4117647059</v>
      </c>
    </row>
    <row r="60">
      <c r="A60" s="1" t="s">
        <v>11</v>
      </c>
      <c r="B60" s="1" t="s">
        <v>426</v>
      </c>
      <c r="C60" s="1" t="s">
        <v>18</v>
      </c>
      <c r="D60" s="1" t="s">
        <v>104</v>
      </c>
      <c r="E60" s="1" t="s">
        <v>94</v>
      </c>
      <c r="F60" s="1" t="s">
        <v>658</v>
      </c>
      <c r="G60" s="1">
        <v>48.5</v>
      </c>
      <c r="H60" s="1" t="s">
        <v>60</v>
      </c>
      <c r="I60" s="1">
        <v>-113.0</v>
      </c>
      <c r="J60" s="1">
        <v>-0.0751767558079014</v>
      </c>
      <c r="K60" s="1" t="s">
        <v>61</v>
      </c>
      <c r="L60" s="1" t="s">
        <v>61</v>
      </c>
      <c r="M60" s="1" t="s">
        <v>62</v>
      </c>
      <c r="N60" s="1">
        <v>-116.0</v>
      </c>
      <c r="O60" s="1">
        <v>0.00760267294850003</v>
      </c>
      <c r="P60" s="1" t="s">
        <v>61</v>
      </c>
      <c r="Q60" s="1" t="s">
        <v>61</v>
      </c>
      <c r="R60" s="1">
        <f t="shared" si="1"/>
        <v>0.007602672949</v>
      </c>
      <c r="S60" s="1">
        <f t="shared" si="2"/>
        <v>-116</v>
      </c>
      <c r="T60" s="1">
        <f t="shared" si="3"/>
        <v>1.862068966</v>
      </c>
      <c r="U60" s="1">
        <f t="shared" si="4"/>
        <v>0</v>
      </c>
      <c r="V60" s="3">
        <f t="shared" si="5"/>
        <v>1</v>
      </c>
      <c r="W60" s="3">
        <f t="shared" si="6"/>
        <v>2</v>
      </c>
      <c r="X60" s="3" t="str">
        <f>IFERROR(__xludf.DUMMYFUNCTION("split(B60,"" "")"),"K.")</f>
        <v>K.</v>
      </c>
      <c r="Y60" s="3" t="str">
        <f>IFERROR(__xludf.DUMMYFUNCTION("""COMPUTED_VALUE"""),"Coleman")</f>
        <v>Coleman</v>
      </c>
      <c r="AA60" s="8">
        <v>21.0</v>
      </c>
      <c r="AB60" s="3">
        <f t="shared" si="7"/>
        <v>0</v>
      </c>
      <c r="AC60" s="3">
        <f t="shared" si="8"/>
        <v>1</v>
      </c>
      <c r="AD60" s="3">
        <f t="shared" si="9"/>
        <v>0.8620689655</v>
      </c>
      <c r="AE60" s="3">
        <f t="shared" si="10"/>
        <v>0.8620689655</v>
      </c>
      <c r="AF60" s="3">
        <f t="shared" si="11"/>
        <v>1.724137931</v>
      </c>
      <c r="AG60" s="3">
        <f t="shared" si="12"/>
        <v>0.5670103093</v>
      </c>
    </row>
    <row r="61">
      <c r="A61" s="1" t="s">
        <v>12</v>
      </c>
      <c r="B61" s="1" t="s">
        <v>520</v>
      </c>
      <c r="C61" s="1" t="s">
        <v>20</v>
      </c>
      <c r="D61" s="1" t="s">
        <v>57</v>
      </c>
      <c r="E61" s="1" t="s">
        <v>58</v>
      </c>
      <c r="F61" s="1" t="s">
        <v>658</v>
      </c>
      <c r="G61" s="1">
        <v>1.5</v>
      </c>
      <c r="H61" s="1" t="s">
        <v>60</v>
      </c>
      <c r="I61" s="1">
        <v>-148.0</v>
      </c>
      <c r="J61" s="1">
        <v>-0.284844801616935</v>
      </c>
      <c r="K61" s="1" t="s">
        <v>61</v>
      </c>
      <c r="L61" s="1" t="s">
        <v>61</v>
      </c>
      <c r="M61" s="1" t="s">
        <v>62</v>
      </c>
      <c r="N61" s="1">
        <v>113.0</v>
      </c>
      <c r="O61" s="1">
        <v>0.218598642258215</v>
      </c>
      <c r="P61" s="1" t="s">
        <v>61</v>
      </c>
      <c r="Q61" s="1" t="s">
        <v>61</v>
      </c>
      <c r="R61" s="1">
        <f t="shared" si="1"/>
        <v>0.2185986423</v>
      </c>
      <c r="S61" s="1">
        <f t="shared" si="2"/>
        <v>113</v>
      </c>
      <c r="T61" s="1">
        <f t="shared" si="3"/>
        <v>2.13</v>
      </c>
      <c r="U61" s="1">
        <f t="shared" si="4"/>
        <v>0</v>
      </c>
      <c r="V61" s="3">
        <f t="shared" si="5"/>
        <v>3</v>
      </c>
      <c r="W61" s="3">
        <f t="shared" si="6"/>
        <v>1</v>
      </c>
      <c r="X61" s="3" t="str">
        <f>IFERROR(__xludf.DUMMYFUNCTION("split(B61,"" "")"),"T.")</f>
        <v>T.</v>
      </c>
      <c r="Y61" s="3" t="str">
        <f>IFERROR(__xludf.DUMMYFUNCTION("""COMPUTED_VALUE"""),"Tremble")</f>
        <v>Tremble</v>
      </c>
      <c r="AA61" s="8">
        <v>0.0</v>
      </c>
      <c r="AB61" s="3">
        <f t="shared" si="7"/>
        <v>0</v>
      </c>
      <c r="AC61" s="3">
        <f t="shared" si="8"/>
        <v>1</v>
      </c>
      <c r="AD61" s="3">
        <f t="shared" si="9"/>
        <v>3.39</v>
      </c>
      <c r="AE61" s="3">
        <f t="shared" si="10"/>
        <v>3.39</v>
      </c>
      <c r="AF61" s="3">
        <f t="shared" si="11"/>
        <v>1.13</v>
      </c>
      <c r="AG61" s="3">
        <f t="shared" si="12"/>
        <v>1</v>
      </c>
    </row>
    <row r="62">
      <c r="A62" s="1" t="s">
        <v>12</v>
      </c>
      <c r="B62" s="1" t="s">
        <v>523</v>
      </c>
      <c r="C62" s="1" t="s">
        <v>20</v>
      </c>
      <c r="D62" s="1" t="s">
        <v>57</v>
      </c>
      <c r="E62" s="1" t="s">
        <v>58</v>
      </c>
      <c r="F62" s="1" t="s">
        <v>658</v>
      </c>
      <c r="G62" s="1">
        <v>2.5</v>
      </c>
      <c r="H62" s="1" t="s">
        <v>60</v>
      </c>
      <c r="I62" s="1">
        <v>-162.0</v>
      </c>
      <c r="J62" s="1">
        <v>-0.284681187251908</v>
      </c>
      <c r="K62" s="1" t="s">
        <v>61</v>
      </c>
      <c r="L62" s="1" t="s">
        <v>61</v>
      </c>
      <c r="M62" s="1" t="s">
        <v>62</v>
      </c>
      <c r="N62" s="1">
        <v>121.0</v>
      </c>
      <c r="O62" s="1">
        <v>0.213864574932126</v>
      </c>
      <c r="P62" s="1" t="s">
        <v>61</v>
      </c>
      <c r="Q62" s="1" t="s">
        <v>61</v>
      </c>
      <c r="R62" s="1">
        <f t="shared" si="1"/>
        <v>0.2138645749</v>
      </c>
      <c r="S62" s="1">
        <f t="shared" si="2"/>
        <v>121</v>
      </c>
      <c r="T62" s="1">
        <f t="shared" si="3"/>
        <v>2.21</v>
      </c>
      <c r="U62" s="1">
        <f t="shared" si="4"/>
        <v>0</v>
      </c>
      <c r="V62" s="3">
        <f t="shared" si="5"/>
        <v>3</v>
      </c>
      <c r="W62" s="3">
        <f t="shared" si="6"/>
        <v>1</v>
      </c>
      <c r="X62" s="3" t="str">
        <f>IFERROR(__xludf.DUMMYFUNCTION("split(B62,"" "")"),"J.")</f>
        <v>J.</v>
      </c>
      <c r="Y62" s="3" t="str">
        <f>IFERROR(__xludf.DUMMYFUNCTION("""COMPUTED_VALUE"""),"Sanders")</f>
        <v>Sanders</v>
      </c>
      <c r="AA62" s="8">
        <v>4.0</v>
      </c>
      <c r="AB62" s="3">
        <f t="shared" si="7"/>
        <v>1</v>
      </c>
      <c r="AC62" s="3">
        <f t="shared" si="8"/>
        <v>0</v>
      </c>
      <c r="AD62" s="3">
        <f t="shared" si="9"/>
        <v>3.63</v>
      </c>
      <c r="AE62" s="3">
        <f t="shared" si="10"/>
        <v>-3</v>
      </c>
      <c r="AF62" s="3">
        <f t="shared" si="11"/>
        <v>-1</v>
      </c>
      <c r="AG62" s="3">
        <f t="shared" si="12"/>
        <v>-0.6</v>
      </c>
    </row>
    <row r="63">
      <c r="A63" s="1" t="s">
        <v>12</v>
      </c>
      <c r="B63" s="1" t="s">
        <v>266</v>
      </c>
      <c r="C63" s="1" t="s">
        <v>19</v>
      </c>
      <c r="D63" s="1" t="s">
        <v>57</v>
      </c>
      <c r="E63" s="1" t="s">
        <v>58</v>
      </c>
      <c r="F63" s="1" t="s">
        <v>658</v>
      </c>
      <c r="G63" s="1">
        <v>2.5</v>
      </c>
      <c r="H63" s="1" t="s">
        <v>60</v>
      </c>
      <c r="I63" s="1">
        <v>-147.0</v>
      </c>
      <c r="J63" s="1">
        <v>-0.259640340728745</v>
      </c>
      <c r="K63" s="1" t="s">
        <v>61</v>
      </c>
      <c r="L63" s="1" t="s">
        <v>61</v>
      </c>
      <c r="M63" s="1" t="s">
        <v>62</v>
      </c>
      <c r="N63" s="1">
        <v>111.0</v>
      </c>
      <c r="O63" s="1">
        <v>0.190564759052132</v>
      </c>
      <c r="P63" s="1" t="s">
        <v>61</v>
      </c>
      <c r="Q63" s="1" t="s">
        <v>61</v>
      </c>
      <c r="R63" s="1">
        <f t="shared" si="1"/>
        <v>0.1905647591</v>
      </c>
      <c r="S63" s="1">
        <f t="shared" si="2"/>
        <v>111</v>
      </c>
      <c r="T63" s="1">
        <f t="shared" si="3"/>
        <v>2.11</v>
      </c>
      <c r="U63" s="1">
        <f t="shared" si="4"/>
        <v>0</v>
      </c>
      <c r="V63" s="3">
        <f t="shared" si="5"/>
        <v>3</v>
      </c>
      <c r="W63" s="3">
        <f t="shared" si="6"/>
        <v>1</v>
      </c>
      <c r="X63" s="3" t="str">
        <f>IFERROR(__xludf.DUMMYFUNCTION("split(B63,"" "")"),"C.")</f>
        <v>C.</v>
      </c>
      <c r="Y63" s="3" t="str">
        <f>IFERROR(__xludf.DUMMYFUNCTION("""COMPUTED_VALUE"""),"Hubbard")</f>
        <v>Hubbard</v>
      </c>
      <c r="AA63" s="8">
        <v>2.0</v>
      </c>
      <c r="AB63" s="3">
        <f t="shared" si="7"/>
        <v>0</v>
      </c>
      <c r="AC63" s="3">
        <f t="shared" si="8"/>
        <v>1</v>
      </c>
      <c r="AD63" s="3">
        <f t="shared" si="9"/>
        <v>3.33</v>
      </c>
      <c r="AE63" s="3">
        <f t="shared" si="10"/>
        <v>3.33</v>
      </c>
      <c r="AF63" s="3">
        <f t="shared" si="11"/>
        <v>1.11</v>
      </c>
      <c r="AG63" s="3">
        <f t="shared" si="12"/>
        <v>0.2</v>
      </c>
    </row>
    <row r="64">
      <c r="A64" s="1" t="s">
        <v>12</v>
      </c>
      <c r="B64" s="1" t="s">
        <v>521</v>
      </c>
      <c r="C64" s="1" t="s">
        <v>19</v>
      </c>
      <c r="D64" s="1" t="s">
        <v>57</v>
      </c>
      <c r="E64" s="1" t="s">
        <v>58</v>
      </c>
      <c r="F64" s="1" t="s">
        <v>658</v>
      </c>
      <c r="G64" s="1">
        <v>1.5</v>
      </c>
      <c r="H64" s="1" t="s">
        <v>60</v>
      </c>
      <c r="I64" s="1">
        <v>-141.0</v>
      </c>
      <c r="J64" s="1">
        <v>-0.213753335572613</v>
      </c>
      <c r="K64" s="1" t="s">
        <v>61</v>
      </c>
      <c r="L64" s="1" t="s">
        <v>61</v>
      </c>
      <c r="M64" s="1" t="s">
        <v>62</v>
      </c>
      <c r="N64" s="1">
        <v>107.0</v>
      </c>
      <c r="O64" s="1">
        <v>0.145597844797101</v>
      </c>
      <c r="P64" s="1" t="s">
        <v>61</v>
      </c>
      <c r="Q64" s="1" t="s">
        <v>61</v>
      </c>
      <c r="R64" s="1">
        <f t="shared" si="1"/>
        <v>0.1455978448</v>
      </c>
      <c r="S64" s="1">
        <f t="shared" si="2"/>
        <v>107</v>
      </c>
      <c r="T64" s="1">
        <f t="shared" si="3"/>
        <v>2.07</v>
      </c>
      <c r="U64" s="1">
        <f t="shared" si="4"/>
        <v>0</v>
      </c>
      <c r="V64" s="3">
        <f t="shared" si="5"/>
        <v>3</v>
      </c>
      <c r="W64" s="3">
        <f t="shared" si="6"/>
        <v>2</v>
      </c>
      <c r="X64" s="3" t="str">
        <f>IFERROR(__xludf.DUMMYFUNCTION("split(B64,"" "")"),"M.")</f>
        <v>M.</v>
      </c>
      <c r="Y64" s="3" t="str">
        <f>IFERROR(__xludf.DUMMYFUNCTION("""COMPUTED_VALUE"""),"Sanders")</f>
        <v>Sanders</v>
      </c>
      <c r="AA64" s="8">
        <v>4.0</v>
      </c>
      <c r="AB64" s="3">
        <f t="shared" si="7"/>
        <v>1</v>
      </c>
      <c r="AC64" s="3">
        <f t="shared" si="8"/>
        <v>0</v>
      </c>
      <c r="AD64" s="3">
        <f t="shared" si="9"/>
        <v>3.21</v>
      </c>
      <c r="AE64" s="3">
        <f t="shared" si="10"/>
        <v>-3</v>
      </c>
      <c r="AF64" s="3">
        <f t="shared" si="11"/>
        <v>-2</v>
      </c>
      <c r="AG64" s="3">
        <f t="shared" si="12"/>
        <v>-1.666666667</v>
      </c>
    </row>
    <row r="65">
      <c r="A65" s="1" t="s">
        <v>8</v>
      </c>
      <c r="B65" s="1" t="s">
        <v>56</v>
      </c>
      <c r="C65" s="1" t="s">
        <v>21</v>
      </c>
      <c r="D65" s="1" t="s">
        <v>57</v>
      </c>
      <c r="E65" s="1" t="s">
        <v>58</v>
      </c>
      <c r="F65" s="1" t="s">
        <v>658</v>
      </c>
      <c r="G65" s="1">
        <v>2.5</v>
      </c>
      <c r="H65" s="1" t="s">
        <v>60</v>
      </c>
      <c r="I65" s="1">
        <v>-138.0</v>
      </c>
      <c r="J65" s="1">
        <v>-0.210207696301053</v>
      </c>
      <c r="K65" s="1" t="s">
        <v>61</v>
      </c>
      <c r="L65" s="1" t="s">
        <v>61</v>
      </c>
      <c r="M65" s="1" t="s">
        <v>62</v>
      </c>
      <c r="N65" s="1">
        <v>105.0</v>
      </c>
      <c r="O65" s="1">
        <v>0.142583081559271</v>
      </c>
      <c r="P65" s="1" t="s">
        <v>61</v>
      </c>
      <c r="Q65" s="1" t="s">
        <v>61</v>
      </c>
      <c r="R65" s="1">
        <f t="shared" si="1"/>
        <v>0.1425830816</v>
      </c>
      <c r="S65" s="1">
        <f t="shared" si="2"/>
        <v>105</v>
      </c>
      <c r="T65" s="1">
        <f t="shared" si="3"/>
        <v>2.05</v>
      </c>
      <c r="U65" s="1">
        <f t="shared" si="4"/>
        <v>0</v>
      </c>
      <c r="V65" s="3">
        <f t="shared" si="5"/>
        <v>3</v>
      </c>
      <c r="W65" s="3">
        <f t="shared" si="6"/>
        <v>2</v>
      </c>
      <c r="X65" s="3" t="str">
        <f>IFERROR(__xludf.DUMMYFUNCTION("split(B65,"" "")"),"B.")</f>
        <v>B.</v>
      </c>
      <c r="Y65" s="3" t="str">
        <f>IFERROR(__xludf.DUMMYFUNCTION("""COMPUTED_VALUE"""),"Young")</f>
        <v>Young</v>
      </c>
      <c r="AA65" s="8">
        <v>4.0</v>
      </c>
      <c r="AB65" s="3">
        <f t="shared" si="7"/>
        <v>1</v>
      </c>
      <c r="AC65" s="3">
        <f t="shared" si="8"/>
        <v>0</v>
      </c>
      <c r="AD65" s="3">
        <f t="shared" si="9"/>
        <v>3.15</v>
      </c>
      <c r="AE65" s="3">
        <f t="shared" si="10"/>
        <v>-3</v>
      </c>
      <c r="AF65" s="3">
        <f t="shared" si="11"/>
        <v>-2</v>
      </c>
      <c r="AG65" s="3">
        <f t="shared" si="12"/>
        <v>-0.6</v>
      </c>
    </row>
    <row r="66">
      <c r="A66" s="1" t="s">
        <v>12</v>
      </c>
      <c r="B66" s="1" t="s">
        <v>638</v>
      </c>
      <c r="C66" s="1" t="s">
        <v>18</v>
      </c>
      <c r="D66" s="1" t="s">
        <v>57</v>
      </c>
      <c r="E66" s="1" t="s">
        <v>58</v>
      </c>
      <c r="F66" s="1" t="s">
        <v>658</v>
      </c>
      <c r="G66" s="1">
        <v>2.5</v>
      </c>
      <c r="H66" s="1" t="s">
        <v>60</v>
      </c>
      <c r="I66" s="1">
        <v>-171.0</v>
      </c>
      <c r="J66" s="1">
        <v>-0.201193032730627</v>
      </c>
      <c r="K66" s="1" t="s">
        <v>61</v>
      </c>
      <c r="L66" s="1" t="s">
        <v>61</v>
      </c>
      <c r="M66" s="1" t="s">
        <v>62</v>
      </c>
      <c r="N66" s="1">
        <v>125.0</v>
      </c>
      <c r="O66" s="1">
        <v>0.125751608311111</v>
      </c>
      <c r="P66" s="1" t="s">
        <v>61</v>
      </c>
      <c r="Q66" s="1" t="s">
        <v>61</v>
      </c>
      <c r="R66" s="1">
        <f t="shared" si="1"/>
        <v>0.1257516083</v>
      </c>
      <c r="S66" s="1">
        <f t="shared" si="2"/>
        <v>125</v>
      </c>
      <c r="T66" s="1">
        <f t="shared" si="3"/>
        <v>2.25</v>
      </c>
      <c r="U66" s="1">
        <f t="shared" si="4"/>
        <v>0</v>
      </c>
      <c r="V66" s="3">
        <f t="shared" si="5"/>
        <v>3</v>
      </c>
      <c r="W66" s="3">
        <f t="shared" si="6"/>
        <v>1</v>
      </c>
      <c r="X66" s="3" t="str">
        <f>IFERROR(__xludf.DUMMYFUNCTION("split(B66,"" "")"),"J.")</f>
        <v>J.</v>
      </c>
      <c r="Y66" s="3" t="str">
        <f>IFERROR(__xludf.DUMMYFUNCTION("""COMPUTED_VALUE"""),"Coker")</f>
        <v>Coker</v>
      </c>
      <c r="AA66" s="8">
        <v>2.0</v>
      </c>
      <c r="AB66" s="3">
        <f t="shared" si="7"/>
        <v>0</v>
      </c>
      <c r="AC66" s="3">
        <f t="shared" si="8"/>
        <v>1</v>
      </c>
      <c r="AD66" s="3">
        <f t="shared" si="9"/>
        <v>3.75</v>
      </c>
      <c r="AE66" s="3">
        <f t="shared" si="10"/>
        <v>3.75</v>
      </c>
      <c r="AF66" s="3">
        <f t="shared" si="11"/>
        <v>1.25</v>
      </c>
      <c r="AG66" s="3">
        <f t="shared" si="12"/>
        <v>0.2</v>
      </c>
    </row>
    <row r="67">
      <c r="A67" s="1" t="s">
        <v>14</v>
      </c>
      <c r="B67" s="1" t="s">
        <v>56</v>
      </c>
      <c r="C67" s="1" t="s">
        <v>21</v>
      </c>
      <c r="D67" s="1" t="s">
        <v>57</v>
      </c>
      <c r="E67" s="1" t="s">
        <v>58</v>
      </c>
      <c r="F67" s="1" t="s">
        <v>658</v>
      </c>
      <c r="G67" s="1">
        <v>0.5</v>
      </c>
      <c r="H67" s="1" t="s">
        <v>60</v>
      </c>
      <c r="I67" s="1">
        <v>-190.0</v>
      </c>
      <c r="J67" s="1">
        <v>-0.180471096620689</v>
      </c>
      <c r="K67" s="1" t="s">
        <v>61</v>
      </c>
      <c r="L67" s="1" t="s">
        <v>61</v>
      </c>
      <c r="M67" s="1" t="s">
        <v>62</v>
      </c>
      <c r="N67" s="1">
        <v>146.0</v>
      </c>
      <c r="O67" s="1">
        <v>0.118794382195122</v>
      </c>
      <c r="P67" s="1" t="s">
        <v>61</v>
      </c>
      <c r="Q67" s="1" t="s">
        <v>61</v>
      </c>
      <c r="R67" s="1">
        <f t="shared" si="1"/>
        <v>0.1187943822</v>
      </c>
      <c r="S67" s="1">
        <f t="shared" si="2"/>
        <v>146</v>
      </c>
      <c r="T67" s="1">
        <f t="shared" si="3"/>
        <v>2.46</v>
      </c>
      <c r="U67" s="1">
        <f t="shared" si="4"/>
        <v>0</v>
      </c>
      <c r="V67" s="3">
        <f t="shared" si="5"/>
        <v>3</v>
      </c>
      <c r="W67" s="3">
        <f t="shared" si="6"/>
        <v>1</v>
      </c>
      <c r="X67" s="3" t="str">
        <f>IFERROR(__xludf.DUMMYFUNCTION("split(B67,"" "")"),"B.")</f>
        <v>B.</v>
      </c>
      <c r="Y67" s="3" t="str">
        <f>IFERROR(__xludf.DUMMYFUNCTION("""COMPUTED_VALUE"""),"Young")</f>
        <v>Young</v>
      </c>
      <c r="AA67" s="8">
        <v>1.0</v>
      </c>
      <c r="AB67" s="3">
        <f t="shared" si="7"/>
        <v>1</v>
      </c>
      <c r="AC67" s="3">
        <f t="shared" si="8"/>
        <v>0</v>
      </c>
      <c r="AD67" s="3">
        <f t="shared" si="9"/>
        <v>4.38</v>
      </c>
      <c r="AE67" s="3">
        <f t="shared" si="10"/>
        <v>-3</v>
      </c>
      <c r="AF67" s="3">
        <f t="shared" si="11"/>
        <v>-1</v>
      </c>
      <c r="AG67" s="3">
        <f t="shared" si="12"/>
        <v>-1</v>
      </c>
    </row>
    <row r="68">
      <c r="A68" s="1" t="s">
        <v>17</v>
      </c>
      <c r="B68" s="1" t="s">
        <v>56</v>
      </c>
      <c r="C68" s="1" t="s">
        <v>21</v>
      </c>
      <c r="D68" s="1" t="s">
        <v>57</v>
      </c>
      <c r="E68" s="1" t="s">
        <v>58</v>
      </c>
      <c r="F68" s="1" t="s">
        <v>658</v>
      </c>
      <c r="G68" s="1">
        <v>0.5</v>
      </c>
      <c r="H68" s="1" t="s">
        <v>60</v>
      </c>
      <c r="I68" s="1">
        <v>-155.0</v>
      </c>
      <c r="J68" s="1">
        <v>-0.160203921568627</v>
      </c>
      <c r="K68" s="1" t="s">
        <v>61</v>
      </c>
      <c r="L68" s="1" t="s">
        <v>61</v>
      </c>
      <c r="M68" s="1" t="s">
        <v>62</v>
      </c>
      <c r="N68" s="1">
        <v>119.0</v>
      </c>
      <c r="O68" s="1">
        <v>0.0957333333333333</v>
      </c>
      <c r="P68" s="1" t="s">
        <v>61</v>
      </c>
      <c r="Q68" s="1" t="s">
        <v>61</v>
      </c>
      <c r="R68" s="1">
        <f t="shared" si="1"/>
        <v>0.09573333333</v>
      </c>
      <c r="S68" s="1">
        <f t="shared" si="2"/>
        <v>119</v>
      </c>
      <c r="T68" s="1">
        <f t="shared" si="3"/>
        <v>2.19</v>
      </c>
      <c r="U68" s="1">
        <f t="shared" si="4"/>
        <v>0</v>
      </c>
      <c r="V68" s="3">
        <f t="shared" si="5"/>
        <v>2</v>
      </c>
      <c r="W68" s="3">
        <f t="shared" si="6"/>
        <v>1</v>
      </c>
      <c r="X68" s="3" t="str">
        <f>IFERROR(__xludf.DUMMYFUNCTION("split(B68,"" "")"),"B.")</f>
        <v>B.</v>
      </c>
      <c r="Y68" s="3" t="str">
        <f>IFERROR(__xludf.DUMMYFUNCTION("""COMPUTED_VALUE"""),"Young")</f>
        <v>Young</v>
      </c>
      <c r="AA68" s="8">
        <v>1.0</v>
      </c>
      <c r="AB68" s="3">
        <f t="shared" si="7"/>
        <v>1</v>
      </c>
      <c r="AC68" s="3">
        <f t="shared" si="8"/>
        <v>0</v>
      </c>
      <c r="AD68" s="3">
        <f t="shared" si="9"/>
        <v>2.38</v>
      </c>
      <c r="AE68" s="3">
        <f t="shared" si="10"/>
        <v>-2</v>
      </c>
      <c r="AF68" s="3">
        <f t="shared" si="11"/>
        <v>-1</v>
      </c>
      <c r="AG68" s="3">
        <f t="shared" si="12"/>
        <v>-1</v>
      </c>
    </row>
    <row r="69">
      <c r="A69" s="1" t="s">
        <v>9</v>
      </c>
      <c r="B69" s="1" t="s">
        <v>521</v>
      </c>
      <c r="C69" s="1" t="s">
        <v>19</v>
      </c>
      <c r="D69" s="1" t="s">
        <v>57</v>
      </c>
      <c r="E69" s="1" t="s">
        <v>58</v>
      </c>
      <c r="F69" s="1" t="s">
        <v>658</v>
      </c>
      <c r="G69" s="1">
        <v>29.5</v>
      </c>
      <c r="H69" s="1" t="s">
        <v>60</v>
      </c>
      <c r="I69" s="1">
        <v>-115.0</v>
      </c>
      <c r="J69" s="1">
        <v>0.0554345471796404</v>
      </c>
      <c r="K69" s="1" t="s">
        <v>61</v>
      </c>
      <c r="L69" s="1" t="s">
        <v>61</v>
      </c>
      <c r="M69" s="1" t="s">
        <v>62</v>
      </c>
      <c r="N69" s="1">
        <v>-117.0</v>
      </c>
      <c r="O69" s="1">
        <v>-0.1294598402905</v>
      </c>
      <c r="P69" s="1" t="s">
        <v>61</v>
      </c>
      <c r="Q69" s="1" t="s">
        <v>61</v>
      </c>
      <c r="R69" s="1">
        <f t="shared" si="1"/>
        <v>0.05543454718</v>
      </c>
      <c r="S69" s="1">
        <f t="shared" si="2"/>
        <v>-115</v>
      </c>
      <c r="T69" s="1">
        <f t="shared" si="3"/>
        <v>1.869565217</v>
      </c>
      <c r="U69" s="1">
        <f t="shared" si="4"/>
        <v>1</v>
      </c>
      <c r="V69" s="3">
        <f t="shared" si="5"/>
        <v>2</v>
      </c>
      <c r="W69" s="3">
        <f t="shared" si="6"/>
        <v>2</v>
      </c>
      <c r="X69" s="3" t="str">
        <f>IFERROR(__xludf.DUMMYFUNCTION("split(B69,"" "")"),"M.")</f>
        <v>M.</v>
      </c>
      <c r="Y69" s="3" t="str">
        <f>IFERROR(__xludf.DUMMYFUNCTION("""COMPUTED_VALUE"""),"Sanders")</f>
        <v>Sanders</v>
      </c>
      <c r="AA69" s="8">
        <v>87.0</v>
      </c>
      <c r="AB69" s="3">
        <f t="shared" si="7"/>
        <v>1</v>
      </c>
      <c r="AC69" s="3">
        <f t="shared" si="8"/>
        <v>1</v>
      </c>
      <c r="AD69" s="3">
        <f t="shared" si="9"/>
        <v>1.739130435</v>
      </c>
      <c r="AE69" s="3">
        <f t="shared" si="10"/>
        <v>1.739130435</v>
      </c>
      <c r="AF69" s="3">
        <f t="shared" si="11"/>
        <v>1.739130435</v>
      </c>
      <c r="AG69" s="3">
        <f t="shared" si="12"/>
        <v>1.949152542</v>
      </c>
    </row>
    <row r="70">
      <c r="A70" s="1" t="s">
        <v>9</v>
      </c>
      <c r="B70" s="1" t="s">
        <v>638</v>
      </c>
      <c r="C70" s="1" t="s">
        <v>18</v>
      </c>
      <c r="D70" s="1" t="s">
        <v>57</v>
      </c>
      <c r="E70" s="1" t="s">
        <v>58</v>
      </c>
      <c r="F70" s="1" t="s">
        <v>658</v>
      </c>
      <c r="G70" s="1">
        <v>33.5</v>
      </c>
      <c r="H70" s="1" t="s">
        <v>60</v>
      </c>
      <c r="I70" s="1">
        <v>-115.0</v>
      </c>
      <c r="J70" s="1">
        <v>0.0506654447225696</v>
      </c>
      <c r="K70" s="1" t="s">
        <v>61</v>
      </c>
      <c r="L70" s="1" t="s">
        <v>61</v>
      </c>
      <c r="M70" s="1" t="s">
        <v>62</v>
      </c>
      <c r="N70" s="1">
        <v>-115.0</v>
      </c>
      <c r="O70" s="1">
        <v>-0.120425261430955</v>
      </c>
      <c r="P70" s="1" t="s">
        <v>61</v>
      </c>
      <c r="Q70" s="1" t="s">
        <v>61</v>
      </c>
      <c r="R70" s="1">
        <f t="shared" si="1"/>
        <v>0.05066544472</v>
      </c>
      <c r="S70" s="1">
        <f t="shared" si="2"/>
        <v>-115</v>
      </c>
      <c r="T70" s="1">
        <f t="shared" si="3"/>
        <v>1.869565217</v>
      </c>
      <c r="U70" s="1">
        <f t="shared" si="4"/>
        <v>1</v>
      </c>
      <c r="V70" s="3">
        <f t="shared" si="5"/>
        <v>2</v>
      </c>
      <c r="W70" s="3">
        <f t="shared" si="6"/>
        <v>2</v>
      </c>
      <c r="X70" s="3" t="str">
        <f>IFERROR(__xludf.DUMMYFUNCTION("split(B70,"" "")"),"J.")</f>
        <v>J.</v>
      </c>
      <c r="Y70" s="3" t="str">
        <f>IFERROR(__xludf.DUMMYFUNCTION("""COMPUTED_VALUE"""),"Coker")</f>
        <v>Coker</v>
      </c>
      <c r="AA70" s="8">
        <v>36.0</v>
      </c>
      <c r="AB70" s="3">
        <f t="shared" si="7"/>
        <v>1</v>
      </c>
      <c r="AC70" s="3">
        <f t="shared" si="8"/>
        <v>1</v>
      </c>
      <c r="AD70" s="3">
        <f t="shared" si="9"/>
        <v>1.739130435</v>
      </c>
      <c r="AE70" s="3">
        <f t="shared" si="10"/>
        <v>1.739130435</v>
      </c>
      <c r="AF70" s="3">
        <f t="shared" si="11"/>
        <v>1.739130435</v>
      </c>
      <c r="AG70" s="3">
        <f t="shared" si="12"/>
        <v>0.07462686567</v>
      </c>
    </row>
    <row r="71">
      <c r="A71" s="1" t="s">
        <v>15</v>
      </c>
      <c r="B71" s="1" t="s">
        <v>56</v>
      </c>
      <c r="C71" s="1" t="s">
        <v>21</v>
      </c>
      <c r="D71" s="1" t="s">
        <v>57</v>
      </c>
      <c r="E71" s="1" t="s">
        <v>58</v>
      </c>
      <c r="F71" s="1" t="s">
        <v>658</v>
      </c>
      <c r="G71" s="1">
        <v>18.5</v>
      </c>
      <c r="H71" s="1" t="s">
        <v>60</v>
      </c>
      <c r="I71" s="1">
        <v>-132.0</v>
      </c>
      <c r="J71" s="1">
        <v>-0.116607823362069</v>
      </c>
      <c r="K71" s="1" t="s">
        <v>61</v>
      </c>
      <c r="L71" s="1" t="s">
        <v>61</v>
      </c>
      <c r="M71" s="1" t="s">
        <v>62</v>
      </c>
      <c r="N71" s="1">
        <v>101.0</v>
      </c>
      <c r="O71" s="1">
        <v>0.0501363931343282</v>
      </c>
      <c r="P71" s="1" t="s">
        <v>61</v>
      </c>
      <c r="Q71" s="1" t="s">
        <v>61</v>
      </c>
      <c r="R71" s="1">
        <f t="shared" si="1"/>
        <v>0.05013639313</v>
      </c>
      <c r="S71" s="1">
        <f t="shared" si="2"/>
        <v>101</v>
      </c>
      <c r="T71" s="1">
        <f t="shared" si="3"/>
        <v>2.01</v>
      </c>
      <c r="U71" s="1">
        <f t="shared" si="4"/>
        <v>0</v>
      </c>
      <c r="V71" s="3">
        <f t="shared" si="5"/>
        <v>2</v>
      </c>
      <c r="W71" s="3">
        <f t="shared" si="6"/>
        <v>2</v>
      </c>
      <c r="X71" s="3" t="str">
        <f>IFERROR(__xludf.DUMMYFUNCTION("split(B71,"" "")"),"B.")</f>
        <v>B.</v>
      </c>
      <c r="Y71" s="3" t="str">
        <f>IFERROR(__xludf.DUMMYFUNCTION("""COMPUTED_VALUE"""),"Young")</f>
        <v>Young</v>
      </c>
      <c r="AA71" s="8">
        <v>16.0</v>
      </c>
      <c r="AB71" s="3">
        <f t="shared" si="7"/>
        <v>0</v>
      </c>
      <c r="AC71" s="3">
        <f t="shared" si="8"/>
        <v>1</v>
      </c>
      <c r="AD71" s="3">
        <f t="shared" si="9"/>
        <v>2.02</v>
      </c>
      <c r="AE71" s="3">
        <f t="shared" si="10"/>
        <v>2.02</v>
      </c>
      <c r="AF71" s="3">
        <f t="shared" si="11"/>
        <v>2.02</v>
      </c>
      <c r="AG71" s="3">
        <f t="shared" si="12"/>
        <v>0.1351351351</v>
      </c>
    </row>
    <row r="72">
      <c r="A72" s="1" t="s">
        <v>8</v>
      </c>
      <c r="B72" s="1" t="s">
        <v>521</v>
      </c>
      <c r="C72" s="1" t="s">
        <v>19</v>
      </c>
      <c r="D72" s="1" t="s">
        <v>57</v>
      </c>
      <c r="E72" s="1" t="s">
        <v>58</v>
      </c>
      <c r="F72" s="1" t="s">
        <v>658</v>
      </c>
      <c r="G72" s="1">
        <v>4.5</v>
      </c>
      <c r="H72" s="1" t="s">
        <v>60</v>
      </c>
      <c r="I72" s="1">
        <v>105.0</v>
      </c>
      <c r="J72" s="1">
        <v>-0.10509131232236</v>
      </c>
      <c r="K72" s="1" t="s">
        <v>61</v>
      </c>
      <c r="L72" s="1" t="s">
        <v>61</v>
      </c>
      <c r="M72" s="1" t="s">
        <v>62</v>
      </c>
      <c r="N72" s="1">
        <v>-138.0</v>
      </c>
      <c r="O72" s="1">
        <v>0.037452710108026</v>
      </c>
      <c r="P72" s="1" t="s">
        <v>61</v>
      </c>
      <c r="Q72" s="1" t="s">
        <v>61</v>
      </c>
      <c r="R72" s="1">
        <f t="shared" si="1"/>
        <v>0.03745271011</v>
      </c>
      <c r="S72" s="1">
        <f t="shared" si="2"/>
        <v>-138</v>
      </c>
      <c r="T72" s="1">
        <f t="shared" si="3"/>
        <v>1.724637681</v>
      </c>
      <c r="U72" s="1">
        <f t="shared" si="4"/>
        <v>0</v>
      </c>
      <c r="V72" s="3">
        <f t="shared" si="5"/>
        <v>1</v>
      </c>
      <c r="W72" s="3">
        <f t="shared" si="6"/>
        <v>3</v>
      </c>
      <c r="X72" s="3" t="str">
        <f>IFERROR(__xludf.DUMMYFUNCTION("split(B72,"" "")"),"M.")</f>
        <v>M.</v>
      </c>
      <c r="Y72" s="3" t="str">
        <f>IFERROR(__xludf.DUMMYFUNCTION("""COMPUTED_VALUE"""),"Sanders")</f>
        <v>Sanders</v>
      </c>
      <c r="AA72" s="8">
        <v>0.0</v>
      </c>
      <c r="AB72" s="3">
        <f t="shared" si="7"/>
        <v>0</v>
      </c>
      <c r="AC72" s="3">
        <f t="shared" si="8"/>
        <v>1</v>
      </c>
      <c r="AD72" s="3">
        <f t="shared" si="9"/>
        <v>0.7246376812</v>
      </c>
      <c r="AE72" s="3">
        <f t="shared" si="10"/>
        <v>0.7246376812</v>
      </c>
      <c r="AF72" s="3">
        <f t="shared" si="11"/>
        <v>2.173913043</v>
      </c>
      <c r="AG72" s="3">
        <f t="shared" si="12"/>
        <v>1</v>
      </c>
    </row>
    <row r="73">
      <c r="A73" s="1" t="s">
        <v>11</v>
      </c>
      <c r="B73" s="1" t="s">
        <v>523</v>
      </c>
      <c r="C73" s="1" t="s">
        <v>20</v>
      </c>
      <c r="D73" s="1" t="s">
        <v>57</v>
      </c>
      <c r="E73" s="1" t="s">
        <v>58</v>
      </c>
      <c r="F73" s="1" t="s">
        <v>658</v>
      </c>
      <c r="G73" s="1">
        <v>26.5</v>
      </c>
      <c r="H73" s="1" t="s">
        <v>60</v>
      </c>
      <c r="I73" s="1">
        <v>-107.0</v>
      </c>
      <c r="J73" s="1">
        <v>-0.106288472398362</v>
      </c>
      <c r="K73" s="1" t="s">
        <v>61</v>
      </c>
      <c r="L73" s="1" t="s">
        <v>61</v>
      </c>
      <c r="M73" s="1" t="s">
        <v>62</v>
      </c>
      <c r="N73" s="1">
        <v>-125.0</v>
      </c>
      <c r="O73" s="1">
        <v>0.0338217432581167</v>
      </c>
      <c r="P73" s="1" t="s">
        <v>61</v>
      </c>
      <c r="Q73" s="1" t="s">
        <v>61</v>
      </c>
      <c r="R73" s="1">
        <f t="shared" si="1"/>
        <v>0.03382174326</v>
      </c>
      <c r="S73" s="1">
        <f t="shared" si="2"/>
        <v>-125</v>
      </c>
      <c r="T73" s="1">
        <f t="shared" si="3"/>
        <v>1.8</v>
      </c>
      <c r="U73" s="1">
        <f t="shared" si="4"/>
        <v>0</v>
      </c>
      <c r="V73" s="3">
        <f t="shared" si="5"/>
        <v>1</v>
      </c>
      <c r="W73" s="3">
        <f t="shared" si="6"/>
        <v>3</v>
      </c>
      <c r="X73" s="3" t="str">
        <f>IFERROR(__xludf.DUMMYFUNCTION("split(B73,"" "")"),"J.")</f>
        <v>J.</v>
      </c>
      <c r="Y73" s="3" t="str">
        <f>IFERROR(__xludf.DUMMYFUNCTION("""COMPUTED_VALUE"""),"Sanders")</f>
        <v>Sanders</v>
      </c>
      <c r="AA73" s="8">
        <v>87.0</v>
      </c>
      <c r="AB73" s="3">
        <f t="shared" si="7"/>
        <v>1</v>
      </c>
      <c r="AC73" s="3">
        <f t="shared" si="8"/>
        <v>0</v>
      </c>
      <c r="AD73" s="3">
        <f t="shared" si="9"/>
        <v>0.8</v>
      </c>
      <c r="AE73" s="3">
        <f t="shared" si="10"/>
        <v>-1</v>
      </c>
      <c r="AF73" s="3">
        <f t="shared" si="11"/>
        <v>-3</v>
      </c>
      <c r="AG73" s="3">
        <f t="shared" si="12"/>
        <v>-2.283018868</v>
      </c>
    </row>
    <row r="74">
      <c r="A74" s="1" t="s">
        <v>9</v>
      </c>
      <c r="B74" s="1" t="s">
        <v>266</v>
      </c>
      <c r="C74" s="1" t="s">
        <v>19</v>
      </c>
      <c r="D74" s="1" t="s">
        <v>57</v>
      </c>
      <c r="E74" s="1" t="s">
        <v>58</v>
      </c>
      <c r="F74" s="1" t="s">
        <v>658</v>
      </c>
      <c r="G74" s="1">
        <v>86.0</v>
      </c>
      <c r="H74" s="1" t="s">
        <v>60</v>
      </c>
      <c r="I74" s="1">
        <v>-117.0</v>
      </c>
      <c r="J74" s="1">
        <v>-0.0969411417517956</v>
      </c>
      <c r="K74" s="1" t="s">
        <v>61</v>
      </c>
      <c r="L74" s="1" t="s">
        <v>61</v>
      </c>
      <c r="M74" s="1" t="s">
        <v>62</v>
      </c>
      <c r="N74" s="1">
        <v>-114.0</v>
      </c>
      <c r="O74" s="1">
        <v>0.025647097036987</v>
      </c>
      <c r="P74" s="1" t="s">
        <v>61</v>
      </c>
      <c r="Q74" s="1" t="s">
        <v>61</v>
      </c>
      <c r="R74" s="1">
        <f t="shared" si="1"/>
        <v>0.02564709704</v>
      </c>
      <c r="S74" s="1">
        <f t="shared" si="2"/>
        <v>-114</v>
      </c>
      <c r="T74" s="1">
        <f t="shared" si="3"/>
        <v>1.877192982</v>
      </c>
      <c r="U74" s="1">
        <f t="shared" si="4"/>
        <v>0</v>
      </c>
      <c r="V74" s="3">
        <f t="shared" si="5"/>
        <v>1</v>
      </c>
      <c r="W74" s="3">
        <f t="shared" si="6"/>
        <v>2</v>
      </c>
      <c r="X74" s="3" t="str">
        <f>IFERROR(__xludf.DUMMYFUNCTION("split(B74,"" "")"),"C.")</f>
        <v>C.</v>
      </c>
      <c r="Y74" s="3" t="str">
        <f>IFERROR(__xludf.DUMMYFUNCTION("""COMPUTED_VALUE"""),"Hubbard")</f>
        <v>Hubbard</v>
      </c>
      <c r="AA74" s="8">
        <v>72.0</v>
      </c>
      <c r="AB74" s="3">
        <f t="shared" si="7"/>
        <v>0</v>
      </c>
      <c r="AC74" s="3">
        <f t="shared" si="8"/>
        <v>1</v>
      </c>
      <c r="AD74" s="3">
        <f t="shared" si="9"/>
        <v>0.8771929825</v>
      </c>
      <c r="AE74" s="3">
        <f t="shared" si="10"/>
        <v>0.8771929825</v>
      </c>
      <c r="AF74" s="3">
        <f t="shared" si="11"/>
        <v>1.754385965</v>
      </c>
      <c r="AG74" s="3">
        <f t="shared" si="12"/>
        <v>0.1627906977</v>
      </c>
    </row>
    <row r="75">
      <c r="A75" s="1" t="s">
        <v>16</v>
      </c>
      <c r="B75" s="1" t="s">
        <v>56</v>
      </c>
      <c r="C75" s="1" t="s">
        <v>21</v>
      </c>
      <c r="D75" s="1" t="s">
        <v>57</v>
      </c>
      <c r="E75" s="1" t="s">
        <v>58</v>
      </c>
      <c r="F75" s="1" t="s">
        <v>658</v>
      </c>
      <c r="G75" s="1">
        <v>30.5</v>
      </c>
      <c r="H75" s="1" t="s">
        <v>60</v>
      </c>
      <c r="I75" s="1">
        <v>-111.0</v>
      </c>
      <c r="J75" s="1">
        <v>-0.0847055209478672</v>
      </c>
      <c r="K75" s="1" t="s">
        <v>61</v>
      </c>
      <c r="L75" s="1" t="s">
        <v>61</v>
      </c>
      <c r="M75" s="1" t="s">
        <v>62</v>
      </c>
      <c r="N75" s="1">
        <v>-118.0</v>
      </c>
      <c r="O75" s="1">
        <v>0.0173745440623852</v>
      </c>
      <c r="P75" s="1" t="s">
        <v>61</v>
      </c>
      <c r="Q75" s="1" t="s">
        <v>61</v>
      </c>
      <c r="R75" s="1">
        <f t="shared" si="1"/>
        <v>0.01737454406</v>
      </c>
      <c r="S75" s="1">
        <f t="shared" si="2"/>
        <v>-118</v>
      </c>
      <c r="T75" s="1">
        <f t="shared" si="3"/>
        <v>1.847457627</v>
      </c>
      <c r="U75" s="1">
        <f t="shared" si="4"/>
        <v>0</v>
      </c>
      <c r="V75" s="3">
        <f t="shared" si="5"/>
        <v>1</v>
      </c>
      <c r="W75" s="3">
        <f t="shared" si="6"/>
        <v>3</v>
      </c>
      <c r="X75" s="3" t="str">
        <f>IFERROR(__xludf.DUMMYFUNCTION("split(B75,"" "")"),"B.")</f>
        <v>B.</v>
      </c>
      <c r="Y75" s="3" t="str">
        <f>IFERROR(__xludf.DUMMYFUNCTION("""COMPUTED_VALUE"""),"Young")</f>
        <v>Young</v>
      </c>
      <c r="AA75" s="8">
        <v>26.0</v>
      </c>
      <c r="AB75" s="3">
        <f t="shared" si="7"/>
        <v>0</v>
      </c>
      <c r="AC75" s="3">
        <f t="shared" si="8"/>
        <v>1</v>
      </c>
      <c r="AD75" s="3">
        <f t="shared" si="9"/>
        <v>0.8474576271</v>
      </c>
      <c r="AE75" s="3">
        <f t="shared" si="10"/>
        <v>0.8474576271</v>
      </c>
      <c r="AF75" s="3">
        <f t="shared" si="11"/>
        <v>2.542372881</v>
      </c>
      <c r="AG75" s="3">
        <f t="shared" si="12"/>
        <v>0.1475409836</v>
      </c>
    </row>
    <row r="76">
      <c r="A76" s="1" t="s">
        <v>11</v>
      </c>
      <c r="B76" s="1" t="s">
        <v>638</v>
      </c>
      <c r="C76" s="1" t="s">
        <v>18</v>
      </c>
      <c r="D76" s="1" t="s">
        <v>57</v>
      </c>
      <c r="E76" s="1" t="s">
        <v>58</v>
      </c>
      <c r="F76" s="1" t="s">
        <v>658</v>
      </c>
      <c r="G76" s="1">
        <v>38.5</v>
      </c>
      <c r="H76" s="1" t="s">
        <v>60</v>
      </c>
      <c r="I76" s="1">
        <v>-119.0</v>
      </c>
      <c r="J76" s="1">
        <v>-0.0818880153484475</v>
      </c>
      <c r="K76" s="1" t="s">
        <v>61</v>
      </c>
      <c r="L76" s="1" t="s">
        <v>61</v>
      </c>
      <c r="M76" s="1" t="s">
        <v>62</v>
      </c>
      <c r="N76" s="1">
        <v>-110.0</v>
      </c>
      <c r="O76" s="1">
        <v>0.0146708728207619</v>
      </c>
      <c r="P76" s="1" t="s">
        <v>61</v>
      </c>
      <c r="Q76" s="1" t="s">
        <v>61</v>
      </c>
      <c r="R76" s="1">
        <f t="shared" si="1"/>
        <v>0.01467087282</v>
      </c>
      <c r="S76" s="1">
        <f t="shared" si="2"/>
        <v>-110</v>
      </c>
      <c r="T76" s="1">
        <f t="shared" si="3"/>
        <v>1.909090909</v>
      </c>
      <c r="U76" s="1">
        <f t="shared" si="4"/>
        <v>0</v>
      </c>
      <c r="V76" s="3">
        <f t="shared" si="5"/>
        <v>1</v>
      </c>
      <c r="W76" s="3">
        <f t="shared" si="6"/>
        <v>2</v>
      </c>
      <c r="X76" s="3" t="str">
        <f>IFERROR(__xludf.DUMMYFUNCTION("split(B76,"" "")"),"J.")</f>
        <v>J.</v>
      </c>
      <c r="Y76" s="3" t="str">
        <f>IFERROR(__xludf.DUMMYFUNCTION("""COMPUTED_VALUE"""),"Coker")</f>
        <v>Coker</v>
      </c>
      <c r="AA76" s="8">
        <v>36.0</v>
      </c>
      <c r="AB76" s="3">
        <f t="shared" si="7"/>
        <v>0</v>
      </c>
      <c r="AC76" s="3">
        <f t="shared" si="8"/>
        <v>1</v>
      </c>
      <c r="AD76" s="3">
        <f t="shared" si="9"/>
        <v>0.9090909091</v>
      </c>
      <c r="AE76" s="3">
        <f t="shared" si="10"/>
        <v>0.9090909091</v>
      </c>
      <c r="AF76" s="3">
        <f t="shared" si="11"/>
        <v>1.818181818</v>
      </c>
      <c r="AG76" s="3">
        <f t="shared" si="12"/>
        <v>0.06493506494</v>
      </c>
    </row>
    <row r="77">
      <c r="A77" s="1" t="s">
        <v>11</v>
      </c>
      <c r="B77" s="1" t="s">
        <v>520</v>
      </c>
      <c r="C77" s="1" t="s">
        <v>20</v>
      </c>
      <c r="D77" s="1" t="s">
        <v>57</v>
      </c>
      <c r="E77" s="1" t="s">
        <v>58</v>
      </c>
      <c r="F77" s="1" t="s">
        <v>658</v>
      </c>
      <c r="G77" s="1">
        <v>15.5</v>
      </c>
      <c r="H77" s="1" t="s">
        <v>60</v>
      </c>
      <c r="I77" s="1">
        <v>-114.0</v>
      </c>
      <c r="J77" s="1">
        <v>-0.0800468236487099</v>
      </c>
      <c r="K77" s="1" t="s">
        <v>61</v>
      </c>
      <c r="L77" s="1" t="s">
        <v>61</v>
      </c>
      <c r="M77" s="1" t="s">
        <v>62</v>
      </c>
      <c r="N77" s="1">
        <v>-115.0</v>
      </c>
      <c r="O77" s="1">
        <v>0.0125015037206859</v>
      </c>
      <c r="P77" s="1" t="s">
        <v>61</v>
      </c>
      <c r="Q77" s="1" t="s">
        <v>61</v>
      </c>
      <c r="R77" s="1">
        <f t="shared" si="1"/>
        <v>0.01250150372</v>
      </c>
      <c r="S77" s="1">
        <f t="shared" si="2"/>
        <v>-115</v>
      </c>
      <c r="T77" s="1">
        <f t="shared" si="3"/>
        <v>1.869565217</v>
      </c>
      <c r="U77" s="1">
        <f t="shared" si="4"/>
        <v>0</v>
      </c>
      <c r="V77" s="3">
        <f t="shared" si="5"/>
        <v>1</v>
      </c>
      <c r="W77" s="3">
        <f t="shared" si="6"/>
        <v>2</v>
      </c>
      <c r="X77" s="3" t="str">
        <f>IFERROR(__xludf.DUMMYFUNCTION("split(B77,"" "")"),"T.")</f>
        <v>T.</v>
      </c>
      <c r="Y77" s="3" t="str">
        <f>IFERROR(__xludf.DUMMYFUNCTION("""COMPUTED_VALUE"""),"Tremble")</f>
        <v>Tremble</v>
      </c>
      <c r="AA77" s="8">
        <v>0.0</v>
      </c>
      <c r="AB77" s="3">
        <f t="shared" si="7"/>
        <v>0</v>
      </c>
      <c r="AC77" s="3">
        <f t="shared" si="8"/>
        <v>1</v>
      </c>
      <c r="AD77" s="3">
        <f t="shared" si="9"/>
        <v>0.8695652174</v>
      </c>
      <c r="AE77" s="3">
        <f t="shared" si="10"/>
        <v>0.8695652174</v>
      </c>
      <c r="AF77" s="3">
        <f t="shared" si="11"/>
        <v>1.739130435</v>
      </c>
      <c r="AG77" s="3">
        <f t="shared" si="12"/>
        <v>1</v>
      </c>
    </row>
    <row r="78">
      <c r="A78" s="1" t="s">
        <v>11</v>
      </c>
      <c r="B78" s="1" t="s">
        <v>357</v>
      </c>
      <c r="C78" s="1" t="s">
        <v>18</v>
      </c>
      <c r="D78" s="1" t="s">
        <v>57</v>
      </c>
      <c r="E78" s="1" t="s">
        <v>58</v>
      </c>
      <c r="F78" s="1" t="s">
        <v>658</v>
      </c>
      <c r="G78" s="1">
        <v>35.5</v>
      </c>
      <c r="H78" s="1" t="s">
        <v>60</v>
      </c>
      <c r="I78" s="1">
        <v>-118.0</v>
      </c>
      <c r="J78" s="1">
        <v>-0.072829569248165</v>
      </c>
      <c r="K78" s="1" t="s">
        <v>61</v>
      </c>
      <c r="L78" s="1" t="s">
        <v>61</v>
      </c>
      <c r="M78" s="1" t="s">
        <v>62</v>
      </c>
      <c r="N78" s="1">
        <v>-108.0</v>
      </c>
      <c r="O78" s="1">
        <v>0.0123063942735579</v>
      </c>
      <c r="P78" s="1" t="s">
        <v>61</v>
      </c>
      <c r="Q78" s="1" t="s">
        <v>61</v>
      </c>
      <c r="R78" s="1">
        <f t="shared" si="1"/>
        <v>0.01230639427</v>
      </c>
      <c r="S78" s="1">
        <f t="shared" si="2"/>
        <v>-108</v>
      </c>
      <c r="T78" s="1">
        <f t="shared" si="3"/>
        <v>1.925925926</v>
      </c>
      <c r="U78" s="1">
        <f t="shared" si="4"/>
        <v>0</v>
      </c>
      <c r="V78" s="3">
        <f t="shared" si="5"/>
        <v>1</v>
      </c>
      <c r="W78" s="3">
        <f t="shared" si="6"/>
        <v>2</v>
      </c>
      <c r="X78" s="3" t="str">
        <f>IFERROR(__xludf.DUMMYFUNCTION("split(B78,"" "")"),"X.")</f>
        <v>X.</v>
      </c>
      <c r="Y78" s="3" t="str">
        <f>IFERROR(__xludf.DUMMYFUNCTION("""COMPUTED_VALUE"""),"Legette")</f>
        <v>Legette</v>
      </c>
      <c r="AA78" s="8">
        <v>33.0</v>
      </c>
      <c r="AB78" s="3">
        <f t="shared" si="7"/>
        <v>0</v>
      </c>
      <c r="AC78" s="3">
        <f t="shared" si="8"/>
        <v>1</v>
      </c>
      <c r="AD78" s="3">
        <f t="shared" si="9"/>
        <v>0.9259259259</v>
      </c>
      <c r="AE78" s="3">
        <f t="shared" si="10"/>
        <v>0.9259259259</v>
      </c>
      <c r="AF78" s="3">
        <f t="shared" si="11"/>
        <v>1.851851852</v>
      </c>
      <c r="AG78" s="3">
        <f t="shared" si="12"/>
        <v>0.07042253521</v>
      </c>
    </row>
    <row r="79">
      <c r="A79" s="1" t="s">
        <v>11</v>
      </c>
      <c r="B79" s="1" t="s">
        <v>521</v>
      </c>
      <c r="C79" s="1" t="s">
        <v>19</v>
      </c>
      <c r="D79" s="1" t="s">
        <v>57</v>
      </c>
      <c r="E79" s="1" t="s">
        <v>58</v>
      </c>
      <c r="F79" s="1" t="s">
        <v>658</v>
      </c>
      <c r="G79" s="1">
        <v>10.5</v>
      </c>
      <c r="H79" s="1" t="s">
        <v>60</v>
      </c>
      <c r="I79" s="1">
        <v>-111.0</v>
      </c>
      <c r="J79" s="1">
        <v>0.00787472431452407</v>
      </c>
      <c r="K79" s="1" t="s">
        <v>61</v>
      </c>
      <c r="L79" s="1" t="s">
        <v>61</v>
      </c>
      <c r="M79" s="1" t="s">
        <v>62</v>
      </c>
      <c r="N79" s="1">
        <v>-118.0</v>
      </c>
      <c r="O79" s="1">
        <v>-0.075202893852432</v>
      </c>
      <c r="P79" s="1" t="s">
        <v>61</v>
      </c>
      <c r="Q79" s="1" t="s">
        <v>61</v>
      </c>
      <c r="R79" s="1">
        <f t="shared" si="1"/>
        <v>0.007874724315</v>
      </c>
      <c r="S79" s="1">
        <f t="shared" si="2"/>
        <v>-111</v>
      </c>
      <c r="T79" s="1">
        <f t="shared" si="3"/>
        <v>1.900900901</v>
      </c>
      <c r="U79" s="1">
        <f t="shared" si="4"/>
        <v>1</v>
      </c>
      <c r="V79" s="3">
        <f t="shared" si="5"/>
        <v>1</v>
      </c>
      <c r="W79" s="3">
        <f t="shared" si="6"/>
        <v>2</v>
      </c>
      <c r="X79" s="3" t="str">
        <f>IFERROR(__xludf.DUMMYFUNCTION("split(B79,"" "")"),"M.")</f>
        <v>M.</v>
      </c>
      <c r="Y79" s="3" t="str">
        <f>IFERROR(__xludf.DUMMYFUNCTION("""COMPUTED_VALUE"""),"Sanders")</f>
        <v>Sanders</v>
      </c>
      <c r="AA79" s="8">
        <v>87.0</v>
      </c>
      <c r="AB79" s="3">
        <f t="shared" si="7"/>
        <v>1</v>
      </c>
      <c r="AC79" s="3">
        <f t="shared" si="8"/>
        <v>1</v>
      </c>
      <c r="AD79" s="3">
        <f t="shared" si="9"/>
        <v>0.9009009009</v>
      </c>
      <c r="AE79" s="3">
        <f t="shared" si="10"/>
        <v>0.9009009009</v>
      </c>
      <c r="AF79" s="3">
        <f t="shared" si="11"/>
        <v>1.801801802</v>
      </c>
      <c r="AG79" s="3">
        <f t="shared" si="12"/>
        <v>7.285714286</v>
      </c>
    </row>
    <row r="80">
      <c r="A80" s="1" t="s">
        <v>10</v>
      </c>
      <c r="B80" s="1" t="s">
        <v>266</v>
      </c>
      <c r="C80" s="1" t="s">
        <v>19</v>
      </c>
      <c r="D80" s="1" t="s">
        <v>57</v>
      </c>
      <c r="E80" s="1" t="s">
        <v>58</v>
      </c>
      <c r="F80" s="1" t="s">
        <v>658</v>
      </c>
      <c r="G80" s="1">
        <v>65.5</v>
      </c>
      <c r="H80" s="1" t="s">
        <v>60</v>
      </c>
      <c r="I80" s="1">
        <v>-119.0</v>
      </c>
      <c r="J80" s="1">
        <v>-0.0747985864135432</v>
      </c>
      <c r="K80" s="1" t="s">
        <v>61</v>
      </c>
      <c r="L80" s="1" t="s">
        <v>61</v>
      </c>
      <c r="M80" s="1" t="s">
        <v>62</v>
      </c>
      <c r="N80" s="1">
        <v>-110.0</v>
      </c>
      <c r="O80" s="1">
        <v>0.00765554997908546</v>
      </c>
      <c r="P80" s="1" t="s">
        <v>61</v>
      </c>
      <c r="Q80" s="1" t="s">
        <v>61</v>
      </c>
      <c r="R80" s="1">
        <f t="shared" si="1"/>
        <v>0.007655549979</v>
      </c>
      <c r="S80" s="1">
        <f t="shared" si="2"/>
        <v>-110</v>
      </c>
      <c r="T80" s="1">
        <f t="shared" si="3"/>
        <v>1.909090909</v>
      </c>
      <c r="U80" s="1">
        <f t="shared" si="4"/>
        <v>0</v>
      </c>
      <c r="V80" s="3">
        <f t="shared" si="5"/>
        <v>1</v>
      </c>
      <c r="W80" s="3">
        <f t="shared" si="6"/>
        <v>2</v>
      </c>
      <c r="X80" s="3" t="str">
        <f>IFERROR(__xludf.DUMMYFUNCTION("split(B80,"" "")"),"C.")</f>
        <v>C.</v>
      </c>
      <c r="Y80" s="3" t="str">
        <f>IFERROR(__xludf.DUMMYFUNCTION("""COMPUTED_VALUE"""),"Hubbard")</f>
        <v>Hubbard</v>
      </c>
      <c r="AA80" s="8">
        <v>72.0</v>
      </c>
      <c r="AB80" s="3">
        <f t="shared" si="7"/>
        <v>1</v>
      </c>
      <c r="AC80" s="3">
        <f t="shared" si="8"/>
        <v>0</v>
      </c>
      <c r="AD80" s="3">
        <f t="shared" si="9"/>
        <v>0.9090909091</v>
      </c>
      <c r="AE80" s="3">
        <f t="shared" si="10"/>
        <v>-1</v>
      </c>
      <c r="AF80" s="3">
        <f t="shared" si="11"/>
        <v>-2</v>
      </c>
      <c r="AG80" s="3">
        <f t="shared" si="12"/>
        <v>-0.09923664122</v>
      </c>
    </row>
    <row r="81">
      <c r="A81" s="1" t="s">
        <v>9</v>
      </c>
      <c r="B81" s="1" t="s">
        <v>357</v>
      </c>
      <c r="C81" s="1" t="s">
        <v>18</v>
      </c>
      <c r="D81" s="1" t="s">
        <v>57</v>
      </c>
      <c r="E81" s="1" t="s">
        <v>58</v>
      </c>
      <c r="F81" s="1" t="s">
        <v>658</v>
      </c>
      <c r="G81" s="1">
        <v>37.0</v>
      </c>
      <c r="H81" s="1" t="s">
        <v>60</v>
      </c>
      <c r="I81" s="1">
        <v>-117.0</v>
      </c>
      <c r="J81" s="1">
        <v>0.00395733374522155</v>
      </c>
      <c r="K81" s="1" t="s">
        <v>61</v>
      </c>
      <c r="L81" s="1" t="s">
        <v>61</v>
      </c>
      <c r="M81" s="1" t="s">
        <v>62</v>
      </c>
      <c r="N81" s="1">
        <v>-115.0</v>
      </c>
      <c r="O81" s="1">
        <v>-0.0770679192377676</v>
      </c>
      <c r="P81" s="1" t="s">
        <v>61</v>
      </c>
      <c r="Q81" s="1" t="s">
        <v>61</v>
      </c>
      <c r="R81" s="1">
        <f t="shared" si="1"/>
        <v>0.003957333745</v>
      </c>
      <c r="S81" s="1">
        <f t="shared" si="2"/>
        <v>-117</v>
      </c>
      <c r="T81" s="1">
        <f t="shared" si="3"/>
        <v>1.854700855</v>
      </c>
      <c r="U81" s="1">
        <f t="shared" si="4"/>
        <v>1</v>
      </c>
      <c r="V81" s="3">
        <f t="shared" si="5"/>
        <v>1</v>
      </c>
      <c r="W81" s="3">
        <f t="shared" si="6"/>
        <v>2</v>
      </c>
      <c r="X81" s="3" t="str">
        <f>IFERROR(__xludf.DUMMYFUNCTION("split(B81,"" "")"),"X.")</f>
        <v>X.</v>
      </c>
      <c r="Y81" s="3" t="str">
        <f>IFERROR(__xludf.DUMMYFUNCTION("""COMPUTED_VALUE"""),"Legette")</f>
        <v>Legette</v>
      </c>
      <c r="AA81" s="8">
        <v>39.0</v>
      </c>
      <c r="AB81" s="3">
        <f t="shared" si="7"/>
        <v>1</v>
      </c>
      <c r="AC81" s="3">
        <f t="shared" si="8"/>
        <v>1</v>
      </c>
      <c r="AD81" s="3">
        <f t="shared" si="9"/>
        <v>0.8547008547</v>
      </c>
      <c r="AE81" s="3">
        <f t="shared" si="10"/>
        <v>0.8547008547</v>
      </c>
      <c r="AF81" s="3">
        <f t="shared" si="11"/>
        <v>1.709401709</v>
      </c>
      <c r="AG81" s="3">
        <f t="shared" si="12"/>
        <v>0.05405405405</v>
      </c>
    </row>
    <row r="82">
      <c r="A82" s="1" t="s">
        <v>12</v>
      </c>
      <c r="B82" s="1" t="s">
        <v>659</v>
      </c>
      <c r="C82" s="1" t="s">
        <v>18</v>
      </c>
      <c r="D82" s="1" t="s">
        <v>67</v>
      </c>
      <c r="E82" s="1" t="s">
        <v>134</v>
      </c>
      <c r="F82" s="1" t="s">
        <v>658</v>
      </c>
      <c r="G82" s="1">
        <v>1.5</v>
      </c>
      <c r="H82" s="1" t="s">
        <v>60</v>
      </c>
      <c r="I82" s="1">
        <v>-186.0</v>
      </c>
      <c r="J82" s="1">
        <v>-0.281277314968531</v>
      </c>
      <c r="K82" s="1" t="s">
        <v>61</v>
      </c>
      <c r="L82" s="1" t="s">
        <v>61</v>
      </c>
      <c r="M82" s="1" t="s">
        <v>62</v>
      </c>
      <c r="N82" s="1">
        <v>141.0</v>
      </c>
      <c r="O82" s="1">
        <v>0.215995070875518</v>
      </c>
      <c r="P82" s="1" t="s">
        <v>61</v>
      </c>
      <c r="Q82" s="1" t="s">
        <v>61</v>
      </c>
      <c r="R82" s="1">
        <f t="shared" si="1"/>
        <v>0.2159950709</v>
      </c>
      <c r="S82" s="1">
        <f t="shared" si="2"/>
        <v>141</v>
      </c>
      <c r="T82" s="1">
        <f t="shared" si="3"/>
        <v>2.41</v>
      </c>
      <c r="U82" s="1">
        <f t="shared" si="4"/>
        <v>0</v>
      </c>
      <c r="V82" s="3">
        <f t="shared" si="5"/>
        <v>3</v>
      </c>
      <c r="W82" s="3">
        <f t="shared" si="6"/>
        <v>1</v>
      </c>
      <c r="X82" s="3" t="str">
        <f>IFERROR(__xludf.DUMMYFUNCTION("split(B82,"" "")"),"J.")</f>
        <v>J.</v>
      </c>
      <c r="Y82" s="3" t="str">
        <f>IFERROR(__xludf.DUMMYFUNCTION("""COMPUTED_VALUE"""),"Burton")</f>
        <v>Burton</v>
      </c>
      <c r="AA82" s="8">
        <v>0.0</v>
      </c>
      <c r="AB82" s="3">
        <f t="shared" si="7"/>
        <v>0</v>
      </c>
      <c r="AC82" s="3">
        <f t="shared" si="8"/>
        <v>1</v>
      </c>
      <c r="AD82" s="3">
        <f t="shared" si="9"/>
        <v>4.23</v>
      </c>
      <c r="AE82" s="3">
        <f t="shared" si="10"/>
        <v>4.23</v>
      </c>
      <c r="AF82" s="3">
        <f t="shared" si="11"/>
        <v>1.41</v>
      </c>
      <c r="AG82" s="3">
        <f t="shared" si="12"/>
        <v>1</v>
      </c>
    </row>
    <row r="83">
      <c r="A83" s="1" t="s">
        <v>12</v>
      </c>
      <c r="B83" s="1" t="s">
        <v>504</v>
      </c>
      <c r="C83" s="1" t="s">
        <v>20</v>
      </c>
      <c r="D83" s="1" t="s">
        <v>67</v>
      </c>
      <c r="E83" s="1" t="s">
        <v>134</v>
      </c>
      <c r="F83" s="1" t="s">
        <v>658</v>
      </c>
      <c r="G83" s="1">
        <v>3.5</v>
      </c>
      <c r="H83" s="1" t="s">
        <v>60</v>
      </c>
      <c r="I83" s="1">
        <v>-115.0</v>
      </c>
      <c r="J83" s="1">
        <v>-0.236637209302325</v>
      </c>
      <c r="K83" s="1" t="s">
        <v>61</v>
      </c>
      <c r="L83" s="1" t="s">
        <v>61</v>
      </c>
      <c r="M83" s="1" t="s">
        <v>62</v>
      </c>
      <c r="N83" s="1">
        <v>-115.0</v>
      </c>
      <c r="O83" s="1">
        <v>0.166862790697674</v>
      </c>
      <c r="P83" s="1" t="s">
        <v>61</v>
      </c>
      <c r="Q83" s="1" t="s">
        <v>61</v>
      </c>
      <c r="R83" s="1">
        <f t="shared" si="1"/>
        <v>0.1668627907</v>
      </c>
      <c r="S83" s="1">
        <f t="shared" si="2"/>
        <v>-115</v>
      </c>
      <c r="T83" s="1">
        <f t="shared" si="3"/>
        <v>1.869565217</v>
      </c>
      <c r="U83" s="1">
        <f t="shared" si="4"/>
        <v>0</v>
      </c>
      <c r="V83" s="3">
        <f t="shared" si="5"/>
        <v>3</v>
      </c>
      <c r="W83" s="3">
        <f t="shared" si="6"/>
        <v>2</v>
      </c>
      <c r="X83" s="3" t="str">
        <f>IFERROR(__xludf.DUMMYFUNCTION("split(B83,"" "")"),"M.")</f>
        <v>M.</v>
      </c>
      <c r="Y83" s="3" t="str">
        <f>IFERROR(__xludf.DUMMYFUNCTION("""COMPUTED_VALUE"""),"Gesicki")</f>
        <v>Gesicki</v>
      </c>
      <c r="AA83" s="8">
        <v>5.0</v>
      </c>
      <c r="AB83" s="3">
        <f t="shared" si="7"/>
        <v>1</v>
      </c>
      <c r="AC83" s="3">
        <f t="shared" si="8"/>
        <v>0</v>
      </c>
      <c r="AD83" s="3">
        <f t="shared" si="9"/>
        <v>2.608695652</v>
      </c>
      <c r="AE83" s="3">
        <f t="shared" si="10"/>
        <v>-3</v>
      </c>
      <c r="AF83" s="3">
        <f t="shared" si="11"/>
        <v>-2</v>
      </c>
      <c r="AG83" s="3">
        <f t="shared" si="12"/>
        <v>-0.4285714286</v>
      </c>
    </row>
    <row r="84">
      <c r="A84" s="1" t="s">
        <v>8</v>
      </c>
      <c r="B84" s="1" t="s">
        <v>318</v>
      </c>
      <c r="C84" s="1" t="s">
        <v>21</v>
      </c>
      <c r="D84" s="1" t="s">
        <v>67</v>
      </c>
      <c r="E84" s="1" t="s">
        <v>134</v>
      </c>
      <c r="F84" s="1" t="s">
        <v>658</v>
      </c>
      <c r="G84" s="1">
        <v>2.5</v>
      </c>
      <c r="H84" s="1" t="s">
        <v>60</v>
      </c>
      <c r="I84" s="1">
        <v>-158.0</v>
      </c>
      <c r="J84" s="1">
        <v>-0.228136722072338</v>
      </c>
      <c r="K84" s="1" t="s">
        <v>61</v>
      </c>
      <c r="L84" s="1" t="s">
        <v>61</v>
      </c>
      <c r="M84" s="1" t="s">
        <v>62</v>
      </c>
      <c r="N84" s="1">
        <v>122.0</v>
      </c>
      <c r="O84" s="1">
        <v>0.165288622948933</v>
      </c>
      <c r="P84" s="1" t="s">
        <v>61</v>
      </c>
      <c r="Q84" s="1" t="s">
        <v>61</v>
      </c>
      <c r="R84" s="1">
        <f t="shared" si="1"/>
        <v>0.1652886229</v>
      </c>
      <c r="S84" s="1">
        <f t="shared" si="2"/>
        <v>122</v>
      </c>
      <c r="T84" s="1">
        <f t="shared" si="3"/>
        <v>2.22</v>
      </c>
      <c r="U84" s="1">
        <f t="shared" si="4"/>
        <v>0</v>
      </c>
      <c r="V84" s="3">
        <f t="shared" si="5"/>
        <v>3</v>
      </c>
      <c r="W84" s="3">
        <f t="shared" si="6"/>
        <v>1</v>
      </c>
      <c r="X84" s="3" t="str">
        <f>IFERROR(__xludf.DUMMYFUNCTION("split(B84,"" "")"),"J.")</f>
        <v>J.</v>
      </c>
      <c r="Y84" s="3" t="str">
        <f>IFERROR(__xludf.DUMMYFUNCTION("""COMPUTED_VALUE"""),"Burrow")</f>
        <v>Burrow</v>
      </c>
      <c r="AA84" s="8">
        <v>3.0</v>
      </c>
      <c r="AB84" s="3">
        <f t="shared" si="7"/>
        <v>1</v>
      </c>
      <c r="AC84" s="3">
        <f t="shared" si="8"/>
        <v>0</v>
      </c>
      <c r="AD84" s="3">
        <f t="shared" si="9"/>
        <v>3.66</v>
      </c>
      <c r="AE84" s="3">
        <f t="shared" si="10"/>
        <v>-3</v>
      </c>
      <c r="AF84" s="3">
        <f t="shared" si="11"/>
        <v>-1</v>
      </c>
      <c r="AG84" s="3">
        <f t="shared" si="12"/>
        <v>-0.2</v>
      </c>
    </row>
    <row r="85">
      <c r="A85" s="1" t="s">
        <v>9</v>
      </c>
      <c r="B85" s="1" t="s">
        <v>660</v>
      </c>
      <c r="C85" s="1" t="s">
        <v>18</v>
      </c>
      <c r="D85" s="1" t="s">
        <v>67</v>
      </c>
      <c r="E85" s="1" t="s">
        <v>134</v>
      </c>
      <c r="F85" s="1" t="s">
        <v>658</v>
      </c>
      <c r="G85" s="1">
        <v>19.5</v>
      </c>
      <c r="H85" s="1" t="s">
        <v>60</v>
      </c>
      <c r="I85" s="1">
        <v>-110.0</v>
      </c>
      <c r="J85" s="1">
        <v>0.14118326866801</v>
      </c>
      <c r="K85" s="1" t="s">
        <v>61</v>
      </c>
      <c r="L85" s="1" t="s">
        <v>61</v>
      </c>
      <c r="M85" s="1" t="s">
        <v>62</v>
      </c>
      <c r="N85" s="1">
        <v>-120.0</v>
      </c>
      <c r="O85" s="1">
        <v>-0.210475380474266</v>
      </c>
      <c r="P85" s="1" t="s">
        <v>61</v>
      </c>
      <c r="Q85" s="1" t="s">
        <v>61</v>
      </c>
      <c r="R85" s="1">
        <f t="shared" si="1"/>
        <v>0.1411832687</v>
      </c>
      <c r="S85" s="1">
        <f t="shared" si="2"/>
        <v>-110</v>
      </c>
      <c r="T85" s="1">
        <f t="shared" si="3"/>
        <v>1.909090909</v>
      </c>
      <c r="U85" s="1">
        <f t="shared" si="4"/>
        <v>1</v>
      </c>
      <c r="V85" s="3">
        <f t="shared" si="5"/>
        <v>3</v>
      </c>
      <c r="W85" s="3">
        <f t="shared" si="6"/>
        <v>2</v>
      </c>
      <c r="X85" s="3" t="str">
        <f>IFERROR(__xludf.DUMMYFUNCTION("split(B85,"" "")"),"T.")</f>
        <v>T.</v>
      </c>
      <c r="Y85" s="3" t="str">
        <f>IFERROR(__xludf.DUMMYFUNCTION("""COMPUTED_VALUE"""),"Irwin")</f>
        <v>Irwin</v>
      </c>
      <c r="AA85" s="8">
        <v>0.0</v>
      </c>
      <c r="AB85" s="3">
        <f t="shared" si="7"/>
        <v>0</v>
      </c>
      <c r="AC85" s="3">
        <f t="shared" si="8"/>
        <v>0</v>
      </c>
      <c r="AD85" s="3">
        <f t="shared" si="9"/>
        <v>2.727272727</v>
      </c>
      <c r="AE85" s="3">
        <f t="shared" si="10"/>
        <v>-3</v>
      </c>
      <c r="AF85" s="3">
        <f t="shared" si="11"/>
        <v>-2</v>
      </c>
      <c r="AG85" s="3">
        <f t="shared" si="12"/>
        <v>-1</v>
      </c>
    </row>
    <row r="86">
      <c r="A86" s="1" t="s">
        <v>12</v>
      </c>
      <c r="B86" s="1" t="s">
        <v>389</v>
      </c>
      <c r="C86" s="1" t="s">
        <v>18</v>
      </c>
      <c r="D86" s="1" t="s">
        <v>67</v>
      </c>
      <c r="E86" s="1" t="s">
        <v>134</v>
      </c>
      <c r="F86" s="1" t="s">
        <v>658</v>
      </c>
      <c r="G86" s="1">
        <v>6.5</v>
      </c>
      <c r="H86" s="1" t="s">
        <v>60</v>
      </c>
      <c r="I86" s="1">
        <v>-144.0</v>
      </c>
      <c r="J86" s="1">
        <v>0.13393606557377</v>
      </c>
      <c r="K86" s="1" t="s">
        <v>61</v>
      </c>
      <c r="L86" s="1" t="s">
        <v>61</v>
      </c>
      <c r="M86" s="1" t="s">
        <v>62</v>
      </c>
      <c r="N86" s="1">
        <v>110.0</v>
      </c>
      <c r="O86" s="1">
        <v>-0.200290476190476</v>
      </c>
      <c r="P86" s="1" t="s">
        <v>61</v>
      </c>
      <c r="Q86" s="1" t="s">
        <v>61</v>
      </c>
      <c r="R86" s="1">
        <f t="shared" si="1"/>
        <v>0.1339360656</v>
      </c>
      <c r="S86" s="1">
        <f t="shared" si="2"/>
        <v>-144</v>
      </c>
      <c r="T86" s="1">
        <f t="shared" si="3"/>
        <v>1.694444444</v>
      </c>
      <c r="U86" s="1">
        <f t="shared" si="4"/>
        <v>1</v>
      </c>
      <c r="V86" s="3">
        <f t="shared" si="5"/>
        <v>3</v>
      </c>
      <c r="W86" s="3">
        <f t="shared" si="6"/>
        <v>3</v>
      </c>
      <c r="X86" s="3" t="str">
        <f>IFERROR(__xludf.DUMMYFUNCTION("split(B86,"" "")"),"J.")</f>
        <v>J.</v>
      </c>
      <c r="Y86" s="3" t="str">
        <f>IFERROR(__xludf.DUMMYFUNCTION("""COMPUTED_VALUE"""),"Chase")</f>
        <v>Chase</v>
      </c>
      <c r="AA86" s="8">
        <v>7.0</v>
      </c>
      <c r="AB86" s="3">
        <f t="shared" si="7"/>
        <v>1</v>
      </c>
      <c r="AC86" s="3">
        <f t="shared" si="8"/>
        <v>1</v>
      </c>
      <c r="AD86" s="3">
        <f t="shared" si="9"/>
        <v>2.083333333</v>
      </c>
      <c r="AE86" s="3">
        <f t="shared" si="10"/>
        <v>2.083333333</v>
      </c>
      <c r="AF86" s="3">
        <f t="shared" si="11"/>
        <v>2.083333333</v>
      </c>
      <c r="AG86" s="3">
        <f t="shared" si="12"/>
        <v>0.07692307692</v>
      </c>
    </row>
    <row r="87">
      <c r="A87" s="1" t="s">
        <v>11</v>
      </c>
      <c r="B87" s="1" t="s">
        <v>504</v>
      </c>
      <c r="C87" s="1" t="s">
        <v>20</v>
      </c>
      <c r="D87" s="1" t="s">
        <v>67</v>
      </c>
      <c r="E87" s="1" t="s">
        <v>134</v>
      </c>
      <c r="F87" s="1" t="s">
        <v>658</v>
      </c>
      <c r="G87" s="1">
        <v>36.5</v>
      </c>
      <c r="H87" s="1" t="s">
        <v>60</v>
      </c>
      <c r="I87" s="1">
        <v>-118.0</v>
      </c>
      <c r="J87" s="1">
        <v>-0.156055206655275</v>
      </c>
      <c r="K87" s="1" t="s">
        <v>61</v>
      </c>
      <c r="L87" s="1" t="s">
        <v>61</v>
      </c>
      <c r="M87" s="1" t="s">
        <v>62</v>
      </c>
      <c r="N87" s="1">
        <v>-109.0</v>
      </c>
      <c r="O87" s="1">
        <v>0.0932487275413805</v>
      </c>
      <c r="P87" s="1" t="s">
        <v>61</v>
      </c>
      <c r="Q87" s="1" t="s">
        <v>61</v>
      </c>
      <c r="R87" s="1">
        <f t="shared" si="1"/>
        <v>0.09324872754</v>
      </c>
      <c r="S87" s="1">
        <f t="shared" si="2"/>
        <v>-109</v>
      </c>
      <c r="T87" s="1">
        <f t="shared" si="3"/>
        <v>1.917431193</v>
      </c>
      <c r="U87" s="1">
        <f t="shared" si="4"/>
        <v>0</v>
      </c>
      <c r="V87" s="3">
        <f t="shared" si="5"/>
        <v>2</v>
      </c>
      <c r="W87" s="3">
        <f t="shared" si="6"/>
        <v>2</v>
      </c>
      <c r="X87" s="3" t="str">
        <f>IFERROR(__xludf.DUMMYFUNCTION("split(B87,"" "")"),"M.")</f>
        <v>M.</v>
      </c>
      <c r="Y87" s="3" t="str">
        <f>IFERROR(__xludf.DUMMYFUNCTION("""COMPUTED_VALUE"""),"Gesicki")</f>
        <v>Gesicki</v>
      </c>
      <c r="AA87" s="8">
        <v>100.0</v>
      </c>
      <c r="AB87" s="3">
        <f t="shared" si="7"/>
        <v>1</v>
      </c>
      <c r="AC87" s="3">
        <f t="shared" si="8"/>
        <v>0</v>
      </c>
      <c r="AD87" s="3">
        <f t="shared" si="9"/>
        <v>1.834862385</v>
      </c>
      <c r="AE87" s="3">
        <f t="shared" si="10"/>
        <v>-2</v>
      </c>
      <c r="AF87" s="3">
        <f t="shared" si="11"/>
        <v>-2</v>
      </c>
      <c r="AG87" s="3">
        <f t="shared" si="12"/>
        <v>-1.739726027</v>
      </c>
    </row>
    <row r="88">
      <c r="A88" s="1" t="s">
        <v>9</v>
      </c>
      <c r="B88" s="1" t="s">
        <v>659</v>
      </c>
      <c r="C88" s="1" t="s">
        <v>18</v>
      </c>
      <c r="D88" s="1" t="s">
        <v>67</v>
      </c>
      <c r="E88" s="1" t="s">
        <v>134</v>
      </c>
      <c r="F88" s="1" t="s">
        <v>658</v>
      </c>
      <c r="G88" s="1">
        <v>21.5</v>
      </c>
      <c r="H88" s="1" t="s">
        <v>60</v>
      </c>
      <c r="I88" s="1">
        <v>-120.0</v>
      </c>
      <c r="J88" s="1">
        <v>0.0795570847822146</v>
      </c>
      <c r="K88" s="1" t="s">
        <v>61</v>
      </c>
      <c r="L88" s="1" t="s">
        <v>61</v>
      </c>
      <c r="M88" s="1" t="s">
        <v>62</v>
      </c>
      <c r="N88" s="1">
        <v>-113.0</v>
      </c>
      <c r="O88" s="1">
        <v>-0.15547986514957</v>
      </c>
      <c r="P88" s="1" t="s">
        <v>61</v>
      </c>
      <c r="Q88" s="1" t="s">
        <v>61</v>
      </c>
      <c r="R88" s="1">
        <f t="shared" si="1"/>
        <v>0.07955708478</v>
      </c>
      <c r="S88" s="1">
        <f t="shared" si="2"/>
        <v>-120</v>
      </c>
      <c r="T88" s="1">
        <f t="shared" si="3"/>
        <v>1.833333333</v>
      </c>
      <c r="U88" s="1">
        <f t="shared" si="4"/>
        <v>1</v>
      </c>
      <c r="V88" s="3">
        <f t="shared" si="5"/>
        <v>2</v>
      </c>
      <c r="W88" s="3">
        <f t="shared" si="6"/>
        <v>3</v>
      </c>
      <c r="X88" s="3" t="str">
        <f>IFERROR(__xludf.DUMMYFUNCTION("split(B88,"" "")"),"J.")</f>
        <v>J.</v>
      </c>
      <c r="Y88" s="3" t="str">
        <f>IFERROR(__xludf.DUMMYFUNCTION("""COMPUTED_VALUE"""),"Burton")</f>
        <v>Burton</v>
      </c>
      <c r="AA88" s="8">
        <v>0.0</v>
      </c>
      <c r="AB88" s="3">
        <f t="shared" si="7"/>
        <v>0</v>
      </c>
      <c r="AC88" s="3">
        <f t="shared" si="8"/>
        <v>0</v>
      </c>
      <c r="AD88" s="3">
        <f t="shared" si="9"/>
        <v>1.666666667</v>
      </c>
      <c r="AE88" s="3">
        <f t="shared" si="10"/>
        <v>-2</v>
      </c>
      <c r="AF88" s="3">
        <f t="shared" si="11"/>
        <v>-3</v>
      </c>
      <c r="AG88" s="3">
        <f t="shared" si="12"/>
        <v>-1</v>
      </c>
    </row>
    <row r="89">
      <c r="A89" s="1" t="s">
        <v>14</v>
      </c>
      <c r="B89" s="1" t="s">
        <v>318</v>
      </c>
      <c r="C89" s="1" t="s">
        <v>21</v>
      </c>
      <c r="D89" s="1" t="s">
        <v>67</v>
      </c>
      <c r="E89" s="1" t="s">
        <v>134</v>
      </c>
      <c r="F89" s="1" t="s">
        <v>658</v>
      </c>
      <c r="G89" s="1">
        <v>1.5</v>
      </c>
      <c r="H89" s="1" t="s">
        <v>60</v>
      </c>
      <c r="I89" s="1">
        <v>-154.0</v>
      </c>
      <c r="J89" s="1">
        <v>-0.142759842519685</v>
      </c>
      <c r="K89" s="1" t="s">
        <v>61</v>
      </c>
      <c r="L89" s="1" t="s">
        <v>61</v>
      </c>
      <c r="M89" s="1" t="s">
        <v>62</v>
      </c>
      <c r="N89" s="1">
        <v>118.0</v>
      </c>
      <c r="O89" s="1">
        <v>0.0777385321100916</v>
      </c>
      <c r="P89" s="1" t="s">
        <v>61</v>
      </c>
      <c r="Q89" s="1" t="s">
        <v>61</v>
      </c>
      <c r="R89" s="1">
        <f t="shared" si="1"/>
        <v>0.07773853211</v>
      </c>
      <c r="S89" s="1">
        <f t="shared" si="2"/>
        <v>118</v>
      </c>
      <c r="T89" s="1">
        <f t="shared" si="3"/>
        <v>2.18</v>
      </c>
      <c r="U89" s="1">
        <f t="shared" si="4"/>
        <v>0</v>
      </c>
      <c r="V89" s="3">
        <f t="shared" si="5"/>
        <v>2</v>
      </c>
      <c r="W89" s="3">
        <f t="shared" si="6"/>
        <v>1</v>
      </c>
      <c r="X89" s="3" t="str">
        <f>IFERROR(__xludf.DUMMYFUNCTION("split(B89,"" "")"),"J.")</f>
        <v>J.</v>
      </c>
      <c r="Y89" s="3" t="str">
        <f>IFERROR(__xludf.DUMMYFUNCTION("""COMPUTED_VALUE"""),"Burrow")</f>
        <v>Burrow</v>
      </c>
      <c r="AA89" s="8">
        <v>5.0</v>
      </c>
      <c r="AB89" s="3">
        <f t="shared" si="7"/>
        <v>1</v>
      </c>
      <c r="AC89" s="3">
        <f t="shared" si="8"/>
        <v>0</v>
      </c>
      <c r="AD89" s="3">
        <f t="shared" si="9"/>
        <v>2.36</v>
      </c>
      <c r="AE89" s="3">
        <f t="shared" si="10"/>
        <v>-2</v>
      </c>
      <c r="AF89" s="3">
        <f t="shared" si="11"/>
        <v>-1</v>
      </c>
      <c r="AG89" s="3">
        <f t="shared" si="12"/>
        <v>-2.333333333</v>
      </c>
    </row>
    <row r="90">
      <c r="A90" s="1" t="s">
        <v>9</v>
      </c>
      <c r="B90" s="1" t="s">
        <v>527</v>
      </c>
      <c r="C90" s="1" t="s">
        <v>18</v>
      </c>
      <c r="D90" s="1" t="s">
        <v>67</v>
      </c>
      <c r="E90" s="1" t="s">
        <v>134</v>
      </c>
      <c r="F90" s="1" t="s">
        <v>658</v>
      </c>
      <c r="G90" s="1">
        <v>29.5</v>
      </c>
      <c r="H90" s="1" t="s">
        <v>60</v>
      </c>
      <c r="I90" s="1">
        <v>-116.0</v>
      </c>
      <c r="J90" s="1">
        <v>0.0519814136333711</v>
      </c>
      <c r="K90" s="1" t="s">
        <v>61</v>
      </c>
      <c r="L90" s="1" t="s">
        <v>61</v>
      </c>
      <c r="M90" s="1" t="s">
        <v>62</v>
      </c>
      <c r="N90" s="1">
        <v>-116.0</v>
      </c>
      <c r="O90" s="1">
        <v>-0.12602643981471</v>
      </c>
      <c r="P90" s="1" t="s">
        <v>61</v>
      </c>
      <c r="Q90" s="1" t="s">
        <v>61</v>
      </c>
      <c r="R90" s="1">
        <f t="shared" si="1"/>
        <v>0.05198141363</v>
      </c>
      <c r="S90" s="1">
        <f t="shared" si="2"/>
        <v>-116</v>
      </c>
      <c r="T90" s="1">
        <f t="shared" si="3"/>
        <v>1.862068966</v>
      </c>
      <c r="U90" s="1">
        <f t="shared" si="4"/>
        <v>1</v>
      </c>
      <c r="V90" s="3">
        <f t="shared" si="5"/>
        <v>2</v>
      </c>
      <c r="W90" s="3">
        <f t="shared" si="6"/>
        <v>2</v>
      </c>
      <c r="X90" s="3" t="str">
        <f>IFERROR(__xludf.DUMMYFUNCTION("split(B90,"" "")"),"A.")</f>
        <v>A.</v>
      </c>
      <c r="Y90" s="3" t="str">
        <f>IFERROR(__xludf.DUMMYFUNCTION("""COMPUTED_VALUE"""),"Iosivas")</f>
        <v>Iosivas</v>
      </c>
      <c r="AA90" s="8">
        <v>10.0</v>
      </c>
      <c r="AB90" s="3">
        <f t="shared" si="7"/>
        <v>0</v>
      </c>
      <c r="AC90" s="3">
        <f t="shared" si="8"/>
        <v>0</v>
      </c>
      <c r="AD90" s="3">
        <f t="shared" si="9"/>
        <v>1.724137931</v>
      </c>
      <c r="AE90" s="3">
        <f t="shared" si="10"/>
        <v>-2</v>
      </c>
      <c r="AF90" s="3">
        <f t="shared" si="11"/>
        <v>-2</v>
      </c>
      <c r="AG90" s="3">
        <f t="shared" si="12"/>
        <v>-0.6610169492</v>
      </c>
    </row>
    <row r="91">
      <c r="A91" s="1" t="s">
        <v>12</v>
      </c>
      <c r="B91" s="1" t="s">
        <v>527</v>
      </c>
      <c r="C91" s="1" t="s">
        <v>18</v>
      </c>
      <c r="D91" s="1" t="s">
        <v>67</v>
      </c>
      <c r="E91" s="1" t="s">
        <v>134</v>
      </c>
      <c r="F91" s="1" t="s">
        <v>658</v>
      </c>
      <c r="G91" s="1">
        <v>2.5</v>
      </c>
      <c r="H91" s="1" t="s">
        <v>60</v>
      </c>
      <c r="I91" s="1">
        <v>-114.0</v>
      </c>
      <c r="J91" s="1">
        <v>-0.12140026724299</v>
      </c>
      <c r="K91" s="1" t="s">
        <v>61</v>
      </c>
      <c r="L91" s="1" t="s">
        <v>61</v>
      </c>
      <c r="M91" s="1" t="s">
        <v>62</v>
      </c>
      <c r="N91" s="1">
        <v>-116.0</v>
      </c>
      <c r="O91" s="1">
        <v>0.0516663812055555</v>
      </c>
      <c r="P91" s="1" t="s">
        <v>61</v>
      </c>
      <c r="Q91" s="1" t="s">
        <v>61</v>
      </c>
      <c r="R91" s="1">
        <f t="shared" si="1"/>
        <v>0.05166638121</v>
      </c>
      <c r="S91" s="1">
        <f t="shared" si="2"/>
        <v>-116</v>
      </c>
      <c r="T91" s="1">
        <f t="shared" si="3"/>
        <v>1.862068966</v>
      </c>
      <c r="U91" s="1">
        <f t="shared" si="4"/>
        <v>0</v>
      </c>
      <c r="V91" s="3">
        <f t="shared" si="5"/>
        <v>2</v>
      </c>
      <c r="W91" s="3">
        <f t="shared" si="6"/>
        <v>2</v>
      </c>
      <c r="X91" s="3" t="str">
        <f>IFERROR(__xludf.DUMMYFUNCTION("split(B91,"" "")"),"A.")</f>
        <v>A.</v>
      </c>
      <c r="Y91" s="3" t="str">
        <f>IFERROR(__xludf.DUMMYFUNCTION("""COMPUTED_VALUE"""),"Iosivas")</f>
        <v>Iosivas</v>
      </c>
      <c r="AA91" s="8">
        <v>1.0</v>
      </c>
      <c r="AB91" s="3">
        <f t="shared" si="7"/>
        <v>0</v>
      </c>
      <c r="AC91" s="3">
        <f t="shared" si="8"/>
        <v>1</v>
      </c>
      <c r="AD91" s="3">
        <f t="shared" si="9"/>
        <v>1.724137931</v>
      </c>
      <c r="AE91" s="3">
        <f t="shared" si="10"/>
        <v>1.724137931</v>
      </c>
      <c r="AF91" s="3">
        <f t="shared" si="11"/>
        <v>1.724137931</v>
      </c>
      <c r="AG91" s="3">
        <f t="shared" si="12"/>
        <v>0.6</v>
      </c>
    </row>
    <row r="92">
      <c r="A92" s="1" t="s">
        <v>10</v>
      </c>
      <c r="B92" s="1" t="s">
        <v>293</v>
      </c>
      <c r="C92" s="1" t="s">
        <v>19</v>
      </c>
      <c r="D92" s="1" t="s">
        <v>67</v>
      </c>
      <c r="E92" s="1" t="s">
        <v>134</v>
      </c>
      <c r="F92" s="1" t="s">
        <v>658</v>
      </c>
      <c r="G92" s="1">
        <v>69.5</v>
      </c>
      <c r="H92" s="1" t="s">
        <v>60</v>
      </c>
      <c r="I92" s="1">
        <v>-119.0</v>
      </c>
      <c r="J92" s="1">
        <v>-0.106587660509316</v>
      </c>
      <c r="K92" s="1" t="s">
        <v>61</v>
      </c>
      <c r="L92" s="1" t="s">
        <v>61</v>
      </c>
      <c r="M92" s="1" t="s">
        <v>62</v>
      </c>
      <c r="N92" s="1">
        <v>-111.0</v>
      </c>
      <c r="O92" s="1">
        <v>0.0372031562708187</v>
      </c>
      <c r="P92" s="1" t="s">
        <v>61</v>
      </c>
      <c r="Q92" s="1" t="s">
        <v>61</v>
      </c>
      <c r="R92" s="1">
        <f t="shared" si="1"/>
        <v>0.03720315627</v>
      </c>
      <c r="S92" s="1">
        <f t="shared" si="2"/>
        <v>-111</v>
      </c>
      <c r="T92" s="1">
        <f t="shared" si="3"/>
        <v>1.900900901</v>
      </c>
      <c r="U92" s="1">
        <f t="shared" si="4"/>
        <v>0</v>
      </c>
      <c r="V92" s="3">
        <f t="shared" si="5"/>
        <v>1</v>
      </c>
      <c r="W92" s="3">
        <f t="shared" si="6"/>
        <v>2</v>
      </c>
      <c r="X92" s="3" t="str">
        <f>IFERROR(__xludf.DUMMYFUNCTION("split(B92,"" "")"),"C.")</f>
        <v>C.</v>
      </c>
      <c r="Y92" s="3" t="str">
        <f>IFERROR(__xludf.DUMMYFUNCTION("""COMPUTED_VALUE"""),"Brown")</f>
        <v>Brown</v>
      </c>
      <c r="AA92" s="8">
        <v>120.0</v>
      </c>
      <c r="AB92" s="3">
        <f t="shared" si="7"/>
        <v>1</v>
      </c>
      <c r="AC92" s="3">
        <f t="shared" si="8"/>
        <v>0</v>
      </c>
      <c r="AD92" s="3">
        <f t="shared" si="9"/>
        <v>0.9009009009</v>
      </c>
      <c r="AE92" s="3">
        <f t="shared" si="10"/>
        <v>-1</v>
      </c>
      <c r="AF92" s="3">
        <f t="shared" si="11"/>
        <v>-2</v>
      </c>
      <c r="AG92" s="3">
        <f t="shared" si="12"/>
        <v>-0.726618705</v>
      </c>
    </row>
    <row r="93">
      <c r="A93" s="1" t="s">
        <v>12</v>
      </c>
      <c r="B93" s="1" t="s">
        <v>293</v>
      </c>
      <c r="C93" s="1" t="s">
        <v>19</v>
      </c>
      <c r="D93" s="1" t="s">
        <v>67</v>
      </c>
      <c r="E93" s="1" t="s">
        <v>134</v>
      </c>
      <c r="F93" s="1" t="s">
        <v>658</v>
      </c>
      <c r="G93" s="1">
        <v>3.5</v>
      </c>
      <c r="H93" s="1" t="s">
        <v>60</v>
      </c>
      <c r="I93" s="1">
        <v>115.0</v>
      </c>
      <c r="J93" s="1">
        <v>-0.103062790697674</v>
      </c>
      <c r="K93" s="1" t="s">
        <v>61</v>
      </c>
      <c r="L93" s="1" t="s">
        <v>61</v>
      </c>
      <c r="M93" s="1" t="s">
        <v>62</v>
      </c>
      <c r="N93" s="1">
        <v>-151.0</v>
      </c>
      <c r="O93" s="1">
        <v>0.0363462151394422</v>
      </c>
      <c r="P93" s="1" t="s">
        <v>61</v>
      </c>
      <c r="Q93" s="1" t="s">
        <v>61</v>
      </c>
      <c r="R93" s="1">
        <f t="shared" si="1"/>
        <v>0.03634621514</v>
      </c>
      <c r="S93" s="1">
        <f t="shared" si="2"/>
        <v>-151</v>
      </c>
      <c r="T93" s="1">
        <f t="shared" si="3"/>
        <v>1.662251656</v>
      </c>
      <c r="U93" s="1">
        <f t="shared" si="4"/>
        <v>0</v>
      </c>
      <c r="V93" s="3">
        <f t="shared" si="5"/>
        <v>1</v>
      </c>
      <c r="W93" s="3">
        <f t="shared" si="6"/>
        <v>3</v>
      </c>
      <c r="X93" s="3" t="str">
        <f>IFERROR(__xludf.DUMMYFUNCTION("split(B93,"" "")"),"C.")</f>
        <v>C.</v>
      </c>
      <c r="Y93" s="3" t="str">
        <f>IFERROR(__xludf.DUMMYFUNCTION("""COMPUTED_VALUE"""),"Brown")</f>
        <v>Brown</v>
      </c>
      <c r="AA93" s="8">
        <v>5.0</v>
      </c>
      <c r="AB93" s="3">
        <f t="shared" si="7"/>
        <v>1</v>
      </c>
      <c r="AC93" s="3">
        <f t="shared" si="8"/>
        <v>0</v>
      </c>
      <c r="AD93" s="3">
        <f t="shared" si="9"/>
        <v>0.6622516556</v>
      </c>
      <c r="AE93" s="3">
        <f t="shared" si="10"/>
        <v>-1</v>
      </c>
      <c r="AF93" s="3">
        <f t="shared" si="11"/>
        <v>-3</v>
      </c>
      <c r="AG93" s="3">
        <f t="shared" si="12"/>
        <v>-0.4285714286</v>
      </c>
    </row>
    <row r="94">
      <c r="A94" s="1" t="s">
        <v>9</v>
      </c>
      <c r="B94" s="1" t="s">
        <v>293</v>
      </c>
      <c r="C94" s="1" t="s">
        <v>19</v>
      </c>
      <c r="D94" s="1" t="s">
        <v>67</v>
      </c>
      <c r="E94" s="1" t="s">
        <v>134</v>
      </c>
      <c r="F94" s="1" t="s">
        <v>658</v>
      </c>
      <c r="G94" s="1">
        <v>94.5</v>
      </c>
      <c r="H94" s="1" t="s">
        <v>60</v>
      </c>
      <c r="I94" s="1">
        <v>-122.0</v>
      </c>
      <c r="J94" s="1">
        <v>-0.111642440586076</v>
      </c>
      <c r="K94" s="1" t="s">
        <v>61</v>
      </c>
      <c r="L94" s="1" t="s">
        <v>61</v>
      </c>
      <c r="M94" s="1" t="s">
        <v>62</v>
      </c>
      <c r="N94" s="1">
        <v>-111.0</v>
      </c>
      <c r="O94" s="1">
        <v>0.0360247203816542</v>
      </c>
      <c r="P94" s="1" t="s">
        <v>61</v>
      </c>
      <c r="Q94" s="1" t="s">
        <v>61</v>
      </c>
      <c r="R94" s="1">
        <f t="shared" si="1"/>
        <v>0.03602472038</v>
      </c>
      <c r="S94" s="1">
        <f t="shared" si="2"/>
        <v>-111</v>
      </c>
      <c r="T94" s="1">
        <f t="shared" si="3"/>
        <v>1.900900901</v>
      </c>
      <c r="U94" s="1">
        <f t="shared" si="4"/>
        <v>0</v>
      </c>
      <c r="V94" s="3">
        <f t="shared" si="5"/>
        <v>1</v>
      </c>
      <c r="W94" s="3">
        <f t="shared" si="6"/>
        <v>2</v>
      </c>
      <c r="X94" s="3" t="str">
        <f>IFERROR(__xludf.DUMMYFUNCTION("split(B94,"" "")"),"C.")</f>
        <v>C.</v>
      </c>
      <c r="Y94" s="3" t="str">
        <f>IFERROR(__xludf.DUMMYFUNCTION("""COMPUTED_VALUE"""),"Brown")</f>
        <v>Brown</v>
      </c>
      <c r="AA94" s="8">
        <v>157.0</v>
      </c>
      <c r="AB94" s="3">
        <f t="shared" si="7"/>
        <v>1</v>
      </c>
      <c r="AC94" s="3">
        <f t="shared" si="8"/>
        <v>0</v>
      </c>
      <c r="AD94" s="3">
        <f t="shared" si="9"/>
        <v>0.9009009009</v>
      </c>
      <c r="AE94" s="3">
        <f t="shared" si="10"/>
        <v>-1</v>
      </c>
      <c r="AF94" s="3">
        <f t="shared" si="11"/>
        <v>-2</v>
      </c>
      <c r="AG94" s="3">
        <f t="shared" si="12"/>
        <v>-0.6613756614</v>
      </c>
    </row>
    <row r="95">
      <c r="A95" s="1" t="s">
        <v>11</v>
      </c>
      <c r="B95" s="1" t="s">
        <v>168</v>
      </c>
      <c r="C95" s="1" t="s">
        <v>19</v>
      </c>
      <c r="D95" s="1" t="s">
        <v>67</v>
      </c>
      <c r="E95" s="1" t="s">
        <v>134</v>
      </c>
      <c r="F95" s="1" t="s">
        <v>658</v>
      </c>
      <c r="G95" s="1">
        <v>18.5</v>
      </c>
      <c r="H95" s="1" t="s">
        <v>60</v>
      </c>
      <c r="I95" s="1">
        <v>-110.0</v>
      </c>
      <c r="J95" s="1">
        <v>-0.0809259876140571</v>
      </c>
      <c r="K95" s="1" t="s">
        <v>61</v>
      </c>
      <c r="L95" s="1" t="s">
        <v>61</v>
      </c>
      <c r="M95" s="1" t="s">
        <v>62</v>
      </c>
      <c r="N95" s="1">
        <v>-116.0</v>
      </c>
      <c r="O95" s="1">
        <v>0.020094308253631</v>
      </c>
      <c r="P95" s="1" t="s">
        <v>61</v>
      </c>
      <c r="Q95" s="1" t="s">
        <v>61</v>
      </c>
      <c r="R95" s="1">
        <f t="shared" si="1"/>
        <v>0.02009430825</v>
      </c>
      <c r="S95" s="1">
        <f t="shared" si="2"/>
        <v>-116</v>
      </c>
      <c r="T95" s="1">
        <f t="shared" si="3"/>
        <v>1.862068966</v>
      </c>
      <c r="U95" s="1">
        <f t="shared" si="4"/>
        <v>0</v>
      </c>
      <c r="V95" s="3">
        <f t="shared" si="5"/>
        <v>1</v>
      </c>
      <c r="W95" s="3">
        <f t="shared" si="6"/>
        <v>2</v>
      </c>
      <c r="X95" s="3" t="str">
        <f>IFERROR(__xludf.DUMMYFUNCTION("split(B95,"" "")"),"Z.")</f>
        <v>Z.</v>
      </c>
      <c r="Y95" s="3" t="str">
        <f>IFERROR(__xludf.DUMMYFUNCTION("""COMPUTED_VALUE"""),"Moss")</f>
        <v>Moss</v>
      </c>
      <c r="AA95" s="8">
        <v>0.0</v>
      </c>
      <c r="AB95" s="3">
        <f t="shared" si="7"/>
        <v>0</v>
      </c>
      <c r="AC95" s="3">
        <f t="shared" si="8"/>
        <v>1</v>
      </c>
      <c r="AD95" s="3">
        <f t="shared" si="9"/>
        <v>0.8620689655</v>
      </c>
      <c r="AE95" s="3">
        <f t="shared" si="10"/>
        <v>0.8620689655</v>
      </c>
      <c r="AF95" s="3">
        <f t="shared" si="11"/>
        <v>1.724137931</v>
      </c>
      <c r="AG95" s="3">
        <f t="shared" si="12"/>
        <v>1</v>
      </c>
    </row>
    <row r="96">
      <c r="A96" s="1" t="s">
        <v>10</v>
      </c>
      <c r="B96" s="1" t="s">
        <v>318</v>
      </c>
      <c r="C96" s="1" t="s">
        <v>21</v>
      </c>
      <c r="D96" s="1" t="s">
        <v>67</v>
      </c>
      <c r="E96" s="1" t="s">
        <v>134</v>
      </c>
      <c r="F96" s="1" t="s">
        <v>658</v>
      </c>
      <c r="G96" s="1">
        <v>7.5</v>
      </c>
      <c r="H96" s="1" t="s">
        <v>60</v>
      </c>
      <c r="I96" s="1">
        <v>-111.0</v>
      </c>
      <c r="J96" s="1">
        <v>0.00625788100639512</v>
      </c>
      <c r="K96" s="1" t="s">
        <v>61</v>
      </c>
      <c r="L96" s="1" t="s">
        <v>61</v>
      </c>
      <c r="M96" s="1" t="s">
        <v>62</v>
      </c>
      <c r="N96" s="1">
        <v>-118.0</v>
      </c>
      <c r="O96" s="1">
        <v>-0.0735836569402397</v>
      </c>
      <c r="P96" s="1" t="s">
        <v>61</v>
      </c>
      <c r="Q96" s="1" t="s">
        <v>61</v>
      </c>
      <c r="R96" s="1">
        <f t="shared" si="1"/>
        <v>0.006257881006</v>
      </c>
      <c r="S96" s="1">
        <f t="shared" si="2"/>
        <v>-111</v>
      </c>
      <c r="T96" s="1">
        <f t="shared" si="3"/>
        <v>1.900900901</v>
      </c>
      <c r="U96" s="1">
        <f t="shared" si="4"/>
        <v>1</v>
      </c>
      <c r="V96" s="3">
        <f t="shared" si="5"/>
        <v>1</v>
      </c>
      <c r="W96" s="3">
        <f t="shared" si="6"/>
        <v>2</v>
      </c>
      <c r="X96" s="3" t="str">
        <f>IFERROR(__xludf.DUMMYFUNCTION("split(B96,"" "")"),"J.")</f>
        <v>J.</v>
      </c>
      <c r="Y96" s="3" t="str">
        <f>IFERROR(__xludf.DUMMYFUNCTION("""COMPUTED_VALUE"""),"Burrow")</f>
        <v>Burrow</v>
      </c>
      <c r="AA96" s="8">
        <v>11.0</v>
      </c>
      <c r="AB96" s="3">
        <f t="shared" si="7"/>
        <v>1</v>
      </c>
      <c r="AC96" s="3">
        <f t="shared" si="8"/>
        <v>1</v>
      </c>
      <c r="AD96" s="3">
        <f t="shared" si="9"/>
        <v>0.9009009009</v>
      </c>
      <c r="AE96" s="3">
        <f t="shared" si="10"/>
        <v>0.9009009009</v>
      </c>
      <c r="AF96" s="3">
        <f t="shared" si="11"/>
        <v>1.801801802</v>
      </c>
      <c r="AG96" s="3">
        <f t="shared" si="12"/>
        <v>0.4666666667</v>
      </c>
    </row>
    <row r="97">
      <c r="A97" s="1" t="s">
        <v>11</v>
      </c>
      <c r="B97" s="1" t="s">
        <v>293</v>
      </c>
      <c r="C97" s="1" t="s">
        <v>19</v>
      </c>
      <c r="D97" s="1" t="s">
        <v>67</v>
      </c>
      <c r="E97" s="1" t="s">
        <v>134</v>
      </c>
      <c r="F97" s="1" t="s">
        <v>658</v>
      </c>
      <c r="G97" s="1">
        <v>20.5</v>
      </c>
      <c r="H97" s="1" t="s">
        <v>60</v>
      </c>
      <c r="I97" s="1">
        <v>-113.0</v>
      </c>
      <c r="J97" s="1">
        <v>-0.073769181446155</v>
      </c>
      <c r="K97" s="1" t="s">
        <v>61</v>
      </c>
      <c r="L97" s="1" t="s">
        <v>61</v>
      </c>
      <c r="M97" s="1" t="s">
        <v>62</v>
      </c>
      <c r="N97" s="1">
        <v>-116.0</v>
      </c>
      <c r="O97" s="1">
        <v>0.00623769144312957</v>
      </c>
      <c r="P97" s="1" t="s">
        <v>61</v>
      </c>
      <c r="Q97" s="1" t="s">
        <v>61</v>
      </c>
      <c r="R97" s="1">
        <f t="shared" si="1"/>
        <v>0.006237691443</v>
      </c>
      <c r="S97" s="1">
        <f t="shared" si="2"/>
        <v>-116</v>
      </c>
      <c r="T97" s="1">
        <f t="shared" si="3"/>
        <v>1.862068966</v>
      </c>
      <c r="U97" s="1">
        <f t="shared" si="4"/>
        <v>0</v>
      </c>
      <c r="V97" s="3">
        <f t="shared" si="5"/>
        <v>1</v>
      </c>
      <c r="W97" s="3">
        <f t="shared" si="6"/>
        <v>2</v>
      </c>
      <c r="X97" s="3" t="str">
        <f>IFERROR(__xludf.DUMMYFUNCTION("split(B97,"" "")"),"C.")</f>
        <v>C.</v>
      </c>
      <c r="Y97" s="3" t="str">
        <f>IFERROR(__xludf.DUMMYFUNCTION("""COMPUTED_VALUE"""),"Brown")</f>
        <v>Brown</v>
      </c>
      <c r="AA97" s="8">
        <v>37.0</v>
      </c>
      <c r="AB97" s="3">
        <f t="shared" si="7"/>
        <v>1</v>
      </c>
      <c r="AC97" s="3">
        <f t="shared" si="8"/>
        <v>0</v>
      </c>
      <c r="AD97" s="3">
        <f t="shared" si="9"/>
        <v>0.8620689655</v>
      </c>
      <c r="AE97" s="3">
        <f t="shared" si="10"/>
        <v>-1</v>
      </c>
      <c r="AF97" s="3">
        <f t="shared" si="11"/>
        <v>-2</v>
      </c>
      <c r="AG97" s="3">
        <f t="shared" si="12"/>
        <v>-0.8048780488</v>
      </c>
    </row>
    <row r="98">
      <c r="A98" s="1" t="s">
        <v>12</v>
      </c>
      <c r="B98" s="1" t="s">
        <v>324</v>
      </c>
      <c r="C98" s="1" t="s">
        <v>19</v>
      </c>
      <c r="D98" s="1" t="s">
        <v>89</v>
      </c>
      <c r="E98" s="1" t="s">
        <v>135</v>
      </c>
      <c r="F98" s="1" t="s">
        <v>658</v>
      </c>
      <c r="G98" s="1">
        <v>1.5</v>
      </c>
      <c r="H98" s="1" t="s">
        <v>60</v>
      </c>
      <c r="I98" s="1">
        <v>-151.0</v>
      </c>
      <c r="J98" s="1">
        <v>-0.215832539896414</v>
      </c>
      <c r="K98" s="1" t="s">
        <v>61</v>
      </c>
      <c r="L98" s="1" t="s">
        <v>61</v>
      </c>
      <c r="M98" s="1" t="s">
        <v>62</v>
      </c>
      <c r="N98" s="1">
        <v>115.0</v>
      </c>
      <c r="O98" s="1">
        <v>0.149129151227907</v>
      </c>
      <c r="P98" s="1" t="s">
        <v>61</v>
      </c>
      <c r="Q98" s="1" t="s">
        <v>61</v>
      </c>
      <c r="R98" s="1">
        <f t="shared" si="1"/>
        <v>0.1491291512</v>
      </c>
      <c r="S98" s="1">
        <f t="shared" si="2"/>
        <v>115</v>
      </c>
      <c r="T98" s="1">
        <f t="shared" si="3"/>
        <v>2.15</v>
      </c>
      <c r="U98" s="1">
        <f t="shared" si="4"/>
        <v>0</v>
      </c>
      <c r="V98" s="3">
        <f t="shared" si="5"/>
        <v>3</v>
      </c>
      <c r="W98" s="3">
        <f t="shared" si="6"/>
        <v>1</v>
      </c>
      <c r="X98" s="3" t="str">
        <f>IFERROR(__xludf.DUMMYFUNCTION("split(B98,"" "")"),"J.")</f>
        <v>J.</v>
      </c>
      <c r="Y98" s="3" t="str">
        <f>IFERROR(__xludf.DUMMYFUNCTION("""COMPUTED_VALUE"""),"Ford")</f>
        <v>Ford</v>
      </c>
      <c r="AA98" s="8">
        <v>1.0</v>
      </c>
      <c r="AB98" s="3">
        <f t="shared" si="7"/>
        <v>0</v>
      </c>
      <c r="AC98" s="3">
        <f t="shared" si="8"/>
        <v>1</v>
      </c>
      <c r="AD98" s="3">
        <f t="shared" si="9"/>
        <v>3.45</v>
      </c>
      <c r="AE98" s="3">
        <f t="shared" si="10"/>
        <v>3.45</v>
      </c>
      <c r="AF98" s="3">
        <f t="shared" si="11"/>
        <v>1.15</v>
      </c>
      <c r="AG98" s="3">
        <f t="shared" si="12"/>
        <v>0.3333333333</v>
      </c>
    </row>
    <row r="99">
      <c r="A99" s="1" t="s">
        <v>12</v>
      </c>
      <c r="B99" s="1" t="s">
        <v>502</v>
      </c>
      <c r="C99" s="1" t="s">
        <v>18</v>
      </c>
      <c r="D99" s="1" t="s">
        <v>89</v>
      </c>
      <c r="E99" s="1" t="s">
        <v>135</v>
      </c>
      <c r="F99" s="1" t="s">
        <v>658</v>
      </c>
      <c r="G99" s="1">
        <v>3.5</v>
      </c>
      <c r="H99" s="1" t="s">
        <v>60</v>
      </c>
      <c r="I99" s="1">
        <v>-145.0</v>
      </c>
      <c r="J99" s="1">
        <v>-0.203677551020408</v>
      </c>
      <c r="K99" s="1" t="s">
        <v>61</v>
      </c>
      <c r="L99" s="1" t="s">
        <v>61</v>
      </c>
      <c r="M99" s="1" t="s">
        <v>62</v>
      </c>
      <c r="N99" s="1">
        <v>109.0</v>
      </c>
      <c r="O99" s="1">
        <v>0.133378947368421</v>
      </c>
      <c r="P99" s="1" t="s">
        <v>61</v>
      </c>
      <c r="Q99" s="1" t="s">
        <v>61</v>
      </c>
      <c r="R99" s="1">
        <f t="shared" si="1"/>
        <v>0.1333789474</v>
      </c>
      <c r="S99" s="1">
        <f t="shared" si="2"/>
        <v>109</v>
      </c>
      <c r="T99" s="1">
        <f t="shared" si="3"/>
        <v>2.09</v>
      </c>
      <c r="U99" s="1">
        <f t="shared" si="4"/>
        <v>0</v>
      </c>
      <c r="V99" s="3">
        <f t="shared" si="5"/>
        <v>3</v>
      </c>
      <c r="W99" s="3">
        <f t="shared" si="6"/>
        <v>2</v>
      </c>
      <c r="X99" s="3" t="str">
        <f>IFERROR(__xludf.DUMMYFUNCTION("split(B99,"" "")"),"C.")</f>
        <v>C.</v>
      </c>
      <c r="Y99" s="3" t="str">
        <f>IFERROR(__xludf.DUMMYFUNCTION("""COMPUTED_VALUE"""),"Tillman")</f>
        <v>Tillman</v>
      </c>
      <c r="AA99" s="8">
        <v>6.0</v>
      </c>
      <c r="AB99" s="3">
        <f t="shared" si="7"/>
        <v>1</v>
      </c>
      <c r="AC99" s="3">
        <f t="shared" si="8"/>
        <v>0</v>
      </c>
      <c r="AD99" s="3">
        <f t="shared" si="9"/>
        <v>3.27</v>
      </c>
      <c r="AE99" s="3">
        <f t="shared" si="10"/>
        <v>-3</v>
      </c>
      <c r="AF99" s="3">
        <f t="shared" si="11"/>
        <v>-2</v>
      </c>
      <c r="AG99" s="3">
        <f t="shared" si="12"/>
        <v>-0.7142857143</v>
      </c>
    </row>
    <row r="100">
      <c r="A100" s="1" t="s">
        <v>12</v>
      </c>
      <c r="B100" s="1" t="s">
        <v>414</v>
      </c>
      <c r="C100" s="1" t="s">
        <v>18</v>
      </c>
      <c r="D100" s="1" t="s">
        <v>89</v>
      </c>
      <c r="E100" s="1" t="s">
        <v>135</v>
      </c>
      <c r="F100" s="1" t="s">
        <v>658</v>
      </c>
      <c r="G100" s="1">
        <v>3.5</v>
      </c>
      <c r="H100" s="1" t="s">
        <v>60</v>
      </c>
      <c r="I100" s="1">
        <v>-144.0</v>
      </c>
      <c r="J100" s="1">
        <v>-0.191263934426229</v>
      </c>
      <c r="K100" s="1" t="s">
        <v>61</v>
      </c>
      <c r="L100" s="1" t="s">
        <v>61</v>
      </c>
      <c r="M100" s="1" t="s">
        <v>62</v>
      </c>
      <c r="N100" s="1">
        <v>109.0</v>
      </c>
      <c r="O100" s="1">
        <v>0.122631100478468</v>
      </c>
      <c r="P100" s="1" t="s">
        <v>61</v>
      </c>
      <c r="Q100" s="1" t="s">
        <v>61</v>
      </c>
      <c r="R100" s="1">
        <f t="shared" si="1"/>
        <v>0.1226311005</v>
      </c>
      <c r="S100" s="1">
        <f t="shared" si="2"/>
        <v>109</v>
      </c>
      <c r="T100" s="1">
        <f t="shared" si="3"/>
        <v>2.09</v>
      </c>
      <c r="U100" s="1">
        <f t="shared" si="4"/>
        <v>0</v>
      </c>
      <c r="V100" s="3">
        <f t="shared" si="5"/>
        <v>3</v>
      </c>
      <c r="W100" s="3">
        <f t="shared" si="6"/>
        <v>2</v>
      </c>
      <c r="X100" s="3" t="str">
        <f>IFERROR(__xludf.DUMMYFUNCTION("split(B100,"" "")"),"E.")</f>
        <v>E.</v>
      </c>
      <c r="Y100" s="3" t="str">
        <f>IFERROR(__xludf.DUMMYFUNCTION("""COMPUTED_VALUE"""),"Moore")</f>
        <v>Moore</v>
      </c>
      <c r="AA100" s="8">
        <v>3.0</v>
      </c>
      <c r="AB100" s="3">
        <f t="shared" si="7"/>
        <v>0</v>
      </c>
      <c r="AC100" s="3">
        <f t="shared" si="8"/>
        <v>1</v>
      </c>
      <c r="AD100" s="3">
        <f t="shared" si="9"/>
        <v>3.27</v>
      </c>
      <c r="AE100" s="3">
        <f t="shared" si="10"/>
        <v>3.27</v>
      </c>
      <c r="AF100" s="3">
        <f t="shared" si="11"/>
        <v>2.18</v>
      </c>
      <c r="AG100" s="3">
        <f t="shared" si="12"/>
        <v>0.1428571429</v>
      </c>
    </row>
    <row r="101">
      <c r="A101" s="1" t="s">
        <v>17</v>
      </c>
      <c r="B101" s="1" t="s">
        <v>650</v>
      </c>
      <c r="C101" s="1" t="s">
        <v>21</v>
      </c>
      <c r="D101" s="1" t="s">
        <v>89</v>
      </c>
      <c r="E101" s="1" t="s">
        <v>135</v>
      </c>
      <c r="F101" s="1" t="s">
        <v>658</v>
      </c>
      <c r="G101" s="1">
        <v>0.5</v>
      </c>
      <c r="H101" s="1" t="s">
        <v>60</v>
      </c>
      <c r="I101" s="1">
        <v>-191.0</v>
      </c>
      <c r="J101" s="1">
        <v>-0.188923024054982</v>
      </c>
      <c r="K101" s="1" t="s">
        <v>61</v>
      </c>
      <c r="L101" s="1" t="s">
        <v>61</v>
      </c>
      <c r="M101" s="1" t="s">
        <v>62</v>
      </c>
      <c r="N101" s="1">
        <v>142.0</v>
      </c>
      <c r="O101" s="1">
        <v>0.119335537190082</v>
      </c>
      <c r="P101" s="1" t="s">
        <v>61</v>
      </c>
      <c r="Q101" s="1" t="s">
        <v>61</v>
      </c>
      <c r="R101" s="1">
        <f t="shared" si="1"/>
        <v>0.1193355372</v>
      </c>
      <c r="S101" s="1">
        <f t="shared" si="2"/>
        <v>142</v>
      </c>
      <c r="T101" s="1">
        <f t="shared" si="3"/>
        <v>2.42</v>
      </c>
      <c r="U101" s="1">
        <f t="shared" si="4"/>
        <v>0</v>
      </c>
      <c r="V101" s="3">
        <f t="shared" si="5"/>
        <v>3</v>
      </c>
      <c r="W101" s="3">
        <f t="shared" si="6"/>
        <v>1</v>
      </c>
      <c r="X101" s="3" t="str">
        <f>IFERROR(__xludf.DUMMYFUNCTION("split(B101,"" "")"),"J.")</f>
        <v>J.</v>
      </c>
      <c r="Y101" s="3" t="str">
        <f>IFERROR(__xludf.DUMMYFUNCTION("""COMPUTED_VALUE"""),"Winston")</f>
        <v>Winston</v>
      </c>
      <c r="AA101" s="8">
        <v>3.0</v>
      </c>
      <c r="AB101" s="3">
        <f t="shared" si="7"/>
        <v>1</v>
      </c>
      <c r="AC101" s="3">
        <f t="shared" si="8"/>
        <v>0</v>
      </c>
      <c r="AD101" s="3">
        <f t="shared" si="9"/>
        <v>4.26</v>
      </c>
      <c r="AE101" s="3">
        <f t="shared" si="10"/>
        <v>-3</v>
      </c>
      <c r="AF101" s="3">
        <f t="shared" si="11"/>
        <v>-1</v>
      </c>
      <c r="AG101" s="3">
        <f t="shared" si="12"/>
        <v>-5</v>
      </c>
    </row>
    <row r="102">
      <c r="A102" s="1" t="s">
        <v>12</v>
      </c>
      <c r="B102" s="1" t="s">
        <v>632</v>
      </c>
      <c r="C102" s="1" t="s">
        <v>19</v>
      </c>
      <c r="D102" s="1" t="s">
        <v>89</v>
      </c>
      <c r="E102" s="1" t="s">
        <v>135</v>
      </c>
      <c r="F102" s="1" t="s">
        <v>658</v>
      </c>
      <c r="G102" s="1">
        <v>1.5</v>
      </c>
      <c r="H102" s="1" t="s">
        <v>60</v>
      </c>
      <c r="I102" s="1">
        <v>-114.0</v>
      </c>
      <c r="J102" s="1">
        <v>-0.183202644163551</v>
      </c>
      <c r="K102" s="1" t="s">
        <v>61</v>
      </c>
      <c r="L102" s="1" t="s">
        <v>61</v>
      </c>
      <c r="M102" s="1" t="s">
        <v>62</v>
      </c>
      <c r="N102" s="1">
        <v>-115.0</v>
      </c>
      <c r="O102" s="1">
        <v>0.11560753827279</v>
      </c>
      <c r="P102" s="1" t="s">
        <v>61</v>
      </c>
      <c r="Q102" s="1" t="s">
        <v>61</v>
      </c>
      <c r="R102" s="1">
        <f t="shared" si="1"/>
        <v>0.1156075383</v>
      </c>
      <c r="S102" s="1">
        <f t="shared" si="2"/>
        <v>-115</v>
      </c>
      <c r="T102" s="1">
        <f t="shared" si="3"/>
        <v>1.869565217</v>
      </c>
      <c r="U102" s="1">
        <f t="shared" si="4"/>
        <v>0</v>
      </c>
      <c r="V102" s="3">
        <f t="shared" si="5"/>
        <v>3</v>
      </c>
      <c r="W102" s="3">
        <f t="shared" si="6"/>
        <v>2</v>
      </c>
      <c r="X102" s="3" t="str">
        <f>IFERROR(__xludf.DUMMYFUNCTION("split(B102,"" "")"),"N.")</f>
        <v>N.</v>
      </c>
      <c r="Y102" s="3" t="str">
        <f>IFERROR(__xludf.DUMMYFUNCTION("""COMPUTED_VALUE"""),"Chubb")</f>
        <v>Chubb</v>
      </c>
      <c r="AA102" s="8">
        <v>1.0</v>
      </c>
      <c r="AB102" s="3">
        <f t="shared" si="7"/>
        <v>0</v>
      </c>
      <c r="AC102" s="3">
        <f t="shared" si="8"/>
        <v>1</v>
      </c>
      <c r="AD102" s="3">
        <f t="shared" si="9"/>
        <v>2.608695652</v>
      </c>
      <c r="AE102" s="3">
        <f t="shared" si="10"/>
        <v>2.608695652</v>
      </c>
      <c r="AF102" s="3">
        <f t="shared" si="11"/>
        <v>1.739130435</v>
      </c>
      <c r="AG102" s="3">
        <f t="shared" si="12"/>
        <v>0.3333333333</v>
      </c>
    </row>
    <row r="103">
      <c r="A103" s="1" t="s">
        <v>8</v>
      </c>
      <c r="B103" s="1" t="s">
        <v>324</v>
      </c>
      <c r="C103" s="1" t="s">
        <v>19</v>
      </c>
      <c r="D103" s="1" t="s">
        <v>89</v>
      </c>
      <c r="E103" s="1" t="s">
        <v>135</v>
      </c>
      <c r="F103" s="1" t="s">
        <v>658</v>
      </c>
      <c r="G103" s="1">
        <v>6.5</v>
      </c>
      <c r="H103" s="1" t="s">
        <v>60</v>
      </c>
      <c r="I103" s="1">
        <v>-110.0</v>
      </c>
      <c r="J103" s="1">
        <v>-0.161888075801366</v>
      </c>
      <c r="K103" s="1" t="s">
        <v>61</v>
      </c>
      <c r="L103" s="1" t="s">
        <v>61</v>
      </c>
      <c r="M103" s="1" t="s">
        <v>62</v>
      </c>
      <c r="N103" s="1">
        <v>-120.0</v>
      </c>
      <c r="O103" s="1">
        <v>0.0926354322815653</v>
      </c>
      <c r="P103" s="1" t="s">
        <v>61</v>
      </c>
      <c r="Q103" s="1" t="s">
        <v>61</v>
      </c>
      <c r="R103" s="1">
        <f t="shared" si="1"/>
        <v>0.09263543228</v>
      </c>
      <c r="S103" s="1">
        <f t="shared" si="2"/>
        <v>-120</v>
      </c>
      <c r="T103" s="1">
        <f t="shared" si="3"/>
        <v>1.833333333</v>
      </c>
      <c r="U103" s="1">
        <f t="shared" si="4"/>
        <v>0</v>
      </c>
      <c r="V103" s="3">
        <f t="shared" si="5"/>
        <v>2</v>
      </c>
      <c r="W103" s="3">
        <f t="shared" si="6"/>
        <v>3</v>
      </c>
      <c r="X103" s="3" t="str">
        <f>IFERROR(__xludf.DUMMYFUNCTION("split(B103,"" "")"),"J.")</f>
        <v>J.</v>
      </c>
      <c r="Y103" s="3" t="str">
        <f>IFERROR(__xludf.DUMMYFUNCTION("""COMPUTED_VALUE"""),"Ford")</f>
        <v>Ford</v>
      </c>
      <c r="AA103" s="8">
        <v>2.0</v>
      </c>
      <c r="AB103" s="3">
        <f t="shared" si="7"/>
        <v>0</v>
      </c>
      <c r="AC103" s="3">
        <f t="shared" si="8"/>
        <v>1</v>
      </c>
      <c r="AD103" s="3">
        <f t="shared" si="9"/>
        <v>1.666666667</v>
      </c>
      <c r="AE103" s="3">
        <f t="shared" si="10"/>
        <v>1.666666667</v>
      </c>
      <c r="AF103" s="3">
        <f t="shared" si="11"/>
        <v>2.5</v>
      </c>
      <c r="AG103" s="3">
        <f t="shared" si="12"/>
        <v>0.6923076923</v>
      </c>
    </row>
    <row r="104">
      <c r="A104" s="1" t="s">
        <v>8</v>
      </c>
      <c r="B104" s="1" t="s">
        <v>632</v>
      </c>
      <c r="C104" s="1" t="s">
        <v>19</v>
      </c>
      <c r="D104" s="1" t="s">
        <v>89</v>
      </c>
      <c r="E104" s="1" t="s">
        <v>135</v>
      </c>
      <c r="F104" s="1" t="s">
        <v>658</v>
      </c>
      <c r="G104" s="1">
        <v>13.5</v>
      </c>
      <c r="H104" s="1" t="s">
        <v>60</v>
      </c>
      <c r="I104" s="1">
        <v>-103.0</v>
      </c>
      <c r="J104" s="1">
        <v>-0.136087788727093</v>
      </c>
      <c r="K104" s="1" t="s">
        <v>61</v>
      </c>
      <c r="L104" s="1" t="s">
        <v>61</v>
      </c>
      <c r="M104" s="1" t="s">
        <v>62</v>
      </c>
      <c r="N104" s="1">
        <v>-129.0</v>
      </c>
      <c r="O104" s="1">
        <v>0.0653796516766986</v>
      </c>
      <c r="P104" s="1" t="s">
        <v>61</v>
      </c>
      <c r="Q104" s="1" t="s">
        <v>61</v>
      </c>
      <c r="R104" s="1">
        <f t="shared" si="1"/>
        <v>0.06537965168</v>
      </c>
      <c r="S104" s="1">
        <f t="shared" si="2"/>
        <v>-129</v>
      </c>
      <c r="T104" s="1">
        <f t="shared" si="3"/>
        <v>1.775193798</v>
      </c>
      <c r="U104" s="1">
        <f t="shared" si="4"/>
        <v>0</v>
      </c>
      <c r="V104" s="3">
        <f t="shared" si="5"/>
        <v>2</v>
      </c>
      <c r="W104" s="3">
        <f t="shared" si="6"/>
        <v>3</v>
      </c>
      <c r="X104" s="3" t="str">
        <f>IFERROR(__xludf.DUMMYFUNCTION("split(B104,"" "")"),"N.")</f>
        <v>N.</v>
      </c>
      <c r="Y104" s="3" t="str">
        <f>IFERROR(__xludf.DUMMYFUNCTION("""COMPUTED_VALUE"""),"Chubb")</f>
        <v>Chubb</v>
      </c>
      <c r="AA104" s="8">
        <v>15.0</v>
      </c>
      <c r="AB104" s="3">
        <f t="shared" si="7"/>
        <v>1</v>
      </c>
      <c r="AC104" s="3">
        <f t="shared" si="8"/>
        <v>0</v>
      </c>
      <c r="AD104" s="3">
        <f t="shared" si="9"/>
        <v>1.550387597</v>
      </c>
      <c r="AE104" s="3">
        <f t="shared" si="10"/>
        <v>-2</v>
      </c>
      <c r="AF104" s="3">
        <f t="shared" si="11"/>
        <v>-3</v>
      </c>
      <c r="AG104" s="3">
        <f t="shared" si="12"/>
        <v>-0.1111111111</v>
      </c>
    </row>
    <row r="105">
      <c r="A105" s="1" t="s">
        <v>8</v>
      </c>
      <c r="B105" s="1" t="s">
        <v>650</v>
      </c>
      <c r="C105" s="1" t="s">
        <v>21</v>
      </c>
      <c r="D105" s="1" t="s">
        <v>89</v>
      </c>
      <c r="E105" s="1" t="s">
        <v>135</v>
      </c>
      <c r="F105" s="1" t="s">
        <v>658</v>
      </c>
      <c r="G105" s="1">
        <v>2.5</v>
      </c>
      <c r="H105" s="1" t="s">
        <v>60</v>
      </c>
      <c r="I105" s="1">
        <v>-103.0</v>
      </c>
      <c r="J105" s="1">
        <v>-0.123631927591106</v>
      </c>
      <c r="K105" s="1" t="s">
        <v>61</v>
      </c>
      <c r="L105" s="1" t="s">
        <v>61</v>
      </c>
      <c r="M105" s="1" t="s">
        <v>62</v>
      </c>
      <c r="N105" s="1">
        <v>-128.0</v>
      </c>
      <c r="O105" s="1">
        <v>0.0548452283564604</v>
      </c>
      <c r="P105" s="1" t="s">
        <v>61</v>
      </c>
      <c r="Q105" s="1" t="s">
        <v>61</v>
      </c>
      <c r="R105" s="1">
        <f t="shared" si="1"/>
        <v>0.05484522836</v>
      </c>
      <c r="S105" s="1">
        <f t="shared" si="2"/>
        <v>-128</v>
      </c>
      <c r="T105" s="1">
        <f t="shared" si="3"/>
        <v>1.78125</v>
      </c>
      <c r="U105" s="1">
        <f t="shared" si="4"/>
        <v>0</v>
      </c>
      <c r="V105" s="3">
        <f t="shared" si="5"/>
        <v>2</v>
      </c>
      <c r="W105" s="3">
        <f t="shared" si="6"/>
        <v>3</v>
      </c>
      <c r="X105" s="3" t="str">
        <f>IFERROR(__xludf.DUMMYFUNCTION("split(B105,"" "")"),"J.")</f>
        <v>J.</v>
      </c>
      <c r="Y105" s="3" t="str">
        <f>IFERROR(__xludf.DUMMYFUNCTION("""COMPUTED_VALUE"""),"Winston")</f>
        <v>Winston</v>
      </c>
      <c r="AA105" s="8">
        <v>5.0</v>
      </c>
      <c r="AB105" s="3">
        <f t="shared" si="7"/>
        <v>1</v>
      </c>
      <c r="AC105" s="3">
        <f t="shared" si="8"/>
        <v>0</v>
      </c>
      <c r="AD105" s="3">
        <f t="shared" si="9"/>
        <v>1.5625</v>
      </c>
      <c r="AE105" s="3">
        <f t="shared" si="10"/>
        <v>-2</v>
      </c>
      <c r="AF105" s="3">
        <f t="shared" si="11"/>
        <v>-3</v>
      </c>
      <c r="AG105" s="3">
        <f t="shared" si="12"/>
        <v>-1</v>
      </c>
    </row>
    <row r="106">
      <c r="A106" s="1" t="s">
        <v>11</v>
      </c>
      <c r="B106" s="1" t="s">
        <v>502</v>
      </c>
      <c r="C106" s="1" t="s">
        <v>18</v>
      </c>
      <c r="D106" s="1" t="s">
        <v>89</v>
      </c>
      <c r="E106" s="1" t="s">
        <v>135</v>
      </c>
      <c r="F106" s="1" t="s">
        <v>658</v>
      </c>
      <c r="G106" s="1">
        <v>47.5</v>
      </c>
      <c r="H106" s="1" t="s">
        <v>60</v>
      </c>
      <c r="I106" s="1">
        <v>-118.0</v>
      </c>
      <c r="J106" s="1">
        <v>-0.10281611776844</v>
      </c>
      <c r="K106" s="1" t="s">
        <v>61</v>
      </c>
      <c r="L106" s="1" t="s">
        <v>61</v>
      </c>
      <c r="M106" s="1" t="s">
        <v>62</v>
      </c>
      <c r="N106" s="1">
        <v>-112.0</v>
      </c>
      <c r="O106" s="1">
        <v>0.0332641784654718</v>
      </c>
      <c r="P106" s="1" t="s">
        <v>61</v>
      </c>
      <c r="Q106" s="1" t="s">
        <v>61</v>
      </c>
      <c r="R106" s="1">
        <f t="shared" si="1"/>
        <v>0.03326417847</v>
      </c>
      <c r="S106" s="1">
        <f t="shared" si="2"/>
        <v>-112</v>
      </c>
      <c r="T106" s="1">
        <f t="shared" si="3"/>
        <v>1.892857143</v>
      </c>
      <c r="U106" s="1">
        <f t="shared" si="4"/>
        <v>0</v>
      </c>
      <c r="V106" s="3">
        <f t="shared" si="5"/>
        <v>1</v>
      </c>
      <c r="W106" s="3">
        <f t="shared" si="6"/>
        <v>2</v>
      </c>
      <c r="X106" s="3" t="str">
        <f>IFERROR(__xludf.DUMMYFUNCTION("split(B106,"" "")"),"C.")</f>
        <v>C.</v>
      </c>
      <c r="Y106" s="3" t="str">
        <f>IFERROR(__xludf.DUMMYFUNCTION("""COMPUTED_VALUE"""),"Tillman")</f>
        <v>Tillman</v>
      </c>
      <c r="AA106" s="8">
        <v>75.0</v>
      </c>
      <c r="AB106" s="3">
        <f t="shared" si="7"/>
        <v>1</v>
      </c>
      <c r="AC106" s="3">
        <f t="shared" si="8"/>
        <v>0</v>
      </c>
      <c r="AD106" s="3">
        <f t="shared" si="9"/>
        <v>0.8928571429</v>
      </c>
      <c r="AE106" s="3">
        <f t="shared" si="10"/>
        <v>-1</v>
      </c>
      <c r="AF106" s="3">
        <f t="shared" si="11"/>
        <v>-2</v>
      </c>
      <c r="AG106" s="3">
        <f t="shared" si="12"/>
        <v>-0.5789473684</v>
      </c>
    </row>
    <row r="107">
      <c r="A107" s="1" t="s">
        <v>9</v>
      </c>
      <c r="B107" s="1" t="s">
        <v>324</v>
      </c>
      <c r="C107" s="1" t="s">
        <v>19</v>
      </c>
      <c r="D107" s="1" t="s">
        <v>89</v>
      </c>
      <c r="E107" s="1" t="s">
        <v>135</v>
      </c>
      <c r="F107" s="1" t="s">
        <v>658</v>
      </c>
      <c r="G107" s="1">
        <v>40.5</v>
      </c>
      <c r="H107" s="1" t="s">
        <v>60</v>
      </c>
      <c r="I107" s="1">
        <v>-108.0</v>
      </c>
      <c r="J107" s="1">
        <v>0.029511111537179</v>
      </c>
      <c r="K107" s="1" t="s">
        <v>61</v>
      </c>
      <c r="L107" s="1" t="s">
        <v>61</v>
      </c>
      <c r="M107" s="1" t="s">
        <v>62</v>
      </c>
      <c r="N107" s="1">
        <v>-125.0</v>
      </c>
      <c r="O107" s="1">
        <v>-0.104257284442962</v>
      </c>
      <c r="P107" s="1" t="s">
        <v>61</v>
      </c>
      <c r="Q107" s="1" t="s">
        <v>61</v>
      </c>
      <c r="R107" s="1">
        <f t="shared" si="1"/>
        <v>0.02951111154</v>
      </c>
      <c r="S107" s="1">
        <f t="shared" si="2"/>
        <v>-108</v>
      </c>
      <c r="T107" s="1">
        <f t="shared" si="3"/>
        <v>1.925925926</v>
      </c>
      <c r="U107" s="1">
        <f t="shared" si="4"/>
        <v>1</v>
      </c>
      <c r="V107" s="3">
        <f t="shared" si="5"/>
        <v>1</v>
      </c>
      <c r="W107" s="3">
        <f t="shared" si="6"/>
        <v>2</v>
      </c>
      <c r="X107" s="3" t="str">
        <f>IFERROR(__xludf.DUMMYFUNCTION("split(B107,"" "")"),"J.")</f>
        <v>J.</v>
      </c>
      <c r="Y107" s="3" t="str">
        <f>IFERROR(__xludf.DUMMYFUNCTION("""COMPUTED_VALUE"""),"Ford")</f>
        <v>Ford</v>
      </c>
      <c r="AA107" s="8">
        <v>7.0</v>
      </c>
      <c r="AB107" s="3">
        <f t="shared" si="7"/>
        <v>0</v>
      </c>
      <c r="AC107" s="3">
        <f t="shared" si="8"/>
        <v>0</v>
      </c>
      <c r="AD107" s="3">
        <f t="shared" si="9"/>
        <v>0.9259259259</v>
      </c>
      <c r="AE107" s="3">
        <f t="shared" si="10"/>
        <v>-1</v>
      </c>
      <c r="AF107" s="3">
        <f t="shared" si="11"/>
        <v>-2</v>
      </c>
      <c r="AG107" s="3">
        <f t="shared" si="12"/>
        <v>-0.8271604938</v>
      </c>
    </row>
    <row r="108">
      <c r="A108" s="1" t="s">
        <v>11</v>
      </c>
      <c r="B108" s="1" t="s">
        <v>435</v>
      </c>
      <c r="C108" s="1" t="s">
        <v>20</v>
      </c>
      <c r="D108" s="1" t="s">
        <v>89</v>
      </c>
      <c r="E108" s="1" t="s">
        <v>135</v>
      </c>
      <c r="F108" s="1" t="s">
        <v>658</v>
      </c>
      <c r="G108" s="1">
        <v>51.5</v>
      </c>
      <c r="H108" s="1" t="s">
        <v>60</v>
      </c>
      <c r="I108" s="1">
        <v>-119.0</v>
      </c>
      <c r="J108" s="1">
        <v>-0.0938966355108538</v>
      </c>
      <c r="K108" s="1" t="s">
        <v>61</v>
      </c>
      <c r="L108" s="1" t="s">
        <v>61</v>
      </c>
      <c r="M108" s="1" t="s">
        <v>62</v>
      </c>
      <c r="N108" s="1">
        <v>-109.0</v>
      </c>
      <c r="O108" s="1">
        <v>0.0289602719774643</v>
      </c>
      <c r="P108" s="1" t="s">
        <v>61</v>
      </c>
      <c r="Q108" s="1" t="s">
        <v>61</v>
      </c>
      <c r="R108" s="1">
        <f t="shared" si="1"/>
        <v>0.02896027198</v>
      </c>
      <c r="S108" s="1">
        <f t="shared" si="2"/>
        <v>-109</v>
      </c>
      <c r="T108" s="1">
        <f t="shared" si="3"/>
        <v>1.917431193</v>
      </c>
      <c r="U108" s="1">
        <f t="shared" si="4"/>
        <v>0</v>
      </c>
      <c r="V108" s="3">
        <f t="shared" si="5"/>
        <v>1</v>
      </c>
      <c r="W108" s="3">
        <f t="shared" si="6"/>
        <v>2</v>
      </c>
      <c r="X108" s="3" t="str">
        <f>IFERROR(__xludf.DUMMYFUNCTION("split(B108,"" "")"),"D.")</f>
        <v>D.</v>
      </c>
      <c r="Y108" s="3" t="str">
        <f>IFERROR(__xludf.DUMMYFUNCTION("""COMPUTED_VALUE"""),"Njoku")</f>
        <v>Njoku</v>
      </c>
      <c r="AA108" s="8">
        <v>29.0</v>
      </c>
      <c r="AB108" s="3">
        <f t="shared" si="7"/>
        <v>0</v>
      </c>
      <c r="AC108" s="3">
        <f t="shared" si="8"/>
        <v>1</v>
      </c>
      <c r="AD108" s="3">
        <f t="shared" si="9"/>
        <v>0.9174311927</v>
      </c>
      <c r="AE108" s="3">
        <f t="shared" si="10"/>
        <v>0.9174311927</v>
      </c>
      <c r="AF108" s="3">
        <f t="shared" si="11"/>
        <v>1.834862385</v>
      </c>
      <c r="AG108" s="3">
        <f t="shared" si="12"/>
        <v>0.4368932039</v>
      </c>
    </row>
    <row r="109">
      <c r="A109" s="1" t="s">
        <v>12</v>
      </c>
      <c r="B109" s="1" t="s">
        <v>299</v>
      </c>
      <c r="C109" s="1" t="s">
        <v>18</v>
      </c>
      <c r="D109" s="1" t="s">
        <v>89</v>
      </c>
      <c r="E109" s="1" t="s">
        <v>135</v>
      </c>
      <c r="F109" s="1" t="s">
        <v>658</v>
      </c>
      <c r="G109" s="1">
        <v>3.5</v>
      </c>
      <c r="H109" s="1" t="s">
        <v>60</v>
      </c>
      <c r="I109" s="1">
        <v>-127.0</v>
      </c>
      <c r="J109" s="1">
        <v>-0.0980832599118943</v>
      </c>
      <c r="K109" s="1" t="s">
        <v>61</v>
      </c>
      <c r="L109" s="1" t="s">
        <v>61</v>
      </c>
      <c r="M109" s="1" t="s">
        <v>62</v>
      </c>
      <c r="N109" s="1">
        <v>-104.0</v>
      </c>
      <c r="O109" s="1">
        <v>0.0287941176470588</v>
      </c>
      <c r="P109" s="1" t="s">
        <v>61</v>
      </c>
      <c r="Q109" s="1" t="s">
        <v>61</v>
      </c>
      <c r="R109" s="1">
        <f t="shared" si="1"/>
        <v>0.02879411765</v>
      </c>
      <c r="S109" s="1">
        <f t="shared" si="2"/>
        <v>-104</v>
      </c>
      <c r="T109" s="1">
        <f t="shared" si="3"/>
        <v>1.961538462</v>
      </c>
      <c r="U109" s="1">
        <f t="shared" si="4"/>
        <v>0</v>
      </c>
      <c r="V109" s="3">
        <f t="shared" si="5"/>
        <v>1</v>
      </c>
      <c r="W109" s="3">
        <f t="shared" si="6"/>
        <v>2</v>
      </c>
      <c r="X109" s="3" t="str">
        <f>IFERROR(__xludf.DUMMYFUNCTION("split(B109,"" "")"),"J.")</f>
        <v>J.</v>
      </c>
      <c r="Y109" s="3" t="str">
        <f>IFERROR(__xludf.DUMMYFUNCTION("""COMPUTED_VALUE"""),"Jeudy")</f>
        <v>Jeudy</v>
      </c>
      <c r="AA109" s="8">
        <v>7.0</v>
      </c>
      <c r="AB109" s="3">
        <f t="shared" si="7"/>
        <v>1</v>
      </c>
      <c r="AC109" s="3">
        <f t="shared" si="8"/>
        <v>0</v>
      </c>
      <c r="AD109" s="3">
        <f t="shared" si="9"/>
        <v>0.9615384615</v>
      </c>
      <c r="AE109" s="3">
        <f t="shared" si="10"/>
        <v>-1</v>
      </c>
      <c r="AF109" s="3">
        <f t="shared" si="11"/>
        <v>-2</v>
      </c>
      <c r="AG109" s="3">
        <f t="shared" si="12"/>
        <v>-1</v>
      </c>
    </row>
    <row r="110">
      <c r="A110" s="1" t="s">
        <v>10</v>
      </c>
      <c r="B110" s="1" t="s">
        <v>632</v>
      </c>
      <c r="C110" s="1" t="s">
        <v>19</v>
      </c>
      <c r="D110" s="1" t="s">
        <v>89</v>
      </c>
      <c r="E110" s="1" t="s">
        <v>135</v>
      </c>
      <c r="F110" s="1" t="s">
        <v>658</v>
      </c>
      <c r="G110" s="1">
        <v>54.5</v>
      </c>
      <c r="H110" s="1" t="s">
        <v>60</v>
      </c>
      <c r="I110" s="1">
        <v>-114.0</v>
      </c>
      <c r="J110" s="1">
        <v>-0.089060750876718</v>
      </c>
      <c r="K110" s="1" t="s">
        <v>61</v>
      </c>
      <c r="L110" s="1" t="s">
        <v>61</v>
      </c>
      <c r="M110" s="1" t="s">
        <v>62</v>
      </c>
      <c r="N110" s="1">
        <v>-112.0</v>
      </c>
      <c r="O110" s="1">
        <v>0.02805332883315</v>
      </c>
      <c r="P110" s="1" t="s">
        <v>61</v>
      </c>
      <c r="Q110" s="1" t="s">
        <v>61</v>
      </c>
      <c r="R110" s="1">
        <f t="shared" si="1"/>
        <v>0.02805332883</v>
      </c>
      <c r="S110" s="1">
        <f t="shared" si="2"/>
        <v>-112</v>
      </c>
      <c r="T110" s="1">
        <f t="shared" si="3"/>
        <v>1.892857143</v>
      </c>
      <c r="U110" s="1">
        <f t="shared" si="4"/>
        <v>0</v>
      </c>
      <c r="V110" s="3">
        <f t="shared" si="5"/>
        <v>1</v>
      </c>
      <c r="W110" s="3">
        <f t="shared" si="6"/>
        <v>2</v>
      </c>
      <c r="X110" s="3" t="str">
        <f>IFERROR(__xludf.DUMMYFUNCTION("split(B110,"" "")"),"N.")</f>
        <v>N.</v>
      </c>
      <c r="Y110" s="3" t="str">
        <f>IFERROR(__xludf.DUMMYFUNCTION("""COMPUTED_VALUE"""),"Chubb")</f>
        <v>Chubb</v>
      </c>
      <c r="AA110" s="8">
        <v>39.0</v>
      </c>
      <c r="AB110" s="3">
        <f t="shared" si="7"/>
        <v>0</v>
      </c>
      <c r="AC110" s="3">
        <f t="shared" si="8"/>
        <v>1</v>
      </c>
      <c r="AD110" s="3">
        <f t="shared" si="9"/>
        <v>0.8928571429</v>
      </c>
      <c r="AE110" s="3">
        <f t="shared" si="10"/>
        <v>0.8928571429</v>
      </c>
      <c r="AF110" s="3">
        <f t="shared" si="11"/>
        <v>1.785714286</v>
      </c>
      <c r="AG110" s="3">
        <f t="shared" si="12"/>
        <v>0.2844036697</v>
      </c>
    </row>
    <row r="111">
      <c r="A111" s="1" t="s">
        <v>15</v>
      </c>
      <c r="B111" s="1" t="s">
        <v>650</v>
      </c>
      <c r="C111" s="1" t="s">
        <v>21</v>
      </c>
      <c r="D111" s="1" t="s">
        <v>89</v>
      </c>
      <c r="E111" s="1" t="s">
        <v>135</v>
      </c>
      <c r="F111" s="1" t="s">
        <v>658</v>
      </c>
      <c r="G111" s="1">
        <v>22.5</v>
      </c>
      <c r="H111" s="1" t="s">
        <v>60</v>
      </c>
      <c r="I111" s="1">
        <v>-103.0</v>
      </c>
      <c r="J111" s="1">
        <v>0.0259615763546797</v>
      </c>
      <c r="K111" s="1" t="s">
        <v>61</v>
      </c>
      <c r="L111" s="1" t="s">
        <v>61</v>
      </c>
      <c r="M111" s="1" t="s">
        <v>62</v>
      </c>
      <c r="N111" s="1">
        <v>-124.0</v>
      </c>
      <c r="O111" s="1">
        <v>-0.0869160714285714</v>
      </c>
      <c r="P111" s="1" t="s">
        <v>61</v>
      </c>
      <c r="Q111" s="1" t="s">
        <v>61</v>
      </c>
      <c r="R111" s="1">
        <f t="shared" si="1"/>
        <v>0.02596157635</v>
      </c>
      <c r="S111" s="1">
        <f t="shared" si="2"/>
        <v>-103</v>
      </c>
      <c r="T111" s="1">
        <f t="shared" si="3"/>
        <v>1.970873786</v>
      </c>
      <c r="U111" s="1">
        <f t="shared" si="4"/>
        <v>1</v>
      </c>
      <c r="V111" s="3">
        <f t="shared" si="5"/>
        <v>1</v>
      </c>
      <c r="W111" s="3">
        <f t="shared" si="6"/>
        <v>2</v>
      </c>
      <c r="X111" s="3" t="str">
        <f>IFERROR(__xludf.DUMMYFUNCTION("split(B111,"" "")"),"J.")</f>
        <v>J.</v>
      </c>
      <c r="Y111" s="3" t="str">
        <f>IFERROR(__xludf.DUMMYFUNCTION("""COMPUTED_VALUE"""),"Winston")</f>
        <v>Winston</v>
      </c>
      <c r="AA111" s="8">
        <v>26.0</v>
      </c>
      <c r="AB111" s="3">
        <f t="shared" si="7"/>
        <v>1</v>
      </c>
      <c r="AC111" s="3">
        <f t="shared" si="8"/>
        <v>1</v>
      </c>
      <c r="AD111" s="3">
        <f t="shared" si="9"/>
        <v>0.9708737864</v>
      </c>
      <c r="AE111" s="3">
        <f t="shared" si="10"/>
        <v>0.9708737864</v>
      </c>
      <c r="AF111" s="3">
        <f t="shared" si="11"/>
        <v>1.941747573</v>
      </c>
      <c r="AG111" s="3">
        <f t="shared" si="12"/>
        <v>0.1555555556</v>
      </c>
    </row>
    <row r="112">
      <c r="A112" s="1" t="s">
        <v>11</v>
      </c>
      <c r="B112" s="1" t="s">
        <v>632</v>
      </c>
      <c r="C112" s="1" t="s">
        <v>19</v>
      </c>
      <c r="D112" s="1" t="s">
        <v>89</v>
      </c>
      <c r="E112" s="1" t="s">
        <v>135</v>
      </c>
      <c r="F112" s="1" t="s">
        <v>658</v>
      </c>
      <c r="G112" s="1">
        <v>9.5</v>
      </c>
      <c r="H112" s="1" t="s">
        <v>60</v>
      </c>
      <c r="I112" s="1">
        <v>-109.0</v>
      </c>
      <c r="J112" s="1">
        <v>0.0241547174108913</v>
      </c>
      <c r="K112" s="1" t="s">
        <v>61</v>
      </c>
      <c r="L112" s="1" t="s">
        <v>61</v>
      </c>
      <c r="M112" s="1" t="s">
        <v>62</v>
      </c>
      <c r="N112" s="1">
        <v>-119.0</v>
      </c>
      <c r="O112" s="1">
        <v>-0.0890493231381859</v>
      </c>
      <c r="P112" s="1" t="s">
        <v>61</v>
      </c>
      <c r="Q112" s="1" t="s">
        <v>61</v>
      </c>
      <c r="R112" s="1">
        <f t="shared" si="1"/>
        <v>0.02415471741</v>
      </c>
      <c r="S112" s="1">
        <f t="shared" si="2"/>
        <v>-109</v>
      </c>
      <c r="T112" s="1">
        <f t="shared" si="3"/>
        <v>1.917431193</v>
      </c>
      <c r="U112" s="1">
        <f t="shared" si="4"/>
        <v>1</v>
      </c>
      <c r="V112" s="3">
        <f t="shared" si="5"/>
        <v>1</v>
      </c>
      <c r="W112" s="3">
        <f t="shared" si="6"/>
        <v>2</v>
      </c>
      <c r="X112" s="3" t="str">
        <f>IFERROR(__xludf.DUMMYFUNCTION("split(B112,"" "")"),"N.")</f>
        <v>N.</v>
      </c>
      <c r="Y112" s="3" t="str">
        <f>IFERROR(__xludf.DUMMYFUNCTION("""COMPUTED_VALUE"""),"Chubb")</f>
        <v>Chubb</v>
      </c>
      <c r="AA112" s="8">
        <v>-4.0</v>
      </c>
      <c r="AB112" s="3">
        <f t="shared" si="7"/>
        <v>0</v>
      </c>
      <c r="AC112" s="3">
        <f t="shared" si="8"/>
        <v>0</v>
      </c>
      <c r="AD112" s="3">
        <f t="shared" si="9"/>
        <v>0.9174311927</v>
      </c>
      <c r="AE112" s="3">
        <f t="shared" si="10"/>
        <v>-1</v>
      </c>
      <c r="AF112" s="3">
        <f t="shared" si="11"/>
        <v>-2</v>
      </c>
      <c r="AG112" s="3">
        <f t="shared" si="12"/>
        <v>-1.421052632</v>
      </c>
    </row>
    <row r="113">
      <c r="A113" s="1" t="s">
        <v>11</v>
      </c>
      <c r="B113" s="1" t="s">
        <v>414</v>
      </c>
      <c r="C113" s="1" t="s">
        <v>18</v>
      </c>
      <c r="D113" s="1" t="s">
        <v>89</v>
      </c>
      <c r="E113" s="1" t="s">
        <v>135</v>
      </c>
      <c r="F113" s="1" t="s">
        <v>658</v>
      </c>
      <c r="G113" s="1">
        <v>40.5</v>
      </c>
      <c r="H113" s="1" t="s">
        <v>60</v>
      </c>
      <c r="I113" s="1">
        <v>-112.0</v>
      </c>
      <c r="J113" s="1">
        <v>-0.0896981972449056</v>
      </c>
      <c r="K113" s="1" t="s">
        <v>61</v>
      </c>
      <c r="L113" s="1" t="s">
        <v>61</v>
      </c>
      <c r="M113" s="1" t="s">
        <v>62</v>
      </c>
      <c r="N113" s="1">
        <v>-117.0</v>
      </c>
      <c r="O113" s="1">
        <v>0.0222105026212536</v>
      </c>
      <c r="P113" s="1" t="s">
        <v>61</v>
      </c>
      <c r="Q113" s="1" t="s">
        <v>61</v>
      </c>
      <c r="R113" s="1">
        <f t="shared" si="1"/>
        <v>0.02221050262</v>
      </c>
      <c r="S113" s="1">
        <f t="shared" si="2"/>
        <v>-117</v>
      </c>
      <c r="T113" s="1">
        <f t="shared" si="3"/>
        <v>1.854700855</v>
      </c>
      <c r="U113" s="1">
        <f t="shared" si="4"/>
        <v>0</v>
      </c>
      <c r="V113" s="3">
        <f t="shared" si="5"/>
        <v>1</v>
      </c>
      <c r="W113" s="3">
        <f t="shared" si="6"/>
        <v>2</v>
      </c>
      <c r="X113" s="3" t="str">
        <f>IFERROR(__xludf.DUMMYFUNCTION("split(B113,"" "")"),"E.")</f>
        <v>E.</v>
      </c>
      <c r="Y113" s="3" t="str">
        <f>IFERROR(__xludf.DUMMYFUNCTION("""COMPUTED_VALUE"""),"Moore")</f>
        <v>Moore</v>
      </c>
      <c r="AA113" s="8">
        <v>28.0</v>
      </c>
      <c r="AB113" s="3">
        <f t="shared" si="7"/>
        <v>0</v>
      </c>
      <c r="AC113" s="3">
        <f t="shared" si="8"/>
        <v>1</v>
      </c>
      <c r="AD113" s="3">
        <f t="shared" si="9"/>
        <v>0.8547008547</v>
      </c>
      <c r="AE113" s="3">
        <f t="shared" si="10"/>
        <v>0.8547008547</v>
      </c>
      <c r="AF113" s="3">
        <f t="shared" si="11"/>
        <v>1.709401709</v>
      </c>
      <c r="AG113" s="3">
        <f t="shared" si="12"/>
        <v>0.3086419753</v>
      </c>
    </row>
    <row r="114">
      <c r="A114" s="1" t="s">
        <v>9</v>
      </c>
      <c r="B114" s="1" t="s">
        <v>632</v>
      </c>
      <c r="C114" s="1" t="s">
        <v>19</v>
      </c>
      <c r="D114" s="1" t="s">
        <v>89</v>
      </c>
      <c r="E114" s="1" t="s">
        <v>135</v>
      </c>
      <c r="F114" s="1" t="s">
        <v>658</v>
      </c>
      <c r="G114" s="1">
        <v>68.5</v>
      </c>
      <c r="H114" s="1" t="s">
        <v>60</v>
      </c>
      <c r="I114" s="1">
        <v>-114.0</v>
      </c>
      <c r="J114" s="1">
        <v>-0.0920820527822278</v>
      </c>
      <c r="K114" s="1" t="s">
        <v>61</v>
      </c>
      <c r="L114" s="1" t="s">
        <v>61</v>
      </c>
      <c r="M114" s="1" t="s">
        <v>62</v>
      </c>
      <c r="N114" s="1">
        <v>-119.0</v>
      </c>
      <c r="O114" s="1">
        <v>0.0159881806462202</v>
      </c>
      <c r="P114" s="1" t="s">
        <v>61</v>
      </c>
      <c r="Q114" s="1" t="s">
        <v>61</v>
      </c>
      <c r="R114" s="1">
        <f t="shared" si="1"/>
        <v>0.01598818065</v>
      </c>
      <c r="S114" s="1">
        <f t="shared" si="2"/>
        <v>-119</v>
      </c>
      <c r="T114" s="1">
        <f t="shared" si="3"/>
        <v>1.840336134</v>
      </c>
      <c r="U114" s="1">
        <f t="shared" si="4"/>
        <v>0</v>
      </c>
      <c r="V114" s="3">
        <f t="shared" si="5"/>
        <v>1</v>
      </c>
      <c r="W114" s="3">
        <f t="shared" si="6"/>
        <v>3</v>
      </c>
      <c r="X114" s="3" t="str">
        <f>IFERROR(__xludf.DUMMYFUNCTION("split(B114,"" "")"),"N.")</f>
        <v>N.</v>
      </c>
      <c r="Y114" s="3" t="str">
        <f>IFERROR(__xludf.DUMMYFUNCTION("""COMPUTED_VALUE"""),"Chubb")</f>
        <v>Chubb</v>
      </c>
      <c r="AA114" s="8">
        <v>35.0</v>
      </c>
      <c r="AB114" s="3">
        <f t="shared" si="7"/>
        <v>0</v>
      </c>
      <c r="AC114" s="3">
        <f t="shared" si="8"/>
        <v>1</v>
      </c>
      <c r="AD114" s="3">
        <f t="shared" si="9"/>
        <v>0.8403361345</v>
      </c>
      <c r="AE114" s="3">
        <f t="shared" si="10"/>
        <v>0.8403361345</v>
      </c>
      <c r="AF114" s="3">
        <f t="shared" si="11"/>
        <v>2.521008403</v>
      </c>
      <c r="AG114" s="3">
        <f t="shared" si="12"/>
        <v>0.4890510949</v>
      </c>
    </row>
    <row r="115">
      <c r="A115" s="1" t="s">
        <v>12</v>
      </c>
      <c r="B115" s="1" t="s">
        <v>435</v>
      </c>
      <c r="C115" s="1" t="s">
        <v>20</v>
      </c>
      <c r="D115" s="1" t="s">
        <v>89</v>
      </c>
      <c r="E115" s="1" t="s">
        <v>135</v>
      </c>
      <c r="F115" s="1" t="s">
        <v>658</v>
      </c>
      <c r="G115" s="1">
        <v>5.5</v>
      </c>
      <c r="H115" s="1" t="s">
        <v>60</v>
      </c>
      <c r="I115" s="1">
        <v>102.0</v>
      </c>
      <c r="J115" s="1">
        <v>0.0151504950495049</v>
      </c>
      <c r="K115" s="1" t="s">
        <v>61</v>
      </c>
      <c r="L115" s="1" t="s">
        <v>61</v>
      </c>
      <c r="M115" s="1" t="s">
        <v>62</v>
      </c>
      <c r="N115" s="1">
        <v>-135.0</v>
      </c>
      <c r="O115" s="1">
        <v>-0.084668085106383</v>
      </c>
      <c r="P115" s="1" t="s">
        <v>61</v>
      </c>
      <c r="Q115" s="1" t="s">
        <v>61</v>
      </c>
      <c r="R115" s="1">
        <f t="shared" si="1"/>
        <v>0.01515049505</v>
      </c>
      <c r="S115" s="1">
        <f t="shared" si="2"/>
        <v>102</v>
      </c>
      <c r="T115" s="1">
        <f t="shared" si="3"/>
        <v>2.02</v>
      </c>
      <c r="U115" s="1">
        <f t="shared" si="4"/>
        <v>1</v>
      </c>
      <c r="V115" s="3">
        <f t="shared" si="5"/>
        <v>1</v>
      </c>
      <c r="W115" s="3">
        <f t="shared" si="6"/>
        <v>2</v>
      </c>
      <c r="X115" s="3" t="str">
        <f>IFERROR(__xludf.DUMMYFUNCTION("split(B115,"" "")"),"D.")</f>
        <v>D.</v>
      </c>
      <c r="Y115" s="3" t="str">
        <f>IFERROR(__xludf.DUMMYFUNCTION("""COMPUTED_VALUE"""),"Njoku")</f>
        <v>Njoku</v>
      </c>
      <c r="AA115" s="8">
        <v>5.0</v>
      </c>
      <c r="AB115" s="3">
        <f t="shared" si="7"/>
        <v>0</v>
      </c>
      <c r="AC115" s="3">
        <f t="shared" si="8"/>
        <v>0</v>
      </c>
      <c r="AD115" s="3">
        <f t="shared" si="9"/>
        <v>1.02</v>
      </c>
      <c r="AE115" s="3">
        <f t="shared" si="10"/>
        <v>-1</v>
      </c>
      <c r="AF115" s="3">
        <f t="shared" si="11"/>
        <v>-2</v>
      </c>
      <c r="AG115" s="3">
        <f t="shared" si="12"/>
        <v>-0.09090909091</v>
      </c>
    </row>
    <row r="116">
      <c r="A116" s="1" t="s">
        <v>14</v>
      </c>
      <c r="B116" s="1" t="s">
        <v>650</v>
      </c>
      <c r="C116" s="1" t="s">
        <v>21</v>
      </c>
      <c r="D116" s="1" t="s">
        <v>89</v>
      </c>
      <c r="E116" s="1" t="s">
        <v>135</v>
      </c>
      <c r="F116" s="1" t="s">
        <v>658</v>
      </c>
      <c r="G116" s="1">
        <v>1.5</v>
      </c>
      <c r="H116" s="1" t="s">
        <v>60</v>
      </c>
      <c r="I116" s="1">
        <v>129.0</v>
      </c>
      <c r="J116" s="1">
        <v>0.0120624454148471</v>
      </c>
      <c r="K116" s="1" t="s">
        <v>61</v>
      </c>
      <c r="L116" s="1" t="s">
        <v>61</v>
      </c>
      <c r="M116" s="1" t="s">
        <v>62</v>
      </c>
      <c r="N116" s="1">
        <v>-166.0</v>
      </c>
      <c r="O116" s="1">
        <v>-0.0727977443609022</v>
      </c>
      <c r="P116" s="1" t="s">
        <v>61</v>
      </c>
      <c r="Q116" s="1" t="s">
        <v>61</v>
      </c>
      <c r="R116" s="1">
        <f t="shared" si="1"/>
        <v>0.01206244541</v>
      </c>
      <c r="S116" s="1">
        <f t="shared" si="2"/>
        <v>129</v>
      </c>
      <c r="T116" s="1">
        <f t="shared" si="3"/>
        <v>2.29</v>
      </c>
      <c r="U116" s="1">
        <f t="shared" si="4"/>
        <v>1</v>
      </c>
      <c r="V116" s="3">
        <f t="shared" si="5"/>
        <v>1</v>
      </c>
      <c r="W116" s="3">
        <f t="shared" si="6"/>
        <v>1</v>
      </c>
      <c r="X116" s="3" t="str">
        <f>IFERROR(__xludf.DUMMYFUNCTION("split(B116,"" "")"),"J.")</f>
        <v>J.</v>
      </c>
      <c r="Y116" s="3" t="str">
        <f>IFERROR(__xludf.DUMMYFUNCTION("""COMPUTED_VALUE"""),"Winston")</f>
        <v>Winston</v>
      </c>
      <c r="AA116" s="8">
        <v>1.0</v>
      </c>
      <c r="AB116" s="3">
        <f t="shared" si="7"/>
        <v>0</v>
      </c>
      <c r="AC116" s="3">
        <f t="shared" si="8"/>
        <v>0</v>
      </c>
      <c r="AD116" s="3">
        <f t="shared" si="9"/>
        <v>1.29</v>
      </c>
      <c r="AE116" s="3">
        <f t="shared" si="10"/>
        <v>-1</v>
      </c>
      <c r="AF116" s="3">
        <f t="shared" si="11"/>
        <v>-1</v>
      </c>
      <c r="AG116" s="3">
        <f t="shared" si="12"/>
        <v>-0.3333333333</v>
      </c>
    </row>
    <row r="117">
      <c r="A117" s="1" t="s">
        <v>10</v>
      </c>
      <c r="B117" s="1" t="s">
        <v>650</v>
      </c>
      <c r="C117" s="1" t="s">
        <v>21</v>
      </c>
      <c r="D117" s="1" t="s">
        <v>89</v>
      </c>
      <c r="E117" s="1" t="s">
        <v>135</v>
      </c>
      <c r="F117" s="1" t="s">
        <v>658</v>
      </c>
      <c r="G117" s="1">
        <v>7.5</v>
      </c>
      <c r="H117" s="1" t="s">
        <v>60</v>
      </c>
      <c r="I117" s="1">
        <v>-112.0</v>
      </c>
      <c r="J117" s="1">
        <v>0.00817811616766761</v>
      </c>
      <c r="K117" s="1" t="s">
        <v>61</v>
      </c>
      <c r="L117" s="1" t="s">
        <v>61</v>
      </c>
      <c r="M117" s="1" t="s">
        <v>62</v>
      </c>
      <c r="N117" s="1">
        <v>-116.0</v>
      </c>
      <c r="O117" s="1">
        <v>-0.0734865663331149</v>
      </c>
      <c r="P117" s="1" t="s">
        <v>61</v>
      </c>
      <c r="Q117" s="1" t="s">
        <v>61</v>
      </c>
      <c r="R117" s="1">
        <f t="shared" si="1"/>
        <v>0.008178116168</v>
      </c>
      <c r="S117" s="1">
        <f t="shared" si="2"/>
        <v>-112</v>
      </c>
      <c r="T117" s="1">
        <f t="shared" si="3"/>
        <v>1.892857143</v>
      </c>
      <c r="U117" s="1">
        <f t="shared" si="4"/>
        <v>1</v>
      </c>
      <c r="V117" s="3">
        <f t="shared" si="5"/>
        <v>1</v>
      </c>
      <c r="W117" s="3">
        <f t="shared" si="6"/>
        <v>2</v>
      </c>
      <c r="X117" s="3" t="str">
        <f>IFERROR(__xludf.DUMMYFUNCTION("split(B117,"" "")"),"J.")</f>
        <v>J.</v>
      </c>
      <c r="Y117" s="3" t="str">
        <f>IFERROR(__xludf.DUMMYFUNCTION("""COMPUTED_VALUE"""),"Winston")</f>
        <v>Winston</v>
      </c>
      <c r="AA117" s="8">
        <v>27.0</v>
      </c>
      <c r="AB117" s="3">
        <f t="shared" si="7"/>
        <v>1</v>
      </c>
      <c r="AC117" s="3">
        <f t="shared" si="8"/>
        <v>1</v>
      </c>
      <c r="AD117" s="3">
        <f t="shared" si="9"/>
        <v>0.8928571429</v>
      </c>
      <c r="AE117" s="3">
        <f t="shared" si="10"/>
        <v>0.8928571429</v>
      </c>
      <c r="AF117" s="3">
        <f t="shared" si="11"/>
        <v>1.785714286</v>
      </c>
      <c r="AG117" s="3">
        <f t="shared" si="12"/>
        <v>2.6</v>
      </c>
    </row>
    <row r="118">
      <c r="A118" s="1" t="s">
        <v>9</v>
      </c>
      <c r="B118" s="1" t="s">
        <v>299</v>
      </c>
      <c r="C118" s="1" t="s">
        <v>18</v>
      </c>
      <c r="D118" s="1" t="s">
        <v>89</v>
      </c>
      <c r="E118" s="1" t="s">
        <v>135</v>
      </c>
      <c r="F118" s="1" t="s">
        <v>658</v>
      </c>
      <c r="G118" s="1">
        <v>47.5</v>
      </c>
      <c r="H118" s="1" t="s">
        <v>60</v>
      </c>
      <c r="I118" s="1">
        <v>-120.0</v>
      </c>
      <c r="J118" s="1">
        <v>0.00478143991612767</v>
      </c>
      <c r="K118" s="1" t="s">
        <v>61</v>
      </c>
      <c r="L118" s="1" t="s">
        <v>61</v>
      </c>
      <c r="M118" s="1" t="s">
        <v>62</v>
      </c>
      <c r="N118" s="1">
        <v>-110.0</v>
      </c>
      <c r="O118" s="1">
        <v>-0.0740205164747757</v>
      </c>
      <c r="P118" s="1" t="s">
        <v>61</v>
      </c>
      <c r="Q118" s="1" t="s">
        <v>61</v>
      </c>
      <c r="R118" s="1">
        <f t="shared" si="1"/>
        <v>0.004781439916</v>
      </c>
      <c r="S118" s="1">
        <f t="shared" si="2"/>
        <v>-120</v>
      </c>
      <c r="T118" s="1">
        <f t="shared" si="3"/>
        <v>1.833333333</v>
      </c>
      <c r="U118" s="1">
        <f t="shared" si="4"/>
        <v>1</v>
      </c>
      <c r="V118" s="3">
        <f t="shared" si="5"/>
        <v>1</v>
      </c>
      <c r="W118" s="3">
        <f t="shared" si="6"/>
        <v>3</v>
      </c>
      <c r="X118" s="3" t="str">
        <f>IFERROR(__xludf.DUMMYFUNCTION("split(B118,"" "")"),"J.")</f>
        <v>J.</v>
      </c>
      <c r="Y118" s="3" t="str">
        <f>IFERROR(__xludf.DUMMYFUNCTION("""COMPUTED_VALUE"""),"Jeudy")</f>
        <v>Jeudy</v>
      </c>
      <c r="AA118" s="8">
        <v>73.0</v>
      </c>
      <c r="AB118" s="3">
        <f t="shared" si="7"/>
        <v>1</v>
      </c>
      <c r="AC118" s="3">
        <f t="shared" si="8"/>
        <v>1</v>
      </c>
      <c r="AD118" s="3">
        <f t="shared" si="9"/>
        <v>0.8333333333</v>
      </c>
      <c r="AE118" s="3">
        <f t="shared" si="10"/>
        <v>0.8333333333</v>
      </c>
      <c r="AF118" s="3">
        <f t="shared" si="11"/>
        <v>2.5</v>
      </c>
      <c r="AG118" s="3">
        <f t="shared" si="12"/>
        <v>0.5368421053</v>
      </c>
    </row>
    <row r="119">
      <c r="A119" s="1" t="s">
        <v>12</v>
      </c>
      <c r="B119" s="1" t="s">
        <v>395</v>
      </c>
      <c r="C119" s="1" t="s">
        <v>18</v>
      </c>
      <c r="D119" s="1" t="s">
        <v>88</v>
      </c>
      <c r="E119" s="1" t="s">
        <v>109</v>
      </c>
      <c r="F119" s="1" t="s">
        <v>658</v>
      </c>
      <c r="G119" s="1">
        <v>7.5</v>
      </c>
      <c r="H119" s="1" t="s">
        <v>60</v>
      </c>
      <c r="I119" s="1">
        <v>106.0</v>
      </c>
      <c r="J119" s="1">
        <v>0.224263106796116</v>
      </c>
      <c r="K119" s="1" t="s">
        <v>61</v>
      </c>
      <c r="L119" s="1" t="s">
        <v>61</v>
      </c>
      <c r="M119" s="1" t="s">
        <v>62</v>
      </c>
      <c r="N119" s="1">
        <v>-140.0</v>
      </c>
      <c r="O119" s="1">
        <v>-0.293033333333333</v>
      </c>
      <c r="P119" s="1" t="s">
        <v>61</v>
      </c>
      <c r="Q119" s="1" t="s">
        <v>61</v>
      </c>
      <c r="R119" s="1">
        <f t="shared" si="1"/>
        <v>0.2242631068</v>
      </c>
      <c r="S119" s="1">
        <f t="shared" si="2"/>
        <v>106</v>
      </c>
      <c r="T119" s="1">
        <f t="shared" si="3"/>
        <v>2.06</v>
      </c>
      <c r="U119" s="1">
        <f t="shared" si="4"/>
        <v>1</v>
      </c>
      <c r="V119" s="3">
        <f t="shared" si="5"/>
        <v>3</v>
      </c>
      <c r="W119" s="3">
        <f t="shared" si="6"/>
        <v>2</v>
      </c>
      <c r="X119" s="3" t="str">
        <f>IFERROR(__xludf.DUMMYFUNCTION("split(B119,"" "")"),"C.")</f>
        <v>C.</v>
      </c>
      <c r="Y119" s="3" t="str">
        <f>IFERROR(__xludf.DUMMYFUNCTION("""COMPUTED_VALUE"""),"Lamb")</f>
        <v>Lamb</v>
      </c>
      <c r="AA119" s="8">
        <v>8.0</v>
      </c>
      <c r="AB119" s="3">
        <f t="shared" si="7"/>
        <v>1</v>
      </c>
      <c r="AC119" s="3">
        <f t="shared" si="8"/>
        <v>1</v>
      </c>
      <c r="AD119" s="3">
        <f t="shared" si="9"/>
        <v>3.18</v>
      </c>
      <c r="AE119" s="3">
        <f t="shared" si="10"/>
        <v>3.18</v>
      </c>
      <c r="AF119" s="3">
        <f t="shared" si="11"/>
        <v>2.12</v>
      </c>
      <c r="AG119" s="3">
        <f t="shared" si="12"/>
        <v>0.06666666667</v>
      </c>
    </row>
    <row r="120">
      <c r="A120" s="1" t="s">
        <v>9</v>
      </c>
      <c r="B120" s="1" t="s">
        <v>572</v>
      </c>
      <c r="C120" s="1" t="s">
        <v>18</v>
      </c>
      <c r="D120" s="1" t="s">
        <v>88</v>
      </c>
      <c r="E120" s="1" t="s">
        <v>109</v>
      </c>
      <c r="F120" s="1" t="s">
        <v>658</v>
      </c>
      <c r="G120" s="1">
        <v>11.5</v>
      </c>
      <c r="H120" s="1" t="s">
        <v>60</v>
      </c>
      <c r="I120" s="1">
        <v>-120.0</v>
      </c>
      <c r="J120" s="1">
        <v>0.177199473325606</v>
      </c>
      <c r="K120" s="1" t="s">
        <v>61</v>
      </c>
      <c r="L120" s="1" t="s">
        <v>61</v>
      </c>
      <c r="M120" s="1" t="s">
        <v>62</v>
      </c>
      <c r="N120" s="1">
        <v>-113.0</v>
      </c>
      <c r="O120" s="1">
        <v>-0.253162765580966</v>
      </c>
      <c r="P120" s="1" t="s">
        <v>61</v>
      </c>
      <c r="Q120" s="1" t="s">
        <v>61</v>
      </c>
      <c r="R120" s="1">
        <f t="shared" si="1"/>
        <v>0.1771994733</v>
      </c>
      <c r="S120" s="1">
        <f t="shared" si="2"/>
        <v>-120</v>
      </c>
      <c r="T120" s="1">
        <f t="shared" si="3"/>
        <v>1.833333333</v>
      </c>
      <c r="U120" s="1">
        <f t="shared" si="4"/>
        <v>1</v>
      </c>
      <c r="V120" s="3">
        <f t="shared" si="5"/>
        <v>3</v>
      </c>
      <c r="W120" s="3">
        <f t="shared" si="6"/>
        <v>3</v>
      </c>
      <c r="X120" s="3" t="str">
        <f>IFERROR(__xludf.DUMMYFUNCTION("split(B120,"" "")"),"J.")</f>
        <v>J.</v>
      </c>
      <c r="Y120" s="3" t="str">
        <f>IFERROR(__xludf.DUMMYFUNCTION("""COMPUTED_VALUE"""),"Brooks")</f>
        <v>Brooks</v>
      </c>
      <c r="AA120" s="8">
        <v>26.0</v>
      </c>
      <c r="AB120" s="3">
        <f t="shared" si="7"/>
        <v>1</v>
      </c>
      <c r="AC120" s="3">
        <f t="shared" si="8"/>
        <v>1</v>
      </c>
      <c r="AD120" s="3">
        <f t="shared" si="9"/>
        <v>2.5</v>
      </c>
      <c r="AE120" s="3">
        <f t="shared" si="10"/>
        <v>2.5</v>
      </c>
      <c r="AF120" s="3">
        <f t="shared" si="11"/>
        <v>2.5</v>
      </c>
      <c r="AG120" s="3">
        <f t="shared" si="12"/>
        <v>1.260869565</v>
      </c>
    </row>
    <row r="121">
      <c r="A121" s="1" t="s">
        <v>12</v>
      </c>
      <c r="B121" s="1" t="s">
        <v>152</v>
      </c>
      <c r="C121" s="1" t="s">
        <v>19</v>
      </c>
      <c r="D121" s="1" t="s">
        <v>88</v>
      </c>
      <c r="E121" s="1" t="s">
        <v>109</v>
      </c>
      <c r="F121" s="1" t="s">
        <v>658</v>
      </c>
      <c r="G121" s="1">
        <v>2.5</v>
      </c>
      <c r="H121" s="1" t="s">
        <v>60</v>
      </c>
      <c r="I121" s="1">
        <v>-115.0</v>
      </c>
      <c r="J121" s="1">
        <v>-0.242225781395348</v>
      </c>
      <c r="K121" s="1" t="s">
        <v>61</v>
      </c>
      <c r="L121" s="1" t="s">
        <v>61</v>
      </c>
      <c r="M121" s="1" t="s">
        <v>62</v>
      </c>
      <c r="N121" s="1">
        <v>-114.0</v>
      </c>
      <c r="O121" s="1">
        <v>0.174637892616822</v>
      </c>
      <c r="P121" s="1" t="s">
        <v>61</v>
      </c>
      <c r="Q121" s="1" t="s">
        <v>61</v>
      </c>
      <c r="R121" s="1">
        <f t="shared" si="1"/>
        <v>0.1746378926</v>
      </c>
      <c r="S121" s="1">
        <f t="shared" si="2"/>
        <v>-114</v>
      </c>
      <c r="T121" s="1">
        <f t="shared" si="3"/>
        <v>1.877192982</v>
      </c>
      <c r="U121" s="1">
        <f t="shared" si="4"/>
        <v>0</v>
      </c>
      <c r="V121" s="3">
        <f t="shared" si="5"/>
        <v>3</v>
      </c>
      <c r="W121" s="3">
        <f t="shared" si="6"/>
        <v>2</v>
      </c>
      <c r="X121" s="3" t="str">
        <f>IFERROR(__xludf.DUMMYFUNCTION("split(B121,"" "")"),"R.")</f>
        <v>R.</v>
      </c>
      <c r="Y121" s="3" t="str">
        <f>IFERROR(__xludf.DUMMYFUNCTION("""COMPUTED_VALUE"""),"Dowdle")</f>
        <v>Dowdle</v>
      </c>
      <c r="AA121" s="8">
        <v>5.0</v>
      </c>
      <c r="AB121" s="3">
        <f t="shared" si="7"/>
        <v>1</v>
      </c>
      <c r="AC121" s="3">
        <f t="shared" si="8"/>
        <v>0</v>
      </c>
      <c r="AD121" s="3">
        <f t="shared" si="9"/>
        <v>2.631578947</v>
      </c>
      <c r="AE121" s="3">
        <f t="shared" si="10"/>
        <v>-3</v>
      </c>
      <c r="AF121" s="3">
        <f t="shared" si="11"/>
        <v>-2</v>
      </c>
      <c r="AG121" s="3">
        <f t="shared" si="12"/>
        <v>-1</v>
      </c>
    </row>
    <row r="122">
      <c r="A122" s="1" t="s">
        <v>8</v>
      </c>
      <c r="B122" s="1" t="s">
        <v>152</v>
      </c>
      <c r="C122" s="1" t="s">
        <v>19</v>
      </c>
      <c r="D122" s="1" t="s">
        <v>88</v>
      </c>
      <c r="E122" s="1" t="s">
        <v>109</v>
      </c>
      <c r="F122" s="1" t="s">
        <v>658</v>
      </c>
      <c r="G122" s="1">
        <v>10.5</v>
      </c>
      <c r="H122" s="1" t="s">
        <v>60</v>
      </c>
      <c r="I122" s="1">
        <v>-150.0</v>
      </c>
      <c r="J122" s="1">
        <v>-0.226199955372923</v>
      </c>
      <c r="K122" s="1" t="s">
        <v>61</v>
      </c>
      <c r="L122" s="1" t="s">
        <v>61</v>
      </c>
      <c r="M122" s="1" t="s">
        <v>62</v>
      </c>
      <c r="N122" s="1">
        <v>112.0</v>
      </c>
      <c r="O122" s="1">
        <v>0.154501834166184</v>
      </c>
      <c r="P122" s="1" t="s">
        <v>61</v>
      </c>
      <c r="Q122" s="1" t="s">
        <v>61</v>
      </c>
      <c r="R122" s="1">
        <f t="shared" si="1"/>
        <v>0.1545018342</v>
      </c>
      <c r="S122" s="1">
        <f t="shared" si="2"/>
        <v>112</v>
      </c>
      <c r="T122" s="1">
        <f t="shared" si="3"/>
        <v>2.12</v>
      </c>
      <c r="U122" s="1">
        <f t="shared" si="4"/>
        <v>0</v>
      </c>
      <c r="V122" s="3">
        <f t="shared" si="5"/>
        <v>3</v>
      </c>
      <c r="W122" s="3">
        <f t="shared" si="6"/>
        <v>1</v>
      </c>
      <c r="X122" s="3" t="str">
        <f>IFERROR(__xludf.DUMMYFUNCTION("split(B122,"" "")"),"R.")</f>
        <v>R.</v>
      </c>
      <c r="Y122" s="3" t="str">
        <f>IFERROR(__xludf.DUMMYFUNCTION("""COMPUTED_VALUE"""),"Dowdle")</f>
        <v>Dowdle</v>
      </c>
      <c r="AA122" s="8">
        <v>12.0</v>
      </c>
      <c r="AB122" s="3">
        <f t="shared" si="7"/>
        <v>1</v>
      </c>
      <c r="AC122" s="3">
        <f t="shared" si="8"/>
        <v>0</v>
      </c>
      <c r="AD122" s="3">
        <f t="shared" si="9"/>
        <v>3.36</v>
      </c>
      <c r="AE122" s="3">
        <f t="shared" si="10"/>
        <v>-3</v>
      </c>
      <c r="AF122" s="3">
        <f t="shared" si="11"/>
        <v>-1</v>
      </c>
      <c r="AG122" s="3">
        <f t="shared" si="12"/>
        <v>-0.1428571429</v>
      </c>
    </row>
    <row r="123">
      <c r="A123" s="1" t="s">
        <v>9</v>
      </c>
      <c r="B123" s="1" t="s">
        <v>571</v>
      </c>
      <c r="C123" s="1" t="s">
        <v>18</v>
      </c>
      <c r="D123" s="1" t="s">
        <v>88</v>
      </c>
      <c r="E123" s="1" t="s">
        <v>109</v>
      </c>
      <c r="F123" s="1" t="s">
        <v>658</v>
      </c>
      <c r="G123" s="1">
        <v>24.5</v>
      </c>
      <c r="H123" s="1" t="s">
        <v>60</v>
      </c>
      <c r="I123" s="1">
        <v>-110.0</v>
      </c>
      <c r="J123" s="1">
        <v>0.0699379130563838</v>
      </c>
      <c r="K123" s="1" t="s">
        <v>61</v>
      </c>
      <c r="L123" s="1" t="s">
        <v>61</v>
      </c>
      <c r="M123" s="1" t="s">
        <v>62</v>
      </c>
      <c r="N123" s="1">
        <v>-120.0</v>
      </c>
      <c r="O123" s="1">
        <v>-0.13917979131913</v>
      </c>
      <c r="P123" s="1" t="s">
        <v>61</v>
      </c>
      <c r="Q123" s="1" t="s">
        <v>61</v>
      </c>
      <c r="R123" s="1">
        <f t="shared" si="1"/>
        <v>0.06993791306</v>
      </c>
      <c r="S123" s="1">
        <f t="shared" si="2"/>
        <v>-110</v>
      </c>
      <c r="T123" s="1">
        <f t="shared" si="3"/>
        <v>1.909090909</v>
      </c>
      <c r="U123" s="1">
        <f t="shared" si="4"/>
        <v>1</v>
      </c>
      <c r="V123" s="3">
        <f t="shared" si="5"/>
        <v>2</v>
      </c>
      <c r="W123" s="3">
        <f t="shared" si="6"/>
        <v>2</v>
      </c>
      <c r="X123" s="3" t="str">
        <f>IFERROR(__xludf.DUMMYFUNCTION("split(B123,"" "")"),"K.")</f>
        <v>K.</v>
      </c>
      <c r="Y123" s="3" t="str">
        <f>IFERROR(__xludf.DUMMYFUNCTION("""COMPUTED_VALUE"""),"Turpin")</f>
        <v>Turpin</v>
      </c>
      <c r="AA123" s="8">
        <v>36.0</v>
      </c>
      <c r="AB123" s="3">
        <f t="shared" si="7"/>
        <v>1</v>
      </c>
      <c r="AC123" s="3">
        <f t="shared" si="8"/>
        <v>1</v>
      </c>
      <c r="AD123" s="3">
        <f t="shared" si="9"/>
        <v>1.818181818</v>
      </c>
      <c r="AE123" s="3">
        <f t="shared" si="10"/>
        <v>1.818181818</v>
      </c>
      <c r="AF123" s="3">
        <f t="shared" si="11"/>
        <v>1.818181818</v>
      </c>
      <c r="AG123" s="3">
        <f t="shared" si="12"/>
        <v>0.4693877551</v>
      </c>
    </row>
    <row r="124">
      <c r="A124" s="1" t="s">
        <v>12</v>
      </c>
      <c r="B124" s="1" t="s">
        <v>412</v>
      </c>
      <c r="C124" s="1" t="s">
        <v>20</v>
      </c>
      <c r="D124" s="1" t="s">
        <v>88</v>
      </c>
      <c r="E124" s="1" t="s">
        <v>109</v>
      </c>
      <c r="F124" s="1" t="s">
        <v>658</v>
      </c>
      <c r="G124" s="1">
        <v>4.5</v>
      </c>
      <c r="H124" s="1" t="s">
        <v>60</v>
      </c>
      <c r="I124" s="1">
        <v>-163.0</v>
      </c>
      <c r="J124" s="1">
        <v>-0.135833840304182</v>
      </c>
      <c r="K124" s="1" t="s">
        <v>61</v>
      </c>
      <c r="L124" s="1" t="s">
        <v>61</v>
      </c>
      <c r="M124" s="1" t="s">
        <v>62</v>
      </c>
      <c r="N124" s="1">
        <v>124.0</v>
      </c>
      <c r="O124" s="1">
        <v>0.0696267857142857</v>
      </c>
      <c r="P124" s="1" t="s">
        <v>61</v>
      </c>
      <c r="Q124" s="1" t="s">
        <v>61</v>
      </c>
      <c r="R124" s="1">
        <f t="shared" si="1"/>
        <v>0.06962678571</v>
      </c>
      <c r="S124" s="1">
        <f t="shared" si="2"/>
        <v>124</v>
      </c>
      <c r="T124" s="1">
        <f t="shared" si="3"/>
        <v>2.24</v>
      </c>
      <c r="U124" s="1">
        <f t="shared" si="4"/>
        <v>0</v>
      </c>
      <c r="V124" s="3">
        <f t="shared" si="5"/>
        <v>2</v>
      </c>
      <c r="W124" s="3">
        <f t="shared" si="6"/>
        <v>1</v>
      </c>
      <c r="X124" s="3" t="str">
        <f>IFERROR(__xludf.DUMMYFUNCTION("split(B124,"" "")"),"J.")</f>
        <v>J.</v>
      </c>
      <c r="Y124" s="3" t="str">
        <f>IFERROR(__xludf.DUMMYFUNCTION("""COMPUTED_VALUE"""),"Ferguson")</f>
        <v>Ferguson</v>
      </c>
      <c r="AA124" s="8">
        <v>7.0</v>
      </c>
      <c r="AB124" s="3">
        <f t="shared" si="7"/>
        <v>1</v>
      </c>
      <c r="AC124" s="3">
        <f t="shared" si="8"/>
        <v>0</v>
      </c>
      <c r="AD124" s="3">
        <f t="shared" si="9"/>
        <v>2.48</v>
      </c>
      <c r="AE124" s="3">
        <f t="shared" si="10"/>
        <v>-2</v>
      </c>
      <c r="AF124" s="3">
        <f t="shared" si="11"/>
        <v>-1</v>
      </c>
      <c r="AG124" s="3">
        <f t="shared" si="12"/>
        <v>-0.5555555556</v>
      </c>
    </row>
    <row r="125">
      <c r="A125" s="1" t="s">
        <v>10</v>
      </c>
      <c r="B125" s="1" t="s">
        <v>375</v>
      </c>
      <c r="C125" s="1" t="s">
        <v>19</v>
      </c>
      <c r="D125" s="1" t="s">
        <v>88</v>
      </c>
      <c r="E125" s="1" t="s">
        <v>109</v>
      </c>
      <c r="F125" s="1" t="s">
        <v>658</v>
      </c>
      <c r="G125" s="1">
        <v>18.5</v>
      </c>
      <c r="H125" s="1" t="s">
        <v>60</v>
      </c>
      <c r="I125" s="1">
        <v>-115.0</v>
      </c>
      <c r="J125" s="1">
        <v>-0.130568917164589</v>
      </c>
      <c r="K125" s="1" t="s">
        <v>61</v>
      </c>
      <c r="L125" s="1" t="s">
        <v>61</v>
      </c>
      <c r="M125" s="1" t="s">
        <v>62</v>
      </c>
      <c r="N125" s="1">
        <v>-115.0</v>
      </c>
      <c r="O125" s="1">
        <v>0.0608142547392781</v>
      </c>
      <c r="P125" s="1" t="s">
        <v>61</v>
      </c>
      <c r="Q125" s="1" t="s">
        <v>61</v>
      </c>
      <c r="R125" s="1">
        <f t="shared" si="1"/>
        <v>0.06081425474</v>
      </c>
      <c r="S125" s="1">
        <f t="shared" si="2"/>
        <v>-115</v>
      </c>
      <c r="T125" s="1">
        <f t="shared" si="3"/>
        <v>1.869565217</v>
      </c>
      <c r="U125" s="1">
        <f t="shared" si="4"/>
        <v>0</v>
      </c>
      <c r="V125" s="3">
        <f t="shared" si="5"/>
        <v>2</v>
      </c>
      <c r="W125" s="3">
        <f t="shared" si="6"/>
        <v>2</v>
      </c>
      <c r="X125" s="3" t="str">
        <f>IFERROR(__xludf.DUMMYFUNCTION("split(B125,"" "")"),"E.")</f>
        <v>E.</v>
      </c>
      <c r="Y125" s="3" t="str">
        <f>IFERROR(__xludf.DUMMYFUNCTION("""COMPUTED_VALUE"""),"Elliott")</f>
        <v>Elliott</v>
      </c>
      <c r="AA125" s="8">
        <v>0.0</v>
      </c>
      <c r="AB125" s="3">
        <f t="shared" si="7"/>
        <v>0</v>
      </c>
      <c r="AC125" s="3">
        <f t="shared" si="8"/>
        <v>1</v>
      </c>
      <c r="AD125" s="3">
        <f t="shared" si="9"/>
        <v>1.739130435</v>
      </c>
      <c r="AE125" s="3">
        <f t="shared" si="10"/>
        <v>1.739130435</v>
      </c>
      <c r="AF125" s="3">
        <f t="shared" si="11"/>
        <v>1.739130435</v>
      </c>
      <c r="AG125" s="3">
        <f t="shared" si="12"/>
        <v>1</v>
      </c>
    </row>
    <row r="126">
      <c r="A126" s="1" t="s">
        <v>17</v>
      </c>
      <c r="B126" s="1" t="s">
        <v>251</v>
      </c>
      <c r="C126" s="1" t="s">
        <v>21</v>
      </c>
      <c r="D126" s="1" t="s">
        <v>88</v>
      </c>
      <c r="E126" s="1" t="s">
        <v>109</v>
      </c>
      <c r="F126" s="1" t="s">
        <v>658</v>
      </c>
      <c r="G126" s="1">
        <v>0.5</v>
      </c>
      <c r="H126" s="1" t="s">
        <v>60</v>
      </c>
      <c r="I126" s="1">
        <v>-143.0</v>
      </c>
      <c r="J126" s="1">
        <v>-0.128977366255144</v>
      </c>
      <c r="K126" s="1" t="s">
        <v>61</v>
      </c>
      <c r="L126" s="1" t="s">
        <v>61</v>
      </c>
      <c r="M126" s="1" t="s">
        <v>62</v>
      </c>
      <c r="N126" s="1">
        <v>108.0</v>
      </c>
      <c r="O126" s="1">
        <v>0.0597307692307692</v>
      </c>
      <c r="P126" s="1" t="s">
        <v>61</v>
      </c>
      <c r="Q126" s="1" t="s">
        <v>61</v>
      </c>
      <c r="R126" s="1">
        <f t="shared" si="1"/>
        <v>0.05973076923</v>
      </c>
      <c r="S126" s="1">
        <f t="shared" si="2"/>
        <v>108</v>
      </c>
      <c r="T126" s="1">
        <f t="shared" si="3"/>
        <v>2.08</v>
      </c>
      <c r="U126" s="1">
        <f t="shared" si="4"/>
        <v>0</v>
      </c>
      <c r="V126" s="3">
        <f t="shared" si="5"/>
        <v>2</v>
      </c>
      <c r="W126" s="3">
        <f t="shared" si="6"/>
        <v>2</v>
      </c>
      <c r="X126" s="3" t="str">
        <f>IFERROR(__xludf.DUMMYFUNCTION("split(B126,"" "")"),"D.")</f>
        <v>D.</v>
      </c>
      <c r="Y126" s="3" t="str">
        <f>IFERROR(__xludf.DUMMYFUNCTION("""COMPUTED_VALUE"""),"Prescott")</f>
        <v>Prescott</v>
      </c>
      <c r="AA126" s="8">
        <v>0.0</v>
      </c>
      <c r="AB126" s="3">
        <f t="shared" si="7"/>
        <v>0</v>
      </c>
      <c r="AC126" s="3">
        <f t="shared" si="8"/>
        <v>1</v>
      </c>
      <c r="AD126" s="3">
        <f t="shared" si="9"/>
        <v>2.16</v>
      </c>
      <c r="AE126" s="3">
        <f t="shared" si="10"/>
        <v>2.16</v>
      </c>
      <c r="AF126" s="3">
        <f t="shared" si="11"/>
        <v>2.16</v>
      </c>
      <c r="AG126" s="3">
        <f t="shared" si="12"/>
        <v>1</v>
      </c>
    </row>
    <row r="127">
      <c r="A127" s="1" t="s">
        <v>10</v>
      </c>
      <c r="B127" s="1" t="s">
        <v>152</v>
      </c>
      <c r="C127" s="1" t="s">
        <v>19</v>
      </c>
      <c r="D127" s="1" t="s">
        <v>88</v>
      </c>
      <c r="E127" s="1" t="s">
        <v>109</v>
      </c>
      <c r="F127" s="1" t="s">
        <v>658</v>
      </c>
      <c r="G127" s="1">
        <v>44.5</v>
      </c>
      <c r="H127" s="1" t="s">
        <v>60</v>
      </c>
      <c r="I127" s="1">
        <v>-116.0</v>
      </c>
      <c r="J127" s="1">
        <v>-0.0985253073930503</v>
      </c>
      <c r="K127" s="1" t="s">
        <v>61</v>
      </c>
      <c r="L127" s="1" t="s">
        <v>61</v>
      </c>
      <c r="M127" s="1" t="s">
        <v>62</v>
      </c>
      <c r="N127" s="1">
        <v>-111.0</v>
      </c>
      <c r="O127" s="1">
        <v>0.0354201118482169</v>
      </c>
      <c r="P127" s="1" t="s">
        <v>61</v>
      </c>
      <c r="Q127" s="1" t="s">
        <v>61</v>
      </c>
      <c r="R127" s="1">
        <f t="shared" si="1"/>
        <v>0.03542011185</v>
      </c>
      <c r="S127" s="1">
        <f t="shared" si="2"/>
        <v>-111</v>
      </c>
      <c r="T127" s="1">
        <f t="shared" si="3"/>
        <v>1.900900901</v>
      </c>
      <c r="U127" s="1">
        <f t="shared" si="4"/>
        <v>0</v>
      </c>
      <c r="V127" s="3">
        <f t="shared" si="5"/>
        <v>1</v>
      </c>
      <c r="W127" s="3">
        <f t="shared" si="6"/>
        <v>2</v>
      </c>
      <c r="X127" s="3" t="str">
        <f>IFERROR(__xludf.DUMMYFUNCTION("split(B127,"" "")"),"R.")</f>
        <v>R.</v>
      </c>
      <c r="Y127" s="3" t="str">
        <f>IFERROR(__xludf.DUMMYFUNCTION("""COMPUTED_VALUE"""),"Dowdle")</f>
        <v>Dowdle</v>
      </c>
      <c r="AA127" s="8">
        <v>75.0</v>
      </c>
      <c r="AB127" s="3">
        <f t="shared" si="7"/>
        <v>1</v>
      </c>
      <c r="AC127" s="3">
        <f t="shared" si="8"/>
        <v>0</v>
      </c>
      <c r="AD127" s="3">
        <f t="shared" si="9"/>
        <v>0.9009009009</v>
      </c>
      <c r="AE127" s="3">
        <f t="shared" si="10"/>
        <v>-1</v>
      </c>
      <c r="AF127" s="3">
        <f t="shared" si="11"/>
        <v>-2</v>
      </c>
      <c r="AG127" s="3">
        <f t="shared" si="12"/>
        <v>-0.6853932584</v>
      </c>
    </row>
    <row r="128">
      <c r="A128" s="1" t="s">
        <v>12</v>
      </c>
      <c r="B128" s="1" t="s">
        <v>87</v>
      </c>
      <c r="C128" s="1" t="s">
        <v>18</v>
      </c>
      <c r="D128" s="1" t="s">
        <v>88</v>
      </c>
      <c r="E128" s="1" t="s">
        <v>109</v>
      </c>
      <c r="F128" s="1" t="s">
        <v>658</v>
      </c>
      <c r="G128" s="1">
        <v>3.5</v>
      </c>
      <c r="H128" s="1" t="s">
        <v>60</v>
      </c>
      <c r="I128" s="1">
        <v>-117.0</v>
      </c>
      <c r="J128" s="1">
        <v>-0.101416589861751</v>
      </c>
      <c r="K128" s="1" t="s">
        <v>61</v>
      </c>
      <c r="L128" s="1" t="s">
        <v>61</v>
      </c>
      <c r="M128" s="1" t="s">
        <v>62</v>
      </c>
      <c r="N128" s="1">
        <v>-112.0</v>
      </c>
      <c r="O128" s="1">
        <v>0.0339509433962263</v>
      </c>
      <c r="P128" s="1" t="s">
        <v>61</v>
      </c>
      <c r="Q128" s="1" t="s">
        <v>61</v>
      </c>
      <c r="R128" s="1">
        <f t="shared" si="1"/>
        <v>0.0339509434</v>
      </c>
      <c r="S128" s="1">
        <f t="shared" si="2"/>
        <v>-112</v>
      </c>
      <c r="T128" s="1">
        <f t="shared" si="3"/>
        <v>1.892857143</v>
      </c>
      <c r="U128" s="1">
        <f t="shared" si="4"/>
        <v>0</v>
      </c>
      <c r="V128" s="3">
        <f t="shared" si="5"/>
        <v>1</v>
      </c>
      <c r="W128" s="3">
        <f t="shared" si="6"/>
        <v>2</v>
      </c>
      <c r="X128" s="3" t="str">
        <f>IFERROR(__xludf.DUMMYFUNCTION("split(B128,"" "")"),"J.")</f>
        <v>J.</v>
      </c>
      <c r="Y128" s="3" t="str">
        <f>IFERROR(__xludf.DUMMYFUNCTION("""COMPUTED_VALUE"""),"Tolbert")</f>
        <v>Tolbert</v>
      </c>
      <c r="AA128" s="8">
        <v>3.0</v>
      </c>
      <c r="AB128" s="3">
        <f t="shared" si="7"/>
        <v>0</v>
      </c>
      <c r="AC128" s="3">
        <f t="shared" si="8"/>
        <v>1</v>
      </c>
      <c r="AD128" s="3">
        <f t="shared" si="9"/>
        <v>0.8928571429</v>
      </c>
      <c r="AE128" s="3">
        <f t="shared" si="10"/>
        <v>0.8928571429</v>
      </c>
      <c r="AF128" s="3">
        <f t="shared" si="11"/>
        <v>1.785714286</v>
      </c>
      <c r="AG128" s="3">
        <f t="shared" si="12"/>
        <v>0.1428571429</v>
      </c>
    </row>
    <row r="129">
      <c r="A129" s="1" t="s">
        <v>9</v>
      </c>
      <c r="B129" s="1" t="s">
        <v>152</v>
      </c>
      <c r="C129" s="1" t="s">
        <v>19</v>
      </c>
      <c r="D129" s="1" t="s">
        <v>88</v>
      </c>
      <c r="E129" s="1" t="s">
        <v>109</v>
      </c>
      <c r="F129" s="1" t="s">
        <v>658</v>
      </c>
      <c r="G129" s="1">
        <v>66.5</v>
      </c>
      <c r="H129" s="1" t="s">
        <v>60</v>
      </c>
      <c r="I129" s="1">
        <v>-118.0</v>
      </c>
      <c r="J129" s="1">
        <v>-0.10836633878457</v>
      </c>
      <c r="K129" s="1" t="s">
        <v>61</v>
      </c>
      <c r="L129" s="1" t="s">
        <v>61</v>
      </c>
      <c r="M129" s="1" t="s">
        <v>62</v>
      </c>
      <c r="N129" s="1">
        <v>-115.0</v>
      </c>
      <c r="O129" s="1">
        <v>0.0321952145734507</v>
      </c>
      <c r="P129" s="1" t="s">
        <v>61</v>
      </c>
      <c r="Q129" s="1" t="s">
        <v>61</v>
      </c>
      <c r="R129" s="1">
        <f t="shared" si="1"/>
        <v>0.03219521457</v>
      </c>
      <c r="S129" s="1">
        <f t="shared" si="2"/>
        <v>-115</v>
      </c>
      <c r="T129" s="1">
        <f t="shared" si="3"/>
        <v>1.869565217</v>
      </c>
      <c r="U129" s="1">
        <f t="shared" si="4"/>
        <v>0</v>
      </c>
      <c r="V129" s="3">
        <f t="shared" si="5"/>
        <v>1</v>
      </c>
      <c r="W129" s="3">
        <f t="shared" si="6"/>
        <v>2</v>
      </c>
      <c r="X129" s="3" t="str">
        <f>IFERROR(__xludf.DUMMYFUNCTION("split(B129,"" "")"),"R.")</f>
        <v>R.</v>
      </c>
      <c r="Y129" s="3" t="str">
        <f>IFERROR(__xludf.DUMMYFUNCTION("""COMPUTED_VALUE"""),"Dowdle")</f>
        <v>Dowdle</v>
      </c>
      <c r="AA129" s="8">
        <v>107.0</v>
      </c>
      <c r="AB129" s="3">
        <f t="shared" si="7"/>
        <v>1</v>
      </c>
      <c r="AC129" s="3">
        <f t="shared" si="8"/>
        <v>0</v>
      </c>
      <c r="AD129" s="3">
        <f t="shared" si="9"/>
        <v>0.8695652174</v>
      </c>
      <c r="AE129" s="3">
        <f t="shared" si="10"/>
        <v>-1</v>
      </c>
      <c r="AF129" s="3">
        <f t="shared" si="11"/>
        <v>-2</v>
      </c>
      <c r="AG129" s="3">
        <f t="shared" si="12"/>
        <v>-0.6090225564</v>
      </c>
    </row>
    <row r="130">
      <c r="A130" s="1" t="s">
        <v>10</v>
      </c>
      <c r="B130" s="1" t="s">
        <v>251</v>
      </c>
      <c r="C130" s="1" t="s">
        <v>21</v>
      </c>
      <c r="D130" s="1" t="s">
        <v>88</v>
      </c>
      <c r="E130" s="1" t="s">
        <v>109</v>
      </c>
      <c r="F130" s="1" t="s">
        <v>658</v>
      </c>
      <c r="G130" s="1">
        <v>6.5</v>
      </c>
      <c r="H130" s="1" t="s">
        <v>60</v>
      </c>
      <c r="I130" s="1">
        <v>-118.0</v>
      </c>
      <c r="J130" s="1">
        <v>0.0295567545563056</v>
      </c>
      <c r="K130" s="1" t="s">
        <v>61</v>
      </c>
      <c r="L130" s="1" t="s">
        <v>61</v>
      </c>
      <c r="M130" s="1" t="s">
        <v>62</v>
      </c>
      <c r="N130" s="1">
        <v>-110.0</v>
      </c>
      <c r="O130" s="1">
        <v>-0.094613951155248</v>
      </c>
      <c r="P130" s="1" t="s">
        <v>61</v>
      </c>
      <c r="Q130" s="1" t="s">
        <v>61</v>
      </c>
      <c r="R130" s="1">
        <f t="shared" si="1"/>
        <v>0.02955675456</v>
      </c>
      <c r="S130" s="1">
        <f t="shared" si="2"/>
        <v>-118</v>
      </c>
      <c r="T130" s="1">
        <f t="shared" si="3"/>
        <v>1.847457627</v>
      </c>
      <c r="U130" s="1">
        <f t="shared" si="4"/>
        <v>1</v>
      </c>
      <c r="V130" s="3">
        <f t="shared" si="5"/>
        <v>1</v>
      </c>
      <c r="W130" s="3">
        <f t="shared" si="6"/>
        <v>3</v>
      </c>
      <c r="X130" s="3" t="str">
        <f>IFERROR(__xludf.DUMMYFUNCTION("split(B130,"" "")"),"D.")</f>
        <v>D.</v>
      </c>
      <c r="Y130" s="3" t="str">
        <f>IFERROR(__xludf.DUMMYFUNCTION("""COMPUTED_VALUE"""),"Prescott")</f>
        <v>Prescott</v>
      </c>
      <c r="AA130" s="8">
        <v>30.0</v>
      </c>
      <c r="AB130" s="3">
        <f t="shared" si="7"/>
        <v>1</v>
      </c>
      <c r="AC130" s="3">
        <f t="shared" si="8"/>
        <v>1</v>
      </c>
      <c r="AD130" s="3">
        <f t="shared" si="9"/>
        <v>0.8474576271</v>
      </c>
      <c r="AE130" s="3">
        <f t="shared" si="10"/>
        <v>0.8474576271</v>
      </c>
      <c r="AF130" s="3">
        <f t="shared" si="11"/>
        <v>2.542372881</v>
      </c>
      <c r="AG130" s="3">
        <f t="shared" si="12"/>
        <v>3.615384615</v>
      </c>
    </row>
    <row r="131">
      <c r="A131" s="1" t="s">
        <v>11</v>
      </c>
      <c r="B131" s="1" t="s">
        <v>412</v>
      </c>
      <c r="C131" s="1" t="s">
        <v>20</v>
      </c>
      <c r="D131" s="1" t="s">
        <v>88</v>
      </c>
      <c r="E131" s="1" t="s">
        <v>109</v>
      </c>
      <c r="F131" s="1" t="s">
        <v>658</v>
      </c>
      <c r="G131" s="1">
        <v>48.5</v>
      </c>
      <c r="H131" s="1" t="s">
        <v>60</v>
      </c>
      <c r="I131" s="1">
        <v>-117.0</v>
      </c>
      <c r="J131" s="1">
        <v>-0.0957103746714747</v>
      </c>
      <c r="K131" s="1" t="s">
        <v>61</v>
      </c>
      <c r="L131" s="1" t="s">
        <v>61</v>
      </c>
      <c r="M131" s="1" t="s">
        <v>62</v>
      </c>
      <c r="N131" s="1">
        <v>-112.0</v>
      </c>
      <c r="O131" s="1">
        <v>0.0282578502897736</v>
      </c>
      <c r="P131" s="1" t="s">
        <v>61</v>
      </c>
      <c r="Q131" s="1" t="s">
        <v>61</v>
      </c>
      <c r="R131" s="1">
        <f t="shared" si="1"/>
        <v>0.02825785029</v>
      </c>
      <c r="S131" s="1">
        <f t="shared" si="2"/>
        <v>-112</v>
      </c>
      <c r="T131" s="1">
        <f t="shared" si="3"/>
        <v>1.892857143</v>
      </c>
      <c r="U131" s="1">
        <f t="shared" si="4"/>
        <v>0</v>
      </c>
      <c r="V131" s="3">
        <f t="shared" si="5"/>
        <v>1</v>
      </c>
      <c r="W131" s="3">
        <f t="shared" si="6"/>
        <v>2</v>
      </c>
      <c r="X131" s="3" t="str">
        <f>IFERROR(__xludf.DUMMYFUNCTION("split(B131,"" "")"),"J.")</f>
        <v>J.</v>
      </c>
      <c r="Y131" s="3" t="str">
        <f>IFERROR(__xludf.DUMMYFUNCTION("""COMPUTED_VALUE"""),"Ferguson")</f>
        <v>Ferguson</v>
      </c>
      <c r="AA131" s="8">
        <v>71.0</v>
      </c>
      <c r="AB131" s="3">
        <f t="shared" si="7"/>
        <v>1</v>
      </c>
      <c r="AC131" s="3">
        <f t="shared" si="8"/>
        <v>0</v>
      </c>
      <c r="AD131" s="3">
        <f t="shared" si="9"/>
        <v>0.8928571429</v>
      </c>
      <c r="AE131" s="3">
        <f t="shared" si="10"/>
        <v>-1</v>
      </c>
      <c r="AF131" s="3">
        <f t="shared" si="11"/>
        <v>-2</v>
      </c>
      <c r="AG131" s="3">
        <f t="shared" si="12"/>
        <v>-0.4639175258</v>
      </c>
    </row>
    <row r="132">
      <c r="A132" s="1" t="s">
        <v>14</v>
      </c>
      <c r="B132" s="1" t="s">
        <v>251</v>
      </c>
      <c r="C132" s="1" t="s">
        <v>21</v>
      </c>
      <c r="D132" s="1" t="s">
        <v>88</v>
      </c>
      <c r="E132" s="1" t="s">
        <v>109</v>
      </c>
      <c r="F132" s="1" t="s">
        <v>658</v>
      </c>
      <c r="G132" s="1">
        <v>1.5</v>
      </c>
      <c r="H132" s="1" t="s">
        <v>60</v>
      </c>
      <c r="I132" s="1">
        <v>-145.0</v>
      </c>
      <c r="J132" s="1">
        <v>-0.0851367346938775</v>
      </c>
      <c r="K132" s="1" t="s">
        <v>61</v>
      </c>
      <c r="L132" s="1" t="s">
        <v>61</v>
      </c>
      <c r="M132" s="1" t="s">
        <v>62</v>
      </c>
      <c r="N132" s="1">
        <v>112.0</v>
      </c>
      <c r="O132" s="1">
        <v>0.0216018867924528</v>
      </c>
      <c r="P132" s="1" t="s">
        <v>61</v>
      </c>
      <c r="Q132" s="1" t="s">
        <v>61</v>
      </c>
      <c r="R132" s="1">
        <f t="shared" si="1"/>
        <v>0.02160188679</v>
      </c>
      <c r="S132" s="1">
        <f t="shared" si="2"/>
        <v>112</v>
      </c>
      <c r="T132" s="1">
        <f t="shared" si="3"/>
        <v>2.12</v>
      </c>
      <c r="U132" s="1">
        <f t="shared" si="4"/>
        <v>0</v>
      </c>
      <c r="V132" s="3">
        <f t="shared" si="5"/>
        <v>1</v>
      </c>
      <c r="W132" s="3">
        <f t="shared" si="6"/>
        <v>1</v>
      </c>
      <c r="X132" s="3" t="str">
        <f>IFERROR(__xludf.DUMMYFUNCTION("split(B132,"" "")"),"D.")</f>
        <v>D.</v>
      </c>
      <c r="Y132" s="3" t="str">
        <f>IFERROR(__xludf.DUMMYFUNCTION("""COMPUTED_VALUE"""),"Prescott")</f>
        <v>Prescott</v>
      </c>
      <c r="AA132" s="8">
        <v>1.0</v>
      </c>
      <c r="AB132" s="3">
        <f t="shared" si="7"/>
        <v>0</v>
      </c>
      <c r="AC132" s="3">
        <f t="shared" si="8"/>
        <v>1</v>
      </c>
      <c r="AD132" s="3">
        <f t="shared" si="9"/>
        <v>1.12</v>
      </c>
      <c r="AE132" s="3">
        <f t="shared" si="10"/>
        <v>1.12</v>
      </c>
      <c r="AF132" s="3">
        <f t="shared" si="11"/>
        <v>1.12</v>
      </c>
      <c r="AG132" s="3">
        <f t="shared" si="12"/>
        <v>0.3333333333</v>
      </c>
    </row>
    <row r="133">
      <c r="A133" s="1" t="s">
        <v>11</v>
      </c>
      <c r="B133" s="1" t="s">
        <v>572</v>
      </c>
      <c r="C133" s="1" t="s">
        <v>18</v>
      </c>
      <c r="D133" s="1" t="s">
        <v>88</v>
      </c>
      <c r="E133" s="1" t="s">
        <v>109</v>
      </c>
      <c r="F133" s="1" t="s">
        <v>658</v>
      </c>
      <c r="G133" s="1">
        <v>11.5</v>
      </c>
      <c r="H133" s="1" t="s">
        <v>60</v>
      </c>
      <c r="I133" s="1">
        <v>-114.0</v>
      </c>
      <c r="J133" s="1">
        <v>0.0195900205834551</v>
      </c>
      <c r="K133" s="1" t="s">
        <v>61</v>
      </c>
      <c r="L133" s="1" t="s">
        <v>61</v>
      </c>
      <c r="M133" s="1" t="s">
        <v>62</v>
      </c>
      <c r="N133" s="1">
        <v>-115.0</v>
      </c>
      <c r="O133" s="1">
        <v>-0.0871406700725037</v>
      </c>
      <c r="P133" s="1" t="s">
        <v>61</v>
      </c>
      <c r="Q133" s="1" t="s">
        <v>61</v>
      </c>
      <c r="R133" s="1">
        <f t="shared" si="1"/>
        <v>0.01959002058</v>
      </c>
      <c r="S133" s="1">
        <f t="shared" si="2"/>
        <v>-114</v>
      </c>
      <c r="T133" s="1">
        <f t="shared" si="3"/>
        <v>1.877192982</v>
      </c>
      <c r="U133" s="1">
        <f t="shared" si="4"/>
        <v>1</v>
      </c>
      <c r="V133" s="3">
        <f t="shared" si="5"/>
        <v>1</v>
      </c>
      <c r="W133" s="3">
        <f t="shared" si="6"/>
        <v>2</v>
      </c>
      <c r="X133" s="3" t="str">
        <f>IFERROR(__xludf.DUMMYFUNCTION("split(B133,"" "")"),"J.")</f>
        <v>J.</v>
      </c>
      <c r="Y133" s="3" t="str">
        <f>IFERROR(__xludf.DUMMYFUNCTION("""COMPUTED_VALUE"""),"Brooks")</f>
        <v>Brooks</v>
      </c>
      <c r="AA133" s="8">
        <v>26.0</v>
      </c>
      <c r="AB133" s="3">
        <f t="shared" si="7"/>
        <v>1</v>
      </c>
      <c r="AC133" s="3">
        <f t="shared" si="8"/>
        <v>1</v>
      </c>
      <c r="AD133" s="3">
        <f t="shared" si="9"/>
        <v>0.8771929825</v>
      </c>
      <c r="AE133" s="3">
        <f t="shared" si="10"/>
        <v>0.8771929825</v>
      </c>
      <c r="AF133" s="3">
        <f t="shared" si="11"/>
        <v>1.754385965</v>
      </c>
      <c r="AG133" s="3">
        <f t="shared" si="12"/>
        <v>1.260869565</v>
      </c>
    </row>
    <row r="134">
      <c r="A134" s="1" t="s">
        <v>9</v>
      </c>
      <c r="B134" s="1" t="s">
        <v>395</v>
      </c>
      <c r="C134" s="1" t="s">
        <v>18</v>
      </c>
      <c r="D134" s="1" t="s">
        <v>88</v>
      </c>
      <c r="E134" s="1" t="s">
        <v>109</v>
      </c>
      <c r="F134" s="1" t="s">
        <v>658</v>
      </c>
      <c r="G134" s="1">
        <v>92.5</v>
      </c>
      <c r="H134" s="1" t="s">
        <v>60</v>
      </c>
      <c r="I134" s="1">
        <v>-117.0</v>
      </c>
      <c r="J134" s="1">
        <v>-0.0892023646593587</v>
      </c>
      <c r="K134" s="1" t="s">
        <v>61</v>
      </c>
      <c r="L134" s="1" t="s">
        <v>61</v>
      </c>
      <c r="M134" s="1" t="s">
        <v>62</v>
      </c>
      <c r="N134" s="1">
        <v>-115.0</v>
      </c>
      <c r="O134" s="1">
        <v>0.0151686687000602</v>
      </c>
      <c r="P134" s="1" t="s">
        <v>61</v>
      </c>
      <c r="Q134" s="1" t="s">
        <v>61</v>
      </c>
      <c r="R134" s="1">
        <f t="shared" si="1"/>
        <v>0.0151686687</v>
      </c>
      <c r="S134" s="1">
        <f t="shared" si="2"/>
        <v>-115</v>
      </c>
      <c r="T134" s="1">
        <f t="shared" si="3"/>
        <v>1.869565217</v>
      </c>
      <c r="U134" s="1">
        <f t="shared" si="4"/>
        <v>0</v>
      </c>
      <c r="V134" s="3">
        <f t="shared" si="5"/>
        <v>1</v>
      </c>
      <c r="W134" s="3">
        <f t="shared" si="6"/>
        <v>2</v>
      </c>
      <c r="X134" s="3" t="str">
        <f>IFERROR(__xludf.DUMMYFUNCTION("split(B134,"" "")"),"C.")</f>
        <v>C.</v>
      </c>
      <c r="Y134" s="3" t="str">
        <f>IFERROR(__xludf.DUMMYFUNCTION("""COMPUTED_VALUE"""),"Lamb")</f>
        <v>Lamb</v>
      </c>
      <c r="AA134" s="8">
        <v>62.0</v>
      </c>
      <c r="AB134" s="3">
        <f t="shared" si="7"/>
        <v>0</v>
      </c>
      <c r="AC134" s="3">
        <f t="shared" si="8"/>
        <v>1</v>
      </c>
      <c r="AD134" s="3">
        <f t="shared" si="9"/>
        <v>0.8695652174</v>
      </c>
      <c r="AE134" s="3">
        <f t="shared" si="10"/>
        <v>0.8695652174</v>
      </c>
      <c r="AF134" s="3">
        <f t="shared" si="11"/>
        <v>1.739130435</v>
      </c>
      <c r="AG134" s="3">
        <f t="shared" si="12"/>
        <v>0.3297297297</v>
      </c>
    </row>
    <row r="135">
      <c r="A135" s="1" t="s">
        <v>11</v>
      </c>
      <c r="B135" s="1" t="s">
        <v>152</v>
      </c>
      <c r="C135" s="1" t="s">
        <v>19</v>
      </c>
      <c r="D135" s="1" t="s">
        <v>88</v>
      </c>
      <c r="E135" s="1" t="s">
        <v>109</v>
      </c>
      <c r="F135" s="1" t="s">
        <v>658</v>
      </c>
      <c r="G135" s="1">
        <v>16.5</v>
      </c>
      <c r="H135" s="1" t="s">
        <v>60</v>
      </c>
      <c r="I135" s="1">
        <v>-113.0</v>
      </c>
      <c r="J135" s="1">
        <v>-0.0745694007081435</v>
      </c>
      <c r="K135" s="1" t="s">
        <v>61</v>
      </c>
      <c r="L135" s="1" t="s">
        <v>61</v>
      </c>
      <c r="M135" s="1" t="s">
        <v>62</v>
      </c>
      <c r="N135" s="1">
        <v>-116.0</v>
      </c>
      <c r="O135" s="1">
        <v>0.00703794225448195</v>
      </c>
      <c r="P135" s="1" t="s">
        <v>61</v>
      </c>
      <c r="Q135" s="1" t="s">
        <v>61</v>
      </c>
      <c r="R135" s="1">
        <f t="shared" si="1"/>
        <v>0.007037942254</v>
      </c>
      <c r="S135" s="1">
        <f t="shared" si="2"/>
        <v>-116</v>
      </c>
      <c r="T135" s="1">
        <f t="shared" si="3"/>
        <v>1.862068966</v>
      </c>
      <c r="U135" s="1">
        <f t="shared" si="4"/>
        <v>0</v>
      </c>
      <c r="V135" s="3">
        <f t="shared" si="5"/>
        <v>1</v>
      </c>
      <c r="W135" s="3">
        <f t="shared" si="6"/>
        <v>2</v>
      </c>
      <c r="X135" s="3" t="str">
        <f>IFERROR(__xludf.DUMMYFUNCTION("split(B135,"" "")"),"R.")</f>
        <v>R.</v>
      </c>
      <c r="Y135" s="3" t="str">
        <f>IFERROR(__xludf.DUMMYFUNCTION("""COMPUTED_VALUE"""),"Dowdle")</f>
        <v>Dowdle</v>
      </c>
      <c r="AA135" s="8">
        <v>32.0</v>
      </c>
      <c r="AB135" s="3">
        <f t="shared" si="7"/>
        <v>1</v>
      </c>
      <c r="AC135" s="3">
        <f t="shared" si="8"/>
        <v>0</v>
      </c>
      <c r="AD135" s="3">
        <f t="shared" si="9"/>
        <v>0.8620689655</v>
      </c>
      <c r="AE135" s="3">
        <f t="shared" si="10"/>
        <v>-1</v>
      </c>
      <c r="AF135" s="3">
        <f t="shared" si="11"/>
        <v>-2</v>
      </c>
      <c r="AG135" s="3">
        <f t="shared" si="12"/>
        <v>-0.9393939394</v>
      </c>
    </row>
    <row r="136">
      <c r="A136" s="1" t="s">
        <v>9</v>
      </c>
      <c r="B136" s="1" t="s">
        <v>87</v>
      </c>
      <c r="C136" s="1" t="s">
        <v>18</v>
      </c>
      <c r="D136" s="1" t="s">
        <v>88</v>
      </c>
      <c r="E136" s="1" t="s">
        <v>109</v>
      </c>
      <c r="F136" s="1" t="s">
        <v>658</v>
      </c>
      <c r="G136" s="1">
        <v>41.5</v>
      </c>
      <c r="H136" s="1" t="s">
        <v>60</v>
      </c>
      <c r="I136" s="1">
        <v>-115.0</v>
      </c>
      <c r="J136" s="1">
        <v>0.00634242188587985</v>
      </c>
      <c r="K136" s="1" t="s">
        <v>61</v>
      </c>
      <c r="L136" s="1" t="s">
        <v>61</v>
      </c>
      <c r="M136" s="1" t="s">
        <v>62</v>
      </c>
      <c r="N136" s="1">
        <v>-117.0</v>
      </c>
      <c r="O136" s="1">
        <v>-0.0804008120985855</v>
      </c>
      <c r="P136" s="1" t="s">
        <v>61</v>
      </c>
      <c r="Q136" s="1" t="s">
        <v>61</v>
      </c>
      <c r="R136" s="1">
        <f t="shared" si="1"/>
        <v>0.006342421886</v>
      </c>
      <c r="S136" s="1">
        <f t="shared" si="2"/>
        <v>-115</v>
      </c>
      <c r="T136" s="1">
        <f t="shared" si="3"/>
        <v>1.869565217</v>
      </c>
      <c r="U136" s="1">
        <f t="shared" si="4"/>
        <v>1</v>
      </c>
      <c r="V136" s="3">
        <f t="shared" si="5"/>
        <v>1</v>
      </c>
      <c r="W136" s="3">
        <f t="shared" si="6"/>
        <v>2</v>
      </c>
      <c r="X136" s="3" t="str">
        <f>IFERROR(__xludf.DUMMYFUNCTION("split(B136,"" "")"),"J.")</f>
        <v>J.</v>
      </c>
      <c r="Y136" s="3" t="str">
        <f>IFERROR(__xludf.DUMMYFUNCTION("""COMPUTED_VALUE"""),"Tolbert")</f>
        <v>Tolbert</v>
      </c>
      <c r="AA136" s="8">
        <v>19.0</v>
      </c>
      <c r="AB136" s="3">
        <f t="shared" si="7"/>
        <v>0</v>
      </c>
      <c r="AC136" s="3">
        <f t="shared" si="8"/>
        <v>0</v>
      </c>
      <c r="AD136" s="3">
        <f t="shared" si="9"/>
        <v>0.8695652174</v>
      </c>
      <c r="AE136" s="3">
        <f t="shared" si="10"/>
        <v>-1</v>
      </c>
      <c r="AF136" s="3">
        <f t="shared" si="11"/>
        <v>-2</v>
      </c>
      <c r="AG136" s="3">
        <f t="shared" si="12"/>
        <v>-0.5421686747</v>
      </c>
    </row>
    <row r="137">
      <c r="A137" s="1" t="s">
        <v>12</v>
      </c>
      <c r="B137" s="1" t="s">
        <v>571</v>
      </c>
      <c r="C137" s="1" t="s">
        <v>18</v>
      </c>
      <c r="D137" s="1" t="s">
        <v>88</v>
      </c>
      <c r="E137" s="1" t="s">
        <v>109</v>
      </c>
      <c r="F137" s="1" t="s">
        <v>658</v>
      </c>
      <c r="G137" s="1">
        <v>2.5</v>
      </c>
      <c r="H137" s="1" t="s">
        <v>60</v>
      </c>
      <c r="I137" s="1">
        <v>150.0</v>
      </c>
      <c r="J137" s="1">
        <v>-0.0722981563799999</v>
      </c>
      <c r="K137" s="1" t="s">
        <v>61</v>
      </c>
      <c r="L137" s="1" t="s">
        <v>61</v>
      </c>
      <c r="M137" s="1" t="s">
        <v>62</v>
      </c>
      <c r="N137" s="1">
        <v>-200.0</v>
      </c>
      <c r="O137" s="1">
        <v>0.00563128486666664</v>
      </c>
      <c r="P137" s="1" t="s">
        <v>61</v>
      </c>
      <c r="Q137" s="1" t="s">
        <v>61</v>
      </c>
      <c r="R137" s="1">
        <f t="shared" si="1"/>
        <v>0.005631284867</v>
      </c>
      <c r="S137" s="1">
        <f t="shared" si="2"/>
        <v>-200</v>
      </c>
      <c r="T137" s="1">
        <f t="shared" si="3"/>
        <v>1.5</v>
      </c>
      <c r="U137" s="1">
        <f t="shared" si="4"/>
        <v>0</v>
      </c>
      <c r="V137" s="3">
        <f t="shared" si="5"/>
        <v>1</v>
      </c>
      <c r="W137" s="3">
        <f t="shared" si="6"/>
        <v>3</v>
      </c>
      <c r="X137" s="3" t="str">
        <f>IFERROR(__xludf.DUMMYFUNCTION("split(B137,"" "")"),"K.")</f>
        <v>K.</v>
      </c>
      <c r="Y137" s="3" t="str">
        <f>IFERROR(__xludf.DUMMYFUNCTION("""COMPUTED_VALUE"""),"Turpin")</f>
        <v>Turpin</v>
      </c>
      <c r="AA137" s="8">
        <v>3.0</v>
      </c>
      <c r="AB137" s="3">
        <f t="shared" si="7"/>
        <v>1</v>
      </c>
      <c r="AC137" s="3">
        <f t="shared" si="8"/>
        <v>0</v>
      </c>
      <c r="AD137" s="3">
        <f t="shared" si="9"/>
        <v>0.5</v>
      </c>
      <c r="AE137" s="3">
        <f t="shared" si="10"/>
        <v>-1</v>
      </c>
      <c r="AF137" s="3">
        <f t="shared" si="11"/>
        <v>-3</v>
      </c>
      <c r="AG137" s="3">
        <f t="shared" si="12"/>
        <v>-0.2</v>
      </c>
    </row>
    <row r="138">
      <c r="A138" s="1" t="s">
        <v>12</v>
      </c>
      <c r="B138" s="1" t="s">
        <v>127</v>
      </c>
      <c r="C138" s="1" t="s">
        <v>19</v>
      </c>
      <c r="D138" s="1" t="s">
        <v>83</v>
      </c>
      <c r="E138" s="1" t="s">
        <v>77</v>
      </c>
      <c r="F138" s="1" t="s">
        <v>658</v>
      </c>
      <c r="G138" s="1">
        <v>2.5</v>
      </c>
      <c r="H138" s="1" t="s">
        <v>60</v>
      </c>
      <c r="I138" s="1">
        <v>-181.0</v>
      </c>
      <c r="J138" s="1">
        <v>-0.287562194483985</v>
      </c>
      <c r="K138" s="1" t="s">
        <v>61</v>
      </c>
      <c r="L138" s="1" t="s">
        <v>61</v>
      </c>
      <c r="M138" s="1" t="s">
        <v>62</v>
      </c>
      <c r="N138" s="1">
        <v>138.0</v>
      </c>
      <c r="O138" s="1">
        <v>0.223272170798319</v>
      </c>
      <c r="P138" s="1" t="s">
        <v>61</v>
      </c>
      <c r="Q138" s="1" t="s">
        <v>61</v>
      </c>
      <c r="R138" s="1">
        <f t="shared" si="1"/>
        <v>0.2232721708</v>
      </c>
      <c r="S138" s="1">
        <f t="shared" si="2"/>
        <v>138</v>
      </c>
      <c r="T138" s="1">
        <f t="shared" si="3"/>
        <v>2.38</v>
      </c>
      <c r="U138" s="1">
        <f t="shared" si="4"/>
        <v>0</v>
      </c>
      <c r="V138" s="3">
        <f t="shared" si="5"/>
        <v>3</v>
      </c>
      <c r="W138" s="3">
        <f t="shared" si="6"/>
        <v>1</v>
      </c>
      <c r="X138" s="3" t="str">
        <f>IFERROR(__xludf.DUMMYFUNCTION("split(B138,"" "")"),"J.")</f>
        <v>J.</v>
      </c>
      <c r="Y138" s="3" t="str">
        <f>IFERROR(__xludf.DUMMYFUNCTION("""COMPUTED_VALUE"""),"Williams")</f>
        <v>Williams</v>
      </c>
      <c r="AA138" s="8">
        <v>2.0</v>
      </c>
      <c r="AB138" s="3">
        <f t="shared" si="7"/>
        <v>0</v>
      </c>
      <c r="AC138" s="3">
        <f t="shared" si="8"/>
        <v>1</v>
      </c>
      <c r="AD138" s="3">
        <f t="shared" si="9"/>
        <v>4.14</v>
      </c>
      <c r="AE138" s="3">
        <f t="shared" si="10"/>
        <v>4.14</v>
      </c>
      <c r="AF138" s="3">
        <f t="shared" si="11"/>
        <v>1.38</v>
      </c>
      <c r="AG138" s="3">
        <f t="shared" si="12"/>
        <v>0.2</v>
      </c>
    </row>
    <row r="139">
      <c r="A139" s="1" t="s">
        <v>8</v>
      </c>
      <c r="B139" s="1" t="s">
        <v>464</v>
      </c>
      <c r="C139" s="1" t="s">
        <v>21</v>
      </c>
      <c r="D139" s="1" t="s">
        <v>83</v>
      </c>
      <c r="E139" s="1" t="s">
        <v>77</v>
      </c>
      <c r="F139" s="1" t="s">
        <v>658</v>
      </c>
      <c r="G139" s="1">
        <v>5.5</v>
      </c>
      <c r="H139" s="1" t="s">
        <v>60</v>
      </c>
      <c r="I139" s="1">
        <v>-146.0</v>
      </c>
      <c r="J139" s="1">
        <v>-0.24672985908544</v>
      </c>
      <c r="K139" s="1" t="s">
        <v>61</v>
      </c>
      <c r="L139" s="1" t="s">
        <v>61</v>
      </c>
      <c r="M139" s="1" t="s">
        <v>62</v>
      </c>
      <c r="N139" s="1">
        <v>110.0</v>
      </c>
      <c r="O139" s="1">
        <v>0.177049263500087</v>
      </c>
      <c r="P139" s="1" t="s">
        <v>61</v>
      </c>
      <c r="Q139" s="1" t="s">
        <v>61</v>
      </c>
      <c r="R139" s="1">
        <f t="shared" si="1"/>
        <v>0.1770492635</v>
      </c>
      <c r="S139" s="1">
        <f t="shared" si="2"/>
        <v>110</v>
      </c>
      <c r="T139" s="1">
        <f t="shared" si="3"/>
        <v>2.1</v>
      </c>
      <c r="U139" s="1">
        <f t="shared" si="4"/>
        <v>0</v>
      </c>
      <c r="V139" s="3">
        <f t="shared" si="5"/>
        <v>3</v>
      </c>
      <c r="W139" s="3">
        <f t="shared" si="6"/>
        <v>2</v>
      </c>
      <c r="X139" s="3" t="str">
        <f>IFERROR(__xludf.DUMMYFUNCTION("split(B139,"" "")"),"B.")</f>
        <v>B.</v>
      </c>
      <c r="Y139" s="3" t="str">
        <f>IFERROR(__xludf.DUMMYFUNCTION("""COMPUTED_VALUE"""),"Nix")</f>
        <v>Nix</v>
      </c>
      <c r="AA139" s="8">
        <v>6.0</v>
      </c>
      <c r="AB139" s="3">
        <f t="shared" si="7"/>
        <v>1</v>
      </c>
      <c r="AC139" s="3">
        <f t="shared" si="8"/>
        <v>0</v>
      </c>
      <c r="AD139" s="3">
        <f t="shared" si="9"/>
        <v>3.3</v>
      </c>
      <c r="AE139" s="3">
        <f t="shared" si="10"/>
        <v>-3</v>
      </c>
      <c r="AF139" s="3">
        <f t="shared" si="11"/>
        <v>-2</v>
      </c>
      <c r="AG139" s="3">
        <f t="shared" si="12"/>
        <v>-0.09090909091</v>
      </c>
    </row>
    <row r="140">
      <c r="A140" s="1" t="s">
        <v>12</v>
      </c>
      <c r="B140" s="1" t="s">
        <v>661</v>
      </c>
      <c r="C140" s="1" t="s">
        <v>20</v>
      </c>
      <c r="D140" s="1" t="s">
        <v>83</v>
      </c>
      <c r="E140" s="1" t="s">
        <v>77</v>
      </c>
      <c r="F140" s="1" t="s">
        <v>658</v>
      </c>
      <c r="G140" s="1">
        <v>1.5</v>
      </c>
      <c r="H140" s="1" t="s">
        <v>60</v>
      </c>
      <c r="I140" s="1">
        <v>-142.0</v>
      </c>
      <c r="J140" s="1">
        <v>-0.240070347417355</v>
      </c>
      <c r="K140" s="1" t="s">
        <v>61</v>
      </c>
      <c r="L140" s="1" t="s">
        <v>61</v>
      </c>
      <c r="M140" s="1" t="s">
        <v>62</v>
      </c>
      <c r="N140" s="1">
        <v>108.0</v>
      </c>
      <c r="O140" s="1">
        <v>0.172523192668269</v>
      </c>
      <c r="P140" s="1" t="s">
        <v>61</v>
      </c>
      <c r="Q140" s="1" t="s">
        <v>61</v>
      </c>
      <c r="R140" s="1">
        <f t="shared" si="1"/>
        <v>0.1725231927</v>
      </c>
      <c r="S140" s="1">
        <f t="shared" si="2"/>
        <v>108</v>
      </c>
      <c r="T140" s="1">
        <f t="shared" si="3"/>
        <v>2.08</v>
      </c>
      <c r="U140" s="1">
        <f t="shared" si="4"/>
        <v>0</v>
      </c>
      <c r="V140" s="3">
        <f t="shared" si="5"/>
        <v>3</v>
      </c>
      <c r="W140" s="3">
        <f t="shared" si="6"/>
        <v>2</v>
      </c>
      <c r="X140" s="3" t="str">
        <f>IFERROR(__xludf.DUMMYFUNCTION("split(B140,"" "")"),"L.")</f>
        <v>L.</v>
      </c>
      <c r="Y140" s="3" t="str">
        <f>IFERROR(__xludf.DUMMYFUNCTION("""COMPUTED_VALUE"""),"Krull")</f>
        <v>Krull</v>
      </c>
      <c r="AA140" s="8">
        <v>0.0</v>
      </c>
      <c r="AB140" s="3">
        <f t="shared" si="7"/>
        <v>0</v>
      </c>
      <c r="AC140" s="3">
        <f t="shared" si="8"/>
        <v>1</v>
      </c>
      <c r="AD140" s="3">
        <f t="shared" si="9"/>
        <v>3.24</v>
      </c>
      <c r="AE140" s="3">
        <f t="shared" si="10"/>
        <v>3.24</v>
      </c>
      <c r="AF140" s="3">
        <f t="shared" si="11"/>
        <v>2.16</v>
      </c>
      <c r="AG140" s="3">
        <f t="shared" si="12"/>
        <v>1</v>
      </c>
    </row>
    <row r="141">
      <c r="A141" s="1" t="s">
        <v>8</v>
      </c>
      <c r="B141" s="1" t="s">
        <v>127</v>
      </c>
      <c r="C141" s="1" t="s">
        <v>19</v>
      </c>
      <c r="D141" s="1" t="s">
        <v>83</v>
      </c>
      <c r="E141" s="1" t="s">
        <v>77</v>
      </c>
      <c r="F141" s="1" t="s">
        <v>658</v>
      </c>
      <c r="G141" s="1">
        <v>9.5</v>
      </c>
      <c r="H141" s="1" t="s">
        <v>60</v>
      </c>
      <c r="I141" s="1">
        <v>-129.0</v>
      </c>
      <c r="J141" s="1">
        <v>-0.210116096513345</v>
      </c>
      <c r="K141" s="1" t="s">
        <v>61</v>
      </c>
      <c r="L141" s="1" t="s">
        <v>61</v>
      </c>
      <c r="M141" s="1" t="s">
        <v>62</v>
      </c>
      <c r="N141" s="1">
        <v>-102.0</v>
      </c>
      <c r="O141" s="1">
        <v>0.141846405067262</v>
      </c>
      <c r="P141" s="1" t="s">
        <v>61</v>
      </c>
      <c r="Q141" s="1" t="s">
        <v>61</v>
      </c>
      <c r="R141" s="1">
        <f t="shared" si="1"/>
        <v>0.1418464051</v>
      </c>
      <c r="S141" s="1">
        <f t="shared" si="2"/>
        <v>-102</v>
      </c>
      <c r="T141" s="1">
        <f t="shared" si="3"/>
        <v>1.980392157</v>
      </c>
      <c r="U141" s="1">
        <f t="shared" si="4"/>
        <v>0</v>
      </c>
      <c r="V141" s="3">
        <f t="shared" si="5"/>
        <v>3</v>
      </c>
      <c r="W141" s="3">
        <f t="shared" si="6"/>
        <v>2</v>
      </c>
      <c r="X141" s="3" t="str">
        <f>IFERROR(__xludf.DUMMYFUNCTION("split(B141,"" "")"),"J.")</f>
        <v>J.</v>
      </c>
      <c r="Y141" s="3" t="str">
        <f>IFERROR(__xludf.DUMMYFUNCTION("""COMPUTED_VALUE"""),"Williams")</f>
        <v>Williams</v>
      </c>
      <c r="AA141" s="8">
        <v>12.0</v>
      </c>
      <c r="AB141" s="3">
        <f t="shared" si="7"/>
        <v>1</v>
      </c>
      <c r="AC141" s="3">
        <f t="shared" si="8"/>
        <v>0</v>
      </c>
      <c r="AD141" s="3">
        <f t="shared" si="9"/>
        <v>2.941176471</v>
      </c>
      <c r="AE141" s="3">
        <f t="shared" si="10"/>
        <v>-3</v>
      </c>
      <c r="AF141" s="3">
        <f t="shared" si="11"/>
        <v>-2</v>
      </c>
      <c r="AG141" s="3">
        <f t="shared" si="12"/>
        <v>-0.2631578947</v>
      </c>
    </row>
    <row r="142">
      <c r="A142" s="1" t="s">
        <v>11</v>
      </c>
      <c r="B142" s="1" t="s">
        <v>465</v>
      </c>
      <c r="C142" s="1" t="s">
        <v>19</v>
      </c>
      <c r="D142" s="1" t="s">
        <v>83</v>
      </c>
      <c r="E142" s="1" t="s">
        <v>77</v>
      </c>
      <c r="F142" s="1" t="s">
        <v>658</v>
      </c>
      <c r="G142" s="1">
        <v>6.5</v>
      </c>
      <c r="H142" s="1" t="s">
        <v>60</v>
      </c>
      <c r="I142" s="1">
        <v>-107.0</v>
      </c>
      <c r="J142" s="1">
        <v>0.114369469346519</v>
      </c>
      <c r="K142" s="1" t="s">
        <v>61</v>
      </c>
      <c r="L142" s="1" t="s">
        <v>61</v>
      </c>
      <c r="M142" s="1" t="s">
        <v>62</v>
      </c>
      <c r="N142" s="1">
        <v>-120.0</v>
      </c>
      <c r="O142" s="1">
        <v>-0.176742255389434</v>
      </c>
      <c r="P142" s="1" t="s">
        <v>61</v>
      </c>
      <c r="Q142" s="1" t="s">
        <v>61</v>
      </c>
      <c r="R142" s="1">
        <f t="shared" si="1"/>
        <v>0.1143694693</v>
      </c>
      <c r="S142" s="1">
        <f t="shared" si="2"/>
        <v>-107</v>
      </c>
      <c r="T142" s="1">
        <f t="shared" si="3"/>
        <v>1.934579439</v>
      </c>
      <c r="U142" s="1">
        <f t="shared" si="4"/>
        <v>1</v>
      </c>
      <c r="V142" s="3">
        <f t="shared" si="5"/>
        <v>3</v>
      </c>
      <c r="W142" s="3">
        <f t="shared" si="6"/>
        <v>2</v>
      </c>
      <c r="X142" s="3" t="str">
        <f>IFERROR(__xludf.DUMMYFUNCTION("split(B142,"" "")"),"J.")</f>
        <v>J.</v>
      </c>
      <c r="Y142" s="3" t="str">
        <f>IFERROR(__xludf.DUMMYFUNCTION("""COMPUTED_VALUE"""),"McLaughlin")</f>
        <v>McLaughlin</v>
      </c>
      <c r="AA142" s="8">
        <v>10.0</v>
      </c>
      <c r="AB142" s="3">
        <f t="shared" si="7"/>
        <v>1</v>
      </c>
      <c r="AC142" s="3">
        <f t="shared" si="8"/>
        <v>1</v>
      </c>
      <c r="AD142" s="3">
        <f t="shared" si="9"/>
        <v>2.803738318</v>
      </c>
      <c r="AE142" s="3">
        <f t="shared" si="10"/>
        <v>2.803738318</v>
      </c>
      <c r="AF142" s="3">
        <f t="shared" si="11"/>
        <v>1.869158879</v>
      </c>
      <c r="AG142" s="3">
        <f t="shared" si="12"/>
        <v>0.5384615385</v>
      </c>
    </row>
    <row r="143">
      <c r="A143" s="1" t="s">
        <v>12</v>
      </c>
      <c r="B143" s="1" t="s">
        <v>652</v>
      </c>
      <c r="C143" s="1" t="s">
        <v>18</v>
      </c>
      <c r="D143" s="1" t="s">
        <v>83</v>
      </c>
      <c r="E143" s="1" t="s">
        <v>77</v>
      </c>
      <c r="F143" s="1" t="s">
        <v>658</v>
      </c>
      <c r="G143" s="1">
        <v>2.5</v>
      </c>
      <c r="H143" s="1" t="s">
        <v>60</v>
      </c>
      <c r="I143" s="1">
        <v>102.0</v>
      </c>
      <c r="J143" s="1">
        <v>-0.179892665248514</v>
      </c>
      <c r="K143" s="1" t="s">
        <v>61</v>
      </c>
      <c r="L143" s="1" t="s">
        <v>61</v>
      </c>
      <c r="M143" s="1" t="s">
        <v>62</v>
      </c>
      <c r="N143" s="1">
        <v>-133.0</v>
      </c>
      <c r="O143" s="1">
        <v>0.114020295572103</v>
      </c>
      <c r="P143" s="1" t="s">
        <v>61</v>
      </c>
      <c r="Q143" s="1" t="s">
        <v>61</v>
      </c>
      <c r="R143" s="1">
        <f t="shared" si="1"/>
        <v>0.1140202956</v>
      </c>
      <c r="S143" s="1">
        <f t="shared" si="2"/>
        <v>-133</v>
      </c>
      <c r="T143" s="1">
        <f t="shared" si="3"/>
        <v>1.751879699</v>
      </c>
      <c r="U143" s="1">
        <f t="shared" si="4"/>
        <v>0</v>
      </c>
      <c r="V143" s="3">
        <f t="shared" si="5"/>
        <v>3</v>
      </c>
      <c r="W143" s="3">
        <f t="shared" si="6"/>
        <v>3</v>
      </c>
      <c r="X143" s="3" t="str">
        <f>IFERROR(__xludf.DUMMYFUNCTION("split(B143,"" "")"),"T.")</f>
        <v>T.</v>
      </c>
      <c r="Y143" s="3" t="str">
        <f>IFERROR(__xludf.DUMMYFUNCTION("""COMPUTED_VALUE"""),"Franklin")</f>
        <v>Franklin</v>
      </c>
      <c r="AA143" s="8">
        <v>1.0</v>
      </c>
      <c r="AB143" s="3">
        <f t="shared" si="7"/>
        <v>0</v>
      </c>
      <c r="AC143" s="3">
        <f t="shared" si="8"/>
        <v>1</v>
      </c>
      <c r="AD143" s="3">
        <f t="shared" si="9"/>
        <v>2.255639098</v>
      </c>
      <c r="AE143" s="3">
        <f t="shared" si="10"/>
        <v>2.255639098</v>
      </c>
      <c r="AF143" s="3">
        <f t="shared" si="11"/>
        <v>2.255639098</v>
      </c>
      <c r="AG143" s="3">
        <f t="shared" si="12"/>
        <v>0.6</v>
      </c>
    </row>
    <row r="144">
      <c r="A144" s="1" t="s">
        <v>17</v>
      </c>
      <c r="B144" s="1" t="s">
        <v>464</v>
      </c>
      <c r="C144" s="1" t="s">
        <v>21</v>
      </c>
      <c r="D144" s="1" t="s">
        <v>83</v>
      </c>
      <c r="E144" s="1" t="s">
        <v>77</v>
      </c>
      <c r="F144" s="1" t="s">
        <v>658</v>
      </c>
      <c r="G144" s="1">
        <v>0.5</v>
      </c>
      <c r="H144" s="1" t="s">
        <v>60</v>
      </c>
      <c r="I144" s="1">
        <v>-157.0</v>
      </c>
      <c r="J144" s="1">
        <v>-0.167356031128404</v>
      </c>
      <c r="K144" s="1" t="s">
        <v>61</v>
      </c>
      <c r="L144" s="1" t="s">
        <v>61</v>
      </c>
      <c r="M144" s="1" t="s">
        <v>62</v>
      </c>
      <c r="N144" s="1">
        <v>119.0</v>
      </c>
      <c r="O144" s="1">
        <v>0.0998333333333333</v>
      </c>
      <c r="P144" s="1" t="s">
        <v>61</v>
      </c>
      <c r="Q144" s="1" t="s">
        <v>61</v>
      </c>
      <c r="R144" s="1">
        <f t="shared" si="1"/>
        <v>0.09983333333</v>
      </c>
      <c r="S144" s="1">
        <f t="shared" si="2"/>
        <v>119</v>
      </c>
      <c r="T144" s="1">
        <f t="shared" si="3"/>
        <v>2.19</v>
      </c>
      <c r="U144" s="1">
        <f t="shared" si="4"/>
        <v>0</v>
      </c>
      <c r="V144" s="3">
        <f t="shared" si="5"/>
        <v>2</v>
      </c>
      <c r="W144" s="3">
        <f t="shared" si="6"/>
        <v>1</v>
      </c>
      <c r="X144" s="3" t="str">
        <f>IFERROR(__xludf.DUMMYFUNCTION("split(B144,"" "")"),"B.")</f>
        <v>B.</v>
      </c>
      <c r="Y144" s="3" t="str">
        <f>IFERROR(__xludf.DUMMYFUNCTION("""COMPUTED_VALUE"""),"Nix")</f>
        <v>Nix</v>
      </c>
      <c r="AA144" s="8">
        <v>1.0</v>
      </c>
      <c r="AB144" s="3">
        <f t="shared" si="7"/>
        <v>1</v>
      </c>
      <c r="AC144" s="3">
        <f t="shared" si="8"/>
        <v>0</v>
      </c>
      <c r="AD144" s="3">
        <f t="shared" si="9"/>
        <v>2.38</v>
      </c>
      <c r="AE144" s="3">
        <f t="shared" si="10"/>
        <v>-2</v>
      </c>
      <c r="AF144" s="3">
        <f t="shared" si="11"/>
        <v>-1</v>
      </c>
      <c r="AG144" s="3">
        <f t="shared" si="12"/>
        <v>-1</v>
      </c>
    </row>
    <row r="145">
      <c r="A145" s="1" t="s">
        <v>9</v>
      </c>
      <c r="B145" s="1" t="s">
        <v>465</v>
      </c>
      <c r="C145" s="1" t="s">
        <v>19</v>
      </c>
      <c r="D145" s="1" t="s">
        <v>83</v>
      </c>
      <c r="E145" s="1" t="s">
        <v>77</v>
      </c>
      <c r="F145" s="1" t="s">
        <v>658</v>
      </c>
      <c r="G145" s="1">
        <v>22.5</v>
      </c>
      <c r="H145" s="1" t="s">
        <v>60</v>
      </c>
      <c r="I145" s="1">
        <v>-121.0</v>
      </c>
      <c r="J145" s="1">
        <v>0.0957047842213892</v>
      </c>
      <c r="K145" s="1" t="s">
        <v>61</v>
      </c>
      <c r="L145" s="1" t="s">
        <v>61</v>
      </c>
      <c r="M145" s="1" t="s">
        <v>62</v>
      </c>
      <c r="N145" s="1">
        <v>-112.0</v>
      </c>
      <c r="O145" s="1">
        <v>-0.171487170709803</v>
      </c>
      <c r="P145" s="1" t="s">
        <v>61</v>
      </c>
      <c r="Q145" s="1" t="s">
        <v>61</v>
      </c>
      <c r="R145" s="1">
        <f t="shared" si="1"/>
        <v>0.09570478422</v>
      </c>
      <c r="S145" s="1">
        <f t="shared" si="2"/>
        <v>-121</v>
      </c>
      <c r="T145" s="1">
        <f t="shared" si="3"/>
        <v>1.826446281</v>
      </c>
      <c r="U145" s="1">
        <f t="shared" si="4"/>
        <v>1</v>
      </c>
      <c r="V145" s="3">
        <f t="shared" si="5"/>
        <v>2</v>
      </c>
      <c r="W145" s="3">
        <f t="shared" si="6"/>
        <v>3</v>
      </c>
      <c r="X145" s="3" t="str">
        <f>IFERROR(__xludf.DUMMYFUNCTION("split(B145,"" "")"),"J.")</f>
        <v>J.</v>
      </c>
      <c r="Y145" s="3" t="str">
        <f>IFERROR(__xludf.DUMMYFUNCTION("""COMPUTED_VALUE"""),"McLaughlin")</f>
        <v>McLaughlin</v>
      </c>
      <c r="AA145" s="8">
        <v>20.0</v>
      </c>
      <c r="AB145" s="3">
        <f t="shared" si="7"/>
        <v>0</v>
      </c>
      <c r="AC145" s="3">
        <f t="shared" si="8"/>
        <v>0</v>
      </c>
      <c r="AD145" s="3">
        <f t="shared" si="9"/>
        <v>1.652892562</v>
      </c>
      <c r="AE145" s="3">
        <f t="shared" si="10"/>
        <v>-2</v>
      </c>
      <c r="AF145" s="3">
        <f t="shared" si="11"/>
        <v>-3</v>
      </c>
      <c r="AG145" s="3">
        <f t="shared" si="12"/>
        <v>-0.1111111111</v>
      </c>
    </row>
    <row r="146">
      <c r="A146" s="1" t="s">
        <v>12</v>
      </c>
      <c r="B146" s="1" t="s">
        <v>533</v>
      </c>
      <c r="C146" s="1" t="s">
        <v>18</v>
      </c>
      <c r="D146" s="1" t="s">
        <v>83</v>
      </c>
      <c r="E146" s="1" t="s">
        <v>77</v>
      </c>
      <c r="F146" s="1" t="s">
        <v>658</v>
      </c>
      <c r="G146" s="1">
        <v>2.5</v>
      </c>
      <c r="H146" s="1" t="s">
        <v>60</v>
      </c>
      <c r="I146" s="1">
        <v>104.0</v>
      </c>
      <c r="J146" s="1">
        <v>-0.153694347545098</v>
      </c>
      <c r="K146" s="1" t="s">
        <v>61</v>
      </c>
      <c r="L146" s="1" t="s">
        <v>61</v>
      </c>
      <c r="M146" s="1" t="s">
        <v>62</v>
      </c>
      <c r="N146" s="1">
        <v>-137.0</v>
      </c>
      <c r="O146" s="1">
        <v>0.0854389656438817</v>
      </c>
      <c r="P146" s="1" t="s">
        <v>61</v>
      </c>
      <c r="Q146" s="1" t="s">
        <v>61</v>
      </c>
      <c r="R146" s="1">
        <f t="shared" si="1"/>
        <v>0.08543896564</v>
      </c>
      <c r="S146" s="1">
        <f t="shared" si="2"/>
        <v>-137</v>
      </c>
      <c r="T146" s="1">
        <f t="shared" si="3"/>
        <v>1.729927007</v>
      </c>
      <c r="U146" s="1">
        <f t="shared" si="4"/>
        <v>0</v>
      </c>
      <c r="V146" s="3">
        <f t="shared" si="5"/>
        <v>2</v>
      </c>
      <c r="W146" s="3">
        <f t="shared" si="6"/>
        <v>3</v>
      </c>
      <c r="X146" s="3" t="str">
        <f>IFERROR(__xludf.DUMMYFUNCTION("split(B146,"" "")"),"D.")</f>
        <v>D.</v>
      </c>
      <c r="Y146" s="3" t="str">
        <f>IFERROR(__xludf.DUMMYFUNCTION("""COMPUTED_VALUE"""),"Vele")</f>
        <v>Vele</v>
      </c>
      <c r="AA146" s="8">
        <v>2.0</v>
      </c>
      <c r="AB146" s="3">
        <f t="shared" si="7"/>
        <v>0</v>
      </c>
      <c r="AC146" s="3">
        <f t="shared" si="8"/>
        <v>1</v>
      </c>
      <c r="AD146" s="3">
        <f t="shared" si="9"/>
        <v>1.459854015</v>
      </c>
      <c r="AE146" s="3">
        <f t="shared" si="10"/>
        <v>1.459854015</v>
      </c>
      <c r="AF146" s="3">
        <f t="shared" si="11"/>
        <v>2.189781022</v>
      </c>
      <c r="AG146" s="3">
        <f t="shared" si="12"/>
        <v>0.2</v>
      </c>
    </row>
    <row r="147">
      <c r="A147" s="1" t="s">
        <v>9</v>
      </c>
      <c r="B147" s="1" t="s">
        <v>532</v>
      </c>
      <c r="C147" s="1" t="s">
        <v>18</v>
      </c>
      <c r="D147" s="1" t="s">
        <v>83</v>
      </c>
      <c r="E147" s="1" t="s">
        <v>77</v>
      </c>
      <c r="F147" s="1" t="s">
        <v>658</v>
      </c>
      <c r="G147" s="1">
        <v>20.5</v>
      </c>
      <c r="H147" s="1" t="s">
        <v>60</v>
      </c>
      <c r="I147" s="1">
        <v>-120.0</v>
      </c>
      <c r="J147" s="1">
        <v>0.0709266688577632</v>
      </c>
      <c r="K147" s="1" t="s">
        <v>61</v>
      </c>
      <c r="L147" s="1" t="s">
        <v>61</v>
      </c>
      <c r="M147" s="1" t="s">
        <v>62</v>
      </c>
      <c r="N147" s="1">
        <v>-110.0</v>
      </c>
      <c r="O147" s="1">
        <v>-0.140142161255136</v>
      </c>
      <c r="P147" s="1" t="s">
        <v>61</v>
      </c>
      <c r="Q147" s="1" t="s">
        <v>61</v>
      </c>
      <c r="R147" s="1">
        <f t="shared" si="1"/>
        <v>0.07092666886</v>
      </c>
      <c r="S147" s="1">
        <f t="shared" si="2"/>
        <v>-120</v>
      </c>
      <c r="T147" s="1">
        <f t="shared" si="3"/>
        <v>1.833333333</v>
      </c>
      <c r="U147" s="1">
        <f t="shared" si="4"/>
        <v>1</v>
      </c>
      <c r="V147" s="3">
        <f t="shared" si="5"/>
        <v>2</v>
      </c>
      <c r="W147" s="3">
        <f t="shared" si="6"/>
        <v>3</v>
      </c>
      <c r="X147" s="3" t="str">
        <f>IFERROR(__xludf.DUMMYFUNCTION("split(B147,"" "")"),"L.")</f>
        <v>L.</v>
      </c>
      <c r="Y147" s="3" t="str">
        <f>IFERROR(__xludf.DUMMYFUNCTION("""COMPUTED_VALUE"""),"Humphrey")</f>
        <v>Humphrey</v>
      </c>
      <c r="AA147" s="8">
        <v>11.0</v>
      </c>
      <c r="AB147" s="3">
        <f t="shared" si="7"/>
        <v>0</v>
      </c>
      <c r="AC147" s="3">
        <f t="shared" si="8"/>
        <v>0</v>
      </c>
      <c r="AD147" s="3">
        <f t="shared" si="9"/>
        <v>1.666666667</v>
      </c>
      <c r="AE147" s="3">
        <f t="shared" si="10"/>
        <v>-2</v>
      </c>
      <c r="AF147" s="3">
        <f t="shared" si="11"/>
        <v>-3</v>
      </c>
      <c r="AG147" s="3">
        <f t="shared" si="12"/>
        <v>-0.4634146341</v>
      </c>
    </row>
    <row r="148">
      <c r="A148" s="1" t="s">
        <v>14</v>
      </c>
      <c r="B148" s="1" t="s">
        <v>464</v>
      </c>
      <c r="C148" s="1" t="s">
        <v>21</v>
      </c>
      <c r="D148" s="1" t="s">
        <v>83</v>
      </c>
      <c r="E148" s="1" t="s">
        <v>77</v>
      </c>
      <c r="F148" s="1" t="s">
        <v>658</v>
      </c>
      <c r="G148" s="1">
        <v>1.5</v>
      </c>
      <c r="H148" s="1" t="s">
        <v>60</v>
      </c>
      <c r="I148" s="1">
        <v>195.0</v>
      </c>
      <c r="J148" s="1">
        <v>0.0699169491525424</v>
      </c>
      <c r="K148" s="1" t="s">
        <v>61</v>
      </c>
      <c r="L148" s="1" t="s">
        <v>61</v>
      </c>
      <c r="M148" s="1" t="s">
        <v>62</v>
      </c>
      <c r="N148" s="1">
        <v>-260.0</v>
      </c>
      <c r="O148" s="1">
        <v>-0.131122222222222</v>
      </c>
      <c r="P148" s="1" t="s">
        <v>61</v>
      </c>
      <c r="Q148" s="1" t="s">
        <v>61</v>
      </c>
      <c r="R148" s="1">
        <f t="shared" si="1"/>
        <v>0.06991694915</v>
      </c>
      <c r="S148" s="1">
        <f t="shared" si="2"/>
        <v>195</v>
      </c>
      <c r="T148" s="1">
        <f t="shared" si="3"/>
        <v>2.95</v>
      </c>
      <c r="U148" s="1">
        <f t="shared" si="4"/>
        <v>1</v>
      </c>
      <c r="V148" s="3">
        <f t="shared" si="5"/>
        <v>2</v>
      </c>
      <c r="W148" s="3">
        <f t="shared" si="6"/>
        <v>1</v>
      </c>
      <c r="X148" s="3" t="str">
        <f>IFERROR(__xludf.DUMMYFUNCTION("split(B148,"" "")"),"B.")</f>
        <v>B.</v>
      </c>
      <c r="Y148" s="3" t="str">
        <f>IFERROR(__xludf.DUMMYFUNCTION("""COMPUTED_VALUE"""),"Nix")</f>
        <v>Nix</v>
      </c>
      <c r="AA148" s="8">
        <v>0.0</v>
      </c>
      <c r="AB148" s="3">
        <f t="shared" si="7"/>
        <v>0</v>
      </c>
      <c r="AC148" s="3">
        <f t="shared" si="8"/>
        <v>0</v>
      </c>
      <c r="AD148" s="3">
        <f t="shared" si="9"/>
        <v>3.9</v>
      </c>
      <c r="AE148" s="3">
        <f t="shared" si="10"/>
        <v>-2</v>
      </c>
      <c r="AF148" s="3">
        <f t="shared" si="11"/>
        <v>-1</v>
      </c>
      <c r="AG148" s="3">
        <f t="shared" si="12"/>
        <v>-1</v>
      </c>
    </row>
    <row r="149">
      <c r="A149" s="1" t="s">
        <v>12</v>
      </c>
      <c r="B149" s="1" t="s">
        <v>532</v>
      </c>
      <c r="C149" s="1" t="s">
        <v>18</v>
      </c>
      <c r="D149" s="1" t="s">
        <v>83</v>
      </c>
      <c r="E149" s="1" t="s">
        <v>77</v>
      </c>
      <c r="F149" s="1" t="s">
        <v>658</v>
      </c>
      <c r="G149" s="1">
        <v>2.5</v>
      </c>
      <c r="H149" s="1" t="s">
        <v>60</v>
      </c>
      <c r="I149" s="1">
        <v>134.0</v>
      </c>
      <c r="J149" s="1">
        <v>-0.134959499170085</v>
      </c>
      <c r="K149" s="1" t="s">
        <v>61</v>
      </c>
      <c r="L149" s="1" t="s">
        <v>61</v>
      </c>
      <c r="M149" s="1" t="s">
        <v>62</v>
      </c>
      <c r="N149" s="1">
        <v>-178.0</v>
      </c>
      <c r="O149" s="1">
        <v>0.067334184994964</v>
      </c>
      <c r="P149" s="1" t="s">
        <v>61</v>
      </c>
      <c r="Q149" s="1" t="s">
        <v>61</v>
      </c>
      <c r="R149" s="1">
        <f t="shared" si="1"/>
        <v>0.06733418499</v>
      </c>
      <c r="S149" s="1">
        <f t="shared" si="2"/>
        <v>-178</v>
      </c>
      <c r="T149" s="1">
        <f t="shared" si="3"/>
        <v>1.561797753</v>
      </c>
      <c r="U149" s="1">
        <f t="shared" si="4"/>
        <v>0</v>
      </c>
      <c r="V149" s="3">
        <f t="shared" si="5"/>
        <v>2</v>
      </c>
      <c r="W149" s="3">
        <f t="shared" si="6"/>
        <v>3</v>
      </c>
      <c r="X149" s="3" t="str">
        <f>IFERROR(__xludf.DUMMYFUNCTION("split(B149,"" "")"),"L.")</f>
        <v>L.</v>
      </c>
      <c r="Y149" s="3" t="str">
        <f>IFERROR(__xludf.DUMMYFUNCTION("""COMPUTED_VALUE"""),"Humphrey")</f>
        <v>Humphrey</v>
      </c>
      <c r="AA149" s="8">
        <v>2.0</v>
      </c>
      <c r="AB149" s="3">
        <f t="shared" si="7"/>
        <v>0</v>
      </c>
      <c r="AC149" s="3">
        <f t="shared" si="8"/>
        <v>1</v>
      </c>
      <c r="AD149" s="3">
        <f t="shared" si="9"/>
        <v>1.123595506</v>
      </c>
      <c r="AE149" s="3">
        <f t="shared" si="10"/>
        <v>1.123595506</v>
      </c>
      <c r="AF149" s="3">
        <f t="shared" si="11"/>
        <v>1.685393258</v>
      </c>
      <c r="AG149" s="3">
        <f t="shared" si="12"/>
        <v>0.2</v>
      </c>
    </row>
    <row r="150">
      <c r="A150" s="1" t="s">
        <v>12</v>
      </c>
      <c r="B150" s="1" t="s">
        <v>401</v>
      </c>
      <c r="C150" s="1" t="s">
        <v>18</v>
      </c>
      <c r="D150" s="1" t="s">
        <v>83</v>
      </c>
      <c r="E150" s="1" t="s">
        <v>77</v>
      </c>
      <c r="F150" s="1" t="s">
        <v>658</v>
      </c>
      <c r="G150" s="1">
        <v>3.5</v>
      </c>
      <c r="H150" s="1" t="s">
        <v>60</v>
      </c>
      <c r="I150" s="1">
        <v>-167.0</v>
      </c>
      <c r="J150" s="1">
        <v>-0.132068164794007</v>
      </c>
      <c r="K150" s="1" t="s">
        <v>61</v>
      </c>
      <c r="L150" s="1" t="s">
        <v>61</v>
      </c>
      <c r="M150" s="1" t="s">
        <v>62</v>
      </c>
      <c r="N150" s="1">
        <v>127.0</v>
      </c>
      <c r="O150" s="1">
        <v>0.0660713656387664</v>
      </c>
      <c r="P150" s="1" t="s">
        <v>61</v>
      </c>
      <c r="Q150" s="1" t="s">
        <v>61</v>
      </c>
      <c r="R150" s="1">
        <f t="shared" si="1"/>
        <v>0.06607136564</v>
      </c>
      <c r="S150" s="1">
        <f t="shared" si="2"/>
        <v>127</v>
      </c>
      <c r="T150" s="1">
        <f t="shared" si="3"/>
        <v>2.27</v>
      </c>
      <c r="U150" s="1">
        <f t="shared" si="4"/>
        <v>0</v>
      </c>
      <c r="V150" s="3">
        <f t="shared" si="5"/>
        <v>2</v>
      </c>
      <c r="W150" s="3">
        <f t="shared" si="6"/>
        <v>1</v>
      </c>
      <c r="X150" s="3" t="str">
        <f>IFERROR(__xludf.DUMMYFUNCTION("split(B150,"" "")"),"C.")</f>
        <v>C.</v>
      </c>
      <c r="Y150" s="3" t="str">
        <f>IFERROR(__xludf.DUMMYFUNCTION("""COMPUTED_VALUE"""),"Sutton")</f>
        <v>Sutton</v>
      </c>
      <c r="AA150" s="8">
        <v>7.0</v>
      </c>
      <c r="AB150" s="3">
        <f t="shared" si="7"/>
        <v>1</v>
      </c>
      <c r="AC150" s="3">
        <f t="shared" si="8"/>
        <v>0</v>
      </c>
      <c r="AD150" s="3">
        <f t="shared" si="9"/>
        <v>2.54</v>
      </c>
      <c r="AE150" s="3">
        <f t="shared" si="10"/>
        <v>-2</v>
      </c>
      <c r="AF150" s="3">
        <f t="shared" si="11"/>
        <v>-1</v>
      </c>
      <c r="AG150" s="3">
        <f t="shared" si="12"/>
        <v>-1</v>
      </c>
    </row>
    <row r="151">
      <c r="A151" s="1" t="s">
        <v>9</v>
      </c>
      <c r="B151" s="1" t="s">
        <v>533</v>
      </c>
      <c r="C151" s="1" t="s">
        <v>18</v>
      </c>
      <c r="D151" s="1" t="s">
        <v>83</v>
      </c>
      <c r="E151" s="1" t="s">
        <v>77</v>
      </c>
      <c r="F151" s="1" t="s">
        <v>658</v>
      </c>
      <c r="G151" s="1">
        <v>24.5</v>
      </c>
      <c r="H151" s="1" t="s">
        <v>60</v>
      </c>
      <c r="I151" s="1">
        <v>-117.0</v>
      </c>
      <c r="J151" s="1">
        <v>0.0484716573648104</v>
      </c>
      <c r="K151" s="1" t="s">
        <v>61</v>
      </c>
      <c r="L151" s="1" t="s">
        <v>61</v>
      </c>
      <c r="M151" s="1" t="s">
        <v>62</v>
      </c>
      <c r="N151" s="1">
        <v>-115.0</v>
      </c>
      <c r="O151" s="1">
        <v>-0.122516591141341</v>
      </c>
      <c r="P151" s="1" t="s">
        <v>61</v>
      </c>
      <c r="Q151" s="1" t="s">
        <v>61</v>
      </c>
      <c r="R151" s="1">
        <f t="shared" si="1"/>
        <v>0.04847165736</v>
      </c>
      <c r="S151" s="1">
        <f t="shared" si="2"/>
        <v>-117</v>
      </c>
      <c r="T151" s="1">
        <f t="shared" si="3"/>
        <v>1.854700855</v>
      </c>
      <c r="U151" s="1">
        <f t="shared" si="4"/>
        <v>1</v>
      </c>
      <c r="V151" s="3">
        <f t="shared" si="5"/>
        <v>1</v>
      </c>
      <c r="W151" s="3">
        <f t="shared" si="6"/>
        <v>2</v>
      </c>
      <c r="X151" s="3" t="str">
        <f>IFERROR(__xludf.DUMMYFUNCTION("split(B151,"" "")"),"D.")</f>
        <v>D.</v>
      </c>
      <c r="Y151" s="3" t="str">
        <f>IFERROR(__xludf.DUMMYFUNCTION("""COMPUTED_VALUE"""),"Vele")</f>
        <v>Vele</v>
      </c>
      <c r="AA151" s="8">
        <v>11.0</v>
      </c>
      <c r="AB151" s="3">
        <f t="shared" si="7"/>
        <v>0</v>
      </c>
      <c r="AC151" s="3">
        <f t="shared" si="8"/>
        <v>0</v>
      </c>
      <c r="AD151" s="3">
        <f t="shared" si="9"/>
        <v>0.8547008547</v>
      </c>
      <c r="AE151" s="3">
        <f t="shared" si="10"/>
        <v>-1</v>
      </c>
      <c r="AF151" s="3">
        <f t="shared" si="11"/>
        <v>-2</v>
      </c>
      <c r="AG151" s="3">
        <f t="shared" si="12"/>
        <v>-0.5510204082</v>
      </c>
    </row>
    <row r="152">
      <c r="A152" s="1" t="s">
        <v>10</v>
      </c>
      <c r="B152" s="1" t="s">
        <v>127</v>
      </c>
      <c r="C152" s="1" t="s">
        <v>19</v>
      </c>
      <c r="D152" s="1" t="s">
        <v>83</v>
      </c>
      <c r="E152" s="1" t="s">
        <v>77</v>
      </c>
      <c r="F152" s="1" t="s">
        <v>658</v>
      </c>
      <c r="G152" s="1">
        <v>35.5</v>
      </c>
      <c r="H152" s="1" t="s">
        <v>60</v>
      </c>
      <c r="I152" s="1">
        <v>-119.0</v>
      </c>
      <c r="J152" s="1">
        <v>-0.101867867309365</v>
      </c>
      <c r="K152" s="1" t="s">
        <v>61</v>
      </c>
      <c r="L152" s="1" t="s">
        <v>61</v>
      </c>
      <c r="M152" s="1" t="s">
        <v>62</v>
      </c>
      <c r="N152" s="1">
        <v>-107.0</v>
      </c>
      <c r="O152" s="1">
        <v>0.0416967768242836</v>
      </c>
      <c r="P152" s="1" t="s">
        <v>61</v>
      </c>
      <c r="Q152" s="1" t="s">
        <v>61</v>
      </c>
      <c r="R152" s="1">
        <f t="shared" si="1"/>
        <v>0.04169677682</v>
      </c>
      <c r="S152" s="1">
        <f t="shared" si="2"/>
        <v>-107</v>
      </c>
      <c r="T152" s="1">
        <f t="shared" si="3"/>
        <v>1.934579439</v>
      </c>
      <c r="U152" s="1">
        <f t="shared" si="4"/>
        <v>0</v>
      </c>
      <c r="V152" s="3">
        <f t="shared" si="5"/>
        <v>1</v>
      </c>
      <c r="W152" s="3">
        <f t="shared" si="6"/>
        <v>2</v>
      </c>
      <c r="X152" s="3" t="str">
        <f>IFERROR(__xludf.DUMMYFUNCTION("split(B152,"" "")"),"J.")</f>
        <v>J.</v>
      </c>
      <c r="Y152" s="3" t="str">
        <f>IFERROR(__xludf.DUMMYFUNCTION("""COMPUTED_VALUE"""),"Williams")</f>
        <v>Williams</v>
      </c>
      <c r="AA152" s="8">
        <v>42.0</v>
      </c>
      <c r="AB152" s="3">
        <f t="shared" si="7"/>
        <v>1</v>
      </c>
      <c r="AC152" s="3">
        <f t="shared" si="8"/>
        <v>0</v>
      </c>
      <c r="AD152" s="3">
        <f t="shared" si="9"/>
        <v>0.9345794393</v>
      </c>
      <c r="AE152" s="3">
        <f t="shared" si="10"/>
        <v>-1</v>
      </c>
      <c r="AF152" s="3">
        <f t="shared" si="11"/>
        <v>-2</v>
      </c>
      <c r="AG152" s="3">
        <f t="shared" si="12"/>
        <v>-0.1830985915</v>
      </c>
    </row>
    <row r="153">
      <c r="A153" s="1" t="s">
        <v>9</v>
      </c>
      <c r="B153" s="1" t="s">
        <v>652</v>
      </c>
      <c r="C153" s="1" t="s">
        <v>18</v>
      </c>
      <c r="D153" s="1" t="s">
        <v>83</v>
      </c>
      <c r="E153" s="1" t="s">
        <v>77</v>
      </c>
      <c r="F153" s="1" t="s">
        <v>658</v>
      </c>
      <c r="G153" s="1">
        <v>26.5</v>
      </c>
      <c r="H153" s="1" t="s">
        <v>60</v>
      </c>
      <c r="I153" s="1">
        <v>-116.0</v>
      </c>
      <c r="J153" s="1">
        <v>0.0339270008614602</v>
      </c>
      <c r="K153" s="1" t="s">
        <v>61</v>
      </c>
      <c r="L153" s="1" t="s">
        <v>61</v>
      </c>
      <c r="M153" s="1" t="s">
        <v>62</v>
      </c>
      <c r="N153" s="1">
        <v>-116.0</v>
      </c>
      <c r="O153" s="1">
        <v>-0.107963320999293</v>
      </c>
      <c r="P153" s="1" t="s">
        <v>61</v>
      </c>
      <c r="Q153" s="1" t="s">
        <v>61</v>
      </c>
      <c r="R153" s="1">
        <f t="shared" si="1"/>
        <v>0.03392700086</v>
      </c>
      <c r="S153" s="1">
        <f t="shared" si="2"/>
        <v>-116</v>
      </c>
      <c r="T153" s="1">
        <f t="shared" si="3"/>
        <v>1.862068966</v>
      </c>
      <c r="U153" s="1">
        <f t="shared" si="4"/>
        <v>1</v>
      </c>
      <c r="V153" s="3">
        <f t="shared" si="5"/>
        <v>1</v>
      </c>
      <c r="W153" s="3">
        <f t="shared" si="6"/>
        <v>2</v>
      </c>
      <c r="X153" s="3" t="str">
        <f>IFERROR(__xludf.DUMMYFUNCTION("split(B153,"" "")"),"T.")</f>
        <v>T.</v>
      </c>
      <c r="Y153" s="3" t="str">
        <f>IFERROR(__xludf.DUMMYFUNCTION("""COMPUTED_VALUE"""),"Franklin")</f>
        <v>Franklin</v>
      </c>
      <c r="AA153" s="8">
        <v>19.0</v>
      </c>
      <c r="AB153" s="3">
        <f t="shared" si="7"/>
        <v>0</v>
      </c>
      <c r="AC153" s="3">
        <f t="shared" si="8"/>
        <v>0</v>
      </c>
      <c r="AD153" s="3">
        <f t="shared" si="9"/>
        <v>0.8620689655</v>
      </c>
      <c r="AE153" s="3">
        <f t="shared" si="10"/>
        <v>-1</v>
      </c>
      <c r="AF153" s="3">
        <f t="shared" si="11"/>
        <v>-2</v>
      </c>
      <c r="AG153" s="3">
        <f t="shared" si="12"/>
        <v>-0.2830188679</v>
      </c>
    </row>
    <row r="154">
      <c r="A154" s="1" t="s">
        <v>11</v>
      </c>
      <c r="B154" s="1" t="s">
        <v>616</v>
      </c>
      <c r="C154" s="1" t="s">
        <v>20</v>
      </c>
      <c r="D154" s="1" t="s">
        <v>83</v>
      </c>
      <c r="E154" s="1" t="s">
        <v>77</v>
      </c>
      <c r="F154" s="1" t="s">
        <v>658</v>
      </c>
      <c r="G154" s="1">
        <v>7.5</v>
      </c>
      <c r="H154" s="1" t="s">
        <v>60</v>
      </c>
      <c r="I154" s="1">
        <v>-128.0</v>
      </c>
      <c r="J154" s="1">
        <v>0.0330509796303432</v>
      </c>
      <c r="K154" s="1" t="s">
        <v>61</v>
      </c>
      <c r="L154" s="1" t="s">
        <v>61</v>
      </c>
      <c r="M154" s="1" t="s">
        <v>62</v>
      </c>
      <c r="N154" s="1">
        <v>-103.0</v>
      </c>
      <c r="O154" s="1">
        <v>-0.101820827863989</v>
      </c>
      <c r="P154" s="1" t="s">
        <v>61</v>
      </c>
      <c r="Q154" s="1" t="s">
        <v>61</v>
      </c>
      <c r="R154" s="1">
        <f t="shared" si="1"/>
        <v>0.03305097963</v>
      </c>
      <c r="S154" s="1">
        <f t="shared" si="2"/>
        <v>-128</v>
      </c>
      <c r="T154" s="1">
        <f t="shared" si="3"/>
        <v>1.78125</v>
      </c>
      <c r="U154" s="1">
        <f t="shared" si="4"/>
        <v>1</v>
      </c>
      <c r="V154" s="3">
        <f t="shared" si="5"/>
        <v>1</v>
      </c>
      <c r="W154" s="3">
        <f t="shared" si="6"/>
        <v>3</v>
      </c>
      <c r="X154" s="3" t="str">
        <f>IFERROR(__xludf.DUMMYFUNCTION("split(B154,"" "")"),"A.")</f>
        <v>A.</v>
      </c>
      <c r="Y154" s="3" t="str">
        <f>IFERROR(__xludf.DUMMYFUNCTION("""COMPUTED_VALUE"""),"Trautman")</f>
        <v>Trautman</v>
      </c>
      <c r="AA154" s="8">
        <v>4.0</v>
      </c>
      <c r="AB154" s="3">
        <f t="shared" si="7"/>
        <v>0</v>
      </c>
      <c r="AC154" s="3">
        <f t="shared" si="8"/>
        <v>0</v>
      </c>
      <c r="AD154" s="3">
        <f t="shared" si="9"/>
        <v>0.78125</v>
      </c>
      <c r="AE154" s="3">
        <f t="shared" si="10"/>
        <v>-1</v>
      </c>
      <c r="AF154" s="3">
        <f t="shared" si="11"/>
        <v>-3</v>
      </c>
      <c r="AG154" s="3">
        <f t="shared" si="12"/>
        <v>-0.4666666667</v>
      </c>
    </row>
    <row r="155">
      <c r="A155" s="1" t="s">
        <v>11</v>
      </c>
      <c r="B155" s="1" t="s">
        <v>532</v>
      </c>
      <c r="C155" s="1" t="s">
        <v>18</v>
      </c>
      <c r="D155" s="1" t="s">
        <v>83</v>
      </c>
      <c r="E155" s="1" t="s">
        <v>77</v>
      </c>
      <c r="F155" s="1" t="s">
        <v>658</v>
      </c>
      <c r="G155" s="1">
        <v>20.5</v>
      </c>
      <c r="H155" s="1" t="s">
        <v>60</v>
      </c>
      <c r="I155" s="1">
        <v>-113.0</v>
      </c>
      <c r="J155" s="1">
        <v>-0.0864231358967089</v>
      </c>
      <c r="K155" s="1" t="s">
        <v>61</v>
      </c>
      <c r="L155" s="1" t="s">
        <v>61</v>
      </c>
      <c r="M155" s="1" t="s">
        <v>62</v>
      </c>
      <c r="N155" s="1">
        <v>-114.0</v>
      </c>
      <c r="O155" s="1">
        <v>0.0231973264413032</v>
      </c>
      <c r="P155" s="1" t="s">
        <v>61</v>
      </c>
      <c r="Q155" s="1" t="s">
        <v>61</v>
      </c>
      <c r="R155" s="1">
        <f t="shared" si="1"/>
        <v>0.02319732644</v>
      </c>
      <c r="S155" s="1">
        <f t="shared" si="2"/>
        <v>-114</v>
      </c>
      <c r="T155" s="1">
        <f t="shared" si="3"/>
        <v>1.877192982</v>
      </c>
      <c r="U155" s="1">
        <f t="shared" si="4"/>
        <v>0</v>
      </c>
      <c r="V155" s="3">
        <f t="shared" si="5"/>
        <v>1</v>
      </c>
      <c r="W155" s="3">
        <f t="shared" si="6"/>
        <v>2</v>
      </c>
      <c r="X155" s="3" t="str">
        <f>IFERROR(__xludf.DUMMYFUNCTION("split(B155,"" "")"),"L.")</f>
        <v>L.</v>
      </c>
      <c r="Y155" s="3" t="str">
        <f>IFERROR(__xludf.DUMMYFUNCTION("""COMPUTED_VALUE"""),"Humphrey")</f>
        <v>Humphrey</v>
      </c>
      <c r="AA155" s="8">
        <v>11.0</v>
      </c>
      <c r="AB155" s="3">
        <f t="shared" si="7"/>
        <v>0</v>
      </c>
      <c r="AC155" s="3">
        <f t="shared" si="8"/>
        <v>1</v>
      </c>
      <c r="AD155" s="3">
        <f t="shared" si="9"/>
        <v>0.8771929825</v>
      </c>
      <c r="AE155" s="3">
        <f t="shared" si="10"/>
        <v>0.8771929825</v>
      </c>
      <c r="AF155" s="3">
        <f t="shared" si="11"/>
        <v>1.754385965</v>
      </c>
      <c r="AG155" s="3">
        <f t="shared" si="12"/>
        <v>0.4634146341</v>
      </c>
    </row>
    <row r="156">
      <c r="A156" s="1" t="s">
        <v>11</v>
      </c>
      <c r="B156" s="1" t="s">
        <v>127</v>
      </c>
      <c r="C156" s="1" t="s">
        <v>19</v>
      </c>
      <c r="D156" s="1" t="s">
        <v>83</v>
      </c>
      <c r="E156" s="1" t="s">
        <v>77</v>
      </c>
      <c r="F156" s="1" t="s">
        <v>658</v>
      </c>
      <c r="G156" s="1">
        <v>19.5</v>
      </c>
      <c r="H156" s="1" t="s">
        <v>60</v>
      </c>
      <c r="I156" s="1">
        <v>-116.0</v>
      </c>
      <c r="J156" s="1">
        <v>-0.085403432452801</v>
      </c>
      <c r="K156" s="1" t="s">
        <v>61</v>
      </c>
      <c r="L156" s="1" t="s">
        <v>61</v>
      </c>
      <c r="M156" s="1" t="s">
        <v>62</v>
      </c>
      <c r="N156" s="1">
        <v>-111.0</v>
      </c>
      <c r="O156" s="1">
        <v>0.0223363552838083</v>
      </c>
      <c r="P156" s="1" t="s">
        <v>61</v>
      </c>
      <c r="Q156" s="1" t="s">
        <v>61</v>
      </c>
      <c r="R156" s="1">
        <f t="shared" si="1"/>
        <v>0.02233635528</v>
      </c>
      <c r="S156" s="1">
        <f t="shared" si="2"/>
        <v>-111</v>
      </c>
      <c r="T156" s="1">
        <f t="shared" si="3"/>
        <v>1.900900901</v>
      </c>
      <c r="U156" s="1">
        <f t="shared" si="4"/>
        <v>0</v>
      </c>
      <c r="V156" s="3">
        <f t="shared" si="5"/>
        <v>1</v>
      </c>
      <c r="W156" s="3">
        <f t="shared" si="6"/>
        <v>2</v>
      </c>
      <c r="X156" s="3" t="str">
        <f>IFERROR(__xludf.DUMMYFUNCTION("split(B156,"" "")"),"J.")</f>
        <v>J.</v>
      </c>
      <c r="Y156" s="3" t="str">
        <f>IFERROR(__xludf.DUMMYFUNCTION("""COMPUTED_VALUE"""),"Williams")</f>
        <v>Williams</v>
      </c>
      <c r="AA156" s="8">
        <v>42.0</v>
      </c>
      <c r="AB156" s="3">
        <f t="shared" si="7"/>
        <v>1</v>
      </c>
      <c r="AC156" s="3">
        <f t="shared" si="8"/>
        <v>0</v>
      </c>
      <c r="AD156" s="3">
        <f t="shared" si="9"/>
        <v>0.9009009009</v>
      </c>
      <c r="AE156" s="3">
        <f t="shared" si="10"/>
        <v>-1</v>
      </c>
      <c r="AF156" s="3">
        <f t="shared" si="11"/>
        <v>-2</v>
      </c>
      <c r="AG156" s="3">
        <f t="shared" si="12"/>
        <v>-1.153846154</v>
      </c>
    </row>
    <row r="157">
      <c r="A157" s="1" t="s">
        <v>15</v>
      </c>
      <c r="B157" s="1" t="s">
        <v>464</v>
      </c>
      <c r="C157" s="1" t="s">
        <v>21</v>
      </c>
      <c r="D157" s="1" t="s">
        <v>83</v>
      </c>
      <c r="E157" s="1" t="s">
        <v>77</v>
      </c>
      <c r="F157" s="1" t="s">
        <v>658</v>
      </c>
      <c r="G157" s="1">
        <v>20.5</v>
      </c>
      <c r="H157" s="1" t="s">
        <v>60</v>
      </c>
      <c r="I157" s="1">
        <v>-119.0</v>
      </c>
      <c r="J157" s="1">
        <v>0.0146210045662101</v>
      </c>
      <c r="K157" s="1" t="s">
        <v>61</v>
      </c>
      <c r="L157" s="1" t="s">
        <v>61</v>
      </c>
      <c r="M157" s="1" t="s">
        <v>62</v>
      </c>
      <c r="N157" s="1">
        <v>-112.0</v>
      </c>
      <c r="O157" s="1">
        <v>-0.0863018867924527</v>
      </c>
      <c r="P157" s="1" t="s">
        <v>61</v>
      </c>
      <c r="Q157" s="1" t="s">
        <v>61</v>
      </c>
      <c r="R157" s="1">
        <f t="shared" si="1"/>
        <v>0.01462100457</v>
      </c>
      <c r="S157" s="1">
        <f t="shared" si="2"/>
        <v>-119</v>
      </c>
      <c r="T157" s="1">
        <f t="shared" si="3"/>
        <v>1.840336134</v>
      </c>
      <c r="U157" s="1">
        <f t="shared" si="4"/>
        <v>1</v>
      </c>
      <c r="V157" s="3">
        <f t="shared" si="5"/>
        <v>1</v>
      </c>
      <c r="W157" s="3">
        <f t="shared" si="6"/>
        <v>3</v>
      </c>
      <c r="X157" s="3" t="str">
        <f>IFERROR(__xludf.DUMMYFUNCTION("split(B157,"" "")"),"B.")</f>
        <v>B.</v>
      </c>
      <c r="Y157" s="3" t="str">
        <f>IFERROR(__xludf.DUMMYFUNCTION("""COMPUTED_VALUE"""),"Nix")</f>
        <v>Nix</v>
      </c>
      <c r="AA157" s="8">
        <v>19.0</v>
      </c>
      <c r="AB157" s="3">
        <f t="shared" si="7"/>
        <v>0</v>
      </c>
      <c r="AC157" s="3">
        <f t="shared" si="8"/>
        <v>0</v>
      </c>
      <c r="AD157" s="3">
        <f t="shared" si="9"/>
        <v>0.8403361345</v>
      </c>
      <c r="AE157" s="3">
        <f t="shared" si="10"/>
        <v>-1</v>
      </c>
      <c r="AF157" s="3">
        <f t="shared" si="11"/>
        <v>-3</v>
      </c>
      <c r="AG157" s="3">
        <f t="shared" si="12"/>
        <v>-0.07317073171</v>
      </c>
    </row>
    <row r="158">
      <c r="A158" s="1" t="s">
        <v>16</v>
      </c>
      <c r="B158" s="1" t="s">
        <v>464</v>
      </c>
      <c r="C158" s="1" t="s">
        <v>21</v>
      </c>
      <c r="D158" s="1" t="s">
        <v>83</v>
      </c>
      <c r="E158" s="1" t="s">
        <v>77</v>
      </c>
      <c r="F158" s="1" t="s">
        <v>658</v>
      </c>
      <c r="G158" s="1">
        <v>32.5</v>
      </c>
      <c r="H158" s="1" t="s">
        <v>60</v>
      </c>
      <c r="I158" s="1">
        <v>-139.0</v>
      </c>
      <c r="J158" s="1">
        <v>-0.0756925803736401</v>
      </c>
      <c r="K158" s="1" t="s">
        <v>61</v>
      </c>
      <c r="L158" s="1" t="s">
        <v>61</v>
      </c>
      <c r="M158" s="1" t="s">
        <v>62</v>
      </c>
      <c r="N158" s="1">
        <v>108.0</v>
      </c>
      <c r="O158" s="1">
        <v>0.0133331102865384</v>
      </c>
      <c r="P158" s="1" t="s">
        <v>61</v>
      </c>
      <c r="Q158" s="1" t="s">
        <v>61</v>
      </c>
      <c r="R158" s="1">
        <f t="shared" si="1"/>
        <v>0.01333311029</v>
      </c>
      <c r="S158" s="1">
        <f t="shared" si="2"/>
        <v>108</v>
      </c>
      <c r="T158" s="1">
        <f t="shared" si="3"/>
        <v>2.08</v>
      </c>
      <c r="U158" s="1">
        <f t="shared" si="4"/>
        <v>0</v>
      </c>
      <c r="V158" s="3">
        <f t="shared" si="5"/>
        <v>1</v>
      </c>
      <c r="W158" s="3">
        <f t="shared" si="6"/>
        <v>2</v>
      </c>
      <c r="X158" s="3" t="str">
        <f>IFERROR(__xludf.DUMMYFUNCTION("split(B158,"" "")"),"B.")</f>
        <v>B.</v>
      </c>
      <c r="Y158" s="3" t="str">
        <f>IFERROR(__xludf.DUMMYFUNCTION("""COMPUTED_VALUE"""),"Nix")</f>
        <v>Nix</v>
      </c>
      <c r="AA158" s="8">
        <v>33.0</v>
      </c>
      <c r="AB158" s="3">
        <f t="shared" si="7"/>
        <v>1</v>
      </c>
      <c r="AC158" s="3">
        <f t="shared" si="8"/>
        <v>0</v>
      </c>
      <c r="AD158" s="3">
        <f t="shared" si="9"/>
        <v>1.08</v>
      </c>
      <c r="AE158" s="3">
        <f t="shared" si="10"/>
        <v>-1</v>
      </c>
      <c r="AF158" s="3">
        <f t="shared" si="11"/>
        <v>-2</v>
      </c>
      <c r="AG158" s="3">
        <f t="shared" si="12"/>
        <v>-0.01538461538</v>
      </c>
    </row>
    <row r="159">
      <c r="A159" s="1" t="s">
        <v>10</v>
      </c>
      <c r="B159" s="1" t="s">
        <v>464</v>
      </c>
      <c r="C159" s="1" t="s">
        <v>21</v>
      </c>
      <c r="D159" s="1" t="s">
        <v>83</v>
      </c>
      <c r="E159" s="1" t="s">
        <v>77</v>
      </c>
      <c r="F159" s="1" t="s">
        <v>658</v>
      </c>
      <c r="G159" s="1">
        <v>25.5</v>
      </c>
      <c r="H159" s="1" t="s">
        <v>60</v>
      </c>
      <c r="I159" s="1">
        <v>-118.0</v>
      </c>
      <c r="J159" s="1">
        <v>-0.0830837223003541</v>
      </c>
      <c r="K159" s="1" t="s">
        <v>61</v>
      </c>
      <c r="L159" s="1" t="s">
        <v>61</v>
      </c>
      <c r="M159" s="1" t="s">
        <v>62</v>
      </c>
      <c r="N159" s="1">
        <v>-114.0</v>
      </c>
      <c r="O159" s="1">
        <v>0.00907279750506573</v>
      </c>
      <c r="P159" s="1" t="s">
        <v>61</v>
      </c>
      <c r="Q159" s="1" t="s">
        <v>61</v>
      </c>
      <c r="R159" s="1">
        <f t="shared" si="1"/>
        <v>0.009072797505</v>
      </c>
      <c r="S159" s="1">
        <f t="shared" si="2"/>
        <v>-114</v>
      </c>
      <c r="T159" s="1">
        <f t="shared" si="3"/>
        <v>1.877192982</v>
      </c>
      <c r="U159" s="1">
        <f t="shared" si="4"/>
        <v>0</v>
      </c>
      <c r="V159" s="3">
        <f t="shared" si="5"/>
        <v>1</v>
      </c>
      <c r="W159" s="3">
        <f t="shared" si="6"/>
        <v>2</v>
      </c>
      <c r="X159" s="3" t="str">
        <f>IFERROR(__xludf.DUMMYFUNCTION("split(B159,"" "")"),"B.")</f>
        <v>B.</v>
      </c>
      <c r="Y159" s="3" t="str">
        <f>IFERROR(__xludf.DUMMYFUNCTION("""COMPUTED_VALUE"""),"Nix")</f>
        <v>Nix</v>
      </c>
      <c r="AA159" s="8">
        <v>36.0</v>
      </c>
      <c r="AB159" s="3">
        <f t="shared" si="7"/>
        <v>1</v>
      </c>
      <c r="AC159" s="3">
        <f t="shared" si="8"/>
        <v>0</v>
      </c>
      <c r="AD159" s="3">
        <f t="shared" si="9"/>
        <v>0.8771929825</v>
      </c>
      <c r="AE159" s="3">
        <f t="shared" si="10"/>
        <v>-1</v>
      </c>
      <c r="AF159" s="3">
        <f t="shared" si="11"/>
        <v>-2</v>
      </c>
      <c r="AG159" s="3">
        <f t="shared" si="12"/>
        <v>-0.4117647059</v>
      </c>
    </row>
    <row r="160">
      <c r="A160" s="1" t="s">
        <v>10</v>
      </c>
      <c r="B160" s="1" t="s">
        <v>465</v>
      </c>
      <c r="C160" s="1" t="s">
        <v>19</v>
      </c>
      <c r="D160" s="1" t="s">
        <v>83</v>
      </c>
      <c r="E160" s="1" t="s">
        <v>77</v>
      </c>
      <c r="F160" s="1" t="s">
        <v>658</v>
      </c>
      <c r="G160" s="1">
        <v>13.5</v>
      </c>
      <c r="H160" s="1" t="s">
        <v>60</v>
      </c>
      <c r="I160" s="1">
        <v>-116.0</v>
      </c>
      <c r="J160" s="1">
        <v>-0.0709119446811782</v>
      </c>
      <c r="K160" s="1" t="s">
        <v>61</v>
      </c>
      <c r="L160" s="1" t="s">
        <v>61</v>
      </c>
      <c r="M160" s="1" t="s">
        <v>62</v>
      </c>
      <c r="N160" s="1">
        <v>-113.0</v>
      </c>
      <c r="O160" s="1">
        <v>0.00339858900367129</v>
      </c>
      <c r="P160" s="1" t="s">
        <v>61</v>
      </c>
      <c r="Q160" s="1" t="s">
        <v>61</v>
      </c>
      <c r="R160" s="1">
        <f t="shared" si="1"/>
        <v>0.003398589004</v>
      </c>
      <c r="S160" s="1">
        <f t="shared" si="2"/>
        <v>-113</v>
      </c>
      <c r="T160" s="1">
        <f t="shared" si="3"/>
        <v>1.884955752</v>
      </c>
      <c r="U160" s="1">
        <f t="shared" si="4"/>
        <v>0</v>
      </c>
      <c r="V160" s="3">
        <f t="shared" si="5"/>
        <v>1</v>
      </c>
      <c r="W160" s="3">
        <f t="shared" si="6"/>
        <v>2</v>
      </c>
      <c r="X160" s="3" t="str">
        <f>IFERROR(__xludf.DUMMYFUNCTION("split(B160,"" "")"),"J.")</f>
        <v>J.</v>
      </c>
      <c r="Y160" s="3" t="str">
        <f>IFERROR(__xludf.DUMMYFUNCTION("""COMPUTED_VALUE"""),"McLaughlin")</f>
        <v>McLaughlin</v>
      </c>
      <c r="AA160" s="8">
        <v>10.0</v>
      </c>
      <c r="AB160" s="3">
        <f t="shared" si="7"/>
        <v>0</v>
      </c>
      <c r="AC160" s="3">
        <f t="shared" si="8"/>
        <v>1</v>
      </c>
      <c r="AD160" s="3">
        <f t="shared" si="9"/>
        <v>0.8849557522</v>
      </c>
      <c r="AE160" s="3">
        <f t="shared" si="10"/>
        <v>0.8849557522</v>
      </c>
      <c r="AF160" s="3">
        <f t="shared" si="11"/>
        <v>1.769911504</v>
      </c>
      <c r="AG160" s="3">
        <f t="shared" si="12"/>
        <v>0.2592592593</v>
      </c>
    </row>
    <row r="161">
      <c r="A161" s="1" t="s">
        <v>11</v>
      </c>
      <c r="B161" s="1" t="s">
        <v>533</v>
      </c>
      <c r="C161" s="1" t="s">
        <v>18</v>
      </c>
      <c r="D161" s="1" t="s">
        <v>83</v>
      </c>
      <c r="E161" s="1" t="s">
        <v>77</v>
      </c>
      <c r="F161" s="1" t="s">
        <v>658</v>
      </c>
      <c r="G161" s="1">
        <v>24.5</v>
      </c>
      <c r="H161" s="1" t="s">
        <v>60</v>
      </c>
      <c r="I161" s="1">
        <v>-113.0</v>
      </c>
      <c r="J161" s="1">
        <v>-0.0769171254660938</v>
      </c>
      <c r="K161" s="1" t="s">
        <v>61</v>
      </c>
      <c r="L161" s="1" t="s">
        <v>61</v>
      </c>
      <c r="M161" s="1" t="s">
        <v>62</v>
      </c>
      <c r="N161" s="1">
        <v>-119.0</v>
      </c>
      <c r="O161" s="1">
        <v>0.00308476617301756</v>
      </c>
      <c r="P161" s="1" t="s">
        <v>61</v>
      </c>
      <c r="Q161" s="1" t="s">
        <v>61</v>
      </c>
      <c r="R161" s="1">
        <f t="shared" si="1"/>
        <v>0.003084766173</v>
      </c>
      <c r="S161" s="1">
        <f t="shared" si="2"/>
        <v>-119</v>
      </c>
      <c r="T161" s="1">
        <f t="shared" si="3"/>
        <v>1.840336134</v>
      </c>
      <c r="U161" s="1">
        <f t="shared" si="4"/>
        <v>0</v>
      </c>
      <c r="V161" s="3">
        <f t="shared" si="5"/>
        <v>1</v>
      </c>
      <c r="W161" s="3">
        <f t="shared" si="6"/>
        <v>3</v>
      </c>
      <c r="X161" s="3" t="str">
        <f>IFERROR(__xludf.DUMMYFUNCTION("split(B161,"" "")"),"D.")</f>
        <v>D.</v>
      </c>
      <c r="Y161" s="3" t="str">
        <f>IFERROR(__xludf.DUMMYFUNCTION("""COMPUTED_VALUE"""),"Vele")</f>
        <v>Vele</v>
      </c>
      <c r="AA161" s="8">
        <v>11.0</v>
      </c>
      <c r="AB161" s="3">
        <f t="shared" si="7"/>
        <v>0</v>
      </c>
      <c r="AC161" s="3">
        <f t="shared" si="8"/>
        <v>1</v>
      </c>
      <c r="AD161" s="3">
        <f t="shared" si="9"/>
        <v>0.8403361345</v>
      </c>
      <c r="AE161" s="3">
        <f t="shared" si="10"/>
        <v>0.8403361345</v>
      </c>
      <c r="AF161" s="3">
        <f t="shared" si="11"/>
        <v>2.521008403</v>
      </c>
      <c r="AG161" s="3">
        <f t="shared" si="12"/>
        <v>0.5510204082</v>
      </c>
    </row>
    <row r="162">
      <c r="A162" s="1" t="s">
        <v>11</v>
      </c>
      <c r="B162" s="1" t="s">
        <v>652</v>
      </c>
      <c r="C162" s="1" t="s">
        <v>18</v>
      </c>
      <c r="D162" s="1" t="s">
        <v>83</v>
      </c>
      <c r="E162" s="1" t="s">
        <v>77</v>
      </c>
      <c r="F162" s="1" t="s">
        <v>658</v>
      </c>
      <c r="G162" s="1">
        <v>24.5</v>
      </c>
      <c r="H162" s="1" t="s">
        <v>60</v>
      </c>
      <c r="I162" s="1">
        <v>-114.0</v>
      </c>
      <c r="J162" s="1">
        <v>-0.0747082184283458</v>
      </c>
      <c r="K162" s="1" t="s">
        <v>61</v>
      </c>
      <c r="L162" s="1" t="s">
        <v>61</v>
      </c>
      <c r="M162" s="1" t="s">
        <v>62</v>
      </c>
      <c r="N162" s="1">
        <v>-118.0</v>
      </c>
      <c r="O162" s="1">
        <v>7.76547328100507E-4</v>
      </c>
      <c r="P162" s="1" t="s">
        <v>61</v>
      </c>
      <c r="Q162" s="1" t="s">
        <v>61</v>
      </c>
      <c r="R162" s="1">
        <f t="shared" si="1"/>
        <v>0.0007765473281</v>
      </c>
      <c r="S162" s="1">
        <f t="shared" si="2"/>
        <v>-118</v>
      </c>
      <c r="T162" s="1">
        <f t="shared" si="3"/>
        <v>1.847457627</v>
      </c>
      <c r="U162" s="1">
        <f t="shared" si="4"/>
        <v>0</v>
      </c>
      <c r="V162" s="3">
        <f t="shared" si="5"/>
        <v>1</v>
      </c>
      <c r="W162" s="3">
        <f t="shared" si="6"/>
        <v>3</v>
      </c>
      <c r="X162" s="3" t="str">
        <f>IFERROR(__xludf.DUMMYFUNCTION("split(B162,"" "")"),"T.")</f>
        <v>T.</v>
      </c>
      <c r="Y162" s="3" t="str">
        <f>IFERROR(__xludf.DUMMYFUNCTION("""COMPUTED_VALUE"""),"Franklin")</f>
        <v>Franklin</v>
      </c>
      <c r="AA162" s="8">
        <v>19.0</v>
      </c>
      <c r="AB162" s="3">
        <f t="shared" si="7"/>
        <v>0</v>
      </c>
      <c r="AC162" s="3">
        <f t="shared" si="8"/>
        <v>1</v>
      </c>
      <c r="AD162" s="3">
        <f t="shared" si="9"/>
        <v>0.8474576271</v>
      </c>
      <c r="AE162" s="3">
        <f t="shared" si="10"/>
        <v>0.8474576271</v>
      </c>
      <c r="AF162" s="3">
        <f t="shared" si="11"/>
        <v>2.542372881</v>
      </c>
      <c r="AG162" s="3">
        <f t="shared" si="12"/>
        <v>0.2244897959</v>
      </c>
    </row>
    <row r="163">
      <c r="A163" s="1" t="s">
        <v>12</v>
      </c>
      <c r="B163" s="1" t="s">
        <v>534</v>
      </c>
      <c r="C163" s="1" t="s">
        <v>18</v>
      </c>
      <c r="D163" s="1" t="s">
        <v>197</v>
      </c>
      <c r="E163" s="1" t="s">
        <v>157</v>
      </c>
      <c r="F163" s="1" t="s">
        <v>662</v>
      </c>
      <c r="G163" s="1">
        <v>1.5</v>
      </c>
      <c r="H163" s="1" t="s">
        <v>60</v>
      </c>
      <c r="I163" s="1">
        <v>-192.0</v>
      </c>
      <c r="J163" s="1">
        <v>-0.237467259424657</v>
      </c>
      <c r="K163" s="1" t="s">
        <v>61</v>
      </c>
      <c r="L163" s="1" t="s">
        <v>61</v>
      </c>
      <c r="M163" s="1" t="s">
        <v>62</v>
      </c>
      <c r="N163" s="1">
        <v>144.0</v>
      </c>
      <c r="O163" s="1">
        <v>0.170103441606557</v>
      </c>
      <c r="P163" s="1" t="s">
        <v>61</v>
      </c>
      <c r="Q163" s="1" t="s">
        <v>61</v>
      </c>
      <c r="R163" s="1">
        <f t="shared" si="1"/>
        <v>0.1701034416</v>
      </c>
      <c r="S163" s="1">
        <f t="shared" si="2"/>
        <v>144</v>
      </c>
      <c r="T163" s="1">
        <f t="shared" si="3"/>
        <v>2.44</v>
      </c>
      <c r="U163" s="1">
        <f t="shared" si="4"/>
        <v>0</v>
      </c>
      <c r="V163" s="3">
        <f t="shared" si="5"/>
        <v>3</v>
      </c>
      <c r="W163" s="3">
        <f t="shared" si="6"/>
        <v>1</v>
      </c>
      <c r="X163" s="3" t="str">
        <f>IFERROR(__xludf.DUMMYFUNCTION("split(B163,"" "")"),"T.")</f>
        <v>T.</v>
      </c>
      <c r="Y163" s="3" t="str">
        <f>IFERROR(__xludf.DUMMYFUNCTION("""COMPUTED_VALUE"""),"Patrick")</f>
        <v>Patrick</v>
      </c>
      <c r="AA163" s="8">
        <v>2.0</v>
      </c>
      <c r="AB163" s="3">
        <f t="shared" si="7"/>
        <v>1</v>
      </c>
      <c r="AC163" s="3">
        <f t="shared" si="8"/>
        <v>0</v>
      </c>
      <c r="AD163" s="3">
        <f t="shared" si="9"/>
        <v>4.32</v>
      </c>
      <c r="AE163" s="3">
        <f t="shared" si="10"/>
        <v>-3</v>
      </c>
      <c r="AF163" s="3">
        <f t="shared" si="11"/>
        <v>-1</v>
      </c>
      <c r="AG163" s="3">
        <f t="shared" si="12"/>
        <v>-0.3333333333</v>
      </c>
    </row>
    <row r="164">
      <c r="A164" s="1" t="s">
        <v>8</v>
      </c>
      <c r="B164" s="1" t="s">
        <v>393</v>
      </c>
      <c r="C164" s="1" t="s">
        <v>19</v>
      </c>
      <c r="D164" s="1" t="s">
        <v>197</v>
      </c>
      <c r="E164" s="1" t="s">
        <v>157</v>
      </c>
      <c r="F164" s="1" t="s">
        <v>662</v>
      </c>
      <c r="G164" s="1">
        <v>13.5</v>
      </c>
      <c r="H164" s="1" t="s">
        <v>60</v>
      </c>
      <c r="I164" s="1">
        <v>-125.0</v>
      </c>
      <c r="J164" s="1">
        <v>-0.196154492276444</v>
      </c>
      <c r="K164" s="1" t="s">
        <v>61</v>
      </c>
      <c r="L164" s="1" t="s">
        <v>61</v>
      </c>
      <c r="M164" s="1" t="s">
        <v>62</v>
      </c>
      <c r="N164" s="1">
        <v>-107.0</v>
      </c>
      <c r="O164" s="1">
        <v>0.123690550799777</v>
      </c>
      <c r="P164" s="1" t="s">
        <v>61</v>
      </c>
      <c r="Q164" s="1" t="s">
        <v>61</v>
      </c>
      <c r="R164" s="1">
        <f t="shared" si="1"/>
        <v>0.1236905508</v>
      </c>
      <c r="S164" s="1">
        <f t="shared" si="2"/>
        <v>-107</v>
      </c>
      <c r="T164" s="1">
        <f t="shared" si="3"/>
        <v>1.934579439</v>
      </c>
      <c r="U164" s="1">
        <f t="shared" si="4"/>
        <v>0</v>
      </c>
      <c r="V164" s="3">
        <f t="shared" si="5"/>
        <v>3</v>
      </c>
      <c r="W164" s="3">
        <f t="shared" si="6"/>
        <v>2</v>
      </c>
      <c r="X164" s="3" t="str">
        <f>IFERROR(__xludf.DUMMYFUNCTION("split(B164,"" "")"),"J.")</f>
        <v>J.</v>
      </c>
      <c r="Y164" s="3" t="str">
        <f>IFERROR(__xludf.DUMMYFUNCTION("""COMPUTED_VALUE"""),"Gibbs")</f>
        <v>Gibbs</v>
      </c>
      <c r="AA164" s="8">
        <v>11.0</v>
      </c>
      <c r="AB164" s="3">
        <f t="shared" si="7"/>
        <v>0</v>
      </c>
      <c r="AC164" s="3">
        <f t="shared" si="8"/>
        <v>1</v>
      </c>
      <c r="AD164" s="3">
        <f t="shared" si="9"/>
        <v>2.803738318</v>
      </c>
      <c r="AE164" s="3">
        <f t="shared" si="10"/>
        <v>2.803738318</v>
      </c>
      <c r="AF164" s="3">
        <f t="shared" si="11"/>
        <v>1.869158879</v>
      </c>
      <c r="AG164" s="3">
        <f t="shared" si="12"/>
        <v>0.1851851852</v>
      </c>
    </row>
    <row r="165">
      <c r="A165" s="1" t="s">
        <v>12</v>
      </c>
      <c r="B165" s="1" t="s">
        <v>393</v>
      </c>
      <c r="C165" s="1" t="s">
        <v>19</v>
      </c>
      <c r="D165" s="1" t="s">
        <v>197</v>
      </c>
      <c r="E165" s="1" t="s">
        <v>157</v>
      </c>
      <c r="F165" s="1" t="s">
        <v>662</v>
      </c>
      <c r="G165" s="1">
        <v>2.5</v>
      </c>
      <c r="H165" s="1" t="s">
        <v>60</v>
      </c>
      <c r="I165" s="1">
        <v>-153.0</v>
      </c>
      <c r="J165" s="1">
        <v>-0.187200440909091</v>
      </c>
      <c r="K165" s="1" t="s">
        <v>61</v>
      </c>
      <c r="L165" s="1" t="s">
        <v>61</v>
      </c>
      <c r="M165" s="1" t="s">
        <v>62</v>
      </c>
      <c r="N165" s="1">
        <v>117.0</v>
      </c>
      <c r="O165" s="1">
        <v>0.121620790552995</v>
      </c>
      <c r="P165" s="1" t="s">
        <v>61</v>
      </c>
      <c r="Q165" s="1" t="s">
        <v>61</v>
      </c>
      <c r="R165" s="1">
        <f t="shared" si="1"/>
        <v>0.1216207906</v>
      </c>
      <c r="S165" s="1">
        <f t="shared" si="2"/>
        <v>117</v>
      </c>
      <c r="T165" s="1">
        <f t="shared" si="3"/>
        <v>2.17</v>
      </c>
      <c r="U165" s="1">
        <f t="shared" si="4"/>
        <v>0</v>
      </c>
      <c r="V165" s="3">
        <f t="shared" si="5"/>
        <v>3</v>
      </c>
      <c r="W165" s="3">
        <f t="shared" si="6"/>
        <v>1</v>
      </c>
      <c r="X165" s="3" t="str">
        <f>IFERROR(__xludf.DUMMYFUNCTION("split(B165,"" "")"),"J.")</f>
        <v>J.</v>
      </c>
      <c r="Y165" s="3" t="str">
        <f>IFERROR(__xludf.DUMMYFUNCTION("""COMPUTED_VALUE"""),"Gibbs")</f>
        <v>Gibbs</v>
      </c>
      <c r="AA165" s="8">
        <v>1.0</v>
      </c>
      <c r="AB165" s="3">
        <f t="shared" si="7"/>
        <v>0</v>
      </c>
      <c r="AC165" s="3">
        <f t="shared" si="8"/>
        <v>1</v>
      </c>
      <c r="AD165" s="3">
        <f t="shared" si="9"/>
        <v>3.51</v>
      </c>
      <c r="AE165" s="3">
        <f t="shared" si="10"/>
        <v>3.51</v>
      </c>
      <c r="AF165" s="3">
        <f t="shared" si="11"/>
        <v>1.17</v>
      </c>
      <c r="AG165" s="3">
        <f t="shared" si="12"/>
        <v>0.6</v>
      </c>
    </row>
    <row r="166">
      <c r="A166" s="1" t="s">
        <v>8</v>
      </c>
      <c r="B166" s="1" t="s">
        <v>446</v>
      </c>
      <c r="C166" s="1" t="s">
        <v>19</v>
      </c>
      <c r="D166" s="1" t="s">
        <v>197</v>
      </c>
      <c r="E166" s="1" t="s">
        <v>157</v>
      </c>
      <c r="F166" s="1" t="s">
        <v>662</v>
      </c>
      <c r="G166" s="1">
        <v>12.5</v>
      </c>
      <c r="H166" s="1" t="s">
        <v>60</v>
      </c>
      <c r="I166" s="1">
        <v>-133.0</v>
      </c>
      <c r="J166" s="1">
        <v>-0.175057809266523</v>
      </c>
      <c r="K166" s="1" t="s">
        <v>61</v>
      </c>
      <c r="L166" s="1" t="s">
        <v>61</v>
      </c>
      <c r="M166" s="1" t="s">
        <v>62</v>
      </c>
      <c r="N166" s="1">
        <v>100.0</v>
      </c>
      <c r="O166" s="1">
        <v>0.104249347795499</v>
      </c>
      <c r="P166" s="1" t="s">
        <v>61</v>
      </c>
      <c r="Q166" s="1" t="s">
        <v>61</v>
      </c>
      <c r="R166" s="1">
        <f t="shared" si="1"/>
        <v>0.1042493478</v>
      </c>
      <c r="S166" s="1">
        <f t="shared" si="2"/>
        <v>100</v>
      </c>
      <c r="T166" s="1">
        <f t="shared" si="3"/>
        <v>2</v>
      </c>
      <c r="U166" s="1">
        <f t="shared" si="4"/>
        <v>0</v>
      </c>
      <c r="V166" s="3">
        <f t="shared" si="5"/>
        <v>3</v>
      </c>
      <c r="W166" s="3">
        <f t="shared" si="6"/>
        <v>2</v>
      </c>
      <c r="X166" s="3" t="str">
        <f>IFERROR(__xludf.DUMMYFUNCTION("split(B166,"" "")"),"D.")</f>
        <v>D.</v>
      </c>
      <c r="Y166" s="3" t="str">
        <f>IFERROR(__xludf.DUMMYFUNCTION("""COMPUTED_VALUE"""),"Montgomery")</f>
        <v>Montgomery</v>
      </c>
      <c r="AA166" s="8">
        <v>17.0</v>
      </c>
      <c r="AB166" s="3">
        <f t="shared" si="7"/>
        <v>1</v>
      </c>
      <c r="AC166" s="3">
        <f t="shared" si="8"/>
        <v>0</v>
      </c>
      <c r="AD166" s="3">
        <f t="shared" si="9"/>
        <v>3</v>
      </c>
      <c r="AE166" s="3">
        <f t="shared" si="10"/>
        <v>-3</v>
      </c>
      <c r="AF166" s="3">
        <f t="shared" si="11"/>
        <v>-2</v>
      </c>
      <c r="AG166" s="3">
        <f t="shared" si="12"/>
        <v>-0.36</v>
      </c>
    </row>
    <row r="167">
      <c r="A167" s="1" t="s">
        <v>10</v>
      </c>
      <c r="B167" s="1" t="s">
        <v>241</v>
      </c>
      <c r="C167" s="1" t="s">
        <v>21</v>
      </c>
      <c r="D167" s="1" t="s">
        <v>197</v>
      </c>
      <c r="E167" s="1" t="s">
        <v>157</v>
      </c>
      <c r="F167" s="1" t="s">
        <v>662</v>
      </c>
      <c r="G167" s="1">
        <v>1.5</v>
      </c>
      <c r="H167" s="1" t="s">
        <v>60</v>
      </c>
      <c r="I167" s="1">
        <v>-110.0</v>
      </c>
      <c r="J167" s="1">
        <v>0.103798675532208</v>
      </c>
      <c r="K167" s="1" t="s">
        <v>61</v>
      </c>
      <c r="L167" s="1" t="s">
        <v>61</v>
      </c>
      <c r="M167" s="1" t="s">
        <v>62</v>
      </c>
      <c r="N167" s="1">
        <v>-119.0</v>
      </c>
      <c r="O167" s="1">
        <v>-0.170960132490863</v>
      </c>
      <c r="P167" s="1" t="s">
        <v>61</v>
      </c>
      <c r="Q167" s="1" t="s">
        <v>61</v>
      </c>
      <c r="R167" s="1">
        <f t="shared" si="1"/>
        <v>0.1037986755</v>
      </c>
      <c r="S167" s="1">
        <f t="shared" si="2"/>
        <v>-110</v>
      </c>
      <c r="T167" s="1">
        <f t="shared" si="3"/>
        <v>1.909090909</v>
      </c>
      <c r="U167" s="1">
        <f t="shared" si="4"/>
        <v>1</v>
      </c>
      <c r="V167" s="3">
        <f t="shared" si="5"/>
        <v>3</v>
      </c>
      <c r="W167" s="3">
        <f t="shared" si="6"/>
        <v>2</v>
      </c>
      <c r="X167" s="3" t="str">
        <f>IFERROR(__xludf.DUMMYFUNCTION("split(B167,"" "")"),"J.")</f>
        <v>J.</v>
      </c>
      <c r="Y167" s="3" t="str">
        <f>IFERROR(__xludf.DUMMYFUNCTION("""COMPUTED_VALUE"""),"Goff")</f>
        <v>Goff</v>
      </c>
      <c r="AA167" s="8">
        <v>-2.0</v>
      </c>
      <c r="AB167" s="3">
        <f t="shared" si="7"/>
        <v>0</v>
      </c>
      <c r="AC167" s="3">
        <f t="shared" si="8"/>
        <v>0</v>
      </c>
      <c r="AD167" s="3">
        <f t="shared" si="9"/>
        <v>2.727272727</v>
      </c>
      <c r="AE167" s="3">
        <f t="shared" si="10"/>
        <v>-3</v>
      </c>
      <c r="AF167" s="3">
        <f t="shared" si="11"/>
        <v>-2</v>
      </c>
      <c r="AG167" s="3">
        <f t="shared" si="12"/>
        <v>-2.333333333</v>
      </c>
    </row>
    <row r="168">
      <c r="A168" s="1" t="s">
        <v>9</v>
      </c>
      <c r="B168" s="1" t="s">
        <v>534</v>
      </c>
      <c r="C168" s="1" t="s">
        <v>18</v>
      </c>
      <c r="D168" s="1" t="s">
        <v>197</v>
      </c>
      <c r="E168" s="1" t="s">
        <v>157</v>
      </c>
      <c r="F168" s="1" t="s">
        <v>662</v>
      </c>
      <c r="G168" s="1">
        <v>23.5</v>
      </c>
      <c r="H168" s="1" t="s">
        <v>60</v>
      </c>
      <c r="I168" s="1">
        <v>-117.0</v>
      </c>
      <c r="J168" s="1">
        <v>0.0938802045698271</v>
      </c>
      <c r="K168" s="1" t="s">
        <v>61</v>
      </c>
      <c r="L168" s="1" t="s">
        <v>61</v>
      </c>
      <c r="M168" s="1" t="s">
        <v>62</v>
      </c>
      <c r="N168" s="1">
        <v>-115.0</v>
      </c>
      <c r="O168" s="1">
        <v>-0.167926511862327</v>
      </c>
      <c r="P168" s="1" t="s">
        <v>61</v>
      </c>
      <c r="Q168" s="1" t="s">
        <v>61</v>
      </c>
      <c r="R168" s="1">
        <f t="shared" si="1"/>
        <v>0.09388020457</v>
      </c>
      <c r="S168" s="1">
        <f t="shared" si="2"/>
        <v>-117</v>
      </c>
      <c r="T168" s="1">
        <f t="shared" si="3"/>
        <v>1.854700855</v>
      </c>
      <c r="U168" s="1">
        <f t="shared" si="4"/>
        <v>1</v>
      </c>
      <c r="V168" s="3">
        <f t="shared" si="5"/>
        <v>2</v>
      </c>
      <c r="W168" s="3">
        <f t="shared" si="6"/>
        <v>2</v>
      </c>
      <c r="X168" s="3" t="str">
        <f>IFERROR(__xludf.DUMMYFUNCTION("split(B168,"" "")"),"T.")</f>
        <v>T.</v>
      </c>
      <c r="Y168" s="3" t="str">
        <f>IFERROR(__xludf.DUMMYFUNCTION("""COMPUTED_VALUE"""),"Patrick")</f>
        <v>Patrick</v>
      </c>
      <c r="AA168" s="8">
        <v>12.0</v>
      </c>
      <c r="AB168" s="3">
        <f t="shared" si="7"/>
        <v>0</v>
      </c>
      <c r="AC168" s="3">
        <f t="shared" si="8"/>
        <v>0</v>
      </c>
      <c r="AD168" s="3">
        <f t="shared" si="9"/>
        <v>1.709401709</v>
      </c>
      <c r="AE168" s="3">
        <f t="shared" si="10"/>
        <v>-2</v>
      </c>
      <c r="AF168" s="3">
        <f t="shared" si="11"/>
        <v>-2</v>
      </c>
      <c r="AG168" s="3">
        <f t="shared" si="12"/>
        <v>-0.4893617021</v>
      </c>
    </row>
    <row r="169">
      <c r="A169" s="1" t="s">
        <v>15</v>
      </c>
      <c r="B169" s="1" t="s">
        <v>241</v>
      </c>
      <c r="C169" s="1" t="s">
        <v>21</v>
      </c>
      <c r="D169" s="1" t="s">
        <v>197</v>
      </c>
      <c r="E169" s="1" t="s">
        <v>157</v>
      </c>
      <c r="F169" s="1" t="s">
        <v>662</v>
      </c>
      <c r="G169" s="1">
        <v>19.5</v>
      </c>
      <c r="H169" s="1" t="s">
        <v>60</v>
      </c>
      <c r="I169" s="1">
        <v>-106.0</v>
      </c>
      <c r="J169" s="1">
        <v>0.0852825242718446</v>
      </c>
      <c r="K169" s="1" t="s">
        <v>61</v>
      </c>
      <c r="L169" s="1" t="s">
        <v>61</v>
      </c>
      <c r="M169" s="1" t="s">
        <v>62</v>
      </c>
      <c r="N169" s="1">
        <v>-123.0</v>
      </c>
      <c r="O169" s="1">
        <v>-0.151434977578475</v>
      </c>
      <c r="P169" s="1" t="s">
        <v>61</v>
      </c>
      <c r="Q169" s="1" t="s">
        <v>61</v>
      </c>
      <c r="R169" s="1">
        <f t="shared" si="1"/>
        <v>0.08528252427</v>
      </c>
      <c r="S169" s="1">
        <f t="shared" si="2"/>
        <v>-106</v>
      </c>
      <c r="T169" s="1">
        <f t="shared" si="3"/>
        <v>1.943396226</v>
      </c>
      <c r="U169" s="1">
        <f t="shared" si="4"/>
        <v>1</v>
      </c>
      <c r="V169" s="3">
        <f t="shared" si="5"/>
        <v>2</v>
      </c>
      <c r="W169" s="3">
        <f t="shared" si="6"/>
        <v>2</v>
      </c>
      <c r="X169" s="3" t="str">
        <f>IFERROR(__xludf.DUMMYFUNCTION("split(B169,"" "")"),"J.")</f>
        <v>J.</v>
      </c>
      <c r="Y169" s="3" t="str">
        <f>IFERROR(__xludf.DUMMYFUNCTION("""COMPUTED_VALUE"""),"Goff")</f>
        <v>Goff</v>
      </c>
      <c r="AA169" s="8">
        <v>18.0</v>
      </c>
      <c r="AB169" s="3">
        <f t="shared" si="7"/>
        <v>0</v>
      </c>
      <c r="AC169" s="3">
        <f t="shared" si="8"/>
        <v>0</v>
      </c>
      <c r="AD169" s="3">
        <f t="shared" si="9"/>
        <v>1.886792453</v>
      </c>
      <c r="AE169" s="3">
        <f t="shared" si="10"/>
        <v>-2</v>
      </c>
      <c r="AF169" s="3">
        <f t="shared" si="11"/>
        <v>-2</v>
      </c>
      <c r="AG169" s="3">
        <f t="shared" si="12"/>
        <v>-0.07692307692</v>
      </c>
    </row>
    <row r="170">
      <c r="A170" s="1" t="s">
        <v>12</v>
      </c>
      <c r="B170" s="1" t="s">
        <v>498</v>
      </c>
      <c r="C170" s="1" t="s">
        <v>20</v>
      </c>
      <c r="D170" s="1" t="s">
        <v>197</v>
      </c>
      <c r="E170" s="1" t="s">
        <v>157</v>
      </c>
      <c r="F170" s="1" t="s">
        <v>662</v>
      </c>
      <c r="G170" s="1">
        <v>3.5</v>
      </c>
      <c r="H170" s="1" t="s">
        <v>60</v>
      </c>
      <c r="I170" s="1">
        <v>-148.0</v>
      </c>
      <c r="J170" s="1">
        <v>-0.145993548387096</v>
      </c>
      <c r="K170" s="1" t="s">
        <v>61</v>
      </c>
      <c r="L170" s="1" t="s">
        <v>61</v>
      </c>
      <c r="M170" s="1" t="s">
        <v>62</v>
      </c>
      <c r="N170" s="1">
        <v>113.0</v>
      </c>
      <c r="O170" s="1">
        <v>0.0797225352112676</v>
      </c>
      <c r="P170" s="1" t="s">
        <v>61</v>
      </c>
      <c r="Q170" s="1" t="s">
        <v>61</v>
      </c>
      <c r="R170" s="1">
        <f t="shared" si="1"/>
        <v>0.07972253521</v>
      </c>
      <c r="S170" s="1">
        <f t="shared" si="2"/>
        <v>113</v>
      </c>
      <c r="T170" s="1">
        <f t="shared" si="3"/>
        <v>2.13</v>
      </c>
      <c r="U170" s="1">
        <f t="shared" si="4"/>
        <v>0</v>
      </c>
      <c r="V170" s="3">
        <f t="shared" si="5"/>
        <v>2</v>
      </c>
      <c r="W170" s="3">
        <f t="shared" si="6"/>
        <v>1</v>
      </c>
      <c r="X170" s="3" t="str">
        <f>IFERROR(__xludf.DUMMYFUNCTION("split(B170,"" "")"),"S.")</f>
        <v>S.</v>
      </c>
      <c r="Y170" s="3" t="str">
        <f>IFERROR(__xludf.DUMMYFUNCTION("""COMPUTED_VALUE"""),"LaPorta")</f>
        <v>LaPorta</v>
      </c>
      <c r="AA170" s="8">
        <v>2.0</v>
      </c>
      <c r="AB170" s="3">
        <f t="shared" si="7"/>
        <v>0</v>
      </c>
      <c r="AC170" s="3">
        <f t="shared" si="8"/>
        <v>1</v>
      </c>
      <c r="AD170" s="3">
        <f t="shared" si="9"/>
        <v>2.26</v>
      </c>
      <c r="AE170" s="3">
        <f t="shared" si="10"/>
        <v>2.26</v>
      </c>
      <c r="AF170" s="3">
        <f t="shared" si="11"/>
        <v>1.13</v>
      </c>
      <c r="AG170" s="3">
        <f t="shared" si="12"/>
        <v>0.4285714286</v>
      </c>
    </row>
    <row r="171">
      <c r="A171" s="1" t="s">
        <v>11</v>
      </c>
      <c r="B171" s="1" t="s">
        <v>446</v>
      </c>
      <c r="C171" s="1" t="s">
        <v>19</v>
      </c>
      <c r="D171" s="1" t="s">
        <v>197</v>
      </c>
      <c r="E171" s="1" t="s">
        <v>157</v>
      </c>
      <c r="F171" s="1" t="s">
        <v>662</v>
      </c>
      <c r="G171" s="1">
        <v>7.5</v>
      </c>
      <c r="H171" s="1" t="s">
        <v>60</v>
      </c>
      <c r="I171" s="1">
        <v>-111.0</v>
      </c>
      <c r="J171" s="1">
        <v>0.0689243152697623</v>
      </c>
      <c r="K171" s="1" t="s">
        <v>61</v>
      </c>
      <c r="L171" s="1" t="s">
        <v>61</v>
      </c>
      <c r="M171" s="1" t="s">
        <v>62</v>
      </c>
      <c r="N171" s="1">
        <v>-116.0</v>
      </c>
      <c r="O171" s="1">
        <v>-0.132013145395495</v>
      </c>
      <c r="P171" s="1" t="s">
        <v>61</v>
      </c>
      <c r="Q171" s="1" t="s">
        <v>61</v>
      </c>
      <c r="R171" s="1">
        <f t="shared" si="1"/>
        <v>0.06892431527</v>
      </c>
      <c r="S171" s="1">
        <f t="shared" si="2"/>
        <v>-111</v>
      </c>
      <c r="T171" s="1">
        <f t="shared" si="3"/>
        <v>1.900900901</v>
      </c>
      <c r="U171" s="1">
        <f t="shared" si="4"/>
        <v>1</v>
      </c>
      <c r="V171" s="3">
        <f t="shared" si="5"/>
        <v>2</v>
      </c>
      <c r="W171" s="3">
        <f t="shared" si="6"/>
        <v>2</v>
      </c>
      <c r="X171" s="3" t="str">
        <f>IFERROR(__xludf.DUMMYFUNCTION("split(B171,"" "")"),"D.")</f>
        <v>D.</v>
      </c>
      <c r="Y171" s="3" t="str">
        <f>IFERROR(__xludf.DUMMYFUNCTION("""COMPUTED_VALUE"""),"Montgomery")</f>
        <v>Montgomery</v>
      </c>
      <c r="AA171" s="8">
        <v>23.0</v>
      </c>
      <c r="AB171" s="3">
        <f t="shared" si="7"/>
        <v>1</v>
      </c>
      <c r="AC171" s="3">
        <f t="shared" si="8"/>
        <v>1</v>
      </c>
      <c r="AD171" s="3">
        <f t="shared" si="9"/>
        <v>1.801801802</v>
      </c>
      <c r="AE171" s="3">
        <f t="shared" si="10"/>
        <v>1.801801802</v>
      </c>
      <c r="AF171" s="3">
        <f t="shared" si="11"/>
        <v>1.801801802</v>
      </c>
      <c r="AG171" s="3">
        <f t="shared" si="12"/>
        <v>2.066666667</v>
      </c>
    </row>
    <row r="172">
      <c r="A172" s="1" t="s">
        <v>10</v>
      </c>
      <c r="B172" s="1" t="s">
        <v>393</v>
      </c>
      <c r="C172" s="1" t="s">
        <v>19</v>
      </c>
      <c r="D172" s="1" t="s">
        <v>197</v>
      </c>
      <c r="E172" s="1" t="s">
        <v>157</v>
      </c>
      <c r="F172" s="1" t="s">
        <v>662</v>
      </c>
      <c r="G172" s="1">
        <v>70.5</v>
      </c>
      <c r="H172" s="1" t="s">
        <v>60</v>
      </c>
      <c r="I172" s="1">
        <v>-113.0</v>
      </c>
      <c r="J172" s="1">
        <v>-0.135518658713974</v>
      </c>
      <c r="K172" s="1" t="s">
        <v>61</v>
      </c>
      <c r="L172" s="1" t="s">
        <v>61</v>
      </c>
      <c r="M172" s="1" t="s">
        <v>62</v>
      </c>
      <c r="N172" s="1">
        <v>-116.0</v>
      </c>
      <c r="O172" s="1">
        <v>0.0679508558256697</v>
      </c>
      <c r="P172" s="1" t="s">
        <v>61</v>
      </c>
      <c r="Q172" s="1" t="s">
        <v>61</v>
      </c>
      <c r="R172" s="1">
        <f t="shared" si="1"/>
        <v>0.06795085583</v>
      </c>
      <c r="S172" s="1">
        <f t="shared" si="2"/>
        <v>-116</v>
      </c>
      <c r="T172" s="1">
        <f t="shared" si="3"/>
        <v>1.862068966</v>
      </c>
      <c r="U172" s="1">
        <f t="shared" si="4"/>
        <v>0</v>
      </c>
      <c r="V172" s="3">
        <f t="shared" si="5"/>
        <v>2</v>
      </c>
      <c r="W172" s="3">
        <f t="shared" si="6"/>
        <v>2</v>
      </c>
      <c r="X172" s="3" t="str">
        <f>IFERROR(__xludf.DUMMYFUNCTION("split(B172,"" "")"),"J.")</f>
        <v>J.</v>
      </c>
      <c r="Y172" s="3" t="str">
        <f>IFERROR(__xludf.DUMMYFUNCTION("""COMPUTED_VALUE"""),"Gibbs")</f>
        <v>Gibbs</v>
      </c>
      <c r="AA172" s="8">
        <v>65.0</v>
      </c>
      <c r="AB172" s="3">
        <f t="shared" si="7"/>
        <v>0</v>
      </c>
      <c r="AC172" s="3">
        <f t="shared" si="8"/>
        <v>1</v>
      </c>
      <c r="AD172" s="3">
        <f t="shared" si="9"/>
        <v>1.724137931</v>
      </c>
      <c r="AE172" s="3">
        <f t="shared" si="10"/>
        <v>1.724137931</v>
      </c>
      <c r="AF172" s="3">
        <f t="shared" si="11"/>
        <v>1.724137931</v>
      </c>
      <c r="AG172" s="3">
        <f t="shared" si="12"/>
        <v>0.0780141844</v>
      </c>
    </row>
    <row r="173">
      <c r="A173" s="1" t="s">
        <v>12</v>
      </c>
      <c r="B173" s="1" t="s">
        <v>385</v>
      </c>
      <c r="C173" s="1" t="s">
        <v>18</v>
      </c>
      <c r="D173" s="1" t="s">
        <v>197</v>
      </c>
      <c r="E173" s="1" t="s">
        <v>157</v>
      </c>
      <c r="F173" s="1" t="s">
        <v>662</v>
      </c>
      <c r="G173" s="1">
        <v>5.5</v>
      </c>
      <c r="H173" s="1" t="s">
        <v>60</v>
      </c>
      <c r="I173" s="1">
        <v>-138.0</v>
      </c>
      <c r="J173" s="1">
        <v>0.0639260504201681</v>
      </c>
      <c r="K173" s="1" t="s">
        <v>61</v>
      </c>
      <c r="L173" s="1" t="s">
        <v>61</v>
      </c>
      <c r="M173" s="1" t="s">
        <v>62</v>
      </c>
      <c r="N173" s="1">
        <v>105.0</v>
      </c>
      <c r="O173" s="1">
        <v>-0.131556097560975</v>
      </c>
      <c r="P173" s="1" t="s">
        <v>61</v>
      </c>
      <c r="Q173" s="1" t="s">
        <v>61</v>
      </c>
      <c r="R173" s="1">
        <f t="shared" si="1"/>
        <v>0.06392605042</v>
      </c>
      <c r="S173" s="1">
        <f t="shared" si="2"/>
        <v>-138</v>
      </c>
      <c r="T173" s="1">
        <f t="shared" si="3"/>
        <v>1.724637681</v>
      </c>
      <c r="U173" s="1">
        <f t="shared" si="4"/>
        <v>1</v>
      </c>
      <c r="V173" s="3">
        <f t="shared" si="5"/>
        <v>2</v>
      </c>
      <c r="W173" s="3">
        <f t="shared" si="6"/>
        <v>3</v>
      </c>
      <c r="X173" s="3" t="str">
        <f>IFERROR(__xludf.DUMMYFUNCTION("split(B173,"" "")"),"A.")</f>
        <v>A.</v>
      </c>
      <c r="Y173" s="3" t="str">
        <f>IFERROR(__xludf.DUMMYFUNCTION("""COMPUTED_VALUE"""),"St.")</f>
        <v>St.</v>
      </c>
      <c r="Z173" s="3" t="str">
        <f>IFERROR(__xludf.DUMMYFUNCTION("""COMPUTED_VALUE"""),"Brown")</f>
        <v>Brown</v>
      </c>
      <c r="AA173" s="8">
        <v>7.0</v>
      </c>
      <c r="AB173" s="3">
        <f t="shared" si="7"/>
        <v>1</v>
      </c>
      <c r="AC173" s="3">
        <f t="shared" si="8"/>
        <v>1</v>
      </c>
      <c r="AD173" s="3">
        <f t="shared" si="9"/>
        <v>1.449275362</v>
      </c>
      <c r="AE173" s="3">
        <f t="shared" si="10"/>
        <v>1.449275362</v>
      </c>
      <c r="AF173" s="3">
        <f t="shared" si="11"/>
        <v>2.173913043</v>
      </c>
      <c r="AG173" s="3">
        <f t="shared" si="12"/>
        <v>0.2727272727</v>
      </c>
    </row>
    <row r="174">
      <c r="A174" s="1" t="s">
        <v>12</v>
      </c>
      <c r="B174" s="1" t="s">
        <v>446</v>
      </c>
      <c r="C174" s="1" t="s">
        <v>19</v>
      </c>
      <c r="D174" s="1" t="s">
        <v>197</v>
      </c>
      <c r="E174" s="1" t="s">
        <v>157</v>
      </c>
      <c r="F174" s="1" t="s">
        <v>662</v>
      </c>
      <c r="G174" s="1">
        <v>1.5</v>
      </c>
      <c r="H174" s="1" t="s">
        <v>60</v>
      </c>
      <c r="I174" s="1">
        <v>105.0</v>
      </c>
      <c r="J174" s="1">
        <v>-0.130795668068536</v>
      </c>
      <c r="K174" s="1" t="s">
        <v>61</v>
      </c>
      <c r="L174" s="1" t="s">
        <v>61</v>
      </c>
      <c r="M174" s="1" t="s">
        <v>62</v>
      </c>
      <c r="N174" s="1">
        <v>-138.0</v>
      </c>
      <c r="O174" s="1">
        <v>0.0631576410427731</v>
      </c>
      <c r="P174" s="1" t="s">
        <v>61</v>
      </c>
      <c r="Q174" s="1" t="s">
        <v>61</v>
      </c>
      <c r="R174" s="1">
        <f t="shared" si="1"/>
        <v>0.06315764104</v>
      </c>
      <c r="S174" s="1">
        <f t="shared" si="2"/>
        <v>-138</v>
      </c>
      <c r="T174" s="1">
        <f t="shared" si="3"/>
        <v>1.724637681</v>
      </c>
      <c r="U174" s="1">
        <f t="shared" si="4"/>
        <v>0</v>
      </c>
      <c r="V174" s="3">
        <f t="shared" si="5"/>
        <v>2</v>
      </c>
      <c r="W174" s="3">
        <f t="shared" si="6"/>
        <v>3</v>
      </c>
      <c r="X174" s="3" t="str">
        <f>IFERROR(__xludf.DUMMYFUNCTION("split(B174,"" "")"),"D.")</f>
        <v>D.</v>
      </c>
      <c r="Y174" s="3" t="str">
        <f>IFERROR(__xludf.DUMMYFUNCTION("""COMPUTED_VALUE"""),"Montgomery")</f>
        <v>Montgomery</v>
      </c>
      <c r="AA174" s="8">
        <v>3.0</v>
      </c>
      <c r="AB174" s="3">
        <f t="shared" si="7"/>
        <v>1</v>
      </c>
      <c r="AC174" s="3">
        <f t="shared" si="8"/>
        <v>0</v>
      </c>
      <c r="AD174" s="3">
        <f t="shared" si="9"/>
        <v>1.449275362</v>
      </c>
      <c r="AE174" s="3">
        <f t="shared" si="10"/>
        <v>-2</v>
      </c>
      <c r="AF174" s="3">
        <f t="shared" si="11"/>
        <v>-3</v>
      </c>
      <c r="AG174" s="3">
        <f t="shared" si="12"/>
        <v>-1</v>
      </c>
    </row>
    <row r="175">
      <c r="A175" s="1" t="s">
        <v>9</v>
      </c>
      <c r="B175" s="1" t="s">
        <v>393</v>
      </c>
      <c r="C175" s="1" t="s">
        <v>19</v>
      </c>
      <c r="D175" s="1" t="s">
        <v>197</v>
      </c>
      <c r="E175" s="1" t="s">
        <v>157</v>
      </c>
      <c r="F175" s="1" t="s">
        <v>662</v>
      </c>
      <c r="G175" s="1">
        <v>93.5</v>
      </c>
      <c r="H175" s="1" t="s">
        <v>60</v>
      </c>
      <c r="I175" s="1">
        <v>-122.0</v>
      </c>
      <c r="J175" s="1">
        <v>-0.138264402066608</v>
      </c>
      <c r="K175" s="1" t="s">
        <v>61</v>
      </c>
      <c r="L175" s="1" t="s">
        <v>61</v>
      </c>
      <c r="M175" s="1" t="s">
        <v>62</v>
      </c>
      <c r="N175" s="1">
        <v>-111.0</v>
      </c>
      <c r="O175" s="1">
        <v>0.0626835998395434</v>
      </c>
      <c r="P175" s="1" t="s">
        <v>61</v>
      </c>
      <c r="Q175" s="1" t="s">
        <v>61</v>
      </c>
      <c r="R175" s="1">
        <f t="shared" si="1"/>
        <v>0.06268359984</v>
      </c>
      <c r="S175" s="1">
        <f t="shared" si="2"/>
        <v>-111</v>
      </c>
      <c r="T175" s="1">
        <f t="shared" si="3"/>
        <v>1.900900901</v>
      </c>
      <c r="U175" s="1">
        <f t="shared" si="4"/>
        <v>0</v>
      </c>
      <c r="V175" s="3">
        <f t="shared" si="5"/>
        <v>2</v>
      </c>
      <c r="W175" s="3">
        <f t="shared" si="6"/>
        <v>2</v>
      </c>
      <c r="X175" s="3" t="str">
        <f>IFERROR(__xludf.DUMMYFUNCTION("split(B175,"" "")"),"J.")</f>
        <v>J.</v>
      </c>
      <c r="Y175" s="3" t="str">
        <f>IFERROR(__xludf.DUMMYFUNCTION("""COMPUTED_VALUE"""),"Gibbs")</f>
        <v>Gibbs</v>
      </c>
      <c r="AA175" s="8">
        <v>76.0</v>
      </c>
      <c r="AB175" s="3">
        <f t="shared" si="7"/>
        <v>0</v>
      </c>
      <c r="AC175" s="3">
        <f t="shared" si="8"/>
        <v>1</v>
      </c>
      <c r="AD175" s="3">
        <f t="shared" si="9"/>
        <v>1.801801802</v>
      </c>
      <c r="AE175" s="3">
        <f t="shared" si="10"/>
        <v>1.801801802</v>
      </c>
      <c r="AF175" s="3">
        <f t="shared" si="11"/>
        <v>1.801801802</v>
      </c>
      <c r="AG175" s="3">
        <f t="shared" si="12"/>
        <v>0.1871657754</v>
      </c>
    </row>
    <row r="176">
      <c r="A176" s="1" t="s">
        <v>13</v>
      </c>
      <c r="B176" s="1" t="s">
        <v>241</v>
      </c>
      <c r="C176" s="1" t="s">
        <v>21</v>
      </c>
      <c r="D176" s="1" t="s">
        <v>197</v>
      </c>
      <c r="E176" s="1" t="s">
        <v>157</v>
      </c>
      <c r="F176" s="1" t="s">
        <v>662</v>
      </c>
      <c r="G176" s="1">
        <v>207.5</v>
      </c>
      <c r="H176" s="1" t="s">
        <v>60</v>
      </c>
      <c r="I176" s="1">
        <v>-113.0</v>
      </c>
      <c r="J176" s="1">
        <v>0.0250868843661966</v>
      </c>
      <c r="K176" s="1" t="s">
        <v>61</v>
      </c>
      <c r="L176" s="1" t="s">
        <v>61</v>
      </c>
      <c r="M176" s="1" t="s">
        <v>62</v>
      </c>
      <c r="N176" s="1">
        <v>-112.0</v>
      </c>
      <c r="O176" s="1">
        <v>-0.0839056185584899</v>
      </c>
      <c r="P176" s="1" t="s">
        <v>61</v>
      </c>
      <c r="Q176" s="1" t="s">
        <v>61</v>
      </c>
      <c r="R176" s="1">
        <f t="shared" si="1"/>
        <v>0.02508688437</v>
      </c>
      <c r="S176" s="1">
        <f t="shared" si="2"/>
        <v>-113</v>
      </c>
      <c r="T176" s="1">
        <f t="shared" si="3"/>
        <v>1.884955752</v>
      </c>
      <c r="U176" s="1">
        <f t="shared" si="4"/>
        <v>1</v>
      </c>
      <c r="V176" s="3">
        <f t="shared" si="5"/>
        <v>1</v>
      </c>
      <c r="W176" s="3">
        <f t="shared" si="6"/>
        <v>2</v>
      </c>
      <c r="X176" s="3" t="str">
        <f>IFERROR(__xludf.DUMMYFUNCTION("split(B176,"" "")"),"J.")</f>
        <v>J.</v>
      </c>
      <c r="Y176" s="3" t="str">
        <f>IFERROR(__xludf.DUMMYFUNCTION("""COMPUTED_VALUE"""),"Goff")</f>
        <v>Goff</v>
      </c>
      <c r="AA176" s="8">
        <v>145.0</v>
      </c>
      <c r="AB176" s="3">
        <f t="shared" si="7"/>
        <v>0</v>
      </c>
      <c r="AC176" s="3">
        <f t="shared" si="8"/>
        <v>0</v>
      </c>
      <c r="AD176" s="3">
        <f t="shared" si="9"/>
        <v>0.8849557522</v>
      </c>
      <c r="AE176" s="3">
        <f t="shared" si="10"/>
        <v>-1</v>
      </c>
      <c r="AF176" s="3">
        <f t="shared" si="11"/>
        <v>-2</v>
      </c>
      <c r="AG176" s="3">
        <f t="shared" si="12"/>
        <v>-0.3012048193</v>
      </c>
    </row>
    <row r="177">
      <c r="A177" s="1" t="s">
        <v>10</v>
      </c>
      <c r="B177" s="1" t="s">
        <v>446</v>
      </c>
      <c r="C177" s="1" t="s">
        <v>19</v>
      </c>
      <c r="D177" s="1" t="s">
        <v>197</v>
      </c>
      <c r="E177" s="1" t="s">
        <v>157</v>
      </c>
      <c r="F177" s="1" t="s">
        <v>662</v>
      </c>
      <c r="G177" s="1">
        <v>58.5</v>
      </c>
      <c r="H177" s="1" t="s">
        <v>60</v>
      </c>
      <c r="I177" s="1">
        <v>-116.0</v>
      </c>
      <c r="J177" s="1">
        <v>-0.0901125742480664</v>
      </c>
      <c r="K177" s="1" t="s">
        <v>61</v>
      </c>
      <c r="L177" s="1" t="s">
        <v>61</v>
      </c>
      <c r="M177" s="1" t="s">
        <v>62</v>
      </c>
      <c r="N177" s="1">
        <v>-113.0</v>
      </c>
      <c r="O177" s="1">
        <v>0.0225982270349337</v>
      </c>
      <c r="P177" s="1" t="s">
        <v>61</v>
      </c>
      <c r="Q177" s="1" t="s">
        <v>61</v>
      </c>
      <c r="R177" s="1">
        <f t="shared" si="1"/>
        <v>0.02259822703</v>
      </c>
      <c r="S177" s="1">
        <f t="shared" si="2"/>
        <v>-113</v>
      </c>
      <c r="T177" s="1">
        <f t="shared" si="3"/>
        <v>1.884955752</v>
      </c>
      <c r="U177" s="1">
        <f t="shared" si="4"/>
        <v>0</v>
      </c>
      <c r="V177" s="3">
        <f t="shared" si="5"/>
        <v>1</v>
      </c>
      <c r="W177" s="3">
        <f t="shared" si="6"/>
        <v>2</v>
      </c>
      <c r="X177" s="3" t="str">
        <f>IFERROR(__xludf.DUMMYFUNCTION("split(B177,"" "")"),"D.")</f>
        <v>D.</v>
      </c>
      <c r="Y177" s="3" t="str">
        <f>IFERROR(__xludf.DUMMYFUNCTION("""COMPUTED_VALUE"""),"Montgomery")</f>
        <v>Montgomery</v>
      </c>
      <c r="AA177" s="8">
        <v>73.0</v>
      </c>
      <c r="AB177" s="3">
        <f t="shared" si="7"/>
        <v>1</v>
      </c>
      <c r="AC177" s="3">
        <f t="shared" si="8"/>
        <v>0</v>
      </c>
      <c r="AD177" s="3">
        <f t="shared" si="9"/>
        <v>0.8849557522</v>
      </c>
      <c r="AE177" s="3">
        <f t="shared" si="10"/>
        <v>-1</v>
      </c>
      <c r="AF177" s="3">
        <f t="shared" si="11"/>
        <v>-2</v>
      </c>
      <c r="AG177" s="3">
        <f t="shared" si="12"/>
        <v>-0.2478632479</v>
      </c>
    </row>
    <row r="178">
      <c r="A178" s="1" t="s">
        <v>11</v>
      </c>
      <c r="B178" s="1" t="s">
        <v>498</v>
      </c>
      <c r="C178" s="1" t="s">
        <v>20</v>
      </c>
      <c r="D178" s="1" t="s">
        <v>197</v>
      </c>
      <c r="E178" s="1" t="s">
        <v>157</v>
      </c>
      <c r="F178" s="1" t="s">
        <v>662</v>
      </c>
      <c r="G178" s="1">
        <v>39.5</v>
      </c>
      <c r="H178" s="1" t="s">
        <v>60</v>
      </c>
      <c r="I178" s="1">
        <v>-115.0</v>
      </c>
      <c r="J178" s="1">
        <v>-0.0797741997420931</v>
      </c>
      <c r="K178" s="1" t="s">
        <v>61</v>
      </c>
      <c r="L178" s="1" t="s">
        <v>61</v>
      </c>
      <c r="M178" s="1" t="s">
        <v>62</v>
      </c>
      <c r="N178" s="1">
        <v>-114.0</v>
      </c>
      <c r="O178" s="1">
        <v>0.0121783585564859</v>
      </c>
      <c r="P178" s="1" t="s">
        <v>61</v>
      </c>
      <c r="Q178" s="1" t="s">
        <v>61</v>
      </c>
      <c r="R178" s="1">
        <f t="shared" si="1"/>
        <v>0.01217835856</v>
      </c>
      <c r="S178" s="1">
        <f t="shared" si="2"/>
        <v>-114</v>
      </c>
      <c r="T178" s="1">
        <f t="shared" si="3"/>
        <v>1.877192982</v>
      </c>
      <c r="U178" s="1">
        <f t="shared" si="4"/>
        <v>0</v>
      </c>
      <c r="V178" s="3">
        <f t="shared" si="5"/>
        <v>1</v>
      </c>
      <c r="W178" s="3">
        <f t="shared" si="6"/>
        <v>2</v>
      </c>
      <c r="X178" s="3" t="str">
        <f>IFERROR(__xludf.DUMMYFUNCTION("split(B178,"" "")"),"S.")</f>
        <v>S.</v>
      </c>
      <c r="Y178" s="3" t="str">
        <f>IFERROR(__xludf.DUMMYFUNCTION("""COMPUTED_VALUE"""),"LaPorta")</f>
        <v>LaPorta</v>
      </c>
      <c r="AA178" s="8">
        <v>28.0</v>
      </c>
      <c r="AB178" s="3">
        <f t="shared" si="7"/>
        <v>0</v>
      </c>
      <c r="AC178" s="3">
        <f t="shared" si="8"/>
        <v>1</v>
      </c>
      <c r="AD178" s="3">
        <f t="shared" si="9"/>
        <v>0.8771929825</v>
      </c>
      <c r="AE178" s="3">
        <f t="shared" si="10"/>
        <v>0.8771929825</v>
      </c>
      <c r="AF178" s="3">
        <f t="shared" si="11"/>
        <v>1.754385965</v>
      </c>
      <c r="AG178" s="3">
        <f t="shared" si="12"/>
        <v>0.2911392405</v>
      </c>
    </row>
    <row r="179">
      <c r="A179" s="1" t="s">
        <v>9</v>
      </c>
      <c r="B179" s="1" t="s">
        <v>446</v>
      </c>
      <c r="C179" s="1" t="s">
        <v>19</v>
      </c>
      <c r="D179" s="1" t="s">
        <v>197</v>
      </c>
      <c r="E179" s="1" t="s">
        <v>157</v>
      </c>
      <c r="F179" s="1" t="s">
        <v>662</v>
      </c>
      <c r="G179" s="1">
        <v>68.5</v>
      </c>
      <c r="H179" s="1" t="s">
        <v>60</v>
      </c>
      <c r="I179" s="1">
        <v>-115.0</v>
      </c>
      <c r="J179" s="1">
        <v>-0.0832105501567916</v>
      </c>
      <c r="K179" s="1" t="s">
        <v>61</v>
      </c>
      <c r="L179" s="1" t="s">
        <v>61</v>
      </c>
      <c r="M179" s="1" t="s">
        <v>62</v>
      </c>
      <c r="N179" s="1">
        <v>-117.0</v>
      </c>
      <c r="O179" s="1">
        <v>0.00914467231309179</v>
      </c>
      <c r="P179" s="1" t="s">
        <v>61</v>
      </c>
      <c r="Q179" s="1" t="s">
        <v>61</v>
      </c>
      <c r="R179" s="1">
        <f t="shared" si="1"/>
        <v>0.009144672313</v>
      </c>
      <c r="S179" s="1">
        <f t="shared" si="2"/>
        <v>-117</v>
      </c>
      <c r="T179" s="1">
        <f t="shared" si="3"/>
        <v>1.854700855</v>
      </c>
      <c r="U179" s="1">
        <f t="shared" si="4"/>
        <v>0</v>
      </c>
      <c r="V179" s="3">
        <f t="shared" si="5"/>
        <v>1</v>
      </c>
      <c r="W179" s="3">
        <f t="shared" si="6"/>
        <v>2</v>
      </c>
      <c r="X179" s="3" t="str">
        <f>IFERROR(__xludf.DUMMYFUNCTION("split(B179,"" "")"),"D.")</f>
        <v>D.</v>
      </c>
      <c r="Y179" s="3" t="str">
        <f>IFERROR(__xludf.DUMMYFUNCTION("""COMPUTED_VALUE"""),"Montgomery")</f>
        <v>Montgomery</v>
      </c>
      <c r="AA179" s="8">
        <v>96.0</v>
      </c>
      <c r="AB179" s="3">
        <f t="shared" si="7"/>
        <v>1</v>
      </c>
      <c r="AC179" s="3">
        <f t="shared" si="8"/>
        <v>0</v>
      </c>
      <c r="AD179" s="3">
        <f t="shared" si="9"/>
        <v>0.8547008547</v>
      </c>
      <c r="AE179" s="3">
        <f t="shared" si="10"/>
        <v>-1</v>
      </c>
      <c r="AF179" s="3">
        <f t="shared" si="11"/>
        <v>-2</v>
      </c>
      <c r="AG179" s="3">
        <f t="shared" si="12"/>
        <v>-0.401459854</v>
      </c>
    </row>
    <row r="180">
      <c r="A180" s="1" t="s">
        <v>8</v>
      </c>
      <c r="B180" s="1" t="s">
        <v>241</v>
      </c>
      <c r="C180" s="1" t="s">
        <v>21</v>
      </c>
      <c r="D180" s="1" t="s">
        <v>197</v>
      </c>
      <c r="E180" s="1" t="s">
        <v>157</v>
      </c>
      <c r="F180" s="1" t="s">
        <v>662</v>
      </c>
      <c r="G180" s="1">
        <v>1.5</v>
      </c>
      <c r="H180" s="1" t="s">
        <v>60</v>
      </c>
      <c r="I180" s="1">
        <v>-145.0</v>
      </c>
      <c r="J180" s="1">
        <v>-0.0878273497919236</v>
      </c>
      <c r="K180" s="1" t="s">
        <v>61</v>
      </c>
      <c r="L180" s="1" t="s">
        <v>61</v>
      </c>
      <c r="M180" s="1" t="s">
        <v>62</v>
      </c>
      <c r="N180" s="1">
        <v>105.0</v>
      </c>
      <c r="O180" s="1">
        <v>0.00818390584888445</v>
      </c>
      <c r="P180" s="1" t="s">
        <v>61</v>
      </c>
      <c r="Q180" s="1" t="s">
        <v>61</v>
      </c>
      <c r="R180" s="1">
        <f t="shared" si="1"/>
        <v>0.008183905849</v>
      </c>
      <c r="S180" s="1">
        <f t="shared" si="2"/>
        <v>105</v>
      </c>
      <c r="T180" s="1">
        <f t="shared" si="3"/>
        <v>2.05</v>
      </c>
      <c r="U180" s="1">
        <f t="shared" si="4"/>
        <v>0</v>
      </c>
      <c r="V180" s="3">
        <f t="shared" si="5"/>
        <v>1</v>
      </c>
      <c r="W180" s="3">
        <f t="shared" si="6"/>
        <v>2</v>
      </c>
      <c r="X180" s="3" t="str">
        <f>IFERROR(__xludf.DUMMYFUNCTION("split(B180,"" "")"),"J.")</f>
        <v>J.</v>
      </c>
      <c r="Y180" s="3" t="str">
        <f>IFERROR(__xludf.DUMMYFUNCTION("""COMPUTED_VALUE"""),"Goff")</f>
        <v>Goff</v>
      </c>
      <c r="AA180" s="8">
        <v>3.0</v>
      </c>
      <c r="AB180" s="3">
        <f t="shared" si="7"/>
        <v>1</v>
      </c>
      <c r="AC180" s="3">
        <f t="shared" si="8"/>
        <v>0</v>
      </c>
      <c r="AD180" s="3">
        <f t="shared" si="9"/>
        <v>1.05</v>
      </c>
      <c r="AE180" s="3">
        <f t="shared" si="10"/>
        <v>-1</v>
      </c>
      <c r="AF180" s="3">
        <f t="shared" si="11"/>
        <v>-2</v>
      </c>
      <c r="AG180" s="3">
        <f t="shared" si="12"/>
        <v>-1</v>
      </c>
    </row>
    <row r="181">
      <c r="A181" s="1" t="s">
        <v>12</v>
      </c>
      <c r="B181" s="1" t="s">
        <v>344</v>
      </c>
      <c r="C181" s="1" t="s">
        <v>18</v>
      </c>
      <c r="D181" s="1" t="s">
        <v>157</v>
      </c>
      <c r="E181" s="1" t="s">
        <v>197</v>
      </c>
      <c r="F181" s="1" t="s">
        <v>662</v>
      </c>
      <c r="G181" s="1">
        <v>2.5</v>
      </c>
      <c r="H181" s="1" t="s">
        <v>60</v>
      </c>
      <c r="I181" s="1">
        <v>-154.0</v>
      </c>
      <c r="J181" s="1">
        <v>-0.278958637637795</v>
      </c>
      <c r="K181" s="1" t="s">
        <v>61</v>
      </c>
      <c r="L181" s="1" t="s">
        <v>61</v>
      </c>
      <c r="M181" s="1" t="s">
        <v>62</v>
      </c>
      <c r="N181" s="1">
        <v>117.0</v>
      </c>
      <c r="O181" s="1">
        <v>0.211823013640553</v>
      </c>
      <c r="P181" s="1" t="s">
        <v>61</v>
      </c>
      <c r="Q181" s="1" t="s">
        <v>61</v>
      </c>
      <c r="R181" s="1">
        <f t="shared" si="1"/>
        <v>0.2118230136</v>
      </c>
      <c r="S181" s="1">
        <f t="shared" si="2"/>
        <v>117</v>
      </c>
      <c r="T181" s="1">
        <f t="shared" si="3"/>
        <v>2.17</v>
      </c>
      <c r="U181" s="1">
        <f t="shared" si="4"/>
        <v>0</v>
      </c>
      <c r="V181" s="3">
        <f t="shared" si="5"/>
        <v>3</v>
      </c>
      <c r="W181" s="3">
        <f t="shared" si="6"/>
        <v>1</v>
      </c>
      <c r="X181" s="3" t="str">
        <f>IFERROR(__xludf.DUMMYFUNCTION("split(B181,"" "")"),"C.")</f>
        <v>C.</v>
      </c>
      <c r="Y181" s="3" t="str">
        <f>IFERROR(__xludf.DUMMYFUNCTION("""COMPUTED_VALUE"""),"Watson")</f>
        <v>Watson</v>
      </c>
      <c r="AA181" s="8">
        <v>3.0</v>
      </c>
      <c r="AB181" s="3">
        <f t="shared" si="7"/>
        <v>1</v>
      </c>
      <c r="AC181" s="3">
        <f t="shared" si="8"/>
        <v>0</v>
      </c>
      <c r="AD181" s="3">
        <f t="shared" si="9"/>
        <v>3.51</v>
      </c>
      <c r="AE181" s="3">
        <f t="shared" si="10"/>
        <v>-3</v>
      </c>
      <c r="AF181" s="3">
        <f t="shared" si="11"/>
        <v>-1</v>
      </c>
      <c r="AG181" s="3">
        <f t="shared" si="12"/>
        <v>-0.2</v>
      </c>
    </row>
    <row r="182">
      <c r="A182" s="1" t="s">
        <v>15</v>
      </c>
      <c r="B182" s="1" t="s">
        <v>297</v>
      </c>
      <c r="C182" s="1" t="s">
        <v>21</v>
      </c>
      <c r="D182" s="1" t="s">
        <v>157</v>
      </c>
      <c r="E182" s="1" t="s">
        <v>197</v>
      </c>
      <c r="F182" s="1" t="s">
        <v>662</v>
      </c>
      <c r="G182" s="1">
        <v>20.5</v>
      </c>
      <c r="H182" s="1" t="s">
        <v>60</v>
      </c>
      <c r="I182" s="1">
        <v>101.0</v>
      </c>
      <c r="J182" s="1">
        <v>0.0930378109452734</v>
      </c>
      <c r="K182" s="1" t="s">
        <v>61</v>
      </c>
      <c r="L182" s="1" t="s">
        <v>61</v>
      </c>
      <c r="M182" s="1" t="s">
        <v>62</v>
      </c>
      <c r="N182" s="1">
        <v>-134.0</v>
      </c>
      <c r="O182" s="1">
        <v>-0.163206837606837</v>
      </c>
      <c r="P182" s="1" t="s">
        <v>61</v>
      </c>
      <c r="Q182" s="1" t="s">
        <v>61</v>
      </c>
      <c r="R182" s="1">
        <f t="shared" si="1"/>
        <v>0.09303781095</v>
      </c>
      <c r="S182" s="1">
        <f t="shared" si="2"/>
        <v>101</v>
      </c>
      <c r="T182" s="1">
        <f t="shared" si="3"/>
        <v>2.01</v>
      </c>
      <c r="U182" s="1">
        <f t="shared" si="4"/>
        <v>1</v>
      </c>
      <c r="V182" s="3">
        <f t="shared" si="5"/>
        <v>2</v>
      </c>
      <c r="W182" s="3">
        <f t="shared" si="6"/>
        <v>2</v>
      </c>
      <c r="X182" s="3" t="str">
        <f>IFERROR(__xludf.DUMMYFUNCTION("split(B182,"" "")"),"J.")</f>
        <v>J.</v>
      </c>
      <c r="Y182" s="3" t="str">
        <f>IFERROR(__xludf.DUMMYFUNCTION("""COMPUTED_VALUE"""),"Love")</f>
        <v>Love</v>
      </c>
      <c r="AA182" s="8">
        <v>23.0</v>
      </c>
      <c r="AB182" s="3">
        <f t="shared" si="7"/>
        <v>1</v>
      </c>
      <c r="AC182" s="3">
        <f t="shared" si="8"/>
        <v>1</v>
      </c>
      <c r="AD182" s="3">
        <f t="shared" si="9"/>
        <v>2.02</v>
      </c>
      <c r="AE182" s="3">
        <f t="shared" si="10"/>
        <v>2.02</v>
      </c>
      <c r="AF182" s="3">
        <f t="shared" si="11"/>
        <v>2.02</v>
      </c>
      <c r="AG182" s="3">
        <f t="shared" si="12"/>
        <v>0.1219512195</v>
      </c>
    </row>
    <row r="183">
      <c r="A183" s="1" t="s">
        <v>9</v>
      </c>
      <c r="B183" s="1" t="s">
        <v>245</v>
      </c>
      <c r="C183" s="1" t="s">
        <v>18</v>
      </c>
      <c r="D183" s="1" t="s">
        <v>157</v>
      </c>
      <c r="E183" s="1" t="s">
        <v>197</v>
      </c>
      <c r="F183" s="1" t="s">
        <v>662</v>
      </c>
      <c r="G183" s="1">
        <v>21.5</v>
      </c>
      <c r="H183" s="1" t="s">
        <v>60</v>
      </c>
      <c r="I183" s="1">
        <v>-121.0</v>
      </c>
      <c r="J183" s="1">
        <v>0.0772467683023498</v>
      </c>
      <c r="K183" s="1" t="s">
        <v>61</v>
      </c>
      <c r="L183" s="1" t="s">
        <v>61</v>
      </c>
      <c r="M183" s="1" t="s">
        <v>62</v>
      </c>
      <c r="N183" s="1">
        <v>-112.0</v>
      </c>
      <c r="O183" s="1">
        <v>-0.153019434387724</v>
      </c>
      <c r="P183" s="1" t="s">
        <v>61</v>
      </c>
      <c r="Q183" s="1" t="s">
        <v>61</v>
      </c>
      <c r="R183" s="1">
        <f t="shared" si="1"/>
        <v>0.0772467683</v>
      </c>
      <c r="S183" s="1">
        <f t="shared" si="2"/>
        <v>-121</v>
      </c>
      <c r="T183" s="1">
        <f t="shared" si="3"/>
        <v>1.826446281</v>
      </c>
      <c r="U183" s="1">
        <f t="shared" si="4"/>
        <v>1</v>
      </c>
      <c r="V183" s="3">
        <f t="shared" si="5"/>
        <v>2</v>
      </c>
      <c r="W183" s="3">
        <f t="shared" si="6"/>
        <v>3</v>
      </c>
      <c r="X183" s="3" t="str">
        <f>IFERROR(__xludf.DUMMYFUNCTION("split(B183,"" "")"),"D.")</f>
        <v>D.</v>
      </c>
      <c r="Y183" s="3" t="str">
        <f>IFERROR(__xludf.DUMMYFUNCTION("""COMPUTED_VALUE"""),"Wicks")</f>
        <v>Wicks</v>
      </c>
      <c r="AA183" s="8">
        <v>0.0</v>
      </c>
      <c r="AB183" s="3">
        <f t="shared" si="7"/>
        <v>0</v>
      </c>
      <c r="AC183" s="3">
        <f t="shared" si="8"/>
        <v>0</v>
      </c>
      <c r="AD183" s="3">
        <f t="shared" si="9"/>
        <v>1.652892562</v>
      </c>
      <c r="AE183" s="3">
        <f t="shared" si="10"/>
        <v>-2</v>
      </c>
      <c r="AF183" s="3">
        <f t="shared" si="11"/>
        <v>-3</v>
      </c>
      <c r="AG183" s="3">
        <f t="shared" si="12"/>
        <v>-1</v>
      </c>
    </row>
    <row r="184">
      <c r="A184" s="1" t="s">
        <v>12</v>
      </c>
      <c r="B184" s="1" t="s">
        <v>482</v>
      </c>
      <c r="C184" s="1" t="s">
        <v>18</v>
      </c>
      <c r="D184" s="1" t="s">
        <v>157</v>
      </c>
      <c r="E184" s="1" t="s">
        <v>197</v>
      </c>
      <c r="F184" s="1" t="s">
        <v>662</v>
      </c>
      <c r="G184" s="1">
        <v>3.5</v>
      </c>
      <c r="H184" s="1" t="s">
        <v>60</v>
      </c>
      <c r="I184" s="1">
        <v>-112.0</v>
      </c>
      <c r="J184" s="1">
        <v>-0.127549056603773</v>
      </c>
      <c r="K184" s="1" t="s">
        <v>61</v>
      </c>
      <c r="L184" s="1" t="s">
        <v>61</v>
      </c>
      <c r="M184" s="1" t="s">
        <v>62</v>
      </c>
      <c r="N184" s="1">
        <v>-117.0</v>
      </c>
      <c r="O184" s="1">
        <v>0.0600834101382488</v>
      </c>
      <c r="P184" s="1" t="s">
        <v>61</v>
      </c>
      <c r="Q184" s="1" t="s">
        <v>61</v>
      </c>
      <c r="R184" s="1">
        <f t="shared" si="1"/>
        <v>0.06008341014</v>
      </c>
      <c r="S184" s="1">
        <f t="shared" si="2"/>
        <v>-117</v>
      </c>
      <c r="T184" s="1">
        <f t="shared" si="3"/>
        <v>1.854700855</v>
      </c>
      <c r="U184" s="1">
        <f t="shared" si="4"/>
        <v>0</v>
      </c>
      <c r="V184" s="3">
        <f t="shared" si="5"/>
        <v>2</v>
      </c>
      <c r="W184" s="3">
        <f t="shared" si="6"/>
        <v>2</v>
      </c>
      <c r="X184" s="3" t="str">
        <f>IFERROR(__xludf.DUMMYFUNCTION("split(B184,"" "")"),"R.")</f>
        <v>R.</v>
      </c>
      <c r="Y184" s="3" t="str">
        <f>IFERROR(__xludf.DUMMYFUNCTION("""COMPUTED_VALUE"""),"Doubs")</f>
        <v>Doubs</v>
      </c>
      <c r="AA184" s="8">
        <v>4.0</v>
      </c>
      <c r="AB184" s="3">
        <f t="shared" si="7"/>
        <v>1</v>
      </c>
      <c r="AC184" s="3">
        <f t="shared" si="8"/>
        <v>0</v>
      </c>
      <c r="AD184" s="3">
        <f t="shared" si="9"/>
        <v>1.709401709</v>
      </c>
      <c r="AE184" s="3">
        <f t="shared" si="10"/>
        <v>-2</v>
      </c>
      <c r="AF184" s="3">
        <f t="shared" si="11"/>
        <v>-2</v>
      </c>
      <c r="AG184" s="3">
        <f t="shared" si="12"/>
        <v>-0.1428571429</v>
      </c>
    </row>
    <row r="185">
      <c r="A185" s="1" t="s">
        <v>8</v>
      </c>
      <c r="B185" s="1" t="s">
        <v>297</v>
      </c>
      <c r="C185" s="1" t="s">
        <v>21</v>
      </c>
      <c r="D185" s="1" t="s">
        <v>157</v>
      </c>
      <c r="E185" s="1" t="s">
        <v>197</v>
      </c>
      <c r="F185" s="1" t="s">
        <v>662</v>
      </c>
      <c r="G185" s="1">
        <v>1.5</v>
      </c>
      <c r="H185" s="1" t="s">
        <v>60</v>
      </c>
      <c r="I185" s="1">
        <v>-185.0</v>
      </c>
      <c r="J185" s="1">
        <v>-0.134417423215544</v>
      </c>
      <c r="K185" s="1" t="s">
        <v>61</v>
      </c>
      <c r="L185" s="1" t="s">
        <v>61</v>
      </c>
      <c r="M185" s="1" t="s">
        <v>62</v>
      </c>
      <c r="N185" s="1">
        <v>135.0</v>
      </c>
      <c r="O185" s="1">
        <v>0.0597615558145968</v>
      </c>
      <c r="P185" s="1" t="s">
        <v>61</v>
      </c>
      <c r="Q185" s="1" t="s">
        <v>61</v>
      </c>
      <c r="R185" s="1">
        <f t="shared" si="1"/>
        <v>0.05976155581</v>
      </c>
      <c r="S185" s="1">
        <f t="shared" si="2"/>
        <v>135</v>
      </c>
      <c r="T185" s="1">
        <f t="shared" si="3"/>
        <v>2.35</v>
      </c>
      <c r="U185" s="1">
        <f t="shared" si="4"/>
        <v>0</v>
      </c>
      <c r="V185" s="3">
        <f t="shared" si="5"/>
        <v>2</v>
      </c>
      <c r="W185" s="3">
        <f t="shared" si="6"/>
        <v>1</v>
      </c>
      <c r="X185" s="3" t="str">
        <f>IFERROR(__xludf.DUMMYFUNCTION("split(B185,"" "")"),"J.")</f>
        <v>J.</v>
      </c>
      <c r="Y185" s="3" t="str">
        <f>IFERROR(__xludf.DUMMYFUNCTION("""COMPUTED_VALUE"""),"Love")</f>
        <v>Love</v>
      </c>
      <c r="AA185" s="8">
        <v>3.0</v>
      </c>
      <c r="AB185" s="3">
        <f t="shared" si="7"/>
        <v>1</v>
      </c>
      <c r="AC185" s="3">
        <f t="shared" si="8"/>
        <v>0</v>
      </c>
      <c r="AD185" s="3">
        <f t="shared" si="9"/>
        <v>2.7</v>
      </c>
      <c r="AE185" s="3">
        <f t="shared" si="10"/>
        <v>-2</v>
      </c>
      <c r="AF185" s="3">
        <f t="shared" si="11"/>
        <v>-1</v>
      </c>
      <c r="AG185" s="3">
        <f t="shared" si="12"/>
        <v>-1</v>
      </c>
    </row>
    <row r="186">
      <c r="A186" s="1" t="s">
        <v>17</v>
      </c>
      <c r="B186" s="1" t="s">
        <v>297</v>
      </c>
      <c r="C186" s="1" t="s">
        <v>21</v>
      </c>
      <c r="D186" s="1" t="s">
        <v>157</v>
      </c>
      <c r="E186" s="1" t="s">
        <v>197</v>
      </c>
      <c r="F186" s="1" t="s">
        <v>662</v>
      </c>
      <c r="G186" s="1">
        <v>0.5</v>
      </c>
      <c r="H186" s="1" t="s">
        <v>60</v>
      </c>
      <c r="I186" s="1">
        <v>-139.0</v>
      </c>
      <c r="J186" s="1">
        <v>-0.120689958158995</v>
      </c>
      <c r="K186" s="1" t="s">
        <v>61</v>
      </c>
      <c r="L186" s="1" t="s">
        <v>61</v>
      </c>
      <c r="M186" s="1" t="s">
        <v>62</v>
      </c>
      <c r="N186" s="1">
        <v>106.0</v>
      </c>
      <c r="O186" s="1">
        <v>0.0536631067961165</v>
      </c>
      <c r="P186" s="1" t="s">
        <v>61</v>
      </c>
      <c r="Q186" s="1" t="s">
        <v>61</v>
      </c>
      <c r="R186" s="1">
        <f t="shared" si="1"/>
        <v>0.0536631068</v>
      </c>
      <c r="S186" s="1">
        <f t="shared" si="2"/>
        <v>106</v>
      </c>
      <c r="T186" s="1">
        <f t="shared" si="3"/>
        <v>2.06</v>
      </c>
      <c r="U186" s="1">
        <f t="shared" si="4"/>
        <v>0</v>
      </c>
      <c r="V186" s="3">
        <f t="shared" si="5"/>
        <v>2</v>
      </c>
      <c r="W186" s="3">
        <f t="shared" si="6"/>
        <v>2</v>
      </c>
      <c r="X186" s="3" t="str">
        <f>IFERROR(__xludf.DUMMYFUNCTION("split(B186,"" "")"),"J.")</f>
        <v>J.</v>
      </c>
      <c r="Y186" s="3" t="str">
        <f>IFERROR(__xludf.DUMMYFUNCTION("""COMPUTED_VALUE"""),"Love")</f>
        <v>Love</v>
      </c>
      <c r="AA186" s="8">
        <v>1.0</v>
      </c>
      <c r="AB186" s="3">
        <f t="shared" si="7"/>
        <v>1</v>
      </c>
      <c r="AC186" s="3">
        <f t="shared" si="8"/>
        <v>0</v>
      </c>
      <c r="AD186" s="3">
        <f t="shared" si="9"/>
        <v>2.12</v>
      </c>
      <c r="AE186" s="3">
        <f t="shared" si="10"/>
        <v>-2</v>
      </c>
      <c r="AF186" s="3">
        <f t="shared" si="11"/>
        <v>-2</v>
      </c>
      <c r="AG186" s="3">
        <f t="shared" si="12"/>
        <v>-1</v>
      </c>
    </row>
    <row r="187">
      <c r="A187" s="1" t="s">
        <v>12</v>
      </c>
      <c r="B187" s="1" t="s">
        <v>487</v>
      </c>
      <c r="C187" s="1" t="s">
        <v>18</v>
      </c>
      <c r="D187" s="1" t="s">
        <v>157</v>
      </c>
      <c r="E187" s="1" t="s">
        <v>197</v>
      </c>
      <c r="F187" s="1" t="s">
        <v>662</v>
      </c>
      <c r="G187" s="1">
        <v>3.5</v>
      </c>
      <c r="H187" s="1" t="s">
        <v>60</v>
      </c>
      <c r="I187" s="1">
        <v>-160.0</v>
      </c>
      <c r="J187" s="1">
        <v>-0.111784615384615</v>
      </c>
      <c r="K187" s="1" t="s">
        <v>61</v>
      </c>
      <c r="L187" s="1" t="s">
        <v>61</v>
      </c>
      <c r="M187" s="1" t="s">
        <v>62</v>
      </c>
      <c r="N187" s="1">
        <v>122.0</v>
      </c>
      <c r="O187" s="1">
        <v>0.0459495495495495</v>
      </c>
      <c r="P187" s="1" t="s">
        <v>61</v>
      </c>
      <c r="Q187" s="1" t="s">
        <v>61</v>
      </c>
      <c r="R187" s="1">
        <f t="shared" si="1"/>
        <v>0.04594954955</v>
      </c>
      <c r="S187" s="1">
        <f t="shared" si="2"/>
        <v>122</v>
      </c>
      <c r="T187" s="1">
        <f t="shared" si="3"/>
        <v>2.22</v>
      </c>
      <c r="U187" s="1">
        <f t="shared" si="4"/>
        <v>0</v>
      </c>
      <c r="V187" s="3">
        <f t="shared" si="5"/>
        <v>1</v>
      </c>
      <c r="W187" s="3">
        <f t="shared" si="6"/>
        <v>1</v>
      </c>
      <c r="X187" s="3" t="str">
        <f>IFERROR(__xludf.DUMMYFUNCTION("split(B187,"" "")"),"J.")</f>
        <v>J.</v>
      </c>
      <c r="Y187" s="3" t="str">
        <f>IFERROR(__xludf.DUMMYFUNCTION("""COMPUTED_VALUE"""),"Reed")</f>
        <v>Reed</v>
      </c>
      <c r="AA187" s="8">
        <v>5.0</v>
      </c>
      <c r="AB187" s="3">
        <f t="shared" si="7"/>
        <v>1</v>
      </c>
      <c r="AC187" s="3">
        <f t="shared" si="8"/>
        <v>0</v>
      </c>
      <c r="AD187" s="3">
        <f t="shared" si="9"/>
        <v>1.22</v>
      </c>
      <c r="AE187" s="3">
        <f t="shared" si="10"/>
        <v>-1</v>
      </c>
      <c r="AF187" s="3">
        <f t="shared" si="11"/>
        <v>-1</v>
      </c>
      <c r="AG187" s="3">
        <f t="shared" si="12"/>
        <v>-0.4285714286</v>
      </c>
    </row>
    <row r="188">
      <c r="A188" s="1" t="s">
        <v>10</v>
      </c>
      <c r="B188" s="1" t="s">
        <v>297</v>
      </c>
      <c r="C188" s="1" t="s">
        <v>21</v>
      </c>
      <c r="D188" s="1" t="s">
        <v>157</v>
      </c>
      <c r="E188" s="1" t="s">
        <v>197</v>
      </c>
      <c r="F188" s="1" t="s">
        <v>662</v>
      </c>
      <c r="G188" s="1">
        <v>4.5</v>
      </c>
      <c r="H188" s="1" t="s">
        <v>60</v>
      </c>
      <c r="I188" s="1">
        <v>-111.0</v>
      </c>
      <c r="J188" s="1">
        <v>0.0423585613137713</v>
      </c>
      <c r="K188" s="1" t="s">
        <v>61</v>
      </c>
      <c r="L188" s="1" t="s">
        <v>61</v>
      </c>
      <c r="M188" s="1" t="s">
        <v>62</v>
      </c>
      <c r="N188" s="1">
        <v>-119.0</v>
      </c>
      <c r="O188" s="1">
        <v>-0.111748945937328</v>
      </c>
      <c r="P188" s="1" t="s">
        <v>61</v>
      </c>
      <c r="Q188" s="1" t="s">
        <v>61</v>
      </c>
      <c r="R188" s="1">
        <f t="shared" si="1"/>
        <v>0.04235856131</v>
      </c>
      <c r="S188" s="1">
        <f t="shared" si="2"/>
        <v>-111</v>
      </c>
      <c r="T188" s="1">
        <f t="shared" si="3"/>
        <v>1.900900901</v>
      </c>
      <c r="U188" s="1">
        <f t="shared" si="4"/>
        <v>1</v>
      </c>
      <c r="V188" s="3">
        <f t="shared" si="5"/>
        <v>1</v>
      </c>
      <c r="W188" s="3">
        <f t="shared" si="6"/>
        <v>2</v>
      </c>
      <c r="X188" s="3" t="str">
        <f>IFERROR(__xludf.DUMMYFUNCTION("split(B188,"" "")"),"J.")</f>
        <v>J.</v>
      </c>
      <c r="Y188" s="3" t="str">
        <f>IFERROR(__xludf.DUMMYFUNCTION("""COMPUTED_VALUE"""),"Love")</f>
        <v>Love</v>
      </c>
      <c r="AA188" s="8">
        <v>0.0</v>
      </c>
      <c r="AB188" s="3">
        <f t="shared" si="7"/>
        <v>0</v>
      </c>
      <c r="AC188" s="3">
        <f t="shared" si="8"/>
        <v>0</v>
      </c>
      <c r="AD188" s="3">
        <f t="shared" si="9"/>
        <v>0.9009009009</v>
      </c>
      <c r="AE188" s="3">
        <f t="shared" si="10"/>
        <v>-1</v>
      </c>
      <c r="AF188" s="3">
        <f t="shared" si="11"/>
        <v>-2</v>
      </c>
      <c r="AG188" s="3">
        <f t="shared" si="12"/>
        <v>-1</v>
      </c>
    </row>
    <row r="189">
      <c r="A189" s="1" t="s">
        <v>10</v>
      </c>
      <c r="B189" s="1" t="s">
        <v>187</v>
      </c>
      <c r="C189" s="1" t="s">
        <v>19</v>
      </c>
      <c r="D189" s="1" t="s">
        <v>157</v>
      </c>
      <c r="E189" s="1" t="s">
        <v>197</v>
      </c>
      <c r="F189" s="1" t="s">
        <v>662</v>
      </c>
      <c r="G189" s="1">
        <v>64.5</v>
      </c>
      <c r="H189" s="1" t="s">
        <v>60</v>
      </c>
      <c r="I189" s="1">
        <v>-118.0</v>
      </c>
      <c r="J189" s="1">
        <v>-0.0957445655677259</v>
      </c>
      <c r="K189" s="1" t="s">
        <v>61</v>
      </c>
      <c r="L189" s="1" t="s">
        <v>61</v>
      </c>
      <c r="M189" s="1" t="s">
        <v>62</v>
      </c>
      <c r="N189" s="1">
        <v>-111.0</v>
      </c>
      <c r="O189" s="1">
        <v>0.0284463530782695</v>
      </c>
      <c r="P189" s="1" t="s">
        <v>61</v>
      </c>
      <c r="Q189" s="1" t="s">
        <v>61</v>
      </c>
      <c r="R189" s="1">
        <f t="shared" si="1"/>
        <v>0.02844635308</v>
      </c>
      <c r="S189" s="1">
        <f t="shared" si="2"/>
        <v>-111</v>
      </c>
      <c r="T189" s="1">
        <f t="shared" si="3"/>
        <v>1.900900901</v>
      </c>
      <c r="U189" s="1">
        <f t="shared" si="4"/>
        <v>0</v>
      </c>
      <c r="V189" s="3">
        <f t="shared" si="5"/>
        <v>1</v>
      </c>
      <c r="W189" s="3">
        <f t="shared" si="6"/>
        <v>2</v>
      </c>
      <c r="X189" s="3" t="str">
        <f>IFERROR(__xludf.DUMMYFUNCTION("split(B189,"" "")"),"J.")</f>
        <v>J.</v>
      </c>
      <c r="Y189" s="3" t="str">
        <f>IFERROR(__xludf.DUMMYFUNCTION("""COMPUTED_VALUE"""),"Jacobs")</f>
        <v>Jacobs</v>
      </c>
      <c r="AA189" s="8">
        <v>95.0</v>
      </c>
      <c r="AB189" s="3">
        <f t="shared" si="7"/>
        <v>1</v>
      </c>
      <c r="AC189" s="3">
        <f t="shared" si="8"/>
        <v>0</v>
      </c>
      <c r="AD189" s="3">
        <f t="shared" si="9"/>
        <v>0.9009009009</v>
      </c>
      <c r="AE189" s="3">
        <f t="shared" si="10"/>
        <v>-1</v>
      </c>
      <c r="AF189" s="3">
        <f t="shared" si="11"/>
        <v>-2</v>
      </c>
      <c r="AG189" s="3">
        <f t="shared" si="12"/>
        <v>-0.4728682171</v>
      </c>
    </row>
    <row r="190">
      <c r="A190" s="1" t="s">
        <v>11</v>
      </c>
      <c r="B190" s="1" t="s">
        <v>344</v>
      </c>
      <c r="C190" s="1" t="s">
        <v>18</v>
      </c>
      <c r="D190" s="1" t="s">
        <v>157</v>
      </c>
      <c r="E190" s="1" t="s">
        <v>197</v>
      </c>
      <c r="F190" s="1" t="s">
        <v>662</v>
      </c>
      <c r="G190" s="1">
        <v>34.5</v>
      </c>
      <c r="H190" s="1" t="s">
        <v>60</v>
      </c>
      <c r="I190" s="1">
        <v>-110.0</v>
      </c>
      <c r="J190" s="1">
        <v>-0.0933921209807144</v>
      </c>
      <c r="K190" s="1" t="s">
        <v>61</v>
      </c>
      <c r="L190" s="1" t="s">
        <v>61</v>
      </c>
      <c r="M190" s="1" t="s">
        <v>62</v>
      </c>
      <c r="N190" s="1">
        <v>-119.0</v>
      </c>
      <c r="O190" s="1">
        <v>0.0262134865586781</v>
      </c>
      <c r="P190" s="1" t="s">
        <v>61</v>
      </c>
      <c r="Q190" s="1" t="s">
        <v>61</v>
      </c>
      <c r="R190" s="1">
        <f t="shared" si="1"/>
        <v>0.02621348656</v>
      </c>
      <c r="S190" s="1">
        <f t="shared" si="2"/>
        <v>-119</v>
      </c>
      <c r="T190" s="1">
        <f t="shared" si="3"/>
        <v>1.840336134</v>
      </c>
      <c r="U190" s="1">
        <f t="shared" si="4"/>
        <v>0</v>
      </c>
      <c r="V190" s="3">
        <f t="shared" si="5"/>
        <v>1</v>
      </c>
      <c r="W190" s="3">
        <f t="shared" si="6"/>
        <v>3</v>
      </c>
      <c r="X190" s="3" t="str">
        <f>IFERROR(__xludf.DUMMYFUNCTION("split(B190,"" "")"),"C.")</f>
        <v>C.</v>
      </c>
      <c r="Y190" s="3" t="str">
        <f>IFERROR(__xludf.DUMMYFUNCTION("""COMPUTED_VALUE"""),"Watson")</f>
        <v>Watson</v>
      </c>
      <c r="AA190" s="8">
        <v>37.0</v>
      </c>
      <c r="AB190" s="3">
        <f t="shared" si="7"/>
        <v>1</v>
      </c>
      <c r="AC190" s="3">
        <f t="shared" si="8"/>
        <v>0</v>
      </c>
      <c r="AD190" s="3">
        <f t="shared" si="9"/>
        <v>0.8403361345</v>
      </c>
      <c r="AE190" s="3">
        <f t="shared" si="10"/>
        <v>-1</v>
      </c>
      <c r="AF190" s="3">
        <f t="shared" si="11"/>
        <v>-3</v>
      </c>
      <c r="AG190" s="3">
        <f t="shared" si="12"/>
        <v>-0.07246376812</v>
      </c>
    </row>
    <row r="191">
      <c r="A191" s="1" t="s">
        <v>12</v>
      </c>
      <c r="B191" s="1" t="s">
        <v>245</v>
      </c>
      <c r="C191" s="1" t="s">
        <v>18</v>
      </c>
      <c r="D191" s="1" t="s">
        <v>157</v>
      </c>
      <c r="E191" s="1" t="s">
        <v>197</v>
      </c>
      <c r="F191" s="1" t="s">
        <v>662</v>
      </c>
      <c r="G191" s="1">
        <v>2.5</v>
      </c>
      <c r="H191" s="1" t="s">
        <v>60</v>
      </c>
      <c r="I191" s="1">
        <v>144.0</v>
      </c>
      <c r="J191" s="1">
        <v>-0.0815932558229508</v>
      </c>
      <c r="K191" s="1" t="s">
        <v>61</v>
      </c>
      <c r="L191" s="1" t="s">
        <v>61</v>
      </c>
      <c r="M191" s="1" t="s">
        <v>62</v>
      </c>
      <c r="N191" s="1">
        <v>-190.0</v>
      </c>
      <c r="O191" s="1">
        <v>0.0165910761482757</v>
      </c>
      <c r="P191" s="1" t="s">
        <v>61</v>
      </c>
      <c r="Q191" s="1" t="s">
        <v>61</v>
      </c>
      <c r="R191" s="1">
        <f t="shared" si="1"/>
        <v>0.01659107615</v>
      </c>
      <c r="S191" s="1">
        <f t="shared" si="2"/>
        <v>-190</v>
      </c>
      <c r="T191" s="1">
        <f t="shared" si="3"/>
        <v>1.526315789</v>
      </c>
      <c r="U191" s="1">
        <f t="shared" si="4"/>
        <v>0</v>
      </c>
      <c r="V191" s="3">
        <f t="shared" si="5"/>
        <v>1</v>
      </c>
      <c r="W191" s="3">
        <f t="shared" si="6"/>
        <v>3</v>
      </c>
      <c r="X191" s="3" t="str">
        <f>IFERROR(__xludf.DUMMYFUNCTION("split(B191,"" "")"),"D.")</f>
        <v>D.</v>
      </c>
      <c r="Y191" s="3" t="str">
        <f>IFERROR(__xludf.DUMMYFUNCTION("""COMPUTED_VALUE"""),"Wicks")</f>
        <v>Wicks</v>
      </c>
      <c r="AA191" s="8">
        <v>0.0</v>
      </c>
      <c r="AB191" s="3">
        <f t="shared" si="7"/>
        <v>0</v>
      </c>
      <c r="AC191" s="3">
        <f t="shared" si="8"/>
        <v>1</v>
      </c>
      <c r="AD191" s="3">
        <f t="shared" si="9"/>
        <v>0.5263157895</v>
      </c>
      <c r="AE191" s="3">
        <f t="shared" si="10"/>
        <v>0.5263157895</v>
      </c>
      <c r="AF191" s="3">
        <f t="shared" si="11"/>
        <v>1.578947368</v>
      </c>
      <c r="AG191" s="3">
        <f t="shared" si="12"/>
        <v>1</v>
      </c>
    </row>
    <row r="192">
      <c r="A192" s="1" t="s">
        <v>13</v>
      </c>
      <c r="B192" s="1" t="s">
        <v>297</v>
      </c>
      <c r="C192" s="1" t="s">
        <v>21</v>
      </c>
      <c r="D192" s="1" t="s">
        <v>157</v>
      </c>
      <c r="E192" s="1" t="s">
        <v>197</v>
      </c>
      <c r="F192" s="1" t="s">
        <v>662</v>
      </c>
      <c r="G192" s="1">
        <v>222.5</v>
      </c>
      <c r="H192" s="1" t="s">
        <v>60</v>
      </c>
      <c r="I192" s="1">
        <v>-113.0</v>
      </c>
      <c r="J192" s="1">
        <v>0.0111549295774645</v>
      </c>
      <c r="K192" s="1" t="s">
        <v>61</v>
      </c>
      <c r="L192" s="1" t="s">
        <v>61</v>
      </c>
      <c r="M192" s="1" t="s">
        <v>62</v>
      </c>
      <c r="N192" s="1">
        <v>-113.0</v>
      </c>
      <c r="O192" s="1">
        <v>-0.0721450704225349</v>
      </c>
      <c r="P192" s="1" t="s">
        <v>61</v>
      </c>
      <c r="Q192" s="1" t="s">
        <v>61</v>
      </c>
      <c r="R192" s="1">
        <f t="shared" si="1"/>
        <v>0.01115492958</v>
      </c>
      <c r="S192" s="1">
        <f t="shared" si="2"/>
        <v>-113</v>
      </c>
      <c r="T192" s="1">
        <f t="shared" si="3"/>
        <v>1.884955752</v>
      </c>
      <c r="U192" s="1">
        <f t="shared" si="4"/>
        <v>1</v>
      </c>
      <c r="V192" s="3">
        <f t="shared" si="5"/>
        <v>1</v>
      </c>
      <c r="W192" s="3">
        <f t="shared" si="6"/>
        <v>2</v>
      </c>
      <c r="X192" s="3" t="str">
        <f>IFERROR(__xludf.DUMMYFUNCTION("split(B192,"" "")"),"J.")</f>
        <v>J.</v>
      </c>
      <c r="Y192" s="3" t="str">
        <f>IFERROR(__xludf.DUMMYFUNCTION("""COMPUTED_VALUE"""),"Love")</f>
        <v>Love</v>
      </c>
      <c r="AA192" s="8">
        <v>273.0</v>
      </c>
      <c r="AB192" s="3">
        <f t="shared" si="7"/>
        <v>1</v>
      </c>
      <c r="AC192" s="3">
        <f t="shared" si="8"/>
        <v>1</v>
      </c>
      <c r="AD192" s="3">
        <f t="shared" si="9"/>
        <v>0.8849557522</v>
      </c>
      <c r="AE192" s="3">
        <f t="shared" si="10"/>
        <v>0.8849557522</v>
      </c>
      <c r="AF192" s="3">
        <f t="shared" si="11"/>
        <v>1.769911504</v>
      </c>
      <c r="AG192" s="3">
        <f t="shared" si="12"/>
        <v>0.2269662921</v>
      </c>
    </row>
    <row r="193">
      <c r="A193" s="1" t="s">
        <v>9</v>
      </c>
      <c r="B193" s="1" t="s">
        <v>187</v>
      </c>
      <c r="C193" s="1" t="s">
        <v>19</v>
      </c>
      <c r="D193" s="1" t="s">
        <v>157</v>
      </c>
      <c r="E193" s="1" t="s">
        <v>197</v>
      </c>
      <c r="F193" s="1" t="s">
        <v>662</v>
      </c>
      <c r="G193" s="1">
        <v>80.5</v>
      </c>
      <c r="H193" s="1" t="s">
        <v>60</v>
      </c>
      <c r="I193" s="1">
        <v>-116.0</v>
      </c>
      <c r="J193" s="1">
        <v>-0.0905478015199258</v>
      </c>
      <c r="K193" s="1" t="s">
        <v>61</v>
      </c>
      <c r="L193" s="1" t="s">
        <v>61</v>
      </c>
      <c r="M193" s="1" t="s">
        <v>62</v>
      </c>
      <c r="N193" s="1">
        <v>-119.0</v>
      </c>
      <c r="O193" s="1">
        <v>0.0101683785510582</v>
      </c>
      <c r="P193" s="1" t="s">
        <v>61</v>
      </c>
      <c r="Q193" s="1" t="s">
        <v>61</v>
      </c>
      <c r="R193" s="1">
        <f t="shared" si="1"/>
        <v>0.01016837855</v>
      </c>
      <c r="S193" s="1">
        <f t="shared" si="2"/>
        <v>-119</v>
      </c>
      <c r="T193" s="1">
        <f t="shared" si="3"/>
        <v>1.840336134</v>
      </c>
      <c r="U193" s="1">
        <f t="shared" si="4"/>
        <v>0</v>
      </c>
      <c r="V193" s="3">
        <f t="shared" si="5"/>
        <v>1</v>
      </c>
      <c r="W193" s="3">
        <f t="shared" si="6"/>
        <v>3</v>
      </c>
      <c r="X193" s="3" t="str">
        <f>IFERROR(__xludf.DUMMYFUNCTION("split(B193,"" "")"),"J.")</f>
        <v>J.</v>
      </c>
      <c r="Y193" s="3" t="str">
        <f>IFERROR(__xludf.DUMMYFUNCTION("""COMPUTED_VALUE"""),"Jacobs")</f>
        <v>Jacobs</v>
      </c>
      <c r="AA193" s="8">
        <v>108.0</v>
      </c>
      <c r="AB193" s="3">
        <f t="shared" si="7"/>
        <v>1</v>
      </c>
      <c r="AC193" s="3">
        <f t="shared" si="8"/>
        <v>0</v>
      </c>
      <c r="AD193" s="3">
        <f t="shared" si="9"/>
        <v>0.8403361345</v>
      </c>
      <c r="AE193" s="3">
        <f t="shared" si="10"/>
        <v>-1</v>
      </c>
      <c r="AF193" s="3">
        <f t="shared" si="11"/>
        <v>-3</v>
      </c>
      <c r="AG193" s="3">
        <f t="shared" si="12"/>
        <v>-0.3416149068</v>
      </c>
    </row>
    <row r="194">
      <c r="A194" s="1" t="s">
        <v>9</v>
      </c>
      <c r="B194" s="1" t="s">
        <v>487</v>
      </c>
      <c r="C194" s="1" t="s">
        <v>18</v>
      </c>
      <c r="D194" s="1" t="s">
        <v>157</v>
      </c>
      <c r="E194" s="1" t="s">
        <v>197</v>
      </c>
      <c r="F194" s="1" t="s">
        <v>662</v>
      </c>
      <c r="G194" s="1">
        <v>52.5</v>
      </c>
      <c r="H194" s="1" t="s">
        <v>60</v>
      </c>
      <c r="I194" s="1">
        <v>-118.0</v>
      </c>
      <c r="J194" s="1">
        <v>0.00794388151666725</v>
      </c>
      <c r="K194" s="1" t="s">
        <v>61</v>
      </c>
      <c r="L194" s="1" t="s">
        <v>61</v>
      </c>
      <c r="M194" s="1" t="s">
        <v>62</v>
      </c>
      <c r="N194" s="1">
        <v>-115.0</v>
      </c>
      <c r="O194" s="1">
        <v>-0.0841000981219928</v>
      </c>
      <c r="P194" s="1" t="s">
        <v>61</v>
      </c>
      <c r="Q194" s="1" t="s">
        <v>61</v>
      </c>
      <c r="R194" s="1">
        <f t="shared" si="1"/>
        <v>0.007943881517</v>
      </c>
      <c r="S194" s="1">
        <f t="shared" si="2"/>
        <v>-118</v>
      </c>
      <c r="T194" s="1">
        <f t="shared" si="3"/>
        <v>1.847457627</v>
      </c>
      <c r="U194" s="1">
        <f t="shared" si="4"/>
        <v>1</v>
      </c>
      <c r="V194" s="3">
        <f t="shared" si="5"/>
        <v>1</v>
      </c>
      <c r="W194" s="3">
        <f t="shared" si="6"/>
        <v>3</v>
      </c>
      <c r="X194" s="3" t="str">
        <f>IFERROR(__xludf.DUMMYFUNCTION("split(B194,"" "")"),"J.")</f>
        <v>J.</v>
      </c>
      <c r="Y194" s="3" t="str">
        <f>IFERROR(__xludf.DUMMYFUNCTION("""COMPUTED_VALUE"""),"Reed")</f>
        <v>Reed</v>
      </c>
      <c r="AA194" s="8">
        <v>113.0</v>
      </c>
      <c r="AB194" s="3">
        <f t="shared" si="7"/>
        <v>1</v>
      </c>
      <c r="AC194" s="3">
        <f t="shared" si="8"/>
        <v>1</v>
      </c>
      <c r="AD194" s="3">
        <f t="shared" si="9"/>
        <v>0.8474576271</v>
      </c>
      <c r="AE194" s="3">
        <f t="shared" si="10"/>
        <v>0.8474576271</v>
      </c>
      <c r="AF194" s="3">
        <f t="shared" si="11"/>
        <v>2.542372881</v>
      </c>
      <c r="AG194" s="3">
        <f t="shared" si="12"/>
        <v>1.152380952</v>
      </c>
    </row>
    <row r="195">
      <c r="A195" s="1" t="s">
        <v>11</v>
      </c>
      <c r="B195" s="1" t="s">
        <v>482</v>
      </c>
      <c r="C195" s="1" t="s">
        <v>18</v>
      </c>
      <c r="D195" s="1" t="s">
        <v>157</v>
      </c>
      <c r="E195" s="1" t="s">
        <v>197</v>
      </c>
      <c r="F195" s="1" t="s">
        <v>662</v>
      </c>
      <c r="G195" s="1">
        <v>42.5</v>
      </c>
      <c r="H195" s="1" t="s">
        <v>60</v>
      </c>
      <c r="I195" s="1">
        <v>-114.0</v>
      </c>
      <c r="J195" s="1">
        <v>-0.0742844183450468</v>
      </c>
      <c r="K195" s="1" t="s">
        <v>61</v>
      </c>
      <c r="L195" s="1" t="s">
        <v>61</v>
      </c>
      <c r="M195" s="1" t="s">
        <v>62</v>
      </c>
      <c r="N195" s="1">
        <v>-115.0</v>
      </c>
      <c r="O195" s="1">
        <v>0.00674330351837215</v>
      </c>
      <c r="P195" s="1" t="s">
        <v>61</v>
      </c>
      <c r="Q195" s="1" t="s">
        <v>61</v>
      </c>
      <c r="R195" s="1">
        <f t="shared" si="1"/>
        <v>0.006743303518</v>
      </c>
      <c r="S195" s="1">
        <f t="shared" si="2"/>
        <v>-115</v>
      </c>
      <c r="T195" s="1">
        <f t="shared" si="3"/>
        <v>1.869565217</v>
      </c>
      <c r="U195" s="1">
        <f t="shared" si="4"/>
        <v>0</v>
      </c>
      <c r="V195" s="3">
        <f t="shared" si="5"/>
        <v>1</v>
      </c>
      <c r="W195" s="3">
        <f t="shared" si="6"/>
        <v>2</v>
      </c>
      <c r="X195" s="3" t="str">
        <f>IFERROR(__xludf.DUMMYFUNCTION("split(B195,"" "")"),"R.")</f>
        <v>R.</v>
      </c>
      <c r="Y195" s="3" t="str">
        <f>IFERROR(__xludf.DUMMYFUNCTION("""COMPUTED_VALUE"""),"Doubs")</f>
        <v>Doubs</v>
      </c>
      <c r="AA195" s="8">
        <v>28.0</v>
      </c>
      <c r="AB195" s="3">
        <f t="shared" si="7"/>
        <v>0</v>
      </c>
      <c r="AC195" s="3">
        <f t="shared" si="8"/>
        <v>1</v>
      </c>
      <c r="AD195" s="3">
        <f t="shared" si="9"/>
        <v>0.8695652174</v>
      </c>
      <c r="AE195" s="3">
        <f t="shared" si="10"/>
        <v>0.8695652174</v>
      </c>
      <c r="AF195" s="3">
        <f t="shared" si="11"/>
        <v>1.739130435</v>
      </c>
      <c r="AG195" s="3">
        <f t="shared" si="12"/>
        <v>0.3411764706</v>
      </c>
    </row>
    <row r="196">
      <c r="A196" s="1" t="s">
        <v>12</v>
      </c>
      <c r="B196" s="1" t="s">
        <v>187</v>
      </c>
      <c r="C196" s="1" t="s">
        <v>19</v>
      </c>
      <c r="D196" s="1" t="s">
        <v>157</v>
      </c>
      <c r="E196" s="1" t="s">
        <v>197</v>
      </c>
      <c r="F196" s="1" t="s">
        <v>662</v>
      </c>
      <c r="G196" s="1">
        <v>2.5</v>
      </c>
      <c r="H196" s="1" t="s">
        <v>60</v>
      </c>
      <c r="I196" s="1">
        <v>139.0</v>
      </c>
      <c r="J196" s="1">
        <v>-0.0752079128728033</v>
      </c>
      <c r="K196" s="1" t="s">
        <v>61</v>
      </c>
      <c r="L196" s="1" t="s">
        <v>61</v>
      </c>
      <c r="M196" s="1" t="s">
        <v>62</v>
      </c>
      <c r="N196" s="1">
        <v>-186.0</v>
      </c>
      <c r="O196" s="1">
        <v>0.00644796898041966</v>
      </c>
      <c r="P196" s="1" t="s">
        <v>61</v>
      </c>
      <c r="Q196" s="1" t="s">
        <v>61</v>
      </c>
      <c r="R196" s="1">
        <f t="shared" si="1"/>
        <v>0.00644796898</v>
      </c>
      <c r="S196" s="1">
        <f t="shared" si="2"/>
        <v>-186</v>
      </c>
      <c r="T196" s="1">
        <f t="shared" si="3"/>
        <v>1.537634409</v>
      </c>
      <c r="U196" s="1">
        <f t="shared" si="4"/>
        <v>0</v>
      </c>
      <c r="V196" s="3">
        <f t="shared" si="5"/>
        <v>1</v>
      </c>
      <c r="W196" s="3">
        <f t="shared" si="6"/>
        <v>3</v>
      </c>
      <c r="X196" s="3" t="str">
        <f>IFERROR(__xludf.DUMMYFUNCTION("split(B196,"" "")"),"J.")</f>
        <v>J.</v>
      </c>
      <c r="Y196" s="3" t="str">
        <f>IFERROR(__xludf.DUMMYFUNCTION("""COMPUTED_VALUE"""),"Jacobs")</f>
        <v>Jacobs</v>
      </c>
      <c r="AA196" s="8">
        <v>2.0</v>
      </c>
      <c r="AB196" s="3">
        <f t="shared" si="7"/>
        <v>0</v>
      </c>
      <c r="AC196" s="3">
        <f t="shared" si="8"/>
        <v>1</v>
      </c>
      <c r="AD196" s="3">
        <f t="shared" si="9"/>
        <v>0.5376344086</v>
      </c>
      <c r="AE196" s="3">
        <f t="shared" si="10"/>
        <v>0.5376344086</v>
      </c>
      <c r="AF196" s="3">
        <f t="shared" si="11"/>
        <v>1.612903226</v>
      </c>
      <c r="AG196" s="3">
        <f t="shared" si="12"/>
        <v>0.2</v>
      </c>
    </row>
    <row r="197">
      <c r="A197" s="1" t="s">
        <v>10</v>
      </c>
      <c r="B197" s="1" t="s">
        <v>487</v>
      </c>
      <c r="C197" s="1" t="s">
        <v>18</v>
      </c>
      <c r="D197" s="1" t="s">
        <v>157</v>
      </c>
      <c r="E197" s="1" t="s">
        <v>197</v>
      </c>
      <c r="F197" s="1" t="s">
        <v>662</v>
      </c>
      <c r="G197" s="1">
        <v>4.5</v>
      </c>
      <c r="H197" s="1" t="s">
        <v>60</v>
      </c>
      <c r="I197" s="1">
        <v>-119.0</v>
      </c>
      <c r="J197" s="1">
        <v>0.00114718660913115</v>
      </c>
      <c r="K197" s="1" t="s">
        <v>61</v>
      </c>
      <c r="L197" s="1" t="s">
        <v>61</v>
      </c>
      <c r="M197" s="1" t="s">
        <v>62</v>
      </c>
      <c r="N197" s="1">
        <v>-109.0</v>
      </c>
      <c r="O197" s="1">
        <v>-0.0660183584472041</v>
      </c>
      <c r="P197" s="1" t="s">
        <v>61</v>
      </c>
      <c r="Q197" s="1" t="s">
        <v>61</v>
      </c>
      <c r="R197" s="1">
        <f t="shared" si="1"/>
        <v>0.001147186609</v>
      </c>
      <c r="S197" s="1">
        <f t="shared" si="2"/>
        <v>-119</v>
      </c>
      <c r="T197" s="1">
        <f t="shared" si="3"/>
        <v>1.840336134</v>
      </c>
      <c r="U197" s="1">
        <f t="shared" si="4"/>
        <v>1</v>
      </c>
      <c r="V197" s="3">
        <f t="shared" si="5"/>
        <v>1</v>
      </c>
      <c r="W197" s="3">
        <f t="shared" si="6"/>
        <v>3</v>
      </c>
      <c r="X197" s="3" t="str">
        <f>IFERROR(__xludf.DUMMYFUNCTION("split(B197,"" "")"),"J.")</f>
        <v>J.</v>
      </c>
      <c r="Y197" s="3" t="str">
        <f>IFERROR(__xludf.DUMMYFUNCTION("""COMPUTED_VALUE"""),"Reed")</f>
        <v>Reed</v>
      </c>
      <c r="AA197" s="8">
        <v>0.0</v>
      </c>
      <c r="AB197" s="3">
        <f t="shared" si="7"/>
        <v>0</v>
      </c>
      <c r="AC197" s="3">
        <f t="shared" si="8"/>
        <v>0</v>
      </c>
      <c r="AD197" s="3">
        <f t="shared" si="9"/>
        <v>0.8403361345</v>
      </c>
      <c r="AE197" s="3">
        <f t="shared" si="10"/>
        <v>-1</v>
      </c>
      <c r="AF197" s="3">
        <f t="shared" si="11"/>
        <v>-3</v>
      </c>
      <c r="AG197" s="3">
        <f t="shared" si="12"/>
        <v>-1</v>
      </c>
    </row>
    <row r="198">
      <c r="A198" s="1" t="s">
        <v>12</v>
      </c>
      <c r="B198" s="1" t="s">
        <v>535</v>
      </c>
      <c r="C198" s="1" t="s">
        <v>20</v>
      </c>
      <c r="D198" s="1" t="s">
        <v>157</v>
      </c>
      <c r="E198" s="1" t="s">
        <v>197</v>
      </c>
      <c r="F198" s="1" t="s">
        <v>662</v>
      </c>
      <c r="G198" s="1">
        <v>3.5</v>
      </c>
      <c r="H198" s="1" t="s">
        <v>60</v>
      </c>
      <c r="I198" s="1">
        <v>111.0</v>
      </c>
      <c r="J198" s="1">
        <v>8.18957345971593E-4</v>
      </c>
      <c r="K198" s="1" t="s">
        <v>61</v>
      </c>
      <c r="L198" s="1" t="s">
        <v>61</v>
      </c>
      <c r="M198" s="1" t="s">
        <v>62</v>
      </c>
      <c r="N198" s="1">
        <v>-146.0</v>
      </c>
      <c r="O198" s="1">
        <v>-0.0682552845528455</v>
      </c>
      <c r="P198" s="1" t="s">
        <v>61</v>
      </c>
      <c r="Q198" s="1" t="s">
        <v>61</v>
      </c>
      <c r="R198" s="1">
        <f t="shared" si="1"/>
        <v>0.000818957346</v>
      </c>
      <c r="S198" s="1">
        <f t="shared" si="2"/>
        <v>111</v>
      </c>
      <c r="T198" s="1">
        <f t="shared" si="3"/>
        <v>2.11</v>
      </c>
      <c r="U198" s="1">
        <f t="shared" si="4"/>
        <v>1</v>
      </c>
      <c r="V198" s="3">
        <f t="shared" si="5"/>
        <v>1</v>
      </c>
      <c r="W198" s="3">
        <f t="shared" si="6"/>
        <v>1</v>
      </c>
      <c r="X198" s="3" t="str">
        <f>IFERROR(__xludf.DUMMYFUNCTION("split(B198,"" "")"),"T.")</f>
        <v>T.</v>
      </c>
      <c r="Y198" s="3" t="str">
        <f>IFERROR(__xludf.DUMMYFUNCTION("""COMPUTED_VALUE"""),"Kraft")</f>
        <v>Kraft</v>
      </c>
      <c r="AA198" s="8">
        <v>4.0</v>
      </c>
      <c r="AB198" s="3">
        <f t="shared" si="7"/>
        <v>1</v>
      </c>
      <c r="AC198" s="3">
        <f t="shared" si="8"/>
        <v>1</v>
      </c>
      <c r="AD198" s="3">
        <f t="shared" si="9"/>
        <v>1.11</v>
      </c>
      <c r="AE198" s="3">
        <f t="shared" si="10"/>
        <v>1.11</v>
      </c>
      <c r="AF198" s="3">
        <f t="shared" si="11"/>
        <v>1.11</v>
      </c>
      <c r="AG198" s="3">
        <f t="shared" si="12"/>
        <v>0.1428571429</v>
      </c>
    </row>
    <row r="199">
      <c r="A199" s="1" t="s">
        <v>11</v>
      </c>
      <c r="B199" s="1" t="s">
        <v>187</v>
      </c>
      <c r="C199" s="1" t="s">
        <v>19</v>
      </c>
      <c r="D199" s="1" t="s">
        <v>157</v>
      </c>
      <c r="E199" s="1" t="s">
        <v>197</v>
      </c>
      <c r="F199" s="1" t="s">
        <v>662</v>
      </c>
      <c r="G199" s="1">
        <v>11.5</v>
      </c>
      <c r="H199" s="1" t="s">
        <v>60</v>
      </c>
      <c r="I199" s="1">
        <v>-117.0</v>
      </c>
      <c r="J199" s="1">
        <v>2.17124227822829E-4</v>
      </c>
      <c r="K199" s="1" t="s">
        <v>61</v>
      </c>
      <c r="L199" s="1" t="s">
        <v>61</v>
      </c>
      <c r="M199" s="1" t="s">
        <v>62</v>
      </c>
      <c r="N199" s="1">
        <v>-112.0</v>
      </c>
      <c r="O199" s="1">
        <v>-0.0676144993977833</v>
      </c>
      <c r="P199" s="1" t="s">
        <v>61</v>
      </c>
      <c r="Q199" s="1" t="s">
        <v>61</v>
      </c>
      <c r="R199" s="1">
        <f t="shared" si="1"/>
        <v>0.0002171242278</v>
      </c>
      <c r="S199" s="1">
        <f t="shared" si="2"/>
        <v>-117</v>
      </c>
      <c r="T199" s="1">
        <f t="shared" si="3"/>
        <v>1.854700855</v>
      </c>
      <c r="U199" s="1">
        <f t="shared" si="4"/>
        <v>1</v>
      </c>
      <c r="V199" s="3">
        <f t="shared" si="5"/>
        <v>1</v>
      </c>
      <c r="W199" s="3">
        <f t="shared" si="6"/>
        <v>2</v>
      </c>
      <c r="X199" s="3" t="str">
        <f>IFERROR(__xludf.DUMMYFUNCTION("split(B199,"" "")"),"J.")</f>
        <v>J.</v>
      </c>
      <c r="Y199" s="3" t="str">
        <f>IFERROR(__xludf.DUMMYFUNCTION("""COMPUTED_VALUE"""),"Jacobs")</f>
        <v>Jacobs</v>
      </c>
      <c r="AA199" s="8">
        <v>13.0</v>
      </c>
      <c r="AB199" s="3">
        <f t="shared" si="7"/>
        <v>1</v>
      </c>
      <c r="AC199" s="3">
        <f t="shared" si="8"/>
        <v>1</v>
      </c>
      <c r="AD199" s="3">
        <f t="shared" si="9"/>
        <v>0.8547008547</v>
      </c>
      <c r="AE199" s="3">
        <f t="shared" si="10"/>
        <v>0.8547008547</v>
      </c>
      <c r="AF199" s="3">
        <f t="shared" si="11"/>
        <v>1.709401709</v>
      </c>
      <c r="AG199" s="3">
        <f t="shared" si="12"/>
        <v>0.1304347826</v>
      </c>
    </row>
    <row r="200">
      <c r="A200" s="1" t="s">
        <v>10</v>
      </c>
      <c r="B200" s="1" t="s">
        <v>129</v>
      </c>
      <c r="C200" s="1" t="s">
        <v>18</v>
      </c>
      <c r="D200" s="1" t="s">
        <v>72</v>
      </c>
      <c r="E200" s="1" t="s">
        <v>165</v>
      </c>
      <c r="F200" s="1" t="s">
        <v>663</v>
      </c>
      <c r="G200" s="1">
        <v>0.5</v>
      </c>
      <c r="H200" s="1" t="s">
        <v>60</v>
      </c>
      <c r="I200" s="1">
        <v>119.0</v>
      </c>
      <c r="J200" s="1">
        <v>0.182215148167724</v>
      </c>
      <c r="K200" s="1" t="s">
        <v>61</v>
      </c>
      <c r="L200" s="1" t="s">
        <v>61</v>
      </c>
      <c r="M200" s="1" t="s">
        <v>62</v>
      </c>
      <c r="N200" s="1">
        <v>-156.0</v>
      </c>
      <c r="O200" s="1">
        <v>-0.248179107727919</v>
      </c>
      <c r="P200" s="1" t="s">
        <v>61</v>
      </c>
      <c r="Q200" s="1" t="s">
        <v>61</v>
      </c>
      <c r="R200" s="1">
        <f t="shared" si="1"/>
        <v>0.1822151482</v>
      </c>
      <c r="S200" s="1">
        <f t="shared" si="2"/>
        <v>119</v>
      </c>
      <c r="T200" s="1">
        <f t="shared" si="3"/>
        <v>2.19</v>
      </c>
      <c r="U200" s="1">
        <f t="shared" si="4"/>
        <v>1</v>
      </c>
      <c r="V200" s="3">
        <f t="shared" si="5"/>
        <v>3</v>
      </c>
      <c r="W200" s="3">
        <f t="shared" si="6"/>
        <v>1</v>
      </c>
      <c r="X200" s="3" t="str">
        <f>IFERROR(__xludf.DUMMYFUNCTION("split(B200,"" "")"),"T.")</f>
        <v>T.</v>
      </c>
      <c r="Y200" s="3" t="str">
        <f>IFERROR(__xludf.DUMMYFUNCTION("""COMPUTED_VALUE"""),"Dell")</f>
        <v>Dell</v>
      </c>
      <c r="AA200" s="8">
        <v>0.0</v>
      </c>
      <c r="AB200" s="3">
        <f t="shared" si="7"/>
        <v>0</v>
      </c>
      <c r="AC200" s="3">
        <f t="shared" si="8"/>
        <v>0</v>
      </c>
      <c r="AD200" s="3">
        <f t="shared" si="9"/>
        <v>3.57</v>
      </c>
      <c r="AE200" s="3">
        <f t="shared" si="10"/>
        <v>-3</v>
      </c>
      <c r="AF200" s="3">
        <f t="shared" si="11"/>
        <v>-1</v>
      </c>
      <c r="AG200" s="3">
        <f t="shared" si="12"/>
        <v>-1</v>
      </c>
    </row>
    <row r="201">
      <c r="A201" s="1" t="s">
        <v>9</v>
      </c>
      <c r="B201" s="1" t="s">
        <v>664</v>
      </c>
      <c r="C201" s="1" t="s">
        <v>18</v>
      </c>
      <c r="D201" s="1" t="s">
        <v>72</v>
      </c>
      <c r="E201" s="1" t="s">
        <v>165</v>
      </c>
      <c r="F201" s="1" t="s">
        <v>663</v>
      </c>
      <c r="G201" s="1">
        <v>15.5</v>
      </c>
      <c r="H201" s="1" t="s">
        <v>60</v>
      </c>
      <c r="I201" s="1">
        <v>-117.0</v>
      </c>
      <c r="J201" s="1">
        <v>0.174554314769342</v>
      </c>
      <c r="K201" s="1" t="s">
        <v>61</v>
      </c>
      <c r="L201" s="1" t="s">
        <v>61</v>
      </c>
      <c r="M201" s="1" t="s">
        <v>62</v>
      </c>
      <c r="N201" s="1">
        <v>-115.0</v>
      </c>
      <c r="O201" s="1">
        <v>-0.248548252328787</v>
      </c>
      <c r="P201" s="1" t="s">
        <v>61</v>
      </c>
      <c r="Q201" s="1" t="s">
        <v>61</v>
      </c>
      <c r="R201" s="1">
        <f t="shared" si="1"/>
        <v>0.1745543148</v>
      </c>
      <c r="S201" s="1">
        <f t="shared" si="2"/>
        <v>-117</v>
      </c>
      <c r="T201" s="1">
        <f t="shared" si="3"/>
        <v>1.854700855</v>
      </c>
      <c r="U201" s="1">
        <f t="shared" si="4"/>
        <v>1</v>
      </c>
      <c r="V201" s="3">
        <f t="shared" si="5"/>
        <v>3</v>
      </c>
      <c r="W201" s="3">
        <f t="shared" si="6"/>
        <v>2</v>
      </c>
      <c r="X201" s="3" t="str">
        <f>IFERROR(__xludf.DUMMYFUNCTION("split(B201,"" "")"),"R.")</f>
        <v>R.</v>
      </c>
      <c r="Y201" s="3" t="str">
        <f>IFERROR(__xludf.DUMMYFUNCTION("""COMPUTED_VALUE"""),"Woods")</f>
        <v>Woods</v>
      </c>
      <c r="AA201" s="8">
        <v>44.0</v>
      </c>
      <c r="AB201" s="3">
        <f t="shared" si="7"/>
        <v>1</v>
      </c>
      <c r="AC201" s="3">
        <f t="shared" si="8"/>
        <v>1</v>
      </c>
      <c r="AD201" s="3">
        <f t="shared" si="9"/>
        <v>2.564102564</v>
      </c>
      <c r="AE201" s="3">
        <f t="shared" si="10"/>
        <v>2.564102564</v>
      </c>
      <c r="AF201" s="3">
        <f t="shared" si="11"/>
        <v>1.709401709</v>
      </c>
      <c r="AG201" s="3">
        <f t="shared" si="12"/>
        <v>1.838709677</v>
      </c>
    </row>
    <row r="202">
      <c r="A202" s="1" t="s">
        <v>9</v>
      </c>
      <c r="B202" s="1" t="s">
        <v>619</v>
      </c>
      <c r="C202" s="1" t="s">
        <v>18</v>
      </c>
      <c r="D202" s="1" t="s">
        <v>72</v>
      </c>
      <c r="E202" s="1" t="s">
        <v>165</v>
      </c>
      <c r="F202" s="1" t="s">
        <v>663</v>
      </c>
      <c r="G202" s="1">
        <v>19.5</v>
      </c>
      <c r="H202" s="1" t="s">
        <v>60</v>
      </c>
      <c r="I202" s="1">
        <v>-121.0</v>
      </c>
      <c r="J202" s="1">
        <v>0.146009394839429</v>
      </c>
      <c r="K202" s="1" t="s">
        <v>61</v>
      </c>
      <c r="L202" s="1" t="s">
        <v>61</v>
      </c>
      <c r="M202" s="1" t="s">
        <v>62</v>
      </c>
      <c r="N202" s="1">
        <v>-112.0</v>
      </c>
      <c r="O202" s="1">
        <v>-0.221775799106866</v>
      </c>
      <c r="P202" s="1" t="s">
        <v>61</v>
      </c>
      <c r="Q202" s="1" t="s">
        <v>61</v>
      </c>
      <c r="R202" s="1">
        <f t="shared" si="1"/>
        <v>0.1460093948</v>
      </c>
      <c r="S202" s="1">
        <f t="shared" si="2"/>
        <v>-121</v>
      </c>
      <c r="T202" s="1">
        <f t="shared" si="3"/>
        <v>1.826446281</v>
      </c>
      <c r="U202" s="1">
        <f t="shared" si="4"/>
        <v>1</v>
      </c>
      <c r="V202" s="3">
        <f t="shared" si="5"/>
        <v>3</v>
      </c>
      <c r="W202" s="3">
        <f t="shared" si="6"/>
        <v>3</v>
      </c>
      <c r="X202" s="3" t="str">
        <f>IFERROR(__xludf.DUMMYFUNCTION("split(B202,"" "")"),"X.")</f>
        <v>X.</v>
      </c>
      <c r="Y202" s="3" t="str">
        <f>IFERROR(__xludf.DUMMYFUNCTION("""COMPUTED_VALUE"""),"Hutchinson")</f>
        <v>Hutchinson</v>
      </c>
      <c r="AA202" s="8">
        <v>0.0</v>
      </c>
      <c r="AB202" s="3">
        <f t="shared" si="7"/>
        <v>0</v>
      </c>
      <c r="AC202" s="3">
        <f t="shared" si="8"/>
        <v>0</v>
      </c>
      <c r="AD202" s="3">
        <f t="shared" si="9"/>
        <v>2.479338843</v>
      </c>
      <c r="AE202" s="3">
        <f t="shared" si="10"/>
        <v>-3</v>
      </c>
      <c r="AF202" s="3">
        <f t="shared" si="11"/>
        <v>-3</v>
      </c>
      <c r="AG202" s="3">
        <f t="shared" si="12"/>
        <v>-1</v>
      </c>
    </row>
    <row r="203">
      <c r="A203" s="1" t="s">
        <v>9</v>
      </c>
      <c r="B203" s="1" t="s">
        <v>634</v>
      </c>
      <c r="C203" s="1" t="s">
        <v>18</v>
      </c>
      <c r="D203" s="1" t="s">
        <v>72</v>
      </c>
      <c r="E203" s="1" t="s">
        <v>165</v>
      </c>
      <c r="F203" s="1" t="s">
        <v>663</v>
      </c>
      <c r="G203" s="1">
        <v>18.5</v>
      </c>
      <c r="H203" s="1" t="s">
        <v>60</v>
      </c>
      <c r="I203" s="1">
        <v>-118.0</v>
      </c>
      <c r="J203" s="1">
        <v>0.144772857180083</v>
      </c>
      <c r="K203" s="1" t="s">
        <v>61</v>
      </c>
      <c r="L203" s="1" t="s">
        <v>61</v>
      </c>
      <c r="M203" s="1" t="s">
        <v>62</v>
      </c>
      <c r="N203" s="1">
        <v>-114.0</v>
      </c>
      <c r="O203" s="1">
        <v>-0.218728385356982</v>
      </c>
      <c r="P203" s="1" t="s">
        <v>61</v>
      </c>
      <c r="Q203" s="1" t="s">
        <v>61</v>
      </c>
      <c r="R203" s="1">
        <f t="shared" si="1"/>
        <v>0.1447728572</v>
      </c>
      <c r="S203" s="1">
        <f t="shared" si="2"/>
        <v>-118</v>
      </c>
      <c r="T203" s="1">
        <f t="shared" si="3"/>
        <v>1.847457627</v>
      </c>
      <c r="U203" s="1">
        <f t="shared" si="4"/>
        <v>1</v>
      </c>
      <c r="V203" s="3">
        <f t="shared" si="5"/>
        <v>3</v>
      </c>
      <c r="W203" s="3">
        <f t="shared" si="6"/>
        <v>3</v>
      </c>
      <c r="X203" s="3" t="str">
        <f>IFERROR(__xludf.DUMMYFUNCTION("split(B203,"" "")"),"J.")</f>
        <v>J.</v>
      </c>
      <c r="Y203" s="3" t="str">
        <f>IFERROR(__xludf.DUMMYFUNCTION("""COMPUTED_VALUE"""),"Metchie")</f>
        <v>Metchie</v>
      </c>
      <c r="Z203" s="3" t="str">
        <f>IFERROR(__xludf.DUMMYFUNCTION("""COMPUTED_VALUE"""),"III")</f>
        <v>III</v>
      </c>
      <c r="AA203" s="8">
        <v>0.0</v>
      </c>
      <c r="AB203" s="3">
        <f t="shared" si="7"/>
        <v>0</v>
      </c>
      <c r="AC203" s="3">
        <f t="shared" si="8"/>
        <v>0</v>
      </c>
      <c r="AD203" s="3">
        <f t="shared" si="9"/>
        <v>2.542372881</v>
      </c>
      <c r="AE203" s="3">
        <f t="shared" si="10"/>
        <v>-3</v>
      </c>
      <c r="AF203" s="3">
        <f t="shared" si="11"/>
        <v>-3</v>
      </c>
      <c r="AG203" s="3">
        <f t="shared" si="12"/>
        <v>-1</v>
      </c>
    </row>
    <row r="204">
      <c r="A204" s="1" t="s">
        <v>8</v>
      </c>
      <c r="B204" s="1" t="s">
        <v>369</v>
      </c>
      <c r="C204" s="1" t="s">
        <v>21</v>
      </c>
      <c r="D204" s="1" t="s">
        <v>72</v>
      </c>
      <c r="E204" s="1" t="s">
        <v>165</v>
      </c>
      <c r="F204" s="1" t="s">
        <v>663</v>
      </c>
      <c r="G204" s="1">
        <v>2.5</v>
      </c>
      <c r="H204" s="1" t="s">
        <v>60</v>
      </c>
      <c r="I204" s="1">
        <v>-143.0</v>
      </c>
      <c r="J204" s="1">
        <v>-0.21176854903837</v>
      </c>
      <c r="K204" s="1" t="s">
        <v>61</v>
      </c>
      <c r="L204" s="1" t="s">
        <v>61</v>
      </c>
      <c r="M204" s="1" t="s">
        <v>62</v>
      </c>
      <c r="N204" s="1">
        <v>107.0</v>
      </c>
      <c r="O204" s="1">
        <v>0.140197861914609</v>
      </c>
      <c r="P204" s="1" t="s">
        <v>61</v>
      </c>
      <c r="Q204" s="1" t="s">
        <v>61</v>
      </c>
      <c r="R204" s="1">
        <f t="shared" si="1"/>
        <v>0.1401978619</v>
      </c>
      <c r="S204" s="1">
        <f t="shared" si="2"/>
        <v>107</v>
      </c>
      <c r="T204" s="1">
        <f t="shared" si="3"/>
        <v>2.07</v>
      </c>
      <c r="U204" s="1">
        <f t="shared" si="4"/>
        <v>0</v>
      </c>
      <c r="V204" s="3">
        <f t="shared" si="5"/>
        <v>3</v>
      </c>
      <c r="W204" s="3">
        <f t="shared" si="6"/>
        <v>2</v>
      </c>
      <c r="X204" s="3" t="str">
        <f>IFERROR(__xludf.DUMMYFUNCTION("split(B204,"" "")"),"C.")</f>
        <v>C.</v>
      </c>
      <c r="Y204" s="3" t="str">
        <f>IFERROR(__xludf.DUMMYFUNCTION("""COMPUTED_VALUE"""),"Stroud")</f>
        <v>Stroud</v>
      </c>
      <c r="AA204" s="8">
        <v>8.0</v>
      </c>
      <c r="AB204" s="3">
        <f t="shared" si="7"/>
        <v>1</v>
      </c>
      <c r="AC204" s="3">
        <f t="shared" si="8"/>
        <v>0</v>
      </c>
      <c r="AD204" s="3">
        <f t="shared" si="9"/>
        <v>3.21</v>
      </c>
      <c r="AE204" s="3">
        <f t="shared" si="10"/>
        <v>-3</v>
      </c>
      <c r="AF204" s="3">
        <f t="shared" si="11"/>
        <v>-2</v>
      </c>
      <c r="AG204" s="3">
        <f t="shared" si="12"/>
        <v>-2.2</v>
      </c>
    </row>
    <row r="205">
      <c r="A205" s="1" t="s">
        <v>12</v>
      </c>
      <c r="B205" s="1" t="s">
        <v>359</v>
      </c>
      <c r="C205" s="1" t="s">
        <v>19</v>
      </c>
      <c r="D205" s="1" t="s">
        <v>72</v>
      </c>
      <c r="E205" s="1" t="s">
        <v>165</v>
      </c>
      <c r="F205" s="1" t="s">
        <v>663</v>
      </c>
      <c r="G205" s="1">
        <v>3.5</v>
      </c>
      <c r="H205" s="1" t="s">
        <v>60</v>
      </c>
      <c r="I205" s="1">
        <v>-103.0</v>
      </c>
      <c r="J205" s="1">
        <v>-0.207589162561576</v>
      </c>
      <c r="K205" s="1" t="s">
        <v>61</v>
      </c>
      <c r="L205" s="1" t="s">
        <v>61</v>
      </c>
      <c r="M205" s="1" t="s">
        <v>62</v>
      </c>
      <c r="N205" s="1">
        <v>-128.0</v>
      </c>
      <c r="O205" s="1">
        <v>0.13879649122807</v>
      </c>
      <c r="P205" s="1" t="s">
        <v>61</v>
      </c>
      <c r="Q205" s="1" t="s">
        <v>61</v>
      </c>
      <c r="R205" s="1">
        <f t="shared" si="1"/>
        <v>0.1387964912</v>
      </c>
      <c r="S205" s="1">
        <f t="shared" si="2"/>
        <v>-128</v>
      </c>
      <c r="T205" s="1">
        <f t="shared" si="3"/>
        <v>1.78125</v>
      </c>
      <c r="U205" s="1">
        <f t="shared" si="4"/>
        <v>0</v>
      </c>
      <c r="V205" s="3">
        <f t="shared" si="5"/>
        <v>3</v>
      </c>
      <c r="W205" s="3">
        <f t="shared" si="6"/>
        <v>3</v>
      </c>
      <c r="X205" s="3" t="str">
        <f>IFERROR(__xludf.DUMMYFUNCTION("split(B205,"" "")"),"J.")</f>
        <v>J.</v>
      </c>
      <c r="Y205" s="3" t="str">
        <f>IFERROR(__xludf.DUMMYFUNCTION("""COMPUTED_VALUE"""),"Mixon")</f>
        <v>Mixon</v>
      </c>
      <c r="AA205" s="8">
        <v>0.0</v>
      </c>
      <c r="AB205" s="3">
        <f t="shared" si="7"/>
        <v>0</v>
      </c>
      <c r="AC205" s="3">
        <f t="shared" si="8"/>
        <v>1</v>
      </c>
      <c r="AD205" s="3">
        <f t="shared" si="9"/>
        <v>2.34375</v>
      </c>
      <c r="AE205" s="3">
        <f t="shared" si="10"/>
        <v>2.34375</v>
      </c>
      <c r="AF205" s="3">
        <f t="shared" si="11"/>
        <v>2.34375</v>
      </c>
      <c r="AG205" s="3">
        <f t="shared" si="12"/>
        <v>1</v>
      </c>
    </row>
    <row r="206">
      <c r="A206" s="1" t="s">
        <v>12</v>
      </c>
      <c r="B206" s="1" t="s">
        <v>619</v>
      </c>
      <c r="C206" s="1" t="s">
        <v>18</v>
      </c>
      <c r="D206" s="1" t="s">
        <v>72</v>
      </c>
      <c r="E206" s="1" t="s">
        <v>165</v>
      </c>
      <c r="F206" s="1" t="s">
        <v>663</v>
      </c>
      <c r="G206" s="1">
        <v>1.5</v>
      </c>
      <c r="H206" s="1" t="s">
        <v>60</v>
      </c>
      <c r="I206" s="1">
        <v>-188.0</v>
      </c>
      <c r="J206" s="1">
        <v>-0.173040516631944</v>
      </c>
      <c r="K206" s="1" t="s">
        <v>61</v>
      </c>
      <c r="L206" s="1" t="s">
        <v>61</v>
      </c>
      <c r="M206" s="1" t="s">
        <v>62</v>
      </c>
      <c r="N206" s="1">
        <v>142.0</v>
      </c>
      <c r="O206" s="1">
        <v>0.107032515661157</v>
      </c>
      <c r="P206" s="1" t="s">
        <v>61</v>
      </c>
      <c r="Q206" s="1" t="s">
        <v>61</v>
      </c>
      <c r="R206" s="1">
        <f t="shared" si="1"/>
        <v>0.1070325157</v>
      </c>
      <c r="S206" s="1">
        <f t="shared" si="2"/>
        <v>142</v>
      </c>
      <c r="T206" s="1">
        <f t="shared" si="3"/>
        <v>2.42</v>
      </c>
      <c r="U206" s="1">
        <f t="shared" si="4"/>
        <v>0</v>
      </c>
      <c r="V206" s="3">
        <f t="shared" si="5"/>
        <v>3</v>
      </c>
      <c r="W206" s="3">
        <f t="shared" si="6"/>
        <v>1</v>
      </c>
      <c r="X206" s="3" t="str">
        <f>IFERROR(__xludf.DUMMYFUNCTION("split(B206,"" "")"),"X.")</f>
        <v>X.</v>
      </c>
      <c r="Y206" s="3" t="str">
        <f>IFERROR(__xludf.DUMMYFUNCTION("""COMPUTED_VALUE"""),"Hutchinson")</f>
        <v>Hutchinson</v>
      </c>
      <c r="AA206" s="8">
        <v>0.0</v>
      </c>
      <c r="AB206" s="3">
        <f t="shared" si="7"/>
        <v>0</v>
      </c>
      <c r="AC206" s="3">
        <f t="shared" si="8"/>
        <v>1</v>
      </c>
      <c r="AD206" s="3">
        <f t="shared" si="9"/>
        <v>4.26</v>
      </c>
      <c r="AE206" s="3">
        <f t="shared" si="10"/>
        <v>4.26</v>
      </c>
      <c r="AF206" s="3">
        <f t="shared" si="11"/>
        <v>1.42</v>
      </c>
      <c r="AG206" s="3">
        <f t="shared" si="12"/>
        <v>1</v>
      </c>
    </row>
    <row r="207">
      <c r="A207" s="1" t="s">
        <v>12</v>
      </c>
      <c r="B207" s="1" t="s">
        <v>634</v>
      </c>
      <c r="C207" s="1" t="s">
        <v>18</v>
      </c>
      <c r="D207" s="1" t="s">
        <v>72</v>
      </c>
      <c r="E207" s="1" t="s">
        <v>165</v>
      </c>
      <c r="F207" s="1" t="s">
        <v>663</v>
      </c>
      <c r="G207" s="1">
        <v>1.5</v>
      </c>
      <c r="H207" s="1" t="s">
        <v>60</v>
      </c>
      <c r="I207" s="1">
        <v>-146.0</v>
      </c>
      <c r="J207" s="1">
        <v>-0.152875354804877</v>
      </c>
      <c r="K207" s="1" t="s">
        <v>61</v>
      </c>
      <c r="L207" s="1" t="s">
        <v>61</v>
      </c>
      <c r="M207" s="1" t="s">
        <v>62</v>
      </c>
      <c r="N207" s="1">
        <v>110.0</v>
      </c>
      <c r="O207" s="1">
        <v>0.0832025584857142</v>
      </c>
      <c r="P207" s="1" t="s">
        <v>61</v>
      </c>
      <c r="Q207" s="1" t="s">
        <v>61</v>
      </c>
      <c r="R207" s="1">
        <f t="shared" si="1"/>
        <v>0.08320255849</v>
      </c>
      <c r="S207" s="1">
        <f t="shared" si="2"/>
        <v>110</v>
      </c>
      <c r="T207" s="1">
        <f t="shared" si="3"/>
        <v>2.1</v>
      </c>
      <c r="U207" s="1">
        <f t="shared" si="4"/>
        <v>0</v>
      </c>
      <c r="V207" s="3">
        <f t="shared" si="5"/>
        <v>2</v>
      </c>
      <c r="W207" s="3">
        <f t="shared" si="6"/>
        <v>2</v>
      </c>
      <c r="X207" s="3" t="str">
        <f>IFERROR(__xludf.DUMMYFUNCTION("split(B207,"" "")"),"J.")</f>
        <v>J.</v>
      </c>
      <c r="Y207" s="3" t="str">
        <f>IFERROR(__xludf.DUMMYFUNCTION("""COMPUTED_VALUE"""),"Metchie")</f>
        <v>Metchie</v>
      </c>
      <c r="Z207" s="3" t="str">
        <f>IFERROR(__xludf.DUMMYFUNCTION("""COMPUTED_VALUE"""),"III")</f>
        <v>III</v>
      </c>
      <c r="AA207" s="8">
        <v>0.0</v>
      </c>
      <c r="AB207" s="3">
        <f t="shared" si="7"/>
        <v>0</v>
      </c>
      <c r="AC207" s="3">
        <f t="shared" si="8"/>
        <v>1</v>
      </c>
      <c r="AD207" s="3">
        <f t="shared" si="9"/>
        <v>2.2</v>
      </c>
      <c r="AE207" s="3">
        <f t="shared" si="10"/>
        <v>2.2</v>
      </c>
      <c r="AF207" s="3">
        <f t="shared" si="11"/>
        <v>2.2</v>
      </c>
      <c r="AG207" s="3">
        <f t="shared" si="12"/>
        <v>1</v>
      </c>
    </row>
    <row r="208">
      <c r="A208" s="1" t="s">
        <v>15</v>
      </c>
      <c r="B208" s="1" t="s">
        <v>369</v>
      </c>
      <c r="C208" s="1" t="s">
        <v>21</v>
      </c>
      <c r="D208" s="1" t="s">
        <v>72</v>
      </c>
      <c r="E208" s="1" t="s">
        <v>165</v>
      </c>
      <c r="F208" s="1" t="s">
        <v>663</v>
      </c>
      <c r="G208" s="1">
        <v>20.5</v>
      </c>
      <c r="H208" s="1" t="s">
        <v>60</v>
      </c>
      <c r="I208" s="1">
        <v>100.0</v>
      </c>
      <c r="J208" s="1">
        <v>0.0763499999999999</v>
      </c>
      <c r="K208" s="1" t="s">
        <v>61</v>
      </c>
      <c r="L208" s="1" t="s">
        <v>61</v>
      </c>
      <c r="M208" s="1" t="s">
        <v>62</v>
      </c>
      <c r="N208" s="1">
        <v>-129.0</v>
      </c>
      <c r="O208" s="1">
        <v>-0.139649781659388</v>
      </c>
      <c r="P208" s="1" t="s">
        <v>61</v>
      </c>
      <c r="Q208" s="1" t="s">
        <v>61</v>
      </c>
      <c r="R208" s="1">
        <f t="shared" si="1"/>
        <v>0.07635</v>
      </c>
      <c r="S208" s="1">
        <f t="shared" si="2"/>
        <v>100</v>
      </c>
      <c r="T208" s="1">
        <f t="shared" si="3"/>
        <v>2</v>
      </c>
      <c r="U208" s="1">
        <f t="shared" si="4"/>
        <v>1</v>
      </c>
      <c r="V208" s="3">
        <f t="shared" si="5"/>
        <v>2</v>
      </c>
      <c r="W208" s="3">
        <f t="shared" si="6"/>
        <v>2</v>
      </c>
      <c r="X208" s="3" t="str">
        <f>IFERROR(__xludf.DUMMYFUNCTION("split(B208,"" "")"),"C.")</f>
        <v>C.</v>
      </c>
      <c r="Y208" s="3" t="str">
        <f>IFERROR(__xludf.DUMMYFUNCTION("""COMPUTED_VALUE"""),"Stroud")</f>
        <v>Stroud</v>
      </c>
      <c r="AA208" s="8">
        <v>11.0</v>
      </c>
      <c r="AB208" s="3">
        <f t="shared" si="7"/>
        <v>0</v>
      </c>
      <c r="AC208" s="3">
        <f t="shared" si="8"/>
        <v>0</v>
      </c>
      <c r="AD208" s="3">
        <f t="shared" si="9"/>
        <v>2</v>
      </c>
      <c r="AE208" s="3">
        <f t="shared" si="10"/>
        <v>-2</v>
      </c>
      <c r="AF208" s="3">
        <f t="shared" si="11"/>
        <v>-2</v>
      </c>
      <c r="AG208" s="3">
        <f t="shared" si="12"/>
        <v>-0.4634146341</v>
      </c>
    </row>
    <row r="209">
      <c r="A209" s="1" t="s">
        <v>12</v>
      </c>
      <c r="B209" s="1" t="s">
        <v>664</v>
      </c>
      <c r="C209" s="1" t="s">
        <v>18</v>
      </c>
      <c r="D209" s="1" t="s">
        <v>72</v>
      </c>
      <c r="E209" s="1" t="s">
        <v>165</v>
      </c>
      <c r="F209" s="1" t="s">
        <v>663</v>
      </c>
      <c r="G209" s="1">
        <v>1.5</v>
      </c>
      <c r="H209" s="1" t="s">
        <v>60</v>
      </c>
      <c r="I209" s="1">
        <v>-137.0</v>
      </c>
      <c r="J209" s="1">
        <v>-0.138741536092827</v>
      </c>
      <c r="K209" s="1" t="s">
        <v>61</v>
      </c>
      <c r="L209" s="1" t="s">
        <v>61</v>
      </c>
      <c r="M209" s="1" t="s">
        <v>62</v>
      </c>
      <c r="N209" s="1">
        <v>104.0</v>
      </c>
      <c r="O209" s="1">
        <v>0.0704997257549019</v>
      </c>
      <c r="P209" s="1" t="s">
        <v>61</v>
      </c>
      <c r="Q209" s="1" t="s">
        <v>61</v>
      </c>
      <c r="R209" s="1">
        <f t="shared" si="1"/>
        <v>0.07049972575</v>
      </c>
      <c r="S209" s="1">
        <f t="shared" si="2"/>
        <v>104</v>
      </c>
      <c r="T209" s="1">
        <f t="shared" si="3"/>
        <v>2.04</v>
      </c>
      <c r="U209" s="1">
        <f t="shared" si="4"/>
        <v>0</v>
      </c>
      <c r="V209" s="3">
        <f t="shared" si="5"/>
        <v>2</v>
      </c>
      <c r="W209" s="3">
        <f t="shared" si="6"/>
        <v>2</v>
      </c>
      <c r="X209" s="3" t="str">
        <f>IFERROR(__xludf.DUMMYFUNCTION("split(B209,"" "")"),"R.")</f>
        <v>R.</v>
      </c>
      <c r="Y209" s="3" t="str">
        <f>IFERROR(__xludf.DUMMYFUNCTION("""COMPUTED_VALUE"""),"Woods")</f>
        <v>Woods</v>
      </c>
      <c r="AA209" s="8">
        <v>2.0</v>
      </c>
      <c r="AB209" s="3">
        <f t="shared" si="7"/>
        <v>1</v>
      </c>
      <c r="AC209" s="3">
        <f t="shared" si="8"/>
        <v>0</v>
      </c>
      <c r="AD209" s="3">
        <f t="shared" si="9"/>
        <v>2.08</v>
      </c>
      <c r="AE209" s="3">
        <f t="shared" si="10"/>
        <v>-2</v>
      </c>
      <c r="AF209" s="3">
        <f t="shared" si="11"/>
        <v>-2</v>
      </c>
      <c r="AG209" s="3">
        <f t="shared" si="12"/>
        <v>-0.3333333333</v>
      </c>
    </row>
    <row r="210">
      <c r="A210" s="1" t="s">
        <v>9</v>
      </c>
      <c r="B210" s="1" t="s">
        <v>359</v>
      </c>
      <c r="C210" s="1" t="s">
        <v>19</v>
      </c>
      <c r="D210" s="1" t="s">
        <v>72</v>
      </c>
      <c r="E210" s="1" t="s">
        <v>165</v>
      </c>
      <c r="F210" s="1" t="s">
        <v>663</v>
      </c>
      <c r="G210" s="1">
        <v>110.5</v>
      </c>
      <c r="H210" s="1" t="s">
        <v>60</v>
      </c>
      <c r="I210" s="1">
        <v>-119.0</v>
      </c>
      <c r="J210" s="1">
        <v>-0.142885098080199</v>
      </c>
      <c r="K210" s="1" t="s">
        <v>61</v>
      </c>
      <c r="L210" s="1" t="s">
        <v>61</v>
      </c>
      <c r="M210" s="1" t="s">
        <v>62</v>
      </c>
      <c r="N210" s="1">
        <v>-114.0</v>
      </c>
      <c r="O210" s="1">
        <v>0.0667800033543393</v>
      </c>
      <c r="P210" s="1" t="s">
        <v>61</v>
      </c>
      <c r="Q210" s="1" t="s">
        <v>61</v>
      </c>
      <c r="R210" s="1">
        <f t="shared" si="1"/>
        <v>0.06678000335</v>
      </c>
      <c r="S210" s="1">
        <f t="shared" si="2"/>
        <v>-114</v>
      </c>
      <c r="T210" s="1">
        <f t="shared" si="3"/>
        <v>1.877192982</v>
      </c>
      <c r="U210" s="1">
        <f t="shared" si="4"/>
        <v>0</v>
      </c>
      <c r="V210" s="3">
        <f t="shared" si="5"/>
        <v>2</v>
      </c>
      <c r="W210" s="3">
        <f t="shared" si="6"/>
        <v>2</v>
      </c>
      <c r="X210" s="3" t="str">
        <f>IFERROR(__xludf.DUMMYFUNCTION("split(B210,"" "")"),"J.")</f>
        <v>J.</v>
      </c>
      <c r="Y210" s="3" t="str">
        <f>IFERROR(__xludf.DUMMYFUNCTION("""COMPUTED_VALUE"""),"Mixon")</f>
        <v>Mixon</v>
      </c>
      <c r="AA210" s="8">
        <v>106.0</v>
      </c>
      <c r="AB210" s="3">
        <f t="shared" si="7"/>
        <v>0</v>
      </c>
      <c r="AC210" s="3">
        <f t="shared" si="8"/>
        <v>1</v>
      </c>
      <c r="AD210" s="3">
        <f t="shared" si="9"/>
        <v>1.754385965</v>
      </c>
      <c r="AE210" s="3">
        <f t="shared" si="10"/>
        <v>1.754385965</v>
      </c>
      <c r="AF210" s="3">
        <f t="shared" si="11"/>
        <v>1.754385965</v>
      </c>
      <c r="AG210" s="3">
        <f t="shared" si="12"/>
        <v>0.0407239819</v>
      </c>
    </row>
    <row r="211">
      <c r="A211" s="1" t="s">
        <v>10</v>
      </c>
      <c r="B211" s="1" t="s">
        <v>359</v>
      </c>
      <c r="C211" s="1" t="s">
        <v>19</v>
      </c>
      <c r="D211" s="1" t="s">
        <v>72</v>
      </c>
      <c r="E211" s="1" t="s">
        <v>165</v>
      </c>
      <c r="F211" s="1" t="s">
        <v>663</v>
      </c>
      <c r="G211" s="1">
        <v>82.5</v>
      </c>
      <c r="H211" s="1" t="s">
        <v>60</v>
      </c>
      <c r="I211" s="1">
        <v>-128.0</v>
      </c>
      <c r="J211" s="1">
        <v>-0.13772811804762</v>
      </c>
      <c r="K211" s="1" t="s">
        <v>61</v>
      </c>
      <c r="L211" s="1" t="s">
        <v>61</v>
      </c>
      <c r="M211" s="1" t="s">
        <v>62</v>
      </c>
      <c r="N211" s="1">
        <v>-106.0</v>
      </c>
      <c r="O211" s="1">
        <v>0.0617303159567176</v>
      </c>
      <c r="P211" s="1" t="s">
        <v>61</v>
      </c>
      <c r="Q211" s="1" t="s">
        <v>61</v>
      </c>
      <c r="R211" s="1">
        <f t="shared" si="1"/>
        <v>0.06173031596</v>
      </c>
      <c r="S211" s="1">
        <f t="shared" si="2"/>
        <v>-106</v>
      </c>
      <c r="T211" s="1">
        <f t="shared" si="3"/>
        <v>1.943396226</v>
      </c>
      <c r="U211" s="1">
        <f t="shared" si="4"/>
        <v>0</v>
      </c>
      <c r="V211" s="3">
        <f t="shared" si="5"/>
        <v>2</v>
      </c>
      <c r="W211" s="3">
        <f t="shared" si="6"/>
        <v>2</v>
      </c>
      <c r="X211" s="3" t="str">
        <f>IFERROR(__xludf.DUMMYFUNCTION("split(B211,"" "")"),"J.")</f>
        <v>J.</v>
      </c>
      <c r="Y211" s="3" t="str">
        <f>IFERROR(__xludf.DUMMYFUNCTION("""COMPUTED_VALUE"""),"Mixon")</f>
        <v>Mixon</v>
      </c>
      <c r="AA211" s="8">
        <v>106.0</v>
      </c>
      <c r="AB211" s="3">
        <f t="shared" si="7"/>
        <v>1</v>
      </c>
      <c r="AC211" s="3">
        <f t="shared" si="8"/>
        <v>0</v>
      </c>
      <c r="AD211" s="3">
        <f t="shared" si="9"/>
        <v>1.886792453</v>
      </c>
      <c r="AE211" s="3">
        <f t="shared" si="10"/>
        <v>-2</v>
      </c>
      <c r="AF211" s="3">
        <f t="shared" si="11"/>
        <v>-2</v>
      </c>
      <c r="AG211" s="3">
        <f t="shared" si="12"/>
        <v>-0.2848484848</v>
      </c>
    </row>
    <row r="212">
      <c r="A212" s="1" t="s">
        <v>11</v>
      </c>
      <c r="B212" s="1" t="s">
        <v>359</v>
      </c>
      <c r="C212" s="1" t="s">
        <v>19</v>
      </c>
      <c r="D212" s="1" t="s">
        <v>72</v>
      </c>
      <c r="E212" s="1" t="s">
        <v>165</v>
      </c>
      <c r="F212" s="1" t="s">
        <v>663</v>
      </c>
      <c r="G212" s="1">
        <v>25.5</v>
      </c>
      <c r="H212" s="1" t="s">
        <v>60</v>
      </c>
      <c r="I212" s="1">
        <v>-118.0</v>
      </c>
      <c r="J212" s="1">
        <v>-0.129259619402091</v>
      </c>
      <c r="K212" s="1" t="s">
        <v>61</v>
      </c>
      <c r="L212" s="1" t="s">
        <v>61</v>
      </c>
      <c r="M212" s="1" t="s">
        <v>62</v>
      </c>
      <c r="N212" s="1">
        <v>-114.0</v>
      </c>
      <c r="O212" s="1">
        <v>0.0552770682888217</v>
      </c>
      <c r="P212" s="1" t="s">
        <v>61</v>
      </c>
      <c r="Q212" s="1" t="s">
        <v>61</v>
      </c>
      <c r="R212" s="1">
        <f t="shared" si="1"/>
        <v>0.05527706829</v>
      </c>
      <c r="S212" s="1">
        <f t="shared" si="2"/>
        <v>-114</v>
      </c>
      <c r="T212" s="1">
        <f t="shared" si="3"/>
        <v>1.877192982</v>
      </c>
      <c r="U212" s="1">
        <f t="shared" si="4"/>
        <v>0</v>
      </c>
      <c r="V212" s="3">
        <f t="shared" si="5"/>
        <v>2</v>
      </c>
      <c r="W212" s="3">
        <f t="shared" si="6"/>
        <v>2</v>
      </c>
      <c r="X212" s="3" t="str">
        <f>IFERROR(__xludf.DUMMYFUNCTION("split(B212,"" "")"),"J.")</f>
        <v>J.</v>
      </c>
      <c r="Y212" s="3" t="str">
        <f>IFERROR(__xludf.DUMMYFUNCTION("""COMPUTED_VALUE"""),"Mixon")</f>
        <v>Mixon</v>
      </c>
      <c r="AA212" s="8">
        <v>0.0</v>
      </c>
      <c r="AB212" s="3">
        <f t="shared" si="7"/>
        <v>0</v>
      </c>
      <c r="AC212" s="3">
        <f t="shared" si="8"/>
        <v>1</v>
      </c>
      <c r="AD212" s="3">
        <f t="shared" si="9"/>
        <v>1.754385965</v>
      </c>
      <c r="AE212" s="3">
        <f t="shared" si="10"/>
        <v>1.754385965</v>
      </c>
      <c r="AF212" s="3">
        <f t="shared" si="11"/>
        <v>1.754385965</v>
      </c>
      <c r="AG212" s="3">
        <f t="shared" si="12"/>
        <v>1</v>
      </c>
    </row>
    <row r="213">
      <c r="A213" s="1" t="s">
        <v>14</v>
      </c>
      <c r="B213" s="1" t="s">
        <v>369</v>
      </c>
      <c r="C213" s="1" t="s">
        <v>21</v>
      </c>
      <c r="D213" s="1" t="s">
        <v>72</v>
      </c>
      <c r="E213" s="1" t="s">
        <v>165</v>
      </c>
      <c r="F213" s="1" t="s">
        <v>663</v>
      </c>
      <c r="G213" s="1">
        <v>1.5</v>
      </c>
      <c r="H213" s="1" t="s">
        <v>60</v>
      </c>
      <c r="I213" s="1">
        <v>156.0</v>
      </c>
      <c r="J213" s="1">
        <v>0.0452359374999999</v>
      </c>
      <c r="K213" s="1" t="s">
        <v>61</v>
      </c>
      <c r="L213" s="1" t="s">
        <v>61</v>
      </c>
      <c r="M213" s="1" t="s">
        <v>62</v>
      </c>
      <c r="N213" s="1">
        <v>-204.0</v>
      </c>
      <c r="O213" s="1">
        <v>-0.106919736842105</v>
      </c>
      <c r="P213" s="1" t="s">
        <v>61</v>
      </c>
      <c r="Q213" s="1" t="s">
        <v>61</v>
      </c>
      <c r="R213" s="1">
        <f t="shared" si="1"/>
        <v>0.0452359375</v>
      </c>
      <c r="S213" s="1">
        <f t="shared" si="2"/>
        <v>156</v>
      </c>
      <c r="T213" s="1">
        <f t="shared" si="3"/>
        <v>2.56</v>
      </c>
      <c r="U213" s="1">
        <f t="shared" si="4"/>
        <v>1</v>
      </c>
      <c r="V213" s="3">
        <f t="shared" si="5"/>
        <v>1</v>
      </c>
      <c r="W213" s="3">
        <f t="shared" si="6"/>
        <v>1</v>
      </c>
      <c r="X213" s="3" t="str">
        <f>IFERROR(__xludf.DUMMYFUNCTION("split(B213,"" "")"),"C.")</f>
        <v>C.</v>
      </c>
      <c r="Y213" s="3" t="str">
        <f>IFERROR(__xludf.DUMMYFUNCTION("""COMPUTED_VALUE"""),"Stroud")</f>
        <v>Stroud</v>
      </c>
      <c r="AA213" s="8">
        <v>0.0</v>
      </c>
      <c r="AB213" s="3">
        <f t="shared" si="7"/>
        <v>0</v>
      </c>
      <c r="AC213" s="3">
        <f t="shared" si="8"/>
        <v>0</v>
      </c>
      <c r="AD213" s="3">
        <f t="shared" si="9"/>
        <v>1.56</v>
      </c>
      <c r="AE213" s="3">
        <f t="shared" si="10"/>
        <v>-1</v>
      </c>
      <c r="AF213" s="3">
        <f t="shared" si="11"/>
        <v>-1</v>
      </c>
      <c r="AG213" s="3">
        <f t="shared" si="12"/>
        <v>-1</v>
      </c>
    </row>
    <row r="214">
      <c r="A214" s="1" t="s">
        <v>11</v>
      </c>
      <c r="B214" s="1" t="s">
        <v>410</v>
      </c>
      <c r="C214" s="1" t="s">
        <v>20</v>
      </c>
      <c r="D214" s="1" t="s">
        <v>72</v>
      </c>
      <c r="E214" s="1" t="s">
        <v>165</v>
      </c>
      <c r="F214" s="1" t="s">
        <v>663</v>
      </c>
      <c r="G214" s="1">
        <v>40.5</v>
      </c>
      <c r="H214" s="1" t="s">
        <v>60</v>
      </c>
      <c r="I214" s="1">
        <v>-113.0</v>
      </c>
      <c r="J214" s="1">
        <v>-0.10528623285831</v>
      </c>
      <c r="K214" s="1" t="s">
        <v>61</v>
      </c>
      <c r="L214" s="1" t="s">
        <v>61</v>
      </c>
      <c r="M214" s="1" t="s">
        <v>62</v>
      </c>
      <c r="N214" s="1">
        <v>-114.0</v>
      </c>
      <c r="O214" s="1">
        <v>0.0420010413984207</v>
      </c>
      <c r="P214" s="1" t="s">
        <v>61</v>
      </c>
      <c r="Q214" s="1" t="s">
        <v>61</v>
      </c>
      <c r="R214" s="1">
        <f t="shared" si="1"/>
        <v>0.0420010414</v>
      </c>
      <c r="S214" s="1">
        <f t="shared" si="2"/>
        <v>-114</v>
      </c>
      <c r="T214" s="1">
        <f t="shared" si="3"/>
        <v>1.877192982</v>
      </c>
      <c r="U214" s="1">
        <f t="shared" si="4"/>
        <v>0</v>
      </c>
      <c r="V214" s="3">
        <f t="shared" si="5"/>
        <v>1</v>
      </c>
      <c r="W214" s="3">
        <f t="shared" si="6"/>
        <v>2</v>
      </c>
      <c r="X214" s="3" t="str">
        <f>IFERROR(__xludf.DUMMYFUNCTION("split(B214,"" "")"),"D.")</f>
        <v>D.</v>
      </c>
      <c r="Y214" s="3" t="str">
        <f>IFERROR(__xludf.DUMMYFUNCTION("""COMPUTED_VALUE"""),"Schultz")</f>
        <v>Schultz</v>
      </c>
      <c r="AA214" s="8">
        <v>21.0</v>
      </c>
      <c r="AB214" s="3">
        <f t="shared" si="7"/>
        <v>0</v>
      </c>
      <c r="AC214" s="3">
        <f t="shared" si="8"/>
        <v>1</v>
      </c>
      <c r="AD214" s="3">
        <f t="shared" si="9"/>
        <v>0.8771929825</v>
      </c>
      <c r="AE214" s="3">
        <f t="shared" si="10"/>
        <v>0.8771929825</v>
      </c>
      <c r="AF214" s="3">
        <f t="shared" si="11"/>
        <v>1.754385965</v>
      </c>
      <c r="AG214" s="3">
        <f t="shared" si="12"/>
        <v>0.4814814815</v>
      </c>
    </row>
    <row r="215">
      <c r="A215" s="1" t="s">
        <v>11</v>
      </c>
      <c r="B215" s="1" t="s">
        <v>664</v>
      </c>
      <c r="C215" s="1" t="s">
        <v>18</v>
      </c>
      <c r="D215" s="1" t="s">
        <v>72</v>
      </c>
      <c r="E215" s="1" t="s">
        <v>165</v>
      </c>
      <c r="F215" s="1" t="s">
        <v>663</v>
      </c>
      <c r="G215" s="1">
        <v>15.5</v>
      </c>
      <c r="H215" s="1" t="s">
        <v>60</v>
      </c>
      <c r="I215" s="1">
        <v>-108.0</v>
      </c>
      <c r="J215" s="1">
        <v>0.0317522337904758</v>
      </c>
      <c r="K215" s="1" t="s">
        <v>61</v>
      </c>
      <c r="L215" s="1" t="s">
        <v>61</v>
      </c>
      <c r="M215" s="1" t="s">
        <v>62</v>
      </c>
      <c r="N215" s="1">
        <v>-122.0</v>
      </c>
      <c r="O215" s="1">
        <v>-0.100544427237257</v>
      </c>
      <c r="P215" s="1" t="s">
        <v>61</v>
      </c>
      <c r="Q215" s="1" t="s">
        <v>61</v>
      </c>
      <c r="R215" s="1">
        <f t="shared" si="1"/>
        <v>0.03175223379</v>
      </c>
      <c r="S215" s="1">
        <f t="shared" si="2"/>
        <v>-108</v>
      </c>
      <c r="T215" s="1">
        <f t="shared" si="3"/>
        <v>1.925925926</v>
      </c>
      <c r="U215" s="1">
        <f t="shared" si="4"/>
        <v>1</v>
      </c>
      <c r="V215" s="3">
        <f t="shared" si="5"/>
        <v>1</v>
      </c>
      <c r="W215" s="3">
        <f t="shared" si="6"/>
        <v>2</v>
      </c>
      <c r="X215" s="3" t="str">
        <f>IFERROR(__xludf.DUMMYFUNCTION("split(B215,"" "")"),"R.")</f>
        <v>R.</v>
      </c>
      <c r="Y215" s="3" t="str">
        <f>IFERROR(__xludf.DUMMYFUNCTION("""COMPUTED_VALUE"""),"Woods")</f>
        <v>Woods</v>
      </c>
      <c r="AA215" s="8">
        <v>44.0</v>
      </c>
      <c r="AB215" s="3">
        <f t="shared" si="7"/>
        <v>1</v>
      </c>
      <c r="AC215" s="3">
        <f t="shared" si="8"/>
        <v>1</v>
      </c>
      <c r="AD215" s="3">
        <f t="shared" si="9"/>
        <v>0.9259259259</v>
      </c>
      <c r="AE215" s="3">
        <f t="shared" si="10"/>
        <v>0.9259259259</v>
      </c>
      <c r="AF215" s="3">
        <f t="shared" si="11"/>
        <v>1.851851852</v>
      </c>
      <c r="AG215" s="3">
        <f t="shared" si="12"/>
        <v>1.838709677</v>
      </c>
    </row>
    <row r="216">
      <c r="A216" s="1" t="s">
        <v>11</v>
      </c>
      <c r="B216" s="1" t="s">
        <v>665</v>
      </c>
      <c r="C216" s="1" t="s">
        <v>20</v>
      </c>
      <c r="D216" s="1" t="s">
        <v>72</v>
      </c>
      <c r="E216" s="1" t="s">
        <v>165</v>
      </c>
      <c r="F216" s="1" t="s">
        <v>663</v>
      </c>
      <c r="G216" s="1">
        <v>7.5</v>
      </c>
      <c r="H216" s="1" t="s">
        <v>60</v>
      </c>
      <c r="I216" s="1">
        <v>-123.0</v>
      </c>
      <c r="J216" s="1">
        <v>0.0271578643857967</v>
      </c>
      <c r="K216" s="1" t="s">
        <v>61</v>
      </c>
      <c r="L216" s="1" t="s">
        <v>61</v>
      </c>
      <c r="M216" s="1" t="s">
        <v>62</v>
      </c>
      <c r="N216" s="1">
        <v>-103.0</v>
      </c>
      <c r="O216" s="1">
        <v>-0.086120132368343</v>
      </c>
      <c r="P216" s="1" t="s">
        <v>61</v>
      </c>
      <c r="Q216" s="1" t="s">
        <v>61</v>
      </c>
      <c r="R216" s="1">
        <f t="shared" si="1"/>
        <v>0.02715786439</v>
      </c>
      <c r="S216" s="1">
        <f t="shared" si="2"/>
        <v>-123</v>
      </c>
      <c r="T216" s="1">
        <f t="shared" si="3"/>
        <v>1.81300813</v>
      </c>
      <c r="U216" s="1">
        <f t="shared" si="4"/>
        <v>1</v>
      </c>
      <c r="V216" s="3">
        <f t="shared" si="5"/>
        <v>1</v>
      </c>
      <c r="W216" s="3">
        <f t="shared" si="6"/>
        <v>3</v>
      </c>
      <c r="X216" s="3" t="str">
        <f>IFERROR(__xludf.DUMMYFUNCTION("split(B216,"" "")"),"C.")</f>
        <v>C.</v>
      </c>
      <c r="Y216" s="3" t="str">
        <f>IFERROR(__xludf.DUMMYFUNCTION("""COMPUTED_VALUE"""),"Stover")</f>
        <v>Stover</v>
      </c>
      <c r="AA216" s="8">
        <v>0.0</v>
      </c>
      <c r="AB216" s="3">
        <f t="shared" si="7"/>
        <v>0</v>
      </c>
      <c r="AC216" s="3">
        <f t="shared" si="8"/>
        <v>0</v>
      </c>
      <c r="AD216" s="3">
        <f t="shared" si="9"/>
        <v>0.8130081301</v>
      </c>
      <c r="AE216" s="3">
        <f t="shared" si="10"/>
        <v>-1</v>
      </c>
      <c r="AF216" s="3">
        <f t="shared" si="11"/>
        <v>-3</v>
      </c>
      <c r="AG216" s="3">
        <f t="shared" si="12"/>
        <v>-1</v>
      </c>
    </row>
    <row r="217">
      <c r="A217" s="1" t="s">
        <v>13</v>
      </c>
      <c r="B217" s="1" t="s">
        <v>369</v>
      </c>
      <c r="C217" s="1" t="s">
        <v>21</v>
      </c>
      <c r="D217" s="1" t="s">
        <v>72</v>
      </c>
      <c r="E217" s="1" t="s">
        <v>165</v>
      </c>
      <c r="F217" s="1" t="s">
        <v>663</v>
      </c>
      <c r="G217" s="1">
        <v>221.5</v>
      </c>
      <c r="H217" s="1" t="s">
        <v>60</v>
      </c>
      <c r="I217" s="1">
        <v>-110.0</v>
      </c>
      <c r="J217" s="1">
        <v>0.0190952380952378</v>
      </c>
      <c r="K217" s="1" t="s">
        <v>61</v>
      </c>
      <c r="L217" s="1" t="s">
        <v>61</v>
      </c>
      <c r="M217" s="1" t="s">
        <v>62</v>
      </c>
      <c r="N217" s="1">
        <v>-120.0</v>
      </c>
      <c r="O217" s="1">
        <v>-0.0884909090909088</v>
      </c>
      <c r="P217" s="1" t="s">
        <v>61</v>
      </c>
      <c r="Q217" s="1" t="s">
        <v>61</v>
      </c>
      <c r="R217" s="1">
        <f t="shared" si="1"/>
        <v>0.0190952381</v>
      </c>
      <c r="S217" s="1">
        <f t="shared" si="2"/>
        <v>-110</v>
      </c>
      <c r="T217" s="1">
        <f t="shared" si="3"/>
        <v>1.909090909</v>
      </c>
      <c r="U217" s="1">
        <f t="shared" si="4"/>
        <v>1</v>
      </c>
      <c r="V217" s="3">
        <f t="shared" si="5"/>
        <v>1</v>
      </c>
      <c r="W217" s="3">
        <f t="shared" si="6"/>
        <v>2</v>
      </c>
      <c r="X217" s="3" t="str">
        <f>IFERROR(__xludf.DUMMYFUNCTION("split(B217,"" "")"),"C.")</f>
        <v>C.</v>
      </c>
      <c r="Y217" s="3" t="str">
        <f>IFERROR(__xludf.DUMMYFUNCTION("""COMPUTED_VALUE"""),"Stroud")</f>
        <v>Stroud</v>
      </c>
      <c r="AA217" s="8">
        <v>191.0</v>
      </c>
      <c r="AB217" s="3">
        <f t="shared" si="7"/>
        <v>0</v>
      </c>
      <c r="AC217" s="3">
        <f t="shared" si="8"/>
        <v>0</v>
      </c>
      <c r="AD217" s="3">
        <f t="shared" si="9"/>
        <v>0.9090909091</v>
      </c>
      <c r="AE217" s="3">
        <f t="shared" si="10"/>
        <v>-1</v>
      </c>
      <c r="AF217" s="3">
        <f t="shared" si="11"/>
        <v>-2</v>
      </c>
      <c r="AG217" s="3">
        <f t="shared" si="12"/>
        <v>-0.1376975169</v>
      </c>
    </row>
    <row r="218">
      <c r="A218" s="1" t="s">
        <v>8</v>
      </c>
      <c r="B218" s="1" t="s">
        <v>359</v>
      </c>
      <c r="C218" s="1" t="s">
        <v>19</v>
      </c>
      <c r="D218" s="1" t="s">
        <v>72</v>
      </c>
      <c r="E218" s="1" t="s">
        <v>165</v>
      </c>
      <c r="F218" s="1" t="s">
        <v>663</v>
      </c>
      <c r="G218" s="1">
        <v>20.5</v>
      </c>
      <c r="H218" s="1" t="s">
        <v>60</v>
      </c>
      <c r="I218" s="1">
        <v>-108.0</v>
      </c>
      <c r="J218" s="1">
        <v>0.00956437564615386</v>
      </c>
      <c r="K218" s="1" t="s">
        <v>61</v>
      </c>
      <c r="L218" s="1" t="s">
        <v>61</v>
      </c>
      <c r="M218" s="1" t="s">
        <v>62</v>
      </c>
      <c r="N218" s="1">
        <v>-123.0</v>
      </c>
      <c r="O218" s="1">
        <v>-0.0803789492376681</v>
      </c>
      <c r="P218" s="1" t="s">
        <v>61</v>
      </c>
      <c r="Q218" s="1" t="s">
        <v>61</v>
      </c>
      <c r="R218" s="1">
        <f t="shared" si="1"/>
        <v>0.009564375646</v>
      </c>
      <c r="S218" s="1">
        <f t="shared" si="2"/>
        <v>-108</v>
      </c>
      <c r="T218" s="1">
        <f t="shared" si="3"/>
        <v>1.925925926</v>
      </c>
      <c r="U218" s="1">
        <f t="shared" si="4"/>
        <v>1</v>
      </c>
      <c r="V218" s="3">
        <f t="shared" si="5"/>
        <v>1</v>
      </c>
      <c r="W218" s="3">
        <f t="shared" si="6"/>
        <v>2</v>
      </c>
      <c r="X218" s="3" t="str">
        <f>IFERROR(__xludf.DUMMYFUNCTION("split(B218,"" "")"),"J.")</f>
        <v>J.</v>
      </c>
      <c r="Y218" s="3" t="str">
        <f>IFERROR(__xludf.DUMMYFUNCTION("""COMPUTED_VALUE"""),"Mixon")</f>
        <v>Mixon</v>
      </c>
      <c r="AA218" s="8">
        <v>24.0</v>
      </c>
      <c r="AB218" s="3">
        <f t="shared" si="7"/>
        <v>1</v>
      </c>
      <c r="AC218" s="3">
        <f t="shared" si="8"/>
        <v>1</v>
      </c>
      <c r="AD218" s="3">
        <f t="shared" si="9"/>
        <v>0.9259259259</v>
      </c>
      <c r="AE218" s="3">
        <f t="shared" si="10"/>
        <v>0.9259259259</v>
      </c>
      <c r="AF218" s="3">
        <f t="shared" si="11"/>
        <v>1.851851852</v>
      </c>
      <c r="AG218" s="3">
        <f t="shared" si="12"/>
        <v>0.1707317073</v>
      </c>
    </row>
    <row r="219">
      <c r="A219" s="1" t="s">
        <v>12</v>
      </c>
      <c r="B219" s="1" t="s">
        <v>129</v>
      </c>
      <c r="C219" s="1" t="s">
        <v>18</v>
      </c>
      <c r="D219" s="1" t="s">
        <v>72</v>
      </c>
      <c r="E219" s="1" t="s">
        <v>165</v>
      </c>
      <c r="F219" s="1" t="s">
        <v>663</v>
      </c>
      <c r="G219" s="1">
        <v>4.5</v>
      </c>
      <c r="H219" s="1" t="s">
        <v>60</v>
      </c>
      <c r="I219" s="1">
        <v>-135.0</v>
      </c>
      <c r="J219" s="1">
        <v>-0.0638829787234043</v>
      </c>
      <c r="K219" s="1" t="s">
        <v>61</v>
      </c>
      <c r="L219" s="1" t="s">
        <v>61</v>
      </c>
      <c r="M219" s="1" t="s">
        <v>62</v>
      </c>
      <c r="N219" s="1">
        <v>105.0</v>
      </c>
      <c r="O219" s="1">
        <v>0.00159756097560975</v>
      </c>
      <c r="P219" s="1" t="s">
        <v>61</v>
      </c>
      <c r="Q219" s="1" t="s">
        <v>61</v>
      </c>
      <c r="R219" s="1">
        <f t="shared" si="1"/>
        <v>0.001597560976</v>
      </c>
      <c r="S219" s="1">
        <f t="shared" si="2"/>
        <v>105</v>
      </c>
      <c r="T219" s="1">
        <f t="shared" si="3"/>
        <v>2.05</v>
      </c>
      <c r="U219" s="1">
        <f t="shared" si="4"/>
        <v>0</v>
      </c>
      <c r="V219" s="3">
        <f t="shared" si="5"/>
        <v>1</v>
      </c>
      <c r="W219" s="3">
        <f t="shared" si="6"/>
        <v>2</v>
      </c>
      <c r="X219" s="3" t="str">
        <f>IFERROR(__xludf.DUMMYFUNCTION("split(B219,"" "")"),"T.")</f>
        <v>T.</v>
      </c>
      <c r="Y219" s="3" t="str">
        <f>IFERROR(__xludf.DUMMYFUNCTION("""COMPUTED_VALUE"""),"Dell")</f>
        <v>Dell</v>
      </c>
      <c r="AA219" s="8">
        <v>6.0</v>
      </c>
      <c r="AB219" s="3">
        <f t="shared" si="7"/>
        <v>1</v>
      </c>
      <c r="AC219" s="3">
        <f t="shared" si="8"/>
        <v>0</v>
      </c>
      <c r="AD219" s="3">
        <f t="shared" si="9"/>
        <v>1.05</v>
      </c>
      <c r="AE219" s="3">
        <f t="shared" si="10"/>
        <v>-1</v>
      </c>
      <c r="AF219" s="3">
        <f t="shared" si="11"/>
        <v>-2</v>
      </c>
      <c r="AG219" s="3">
        <f t="shared" si="12"/>
        <v>-0.3333333333</v>
      </c>
    </row>
    <row r="220">
      <c r="A220" s="1" t="s">
        <v>12</v>
      </c>
      <c r="B220" s="1" t="s">
        <v>125</v>
      </c>
      <c r="C220" s="1" t="s">
        <v>18</v>
      </c>
      <c r="D220" s="1" t="s">
        <v>71</v>
      </c>
      <c r="E220" s="1" t="s">
        <v>146</v>
      </c>
      <c r="F220" s="1" t="s">
        <v>666</v>
      </c>
      <c r="G220" s="1">
        <v>1.5</v>
      </c>
      <c r="H220" s="1" t="s">
        <v>60</v>
      </c>
      <c r="I220" s="1">
        <v>-158.0</v>
      </c>
      <c r="J220" s="1">
        <v>-0.284791088217054</v>
      </c>
      <c r="K220" s="1" t="s">
        <v>61</v>
      </c>
      <c r="L220" s="1" t="s">
        <v>61</v>
      </c>
      <c r="M220" s="1" t="s">
        <v>62</v>
      </c>
      <c r="N220" s="1">
        <v>120.0</v>
      </c>
      <c r="O220" s="1">
        <v>0.217840458</v>
      </c>
      <c r="P220" s="1" t="s">
        <v>61</v>
      </c>
      <c r="Q220" s="1" t="s">
        <v>61</v>
      </c>
      <c r="R220" s="1">
        <f t="shared" si="1"/>
        <v>0.217840458</v>
      </c>
      <c r="S220" s="1">
        <f t="shared" si="2"/>
        <v>120</v>
      </c>
      <c r="T220" s="1">
        <f t="shared" si="3"/>
        <v>2.2</v>
      </c>
      <c r="U220" s="1">
        <f t="shared" si="4"/>
        <v>0</v>
      </c>
      <c r="V220" s="3">
        <f t="shared" si="5"/>
        <v>3</v>
      </c>
      <c r="W220" s="3">
        <f t="shared" si="6"/>
        <v>1</v>
      </c>
      <c r="X220" s="3" t="str">
        <f>IFERROR(__xludf.DUMMYFUNCTION("split(B220,"" "")"),"A.")</f>
        <v>A.</v>
      </c>
      <c r="Y220" s="3" t="str">
        <f>IFERROR(__xludf.DUMMYFUNCTION("""COMPUTED_VALUE"""),"Mitchell")</f>
        <v>Mitchell</v>
      </c>
      <c r="AA220" s="8">
        <v>1.0</v>
      </c>
      <c r="AB220" s="3">
        <f t="shared" si="7"/>
        <v>0</v>
      </c>
      <c r="AC220" s="3">
        <f t="shared" si="8"/>
        <v>1</v>
      </c>
      <c r="AD220" s="3">
        <f t="shared" si="9"/>
        <v>3.6</v>
      </c>
      <c r="AE220" s="3">
        <f t="shared" si="10"/>
        <v>3.6</v>
      </c>
      <c r="AF220" s="3">
        <f t="shared" si="11"/>
        <v>1.2</v>
      </c>
      <c r="AG220" s="3">
        <f t="shared" si="12"/>
        <v>0.3333333333</v>
      </c>
    </row>
    <row r="221">
      <c r="A221" s="1" t="s">
        <v>12</v>
      </c>
      <c r="B221" s="1" t="s">
        <v>217</v>
      </c>
      <c r="C221" s="1" t="s">
        <v>18</v>
      </c>
      <c r="D221" s="1" t="s">
        <v>71</v>
      </c>
      <c r="E221" s="1" t="s">
        <v>146</v>
      </c>
      <c r="F221" s="1" t="s">
        <v>666</v>
      </c>
      <c r="G221" s="1">
        <v>1.5</v>
      </c>
      <c r="H221" s="1" t="s">
        <v>60</v>
      </c>
      <c r="I221" s="1">
        <v>-202.0</v>
      </c>
      <c r="J221" s="1">
        <v>-0.272206398241721</v>
      </c>
      <c r="K221" s="1" t="s">
        <v>61</v>
      </c>
      <c r="L221" s="1" t="s">
        <v>61</v>
      </c>
      <c r="M221" s="1" t="s">
        <v>62</v>
      </c>
      <c r="N221" s="1">
        <v>152.0</v>
      </c>
      <c r="O221" s="1">
        <v>0.206513223289682</v>
      </c>
      <c r="P221" s="1" t="s">
        <v>61</v>
      </c>
      <c r="Q221" s="1" t="s">
        <v>61</v>
      </c>
      <c r="R221" s="1">
        <f t="shared" si="1"/>
        <v>0.2065132233</v>
      </c>
      <c r="S221" s="1">
        <f t="shared" si="2"/>
        <v>152</v>
      </c>
      <c r="T221" s="1">
        <f t="shared" si="3"/>
        <v>2.52</v>
      </c>
      <c r="U221" s="1">
        <f t="shared" si="4"/>
        <v>0</v>
      </c>
      <c r="V221" s="3">
        <f t="shared" si="5"/>
        <v>3</v>
      </c>
      <c r="W221" s="3">
        <f t="shared" si="6"/>
        <v>1</v>
      </c>
      <c r="X221" s="3" t="str">
        <f>IFERROR(__xludf.DUMMYFUNCTION("split(B221,"" "")"),"A.")</f>
        <v>A.</v>
      </c>
      <c r="Y221" s="3" t="str">
        <f>IFERROR(__xludf.DUMMYFUNCTION("""COMPUTED_VALUE"""),"Pierce")</f>
        <v>Pierce</v>
      </c>
      <c r="AA221" s="8">
        <v>3.0</v>
      </c>
      <c r="AB221" s="3">
        <f t="shared" si="7"/>
        <v>1</v>
      </c>
      <c r="AC221" s="3">
        <f t="shared" si="8"/>
        <v>0</v>
      </c>
      <c r="AD221" s="3">
        <f t="shared" si="9"/>
        <v>4.56</v>
      </c>
      <c r="AE221" s="3">
        <f t="shared" si="10"/>
        <v>-3</v>
      </c>
      <c r="AF221" s="3">
        <f t="shared" si="11"/>
        <v>-1</v>
      </c>
      <c r="AG221" s="3">
        <f t="shared" si="12"/>
        <v>-1</v>
      </c>
    </row>
    <row r="222">
      <c r="A222" s="1" t="s">
        <v>10</v>
      </c>
      <c r="B222" s="1" t="s">
        <v>586</v>
      </c>
      <c r="C222" s="1" t="s">
        <v>21</v>
      </c>
      <c r="D222" s="1" t="s">
        <v>71</v>
      </c>
      <c r="E222" s="1" t="s">
        <v>146</v>
      </c>
      <c r="F222" s="1" t="s">
        <v>666</v>
      </c>
      <c r="G222" s="1">
        <v>1.5</v>
      </c>
      <c r="H222" s="1" t="s">
        <v>60</v>
      </c>
      <c r="I222" s="1">
        <v>107.0</v>
      </c>
      <c r="J222" s="1">
        <v>0.139804848872407</v>
      </c>
      <c r="K222" s="1" t="s">
        <v>61</v>
      </c>
      <c r="L222" s="1" t="s">
        <v>61</v>
      </c>
      <c r="M222" s="1" t="s">
        <v>62</v>
      </c>
      <c r="N222" s="1">
        <v>-138.0</v>
      </c>
      <c r="O222" s="1">
        <v>-0.202728159620248</v>
      </c>
      <c r="P222" s="1" t="s">
        <v>61</v>
      </c>
      <c r="Q222" s="1" t="s">
        <v>61</v>
      </c>
      <c r="R222" s="1">
        <f t="shared" si="1"/>
        <v>0.1398048489</v>
      </c>
      <c r="S222" s="1">
        <f t="shared" si="2"/>
        <v>107</v>
      </c>
      <c r="T222" s="1">
        <f t="shared" si="3"/>
        <v>2.07</v>
      </c>
      <c r="U222" s="1">
        <f t="shared" si="4"/>
        <v>1</v>
      </c>
      <c r="V222" s="3">
        <f t="shared" si="5"/>
        <v>3</v>
      </c>
      <c r="W222" s="3">
        <f t="shared" si="6"/>
        <v>2</v>
      </c>
      <c r="X222" s="3" t="str">
        <f>IFERROR(__xludf.DUMMYFUNCTION("split(B222,"" "")"),"J.")</f>
        <v>J.</v>
      </c>
      <c r="Y222" s="3" t="str">
        <f>IFERROR(__xludf.DUMMYFUNCTION("""COMPUTED_VALUE"""),"Flacco")</f>
        <v>Flacco</v>
      </c>
      <c r="AA222" s="8">
        <v>-1.0</v>
      </c>
      <c r="AB222" s="3">
        <f t="shared" si="7"/>
        <v>0</v>
      </c>
      <c r="AC222" s="3">
        <f t="shared" si="8"/>
        <v>0</v>
      </c>
      <c r="AD222" s="3">
        <f t="shared" si="9"/>
        <v>3.21</v>
      </c>
      <c r="AE222" s="3">
        <f t="shared" si="10"/>
        <v>-3</v>
      </c>
      <c r="AF222" s="3">
        <f t="shared" si="11"/>
        <v>-2</v>
      </c>
      <c r="AG222" s="3">
        <f t="shared" si="12"/>
        <v>-1.666666667</v>
      </c>
    </row>
    <row r="223">
      <c r="A223" s="1" t="s">
        <v>12</v>
      </c>
      <c r="B223" s="1" t="s">
        <v>444</v>
      </c>
      <c r="C223" s="1" t="s">
        <v>19</v>
      </c>
      <c r="D223" s="1" t="s">
        <v>71</v>
      </c>
      <c r="E223" s="1" t="s">
        <v>146</v>
      </c>
      <c r="F223" s="1" t="s">
        <v>666</v>
      </c>
      <c r="G223" s="1">
        <v>2.5</v>
      </c>
      <c r="H223" s="1" t="s">
        <v>60</v>
      </c>
      <c r="I223" s="1">
        <v>-129.0</v>
      </c>
      <c r="J223" s="1">
        <v>-0.191672940174672</v>
      </c>
      <c r="K223" s="1" t="s">
        <v>61</v>
      </c>
      <c r="L223" s="1" t="s">
        <v>61</v>
      </c>
      <c r="M223" s="1" t="s">
        <v>62</v>
      </c>
      <c r="N223" s="1">
        <v>-102.0</v>
      </c>
      <c r="O223" s="1">
        <v>0.123396501811881</v>
      </c>
      <c r="P223" s="1" t="s">
        <v>61</v>
      </c>
      <c r="Q223" s="1" t="s">
        <v>61</v>
      </c>
      <c r="R223" s="1">
        <f t="shared" si="1"/>
        <v>0.1233965018</v>
      </c>
      <c r="S223" s="1">
        <f t="shared" si="2"/>
        <v>-102</v>
      </c>
      <c r="T223" s="1">
        <f t="shared" si="3"/>
        <v>1.980392157</v>
      </c>
      <c r="U223" s="1">
        <f t="shared" si="4"/>
        <v>0</v>
      </c>
      <c r="V223" s="3">
        <f t="shared" si="5"/>
        <v>3</v>
      </c>
      <c r="W223" s="3">
        <f t="shared" si="6"/>
        <v>2</v>
      </c>
      <c r="X223" s="3" t="str">
        <f>IFERROR(__xludf.DUMMYFUNCTION("split(B223,"" "")"),"J.")</f>
        <v>J.</v>
      </c>
      <c r="Y223" s="3" t="str">
        <f>IFERROR(__xludf.DUMMYFUNCTION("""COMPUTED_VALUE"""),"Taylor")</f>
        <v>Taylor</v>
      </c>
      <c r="AA223" s="8">
        <v>3.0</v>
      </c>
      <c r="AB223" s="3">
        <f t="shared" si="7"/>
        <v>1</v>
      </c>
      <c r="AC223" s="3">
        <f t="shared" si="8"/>
        <v>0</v>
      </c>
      <c r="AD223" s="3">
        <f t="shared" si="9"/>
        <v>2.941176471</v>
      </c>
      <c r="AE223" s="3">
        <f t="shared" si="10"/>
        <v>-3</v>
      </c>
      <c r="AF223" s="3">
        <f t="shared" si="11"/>
        <v>-2</v>
      </c>
      <c r="AG223" s="3">
        <f t="shared" si="12"/>
        <v>-0.2</v>
      </c>
    </row>
    <row r="224">
      <c r="A224" s="1" t="s">
        <v>9</v>
      </c>
      <c r="B224" s="1" t="s">
        <v>217</v>
      </c>
      <c r="C224" s="1" t="s">
        <v>18</v>
      </c>
      <c r="D224" s="1" t="s">
        <v>71</v>
      </c>
      <c r="E224" s="1" t="s">
        <v>146</v>
      </c>
      <c r="F224" s="1" t="s">
        <v>666</v>
      </c>
      <c r="G224" s="1">
        <v>24.5</v>
      </c>
      <c r="H224" s="1" t="s">
        <v>60</v>
      </c>
      <c r="I224" s="1">
        <v>-114.0</v>
      </c>
      <c r="J224" s="1">
        <v>0.0786076630199846</v>
      </c>
      <c r="K224" s="1" t="s">
        <v>61</v>
      </c>
      <c r="L224" s="1" t="s">
        <v>61</v>
      </c>
      <c r="M224" s="1" t="s">
        <v>62</v>
      </c>
      <c r="N224" s="1">
        <v>-118.0</v>
      </c>
      <c r="O224" s="1">
        <v>-0.152557683788103</v>
      </c>
      <c r="P224" s="1" t="s">
        <v>61</v>
      </c>
      <c r="Q224" s="1" t="s">
        <v>61</v>
      </c>
      <c r="R224" s="1">
        <f t="shared" si="1"/>
        <v>0.07860766302</v>
      </c>
      <c r="S224" s="1">
        <f t="shared" si="2"/>
        <v>-114</v>
      </c>
      <c r="T224" s="1">
        <f t="shared" si="3"/>
        <v>1.877192982</v>
      </c>
      <c r="U224" s="1">
        <f t="shared" si="4"/>
        <v>1</v>
      </c>
      <c r="V224" s="3">
        <f t="shared" si="5"/>
        <v>2</v>
      </c>
      <c r="W224" s="3">
        <f t="shared" si="6"/>
        <v>2</v>
      </c>
      <c r="X224" s="3" t="str">
        <f>IFERROR(__xludf.DUMMYFUNCTION("split(B224,"" "")"),"A.")</f>
        <v>A.</v>
      </c>
      <c r="Y224" s="3" t="str">
        <f>IFERROR(__xludf.DUMMYFUNCTION("""COMPUTED_VALUE"""),"Pierce")</f>
        <v>Pierce</v>
      </c>
      <c r="AA224" s="8">
        <v>41.0</v>
      </c>
      <c r="AB224" s="3">
        <f t="shared" si="7"/>
        <v>1</v>
      </c>
      <c r="AC224" s="3">
        <f t="shared" si="8"/>
        <v>1</v>
      </c>
      <c r="AD224" s="3">
        <f t="shared" si="9"/>
        <v>1.754385965</v>
      </c>
      <c r="AE224" s="3">
        <f t="shared" si="10"/>
        <v>1.754385965</v>
      </c>
      <c r="AF224" s="3">
        <f t="shared" si="11"/>
        <v>1.754385965</v>
      </c>
      <c r="AG224" s="3">
        <f t="shared" si="12"/>
        <v>0.6734693878</v>
      </c>
    </row>
    <row r="225">
      <c r="A225" s="1" t="s">
        <v>9</v>
      </c>
      <c r="B225" s="1" t="s">
        <v>125</v>
      </c>
      <c r="C225" s="1" t="s">
        <v>18</v>
      </c>
      <c r="D225" s="1" t="s">
        <v>71</v>
      </c>
      <c r="E225" s="1" t="s">
        <v>146</v>
      </c>
      <c r="F225" s="1" t="s">
        <v>666</v>
      </c>
      <c r="G225" s="1">
        <v>19.5</v>
      </c>
      <c r="H225" s="1" t="s">
        <v>60</v>
      </c>
      <c r="I225" s="1">
        <v>-121.0</v>
      </c>
      <c r="J225" s="1">
        <v>0.0776434029102315</v>
      </c>
      <c r="K225" s="1" t="s">
        <v>61</v>
      </c>
      <c r="L225" s="1" t="s">
        <v>61</v>
      </c>
      <c r="M225" s="1" t="s">
        <v>62</v>
      </c>
      <c r="N225" s="1">
        <v>-112.0</v>
      </c>
      <c r="O225" s="1">
        <v>-0.153449014567643</v>
      </c>
      <c r="P225" s="1" t="s">
        <v>61</v>
      </c>
      <c r="Q225" s="1" t="s">
        <v>61</v>
      </c>
      <c r="R225" s="1">
        <f t="shared" si="1"/>
        <v>0.07764340291</v>
      </c>
      <c r="S225" s="1">
        <f t="shared" si="2"/>
        <v>-121</v>
      </c>
      <c r="T225" s="1">
        <f t="shared" si="3"/>
        <v>1.826446281</v>
      </c>
      <c r="U225" s="1">
        <f t="shared" si="4"/>
        <v>1</v>
      </c>
      <c r="V225" s="3">
        <f t="shared" si="5"/>
        <v>2</v>
      </c>
      <c r="W225" s="3">
        <f t="shared" si="6"/>
        <v>3</v>
      </c>
      <c r="X225" s="3" t="str">
        <f>IFERROR(__xludf.DUMMYFUNCTION("split(B225,"" "")"),"A.")</f>
        <v>A.</v>
      </c>
      <c r="Y225" s="3" t="str">
        <f>IFERROR(__xludf.DUMMYFUNCTION("""COMPUTED_VALUE"""),"Mitchell")</f>
        <v>Mitchell</v>
      </c>
      <c r="AA225" s="8">
        <v>22.0</v>
      </c>
      <c r="AB225" s="3">
        <f t="shared" si="7"/>
        <v>1</v>
      </c>
      <c r="AC225" s="3">
        <f t="shared" si="8"/>
        <v>1</v>
      </c>
      <c r="AD225" s="3">
        <f t="shared" si="9"/>
        <v>1.652892562</v>
      </c>
      <c r="AE225" s="3">
        <f t="shared" si="10"/>
        <v>1.652892562</v>
      </c>
      <c r="AF225" s="3">
        <f t="shared" si="11"/>
        <v>2.479338843</v>
      </c>
      <c r="AG225" s="3">
        <f t="shared" si="12"/>
        <v>0.1282051282</v>
      </c>
    </row>
    <row r="226">
      <c r="A226" s="1" t="s">
        <v>17</v>
      </c>
      <c r="B226" s="1" t="s">
        <v>586</v>
      </c>
      <c r="C226" s="1" t="s">
        <v>21</v>
      </c>
      <c r="D226" s="1" t="s">
        <v>71</v>
      </c>
      <c r="E226" s="1" t="s">
        <v>146</v>
      </c>
      <c r="F226" s="1" t="s">
        <v>666</v>
      </c>
      <c r="G226" s="1">
        <v>0.5</v>
      </c>
      <c r="H226" s="1" t="s">
        <v>60</v>
      </c>
      <c r="I226" s="1">
        <v>-149.0</v>
      </c>
      <c r="J226" s="1">
        <v>-0.140093574297188</v>
      </c>
      <c r="K226" s="1" t="s">
        <v>61</v>
      </c>
      <c r="L226" s="1" t="s">
        <v>61</v>
      </c>
      <c r="M226" s="1" t="s">
        <v>62</v>
      </c>
      <c r="N226" s="1">
        <v>113.0</v>
      </c>
      <c r="O226" s="1">
        <v>0.0722164319248825</v>
      </c>
      <c r="P226" s="1" t="s">
        <v>61</v>
      </c>
      <c r="Q226" s="1" t="s">
        <v>61</v>
      </c>
      <c r="R226" s="1">
        <f t="shared" si="1"/>
        <v>0.07221643192</v>
      </c>
      <c r="S226" s="1">
        <f t="shared" si="2"/>
        <v>113</v>
      </c>
      <c r="T226" s="1">
        <f t="shared" si="3"/>
        <v>2.13</v>
      </c>
      <c r="U226" s="1">
        <f t="shared" si="4"/>
        <v>0</v>
      </c>
      <c r="V226" s="3">
        <f t="shared" si="5"/>
        <v>2</v>
      </c>
      <c r="W226" s="3">
        <f t="shared" si="6"/>
        <v>1</v>
      </c>
      <c r="X226" s="3" t="str">
        <f>IFERROR(__xludf.DUMMYFUNCTION("split(B226,"" "")"),"J.")</f>
        <v>J.</v>
      </c>
      <c r="Y226" s="3" t="str">
        <f>IFERROR(__xludf.DUMMYFUNCTION("""COMPUTED_VALUE"""),"Flacco")</f>
        <v>Flacco</v>
      </c>
      <c r="AA226" s="8">
        <v>1.0</v>
      </c>
      <c r="AB226" s="3">
        <f t="shared" si="7"/>
        <v>1</v>
      </c>
      <c r="AC226" s="3">
        <f t="shared" si="8"/>
        <v>0</v>
      </c>
      <c r="AD226" s="3">
        <f t="shared" si="9"/>
        <v>2.26</v>
      </c>
      <c r="AE226" s="3">
        <f t="shared" si="10"/>
        <v>-2</v>
      </c>
      <c r="AF226" s="3">
        <f t="shared" si="11"/>
        <v>-1</v>
      </c>
      <c r="AG226" s="3">
        <f t="shared" si="12"/>
        <v>-1</v>
      </c>
    </row>
    <row r="227">
      <c r="A227" s="1" t="s">
        <v>12</v>
      </c>
      <c r="B227" s="1" t="s">
        <v>585</v>
      </c>
      <c r="C227" s="1" t="s">
        <v>20</v>
      </c>
      <c r="D227" s="1" t="s">
        <v>71</v>
      </c>
      <c r="E227" s="1" t="s">
        <v>146</v>
      </c>
      <c r="F227" s="1" t="s">
        <v>666</v>
      </c>
      <c r="G227" s="1">
        <v>1.5</v>
      </c>
      <c r="H227" s="1" t="s">
        <v>60</v>
      </c>
      <c r="I227" s="1">
        <v>134.0</v>
      </c>
      <c r="J227" s="1">
        <v>-0.122794878156837</v>
      </c>
      <c r="K227" s="1" t="s">
        <v>61</v>
      </c>
      <c r="L227" s="1" t="s">
        <v>61</v>
      </c>
      <c r="M227" s="1" t="s">
        <v>62</v>
      </c>
      <c r="N227" s="1">
        <v>-178.0</v>
      </c>
      <c r="O227" s="1">
        <v>0.0551619313053955</v>
      </c>
      <c r="P227" s="1" t="s">
        <v>61</v>
      </c>
      <c r="Q227" s="1" t="s">
        <v>61</v>
      </c>
      <c r="R227" s="1">
        <f t="shared" si="1"/>
        <v>0.05516193131</v>
      </c>
      <c r="S227" s="1">
        <f t="shared" si="2"/>
        <v>-178</v>
      </c>
      <c r="T227" s="1">
        <f t="shared" si="3"/>
        <v>1.561797753</v>
      </c>
      <c r="U227" s="1">
        <f t="shared" si="4"/>
        <v>0</v>
      </c>
      <c r="V227" s="3">
        <f t="shared" si="5"/>
        <v>2</v>
      </c>
      <c r="W227" s="3">
        <f t="shared" si="6"/>
        <v>3</v>
      </c>
      <c r="X227" s="3" t="str">
        <f>IFERROR(__xludf.DUMMYFUNCTION("split(B227,"" "")"),"M.")</f>
        <v>M.</v>
      </c>
      <c r="Y227" s="3" t="str">
        <f>IFERROR(__xludf.DUMMYFUNCTION("""COMPUTED_VALUE"""),"Alie-Cox")</f>
        <v>Alie-Cox</v>
      </c>
      <c r="AA227" s="8">
        <v>0.0</v>
      </c>
      <c r="AB227" s="3">
        <f t="shared" si="7"/>
        <v>0</v>
      </c>
      <c r="AC227" s="3">
        <f t="shared" si="8"/>
        <v>1</v>
      </c>
      <c r="AD227" s="3">
        <f t="shared" si="9"/>
        <v>1.123595506</v>
      </c>
      <c r="AE227" s="3">
        <f t="shared" si="10"/>
        <v>1.123595506</v>
      </c>
      <c r="AF227" s="3">
        <f t="shared" si="11"/>
        <v>1.685393258</v>
      </c>
      <c r="AG227" s="3">
        <f t="shared" si="12"/>
        <v>1</v>
      </c>
    </row>
    <row r="228">
      <c r="A228" s="1" t="s">
        <v>9</v>
      </c>
      <c r="B228" s="1" t="s">
        <v>391</v>
      </c>
      <c r="C228" s="1" t="s">
        <v>18</v>
      </c>
      <c r="D228" s="1" t="s">
        <v>71</v>
      </c>
      <c r="E228" s="1" t="s">
        <v>146</v>
      </c>
      <c r="F228" s="1" t="s">
        <v>666</v>
      </c>
      <c r="G228" s="1">
        <v>52.5</v>
      </c>
      <c r="H228" s="1" t="s">
        <v>60</v>
      </c>
      <c r="I228" s="1">
        <v>-117.0</v>
      </c>
      <c r="J228" s="1">
        <v>0.0269026468076248</v>
      </c>
      <c r="K228" s="1" t="s">
        <v>61</v>
      </c>
      <c r="L228" s="1" t="s">
        <v>61</v>
      </c>
      <c r="M228" s="1" t="s">
        <v>62</v>
      </c>
      <c r="N228" s="1">
        <v>-116.0</v>
      </c>
      <c r="O228" s="1">
        <v>-0.103105751177848</v>
      </c>
      <c r="P228" s="1" t="s">
        <v>61</v>
      </c>
      <c r="Q228" s="1" t="s">
        <v>61</v>
      </c>
      <c r="R228" s="1">
        <f t="shared" si="1"/>
        <v>0.02690264681</v>
      </c>
      <c r="S228" s="1">
        <f t="shared" si="2"/>
        <v>-117</v>
      </c>
      <c r="T228" s="1">
        <f t="shared" si="3"/>
        <v>1.854700855</v>
      </c>
      <c r="U228" s="1">
        <f t="shared" si="4"/>
        <v>1</v>
      </c>
      <c r="V228" s="3">
        <f t="shared" si="5"/>
        <v>1</v>
      </c>
      <c r="W228" s="3">
        <f t="shared" si="6"/>
        <v>2</v>
      </c>
      <c r="X228" s="3" t="str">
        <f>IFERROR(__xludf.DUMMYFUNCTION("split(B228,"" "")"),"M.")</f>
        <v>M.</v>
      </c>
      <c r="Y228" s="3" t="str">
        <f>IFERROR(__xludf.DUMMYFUNCTION("""COMPUTED_VALUE"""),"Pittman")</f>
        <v>Pittman</v>
      </c>
      <c r="Z228" s="3" t="str">
        <f>IFERROR(__xludf.DUMMYFUNCTION("""COMPUTED_VALUE"""),"Jr.")</f>
        <v>Jr.</v>
      </c>
      <c r="AA228" s="8">
        <v>14.0</v>
      </c>
      <c r="AB228" s="3">
        <f t="shared" si="7"/>
        <v>0</v>
      </c>
      <c r="AC228" s="3">
        <f t="shared" si="8"/>
        <v>0</v>
      </c>
      <c r="AD228" s="3">
        <f t="shared" si="9"/>
        <v>0.8547008547</v>
      </c>
      <c r="AE228" s="3">
        <f t="shared" si="10"/>
        <v>-1</v>
      </c>
      <c r="AF228" s="3">
        <f t="shared" si="11"/>
        <v>-2</v>
      </c>
      <c r="AG228" s="3">
        <f t="shared" si="12"/>
        <v>-0.7333333333</v>
      </c>
    </row>
    <row r="229">
      <c r="A229" s="1" t="s">
        <v>11</v>
      </c>
      <c r="B229" s="1" t="s">
        <v>539</v>
      </c>
      <c r="C229" s="1" t="s">
        <v>18</v>
      </c>
      <c r="D229" s="1" t="s">
        <v>71</v>
      </c>
      <c r="E229" s="1" t="s">
        <v>146</v>
      </c>
      <c r="F229" s="1" t="s">
        <v>666</v>
      </c>
      <c r="G229" s="1">
        <v>64.5</v>
      </c>
      <c r="H229" s="1" t="s">
        <v>60</v>
      </c>
      <c r="I229" s="1">
        <v>-114.0</v>
      </c>
      <c r="J229" s="1">
        <v>-0.0871544625879436</v>
      </c>
      <c r="K229" s="1" t="s">
        <v>61</v>
      </c>
      <c r="L229" s="1" t="s">
        <v>61</v>
      </c>
      <c r="M229" s="1" t="s">
        <v>62</v>
      </c>
      <c r="N229" s="1">
        <v>-113.0</v>
      </c>
      <c r="O229" s="1">
        <v>0.0239330473494311</v>
      </c>
      <c r="P229" s="1" t="s">
        <v>61</v>
      </c>
      <c r="Q229" s="1" t="s">
        <v>61</v>
      </c>
      <c r="R229" s="1">
        <f t="shared" si="1"/>
        <v>0.02393304735</v>
      </c>
      <c r="S229" s="1">
        <f t="shared" si="2"/>
        <v>-113</v>
      </c>
      <c r="T229" s="1">
        <f t="shared" si="3"/>
        <v>1.884955752</v>
      </c>
      <c r="U229" s="1">
        <f t="shared" si="4"/>
        <v>0</v>
      </c>
      <c r="V229" s="3">
        <f t="shared" si="5"/>
        <v>1</v>
      </c>
      <c r="W229" s="3">
        <f t="shared" si="6"/>
        <v>2</v>
      </c>
      <c r="X229" s="3" t="str">
        <f>IFERROR(__xludf.DUMMYFUNCTION("split(B229,"" "")"),"J.")</f>
        <v>J.</v>
      </c>
      <c r="Y229" s="3" t="str">
        <f>IFERROR(__xludf.DUMMYFUNCTION("""COMPUTED_VALUE"""),"Downs")</f>
        <v>Downs</v>
      </c>
      <c r="AA229" s="8">
        <v>60.0</v>
      </c>
      <c r="AB229" s="3">
        <f t="shared" si="7"/>
        <v>0</v>
      </c>
      <c r="AC229" s="3">
        <f t="shared" si="8"/>
        <v>1</v>
      </c>
      <c r="AD229" s="3">
        <f t="shared" si="9"/>
        <v>0.8849557522</v>
      </c>
      <c r="AE229" s="3">
        <f t="shared" si="10"/>
        <v>0.8849557522</v>
      </c>
      <c r="AF229" s="3">
        <f t="shared" si="11"/>
        <v>1.769911504</v>
      </c>
      <c r="AG229" s="3">
        <f t="shared" si="12"/>
        <v>0.06976744186</v>
      </c>
    </row>
    <row r="230">
      <c r="A230" s="1" t="s">
        <v>8</v>
      </c>
      <c r="B230" s="1" t="s">
        <v>444</v>
      </c>
      <c r="C230" s="1" t="s">
        <v>19</v>
      </c>
      <c r="D230" s="1" t="s">
        <v>71</v>
      </c>
      <c r="E230" s="1" t="s">
        <v>146</v>
      </c>
      <c r="F230" s="1" t="s">
        <v>666</v>
      </c>
      <c r="G230" s="1">
        <v>18.5</v>
      </c>
      <c r="H230" s="1" t="s">
        <v>60</v>
      </c>
      <c r="I230" s="1">
        <v>-108.0</v>
      </c>
      <c r="J230" s="1">
        <v>0.0203086037192308</v>
      </c>
      <c r="K230" s="1" t="s">
        <v>61</v>
      </c>
      <c r="L230" s="1" t="s">
        <v>61</v>
      </c>
      <c r="M230" s="1" t="s">
        <v>62</v>
      </c>
      <c r="N230" s="1">
        <v>-123.0</v>
      </c>
      <c r="O230" s="1">
        <v>-0.0911307821524664</v>
      </c>
      <c r="P230" s="1" t="s">
        <v>61</v>
      </c>
      <c r="Q230" s="1" t="s">
        <v>61</v>
      </c>
      <c r="R230" s="1">
        <f t="shared" si="1"/>
        <v>0.02030860372</v>
      </c>
      <c r="S230" s="1">
        <f t="shared" si="2"/>
        <v>-108</v>
      </c>
      <c r="T230" s="1">
        <f t="shared" si="3"/>
        <v>1.925925926</v>
      </c>
      <c r="U230" s="1">
        <f t="shared" si="4"/>
        <v>1</v>
      </c>
      <c r="V230" s="3">
        <f t="shared" si="5"/>
        <v>1</v>
      </c>
      <c r="W230" s="3">
        <f t="shared" si="6"/>
        <v>2</v>
      </c>
      <c r="X230" s="3" t="str">
        <f>IFERROR(__xludf.DUMMYFUNCTION("split(B230,"" "")"),"J.")</f>
        <v>J.</v>
      </c>
      <c r="Y230" s="3" t="str">
        <f>IFERROR(__xludf.DUMMYFUNCTION("""COMPUTED_VALUE"""),"Taylor")</f>
        <v>Taylor</v>
      </c>
      <c r="AA230" s="8">
        <v>13.0</v>
      </c>
      <c r="AB230" s="3">
        <f t="shared" si="7"/>
        <v>0</v>
      </c>
      <c r="AC230" s="3">
        <f t="shared" si="8"/>
        <v>0</v>
      </c>
      <c r="AD230" s="3">
        <f t="shared" si="9"/>
        <v>0.9259259259</v>
      </c>
      <c r="AE230" s="3">
        <f t="shared" si="10"/>
        <v>-1</v>
      </c>
      <c r="AF230" s="3">
        <f t="shared" si="11"/>
        <v>-2</v>
      </c>
      <c r="AG230" s="3">
        <f t="shared" si="12"/>
        <v>-0.2972972973</v>
      </c>
    </row>
    <row r="231">
      <c r="A231" s="1" t="s">
        <v>12</v>
      </c>
      <c r="B231" s="1" t="s">
        <v>391</v>
      </c>
      <c r="C231" s="1" t="s">
        <v>18</v>
      </c>
      <c r="D231" s="1" t="s">
        <v>71</v>
      </c>
      <c r="E231" s="1" t="s">
        <v>146</v>
      </c>
      <c r="F231" s="1" t="s">
        <v>666</v>
      </c>
      <c r="G231" s="1">
        <v>4.5</v>
      </c>
      <c r="H231" s="1" t="s">
        <v>60</v>
      </c>
      <c r="I231" s="1">
        <v>-151.0</v>
      </c>
      <c r="J231" s="1">
        <v>0.0184462151394422</v>
      </c>
      <c r="K231" s="1" t="s">
        <v>61</v>
      </c>
      <c r="L231" s="1" t="s">
        <v>61</v>
      </c>
      <c r="M231" s="1" t="s">
        <v>62</v>
      </c>
      <c r="N231" s="1">
        <v>115.0</v>
      </c>
      <c r="O231" s="1">
        <v>-0.0851627906976744</v>
      </c>
      <c r="P231" s="1" t="s">
        <v>61</v>
      </c>
      <c r="Q231" s="1" t="s">
        <v>61</v>
      </c>
      <c r="R231" s="1">
        <f t="shared" si="1"/>
        <v>0.01844621514</v>
      </c>
      <c r="S231" s="1">
        <f t="shared" si="2"/>
        <v>-151</v>
      </c>
      <c r="T231" s="1">
        <f t="shared" si="3"/>
        <v>1.662251656</v>
      </c>
      <c r="U231" s="1">
        <f t="shared" si="4"/>
        <v>1</v>
      </c>
      <c r="V231" s="3">
        <f t="shared" si="5"/>
        <v>1</v>
      </c>
      <c r="W231" s="3">
        <f t="shared" si="6"/>
        <v>3</v>
      </c>
      <c r="X231" s="3" t="str">
        <f>IFERROR(__xludf.DUMMYFUNCTION("split(B231,"" "")"),"M.")</f>
        <v>M.</v>
      </c>
      <c r="Y231" s="3" t="str">
        <f>IFERROR(__xludf.DUMMYFUNCTION("""COMPUTED_VALUE"""),"Pittman")</f>
        <v>Pittman</v>
      </c>
      <c r="Z231" s="3" t="str">
        <f>IFERROR(__xludf.DUMMYFUNCTION("""COMPUTED_VALUE"""),"Jr.")</f>
        <v>Jr.</v>
      </c>
      <c r="AA231" s="8">
        <v>1.0</v>
      </c>
      <c r="AB231" s="3">
        <f t="shared" si="7"/>
        <v>0</v>
      </c>
      <c r="AC231" s="3">
        <f t="shared" si="8"/>
        <v>0</v>
      </c>
      <c r="AD231" s="3">
        <f t="shared" si="9"/>
        <v>0.6622516556</v>
      </c>
      <c r="AE231" s="3">
        <f t="shared" si="10"/>
        <v>-1</v>
      </c>
      <c r="AF231" s="3">
        <f t="shared" si="11"/>
        <v>-3</v>
      </c>
      <c r="AG231" s="3">
        <f t="shared" si="12"/>
        <v>-0.7777777778</v>
      </c>
    </row>
    <row r="232">
      <c r="A232" s="1" t="s">
        <v>11</v>
      </c>
      <c r="B232" s="1" t="s">
        <v>125</v>
      </c>
      <c r="C232" s="1" t="s">
        <v>18</v>
      </c>
      <c r="D232" s="1" t="s">
        <v>71</v>
      </c>
      <c r="E232" s="1" t="s">
        <v>146</v>
      </c>
      <c r="F232" s="1" t="s">
        <v>666</v>
      </c>
      <c r="G232" s="1">
        <v>18.5</v>
      </c>
      <c r="H232" s="1" t="s">
        <v>60</v>
      </c>
      <c r="I232" s="1">
        <v>-114.0</v>
      </c>
      <c r="J232" s="1">
        <v>-0.0846178371520092</v>
      </c>
      <c r="K232" s="1" t="s">
        <v>61</v>
      </c>
      <c r="L232" s="1" t="s">
        <v>61</v>
      </c>
      <c r="M232" s="1" t="s">
        <v>62</v>
      </c>
      <c r="N232" s="1">
        <v>-115.0</v>
      </c>
      <c r="O232" s="1">
        <v>0.0170683242935323</v>
      </c>
      <c r="P232" s="1" t="s">
        <v>61</v>
      </c>
      <c r="Q232" s="1" t="s">
        <v>61</v>
      </c>
      <c r="R232" s="1">
        <f t="shared" si="1"/>
        <v>0.01706832429</v>
      </c>
      <c r="S232" s="1">
        <f t="shared" si="2"/>
        <v>-115</v>
      </c>
      <c r="T232" s="1">
        <f t="shared" si="3"/>
        <v>1.869565217</v>
      </c>
      <c r="U232" s="1">
        <f t="shared" si="4"/>
        <v>0</v>
      </c>
      <c r="V232" s="3">
        <f t="shared" si="5"/>
        <v>1</v>
      </c>
      <c r="W232" s="3">
        <f t="shared" si="6"/>
        <v>2</v>
      </c>
      <c r="X232" s="3" t="str">
        <f>IFERROR(__xludf.DUMMYFUNCTION("split(B232,"" "")"),"A.")</f>
        <v>A.</v>
      </c>
      <c r="Y232" s="3" t="str">
        <f>IFERROR(__xludf.DUMMYFUNCTION("""COMPUTED_VALUE"""),"Mitchell")</f>
        <v>Mitchell</v>
      </c>
      <c r="AA232" s="8">
        <v>22.0</v>
      </c>
      <c r="AB232" s="3">
        <f t="shared" si="7"/>
        <v>1</v>
      </c>
      <c r="AC232" s="3">
        <f t="shared" si="8"/>
        <v>0</v>
      </c>
      <c r="AD232" s="3">
        <f t="shared" si="9"/>
        <v>0.8695652174</v>
      </c>
      <c r="AE232" s="3">
        <f t="shared" si="10"/>
        <v>-1</v>
      </c>
      <c r="AF232" s="3">
        <f t="shared" si="11"/>
        <v>-2</v>
      </c>
      <c r="AG232" s="3">
        <f t="shared" si="12"/>
        <v>-0.1891891892</v>
      </c>
    </row>
    <row r="233">
      <c r="A233" s="1" t="s">
        <v>8</v>
      </c>
      <c r="B233" s="1" t="s">
        <v>586</v>
      </c>
      <c r="C233" s="1" t="s">
        <v>21</v>
      </c>
      <c r="D233" s="1" t="s">
        <v>71</v>
      </c>
      <c r="E233" s="1" t="s">
        <v>146</v>
      </c>
      <c r="F233" s="1" t="s">
        <v>666</v>
      </c>
      <c r="G233" s="1">
        <v>1.5</v>
      </c>
      <c r="H233" s="1" t="s">
        <v>60</v>
      </c>
      <c r="I233" s="1">
        <v>-105.0</v>
      </c>
      <c r="J233" s="1">
        <v>0.0136109269218738</v>
      </c>
      <c r="K233" s="1" t="s">
        <v>61</v>
      </c>
      <c r="L233" s="1" t="s">
        <v>61</v>
      </c>
      <c r="M233" s="1" t="s">
        <v>62</v>
      </c>
      <c r="N233" s="1">
        <v>-125.0</v>
      </c>
      <c r="O233" s="1">
        <v>-0.0813763334388008</v>
      </c>
      <c r="P233" s="1" t="s">
        <v>61</v>
      </c>
      <c r="Q233" s="1" t="s">
        <v>61</v>
      </c>
      <c r="R233" s="1">
        <f t="shared" si="1"/>
        <v>0.01361092692</v>
      </c>
      <c r="S233" s="1">
        <f t="shared" si="2"/>
        <v>-105</v>
      </c>
      <c r="T233" s="1">
        <f t="shared" si="3"/>
        <v>1.952380952</v>
      </c>
      <c r="U233" s="1">
        <f t="shared" si="4"/>
        <v>1</v>
      </c>
      <c r="V233" s="3">
        <f t="shared" si="5"/>
        <v>1</v>
      </c>
      <c r="W233" s="3">
        <f t="shared" si="6"/>
        <v>2</v>
      </c>
      <c r="X233" s="3" t="str">
        <f>IFERROR(__xludf.DUMMYFUNCTION("split(B233,"" "")"),"J.")</f>
        <v>J.</v>
      </c>
      <c r="Y233" s="3" t="str">
        <f>IFERROR(__xludf.DUMMYFUNCTION("""COMPUTED_VALUE"""),"Flacco")</f>
        <v>Flacco</v>
      </c>
      <c r="AA233" s="8">
        <v>2.0</v>
      </c>
      <c r="AB233" s="3">
        <f t="shared" si="7"/>
        <v>1</v>
      </c>
      <c r="AC233" s="3">
        <f t="shared" si="8"/>
        <v>1</v>
      </c>
      <c r="AD233" s="3">
        <f t="shared" si="9"/>
        <v>0.9523809524</v>
      </c>
      <c r="AE233" s="3">
        <f t="shared" si="10"/>
        <v>0.9523809524</v>
      </c>
      <c r="AF233" s="3">
        <f t="shared" si="11"/>
        <v>1.904761905</v>
      </c>
      <c r="AG233" s="3">
        <f t="shared" si="12"/>
        <v>0.3333333333</v>
      </c>
    </row>
    <row r="234">
      <c r="A234" s="1" t="s">
        <v>13</v>
      </c>
      <c r="B234" s="1" t="s">
        <v>586</v>
      </c>
      <c r="C234" s="1" t="s">
        <v>21</v>
      </c>
      <c r="D234" s="1" t="s">
        <v>71</v>
      </c>
      <c r="E234" s="1" t="s">
        <v>146</v>
      </c>
      <c r="F234" s="1" t="s">
        <v>666</v>
      </c>
      <c r="G234" s="1">
        <v>244.5</v>
      </c>
      <c r="H234" s="1" t="s">
        <v>60</v>
      </c>
      <c r="I234" s="1">
        <v>-114.0</v>
      </c>
      <c r="J234" s="1">
        <v>-0.07414953271028</v>
      </c>
      <c r="K234" s="1" t="s">
        <v>61</v>
      </c>
      <c r="L234" s="1" t="s">
        <v>61</v>
      </c>
      <c r="M234" s="1" t="s">
        <v>62</v>
      </c>
      <c r="N234" s="1">
        <v>-112.0</v>
      </c>
      <c r="O234" s="1">
        <v>0.0130641509433961</v>
      </c>
      <c r="P234" s="1" t="s">
        <v>61</v>
      </c>
      <c r="Q234" s="1" t="s">
        <v>61</v>
      </c>
      <c r="R234" s="1">
        <f t="shared" si="1"/>
        <v>0.01306415094</v>
      </c>
      <c r="S234" s="1">
        <f t="shared" si="2"/>
        <v>-112</v>
      </c>
      <c r="T234" s="1">
        <f t="shared" si="3"/>
        <v>1.892857143</v>
      </c>
      <c r="U234" s="1">
        <f t="shared" si="4"/>
        <v>0</v>
      </c>
      <c r="V234" s="3">
        <f t="shared" si="5"/>
        <v>1</v>
      </c>
      <c r="W234" s="3">
        <f t="shared" si="6"/>
        <v>2</v>
      </c>
      <c r="X234" s="3" t="str">
        <f>IFERROR(__xludf.DUMMYFUNCTION("split(B234,"" "")"),"J.")</f>
        <v>J.</v>
      </c>
      <c r="Y234" s="3" t="str">
        <f>IFERROR(__xludf.DUMMYFUNCTION("""COMPUTED_VALUE"""),"Flacco")</f>
        <v>Flacco</v>
      </c>
      <c r="AA234" s="8">
        <v>179.0</v>
      </c>
      <c r="AB234" s="3">
        <f t="shared" si="7"/>
        <v>0</v>
      </c>
      <c r="AC234" s="3">
        <f t="shared" si="8"/>
        <v>1</v>
      </c>
      <c r="AD234" s="3">
        <f t="shared" si="9"/>
        <v>0.8928571429</v>
      </c>
      <c r="AE234" s="3">
        <f t="shared" si="10"/>
        <v>0.8928571429</v>
      </c>
      <c r="AF234" s="3">
        <f t="shared" si="11"/>
        <v>1.785714286</v>
      </c>
      <c r="AG234" s="3">
        <f t="shared" si="12"/>
        <v>0.2678936605</v>
      </c>
    </row>
    <row r="235">
      <c r="A235" s="1" t="s">
        <v>10</v>
      </c>
      <c r="B235" s="1" t="s">
        <v>444</v>
      </c>
      <c r="C235" s="1" t="s">
        <v>19</v>
      </c>
      <c r="D235" s="1" t="s">
        <v>71</v>
      </c>
      <c r="E235" s="1" t="s">
        <v>146</v>
      </c>
      <c r="F235" s="1" t="s">
        <v>666</v>
      </c>
      <c r="G235" s="1">
        <v>71.5</v>
      </c>
      <c r="H235" s="1" t="s">
        <v>60</v>
      </c>
      <c r="I235" s="1">
        <v>-119.0</v>
      </c>
      <c r="J235" s="1">
        <v>-0.0781057162776611</v>
      </c>
      <c r="K235" s="1" t="s">
        <v>61</v>
      </c>
      <c r="L235" s="1" t="s">
        <v>61</v>
      </c>
      <c r="M235" s="1" t="s">
        <v>62</v>
      </c>
      <c r="N235" s="1">
        <v>-110.0</v>
      </c>
      <c r="O235" s="1">
        <v>0.0108754142540145</v>
      </c>
      <c r="P235" s="1" t="s">
        <v>61</v>
      </c>
      <c r="Q235" s="1" t="s">
        <v>61</v>
      </c>
      <c r="R235" s="1">
        <f t="shared" si="1"/>
        <v>0.01087541425</v>
      </c>
      <c r="S235" s="1">
        <f t="shared" si="2"/>
        <v>-110</v>
      </c>
      <c r="T235" s="1">
        <f t="shared" si="3"/>
        <v>1.909090909</v>
      </c>
      <c r="U235" s="1">
        <f t="shared" si="4"/>
        <v>0</v>
      </c>
      <c r="V235" s="3">
        <f t="shared" si="5"/>
        <v>1</v>
      </c>
      <c r="W235" s="3">
        <f t="shared" si="6"/>
        <v>2</v>
      </c>
      <c r="X235" s="3" t="str">
        <f>IFERROR(__xludf.DUMMYFUNCTION("split(B235,"" "")"),"J.")</f>
        <v>J.</v>
      </c>
      <c r="Y235" s="3" t="str">
        <f>IFERROR(__xludf.DUMMYFUNCTION("""COMPUTED_VALUE"""),"Taylor")</f>
        <v>Taylor</v>
      </c>
      <c r="AA235" s="8">
        <v>48.0</v>
      </c>
      <c r="AB235" s="3">
        <f t="shared" si="7"/>
        <v>0</v>
      </c>
      <c r="AC235" s="3">
        <f t="shared" si="8"/>
        <v>1</v>
      </c>
      <c r="AD235" s="3">
        <f t="shared" si="9"/>
        <v>0.9090909091</v>
      </c>
      <c r="AE235" s="3">
        <f t="shared" si="10"/>
        <v>0.9090909091</v>
      </c>
      <c r="AF235" s="3">
        <f t="shared" si="11"/>
        <v>1.818181818</v>
      </c>
      <c r="AG235" s="3">
        <f t="shared" si="12"/>
        <v>0.3286713287</v>
      </c>
    </row>
    <row r="236">
      <c r="A236" s="1" t="s">
        <v>9</v>
      </c>
      <c r="B236" s="1" t="s">
        <v>539</v>
      </c>
      <c r="C236" s="1" t="s">
        <v>18</v>
      </c>
      <c r="D236" s="1" t="s">
        <v>71</v>
      </c>
      <c r="E236" s="1" t="s">
        <v>146</v>
      </c>
      <c r="F236" s="1" t="s">
        <v>666</v>
      </c>
      <c r="G236" s="1">
        <v>64.5</v>
      </c>
      <c r="H236" s="1" t="s">
        <v>60</v>
      </c>
      <c r="I236" s="1">
        <v>-115.0</v>
      </c>
      <c r="J236" s="1">
        <v>-0.0741574925863242</v>
      </c>
      <c r="K236" s="1" t="s">
        <v>61</v>
      </c>
      <c r="L236" s="1" t="s">
        <v>61</v>
      </c>
      <c r="M236" s="1" t="s">
        <v>62</v>
      </c>
      <c r="N236" s="1">
        <v>-115.0</v>
      </c>
      <c r="O236" s="1">
        <v>0.00440111647427265</v>
      </c>
      <c r="P236" s="1" t="s">
        <v>61</v>
      </c>
      <c r="Q236" s="1" t="s">
        <v>61</v>
      </c>
      <c r="R236" s="1">
        <f t="shared" si="1"/>
        <v>0.004401116474</v>
      </c>
      <c r="S236" s="1">
        <f t="shared" si="2"/>
        <v>-115</v>
      </c>
      <c r="T236" s="1">
        <f t="shared" si="3"/>
        <v>1.869565217</v>
      </c>
      <c r="U236" s="1">
        <f t="shared" si="4"/>
        <v>0</v>
      </c>
      <c r="V236" s="3">
        <f t="shared" si="5"/>
        <v>1</v>
      </c>
      <c r="W236" s="3">
        <f t="shared" si="6"/>
        <v>2</v>
      </c>
      <c r="X236" s="3" t="str">
        <f>IFERROR(__xludf.DUMMYFUNCTION("split(B236,"" "")"),"J.")</f>
        <v>J.</v>
      </c>
      <c r="Y236" s="3" t="str">
        <f>IFERROR(__xludf.DUMMYFUNCTION("""COMPUTED_VALUE"""),"Downs")</f>
        <v>Downs</v>
      </c>
      <c r="AA236" s="8">
        <v>60.0</v>
      </c>
      <c r="AB236" s="3">
        <f t="shared" si="7"/>
        <v>0</v>
      </c>
      <c r="AC236" s="3">
        <f t="shared" si="8"/>
        <v>1</v>
      </c>
      <c r="AD236" s="3">
        <f t="shared" si="9"/>
        <v>0.8695652174</v>
      </c>
      <c r="AE236" s="3">
        <f t="shared" si="10"/>
        <v>0.8695652174</v>
      </c>
      <c r="AF236" s="3">
        <f t="shared" si="11"/>
        <v>1.739130435</v>
      </c>
      <c r="AG236" s="3">
        <f t="shared" si="12"/>
        <v>0.06976744186</v>
      </c>
    </row>
    <row r="237">
      <c r="A237" s="1" t="s">
        <v>16</v>
      </c>
      <c r="B237" s="1" t="s">
        <v>586</v>
      </c>
      <c r="C237" s="1" t="s">
        <v>21</v>
      </c>
      <c r="D237" s="1" t="s">
        <v>71</v>
      </c>
      <c r="E237" s="1" t="s">
        <v>146</v>
      </c>
      <c r="F237" s="1" t="s">
        <v>666</v>
      </c>
      <c r="G237" s="1">
        <v>36.5</v>
      </c>
      <c r="H237" s="1" t="s">
        <v>60</v>
      </c>
      <c r="I237" s="1">
        <v>-125.0</v>
      </c>
      <c r="J237" s="1">
        <v>-0.0735335009944445</v>
      </c>
      <c r="K237" s="1" t="s">
        <v>61</v>
      </c>
      <c r="L237" s="1" t="s">
        <v>61</v>
      </c>
      <c r="M237" s="1" t="s">
        <v>62</v>
      </c>
      <c r="N237" s="1">
        <v>-107.0</v>
      </c>
      <c r="O237" s="1">
        <v>0.00103347912560392</v>
      </c>
      <c r="P237" s="1" t="s">
        <v>61</v>
      </c>
      <c r="Q237" s="1" t="s">
        <v>61</v>
      </c>
      <c r="R237" s="1">
        <f t="shared" si="1"/>
        <v>0.001033479126</v>
      </c>
      <c r="S237" s="1">
        <f t="shared" si="2"/>
        <v>-107</v>
      </c>
      <c r="T237" s="1">
        <f t="shared" si="3"/>
        <v>1.934579439</v>
      </c>
      <c r="U237" s="1">
        <f t="shared" si="4"/>
        <v>0</v>
      </c>
      <c r="V237" s="3">
        <f t="shared" si="5"/>
        <v>1</v>
      </c>
      <c r="W237" s="3">
        <f t="shared" si="6"/>
        <v>2</v>
      </c>
      <c r="X237" s="3" t="str">
        <f>IFERROR(__xludf.DUMMYFUNCTION("split(B237,"" "")"),"J.")</f>
        <v>J.</v>
      </c>
      <c r="Y237" s="3" t="str">
        <f>IFERROR(__xludf.DUMMYFUNCTION("""COMPUTED_VALUE"""),"Flacco")</f>
        <v>Flacco</v>
      </c>
      <c r="AA237" s="8">
        <v>27.0</v>
      </c>
      <c r="AB237" s="3">
        <f t="shared" si="7"/>
        <v>0</v>
      </c>
      <c r="AC237" s="3">
        <f t="shared" si="8"/>
        <v>1</v>
      </c>
      <c r="AD237" s="3">
        <f t="shared" si="9"/>
        <v>0.9345794393</v>
      </c>
      <c r="AE237" s="3">
        <f t="shared" si="10"/>
        <v>0.9345794393</v>
      </c>
      <c r="AF237" s="3">
        <f t="shared" si="11"/>
        <v>1.869158879</v>
      </c>
      <c r="AG237" s="3">
        <f t="shared" si="12"/>
        <v>0.2602739726</v>
      </c>
    </row>
    <row r="238">
      <c r="A238" s="1" t="s">
        <v>10</v>
      </c>
      <c r="B238" s="1" t="s">
        <v>284</v>
      </c>
      <c r="C238" s="1" t="s">
        <v>18</v>
      </c>
      <c r="D238" s="1" t="s">
        <v>196</v>
      </c>
      <c r="E238" s="1" t="s">
        <v>82</v>
      </c>
      <c r="F238" s="1" t="s">
        <v>662</v>
      </c>
      <c r="G238" s="1">
        <v>0.5</v>
      </c>
      <c r="H238" s="1" t="s">
        <v>60</v>
      </c>
      <c r="I238" s="1">
        <v>1006.0</v>
      </c>
      <c r="J238" s="1">
        <v>0.522272761086776</v>
      </c>
      <c r="K238" s="1" t="s">
        <v>61</v>
      </c>
      <c r="L238" s="1" t="s">
        <v>61</v>
      </c>
      <c r="M238" s="1" t="s">
        <v>62</v>
      </c>
      <c r="N238" s="1">
        <v>-2828.0</v>
      </c>
      <c r="O238" s="1">
        <v>-0.578504040442748</v>
      </c>
      <c r="P238" s="1" t="s">
        <v>61</v>
      </c>
      <c r="Q238" s="1" t="s">
        <v>61</v>
      </c>
      <c r="R238" s="1">
        <f t="shared" si="1"/>
        <v>0.5222727611</v>
      </c>
      <c r="S238" s="1">
        <f t="shared" si="2"/>
        <v>1006</v>
      </c>
      <c r="T238" s="1">
        <f t="shared" si="3"/>
        <v>11.06</v>
      </c>
      <c r="U238" s="1">
        <f t="shared" si="4"/>
        <v>1</v>
      </c>
      <c r="V238" s="3">
        <f t="shared" si="5"/>
        <v>3</v>
      </c>
      <c r="W238" s="3">
        <f t="shared" si="6"/>
        <v>1</v>
      </c>
      <c r="X238" s="3" t="str">
        <f>IFERROR(__xludf.DUMMYFUNCTION("split(B238,"" "")"),"D.")</f>
        <v>D.</v>
      </c>
      <c r="Y238" s="3" t="str">
        <f>IFERROR(__xludf.DUMMYFUNCTION("""COMPUTED_VALUE"""),"Robinson")</f>
        <v>Robinson</v>
      </c>
      <c r="AA238" s="8">
        <v>0.0</v>
      </c>
      <c r="AB238" s="3">
        <f t="shared" si="7"/>
        <v>0</v>
      </c>
      <c r="AC238" s="3">
        <f t="shared" si="8"/>
        <v>0</v>
      </c>
      <c r="AD238" s="3">
        <f t="shared" si="9"/>
        <v>30.18</v>
      </c>
      <c r="AE238" s="3">
        <f t="shared" si="10"/>
        <v>0</v>
      </c>
      <c r="AF238" s="3">
        <f t="shared" si="11"/>
        <v>-1</v>
      </c>
      <c r="AG238" s="3">
        <f t="shared" si="12"/>
        <v>-1</v>
      </c>
    </row>
    <row r="239">
      <c r="A239" s="1" t="s">
        <v>10</v>
      </c>
      <c r="B239" s="1" t="s">
        <v>469</v>
      </c>
      <c r="C239" s="1" t="s">
        <v>18</v>
      </c>
      <c r="D239" s="1" t="s">
        <v>196</v>
      </c>
      <c r="E239" s="1" t="s">
        <v>82</v>
      </c>
      <c r="F239" s="1" t="s">
        <v>662</v>
      </c>
      <c r="G239" s="1">
        <v>0.5</v>
      </c>
      <c r="H239" s="1" t="s">
        <v>60</v>
      </c>
      <c r="I239" s="1">
        <v>298.0</v>
      </c>
      <c r="J239" s="1">
        <v>0.361522809827139</v>
      </c>
      <c r="K239" s="1" t="s">
        <v>61</v>
      </c>
      <c r="L239" s="1" t="s">
        <v>61</v>
      </c>
      <c r="M239" s="1" t="s">
        <v>62</v>
      </c>
      <c r="N239" s="1">
        <v>-427.0</v>
      </c>
      <c r="O239" s="1">
        <v>-0.422991196457617</v>
      </c>
      <c r="P239" s="1" t="s">
        <v>61</v>
      </c>
      <c r="Q239" s="1" t="s">
        <v>61</v>
      </c>
      <c r="R239" s="1">
        <f t="shared" si="1"/>
        <v>0.3615228098</v>
      </c>
      <c r="S239" s="1">
        <f t="shared" si="2"/>
        <v>298</v>
      </c>
      <c r="T239" s="1">
        <f t="shared" si="3"/>
        <v>3.98</v>
      </c>
      <c r="U239" s="1">
        <f t="shared" si="4"/>
        <v>1</v>
      </c>
      <c r="V239" s="3">
        <f t="shared" si="5"/>
        <v>3</v>
      </c>
      <c r="W239" s="3">
        <f t="shared" si="6"/>
        <v>1</v>
      </c>
      <c r="X239" s="3" t="str">
        <f>IFERROR(__xludf.DUMMYFUNCTION("split(B239,"" "")"),"C.")</f>
        <v>C.</v>
      </c>
      <c r="Y239" s="3" t="str">
        <f>IFERROR(__xludf.DUMMYFUNCTION("""COMPUTED_VALUE"""),"Kupp")</f>
        <v>Kupp</v>
      </c>
      <c r="AA239" s="8">
        <v>0.0</v>
      </c>
      <c r="AB239" s="3">
        <f t="shared" si="7"/>
        <v>0</v>
      </c>
      <c r="AC239" s="3">
        <f t="shared" si="8"/>
        <v>0</v>
      </c>
      <c r="AD239" s="3">
        <f t="shared" si="9"/>
        <v>8.94</v>
      </c>
      <c r="AE239" s="3">
        <f t="shared" si="10"/>
        <v>-3</v>
      </c>
      <c r="AF239" s="3">
        <f t="shared" si="11"/>
        <v>-1</v>
      </c>
      <c r="AG239" s="3">
        <f t="shared" si="12"/>
        <v>-1</v>
      </c>
    </row>
    <row r="240">
      <c r="A240" s="1" t="s">
        <v>12</v>
      </c>
      <c r="B240" s="1" t="s">
        <v>470</v>
      </c>
      <c r="C240" s="1" t="s">
        <v>20</v>
      </c>
      <c r="D240" s="1" t="s">
        <v>196</v>
      </c>
      <c r="E240" s="1" t="s">
        <v>82</v>
      </c>
      <c r="F240" s="1" t="s">
        <v>662</v>
      </c>
      <c r="G240" s="1">
        <v>2.5</v>
      </c>
      <c r="H240" s="1" t="s">
        <v>60</v>
      </c>
      <c r="I240" s="1">
        <v>-161.0</v>
      </c>
      <c r="J240" s="1">
        <v>-0.248594714980843</v>
      </c>
      <c r="K240" s="1" t="s">
        <v>61</v>
      </c>
      <c r="L240" s="1" t="s">
        <v>61</v>
      </c>
      <c r="M240" s="1" t="s">
        <v>62</v>
      </c>
      <c r="N240" s="1">
        <v>123.0</v>
      </c>
      <c r="O240" s="1">
        <v>0.183312200044843</v>
      </c>
      <c r="P240" s="1" t="s">
        <v>61</v>
      </c>
      <c r="Q240" s="1" t="s">
        <v>61</v>
      </c>
      <c r="R240" s="1">
        <f t="shared" si="1"/>
        <v>0.1833122</v>
      </c>
      <c r="S240" s="1">
        <f t="shared" si="2"/>
        <v>123</v>
      </c>
      <c r="T240" s="1">
        <f t="shared" si="3"/>
        <v>2.23</v>
      </c>
      <c r="U240" s="1">
        <f t="shared" si="4"/>
        <v>0</v>
      </c>
      <c r="V240" s="3">
        <f t="shared" si="5"/>
        <v>3</v>
      </c>
      <c r="W240" s="3">
        <f t="shared" si="6"/>
        <v>1</v>
      </c>
      <c r="X240" s="3" t="str">
        <f>IFERROR(__xludf.DUMMYFUNCTION("split(B240,"" "")"),"C.")</f>
        <v>C.</v>
      </c>
      <c r="Y240" s="3" t="str">
        <f>IFERROR(__xludf.DUMMYFUNCTION("""COMPUTED_VALUE"""),"Parkinson")</f>
        <v>Parkinson</v>
      </c>
      <c r="AA240" s="8">
        <v>0.0</v>
      </c>
      <c r="AB240" s="3">
        <f t="shared" si="7"/>
        <v>0</v>
      </c>
      <c r="AC240" s="3">
        <f t="shared" si="8"/>
        <v>1</v>
      </c>
      <c r="AD240" s="3">
        <f t="shared" si="9"/>
        <v>3.69</v>
      </c>
      <c r="AE240" s="3">
        <f t="shared" si="10"/>
        <v>3.69</v>
      </c>
      <c r="AF240" s="3">
        <f t="shared" si="11"/>
        <v>1.23</v>
      </c>
      <c r="AG240" s="3">
        <f t="shared" si="12"/>
        <v>1</v>
      </c>
    </row>
    <row r="241">
      <c r="A241" s="1" t="s">
        <v>12</v>
      </c>
      <c r="B241" s="1" t="s">
        <v>469</v>
      </c>
      <c r="C241" s="1" t="s">
        <v>18</v>
      </c>
      <c r="D241" s="1" t="s">
        <v>196</v>
      </c>
      <c r="E241" s="1" t="s">
        <v>82</v>
      </c>
      <c r="F241" s="1" t="s">
        <v>662</v>
      </c>
      <c r="G241" s="1">
        <v>6.5</v>
      </c>
      <c r="H241" s="1" t="s">
        <v>60</v>
      </c>
      <c r="I241" s="1">
        <v>119.0</v>
      </c>
      <c r="J241" s="1">
        <v>0.17777899543379</v>
      </c>
      <c r="K241" s="1" t="s">
        <v>61</v>
      </c>
      <c r="L241" s="1" t="s">
        <v>61</v>
      </c>
      <c r="M241" s="1" t="s">
        <v>62</v>
      </c>
      <c r="N241" s="1">
        <v>-156.0</v>
      </c>
      <c r="O241" s="1">
        <v>-0.243775</v>
      </c>
      <c r="P241" s="1" t="s">
        <v>61</v>
      </c>
      <c r="Q241" s="1" t="s">
        <v>61</v>
      </c>
      <c r="R241" s="1">
        <f t="shared" si="1"/>
        <v>0.1777789954</v>
      </c>
      <c r="S241" s="1">
        <f t="shared" si="2"/>
        <v>119</v>
      </c>
      <c r="T241" s="1">
        <f t="shared" si="3"/>
        <v>2.19</v>
      </c>
      <c r="U241" s="1">
        <f t="shared" si="4"/>
        <v>1</v>
      </c>
      <c r="V241" s="3">
        <f t="shared" si="5"/>
        <v>3</v>
      </c>
      <c r="W241" s="3">
        <f t="shared" si="6"/>
        <v>1</v>
      </c>
      <c r="X241" s="3" t="str">
        <f>IFERROR(__xludf.DUMMYFUNCTION("split(B241,"" "")"),"C.")</f>
        <v>C.</v>
      </c>
      <c r="Y241" s="3" t="str">
        <f>IFERROR(__xludf.DUMMYFUNCTION("""COMPUTED_VALUE"""),"Kupp")</f>
        <v>Kupp</v>
      </c>
      <c r="AA241" s="8">
        <v>11.0</v>
      </c>
      <c r="AB241" s="3">
        <f t="shared" si="7"/>
        <v>1</v>
      </c>
      <c r="AC241" s="3">
        <f t="shared" si="8"/>
        <v>1</v>
      </c>
      <c r="AD241" s="3">
        <f t="shared" si="9"/>
        <v>3.57</v>
      </c>
      <c r="AE241" s="3">
        <f t="shared" si="10"/>
        <v>3.57</v>
      </c>
      <c r="AF241" s="3">
        <f t="shared" si="11"/>
        <v>1.19</v>
      </c>
      <c r="AG241" s="3">
        <f t="shared" si="12"/>
        <v>0.6923076923</v>
      </c>
    </row>
    <row r="242">
      <c r="A242" s="1" t="s">
        <v>12</v>
      </c>
      <c r="B242" s="1" t="s">
        <v>368</v>
      </c>
      <c r="C242" s="1" t="s">
        <v>19</v>
      </c>
      <c r="D242" s="1" t="s">
        <v>196</v>
      </c>
      <c r="E242" s="1" t="s">
        <v>82</v>
      </c>
      <c r="F242" s="1" t="s">
        <v>662</v>
      </c>
      <c r="G242" s="1">
        <v>2.5</v>
      </c>
      <c r="H242" s="1" t="s">
        <v>60</v>
      </c>
      <c r="I242" s="1">
        <v>-119.0</v>
      </c>
      <c r="J242" s="1">
        <v>-0.200977339817351</v>
      </c>
      <c r="K242" s="1" t="s">
        <v>61</v>
      </c>
      <c r="L242" s="1" t="s">
        <v>61</v>
      </c>
      <c r="M242" s="1" t="s">
        <v>62</v>
      </c>
      <c r="N242" s="1">
        <v>-111.0</v>
      </c>
      <c r="O242" s="1">
        <v>0.131531741877725</v>
      </c>
      <c r="P242" s="1" t="s">
        <v>61</v>
      </c>
      <c r="Q242" s="1" t="s">
        <v>61</v>
      </c>
      <c r="R242" s="1">
        <f t="shared" si="1"/>
        <v>0.1315317419</v>
      </c>
      <c r="S242" s="1">
        <f t="shared" si="2"/>
        <v>-111</v>
      </c>
      <c r="T242" s="1">
        <f t="shared" si="3"/>
        <v>1.900900901</v>
      </c>
      <c r="U242" s="1">
        <f t="shared" si="4"/>
        <v>0</v>
      </c>
      <c r="V242" s="3">
        <f t="shared" si="5"/>
        <v>3</v>
      </c>
      <c r="W242" s="3">
        <f t="shared" si="6"/>
        <v>2</v>
      </c>
      <c r="X242" s="3" t="str">
        <f>IFERROR(__xludf.DUMMYFUNCTION("split(B242,"" "")"),"K.")</f>
        <v>K.</v>
      </c>
      <c r="Y242" s="3" t="str">
        <f>IFERROR(__xludf.DUMMYFUNCTION("""COMPUTED_VALUE"""),"Williams")</f>
        <v>Williams</v>
      </c>
      <c r="AA242" s="8">
        <v>1.0</v>
      </c>
      <c r="AB242" s="3">
        <f t="shared" si="7"/>
        <v>0</v>
      </c>
      <c r="AC242" s="3">
        <f t="shared" si="8"/>
        <v>1</v>
      </c>
      <c r="AD242" s="3">
        <f t="shared" si="9"/>
        <v>2.702702703</v>
      </c>
      <c r="AE242" s="3">
        <f t="shared" si="10"/>
        <v>2.702702703</v>
      </c>
      <c r="AF242" s="3">
        <f t="shared" si="11"/>
        <v>1.801801802</v>
      </c>
      <c r="AG242" s="3">
        <f t="shared" si="12"/>
        <v>0.6</v>
      </c>
    </row>
    <row r="243">
      <c r="A243" s="1" t="s">
        <v>12</v>
      </c>
      <c r="B243" s="1" t="s">
        <v>397</v>
      </c>
      <c r="C243" s="1" t="s">
        <v>18</v>
      </c>
      <c r="D243" s="1" t="s">
        <v>196</v>
      </c>
      <c r="E243" s="1" t="s">
        <v>82</v>
      </c>
      <c r="F243" s="1" t="s">
        <v>662</v>
      </c>
      <c r="G243" s="1">
        <v>5.5</v>
      </c>
      <c r="H243" s="1" t="s">
        <v>60</v>
      </c>
      <c r="I243" s="1">
        <v>-101.0</v>
      </c>
      <c r="J243" s="1">
        <v>0.0871626865671642</v>
      </c>
      <c r="K243" s="1" t="s">
        <v>61</v>
      </c>
      <c r="L243" s="1" t="s">
        <v>61</v>
      </c>
      <c r="M243" s="1" t="s">
        <v>62</v>
      </c>
      <c r="N243" s="1">
        <v>-130.0</v>
      </c>
      <c r="O243" s="1">
        <v>-0.154860869565217</v>
      </c>
      <c r="P243" s="1" t="s">
        <v>61</v>
      </c>
      <c r="Q243" s="1" t="s">
        <v>61</v>
      </c>
      <c r="R243" s="1">
        <f t="shared" si="1"/>
        <v>0.08716268657</v>
      </c>
      <c r="S243" s="1">
        <f t="shared" si="2"/>
        <v>-101</v>
      </c>
      <c r="T243" s="1">
        <f t="shared" si="3"/>
        <v>1.99009901</v>
      </c>
      <c r="U243" s="1">
        <f t="shared" si="4"/>
        <v>1</v>
      </c>
      <c r="V243" s="3">
        <f t="shared" si="5"/>
        <v>2</v>
      </c>
      <c r="W243" s="3">
        <f t="shared" si="6"/>
        <v>2</v>
      </c>
      <c r="X243" s="3" t="str">
        <f>IFERROR(__xludf.DUMMYFUNCTION("split(B243,"" "")"),"P.")</f>
        <v>P.</v>
      </c>
      <c r="Y243" s="3" t="str">
        <f>IFERROR(__xludf.DUMMYFUNCTION("""COMPUTED_VALUE"""),"Nacua")</f>
        <v>Nacua</v>
      </c>
      <c r="AA243" s="8">
        <v>1.0</v>
      </c>
      <c r="AB243" s="3">
        <f t="shared" si="7"/>
        <v>0</v>
      </c>
      <c r="AC243" s="3">
        <f t="shared" si="8"/>
        <v>0</v>
      </c>
      <c r="AD243" s="3">
        <f t="shared" si="9"/>
        <v>1.98019802</v>
      </c>
      <c r="AE243" s="3">
        <f t="shared" si="10"/>
        <v>-2</v>
      </c>
      <c r="AF243" s="3">
        <f t="shared" si="11"/>
        <v>-2</v>
      </c>
      <c r="AG243" s="3">
        <f t="shared" si="12"/>
        <v>-0.8181818182</v>
      </c>
    </row>
    <row r="244">
      <c r="A244" s="1" t="s">
        <v>10</v>
      </c>
      <c r="B244" s="1" t="s">
        <v>397</v>
      </c>
      <c r="C244" s="1" t="s">
        <v>18</v>
      </c>
      <c r="D244" s="1" t="s">
        <v>196</v>
      </c>
      <c r="E244" s="1" t="s">
        <v>82</v>
      </c>
      <c r="F244" s="1" t="s">
        <v>662</v>
      </c>
      <c r="G244" s="1">
        <v>1.5</v>
      </c>
      <c r="H244" s="1" t="s">
        <v>60</v>
      </c>
      <c r="I244" s="1">
        <v>-109.0</v>
      </c>
      <c r="J244" s="1">
        <v>0.0672408511667542</v>
      </c>
      <c r="K244" s="1" t="s">
        <v>61</v>
      </c>
      <c r="L244" s="1" t="s">
        <v>61</v>
      </c>
      <c r="M244" s="1" t="s">
        <v>62</v>
      </c>
      <c r="N244" s="1">
        <v>-116.0</v>
      </c>
      <c r="O244" s="1">
        <v>-0.125781187740206</v>
      </c>
      <c r="P244" s="1" t="s">
        <v>61</v>
      </c>
      <c r="Q244" s="1" t="s">
        <v>61</v>
      </c>
      <c r="R244" s="1">
        <f t="shared" si="1"/>
        <v>0.06724085117</v>
      </c>
      <c r="S244" s="1">
        <f t="shared" si="2"/>
        <v>-109</v>
      </c>
      <c r="T244" s="1">
        <f t="shared" si="3"/>
        <v>1.917431193</v>
      </c>
      <c r="U244" s="1">
        <f t="shared" si="4"/>
        <v>1</v>
      </c>
      <c r="V244" s="3">
        <f t="shared" si="5"/>
        <v>2</v>
      </c>
      <c r="W244" s="3">
        <f t="shared" si="6"/>
        <v>2</v>
      </c>
      <c r="X244" s="3" t="str">
        <f>IFERROR(__xludf.DUMMYFUNCTION("split(B244,"" "")"),"P.")</f>
        <v>P.</v>
      </c>
      <c r="Y244" s="3" t="str">
        <f>IFERROR(__xludf.DUMMYFUNCTION("""COMPUTED_VALUE"""),"Nacua")</f>
        <v>Nacua</v>
      </c>
      <c r="AA244" s="8">
        <v>0.0</v>
      </c>
      <c r="AB244" s="3">
        <f t="shared" si="7"/>
        <v>0</v>
      </c>
      <c r="AC244" s="3">
        <f t="shared" si="8"/>
        <v>0</v>
      </c>
      <c r="AD244" s="3">
        <f t="shared" si="9"/>
        <v>1.834862385</v>
      </c>
      <c r="AE244" s="3">
        <f t="shared" si="10"/>
        <v>-2</v>
      </c>
      <c r="AF244" s="3">
        <f t="shared" si="11"/>
        <v>-2</v>
      </c>
      <c r="AG244" s="3">
        <f t="shared" si="12"/>
        <v>-1</v>
      </c>
    </row>
    <row r="245">
      <c r="A245" s="1" t="s">
        <v>12</v>
      </c>
      <c r="B245" s="1" t="s">
        <v>284</v>
      </c>
      <c r="C245" s="1" t="s">
        <v>18</v>
      </c>
      <c r="D245" s="1" t="s">
        <v>196</v>
      </c>
      <c r="E245" s="1" t="s">
        <v>82</v>
      </c>
      <c r="F245" s="1" t="s">
        <v>662</v>
      </c>
      <c r="G245" s="1">
        <v>2.5</v>
      </c>
      <c r="H245" s="1" t="s">
        <v>60</v>
      </c>
      <c r="I245" s="1">
        <v>132.0</v>
      </c>
      <c r="J245" s="1">
        <v>-0.118470649777586</v>
      </c>
      <c r="K245" s="1" t="s">
        <v>61</v>
      </c>
      <c r="L245" s="1" t="s">
        <v>61</v>
      </c>
      <c r="M245" s="1" t="s">
        <v>62</v>
      </c>
      <c r="N245" s="1">
        <v>-174.0</v>
      </c>
      <c r="O245" s="1">
        <v>0.052392258079562</v>
      </c>
      <c r="P245" s="1" t="s">
        <v>61</v>
      </c>
      <c r="Q245" s="1" t="s">
        <v>61</v>
      </c>
      <c r="R245" s="1">
        <f t="shared" si="1"/>
        <v>0.05239225808</v>
      </c>
      <c r="S245" s="1">
        <f t="shared" si="2"/>
        <v>-174</v>
      </c>
      <c r="T245" s="1">
        <f t="shared" si="3"/>
        <v>1.574712644</v>
      </c>
      <c r="U245" s="1">
        <f t="shared" si="4"/>
        <v>0</v>
      </c>
      <c r="V245" s="3">
        <f t="shared" si="5"/>
        <v>2</v>
      </c>
      <c r="W245" s="3">
        <f t="shared" si="6"/>
        <v>3</v>
      </c>
      <c r="X245" s="3" t="str">
        <f>IFERROR(__xludf.DUMMYFUNCTION("split(B245,"" "")"),"D.")</f>
        <v>D.</v>
      </c>
      <c r="Y245" s="3" t="str">
        <f>IFERROR(__xludf.DUMMYFUNCTION("""COMPUTED_VALUE"""),"Robinson")</f>
        <v>Robinson</v>
      </c>
      <c r="AA245" s="8">
        <v>6.0</v>
      </c>
      <c r="AB245" s="3">
        <f t="shared" si="7"/>
        <v>1</v>
      </c>
      <c r="AC245" s="3">
        <f t="shared" si="8"/>
        <v>0</v>
      </c>
      <c r="AD245" s="3">
        <f t="shared" si="9"/>
        <v>1.149425287</v>
      </c>
      <c r="AE245" s="3">
        <f t="shared" si="10"/>
        <v>-2</v>
      </c>
      <c r="AF245" s="3">
        <f t="shared" si="11"/>
        <v>-3</v>
      </c>
      <c r="AG245" s="3">
        <f t="shared" si="12"/>
        <v>-1.4</v>
      </c>
    </row>
    <row r="246">
      <c r="A246" s="1" t="s">
        <v>8</v>
      </c>
      <c r="B246" s="1" t="s">
        <v>368</v>
      </c>
      <c r="C246" s="1" t="s">
        <v>19</v>
      </c>
      <c r="D246" s="1" t="s">
        <v>196</v>
      </c>
      <c r="E246" s="1" t="s">
        <v>82</v>
      </c>
      <c r="F246" s="1" t="s">
        <v>662</v>
      </c>
      <c r="G246" s="1">
        <v>20.5</v>
      </c>
      <c r="H246" s="1" t="s">
        <v>60</v>
      </c>
      <c r="I246" s="1">
        <v>100.0</v>
      </c>
      <c r="J246" s="1">
        <v>0.0341991023</v>
      </c>
      <c r="K246" s="1" t="s">
        <v>61</v>
      </c>
      <c r="L246" s="1" t="s">
        <v>61</v>
      </c>
      <c r="M246" s="1" t="s">
        <v>62</v>
      </c>
      <c r="N246" s="1">
        <v>-130.0</v>
      </c>
      <c r="O246" s="1">
        <v>-0.0994035672173914</v>
      </c>
      <c r="P246" s="1" t="s">
        <v>61</v>
      </c>
      <c r="Q246" s="1" t="s">
        <v>61</v>
      </c>
      <c r="R246" s="1">
        <f t="shared" si="1"/>
        <v>0.0341991023</v>
      </c>
      <c r="S246" s="1">
        <f t="shared" si="2"/>
        <v>100</v>
      </c>
      <c r="T246" s="1">
        <f t="shared" si="3"/>
        <v>2</v>
      </c>
      <c r="U246" s="1">
        <f t="shared" si="4"/>
        <v>1</v>
      </c>
      <c r="V246" s="3">
        <f t="shared" si="5"/>
        <v>1</v>
      </c>
      <c r="W246" s="3">
        <f t="shared" si="6"/>
        <v>2</v>
      </c>
      <c r="X246" s="3" t="str">
        <f>IFERROR(__xludf.DUMMYFUNCTION("split(B246,"" "")"),"K.")</f>
        <v>K.</v>
      </c>
      <c r="Y246" s="3" t="str">
        <f>IFERROR(__xludf.DUMMYFUNCTION("""COMPUTED_VALUE"""),"Williams")</f>
        <v>Williams</v>
      </c>
      <c r="AA246" s="8">
        <v>22.0</v>
      </c>
      <c r="AB246" s="3">
        <f t="shared" si="7"/>
        <v>1</v>
      </c>
      <c r="AC246" s="3">
        <f t="shared" si="8"/>
        <v>1</v>
      </c>
      <c r="AD246" s="3">
        <f t="shared" si="9"/>
        <v>1</v>
      </c>
      <c r="AE246" s="3">
        <f t="shared" si="10"/>
        <v>1</v>
      </c>
      <c r="AF246" s="3">
        <f t="shared" si="11"/>
        <v>2</v>
      </c>
      <c r="AG246" s="3">
        <f t="shared" si="12"/>
        <v>0.07317073171</v>
      </c>
    </row>
    <row r="247">
      <c r="A247" s="1" t="s">
        <v>17</v>
      </c>
      <c r="B247" s="1" t="s">
        <v>247</v>
      </c>
      <c r="C247" s="1" t="s">
        <v>21</v>
      </c>
      <c r="D247" s="1" t="s">
        <v>196</v>
      </c>
      <c r="E247" s="1" t="s">
        <v>82</v>
      </c>
      <c r="F247" s="1" t="s">
        <v>662</v>
      </c>
      <c r="G247" s="1">
        <v>0.5</v>
      </c>
      <c r="H247" s="1" t="s">
        <v>60</v>
      </c>
      <c r="I247" s="1">
        <v>-117.0</v>
      </c>
      <c r="J247" s="1">
        <v>-0.0953705069124424</v>
      </c>
      <c r="K247" s="1" t="s">
        <v>61</v>
      </c>
      <c r="L247" s="1" t="s">
        <v>61</v>
      </c>
      <c r="M247" s="1" t="s">
        <v>62</v>
      </c>
      <c r="N247" s="1">
        <v>-112.0</v>
      </c>
      <c r="O247" s="1">
        <v>0.0278981132075472</v>
      </c>
      <c r="P247" s="1" t="s">
        <v>61</v>
      </c>
      <c r="Q247" s="1" t="s">
        <v>61</v>
      </c>
      <c r="R247" s="1">
        <f t="shared" si="1"/>
        <v>0.02789811321</v>
      </c>
      <c r="S247" s="1">
        <f t="shared" si="2"/>
        <v>-112</v>
      </c>
      <c r="T247" s="1">
        <f t="shared" si="3"/>
        <v>1.892857143</v>
      </c>
      <c r="U247" s="1">
        <f t="shared" si="4"/>
        <v>0</v>
      </c>
      <c r="V247" s="3">
        <f t="shared" si="5"/>
        <v>1</v>
      </c>
      <c r="W247" s="3">
        <f t="shared" si="6"/>
        <v>2</v>
      </c>
      <c r="X247" s="3" t="str">
        <f>IFERROR(__xludf.DUMMYFUNCTION("split(B247,"" "")"),"M.")</f>
        <v>M.</v>
      </c>
      <c r="Y247" s="3" t="str">
        <f>IFERROR(__xludf.DUMMYFUNCTION("""COMPUTED_VALUE"""),"Stafford")</f>
        <v>Stafford</v>
      </c>
      <c r="AA247" s="8">
        <v>1.0</v>
      </c>
      <c r="AB247" s="3">
        <f t="shared" si="7"/>
        <v>1</v>
      </c>
      <c r="AC247" s="3">
        <f t="shared" si="8"/>
        <v>0</v>
      </c>
      <c r="AD247" s="3">
        <f t="shared" si="9"/>
        <v>0.8928571429</v>
      </c>
      <c r="AE247" s="3">
        <f t="shared" si="10"/>
        <v>-1</v>
      </c>
      <c r="AF247" s="3">
        <f t="shared" si="11"/>
        <v>-2</v>
      </c>
      <c r="AG247" s="3">
        <f t="shared" si="12"/>
        <v>-1</v>
      </c>
    </row>
    <row r="248">
      <c r="A248" s="1" t="s">
        <v>9</v>
      </c>
      <c r="B248" s="1" t="s">
        <v>284</v>
      </c>
      <c r="C248" s="1" t="s">
        <v>18</v>
      </c>
      <c r="D248" s="1" t="s">
        <v>196</v>
      </c>
      <c r="E248" s="1" t="s">
        <v>82</v>
      </c>
      <c r="F248" s="1" t="s">
        <v>662</v>
      </c>
      <c r="G248" s="1">
        <v>26.5</v>
      </c>
      <c r="H248" s="1" t="s">
        <v>60</v>
      </c>
      <c r="I248" s="1">
        <v>-117.0</v>
      </c>
      <c r="J248" s="1">
        <v>0.0277005138494603</v>
      </c>
      <c r="K248" s="1" t="s">
        <v>61</v>
      </c>
      <c r="L248" s="1" t="s">
        <v>61</v>
      </c>
      <c r="M248" s="1" t="s">
        <v>62</v>
      </c>
      <c r="N248" s="1">
        <v>-115.0</v>
      </c>
      <c r="O248" s="1">
        <v>-0.101701875493641</v>
      </c>
      <c r="P248" s="1" t="s">
        <v>61</v>
      </c>
      <c r="Q248" s="1" t="s">
        <v>61</v>
      </c>
      <c r="R248" s="1">
        <f t="shared" si="1"/>
        <v>0.02770051385</v>
      </c>
      <c r="S248" s="1">
        <f t="shared" si="2"/>
        <v>-117</v>
      </c>
      <c r="T248" s="1">
        <f t="shared" si="3"/>
        <v>1.854700855</v>
      </c>
      <c r="U248" s="1">
        <f t="shared" si="4"/>
        <v>1</v>
      </c>
      <c r="V248" s="3">
        <f t="shared" si="5"/>
        <v>1</v>
      </c>
      <c r="W248" s="3">
        <f t="shared" si="6"/>
        <v>2</v>
      </c>
      <c r="X248" s="3" t="str">
        <f>IFERROR(__xludf.DUMMYFUNCTION("split(B248,"" "")"),"D.")</f>
        <v>D.</v>
      </c>
      <c r="Y248" s="3" t="str">
        <f>IFERROR(__xludf.DUMMYFUNCTION("""COMPUTED_VALUE"""),"Robinson")</f>
        <v>Robinson</v>
      </c>
      <c r="AA248" s="8">
        <v>94.0</v>
      </c>
      <c r="AB248" s="3">
        <f t="shared" si="7"/>
        <v>1</v>
      </c>
      <c r="AC248" s="3">
        <f t="shared" si="8"/>
        <v>1</v>
      </c>
      <c r="AD248" s="3">
        <f t="shared" si="9"/>
        <v>0.8547008547</v>
      </c>
      <c r="AE248" s="3">
        <f t="shared" si="10"/>
        <v>0.8547008547</v>
      </c>
      <c r="AF248" s="3">
        <f t="shared" si="11"/>
        <v>1.709401709</v>
      </c>
      <c r="AG248" s="3">
        <f t="shared" si="12"/>
        <v>2.547169811</v>
      </c>
    </row>
    <row r="249">
      <c r="A249" s="1" t="s">
        <v>14</v>
      </c>
      <c r="B249" s="1" t="s">
        <v>247</v>
      </c>
      <c r="C249" s="1" t="s">
        <v>21</v>
      </c>
      <c r="D249" s="1" t="s">
        <v>196</v>
      </c>
      <c r="E249" s="1" t="s">
        <v>82</v>
      </c>
      <c r="F249" s="1" t="s">
        <v>662</v>
      </c>
      <c r="G249" s="1">
        <v>1.5</v>
      </c>
      <c r="H249" s="1" t="s">
        <v>60</v>
      </c>
      <c r="I249" s="1">
        <v>-116.0</v>
      </c>
      <c r="J249" s="1">
        <v>-0.0906907407407408</v>
      </c>
      <c r="K249" s="1" t="s">
        <v>61</v>
      </c>
      <c r="L249" s="1" t="s">
        <v>61</v>
      </c>
      <c r="M249" s="1" t="s">
        <v>62</v>
      </c>
      <c r="N249" s="1">
        <v>-113.0</v>
      </c>
      <c r="O249" s="1">
        <v>0.0231305164319248</v>
      </c>
      <c r="P249" s="1" t="s">
        <v>61</v>
      </c>
      <c r="Q249" s="1" t="s">
        <v>61</v>
      </c>
      <c r="R249" s="1">
        <f t="shared" si="1"/>
        <v>0.02313051643</v>
      </c>
      <c r="S249" s="1">
        <f t="shared" si="2"/>
        <v>-113</v>
      </c>
      <c r="T249" s="1">
        <f t="shared" si="3"/>
        <v>1.884955752</v>
      </c>
      <c r="U249" s="1">
        <f t="shared" si="4"/>
        <v>0</v>
      </c>
      <c r="V249" s="3">
        <f t="shared" si="5"/>
        <v>1</v>
      </c>
      <c r="W249" s="3">
        <f t="shared" si="6"/>
        <v>2</v>
      </c>
      <c r="X249" s="3" t="str">
        <f>IFERROR(__xludf.DUMMYFUNCTION("split(B249,"" "")"),"M.")</f>
        <v>M.</v>
      </c>
      <c r="Y249" s="3" t="str">
        <f>IFERROR(__xludf.DUMMYFUNCTION("""COMPUTED_VALUE"""),"Stafford")</f>
        <v>Stafford</v>
      </c>
      <c r="AA249" s="8">
        <v>2.0</v>
      </c>
      <c r="AB249" s="3">
        <f t="shared" si="7"/>
        <v>1</v>
      </c>
      <c r="AC249" s="3">
        <f t="shared" si="8"/>
        <v>0</v>
      </c>
      <c r="AD249" s="3">
        <f t="shared" si="9"/>
        <v>0.8849557522</v>
      </c>
      <c r="AE249" s="3">
        <f t="shared" si="10"/>
        <v>-1</v>
      </c>
      <c r="AF249" s="3">
        <f t="shared" si="11"/>
        <v>-2</v>
      </c>
      <c r="AG249" s="3">
        <f t="shared" si="12"/>
        <v>-0.3333333333</v>
      </c>
    </row>
    <row r="250">
      <c r="A250" s="1" t="s">
        <v>15</v>
      </c>
      <c r="B250" s="1" t="s">
        <v>247</v>
      </c>
      <c r="C250" s="1" t="s">
        <v>21</v>
      </c>
      <c r="D250" s="1" t="s">
        <v>196</v>
      </c>
      <c r="E250" s="1" t="s">
        <v>82</v>
      </c>
      <c r="F250" s="1" t="s">
        <v>662</v>
      </c>
      <c r="G250" s="1">
        <v>22.5</v>
      </c>
      <c r="H250" s="1" t="s">
        <v>60</v>
      </c>
      <c r="I250" s="1">
        <v>-110.0</v>
      </c>
      <c r="J250" s="1">
        <v>0.0229428571428571</v>
      </c>
      <c r="K250" s="1" t="s">
        <v>61</v>
      </c>
      <c r="L250" s="1" t="s">
        <v>61</v>
      </c>
      <c r="M250" s="1" t="s">
        <v>62</v>
      </c>
      <c r="N250" s="1">
        <v>-120.0</v>
      </c>
      <c r="O250" s="1">
        <v>-0.0921999999999999</v>
      </c>
      <c r="P250" s="1" t="s">
        <v>61</v>
      </c>
      <c r="Q250" s="1" t="s">
        <v>61</v>
      </c>
      <c r="R250" s="1">
        <f t="shared" si="1"/>
        <v>0.02294285714</v>
      </c>
      <c r="S250" s="1">
        <f t="shared" si="2"/>
        <v>-110</v>
      </c>
      <c r="T250" s="1">
        <f t="shared" si="3"/>
        <v>1.909090909</v>
      </c>
      <c r="U250" s="1">
        <f t="shared" si="4"/>
        <v>1</v>
      </c>
      <c r="V250" s="3">
        <f t="shared" si="5"/>
        <v>1</v>
      </c>
      <c r="W250" s="3">
        <f t="shared" si="6"/>
        <v>2</v>
      </c>
      <c r="X250" s="3" t="str">
        <f>IFERROR(__xludf.DUMMYFUNCTION("split(B250,"" "")"),"M.")</f>
        <v>M.</v>
      </c>
      <c r="Y250" s="3" t="str">
        <f>IFERROR(__xludf.DUMMYFUNCTION("""COMPUTED_VALUE"""),"Stafford")</f>
        <v>Stafford</v>
      </c>
      <c r="AA250" s="8">
        <v>25.0</v>
      </c>
      <c r="AB250" s="3">
        <f t="shared" si="7"/>
        <v>1</v>
      </c>
      <c r="AC250" s="3">
        <f t="shared" si="8"/>
        <v>1</v>
      </c>
      <c r="AD250" s="3">
        <f t="shared" si="9"/>
        <v>0.9090909091</v>
      </c>
      <c r="AE250" s="3">
        <f t="shared" si="10"/>
        <v>0.9090909091</v>
      </c>
      <c r="AF250" s="3">
        <f t="shared" si="11"/>
        <v>1.818181818</v>
      </c>
      <c r="AG250" s="3">
        <f t="shared" si="12"/>
        <v>0.1111111111</v>
      </c>
    </row>
    <row r="251">
      <c r="A251" s="1" t="s">
        <v>11</v>
      </c>
      <c r="B251" s="1" t="s">
        <v>284</v>
      </c>
      <c r="C251" s="1" t="s">
        <v>18</v>
      </c>
      <c r="D251" s="1" t="s">
        <v>196</v>
      </c>
      <c r="E251" s="1" t="s">
        <v>82</v>
      </c>
      <c r="F251" s="1" t="s">
        <v>662</v>
      </c>
      <c r="G251" s="1">
        <v>25.5</v>
      </c>
      <c r="H251" s="1" t="s">
        <v>60</v>
      </c>
      <c r="I251" s="1">
        <v>-116.0</v>
      </c>
      <c r="J251" s="1">
        <v>-0.0900842715301852</v>
      </c>
      <c r="K251" s="1" t="s">
        <v>61</v>
      </c>
      <c r="L251" s="1" t="s">
        <v>61</v>
      </c>
      <c r="M251" s="1" t="s">
        <v>62</v>
      </c>
      <c r="N251" s="1">
        <v>-113.0</v>
      </c>
      <c r="O251" s="1">
        <v>0.0225814694605052</v>
      </c>
      <c r="P251" s="1" t="s">
        <v>61</v>
      </c>
      <c r="Q251" s="1" t="s">
        <v>61</v>
      </c>
      <c r="R251" s="1">
        <f t="shared" si="1"/>
        <v>0.02258146946</v>
      </c>
      <c r="S251" s="1">
        <f t="shared" si="2"/>
        <v>-113</v>
      </c>
      <c r="T251" s="1">
        <f t="shared" si="3"/>
        <v>1.884955752</v>
      </c>
      <c r="U251" s="1">
        <f t="shared" si="4"/>
        <v>0</v>
      </c>
      <c r="V251" s="3">
        <f t="shared" si="5"/>
        <v>1</v>
      </c>
      <c r="W251" s="3">
        <f t="shared" si="6"/>
        <v>2</v>
      </c>
      <c r="X251" s="3" t="str">
        <f>IFERROR(__xludf.DUMMYFUNCTION("split(B251,"" "")"),"D.")</f>
        <v>D.</v>
      </c>
      <c r="Y251" s="3" t="str">
        <f>IFERROR(__xludf.DUMMYFUNCTION("""COMPUTED_VALUE"""),"Robinson")</f>
        <v>Robinson</v>
      </c>
      <c r="AA251" s="8">
        <v>94.0</v>
      </c>
      <c r="AB251" s="3">
        <f t="shared" si="7"/>
        <v>1</v>
      </c>
      <c r="AC251" s="3">
        <f t="shared" si="8"/>
        <v>0</v>
      </c>
      <c r="AD251" s="3">
        <f t="shared" si="9"/>
        <v>0.8849557522</v>
      </c>
      <c r="AE251" s="3">
        <f t="shared" si="10"/>
        <v>-1</v>
      </c>
      <c r="AF251" s="3">
        <f t="shared" si="11"/>
        <v>-2</v>
      </c>
      <c r="AG251" s="3">
        <f t="shared" si="12"/>
        <v>-2.68627451</v>
      </c>
    </row>
    <row r="252">
      <c r="A252" s="1" t="s">
        <v>10</v>
      </c>
      <c r="B252" s="1" t="s">
        <v>368</v>
      </c>
      <c r="C252" s="1" t="s">
        <v>19</v>
      </c>
      <c r="D252" s="1" t="s">
        <v>196</v>
      </c>
      <c r="E252" s="1" t="s">
        <v>82</v>
      </c>
      <c r="F252" s="1" t="s">
        <v>662</v>
      </c>
      <c r="G252" s="1">
        <v>92.5</v>
      </c>
      <c r="H252" s="1" t="s">
        <v>60</v>
      </c>
      <c r="I252" s="1">
        <v>-115.0</v>
      </c>
      <c r="J252" s="1">
        <v>-0.0889183150517077</v>
      </c>
      <c r="K252" s="1" t="s">
        <v>61</v>
      </c>
      <c r="L252" s="1" t="s">
        <v>61</v>
      </c>
      <c r="M252" s="1" t="s">
        <v>62</v>
      </c>
      <c r="N252" s="1">
        <v>-114.0</v>
      </c>
      <c r="O252" s="1">
        <v>0.0212692371452742</v>
      </c>
      <c r="P252" s="1" t="s">
        <v>61</v>
      </c>
      <c r="Q252" s="1" t="s">
        <v>61</v>
      </c>
      <c r="R252" s="1">
        <f t="shared" si="1"/>
        <v>0.02126923715</v>
      </c>
      <c r="S252" s="1">
        <f t="shared" si="2"/>
        <v>-114</v>
      </c>
      <c r="T252" s="1">
        <f t="shared" si="3"/>
        <v>1.877192982</v>
      </c>
      <c r="U252" s="1">
        <f t="shared" si="4"/>
        <v>0</v>
      </c>
      <c r="V252" s="3">
        <f t="shared" si="5"/>
        <v>1</v>
      </c>
      <c r="W252" s="3">
        <f t="shared" si="6"/>
        <v>2</v>
      </c>
      <c r="X252" s="3" t="str">
        <f>IFERROR(__xludf.DUMMYFUNCTION("split(B252,"" "")"),"K.")</f>
        <v>K.</v>
      </c>
      <c r="Y252" s="3" t="str">
        <f>IFERROR(__xludf.DUMMYFUNCTION("""COMPUTED_VALUE"""),"Williams")</f>
        <v>Williams</v>
      </c>
      <c r="AA252" s="8">
        <v>69.0</v>
      </c>
      <c r="AB252" s="3">
        <f t="shared" si="7"/>
        <v>0</v>
      </c>
      <c r="AC252" s="3">
        <f t="shared" si="8"/>
        <v>1</v>
      </c>
      <c r="AD252" s="3">
        <f t="shared" si="9"/>
        <v>0.8771929825</v>
      </c>
      <c r="AE252" s="3">
        <f t="shared" si="10"/>
        <v>0.8771929825</v>
      </c>
      <c r="AF252" s="3">
        <f t="shared" si="11"/>
        <v>1.754385965</v>
      </c>
      <c r="AG252" s="3">
        <f t="shared" si="12"/>
        <v>0.2540540541</v>
      </c>
    </row>
    <row r="253">
      <c r="A253" s="1" t="s">
        <v>9</v>
      </c>
      <c r="B253" s="1" t="s">
        <v>368</v>
      </c>
      <c r="C253" s="1" t="s">
        <v>19</v>
      </c>
      <c r="D253" s="1" t="s">
        <v>196</v>
      </c>
      <c r="E253" s="1" t="s">
        <v>82</v>
      </c>
      <c r="F253" s="1" t="s">
        <v>662</v>
      </c>
      <c r="G253" s="1">
        <v>112.5</v>
      </c>
      <c r="H253" s="1" t="s">
        <v>60</v>
      </c>
      <c r="I253" s="1">
        <v>-115.0</v>
      </c>
      <c r="J253" s="1">
        <v>-0.0925307614274406</v>
      </c>
      <c r="K253" s="1" t="s">
        <v>61</v>
      </c>
      <c r="L253" s="1" t="s">
        <v>61</v>
      </c>
      <c r="M253" s="1" t="s">
        <v>62</v>
      </c>
      <c r="N253" s="1">
        <v>-117.0</v>
      </c>
      <c r="O253" s="1">
        <v>0.0184680253793374</v>
      </c>
      <c r="P253" s="1" t="s">
        <v>61</v>
      </c>
      <c r="Q253" s="1" t="s">
        <v>61</v>
      </c>
      <c r="R253" s="1">
        <f t="shared" si="1"/>
        <v>0.01846802538</v>
      </c>
      <c r="S253" s="1">
        <f t="shared" si="2"/>
        <v>-117</v>
      </c>
      <c r="T253" s="1">
        <f t="shared" si="3"/>
        <v>1.854700855</v>
      </c>
      <c r="U253" s="1">
        <f t="shared" si="4"/>
        <v>0</v>
      </c>
      <c r="V253" s="3">
        <f t="shared" si="5"/>
        <v>1</v>
      </c>
      <c r="W253" s="3">
        <f t="shared" si="6"/>
        <v>2</v>
      </c>
      <c r="X253" s="3" t="str">
        <f>IFERROR(__xludf.DUMMYFUNCTION("split(B253,"" "")"),"K.")</f>
        <v>K.</v>
      </c>
      <c r="Y253" s="3" t="str">
        <f>IFERROR(__xludf.DUMMYFUNCTION("""COMPUTED_VALUE"""),"Williams")</f>
        <v>Williams</v>
      </c>
      <c r="AA253" s="8">
        <v>95.0</v>
      </c>
      <c r="AB253" s="3">
        <f t="shared" si="7"/>
        <v>0</v>
      </c>
      <c r="AC253" s="3">
        <f t="shared" si="8"/>
        <v>1</v>
      </c>
      <c r="AD253" s="3">
        <f t="shared" si="9"/>
        <v>0.8547008547</v>
      </c>
      <c r="AE253" s="3">
        <f t="shared" si="10"/>
        <v>0.8547008547</v>
      </c>
      <c r="AF253" s="3">
        <f t="shared" si="11"/>
        <v>1.709401709</v>
      </c>
      <c r="AG253" s="3">
        <f t="shared" si="12"/>
        <v>0.1555555556</v>
      </c>
    </row>
    <row r="254">
      <c r="A254" s="1" t="s">
        <v>11</v>
      </c>
      <c r="B254" s="1" t="s">
        <v>470</v>
      </c>
      <c r="C254" s="1" t="s">
        <v>20</v>
      </c>
      <c r="D254" s="1" t="s">
        <v>196</v>
      </c>
      <c r="E254" s="1" t="s">
        <v>82</v>
      </c>
      <c r="F254" s="1" t="s">
        <v>662</v>
      </c>
      <c r="G254" s="1">
        <v>25.5</v>
      </c>
      <c r="H254" s="1" t="s">
        <v>60</v>
      </c>
      <c r="I254" s="1">
        <v>-115.0</v>
      </c>
      <c r="J254" s="1">
        <v>-0.0732223565811906</v>
      </c>
      <c r="K254" s="1" t="s">
        <v>61</v>
      </c>
      <c r="L254" s="1" t="s">
        <v>61</v>
      </c>
      <c r="M254" s="1" t="s">
        <v>62</v>
      </c>
      <c r="N254" s="1">
        <v>-114.0</v>
      </c>
      <c r="O254" s="1">
        <v>0.00569210092546657</v>
      </c>
      <c r="P254" s="1" t="s">
        <v>61</v>
      </c>
      <c r="Q254" s="1" t="s">
        <v>61</v>
      </c>
      <c r="R254" s="1">
        <f t="shared" si="1"/>
        <v>0.005692100925</v>
      </c>
      <c r="S254" s="1">
        <f t="shared" si="2"/>
        <v>-114</v>
      </c>
      <c r="T254" s="1">
        <f t="shared" si="3"/>
        <v>1.877192982</v>
      </c>
      <c r="U254" s="1">
        <f t="shared" si="4"/>
        <v>0</v>
      </c>
      <c r="V254" s="3">
        <f t="shared" si="5"/>
        <v>1</v>
      </c>
      <c r="W254" s="3">
        <f t="shared" si="6"/>
        <v>2</v>
      </c>
      <c r="X254" s="3" t="str">
        <f>IFERROR(__xludf.DUMMYFUNCTION("split(B254,"" "")"),"C.")</f>
        <v>C.</v>
      </c>
      <c r="Y254" s="3" t="str">
        <f>IFERROR(__xludf.DUMMYFUNCTION("""COMPUTED_VALUE"""),"Parkinson")</f>
        <v>Parkinson</v>
      </c>
      <c r="AA254" s="8">
        <v>0.0</v>
      </c>
      <c r="AB254" s="3">
        <f t="shared" si="7"/>
        <v>0</v>
      </c>
      <c r="AC254" s="3">
        <f t="shared" si="8"/>
        <v>1</v>
      </c>
      <c r="AD254" s="3">
        <f t="shared" si="9"/>
        <v>0.8771929825</v>
      </c>
      <c r="AE254" s="3">
        <f t="shared" si="10"/>
        <v>0.8771929825</v>
      </c>
      <c r="AF254" s="3">
        <f t="shared" si="11"/>
        <v>1.754385965</v>
      </c>
      <c r="AG254" s="3">
        <f t="shared" si="12"/>
        <v>1</v>
      </c>
    </row>
    <row r="255">
      <c r="A255" s="1" t="s">
        <v>12</v>
      </c>
      <c r="B255" s="1" t="s">
        <v>506</v>
      </c>
      <c r="C255" s="1" t="s">
        <v>18</v>
      </c>
      <c r="D255" s="1" t="s">
        <v>135</v>
      </c>
      <c r="E255" s="1" t="s">
        <v>89</v>
      </c>
      <c r="F255" s="1" t="s">
        <v>658</v>
      </c>
      <c r="G255" s="1">
        <v>2.5</v>
      </c>
      <c r="H255" s="1" t="s">
        <v>60</v>
      </c>
      <c r="I255" s="1">
        <v>-170.0</v>
      </c>
      <c r="J255" s="1">
        <v>-0.300928477259259</v>
      </c>
      <c r="K255" s="1" t="s">
        <v>61</v>
      </c>
      <c r="L255" s="1" t="s">
        <v>61</v>
      </c>
      <c r="M255" s="1" t="s">
        <v>62</v>
      </c>
      <c r="N255" s="1">
        <v>128.0</v>
      </c>
      <c r="O255" s="1">
        <v>0.232702144122807</v>
      </c>
      <c r="P255" s="1" t="s">
        <v>61</v>
      </c>
      <c r="Q255" s="1" t="s">
        <v>61</v>
      </c>
      <c r="R255" s="1">
        <f t="shared" si="1"/>
        <v>0.2327021441</v>
      </c>
      <c r="S255" s="1">
        <f t="shared" si="2"/>
        <v>128</v>
      </c>
      <c r="T255" s="1">
        <f t="shared" si="3"/>
        <v>2.28</v>
      </c>
      <c r="U255" s="1">
        <f t="shared" si="4"/>
        <v>0</v>
      </c>
      <c r="V255" s="3">
        <f t="shared" si="5"/>
        <v>3</v>
      </c>
      <c r="W255" s="3">
        <f t="shared" si="6"/>
        <v>1</v>
      </c>
      <c r="X255" s="3" t="str">
        <f>IFERROR(__xludf.DUMMYFUNCTION("split(B255,"" "")"),"Q.")</f>
        <v>Q.</v>
      </c>
      <c r="Y255" s="3" t="str">
        <f>IFERROR(__xludf.DUMMYFUNCTION("""COMPUTED_VALUE"""),"Johnston")</f>
        <v>Johnston</v>
      </c>
      <c r="AA255" s="8">
        <v>4.0</v>
      </c>
      <c r="AB255" s="3">
        <f t="shared" si="7"/>
        <v>1</v>
      </c>
      <c r="AC255" s="3">
        <f t="shared" si="8"/>
        <v>0</v>
      </c>
      <c r="AD255" s="3">
        <f t="shared" si="9"/>
        <v>3.84</v>
      </c>
      <c r="AE255" s="3">
        <f t="shared" si="10"/>
        <v>-3</v>
      </c>
      <c r="AF255" s="3">
        <f t="shared" si="11"/>
        <v>-1</v>
      </c>
      <c r="AG255" s="3">
        <f t="shared" si="12"/>
        <v>-0.6</v>
      </c>
    </row>
    <row r="256">
      <c r="A256" s="1" t="s">
        <v>12</v>
      </c>
      <c r="B256" s="1" t="s">
        <v>471</v>
      </c>
      <c r="C256" s="1" t="s">
        <v>20</v>
      </c>
      <c r="D256" s="1" t="s">
        <v>135</v>
      </c>
      <c r="E256" s="1" t="s">
        <v>89</v>
      </c>
      <c r="F256" s="1" t="s">
        <v>658</v>
      </c>
      <c r="G256" s="1">
        <v>2.5</v>
      </c>
      <c r="H256" s="1" t="s">
        <v>60</v>
      </c>
      <c r="I256" s="1">
        <v>-165.0</v>
      </c>
      <c r="J256" s="1">
        <v>-0.27801557845283</v>
      </c>
      <c r="K256" s="1" t="s">
        <v>61</v>
      </c>
      <c r="L256" s="1" t="s">
        <v>61</v>
      </c>
      <c r="M256" s="1" t="s">
        <v>62</v>
      </c>
      <c r="N256" s="1">
        <v>125.0</v>
      </c>
      <c r="O256" s="1">
        <v>0.2109427924</v>
      </c>
      <c r="P256" s="1" t="s">
        <v>61</v>
      </c>
      <c r="Q256" s="1" t="s">
        <v>61</v>
      </c>
      <c r="R256" s="1">
        <f t="shared" si="1"/>
        <v>0.2109427924</v>
      </c>
      <c r="S256" s="1">
        <f t="shared" si="2"/>
        <v>125</v>
      </c>
      <c r="T256" s="1">
        <f t="shared" si="3"/>
        <v>2.25</v>
      </c>
      <c r="U256" s="1">
        <f t="shared" si="4"/>
        <v>0</v>
      </c>
      <c r="V256" s="3">
        <f t="shared" si="5"/>
        <v>3</v>
      </c>
      <c r="W256" s="3">
        <f t="shared" si="6"/>
        <v>1</v>
      </c>
      <c r="X256" s="3" t="str">
        <f>IFERROR(__xludf.DUMMYFUNCTION("split(B256,"" "")"),"W.")</f>
        <v>W.</v>
      </c>
      <c r="Y256" s="3" t="str">
        <f>IFERROR(__xludf.DUMMYFUNCTION("""COMPUTED_VALUE"""),"Dissly")</f>
        <v>Dissly</v>
      </c>
      <c r="AA256" s="8">
        <v>2.0</v>
      </c>
      <c r="AB256" s="3">
        <f t="shared" si="7"/>
        <v>0</v>
      </c>
      <c r="AC256" s="3">
        <f t="shared" si="8"/>
        <v>1</v>
      </c>
      <c r="AD256" s="3">
        <f t="shared" si="9"/>
        <v>3.75</v>
      </c>
      <c r="AE256" s="3">
        <f t="shared" si="10"/>
        <v>3.75</v>
      </c>
      <c r="AF256" s="3">
        <f t="shared" si="11"/>
        <v>1.25</v>
      </c>
      <c r="AG256" s="3">
        <f t="shared" si="12"/>
        <v>0.2</v>
      </c>
    </row>
    <row r="257">
      <c r="A257" s="1" t="s">
        <v>12</v>
      </c>
      <c r="B257" s="1" t="s">
        <v>381</v>
      </c>
      <c r="C257" s="1" t="s">
        <v>18</v>
      </c>
      <c r="D257" s="1" t="s">
        <v>135</v>
      </c>
      <c r="E257" s="1" t="s">
        <v>89</v>
      </c>
      <c r="F257" s="1" t="s">
        <v>658</v>
      </c>
      <c r="G257" s="1">
        <v>2.5</v>
      </c>
      <c r="H257" s="1" t="s">
        <v>60</v>
      </c>
      <c r="I257" s="1">
        <v>-111.0</v>
      </c>
      <c r="J257" s="1">
        <v>-0.188064714597156</v>
      </c>
      <c r="K257" s="1" t="s">
        <v>61</v>
      </c>
      <c r="L257" s="1" t="s">
        <v>61</v>
      </c>
      <c r="M257" s="1" t="s">
        <v>62</v>
      </c>
      <c r="N257" s="1">
        <v>-119.0</v>
      </c>
      <c r="O257" s="1">
        <v>0.118619128713242</v>
      </c>
      <c r="P257" s="1" t="s">
        <v>61</v>
      </c>
      <c r="Q257" s="1" t="s">
        <v>61</v>
      </c>
      <c r="R257" s="1">
        <f t="shared" si="1"/>
        <v>0.1186191287</v>
      </c>
      <c r="S257" s="1">
        <f t="shared" si="2"/>
        <v>-119</v>
      </c>
      <c r="T257" s="1">
        <f t="shared" si="3"/>
        <v>1.840336134</v>
      </c>
      <c r="U257" s="1">
        <f t="shared" si="4"/>
        <v>0</v>
      </c>
      <c r="V257" s="3">
        <f t="shared" si="5"/>
        <v>3</v>
      </c>
      <c r="W257" s="3">
        <f t="shared" si="6"/>
        <v>3</v>
      </c>
      <c r="X257" s="3" t="str">
        <f>IFERROR(__xludf.DUMMYFUNCTION("split(B257,"" "")"),"J.")</f>
        <v>J.</v>
      </c>
      <c r="Y257" s="3" t="str">
        <f>IFERROR(__xludf.DUMMYFUNCTION("""COMPUTED_VALUE"""),"Palmer")</f>
        <v>Palmer</v>
      </c>
      <c r="AA257" s="8">
        <v>2.0</v>
      </c>
      <c r="AB257" s="3">
        <f t="shared" si="7"/>
        <v>0</v>
      </c>
      <c r="AC257" s="3">
        <f t="shared" si="8"/>
        <v>1</v>
      </c>
      <c r="AD257" s="3">
        <f t="shared" si="9"/>
        <v>2.521008403</v>
      </c>
      <c r="AE257" s="3">
        <f t="shared" si="10"/>
        <v>2.521008403</v>
      </c>
      <c r="AF257" s="3">
        <f t="shared" si="11"/>
        <v>2.521008403</v>
      </c>
      <c r="AG257" s="3">
        <f t="shared" si="12"/>
        <v>0.2</v>
      </c>
    </row>
    <row r="258">
      <c r="A258" s="1" t="s">
        <v>11</v>
      </c>
      <c r="B258" s="1" t="s">
        <v>646</v>
      </c>
      <c r="C258" s="1" t="s">
        <v>19</v>
      </c>
      <c r="D258" s="1" t="s">
        <v>135</v>
      </c>
      <c r="E258" s="1" t="s">
        <v>89</v>
      </c>
      <c r="F258" s="1" t="s">
        <v>658</v>
      </c>
      <c r="G258" s="1">
        <v>2.5</v>
      </c>
      <c r="H258" s="1" t="s">
        <v>60</v>
      </c>
      <c r="I258" s="1">
        <v>-119.0</v>
      </c>
      <c r="J258" s="1">
        <v>0.117637419209848</v>
      </c>
      <c r="K258" s="1" t="s">
        <v>61</v>
      </c>
      <c r="L258" s="1" t="s">
        <v>61</v>
      </c>
      <c r="M258" s="1" t="s">
        <v>62</v>
      </c>
      <c r="N258" s="1">
        <v>-108.0</v>
      </c>
      <c r="O258" s="1">
        <v>-0.180222011497659</v>
      </c>
      <c r="P258" s="1" t="s">
        <v>61</v>
      </c>
      <c r="Q258" s="1" t="s">
        <v>61</v>
      </c>
      <c r="R258" s="1">
        <f t="shared" si="1"/>
        <v>0.1176374192</v>
      </c>
      <c r="S258" s="1">
        <f t="shared" si="2"/>
        <v>-119</v>
      </c>
      <c r="T258" s="1">
        <f t="shared" si="3"/>
        <v>1.840336134</v>
      </c>
      <c r="U258" s="1">
        <f t="shared" si="4"/>
        <v>1</v>
      </c>
      <c r="V258" s="3">
        <f t="shared" si="5"/>
        <v>3</v>
      </c>
      <c r="W258" s="3">
        <f t="shared" si="6"/>
        <v>3</v>
      </c>
      <c r="X258" s="3" t="str">
        <f>IFERROR(__xludf.DUMMYFUNCTION("split(B258,"" "")"),"K.")</f>
        <v>K.</v>
      </c>
      <c r="Y258" s="3" t="str">
        <f>IFERROR(__xludf.DUMMYFUNCTION("""COMPUTED_VALUE"""),"Vidal")</f>
        <v>Vidal</v>
      </c>
      <c r="AA258" s="8">
        <v>0.0</v>
      </c>
      <c r="AB258" s="3">
        <f t="shared" si="7"/>
        <v>0</v>
      </c>
      <c r="AC258" s="3">
        <f t="shared" si="8"/>
        <v>0</v>
      </c>
      <c r="AD258" s="3">
        <f t="shared" si="9"/>
        <v>2.521008403</v>
      </c>
      <c r="AE258" s="3">
        <f t="shared" si="10"/>
        <v>-3</v>
      </c>
      <c r="AF258" s="3">
        <f t="shared" si="11"/>
        <v>-3</v>
      </c>
      <c r="AG258" s="3">
        <f t="shared" si="12"/>
        <v>-1</v>
      </c>
    </row>
    <row r="259">
      <c r="A259" s="1" t="s">
        <v>12</v>
      </c>
      <c r="B259" s="1" t="s">
        <v>485</v>
      </c>
      <c r="C259" s="1" t="s">
        <v>19</v>
      </c>
      <c r="D259" s="1" t="s">
        <v>135</v>
      </c>
      <c r="E259" s="1" t="s">
        <v>89</v>
      </c>
      <c r="F259" s="1" t="s">
        <v>658</v>
      </c>
      <c r="G259" s="1">
        <v>2.5</v>
      </c>
      <c r="H259" s="1" t="s">
        <v>60</v>
      </c>
      <c r="I259" s="1">
        <v>-123.0</v>
      </c>
      <c r="J259" s="1">
        <v>-0.163611712421524</v>
      </c>
      <c r="K259" s="1" t="s">
        <v>61</v>
      </c>
      <c r="L259" s="1" t="s">
        <v>61</v>
      </c>
      <c r="M259" s="1" t="s">
        <v>62</v>
      </c>
      <c r="N259" s="1">
        <v>-107.0</v>
      </c>
      <c r="O259" s="1">
        <v>0.095140438168599</v>
      </c>
      <c r="P259" s="1" t="s">
        <v>61</v>
      </c>
      <c r="Q259" s="1" t="s">
        <v>61</v>
      </c>
      <c r="R259" s="1">
        <f t="shared" si="1"/>
        <v>0.09514043817</v>
      </c>
      <c r="S259" s="1">
        <f t="shared" si="2"/>
        <v>-107</v>
      </c>
      <c r="T259" s="1">
        <f t="shared" si="3"/>
        <v>1.934579439</v>
      </c>
      <c r="U259" s="1">
        <f t="shared" si="4"/>
        <v>0</v>
      </c>
      <c r="V259" s="3">
        <f t="shared" si="5"/>
        <v>2</v>
      </c>
      <c r="W259" s="3">
        <f t="shared" si="6"/>
        <v>2</v>
      </c>
      <c r="X259" s="3" t="str">
        <f>IFERROR(__xludf.DUMMYFUNCTION("split(B259,"" "")"),"J.")</f>
        <v>J.</v>
      </c>
      <c r="Y259" s="3" t="str">
        <f>IFERROR(__xludf.DUMMYFUNCTION("""COMPUTED_VALUE"""),"Dobbins")</f>
        <v>Dobbins</v>
      </c>
      <c r="AA259" s="8">
        <v>2.0</v>
      </c>
      <c r="AB259" s="3">
        <f t="shared" si="7"/>
        <v>0</v>
      </c>
      <c r="AC259" s="3">
        <f t="shared" si="8"/>
        <v>1</v>
      </c>
      <c r="AD259" s="3">
        <f t="shared" si="9"/>
        <v>1.869158879</v>
      </c>
      <c r="AE259" s="3">
        <f t="shared" si="10"/>
        <v>1.869158879</v>
      </c>
      <c r="AF259" s="3">
        <f t="shared" si="11"/>
        <v>1.869158879</v>
      </c>
      <c r="AG259" s="3">
        <f t="shared" si="12"/>
        <v>0.2</v>
      </c>
    </row>
    <row r="260">
      <c r="A260" s="1" t="s">
        <v>9</v>
      </c>
      <c r="B260" s="1" t="s">
        <v>646</v>
      </c>
      <c r="C260" s="1" t="s">
        <v>19</v>
      </c>
      <c r="D260" s="1" t="s">
        <v>135</v>
      </c>
      <c r="E260" s="1" t="s">
        <v>89</v>
      </c>
      <c r="F260" s="1" t="s">
        <v>658</v>
      </c>
      <c r="G260" s="1">
        <v>22.5</v>
      </c>
      <c r="H260" s="1" t="s">
        <v>60</v>
      </c>
      <c r="I260" s="1">
        <v>-118.0</v>
      </c>
      <c r="J260" s="1">
        <v>0.0940502778189403</v>
      </c>
      <c r="K260" s="1" t="s">
        <v>61</v>
      </c>
      <c r="L260" s="1" t="s">
        <v>61</v>
      </c>
      <c r="M260" s="1" t="s">
        <v>62</v>
      </c>
      <c r="N260" s="1">
        <v>-115.0</v>
      </c>
      <c r="O260" s="1">
        <v>-0.170141137903294</v>
      </c>
      <c r="P260" s="1" t="s">
        <v>61</v>
      </c>
      <c r="Q260" s="1" t="s">
        <v>61</v>
      </c>
      <c r="R260" s="1">
        <f t="shared" si="1"/>
        <v>0.09405027782</v>
      </c>
      <c r="S260" s="1">
        <f t="shared" si="2"/>
        <v>-118</v>
      </c>
      <c r="T260" s="1">
        <f t="shared" si="3"/>
        <v>1.847457627</v>
      </c>
      <c r="U260" s="1">
        <f t="shared" si="4"/>
        <v>1</v>
      </c>
      <c r="V260" s="3">
        <f t="shared" si="5"/>
        <v>2</v>
      </c>
      <c r="W260" s="3">
        <f t="shared" si="6"/>
        <v>3</v>
      </c>
      <c r="X260" s="3" t="str">
        <f>IFERROR(__xludf.DUMMYFUNCTION("split(B260,"" "")"),"K.")</f>
        <v>K.</v>
      </c>
      <c r="Y260" s="3" t="str">
        <f>IFERROR(__xludf.DUMMYFUNCTION("""COMPUTED_VALUE"""),"Vidal")</f>
        <v>Vidal</v>
      </c>
      <c r="AA260" s="8">
        <v>7.0</v>
      </c>
      <c r="AB260" s="3">
        <f t="shared" si="7"/>
        <v>0</v>
      </c>
      <c r="AC260" s="3">
        <f t="shared" si="8"/>
        <v>0</v>
      </c>
      <c r="AD260" s="3">
        <f t="shared" si="9"/>
        <v>1.694915254</v>
      </c>
      <c r="AE260" s="3">
        <f t="shared" si="10"/>
        <v>-2</v>
      </c>
      <c r="AF260" s="3">
        <f t="shared" si="11"/>
        <v>-3</v>
      </c>
      <c r="AG260" s="3">
        <f t="shared" si="12"/>
        <v>-0.6888888889</v>
      </c>
    </row>
    <row r="261">
      <c r="A261" s="1" t="s">
        <v>8</v>
      </c>
      <c r="B261" s="1" t="s">
        <v>646</v>
      </c>
      <c r="C261" s="1" t="s">
        <v>19</v>
      </c>
      <c r="D261" s="1" t="s">
        <v>135</v>
      </c>
      <c r="E261" s="1" t="s">
        <v>89</v>
      </c>
      <c r="F261" s="1" t="s">
        <v>658</v>
      </c>
      <c r="G261" s="1">
        <v>4.5</v>
      </c>
      <c r="H261" s="1" t="s">
        <v>60</v>
      </c>
      <c r="I261" s="1">
        <v>-120.0</v>
      </c>
      <c r="J261" s="1">
        <v>-0.13488839425675</v>
      </c>
      <c r="K261" s="1" t="s">
        <v>61</v>
      </c>
      <c r="L261" s="1" t="s">
        <v>61</v>
      </c>
      <c r="M261" s="1" t="s">
        <v>62</v>
      </c>
      <c r="N261" s="1">
        <v>-110.0</v>
      </c>
      <c r="O261" s="1">
        <v>0.0656294829053983</v>
      </c>
      <c r="P261" s="1" t="s">
        <v>61</v>
      </c>
      <c r="Q261" s="1" t="s">
        <v>61</v>
      </c>
      <c r="R261" s="1">
        <f t="shared" si="1"/>
        <v>0.06562948291</v>
      </c>
      <c r="S261" s="1">
        <f t="shared" si="2"/>
        <v>-110</v>
      </c>
      <c r="T261" s="1">
        <f t="shared" si="3"/>
        <v>1.909090909</v>
      </c>
      <c r="U261" s="1">
        <f t="shared" si="4"/>
        <v>0</v>
      </c>
      <c r="V261" s="3">
        <f t="shared" si="5"/>
        <v>2</v>
      </c>
      <c r="W261" s="3">
        <f t="shared" si="6"/>
        <v>2</v>
      </c>
      <c r="X261" s="3" t="str">
        <f>IFERROR(__xludf.DUMMYFUNCTION("split(B261,"" "")"),"K.")</f>
        <v>K.</v>
      </c>
      <c r="Y261" s="3" t="str">
        <f>IFERROR(__xludf.DUMMYFUNCTION("""COMPUTED_VALUE"""),"Vidal")</f>
        <v>Vidal</v>
      </c>
      <c r="AA261" s="8">
        <v>5.0</v>
      </c>
      <c r="AB261" s="3">
        <f t="shared" si="7"/>
        <v>1</v>
      </c>
      <c r="AC261" s="3">
        <f t="shared" si="8"/>
        <v>0</v>
      </c>
      <c r="AD261" s="3">
        <f t="shared" si="9"/>
        <v>1.818181818</v>
      </c>
      <c r="AE261" s="3">
        <f t="shared" si="10"/>
        <v>-2</v>
      </c>
      <c r="AF261" s="3">
        <f t="shared" si="11"/>
        <v>-2</v>
      </c>
      <c r="AG261" s="3">
        <f t="shared" si="12"/>
        <v>-0.1111111111</v>
      </c>
    </row>
    <row r="262">
      <c r="A262" s="1" t="s">
        <v>17</v>
      </c>
      <c r="B262" s="1" t="s">
        <v>405</v>
      </c>
      <c r="C262" s="1" t="s">
        <v>21</v>
      </c>
      <c r="D262" s="1" t="s">
        <v>135</v>
      </c>
      <c r="E262" s="1" t="s">
        <v>89</v>
      </c>
      <c r="F262" s="1" t="s">
        <v>658</v>
      </c>
      <c r="G262" s="1">
        <v>0.5</v>
      </c>
      <c r="H262" s="1" t="s">
        <v>60</v>
      </c>
      <c r="I262" s="1">
        <v>-121.0</v>
      </c>
      <c r="J262" s="1">
        <v>-0.114556561085972</v>
      </c>
      <c r="K262" s="1" t="s">
        <v>61</v>
      </c>
      <c r="L262" s="1" t="s">
        <v>61</v>
      </c>
      <c r="M262" s="1" t="s">
        <v>62</v>
      </c>
      <c r="N262" s="1">
        <v>-108.0</v>
      </c>
      <c r="O262" s="1">
        <v>0.0478211538461538</v>
      </c>
      <c r="P262" s="1" t="s">
        <v>61</v>
      </c>
      <c r="Q262" s="1" t="s">
        <v>61</v>
      </c>
      <c r="R262" s="1">
        <f t="shared" si="1"/>
        <v>0.04782115385</v>
      </c>
      <c r="S262" s="1">
        <f t="shared" si="2"/>
        <v>-108</v>
      </c>
      <c r="T262" s="1">
        <f t="shared" si="3"/>
        <v>1.925925926</v>
      </c>
      <c r="U262" s="1">
        <f t="shared" si="4"/>
        <v>0</v>
      </c>
      <c r="V262" s="3">
        <f t="shared" si="5"/>
        <v>1</v>
      </c>
      <c r="W262" s="3">
        <f t="shared" si="6"/>
        <v>2</v>
      </c>
      <c r="X262" s="3" t="str">
        <f>IFERROR(__xludf.DUMMYFUNCTION("split(B262,"" "")"),"J.")</f>
        <v>J.</v>
      </c>
      <c r="Y262" s="3" t="str">
        <f>IFERROR(__xludf.DUMMYFUNCTION("""COMPUTED_VALUE"""),"Herbert")</f>
        <v>Herbert</v>
      </c>
      <c r="AA262" s="8">
        <v>0.0</v>
      </c>
      <c r="AB262" s="3">
        <f t="shared" si="7"/>
        <v>0</v>
      </c>
      <c r="AC262" s="3">
        <f t="shared" si="8"/>
        <v>1</v>
      </c>
      <c r="AD262" s="3">
        <f t="shared" si="9"/>
        <v>0.9259259259</v>
      </c>
      <c r="AE262" s="3">
        <f t="shared" si="10"/>
        <v>0.9259259259</v>
      </c>
      <c r="AF262" s="3">
        <f t="shared" si="11"/>
        <v>1.851851852</v>
      </c>
      <c r="AG262" s="3">
        <f t="shared" si="12"/>
        <v>1</v>
      </c>
    </row>
    <row r="263">
      <c r="A263" s="1" t="s">
        <v>8</v>
      </c>
      <c r="B263" s="1" t="s">
        <v>405</v>
      </c>
      <c r="C263" s="1" t="s">
        <v>21</v>
      </c>
      <c r="D263" s="1" t="s">
        <v>135</v>
      </c>
      <c r="E263" s="1" t="s">
        <v>89</v>
      </c>
      <c r="F263" s="1" t="s">
        <v>658</v>
      </c>
      <c r="G263" s="1">
        <v>3.5</v>
      </c>
      <c r="H263" s="1" t="s">
        <v>60</v>
      </c>
      <c r="I263" s="1">
        <v>125.0</v>
      </c>
      <c r="J263" s="1">
        <v>-0.114182100687078</v>
      </c>
      <c r="K263" s="1" t="s">
        <v>61</v>
      </c>
      <c r="L263" s="1" t="s">
        <v>61</v>
      </c>
      <c r="M263" s="1" t="s">
        <v>62</v>
      </c>
      <c r="N263" s="1">
        <v>-165.0</v>
      </c>
      <c r="O263" s="1">
        <v>0.0470886185058955</v>
      </c>
      <c r="P263" s="1" t="s">
        <v>61</v>
      </c>
      <c r="Q263" s="1" t="s">
        <v>61</v>
      </c>
      <c r="R263" s="1">
        <f t="shared" si="1"/>
        <v>0.04708861851</v>
      </c>
      <c r="S263" s="1">
        <f t="shared" si="2"/>
        <v>-165</v>
      </c>
      <c r="T263" s="1">
        <f t="shared" si="3"/>
        <v>1.606060606</v>
      </c>
      <c r="U263" s="1">
        <f t="shared" si="4"/>
        <v>0</v>
      </c>
      <c r="V263" s="3">
        <f t="shared" si="5"/>
        <v>1</v>
      </c>
      <c r="W263" s="3">
        <f t="shared" si="6"/>
        <v>3</v>
      </c>
      <c r="X263" s="3" t="str">
        <f>IFERROR(__xludf.DUMMYFUNCTION("split(B263,"" "")"),"J.")</f>
        <v>J.</v>
      </c>
      <c r="Y263" s="3" t="str">
        <f>IFERROR(__xludf.DUMMYFUNCTION("""COMPUTED_VALUE"""),"Herbert")</f>
        <v>Herbert</v>
      </c>
      <c r="AA263" s="8">
        <v>3.0</v>
      </c>
      <c r="AB263" s="3">
        <f t="shared" si="7"/>
        <v>0</v>
      </c>
      <c r="AC263" s="3">
        <f t="shared" si="8"/>
        <v>1</v>
      </c>
      <c r="AD263" s="3">
        <f t="shared" si="9"/>
        <v>0.6060606061</v>
      </c>
      <c r="AE263" s="3">
        <f t="shared" si="10"/>
        <v>0.6060606061</v>
      </c>
      <c r="AF263" s="3">
        <f t="shared" si="11"/>
        <v>1.818181818</v>
      </c>
      <c r="AG263" s="3">
        <f t="shared" si="12"/>
        <v>0.1428571429</v>
      </c>
    </row>
    <row r="264">
      <c r="A264" s="1" t="s">
        <v>12</v>
      </c>
      <c r="B264" s="1" t="s">
        <v>545</v>
      </c>
      <c r="C264" s="1" t="s">
        <v>20</v>
      </c>
      <c r="D264" s="1" t="s">
        <v>135</v>
      </c>
      <c r="E264" s="1" t="s">
        <v>89</v>
      </c>
      <c r="F264" s="1" t="s">
        <v>658</v>
      </c>
      <c r="G264" s="1">
        <v>1.5</v>
      </c>
      <c r="H264" s="1" t="s">
        <v>60</v>
      </c>
      <c r="I264" s="1">
        <v>-115.0</v>
      </c>
      <c r="J264" s="1">
        <v>-0.113675044716279</v>
      </c>
      <c r="K264" s="1" t="s">
        <v>61</v>
      </c>
      <c r="L264" s="1" t="s">
        <v>61</v>
      </c>
      <c r="M264" s="1" t="s">
        <v>62</v>
      </c>
      <c r="N264" s="1">
        <v>-115.0</v>
      </c>
      <c r="O264" s="1">
        <v>0.0439213014237208</v>
      </c>
      <c r="P264" s="1" t="s">
        <v>61</v>
      </c>
      <c r="Q264" s="1" t="s">
        <v>61</v>
      </c>
      <c r="R264" s="1">
        <f t="shared" si="1"/>
        <v>0.04392130142</v>
      </c>
      <c r="S264" s="1">
        <f t="shared" si="2"/>
        <v>-115</v>
      </c>
      <c r="T264" s="1">
        <f t="shared" si="3"/>
        <v>1.869565217</v>
      </c>
      <c r="U264" s="1">
        <f t="shared" si="4"/>
        <v>0</v>
      </c>
      <c r="V264" s="3">
        <f t="shared" si="5"/>
        <v>1</v>
      </c>
      <c r="W264" s="3">
        <f t="shared" si="6"/>
        <v>2</v>
      </c>
      <c r="X264" s="3" t="str">
        <f>IFERROR(__xludf.DUMMYFUNCTION("split(B264,"" "")"),"H.")</f>
        <v>H.</v>
      </c>
      <c r="Y264" s="3" t="str">
        <f>IFERROR(__xludf.DUMMYFUNCTION("""COMPUTED_VALUE"""),"Hurst")</f>
        <v>Hurst</v>
      </c>
      <c r="AA264" s="8">
        <v>1.0</v>
      </c>
      <c r="AB264" s="3">
        <f t="shared" si="7"/>
        <v>0</v>
      </c>
      <c r="AC264" s="3">
        <f t="shared" si="8"/>
        <v>1</v>
      </c>
      <c r="AD264" s="3">
        <f t="shared" si="9"/>
        <v>0.8695652174</v>
      </c>
      <c r="AE264" s="3">
        <f t="shared" si="10"/>
        <v>0.8695652174</v>
      </c>
      <c r="AF264" s="3">
        <f t="shared" si="11"/>
        <v>1.739130435</v>
      </c>
      <c r="AG264" s="3">
        <f t="shared" si="12"/>
        <v>0.3333333333</v>
      </c>
    </row>
    <row r="265">
      <c r="A265" s="1" t="s">
        <v>11</v>
      </c>
      <c r="B265" s="1" t="s">
        <v>471</v>
      </c>
      <c r="C265" s="1" t="s">
        <v>20</v>
      </c>
      <c r="D265" s="1" t="s">
        <v>135</v>
      </c>
      <c r="E265" s="1" t="s">
        <v>89</v>
      </c>
      <c r="F265" s="1" t="s">
        <v>658</v>
      </c>
      <c r="G265" s="1">
        <v>25.5</v>
      </c>
      <c r="H265" s="1" t="s">
        <v>60</v>
      </c>
      <c r="I265" s="1">
        <v>-120.0</v>
      </c>
      <c r="J265" s="1">
        <v>-0.109352145078168</v>
      </c>
      <c r="K265" s="1" t="s">
        <v>61</v>
      </c>
      <c r="L265" s="1" t="s">
        <v>61</v>
      </c>
      <c r="M265" s="1" t="s">
        <v>62</v>
      </c>
      <c r="N265" s="1">
        <v>-109.0</v>
      </c>
      <c r="O265" s="1">
        <v>0.0424103559317929</v>
      </c>
      <c r="P265" s="1" t="s">
        <v>61</v>
      </c>
      <c r="Q265" s="1" t="s">
        <v>61</v>
      </c>
      <c r="R265" s="1">
        <f t="shared" si="1"/>
        <v>0.04241035593</v>
      </c>
      <c r="S265" s="1">
        <f t="shared" si="2"/>
        <v>-109</v>
      </c>
      <c r="T265" s="1">
        <f t="shared" si="3"/>
        <v>1.917431193</v>
      </c>
      <c r="U265" s="1">
        <f t="shared" si="4"/>
        <v>0</v>
      </c>
      <c r="V265" s="3">
        <f t="shared" si="5"/>
        <v>1</v>
      </c>
      <c r="W265" s="3">
        <f t="shared" si="6"/>
        <v>2</v>
      </c>
      <c r="X265" s="3" t="str">
        <f>IFERROR(__xludf.DUMMYFUNCTION("split(B265,"" "")"),"W.")</f>
        <v>W.</v>
      </c>
      <c r="Y265" s="3" t="str">
        <f>IFERROR(__xludf.DUMMYFUNCTION("""COMPUTED_VALUE"""),"Dissly")</f>
        <v>Dissly</v>
      </c>
      <c r="AA265" s="8">
        <v>9.0</v>
      </c>
      <c r="AB265" s="3">
        <f t="shared" si="7"/>
        <v>0</v>
      </c>
      <c r="AC265" s="3">
        <f t="shared" si="8"/>
        <v>1</v>
      </c>
      <c r="AD265" s="3">
        <f t="shared" si="9"/>
        <v>0.9174311927</v>
      </c>
      <c r="AE265" s="3">
        <f t="shared" si="10"/>
        <v>0.9174311927</v>
      </c>
      <c r="AF265" s="3">
        <f t="shared" si="11"/>
        <v>1.834862385</v>
      </c>
      <c r="AG265" s="3">
        <f t="shared" si="12"/>
        <v>0.6470588235</v>
      </c>
    </row>
    <row r="266">
      <c r="A266" s="1" t="s">
        <v>11</v>
      </c>
      <c r="B266" s="1" t="s">
        <v>381</v>
      </c>
      <c r="C266" s="1" t="s">
        <v>18</v>
      </c>
      <c r="D266" s="1" t="s">
        <v>135</v>
      </c>
      <c r="E266" s="1" t="s">
        <v>89</v>
      </c>
      <c r="F266" s="1" t="s">
        <v>658</v>
      </c>
      <c r="G266" s="1">
        <v>32.5</v>
      </c>
      <c r="H266" s="1" t="s">
        <v>60</v>
      </c>
      <c r="I266" s="1">
        <v>-113.0</v>
      </c>
      <c r="J266" s="1">
        <v>-0.107587731038169</v>
      </c>
      <c r="K266" s="1" t="s">
        <v>61</v>
      </c>
      <c r="L266" s="1" t="s">
        <v>61</v>
      </c>
      <c r="M266" s="1" t="s">
        <v>62</v>
      </c>
      <c r="N266" s="1">
        <v>-115.0</v>
      </c>
      <c r="O266" s="1">
        <v>0.0421966549433465</v>
      </c>
      <c r="P266" s="1" t="s">
        <v>61</v>
      </c>
      <c r="Q266" s="1" t="s">
        <v>61</v>
      </c>
      <c r="R266" s="1">
        <f t="shared" si="1"/>
        <v>0.04219665494</v>
      </c>
      <c r="S266" s="1">
        <f t="shared" si="2"/>
        <v>-115</v>
      </c>
      <c r="T266" s="1">
        <f t="shared" si="3"/>
        <v>1.869565217</v>
      </c>
      <c r="U266" s="1">
        <f t="shared" si="4"/>
        <v>0</v>
      </c>
      <c r="V266" s="3">
        <f t="shared" si="5"/>
        <v>1</v>
      </c>
      <c r="W266" s="3">
        <f t="shared" si="6"/>
        <v>2</v>
      </c>
      <c r="X266" s="3" t="str">
        <f>IFERROR(__xludf.DUMMYFUNCTION("split(B266,"" "")"),"J.")</f>
        <v>J.</v>
      </c>
      <c r="Y266" s="3" t="str">
        <f>IFERROR(__xludf.DUMMYFUNCTION("""COMPUTED_VALUE"""),"Palmer")</f>
        <v>Palmer</v>
      </c>
      <c r="AA266" s="8">
        <v>63.0</v>
      </c>
      <c r="AB266" s="3">
        <f t="shared" si="7"/>
        <v>1</v>
      </c>
      <c r="AC266" s="3">
        <f t="shared" si="8"/>
        <v>0</v>
      </c>
      <c r="AD266" s="3">
        <f t="shared" si="9"/>
        <v>0.8695652174</v>
      </c>
      <c r="AE266" s="3">
        <f t="shared" si="10"/>
        <v>-1</v>
      </c>
      <c r="AF266" s="3">
        <f t="shared" si="11"/>
        <v>-2</v>
      </c>
      <c r="AG266" s="3">
        <f t="shared" si="12"/>
        <v>-0.9384615385</v>
      </c>
    </row>
    <row r="267">
      <c r="A267" s="1" t="s">
        <v>11</v>
      </c>
      <c r="B267" s="1" t="s">
        <v>506</v>
      </c>
      <c r="C267" s="1" t="s">
        <v>18</v>
      </c>
      <c r="D267" s="1" t="s">
        <v>135</v>
      </c>
      <c r="E267" s="1" t="s">
        <v>89</v>
      </c>
      <c r="F267" s="1" t="s">
        <v>658</v>
      </c>
      <c r="G267" s="1">
        <v>35.5</v>
      </c>
      <c r="H267" s="1" t="s">
        <v>60</v>
      </c>
      <c r="I267" s="1">
        <v>-110.0</v>
      </c>
      <c r="J267" s="1">
        <v>-0.106930422805666</v>
      </c>
      <c r="K267" s="1" t="s">
        <v>61</v>
      </c>
      <c r="L267" s="1" t="s">
        <v>61</v>
      </c>
      <c r="M267" s="1" t="s">
        <v>62</v>
      </c>
      <c r="N267" s="1">
        <v>-119.0</v>
      </c>
      <c r="O267" s="1">
        <v>0.0397712842271511</v>
      </c>
      <c r="P267" s="1" t="s">
        <v>61</v>
      </c>
      <c r="Q267" s="1" t="s">
        <v>61</v>
      </c>
      <c r="R267" s="1">
        <f t="shared" si="1"/>
        <v>0.03977128423</v>
      </c>
      <c r="S267" s="1">
        <f t="shared" si="2"/>
        <v>-119</v>
      </c>
      <c r="T267" s="1">
        <f t="shared" si="3"/>
        <v>1.840336134</v>
      </c>
      <c r="U267" s="1">
        <f t="shared" si="4"/>
        <v>0</v>
      </c>
      <c r="V267" s="3">
        <f t="shared" si="5"/>
        <v>1</v>
      </c>
      <c r="W267" s="3">
        <f t="shared" si="6"/>
        <v>3</v>
      </c>
      <c r="X267" s="3" t="str">
        <f>IFERROR(__xludf.DUMMYFUNCTION("split(B267,"" "")"),"Q.")</f>
        <v>Q.</v>
      </c>
      <c r="Y267" s="3" t="str">
        <f>IFERROR(__xludf.DUMMYFUNCTION("""COMPUTED_VALUE"""),"Johnston")</f>
        <v>Johnston</v>
      </c>
      <c r="AA267" s="8">
        <v>118.0</v>
      </c>
      <c r="AB267" s="3">
        <f t="shared" si="7"/>
        <v>1</v>
      </c>
      <c r="AC267" s="3">
        <f t="shared" si="8"/>
        <v>0</v>
      </c>
      <c r="AD267" s="3">
        <f t="shared" si="9"/>
        <v>0.8403361345</v>
      </c>
      <c r="AE267" s="3">
        <f t="shared" si="10"/>
        <v>-1</v>
      </c>
      <c r="AF267" s="3">
        <f t="shared" si="11"/>
        <v>-3</v>
      </c>
      <c r="AG267" s="3">
        <f t="shared" si="12"/>
        <v>-2.323943662</v>
      </c>
    </row>
    <row r="268">
      <c r="A268" s="1" t="s">
        <v>8</v>
      </c>
      <c r="B268" s="1" t="s">
        <v>485</v>
      </c>
      <c r="C268" s="1" t="s">
        <v>19</v>
      </c>
      <c r="D268" s="1" t="s">
        <v>135</v>
      </c>
      <c r="E268" s="1" t="s">
        <v>89</v>
      </c>
      <c r="F268" s="1" t="s">
        <v>658</v>
      </c>
      <c r="G268" s="1">
        <v>15.5</v>
      </c>
      <c r="H268" s="1" t="s">
        <v>60</v>
      </c>
      <c r="I268" s="1">
        <v>-130.0</v>
      </c>
      <c r="J268" s="1">
        <v>-0.0933300960695652</v>
      </c>
      <c r="K268" s="1" t="s">
        <v>61</v>
      </c>
      <c r="L268" s="1" t="s">
        <v>61</v>
      </c>
      <c r="M268" s="1" t="s">
        <v>62</v>
      </c>
      <c r="N268" s="1">
        <v>100.0</v>
      </c>
      <c r="O268" s="1">
        <v>0.0280996104799999</v>
      </c>
      <c r="P268" s="1" t="s">
        <v>61</v>
      </c>
      <c r="Q268" s="1" t="s">
        <v>61</v>
      </c>
      <c r="R268" s="1">
        <f t="shared" si="1"/>
        <v>0.02809961048</v>
      </c>
      <c r="S268" s="1">
        <f t="shared" si="2"/>
        <v>100</v>
      </c>
      <c r="T268" s="1">
        <f t="shared" si="3"/>
        <v>2</v>
      </c>
      <c r="U268" s="1">
        <f t="shared" si="4"/>
        <v>0</v>
      </c>
      <c r="V268" s="3">
        <f t="shared" si="5"/>
        <v>1</v>
      </c>
      <c r="W268" s="3">
        <f t="shared" si="6"/>
        <v>2</v>
      </c>
      <c r="X268" s="3" t="str">
        <f>IFERROR(__xludf.DUMMYFUNCTION("split(B268,"" "")"),"J.")</f>
        <v>J.</v>
      </c>
      <c r="Y268" s="3" t="str">
        <f>IFERROR(__xludf.DUMMYFUNCTION("""COMPUTED_VALUE"""),"Dobbins")</f>
        <v>Dobbins</v>
      </c>
      <c r="AA268" s="8">
        <v>14.0</v>
      </c>
      <c r="AB268" s="3">
        <f t="shared" si="7"/>
        <v>0</v>
      </c>
      <c r="AC268" s="3">
        <f t="shared" si="8"/>
        <v>1</v>
      </c>
      <c r="AD268" s="3">
        <f t="shared" si="9"/>
        <v>1</v>
      </c>
      <c r="AE268" s="3">
        <f t="shared" si="10"/>
        <v>1</v>
      </c>
      <c r="AF268" s="3">
        <f t="shared" si="11"/>
        <v>2</v>
      </c>
      <c r="AG268" s="3">
        <f t="shared" si="12"/>
        <v>0.09677419355</v>
      </c>
    </row>
    <row r="269">
      <c r="A269" s="1" t="s">
        <v>10</v>
      </c>
      <c r="B269" s="1" t="s">
        <v>485</v>
      </c>
      <c r="C269" s="1" t="s">
        <v>19</v>
      </c>
      <c r="D269" s="1" t="s">
        <v>135</v>
      </c>
      <c r="E269" s="1" t="s">
        <v>89</v>
      </c>
      <c r="F269" s="1" t="s">
        <v>658</v>
      </c>
      <c r="G269" s="1">
        <v>65.5</v>
      </c>
      <c r="H269" s="1" t="s">
        <v>60</v>
      </c>
      <c r="I269" s="1">
        <v>-113.0</v>
      </c>
      <c r="J269" s="1">
        <v>-0.0851900291970549</v>
      </c>
      <c r="K269" s="1" t="s">
        <v>61</v>
      </c>
      <c r="L269" s="1" t="s">
        <v>61</v>
      </c>
      <c r="M269" s="1" t="s">
        <v>62</v>
      </c>
      <c r="N269" s="1">
        <v>-117.0</v>
      </c>
      <c r="O269" s="1">
        <v>0.0155434037111075</v>
      </c>
      <c r="P269" s="1" t="s">
        <v>61</v>
      </c>
      <c r="Q269" s="1" t="s">
        <v>61</v>
      </c>
      <c r="R269" s="1">
        <f t="shared" si="1"/>
        <v>0.01554340371</v>
      </c>
      <c r="S269" s="1">
        <f t="shared" si="2"/>
        <v>-117</v>
      </c>
      <c r="T269" s="1">
        <f t="shared" si="3"/>
        <v>1.854700855</v>
      </c>
      <c r="U269" s="1">
        <f t="shared" si="4"/>
        <v>0</v>
      </c>
      <c r="V269" s="3">
        <f t="shared" si="5"/>
        <v>1</v>
      </c>
      <c r="W269" s="3">
        <f t="shared" si="6"/>
        <v>2</v>
      </c>
      <c r="X269" s="3" t="str">
        <f>IFERROR(__xludf.DUMMYFUNCTION("split(B269,"" "")"),"J.")</f>
        <v>J.</v>
      </c>
      <c r="Y269" s="3" t="str">
        <f>IFERROR(__xludf.DUMMYFUNCTION("""COMPUTED_VALUE"""),"Dobbins")</f>
        <v>Dobbins</v>
      </c>
      <c r="AA269" s="8">
        <v>85.0</v>
      </c>
      <c r="AB269" s="3">
        <f t="shared" si="7"/>
        <v>1</v>
      </c>
      <c r="AC269" s="3">
        <f t="shared" si="8"/>
        <v>0</v>
      </c>
      <c r="AD269" s="3">
        <f t="shared" si="9"/>
        <v>0.8547008547</v>
      </c>
      <c r="AE269" s="3">
        <f t="shared" si="10"/>
        <v>-1</v>
      </c>
      <c r="AF269" s="3">
        <f t="shared" si="11"/>
        <v>-2</v>
      </c>
      <c r="AG269" s="3">
        <f t="shared" si="12"/>
        <v>-0.2977099237</v>
      </c>
    </row>
    <row r="270">
      <c r="A270" s="1" t="s">
        <v>12</v>
      </c>
      <c r="B270" s="1" t="s">
        <v>432</v>
      </c>
      <c r="C270" s="1" t="s">
        <v>18</v>
      </c>
      <c r="D270" s="1" t="s">
        <v>135</v>
      </c>
      <c r="E270" s="1" t="s">
        <v>89</v>
      </c>
      <c r="F270" s="1" t="s">
        <v>658</v>
      </c>
      <c r="G270" s="1">
        <v>4.5</v>
      </c>
      <c r="H270" s="1" t="s">
        <v>60</v>
      </c>
      <c r="I270" s="1">
        <v>-141.0</v>
      </c>
      <c r="J270" s="1">
        <v>-0.0796207468879667</v>
      </c>
      <c r="K270" s="1" t="s">
        <v>61</v>
      </c>
      <c r="L270" s="1" t="s">
        <v>61</v>
      </c>
      <c r="M270" s="1" t="s">
        <v>62</v>
      </c>
      <c r="N270" s="1">
        <v>108.0</v>
      </c>
      <c r="O270" s="1">
        <v>0.0137826923076923</v>
      </c>
      <c r="P270" s="1" t="s">
        <v>61</v>
      </c>
      <c r="Q270" s="1" t="s">
        <v>61</v>
      </c>
      <c r="R270" s="1">
        <f t="shared" si="1"/>
        <v>0.01378269231</v>
      </c>
      <c r="S270" s="1">
        <f t="shared" si="2"/>
        <v>108</v>
      </c>
      <c r="T270" s="1">
        <f t="shared" si="3"/>
        <v>2.08</v>
      </c>
      <c r="U270" s="1">
        <f t="shared" si="4"/>
        <v>0</v>
      </c>
      <c r="V270" s="3">
        <f t="shared" si="5"/>
        <v>1</v>
      </c>
      <c r="W270" s="3">
        <f t="shared" si="6"/>
        <v>2</v>
      </c>
      <c r="X270" s="3" t="str">
        <f>IFERROR(__xludf.DUMMYFUNCTION("split(B270,"" "")"),"L.")</f>
        <v>L.</v>
      </c>
      <c r="Y270" s="3" t="str">
        <f>IFERROR(__xludf.DUMMYFUNCTION("""COMPUTED_VALUE"""),"McConkey")</f>
        <v>McConkey</v>
      </c>
      <c r="AA270" s="8">
        <v>5.0</v>
      </c>
      <c r="AB270" s="3">
        <f t="shared" si="7"/>
        <v>1</v>
      </c>
      <c r="AC270" s="3">
        <f t="shared" si="8"/>
        <v>0</v>
      </c>
      <c r="AD270" s="3">
        <f t="shared" si="9"/>
        <v>1.08</v>
      </c>
      <c r="AE270" s="3">
        <f t="shared" si="10"/>
        <v>-1</v>
      </c>
      <c r="AF270" s="3">
        <f t="shared" si="11"/>
        <v>-2</v>
      </c>
      <c r="AG270" s="3">
        <f t="shared" si="12"/>
        <v>-0.1111111111</v>
      </c>
    </row>
    <row r="271">
      <c r="A271" s="1" t="s">
        <v>16</v>
      </c>
      <c r="B271" s="1" t="s">
        <v>405</v>
      </c>
      <c r="C271" s="1" t="s">
        <v>21</v>
      </c>
      <c r="D271" s="1" t="s">
        <v>135</v>
      </c>
      <c r="E271" s="1" t="s">
        <v>89</v>
      </c>
      <c r="F271" s="1" t="s">
        <v>658</v>
      </c>
      <c r="G271" s="1">
        <v>32.5</v>
      </c>
      <c r="H271" s="1" t="s">
        <v>60</v>
      </c>
      <c r="I271" s="1">
        <v>-115.0</v>
      </c>
      <c r="J271" s="1">
        <v>-0.0797885793325581</v>
      </c>
      <c r="K271" s="1" t="s">
        <v>61</v>
      </c>
      <c r="L271" s="1" t="s">
        <v>61</v>
      </c>
      <c r="M271" s="1" t="s">
        <v>62</v>
      </c>
      <c r="N271" s="1">
        <v>-114.0</v>
      </c>
      <c r="O271" s="1">
        <v>0.0121939640654205</v>
      </c>
      <c r="P271" s="1" t="s">
        <v>61</v>
      </c>
      <c r="Q271" s="1" t="s">
        <v>61</v>
      </c>
      <c r="R271" s="1">
        <f t="shared" si="1"/>
        <v>0.01219396407</v>
      </c>
      <c r="S271" s="1">
        <f t="shared" si="2"/>
        <v>-114</v>
      </c>
      <c r="T271" s="1">
        <f t="shared" si="3"/>
        <v>1.877192982</v>
      </c>
      <c r="U271" s="1">
        <f t="shared" si="4"/>
        <v>0</v>
      </c>
      <c r="V271" s="3">
        <f t="shared" si="5"/>
        <v>1</v>
      </c>
      <c r="W271" s="3">
        <f t="shared" si="6"/>
        <v>2</v>
      </c>
      <c r="X271" s="3" t="str">
        <f>IFERROR(__xludf.DUMMYFUNCTION("split(B271,"" "")"),"J.")</f>
        <v>J.</v>
      </c>
      <c r="Y271" s="3" t="str">
        <f>IFERROR(__xludf.DUMMYFUNCTION("""COMPUTED_VALUE"""),"Herbert")</f>
        <v>Herbert</v>
      </c>
      <c r="AA271" s="8">
        <v>27.0</v>
      </c>
      <c r="AB271" s="3">
        <f t="shared" si="7"/>
        <v>0</v>
      </c>
      <c r="AC271" s="3">
        <f t="shared" si="8"/>
        <v>1</v>
      </c>
      <c r="AD271" s="3">
        <f t="shared" si="9"/>
        <v>0.8771929825</v>
      </c>
      <c r="AE271" s="3">
        <f t="shared" si="10"/>
        <v>0.8771929825</v>
      </c>
      <c r="AF271" s="3">
        <f t="shared" si="11"/>
        <v>1.754385965</v>
      </c>
      <c r="AG271" s="3">
        <f t="shared" si="12"/>
        <v>0.1692307692</v>
      </c>
    </row>
    <row r="272">
      <c r="A272" s="1" t="s">
        <v>11</v>
      </c>
      <c r="B272" s="1" t="s">
        <v>432</v>
      </c>
      <c r="C272" s="1" t="s">
        <v>18</v>
      </c>
      <c r="D272" s="1" t="s">
        <v>135</v>
      </c>
      <c r="E272" s="1" t="s">
        <v>89</v>
      </c>
      <c r="F272" s="1" t="s">
        <v>658</v>
      </c>
      <c r="G272" s="1">
        <v>56.5</v>
      </c>
      <c r="H272" s="1" t="s">
        <v>60</v>
      </c>
      <c r="I272" s="1">
        <v>-118.0</v>
      </c>
      <c r="J272" s="1">
        <v>-0.0771580578882378</v>
      </c>
      <c r="K272" s="1" t="s">
        <v>61</v>
      </c>
      <c r="L272" s="1" t="s">
        <v>61</v>
      </c>
      <c r="M272" s="1" t="s">
        <v>62</v>
      </c>
      <c r="N272" s="1">
        <v>-111.0</v>
      </c>
      <c r="O272" s="1">
        <v>0.00977260464734519</v>
      </c>
      <c r="P272" s="1" t="s">
        <v>61</v>
      </c>
      <c r="Q272" s="1" t="s">
        <v>61</v>
      </c>
      <c r="R272" s="1">
        <f t="shared" si="1"/>
        <v>0.009772604647</v>
      </c>
      <c r="S272" s="1">
        <f t="shared" si="2"/>
        <v>-111</v>
      </c>
      <c r="T272" s="1">
        <f t="shared" si="3"/>
        <v>1.900900901</v>
      </c>
      <c r="U272" s="1">
        <f t="shared" si="4"/>
        <v>0</v>
      </c>
      <c r="V272" s="3">
        <f t="shared" si="5"/>
        <v>1</v>
      </c>
      <c r="W272" s="3">
        <f t="shared" si="6"/>
        <v>2</v>
      </c>
      <c r="X272" s="3" t="str">
        <f>IFERROR(__xludf.DUMMYFUNCTION("split(B272,"" "")"),"L.")</f>
        <v>L.</v>
      </c>
      <c r="Y272" s="3" t="str">
        <f>IFERROR(__xludf.DUMMYFUNCTION("""COMPUTED_VALUE"""),"McConkey")</f>
        <v>McConkey</v>
      </c>
      <c r="AA272" s="8">
        <v>64.0</v>
      </c>
      <c r="AB272" s="3">
        <f t="shared" si="7"/>
        <v>1</v>
      </c>
      <c r="AC272" s="3">
        <f t="shared" si="8"/>
        <v>0</v>
      </c>
      <c r="AD272" s="3">
        <f t="shared" si="9"/>
        <v>0.9009009009</v>
      </c>
      <c r="AE272" s="3">
        <f t="shared" si="10"/>
        <v>-1</v>
      </c>
      <c r="AF272" s="3">
        <f t="shared" si="11"/>
        <v>-2</v>
      </c>
      <c r="AG272" s="3">
        <f t="shared" si="12"/>
        <v>-0.1327433628</v>
      </c>
    </row>
    <row r="273">
      <c r="A273" s="1" t="s">
        <v>11</v>
      </c>
      <c r="B273" s="1" t="s">
        <v>545</v>
      </c>
      <c r="C273" s="1" t="s">
        <v>20</v>
      </c>
      <c r="D273" s="1" t="s">
        <v>135</v>
      </c>
      <c r="E273" s="1" t="s">
        <v>89</v>
      </c>
      <c r="F273" s="1" t="s">
        <v>658</v>
      </c>
      <c r="G273" s="1">
        <v>13.5</v>
      </c>
      <c r="H273" s="1" t="s">
        <v>60</v>
      </c>
      <c r="I273" s="1">
        <v>-118.0</v>
      </c>
      <c r="J273" s="1">
        <v>0.00306646691440837</v>
      </c>
      <c r="K273" s="1" t="s">
        <v>61</v>
      </c>
      <c r="L273" s="1" t="s">
        <v>61</v>
      </c>
      <c r="M273" s="1" t="s">
        <v>62</v>
      </c>
      <c r="N273" s="1">
        <v>-110.0</v>
      </c>
      <c r="O273" s="1">
        <v>-0.0681108512670244</v>
      </c>
      <c r="P273" s="1" t="s">
        <v>61</v>
      </c>
      <c r="Q273" s="1" t="s">
        <v>61</v>
      </c>
      <c r="R273" s="1">
        <f t="shared" si="1"/>
        <v>0.003066466914</v>
      </c>
      <c r="S273" s="1">
        <f t="shared" si="2"/>
        <v>-118</v>
      </c>
      <c r="T273" s="1">
        <f t="shared" si="3"/>
        <v>1.847457627</v>
      </c>
      <c r="U273" s="1">
        <f t="shared" si="4"/>
        <v>1</v>
      </c>
      <c r="V273" s="3">
        <f t="shared" si="5"/>
        <v>1</v>
      </c>
      <c r="W273" s="3">
        <f t="shared" si="6"/>
        <v>3</v>
      </c>
      <c r="X273" s="3" t="str">
        <f>IFERROR(__xludf.DUMMYFUNCTION("split(B273,"" "")"),"H.")</f>
        <v>H.</v>
      </c>
      <c r="Y273" s="3" t="str">
        <f>IFERROR(__xludf.DUMMYFUNCTION("""COMPUTED_VALUE"""),"Hurst")</f>
        <v>Hurst</v>
      </c>
      <c r="AA273" s="8">
        <v>6.0</v>
      </c>
      <c r="AB273" s="3">
        <f t="shared" si="7"/>
        <v>0</v>
      </c>
      <c r="AC273" s="3">
        <f t="shared" si="8"/>
        <v>0</v>
      </c>
      <c r="AD273" s="3">
        <f t="shared" si="9"/>
        <v>0.8474576271</v>
      </c>
      <c r="AE273" s="3">
        <f t="shared" si="10"/>
        <v>-1</v>
      </c>
      <c r="AF273" s="3">
        <f t="shared" si="11"/>
        <v>-3</v>
      </c>
      <c r="AG273" s="3">
        <f t="shared" si="12"/>
        <v>-0.5555555556</v>
      </c>
    </row>
    <row r="274">
      <c r="A274" s="1" t="s">
        <v>9</v>
      </c>
      <c r="B274" s="1" t="s">
        <v>485</v>
      </c>
      <c r="C274" s="1" t="s">
        <v>19</v>
      </c>
      <c r="D274" s="1" t="s">
        <v>135</v>
      </c>
      <c r="E274" s="1" t="s">
        <v>89</v>
      </c>
      <c r="F274" s="1" t="s">
        <v>658</v>
      </c>
      <c r="G274" s="1">
        <v>87.5</v>
      </c>
      <c r="H274" s="1" t="s">
        <v>60</v>
      </c>
      <c r="I274" s="1">
        <v>-110.0</v>
      </c>
      <c r="J274" s="1">
        <v>-0.0773261349994744</v>
      </c>
      <c r="K274" s="1" t="s">
        <v>61</v>
      </c>
      <c r="L274" s="1" t="s">
        <v>61</v>
      </c>
      <c r="M274" s="1" t="s">
        <v>62</v>
      </c>
      <c r="N274" s="1">
        <v>-123.0</v>
      </c>
      <c r="O274" s="1">
        <v>0.0020118594150863</v>
      </c>
      <c r="P274" s="1" t="s">
        <v>61</v>
      </c>
      <c r="Q274" s="1" t="s">
        <v>61</v>
      </c>
      <c r="R274" s="1">
        <f t="shared" si="1"/>
        <v>0.002011859415</v>
      </c>
      <c r="S274" s="1">
        <f t="shared" si="2"/>
        <v>-123</v>
      </c>
      <c r="T274" s="1">
        <f t="shared" si="3"/>
        <v>1.81300813</v>
      </c>
      <c r="U274" s="1">
        <f t="shared" si="4"/>
        <v>0</v>
      </c>
      <c r="V274" s="3">
        <f t="shared" si="5"/>
        <v>1</v>
      </c>
      <c r="W274" s="3">
        <f t="shared" si="6"/>
        <v>3</v>
      </c>
      <c r="X274" s="3" t="str">
        <f>IFERROR(__xludf.DUMMYFUNCTION("split(B274,"" "")"),"J.")</f>
        <v>J.</v>
      </c>
      <c r="Y274" s="3" t="str">
        <f>IFERROR(__xludf.DUMMYFUNCTION("""COMPUTED_VALUE"""),"Dobbins")</f>
        <v>Dobbins</v>
      </c>
      <c r="AA274" s="8">
        <v>105.0</v>
      </c>
      <c r="AB274" s="3">
        <f t="shared" si="7"/>
        <v>1</v>
      </c>
      <c r="AC274" s="3">
        <f t="shared" si="8"/>
        <v>0</v>
      </c>
      <c r="AD274" s="3">
        <f t="shared" si="9"/>
        <v>0.8130081301</v>
      </c>
      <c r="AE274" s="3">
        <f t="shared" si="10"/>
        <v>-1</v>
      </c>
      <c r="AF274" s="3">
        <f t="shared" si="11"/>
        <v>-3</v>
      </c>
      <c r="AG274" s="3">
        <f t="shared" si="12"/>
        <v>-0.2</v>
      </c>
    </row>
    <row r="275">
      <c r="A275" s="1" t="s">
        <v>9</v>
      </c>
      <c r="B275" s="1" t="s">
        <v>381</v>
      </c>
      <c r="C275" s="1" t="s">
        <v>18</v>
      </c>
      <c r="D275" s="1" t="s">
        <v>135</v>
      </c>
      <c r="E275" s="1" t="s">
        <v>89</v>
      </c>
      <c r="F275" s="1" t="s">
        <v>658</v>
      </c>
      <c r="G275" s="1">
        <v>33.5</v>
      </c>
      <c r="H275" s="1" t="s">
        <v>60</v>
      </c>
      <c r="I275" s="1">
        <v>-118.0</v>
      </c>
      <c r="J275" s="1">
        <v>0.0015432243730149</v>
      </c>
      <c r="K275" s="1" t="s">
        <v>61</v>
      </c>
      <c r="L275" s="1" t="s">
        <v>61</v>
      </c>
      <c r="M275" s="1" t="s">
        <v>62</v>
      </c>
      <c r="N275" s="1">
        <v>-115.0</v>
      </c>
      <c r="O275" s="1">
        <v>-0.0777657504665806</v>
      </c>
      <c r="P275" s="1" t="s">
        <v>61</v>
      </c>
      <c r="Q275" s="1" t="s">
        <v>61</v>
      </c>
      <c r="R275" s="1">
        <f t="shared" si="1"/>
        <v>0.001543224373</v>
      </c>
      <c r="S275" s="1">
        <f t="shared" si="2"/>
        <v>-118</v>
      </c>
      <c r="T275" s="1">
        <f t="shared" si="3"/>
        <v>1.847457627</v>
      </c>
      <c r="U275" s="1">
        <f t="shared" si="4"/>
        <v>1</v>
      </c>
      <c r="V275" s="3">
        <f t="shared" si="5"/>
        <v>1</v>
      </c>
      <c r="W275" s="3">
        <f t="shared" si="6"/>
        <v>3</v>
      </c>
      <c r="X275" s="3" t="str">
        <f>IFERROR(__xludf.DUMMYFUNCTION("split(B275,"" "")"),"J.")</f>
        <v>J.</v>
      </c>
      <c r="Y275" s="3" t="str">
        <f>IFERROR(__xludf.DUMMYFUNCTION("""COMPUTED_VALUE"""),"Palmer")</f>
        <v>Palmer</v>
      </c>
      <c r="AA275" s="8">
        <v>63.0</v>
      </c>
      <c r="AB275" s="3">
        <f t="shared" si="7"/>
        <v>1</v>
      </c>
      <c r="AC275" s="3">
        <f t="shared" si="8"/>
        <v>1</v>
      </c>
      <c r="AD275" s="3">
        <f t="shared" si="9"/>
        <v>0.8474576271</v>
      </c>
      <c r="AE275" s="3">
        <f t="shared" si="10"/>
        <v>0.8474576271</v>
      </c>
      <c r="AF275" s="3">
        <f t="shared" si="11"/>
        <v>2.542372881</v>
      </c>
      <c r="AG275" s="3">
        <f t="shared" si="12"/>
        <v>0.8805970149</v>
      </c>
    </row>
    <row r="276">
      <c r="A276" s="1" t="s">
        <v>12</v>
      </c>
      <c r="B276" s="1" t="s">
        <v>473</v>
      </c>
      <c r="C276" s="1" t="s">
        <v>19</v>
      </c>
      <c r="D276" s="1" t="s">
        <v>134</v>
      </c>
      <c r="E276" s="1" t="s">
        <v>67</v>
      </c>
      <c r="F276" s="1" t="s">
        <v>658</v>
      </c>
      <c r="G276" s="1">
        <v>2.5</v>
      </c>
      <c r="H276" s="1" t="s">
        <v>60</v>
      </c>
      <c r="I276" s="1">
        <v>-145.0</v>
      </c>
      <c r="J276" s="1">
        <v>-0.295773473836734</v>
      </c>
      <c r="K276" s="1" t="s">
        <v>61</v>
      </c>
      <c r="L276" s="1" t="s">
        <v>61</v>
      </c>
      <c r="M276" s="1" t="s">
        <v>62</v>
      </c>
      <c r="N276" s="1">
        <v>110.0</v>
      </c>
      <c r="O276" s="1">
        <v>0.227752386142857</v>
      </c>
      <c r="P276" s="1" t="s">
        <v>61</v>
      </c>
      <c r="Q276" s="1" t="s">
        <v>61</v>
      </c>
      <c r="R276" s="1">
        <f t="shared" si="1"/>
        <v>0.2277523861</v>
      </c>
      <c r="S276" s="1">
        <f t="shared" si="2"/>
        <v>110</v>
      </c>
      <c r="T276" s="1">
        <f t="shared" si="3"/>
        <v>2.1</v>
      </c>
      <c r="U276" s="1">
        <f t="shared" si="4"/>
        <v>0</v>
      </c>
      <c r="V276" s="3">
        <f t="shared" si="5"/>
        <v>3</v>
      </c>
      <c r="W276" s="3">
        <f t="shared" si="6"/>
        <v>2</v>
      </c>
      <c r="X276" s="3" t="str">
        <f>IFERROR(__xludf.DUMMYFUNCTION("split(B276,"" "")"),"A.")</f>
        <v>A.</v>
      </c>
      <c r="Y276" s="3" t="str">
        <f>IFERROR(__xludf.DUMMYFUNCTION("""COMPUTED_VALUE"""),"Mattison")</f>
        <v>Mattison</v>
      </c>
      <c r="AA276" s="8">
        <v>0.0</v>
      </c>
      <c r="AB276" s="3">
        <f t="shared" si="7"/>
        <v>0</v>
      </c>
      <c r="AC276" s="3">
        <f t="shared" si="8"/>
        <v>1</v>
      </c>
      <c r="AD276" s="3">
        <f t="shared" si="9"/>
        <v>3.3</v>
      </c>
      <c r="AE276" s="3">
        <f t="shared" si="10"/>
        <v>3.3</v>
      </c>
      <c r="AF276" s="3">
        <f t="shared" si="11"/>
        <v>2.2</v>
      </c>
      <c r="AG276" s="3">
        <f t="shared" si="12"/>
        <v>1</v>
      </c>
    </row>
    <row r="277">
      <c r="A277" s="1" t="s">
        <v>12</v>
      </c>
      <c r="B277" s="1" t="s">
        <v>494</v>
      </c>
      <c r="C277" s="1" t="s">
        <v>20</v>
      </c>
      <c r="D277" s="1" t="s">
        <v>134</v>
      </c>
      <c r="E277" s="1" t="s">
        <v>67</v>
      </c>
      <c r="F277" s="1" t="s">
        <v>658</v>
      </c>
      <c r="G277" s="1">
        <v>6.5</v>
      </c>
      <c r="H277" s="1" t="s">
        <v>60</v>
      </c>
      <c r="I277" s="1">
        <v>121.0</v>
      </c>
      <c r="J277" s="1">
        <v>0.157211312217194</v>
      </c>
      <c r="K277" s="1" t="s">
        <v>61</v>
      </c>
      <c r="L277" s="1" t="s">
        <v>61</v>
      </c>
      <c r="M277" s="1" t="s">
        <v>62</v>
      </c>
      <c r="N277" s="1">
        <v>-160.0</v>
      </c>
      <c r="O277" s="1">
        <v>-0.225084615384615</v>
      </c>
      <c r="P277" s="1" t="s">
        <v>61</v>
      </c>
      <c r="Q277" s="1" t="s">
        <v>61</v>
      </c>
      <c r="R277" s="1">
        <f t="shared" si="1"/>
        <v>0.1572113122</v>
      </c>
      <c r="S277" s="1">
        <f t="shared" si="2"/>
        <v>121</v>
      </c>
      <c r="T277" s="1">
        <f t="shared" si="3"/>
        <v>2.21</v>
      </c>
      <c r="U277" s="1">
        <f t="shared" si="4"/>
        <v>1</v>
      </c>
      <c r="V277" s="3">
        <f t="shared" si="5"/>
        <v>3</v>
      </c>
      <c r="W277" s="3">
        <f t="shared" si="6"/>
        <v>1</v>
      </c>
      <c r="X277" s="3" t="str">
        <f>IFERROR(__xludf.DUMMYFUNCTION("split(B277,"" "")"),"B.")</f>
        <v>B.</v>
      </c>
      <c r="Y277" s="3" t="str">
        <f>IFERROR(__xludf.DUMMYFUNCTION("""COMPUTED_VALUE"""),"Bowers")</f>
        <v>Bowers</v>
      </c>
      <c r="AA277" s="8">
        <v>5.0</v>
      </c>
      <c r="AB277" s="3">
        <f t="shared" si="7"/>
        <v>0</v>
      </c>
      <c r="AC277" s="3">
        <f t="shared" si="8"/>
        <v>0</v>
      </c>
      <c r="AD277" s="3">
        <f t="shared" si="9"/>
        <v>3.63</v>
      </c>
      <c r="AE277" s="3">
        <f t="shared" si="10"/>
        <v>-3</v>
      </c>
      <c r="AF277" s="3">
        <f t="shared" si="11"/>
        <v>-1</v>
      </c>
      <c r="AG277" s="3">
        <f t="shared" si="12"/>
        <v>-0.2307692308</v>
      </c>
    </row>
    <row r="278">
      <c r="A278" s="1" t="s">
        <v>8</v>
      </c>
      <c r="B278" s="1" t="s">
        <v>473</v>
      </c>
      <c r="C278" s="1" t="s">
        <v>19</v>
      </c>
      <c r="D278" s="1" t="s">
        <v>134</v>
      </c>
      <c r="E278" s="1" t="s">
        <v>67</v>
      </c>
      <c r="F278" s="1" t="s">
        <v>658</v>
      </c>
      <c r="G278" s="1">
        <v>13.5</v>
      </c>
      <c r="H278" s="1" t="s">
        <v>60</v>
      </c>
      <c r="I278" s="1">
        <v>-113.0</v>
      </c>
      <c r="J278" s="1">
        <v>-0.223668926786713</v>
      </c>
      <c r="K278" s="1" t="s">
        <v>61</v>
      </c>
      <c r="L278" s="1" t="s">
        <v>61</v>
      </c>
      <c r="M278" s="1" t="s">
        <v>62</v>
      </c>
      <c r="N278" s="1">
        <v>-118.0</v>
      </c>
      <c r="O278" s="1">
        <v>0.151860825956755</v>
      </c>
      <c r="P278" s="1" t="s">
        <v>61</v>
      </c>
      <c r="Q278" s="1" t="s">
        <v>61</v>
      </c>
      <c r="R278" s="1">
        <f t="shared" si="1"/>
        <v>0.151860826</v>
      </c>
      <c r="S278" s="1">
        <f t="shared" si="2"/>
        <v>-118</v>
      </c>
      <c r="T278" s="1">
        <f t="shared" si="3"/>
        <v>1.847457627</v>
      </c>
      <c r="U278" s="1">
        <f t="shared" si="4"/>
        <v>0</v>
      </c>
      <c r="V278" s="3">
        <f t="shared" si="5"/>
        <v>3</v>
      </c>
      <c r="W278" s="3">
        <f t="shared" si="6"/>
        <v>3</v>
      </c>
      <c r="X278" s="3" t="str">
        <f>IFERROR(__xludf.DUMMYFUNCTION("split(B278,"" "")"),"A.")</f>
        <v>A.</v>
      </c>
      <c r="Y278" s="3" t="str">
        <f>IFERROR(__xludf.DUMMYFUNCTION("""COMPUTED_VALUE"""),"Mattison")</f>
        <v>Mattison</v>
      </c>
      <c r="AA278" s="8">
        <v>9.0</v>
      </c>
      <c r="AB278" s="3">
        <f t="shared" si="7"/>
        <v>0</v>
      </c>
      <c r="AC278" s="3">
        <f t="shared" si="8"/>
        <v>1</v>
      </c>
      <c r="AD278" s="3">
        <f t="shared" si="9"/>
        <v>2.542372881</v>
      </c>
      <c r="AE278" s="3">
        <f t="shared" si="10"/>
        <v>2.542372881</v>
      </c>
      <c r="AF278" s="3">
        <f t="shared" si="11"/>
        <v>2.542372881</v>
      </c>
      <c r="AG278" s="3">
        <f t="shared" si="12"/>
        <v>0.3333333333</v>
      </c>
    </row>
    <row r="279">
      <c r="A279" s="1" t="s">
        <v>12</v>
      </c>
      <c r="B279" s="1" t="s">
        <v>593</v>
      </c>
      <c r="C279" s="1" t="s">
        <v>18</v>
      </c>
      <c r="D279" s="1" t="s">
        <v>134</v>
      </c>
      <c r="E279" s="1" t="s">
        <v>67</v>
      </c>
      <c r="F279" s="1" t="s">
        <v>658</v>
      </c>
      <c r="G279" s="1">
        <v>2.5</v>
      </c>
      <c r="H279" s="1" t="s">
        <v>60</v>
      </c>
      <c r="I279" s="1">
        <v>114.0</v>
      </c>
      <c r="J279" s="1">
        <v>-0.176731488053271</v>
      </c>
      <c r="K279" s="1" t="s">
        <v>61</v>
      </c>
      <c r="L279" s="1" t="s">
        <v>61</v>
      </c>
      <c r="M279" s="1" t="s">
        <v>62</v>
      </c>
      <c r="N279" s="1">
        <v>-150.0</v>
      </c>
      <c r="O279" s="1">
        <v>0.109434412859999</v>
      </c>
      <c r="P279" s="1" t="s">
        <v>61</v>
      </c>
      <c r="Q279" s="1" t="s">
        <v>61</v>
      </c>
      <c r="R279" s="1">
        <f t="shared" si="1"/>
        <v>0.1094344129</v>
      </c>
      <c r="S279" s="1">
        <f t="shared" si="2"/>
        <v>-150</v>
      </c>
      <c r="T279" s="1">
        <f t="shared" si="3"/>
        <v>1.666666667</v>
      </c>
      <c r="U279" s="1">
        <f t="shared" si="4"/>
        <v>0</v>
      </c>
      <c r="V279" s="3">
        <f t="shared" si="5"/>
        <v>3</v>
      </c>
      <c r="W279" s="3">
        <f t="shared" si="6"/>
        <v>3</v>
      </c>
      <c r="X279" s="3" t="str">
        <f>IFERROR(__xludf.DUMMYFUNCTION("split(B279,"" "")"),"D.")</f>
        <v>D.</v>
      </c>
      <c r="Y279" s="3" t="str">
        <f>IFERROR(__xludf.DUMMYFUNCTION("""COMPUTED_VALUE"""),"Turner")</f>
        <v>Turner</v>
      </c>
      <c r="AA279" s="8">
        <v>0.0</v>
      </c>
      <c r="AB279" s="3">
        <f t="shared" si="7"/>
        <v>0</v>
      </c>
      <c r="AC279" s="3">
        <f t="shared" si="8"/>
        <v>1</v>
      </c>
      <c r="AD279" s="3">
        <f t="shared" si="9"/>
        <v>2</v>
      </c>
      <c r="AE279" s="3">
        <f t="shared" si="10"/>
        <v>2</v>
      </c>
      <c r="AF279" s="3">
        <f t="shared" si="11"/>
        <v>2</v>
      </c>
      <c r="AG279" s="3">
        <f t="shared" si="12"/>
        <v>1</v>
      </c>
    </row>
    <row r="280">
      <c r="A280" s="1" t="s">
        <v>12</v>
      </c>
      <c r="B280" s="1" t="s">
        <v>486</v>
      </c>
      <c r="C280" s="1" t="s">
        <v>18</v>
      </c>
      <c r="D280" s="1" t="s">
        <v>134</v>
      </c>
      <c r="E280" s="1" t="s">
        <v>67</v>
      </c>
      <c r="F280" s="1" t="s">
        <v>658</v>
      </c>
      <c r="G280" s="1">
        <v>2.5</v>
      </c>
      <c r="H280" s="1" t="s">
        <v>60</v>
      </c>
      <c r="I280" s="1">
        <v>-127.0</v>
      </c>
      <c r="J280" s="1">
        <v>-0.16375666524229</v>
      </c>
      <c r="K280" s="1" t="s">
        <v>61</v>
      </c>
      <c r="L280" s="1" t="s">
        <v>61</v>
      </c>
      <c r="M280" s="1" t="s">
        <v>62</v>
      </c>
      <c r="N280" s="1">
        <v>-104.0</v>
      </c>
      <c r="O280" s="1">
        <v>0.0944947918156863</v>
      </c>
      <c r="P280" s="1" t="s">
        <v>61</v>
      </c>
      <c r="Q280" s="1" t="s">
        <v>61</v>
      </c>
      <c r="R280" s="1">
        <f t="shared" si="1"/>
        <v>0.09449479182</v>
      </c>
      <c r="S280" s="1">
        <f t="shared" si="2"/>
        <v>-104</v>
      </c>
      <c r="T280" s="1">
        <f t="shared" si="3"/>
        <v>1.961538462</v>
      </c>
      <c r="U280" s="1">
        <f t="shared" si="4"/>
        <v>0</v>
      </c>
      <c r="V280" s="3">
        <f t="shared" si="5"/>
        <v>2</v>
      </c>
      <c r="W280" s="3">
        <f t="shared" si="6"/>
        <v>2</v>
      </c>
      <c r="X280" s="3" t="str">
        <f>IFERROR(__xludf.DUMMYFUNCTION("split(B280,"" "")"),"T.")</f>
        <v>T.</v>
      </c>
      <c r="Y280" s="3" t="str">
        <f>IFERROR(__xludf.DUMMYFUNCTION("""COMPUTED_VALUE"""),"Tucker")</f>
        <v>Tucker</v>
      </c>
      <c r="AA280" s="8">
        <v>2.0</v>
      </c>
      <c r="AB280" s="3">
        <f t="shared" si="7"/>
        <v>0</v>
      </c>
      <c r="AC280" s="3">
        <f t="shared" si="8"/>
        <v>1</v>
      </c>
      <c r="AD280" s="3">
        <f t="shared" si="9"/>
        <v>1.923076923</v>
      </c>
      <c r="AE280" s="3">
        <f t="shared" si="10"/>
        <v>1.923076923</v>
      </c>
      <c r="AF280" s="3">
        <f t="shared" si="11"/>
        <v>1.923076923</v>
      </c>
      <c r="AG280" s="3">
        <f t="shared" si="12"/>
        <v>0.2</v>
      </c>
    </row>
    <row r="281">
      <c r="A281" s="1" t="s">
        <v>9</v>
      </c>
      <c r="B281" s="1" t="s">
        <v>473</v>
      </c>
      <c r="C281" s="1" t="s">
        <v>19</v>
      </c>
      <c r="D281" s="1" t="s">
        <v>134</v>
      </c>
      <c r="E281" s="1" t="s">
        <v>67</v>
      </c>
      <c r="F281" s="1" t="s">
        <v>658</v>
      </c>
      <c r="G281" s="1">
        <v>75.5</v>
      </c>
      <c r="H281" s="1" t="s">
        <v>60</v>
      </c>
      <c r="I281" s="1">
        <v>-116.0</v>
      </c>
      <c r="J281" s="1">
        <v>-0.154894150645376</v>
      </c>
      <c r="K281" s="1" t="s">
        <v>61</v>
      </c>
      <c r="L281" s="1" t="s">
        <v>61</v>
      </c>
      <c r="M281" s="1" t="s">
        <v>62</v>
      </c>
      <c r="N281" s="1">
        <v>-116.0</v>
      </c>
      <c r="O281" s="1">
        <v>0.080845214748637</v>
      </c>
      <c r="P281" s="1" t="s">
        <v>61</v>
      </c>
      <c r="Q281" s="1" t="s">
        <v>61</v>
      </c>
      <c r="R281" s="1">
        <f t="shared" si="1"/>
        <v>0.08084521475</v>
      </c>
      <c r="S281" s="1">
        <f t="shared" si="2"/>
        <v>-116</v>
      </c>
      <c r="T281" s="1">
        <f t="shared" si="3"/>
        <v>1.862068966</v>
      </c>
      <c r="U281" s="1">
        <f t="shared" si="4"/>
        <v>0</v>
      </c>
      <c r="V281" s="3">
        <f t="shared" si="5"/>
        <v>2</v>
      </c>
      <c r="W281" s="3">
        <f t="shared" si="6"/>
        <v>2</v>
      </c>
      <c r="X281" s="3" t="str">
        <f>IFERROR(__xludf.DUMMYFUNCTION("split(B281,"" "")"),"A.")</f>
        <v>A.</v>
      </c>
      <c r="Y281" s="3" t="str">
        <f>IFERROR(__xludf.DUMMYFUNCTION("""COMPUTED_VALUE"""),"Mattison")</f>
        <v>Mattison</v>
      </c>
      <c r="AA281" s="8">
        <v>36.0</v>
      </c>
      <c r="AB281" s="3">
        <f t="shared" si="7"/>
        <v>0</v>
      </c>
      <c r="AC281" s="3">
        <f t="shared" si="8"/>
        <v>1</v>
      </c>
      <c r="AD281" s="3">
        <f t="shared" si="9"/>
        <v>1.724137931</v>
      </c>
      <c r="AE281" s="3">
        <f t="shared" si="10"/>
        <v>1.724137931</v>
      </c>
      <c r="AF281" s="3">
        <f t="shared" si="11"/>
        <v>1.724137931</v>
      </c>
      <c r="AG281" s="3">
        <f t="shared" si="12"/>
        <v>0.5231788079</v>
      </c>
    </row>
    <row r="282">
      <c r="A282" s="1" t="s">
        <v>17</v>
      </c>
      <c r="B282" s="1" t="s">
        <v>474</v>
      </c>
      <c r="C282" s="1" t="s">
        <v>21</v>
      </c>
      <c r="D282" s="1" t="s">
        <v>134</v>
      </c>
      <c r="E282" s="1" t="s">
        <v>67</v>
      </c>
      <c r="F282" s="1" t="s">
        <v>658</v>
      </c>
      <c r="G282" s="1">
        <v>0.5</v>
      </c>
      <c r="H282" s="1" t="s">
        <v>60</v>
      </c>
      <c r="I282" s="1">
        <v>-136.0</v>
      </c>
      <c r="J282" s="1">
        <v>-0.123471186440677</v>
      </c>
      <c r="K282" s="1" t="s">
        <v>61</v>
      </c>
      <c r="L282" s="1" t="s">
        <v>61</v>
      </c>
      <c r="M282" s="1" t="s">
        <v>62</v>
      </c>
      <c r="N282" s="1">
        <v>105.0</v>
      </c>
      <c r="O282" s="1">
        <v>0.0593951219512194</v>
      </c>
      <c r="P282" s="1" t="s">
        <v>61</v>
      </c>
      <c r="Q282" s="1" t="s">
        <v>61</v>
      </c>
      <c r="R282" s="1">
        <f t="shared" si="1"/>
        <v>0.05939512195</v>
      </c>
      <c r="S282" s="1">
        <f t="shared" si="2"/>
        <v>105</v>
      </c>
      <c r="T282" s="1">
        <f t="shared" si="3"/>
        <v>2.05</v>
      </c>
      <c r="U282" s="1">
        <f t="shared" si="4"/>
        <v>0</v>
      </c>
      <c r="V282" s="3">
        <f t="shared" si="5"/>
        <v>2</v>
      </c>
      <c r="W282" s="3">
        <f t="shared" si="6"/>
        <v>2</v>
      </c>
      <c r="X282" s="3" t="str">
        <f>IFERROR(__xludf.DUMMYFUNCTION("split(B282,"" "")"),"G.")</f>
        <v>G.</v>
      </c>
      <c r="Y282" s="3" t="str">
        <f>IFERROR(__xludf.DUMMYFUNCTION("""COMPUTED_VALUE"""),"Minshew")</f>
        <v>Minshew</v>
      </c>
      <c r="AA282" s="8">
        <v>0.0</v>
      </c>
      <c r="AB282" s="3">
        <f t="shared" si="7"/>
        <v>0</v>
      </c>
      <c r="AC282" s="3">
        <f t="shared" si="8"/>
        <v>1</v>
      </c>
      <c r="AD282" s="3">
        <f t="shared" si="9"/>
        <v>2.1</v>
      </c>
      <c r="AE282" s="3">
        <f t="shared" si="10"/>
        <v>2.1</v>
      </c>
      <c r="AF282" s="3">
        <f t="shared" si="11"/>
        <v>2.1</v>
      </c>
      <c r="AG282" s="3">
        <f t="shared" si="12"/>
        <v>1</v>
      </c>
    </row>
    <row r="283">
      <c r="A283" s="1" t="s">
        <v>10</v>
      </c>
      <c r="B283" s="1" t="s">
        <v>473</v>
      </c>
      <c r="C283" s="1" t="s">
        <v>19</v>
      </c>
      <c r="D283" s="1" t="s">
        <v>134</v>
      </c>
      <c r="E283" s="1" t="s">
        <v>67</v>
      </c>
      <c r="F283" s="1" t="s">
        <v>658</v>
      </c>
      <c r="G283" s="1">
        <v>53.5</v>
      </c>
      <c r="H283" s="1" t="s">
        <v>60</v>
      </c>
      <c r="I283" s="1">
        <v>-112.0</v>
      </c>
      <c r="J283" s="1">
        <v>-0.125532350267449</v>
      </c>
      <c r="K283" s="1" t="s">
        <v>61</v>
      </c>
      <c r="L283" s="1" t="s">
        <v>61</v>
      </c>
      <c r="M283" s="1" t="s">
        <v>62</v>
      </c>
      <c r="N283" s="1">
        <v>-117.0</v>
      </c>
      <c r="O283" s="1">
        <v>0.0580642621974812</v>
      </c>
      <c r="P283" s="1" t="s">
        <v>61</v>
      </c>
      <c r="Q283" s="1" t="s">
        <v>61</v>
      </c>
      <c r="R283" s="1">
        <f t="shared" si="1"/>
        <v>0.0580642622</v>
      </c>
      <c r="S283" s="1">
        <f t="shared" si="2"/>
        <v>-117</v>
      </c>
      <c r="T283" s="1">
        <f t="shared" si="3"/>
        <v>1.854700855</v>
      </c>
      <c r="U283" s="1">
        <f t="shared" si="4"/>
        <v>0</v>
      </c>
      <c r="V283" s="3">
        <f t="shared" si="5"/>
        <v>2</v>
      </c>
      <c r="W283" s="3">
        <f t="shared" si="6"/>
        <v>2</v>
      </c>
      <c r="X283" s="3" t="str">
        <f>IFERROR(__xludf.DUMMYFUNCTION("split(B283,"" "")"),"A.")</f>
        <v>A.</v>
      </c>
      <c r="Y283" s="3" t="str">
        <f>IFERROR(__xludf.DUMMYFUNCTION("""COMPUTED_VALUE"""),"Mattison")</f>
        <v>Mattison</v>
      </c>
      <c r="AA283" s="8">
        <v>36.0</v>
      </c>
      <c r="AB283" s="3">
        <f t="shared" si="7"/>
        <v>0</v>
      </c>
      <c r="AC283" s="3">
        <f t="shared" si="8"/>
        <v>1</v>
      </c>
      <c r="AD283" s="3">
        <f t="shared" si="9"/>
        <v>1.709401709</v>
      </c>
      <c r="AE283" s="3">
        <f t="shared" si="10"/>
        <v>1.709401709</v>
      </c>
      <c r="AF283" s="3">
        <f t="shared" si="11"/>
        <v>1.709401709</v>
      </c>
      <c r="AG283" s="3">
        <f t="shared" si="12"/>
        <v>0.3271028037</v>
      </c>
    </row>
    <row r="284">
      <c r="A284" s="1" t="s">
        <v>14</v>
      </c>
      <c r="B284" s="1" t="s">
        <v>474</v>
      </c>
      <c r="C284" s="1" t="s">
        <v>21</v>
      </c>
      <c r="D284" s="1" t="s">
        <v>134</v>
      </c>
      <c r="E284" s="1" t="s">
        <v>67</v>
      </c>
      <c r="F284" s="1" t="s">
        <v>658</v>
      </c>
      <c r="G284" s="1">
        <v>1.5</v>
      </c>
      <c r="H284" s="1" t="s">
        <v>60</v>
      </c>
      <c r="I284" s="1">
        <v>197.0</v>
      </c>
      <c r="J284" s="1">
        <v>0.0541996632996632</v>
      </c>
      <c r="K284" s="1" t="s">
        <v>61</v>
      </c>
      <c r="L284" s="1" t="s">
        <v>61</v>
      </c>
      <c r="M284" s="1" t="s">
        <v>62</v>
      </c>
      <c r="N284" s="1">
        <v>-257.0</v>
      </c>
      <c r="O284" s="1">
        <v>-0.110787955182072</v>
      </c>
      <c r="P284" s="1" t="s">
        <v>61</v>
      </c>
      <c r="Q284" s="1" t="s">
        <v>61</v>
      </c>
      <c r="R284" s="1">
        <f t="shared" si="1"/>
        <v>0.0541996633</v>
      </c>
      <c r="S284" s="1">
        <f t="shared" si="2"/>
        <v>197</v>
      </c>
      <c r="T284" s="1">
        <f t="shared" si="3"/>
        <v>2.97</v>
      </c>
      <c r="U284" s="1">
        <f t="shared" si="4"/>
        <v>1</v>
      </c>
      <c r="V284" s="3">
        <f t="shared" si="5"/>
        <v>2</v>
      </c>
      <c r="W284" s="3">
        <f t="shared" si="6"/>
        <v>1</v>
      </c>
      <c r="X284" s="3" t="str">
        <f>IFERROR(__xludf.DUMMYFUNCTION("split(B284,"" "")"),"G.")</f>
        <v>G.</v>
      </c>
      <c r="Y284" s="3" t="str">
        <f>IFERROR(__xludf.DUMMYFUNCTION("""COMPUTED_VALUE"""),"Minshew")</f>
        <v>Minshew</v>
      </c>
      <c r="AA284" s="8">
        <v>0.0</v>
      </c>
      <c r="AB284" s="3">
        <f t="shared" si="7"/>
        <v>0</v>
      </c>
      <c r="AC284" s="3">
        <f t="shared" si="8"/>
        <v>0</v>
      </c>
      <c r="AD284" s="3">
        <f t="shared" si="9"/>
        <v>3.94</v>
      </c>
      <c r="AE284" s="3">
        <f t="shared" si="10"/>
        <v>-2</v>
      </c>
      <c r="AF284" s="3">
        <f t="shared" si="11"/>
        <v>-1</v>
      </c>
      <c r="AG284" s="3">
        <f t="shared" si="12"/>
        <v>-1</v>
      </c>
    </row>
    <row r="285">
      <c r="A285" s="1" t="s">
        <v>12</v>
      </c>
      <c r="B285" s="1" t="s">
        <v>278</v>
      </c>
      <c r="C285" s="1" t="s">
        <v>18</v>
      </c>
      <c r="D285" s="1" t="s">
        <v>134</v>
      </c>
      <c r="E285" s="1" t="s">
        <v>67</v>
      </c>
      <c r="F285" s="1" t="s">
        <v>658</v>
      </c>
      <c r="G285" s="1">
        <v>4.5</v>
      </c>
      <c r="H285" s="1" t="s">
        <v>60</v>
      </c>
      <c r="I285" s="1">
        <v>-150.0</v>
      </c>
      <c r="J285" s="1">
        <v>-0.12128</v>
      </c>
      <c r="K285" s="1" t="s">
        <v>61</v>
      </c>
      <c r="L285" s="1" t="s">
        <v>61</v>
      </c>
      <c r="M285" s="1" t="s">
        <v>62</v>
      </c>
      <c r="N285" s="1">
        <v>114.0</v>
      </c>
      <c r="O285" s="1">
        <v>0.054003738317757</v>
      </c>
      <c r="P285" s="1" t="s">
        <v>61</v>
      </c>
      <c r="Q285" s="1" t="s">
        <v>61</v>
      </c>
      <c r="R285" s="1">
        <f t="shared" si="1"/>
        <v>0.05400373832</v>
      </c>
      <c r="S285" s="1">
        <f t="shared" si="2"/>
        <v>114</v>
      </c>
      <c r="T285" s="1">
        <f t="shared" si="3"/>
        <v>2.14</v>
      </c>
      <c r="U285" s="1">
        <f t="shared" si="4"/>
        <v>0</v>
      </c>
      <c r="V285" s="3">
        <f t="shared" si="5"/>
        <v>2</v>
      </c>
      <c r="W285" s="3">
        <f t="shared" si="6"/>
        <v>1</v>
      </c>
      <c r="X285" s="3" t="str">
        <f>IFERROR(__xludf.DUMMYFUNCTION("split(B285,"" "")"),"J.")</f>
        <v>J.</v>
      </c>
      <c r="Y285" s="3" t="str">
        <f>IFERROR(__xludf.DUMMYFUNCTION("""COMPUTED_VALUE"""),"Meyers")</f>
        <v>Meyers</v>
      </c>
      <c r="AA285" s="8">
        <v>8.0</v>
      </c>
      <c r="AB285" s="3">
        <f t="shared" si="7"/>
        <v>1</v>
      </c>
      <c r="AC285" s="3">
        <f t="shared" si="8"/>
        <v>0</v>
      </c>
      <c r="AD285" s="3">
        <f t="shared" si="9"/>
        <v>2.28</v>
      </c>
      <c r="AE285" s="3">
        <f t="shared" si="10"/>
        <v>-2</v>
      </c>
      <c r="AF285" s="3">
        <f t="shared" si="11"/>
        <v>-1</v>
      </c>
      <c r="AG285" s="3">
        <f t="shared" si="12"/>
        <v>-0.7777777778</v>
      </c>
    </row>
    <row r="286">
      <c r="A286" s="1" t="s">
        <v>11</v>
      </c>
      <c r="B286" s="1" t="s">
        <v>278</v>
      </c>
      <c r="C286" s="1" t="s">
        <v>18</v>
      </c>
      <c r="D286" s="1" t="s">
        <v>134</v>
      </c>
      <c r="E286" s="1" t="s">
        <v>67</v>
      </c>
      <c r="F286" s="1" t="s">
        <v>658</v>
      </c>
      <c r="G286" s="1">
        <v>53.5</v>
      </c>
      <c r="H286" s="1" t="s">
        <v>60</v>
      </c>
      <c r="I286" s="1">
        <v>-119.0</v>
      </c>
      <c r="J286" s="1">
        <v>-0.0981331185219722</v>
      </c>
      <c r="K286" s="1" t="s">
        <v>61</v>
      </c>
      <c r="L286" s="1" t="s">
        <v>61</v>
      </c>
      <c r="M286" s="1" t="s">
        <v>62</v>
      </c>
      <c r="N286" s="1">
        <v>-109.0</v>
      </c>
      <c r="O286" s="1">
        <v>0.0332162262183731</v>
      </c>
      <c r="P286" s="1" t="s">
        <v>61</v>
      </c>
      <c r="Q286" s="1" t="s">
        <v>61</v>
      </c>
      <c r="R286" s="1">
        <f t="shared" si="1"/>
        <v>0.03321622622</v>
      </c>
      <c r="S286" s="1">
        <f t="shared" si="2"/>
        <v>-109</v>
      </c>
      <c r="T286" s="1">
        <f t="shared" si="3"/>
        <v>1.917431193</v>
      </c>
      <c r="U286" s="1">
        <f t="shared" si="4"/>
        <v>0</v>
      </c>
      <c r="V286" s="3">
        <f t="shared" si="5"/>
        <v>1</v>
      </c>
      <c r="W286" s="3">
        <f t="shared" si="6"/>
        <v>2</v>
      </c>
      <c r="X286" s="3" t="str">
        <f>IFERROR(__xludf.DUMMYFUNCTION("split(B286,"" "")"),"J.")</f>
        <v>J.</v>
      </c>
      <c r="Y286" s="3" t="str">
        <f>IFERROR(__xludf.DUMMYFUNCTION("""COMPUTED_VALUE"""),"Meyers")</f>
        <v>Meyers</v>
      </c>
      <c r="AA286" s="8">
        <v>105.0</v>
      </c>
      <c r="AB286" s="3">
        <f t="shared" si="7"/>
        <v>1</v>
      </c>
      <c r="AC286" s="3">
        <f t="shared" si="8"/>
        <v>0</v>
      </c>
      <c r="AD286" s="3">
        <f t="shared" si="9"/>
        <v>0.9174311927</v>
      </c>
      <c r="AE286" s="3">
        <f t="shared" si="10"/>
        <v>-1</v>
      </c>
      <c r="AF286" s="3">
        <f t="shared" si="11"/>
        <v>-2</v>
      </c>
      <c r="AG286" s="3">
        <f t="shared" si="12"/>
        <v>-0.9626168224</v>
      </c>
    </row>
    <row r="287">
      <c r="A287" s="1" t="s">
        <v>10</v>
      </c>
      <c r="B287" s="1" t="s">
        <v>474</v>
      </c>
      <c r="C287" s="1" t="s">
        <v>21</v>
      </c>
      <c r="D287" s="1" t="s">
        <v>134</v>
      </c>
      <c r="E287" s="1" t="s">
        <v>67</v>
      </c>
      <c r="F287" s="1" t="s">
        <v>658</v>
      </c>
      <c r="G287" s="1">
        <v>7.5</v>
      </c>
      <c r="H287" s="1" t="s">
        <v>60</v>
      </c>
      <c r="I287" s="1">
        <v>-101.0</v>
      </c>
      <c r="J287" s="1">
        <v>0.0315784803858296</v>
      </c>
      <c r="K287" s="1" t="s">
        <v>61</v>
      </c>
      <c r="L287" s="1" t="s">
        <v>61</v>
      </c>
      <c r="M287" s="1" t="s">
        <v>62</v>
      </c>
      <c r="N287" s="1">
        <v>-130.0</v>
      </c>
      <c r="O287" s="1">
        <v>-0.0992652040209448</v>
      </c>
      <c r="P287" s="1" t="s">
        <v>61</v>
      </c>
      <c r="Q287" s="1" t="s">
        <v>61</v>
      </c>
      <c r="R287" s="1">
        <f t="shared" si="1"/>
        <v>0.03157848039</v>
      </c>
      <c r="S287" s="1">
        <f t="shared" si="2"/>
        <v>-101</v>
      </c>
      <c r="T287" s="1">
        <f t="shared" si="3"/>
        <v>1.99009901</v>
      </c>
      <c r="U287" s="1">
        <f t="shared" si="4"/>
        <v>1</v>
      </c>
      <c r="V287" s="3">
        <f t="shared" si="5"/>
        <v>1</v>
      </c>
      <c r="W287" s="3">
        <f t="shared" si="6"/>
        <v>2</v>
      </c>
      <c r="X287" s="3" t="str">
        <f>IFERROR(__xludf.DUMMYFUNCTION("split(B287,"" "")"),"G.")</f>
        <v>G.</v>
      </c>
      <c r="Y287" s="3" t="str">
        <f>IFERROR(__xludf.DUMMYFUNCTION("""COMPUTED_VALUE"""),"Minshew")</f>
        <v>Minshew</v>
      </c>
      <c r="AA287" s="8">
        <v>0.0</v>
      </c>
      <c r="AB287" s="3">
        <f t="shared" si="7"/>
        <v>0</v>
      </c>
      <c r="AC287" s="3">
        <f t="shared" si="8"/>
        <v>0</v>
      </c>
      <c r="AD287" s="3">
        <f t="shared" si="9"/>
        <v>0.9900990099</v>
      </c>
      <c r="AE287" s="3">
        <f t="shared" si="10"/>
        <v>-1</v>
      </c>
      <c r="AF287" s="3">
        <f t="shared" si="11"/>
        <v>-2</v>
      </c>
      <c r="AG287" s="3">
        <f t="shared" si="12"/>
        <v>-1</v>
      </c>
    </row>
    <row r="288">
      <c r="A288" s="1" t="s">
        <v>11</v>
      </c>
      <c r="B288" s="1" t="s">
        <v>473</v>
      </c>
      <c r="C288" s="1" t="s">
        <v>19</v>
      </c>
      <c r="D288" s="1" t="s">
        <v>134</v>
      </c>
      <c r="E288" s="1" t="s">
        <v>67</v>
      </c>
      <c r="F288" s="1" t="s">
        <v>658</v>
      </c>
      <c r="G288" s="1">
        <v>17.5</v>
      </c>
      <c r="H288" s="1" t="s">
        <v>60</v>
      </c>
      <c r="I288" s="1">
        <v>-119.0</v>
      </c>
      <c r="J288" s="1">
        <v>-0.0966970275721528</v>
      </c>
      <c r="K288" s="1" t="s">
        <v>61</v>
      </c>
      <c r="L288" s="1" t="s">
        <v>61</v>
      </c>
      <c r="M288" s="1" t="s">
        <v>62</v>
      </c>
      <c r="N288" s="1">
        <v>-110.0</v>
      </c>
      <c r="O288" s="1">
        <v>0.0295847330577697</v>
      </c>
      <c r="P288" s="1" t="s">
        <v>61</v>
      </c>
      <c r="Q288" s="1" t="s">
        <v>61</v>
      </c>
      <c r="R288" s="1">
        <f t="shared" si="1"/>
        <v>0.02958473306</v>
      </c>
      <c r="S288" s="1">
        <f t="shared" si="2"/>
        <v>-110</v>
      </c>
      <c r="T288" s="1">
        <f t="shared" si="3"/>
        <v>1.909090909</v>
      </c>
      <c r="U288" s="1">
        <f t="shared" si="4"/>
        <v>0</v>
      </c>
      <c r="V288" s="3">
        <f t="shared" si="5"/>
        <v>1</v>
      </c>
      <c r="W288" s="3">
        <f t="shared" si="6"/>
        <v>2</v>
      </c>
      <c r="X288" s="3" t="str">
        <f>IFERROR(__xludf.DUMMYFUNCTION("split(B288,"" "")"),"A.")</f>
        <v>A.</v>
      </c>
      <c r="Y288" s="3" t="str">
        <f>IFERROR(__xludf.DUMMYFUNCTION("""COMPUTED_VALUE"""),"Mattison")</f>
        <v>Mattison</v>
      </c>
      <c r="AA288" s="8">
        <v>0.0</v>
      </c>
      <c r="AB288" s="3">
        <f t="shared" si="7"/>
        <v>0</v>
      </c>
      <c r="AC288" s="3">
        <f t="shared" si="8"/>
        <v>1</v>
      </c>
      <c r="AD288" s="3">
        <f t="shared" si="9"/>
        <v>0.9090909091</v>
      </c>
      <c r="AE288" s="3">
        <f t="shared" si="10"/>
        <v>0.9090909091</v>
      </c>
      <c r="AF288" s="3">
        <f t="shared" si="11"/>
        <v>1.818181818</v>
      </c>
      <c r="AG288" s="3">
        <f t="shared" si="12"/>
        <v>1</v>
      </c>
    </row>
    <row r="289">
      <c r="A289" s="1" t="s">
        <v>11</v>
      </c>
      <c r="B289" s="1" t="s">
        <v>593</v>
      </c>
      <c r="C289" s="1" t="s">
        <v>18</v>
      </c>
      <c r="D289" s="1" t="s">
        <v>134</v>
      </c>
      <c r="E289" s="1" t="s">
        <v>67</v>
      </c>
      <c r="F289" s="1" t="s">
        <v>658</v>
      </c>
      <c r="G289" s="1">
        <v>23.5</v>
      </c>
      <c r="H289" s="1" t="s">
        <v>60</v>
      </c>
      <c r="I289" s="1">
        <v>-114.0</v>
      </c>
      <c r="J289" s="1">
        <v>-0.0984147011500186</v>
      </c>
      <c r="K289" s="1" t="s">
        <v>61</v>
      </c>
      <c r="L289" s="1" t="s">
        <v>61</v>
      </c>
      <c r="M289" s="1" t="s">
        <v>62</v>
      </c>
      <c r="N289" s="1">
        <v>-116.0</v>
      </c>
      <c r="O289" s="1">
        <v>0.0287277472846325</v>
      </c>
      <c r="P289" s="1" t="s">
        <v>61</v>
      </c>
      <c r="Q289" s="1" t="s">
        <v>61</v>
      </c>
      <c r="R289" s="1">
        <f t="shared" si="1"/>
        <v>0.02872774728</v>
      </c>
      <c r="S289" s="1">
        <f t="shared" si="2"/>
        <v>-116</v>
      </c>
      <c r="T289" s="1">
        <f t="shared" si="3"/>
        <v>1.862068966</v>
      </c>
      <c r="U289" s="1">
        <f t="shared" si="4"/>
        <v>0</v>
      </c>
      <c r="V289" s="3">
        <f t="shared" si="5"/>
        <v>1</v>
      </c>
      <c r="W289" s="3">
        <f t="shared" si="6"/>
        <v>2</v>
      </c>
      <c r="X289" s="3" t="str">
        <f>IFERROR(__xludf.DUMMYFUNCTION("split(B289,"" "")"),"D.")</f>
        <v>D.</v>
      </c>
      <c r="Y289" s="3" t="str">
        <f>IFERROR(__xludf.DUMMYFUNCTION("""COMPUTED_VALUE"""),"Turner")</f>
        <v>Turner</v>
      </c>
      <c r="AA289" s="8">
        <v>0.0</v>
      </c>
      <c r="AB289" s="3">
        <f t="shared" si="7"/>
        <v>0</v>
      </c>
      <c r="AC289" s="3">
        <f t="shared" si="8"/>
        <v>1</v>
      </c>
      <c r="AD289" s="3">
        <f t="shared" si="9"/>
        <v>0.8620689655</v>
      </c>
      <c r="AE289" s="3">
        <f t="shared" si="10"/>
        <v>0.8620689655</v>
      </c>
      <c r="AF289" s="3">
        <f t="shared" si="11"/>
        <v>1.724137931</v>
      </c>
      <c r="AG289" s="3">
        <f t="shared" si="12"/>
        <v>1</v>
      </c>
    </row>
    <row r="290">
      <c r="A290" s="1" t="s">
        <v>9</v>
      </c>
      <c r="B290" s="1" t="s">
        <v>486</v>
      </c>
      <c r="C290" s="1" t="s">
        <v>18</v>
      </c>
      <c r="D290" s="1" t="s">
        <v>134</v>
      </c>
      <c r="E290" s="1" t="s">
        <v>67</v>
      </c>
      <c r="F290" s="1" t="s">
        <v>658</v>
      </c>
      <c r="G290" s="1">
        <v>35.5</v>
      </c>
      <c r="H290" s="1" t="s">
        <v>60</v>
      </c>
      <c r="I290" s="1">
        <v>-117.0</v>
      </c>
      <c r="J290" s="1">
        <v>0.0285566680905118</v>
      </c>
      <c r="K290" s="1" t="s">
        <v>61</v>
      </c>
      <c r="L290" s="1" t="s">
        <v>61</v>
      </c>
      <c r="M290" s="1" t="s">
        <v>62</v>
      </c>
      <c r="N290" s="1">
        <v>-115.0</v>
      </c>
      <c r="O290" s="1">
        <v>-0.102615262892963</v>
      </c>
      <c r="P290" s="1" t="s">
        <v>61</v>
      </c>
      <c r="Q290" s="1" t="s">
        <v>61</v>
      </c>
      <c r="R290" s="1">
        <f t="shared" si="1"/>
        <v>0.02855666809</v>
      </c>
      <c r="S290" s="1">
        <f t="shared" si="2"/>
        <v>-117</v>
      </c>
      <c r="T290" s="1">
        <f t="shared" si="3"/>
        <v>1.854700855</v>
      </c>
      <c r="U290" s="1">
        <f t="shared" si="4"/>
        <v>1</v>
      </c>
      <c r="V290" s="3">
        <f t="shared" si="5"/>
        <v>1</v>
      </c>
      <c r="W290" s="3">
        <f t="shared" si="6"/>
        <v>2</v>
      </c>
      <c r="X290" s="3" t="str">
        <f>IFERROR(__xludf.DUMMYFUNCTION("split(B290,"" "")"),"T.")</f>
        <v>T.</v>
      </c>
      <c r="Y290" s="3" t="str">
        <f>IFERROR(__xludf.DUMMYFUNCTION("""COMPUTED_VALUE"""),"Tucker")</f>
        <v>Tucker</v>
      </c>
      <c r="AA290" s="8">
        <v>5.0</v>
      </c>
      <c r="AB290" s="3">
        <f t="shared" si="7"/>
        <v>0</v>
      </c>
      <c r="AC290" s="3">
        <f t="shared" si="8"/>
        <v>0</v>
      </c>
      <c r="AD290" s="3">
        <f t="shared" si="9"/>
        <v>0.8547008547</v>
      </c>
      <c r="AE290" s="3">
        <f t="shared" si="10"/>
        <v>-1</v>
      </c>
      <c r="AF290" s="3">
        <f t="shared" si="11"/>
        <v>-2</v>
      </c>
      <c r="AG290" s="3">
        <f t="shared" si="12"/>
        <v>-0.8591549296</v>
      </c>
    </row>
    <row r="291">
      <c r="A291" s="1" t="s">
        <v>15</v>
      </c>
      <c r="B291" s="1" t="s">
        <v>474</v>
      </c>
      <c r="C291" s="1" t="s">
        <v>21</v>
      </c>
      <c r="D291" s="1" t="s">
        <v>134</v>
      </c>
      <c r="E291" s="1" t="s">
        <v>67</v>
      </c>
      <c r="F291" s="1" t="s">
        <v>658</v>
      </c>
      <c r="G291" s="1">
        <v>21.5</v>
      </c>
      <c r="H291" s="1" t="s">
        <v>60</v>
      </c>
      <c r="I291" s="1">
        <v>-105.0</v>
      </c>
      <c r="J291" s="1">
        <v>0.017351219512195</v>
      </c>
      <c r="K291" s="1" t="s">
        <v>61</v>
      </c>
      <c r="L291" s="1" t="s">
        <v>61</v>
      </c>
      <c r="M291" s="1" t="s">
        <v>62</v>
      </c>
      <c r="N291" s="1">
        <v>-125.0</v>
      </c>
      <c r="O291" s="1">
        <v>-0.0851222222222222</v>
      </c>
      <c r="P291" s="1" t="s">
        <v>61</v>
      </c>
      <c r="Q291" s="1" t="s">
        <v>61</v>
      </c>
      <c r="R291" s="1">
        <f t="shared" si="1"/>
        <v>0.01735121951</v>
      </c>
      <c r="S291" s="1">
        <f t="shared" si="2"/>
        <v>-105</v>
      </c>
      <c r="T291" s="1">
        <f t="shared" si="3"/>
        <v>1.952380952</v>
      </c>
      <c r="U291" s="1">
        <f t="shared" si="4"/>
        <v>1</v>
      </c>
      <c r="V291" s="3">
        <f t="shared" si="5"/>
        <v>1</v>
      </c>
      <c r="W291" s="3">
        <f t="shared" si="6"/>
        <v>2</v>
      </c>
      <c r="X291" s="3" t="str">
        <f>IFERROR(__xludf.DUMMYFUNCTION("split(B291,"" "")"),"G.")</f>
        <v>G.</v>
      </c>
      <c r="Y291" s="3" t="str">
        <f>IFERROR(__xludf.DUMMYFUNCTION("""COMPUTED_VALUE"""),"Minshew")</f>
        <v>Minshew</v>
      </c>
      <c r="AA291" s="8">
        <v>10.0</v>
      </c>
      <c r="AB291" s="3">
        <f t="shared" si="7"/>
        <v>0</v>
      </c>
      <c r="AC291" s="3">
        <f t="shared" si="8"/>
        <v>0</v>
      </c>
      <c r="AD291" s="3">
        <f t="shared" si="9"/>
        <v>0.9523809524</v>
      </c>
      <c r="AE291" s="3">
        <f t="shared" si="10"/>
        <v>-1</v>
      </c>
      <c r="AF291" s="3">
        <f t="shared" si="11"/>
        <v>-2</v>
      </c>
      <c r="AG291" s="3">
        <f t="shared" si="12"/>
        <v>-0.5348837209</v>
      </c>
    </row>
    <row r="292">
      <c r="A292" s="1" t="s">
        <v>9</v>
      </c>
      <c r="B292" s="1" t="s">
        <v>593</v>
      </c>
      <c r="C292" s="1" t="s">
        <v>18</v>
      </c>
      <c r="D292" s="1" t="s">
        <v>134</v>
      </c>
      <c r="E292" s="1" t="s">
        <v>67</v>
      </c>
      <c r="F292" s="1" t="s">
        <v>658</v>
      </c>
      <c r="G292" s="1">
        <v>26.5</v>
      </c>
      <c r="H292" s="1" t="s">
        <v>60</v>
      </c>
      <c r="I292" s="1">
        <v>-117.0</v>
      </c>
      <c r="J292" s="1">
        <v>0.00987804711014317</v>
      </c>
      <c r="K292" s="1" t="s">
        <v>61</v>
      </c>
      <c r="L292" s="1" t="s">
        <v>61</v>
      </c>
      <c r="M292" s="1" t="s">
        <v>62</v>
      </c>
      <c r="N292" s="1">
        <v>-115.0</v>
      </c>
      <c r="O292" s="1">
        <v>-0.0839079379364476</v>
      </c>
      <c r="P292" s="1" t="s">
        <v>61</v>
      </c>
      <c r="Q292" s="1" t="s">
        <v>61</v>
      </c>
      <c r="R292" s="1">
        <f t="shared" si="1"/>
        <v>0.00987804711</v>
      </c>
      <c r="S292" s="1">
        <f t="shared" si="2"/>
        <v>-117</v>
      </c>
      <c r="T292" s="1">
        <f t="shared" si="3"/>
        <v>1.854700855</v>
      </c>
      <c r="U292" s="1">
        <f t="shared" si="4"/>
        <v>1</v>
      </c>
      <c r="V292" s="3">
        <f t="shared" si="5"/>
        <v>1</v>
      </c>
      <c r="W292" s="3">
        <f t="shared" si="6"/>
        <v>2</v>
      </c>
      <c r="X292" s="3" t="str">
        <f>IFERROR(__xludf.DUMMYFUNCTION("split(B292,"" "")"),"D.")</f>
        <v>D.</v>
      </c>
      <c r="Y292" s="3" t="str">
        <f>IFERROR(__xludf.DUMMYFUNCTION("""COMPUTED_VALUE"""),"Turner")</f>
        <v>Turner</v>
      </c>
      <c r="AA292" s="8">
        <v>0.0</v>
      </c>
      <c r="AB292" s="3">
        <f t="shared" si="7"/>
        <v>0</v>
      </c>
      <c r="AC292" s="3">
        <f t="shared" si="8"/>
        <v>0</v>
      </c>
      <c r="AD292" s="3">
        <f t="shared" si="9"/>
        <v>0.8547008547</v>
      </c>
      <c r="AE292" s="3">
        <f t="shared" si="10"/>
        <v>-1</v>
      </c>
      <c r="AF292" s="3">
        <f t="shared" si="11"/>
        <v>-2</v>
      </c>
      <c r="AG292" s="3">
        <f t="shared" si="12"/>
        <v>-1</v>
      </c>
    </row>
    <row r="293">
      <c r="A293" s="1" t="s">
        <v>11</v>
      </c>
      <c r="B293" s="1" t="s">
        <v>494</v>
      </c>
      <c r="C293" s="1" t="s">
        <v>20</v>
      </c>
      <c r="D293" s="1" t="s">
        <v>134</v>
      </c>
      <c r="E293" s="1" t="s">
        <v>67</v>
      </c>
      <c r="F293" s="1" t="s">
        <v>658</v>
      </c>
      <c r="G293" s="1">
        <v>60.5</v>
      </c>
      <c r="H293" s="1" t="s">
        <v>60</v>
      </c>
      <c r="I293" s="1">
        <v>-110.0</v>
      </c>
      <c r="J293" s="1">
        <v>-0.0688479774847986</v>
      </c>
      <c r="K293" s="1" t="s">
        <v>61</v>
      </c>
      <c r="L293" s="1" t="s">
        <v>61</v>
      </c>
      <c r="M293" s="1" t="s">
        <v>62</v>
      </c>
      <c r="N293" s="1">
        <v>-118.0</v>
      </c>
      <c r="O293" s="1">
        <v>0.00378563819999844</v>
      </c>
      <c r="P293" s="1" t="s">
        <v>61</v>
      </c>
      <c r="Q293" s="1" t="s">
        <v>61</v>
      </c>
      <c r="R293" s="1">
        <f t="shared" si="1"/>
        <v>0.0037856382</v>
      </c>
      <c r="S293" s="1">
        <f t="shared" si="2"/>
        <v>-118</v>
      </c>
      <c r="T293" s="1">
        <f t="shared" si="3"/>
        <v>1.847457627</v>
      </c>
      <c r="U293" s="1">
        <f t="shared" si="4"/>
        <v>0</v>
      </c>
      <c r="V293" s="3">
        <f t="shared" si="5"/>
        <v>1</v>
      </c>
      <c r="W293" s="3">
        <f t="shared" si="6"/>
        <v>3</v>
      </c>
      <c r="X293" s="3" t="str">
        <f>IFERROR(__xludf.DUMMYFUNCTION("split(B293,"" "")"),"B.")</f>
        <v>B.</v>
      </c>
      <c r="Y293" s="3" t="str">
        <f>IFERROR(__xludf.DUMMYFUNCTION("""COMPUTED_VALUE"""),"Bowers")</f>
        <v>Bowers</v>
      </c>
      <c r="AA293" s="8">
        <v>45.0</v>
      </c>
      <c r="AB293" s="3">
        <f t="shared" si="7"/>
        <v>0</v>
      </c>
      <c r="AC293" s="3">
        <f t="shared" si="8"/>
        <v>1</v>
      </c>
      <c r="AD293" s="3">
        <f t="shared" si="9"/>
        <v>0.8474576271</v>
      </c>
      <c r="AE293" s="3">
        <f t="shared" si="10"/>
        <v>0.8474576271</v>
      </c>
      <c r="AF293" s="3">
        <f t="shared" si="11"/>
        <v>2.542372881</v>
      </c>
      <c r="AG293" s="3">
        <f t="shared" si="12"/>
        <v>0.2561983471</v>
      </c>
    </row>
    <row r="294">
      <c r="A294" s="1" t="s">
        <v>10</v>
      </c>
      <c r="B294" s="1" t="s">
        <v>441</v>
      </c>
      <c r="C294" s="1" t="s">
        <v>18</v>
      </c>
      <c r="D294" s="1" t="s">
        <v>94</v>
      </c>
      <c r="E294" s="1" t="s">
        <v>104</v>
      </c>
      <c r="F294" s="1" t="s">
        <v>658</v>
      </c>
      <c r="G294" s="1">
        <v>0.5</v>
      </c>
      <c r="H294" s="1" t="s">
        <v>60</v>
      </c>
      <c r="I294" s="1">
        <v>115.0</v>
      </c>
      <c r="J294" s="1">
        <v>0.161077196395955</v>
      </c>
      <c r="K294" s="1" t="s">
        <v>61</v>
      </c>
      <c r="L294" s="1" t="s">
        <v>61</v>
      </c>
      <c r="M294" s="1" t="s">
        <v>62</v>
      </c>
      <c r="N294" s="1">
        <v>-150.0</v>
      </c>
      <c r="O294" s="1">
        <v>-0.226144304819811</v>
      </c>
      <c r="P294" s="1" t="s">
        <v>61</v>
      </c>
      <c r="Q294" s="1" t="s">
        <v>61</v>
      </c>
      <c r="R294" s="1">
        <f t="shared" si="1"/>
        <v>0.1610771964</v>
      </c>
      <c r="S294" s="1">
        <f t="shared" si="2"/>
        <v>115</v>
      </c>
      <c r="T294" s="1">
        <f t="shared" si="3"/>
        <v>2.15</v>
      </c>
      <c r="U294" s="1">
        <f t="shared" si="4"/>
        <v>1</v>
      </c>
      <c r="V294" s="3">
        <f t="shared" si="5"/>
        <v>3</v>
      </c>
      <c r="W294" s="3">
        <f t="shared" si="6"/>
        <v>1</v>
      </c>
      <c r="X294" s="3" t="str">
        <f>IFERROR(__xludf.DUMMYFUNCTION("split(B294,"" "")"),"T.")</f>
        <v>T.</v>
      </c>
      <c r="Y294" s="3" t="str">
        <f>IFERROR(__xludf.DUMMYFUNCTION("""COMPUTED_VALUE"""),"Hill")</f>
        <v>Hill</v>
      </c>
      <c r="AA294" s="9">
        <v>0.0</v>
      </c>
      <c r="AB294" s="3">
        <f t="shared" si="7"/>
        <v>0</v>
      </c>
      <c r="AC294" s="3">
        <f t="shared" si="8"/>
        <v>0</v>
      </c>
      <c r="AD294" s="3">
        <f t="shared" si="9"/>
        <v>3.45</v>
      </c>
      <c r="AE294" s="3">
        <f t="shared" si="10"/>
        <v>-3</v>
      </c>
      <c r="AF294" s="3">
        <f t="shared" si="11"/>
        <v>-1</v>
      </c>
      <c r="AG294" s="3">
        <f t="shared" si="12"/>
        <v>-1</v>
      </c>
    </row>
    <row r="295">
      <c r="A295" s="1" t="s">
        <v>8</v>
      </c>
      <c r="B295" s="1" t="s">
        <v>280</v>
      </c>
      <c r="C295" s="1" t="s">
        <v>19</v>
      </c>
      <c r="D295" s="1" t="s">
        <v>94</v>
      </c>
      <c r="E295" s="1" t="s">
        <v>104</v>
      </c>
      <c r="F295" s="1" t="s">
        <v>658</v>
      </c>
      <c r="G295" s="1">
        <v>7.5</v>
      </c>
      <c r="H295" s="1" t="s">
        <v>60</v>
      </c>
      <c r="I295" s="1">
        <v>-124.0</v>
      </c>
      <c r="J295" s="1">
        <v>-0.228747512044197</v>
      </c>
      <c r="K295" s="1" t="s">
        <v>61</v>
      </c>
      <c r="L295" s="1" t="s">
        <v>61</v>
      </c>
      <c r="M295" s="1" t="s">
        <v>62</v>
      </c>
      <c r="N295" s="1">
        <v>-106.0</v>
      </c>
      <c r="O295" s="1">
        <v>0.160624588639681</v>
      </c>
      <c r="P295" s="1" t="s">
        <v>61</v>
      </c>
      <c r="Q295" s="1" t="s">
        <v>61</v>
      </c>
      <c r="R295" s="1">
        <f t="shared" si="1"/>
        <v>0.1606245886</v>
      </c>
      <c r="S295" s="1">
        <f t="shared" si="2"/>
        <v>-106</v>
      </c>
      <c r="T295" s="1">
        <f t="shared" si="3"/>
        <v>1.943396226</v>
      </c>
      <c r="U295" s="1">
        <f t="shared" si="4"/>
        <v>0</v>
      </c>
      <c r="V295" s="3">
        <f t="shared" si="5"/>
        <v>3</v>
      </c>
      <c r="W295" s="3">
        <f t="shared" si="6"/>
        <v>2</v>
      </c>
      <c r="X295" s="3" t="str">
        <f>IFERROR(__xludf.DUMMYFUNCTION("split(B295,"" "")"),"R.")</f>
        <v>R.</v>
      </c>
      <c r="Y295" s="3" t="str">
        <f>IFERROR(__xludf.DUMMYFUNCTION("""COMPUTED_VALUE"""),"Mostert")</f>
        <v>Mostert</v>
      </c>
      <c r="AA295" s="8">
        <v>10.0</v>
      </c>
      <c r="AB295" s="3">
        <f t="shared" si="7"/>
        <v>1</v>
      </c>
      <c r="AC295" s="3">
        <f t="shared" si="8"/>
        <v>0</v>
      </c>
      <c r="AD295" s="3">
        <f t="shared" si="9"/>
        <v>2.830188679</v>
      </c>
      <c r="AE295" s="3">
        <f t="shared" si="10"/>
        <v>-3</v>
      </c>
      <c r="AF295" s="3">
        <f t="shared" si="11"/>
        <v>-2</v>
      </c>
      <c r="AG295" s="3">
        <f t="shared" si="12"/>
        <v>-0.3333333333</v>
      </c>
    </row>
    <row r="296">
      <c r="A296" s="1" t="s">
        <v>12</v>
      </c>
      <c r="B296" s="1" t="s">
        <v>289</v>
      </c>
      <c r="C296" s="1" t="s">
        <v>19</v>
      </c>
      <c r="D296" s="1" t="s">
        <v>94</v>
      </c>
      <c r="E296" s="1" t="s">
        <v>104</v>
      </c>
      <c r="F296" s="1" t="s">
        <v>658</v>
      </c>
      <c r="G296" s="1">
        <v>4.5</v>
      </c>
      <c r="H296" s="1" t="s">
        <v>60</v>
      </c>
      <c r="I296" s="1">
        <v>-142.0</v>
      </c>
      <c r="J296" s="1">
        <v>-0.204076859504132</v>
      </c>
      <c r="K296" s="1" t="s">
        <v>61</v>
      </c>
      <c r="L296" s="1" t="s">
        <v>61</v>
      </c>
      <c r="M296" s="1" t="s">
        <v>62</v>
      </c>
      <c r="N296" s="1">
        <v>108.0</v>
      </c>
      <c r="O296" s="1">
        <v>0.136530769230769</v>
      </c>
      <c r="P296" s="1" t="s">
        <v>61</v>
      </c>
      <c r="Q296" s="1" t="s">
        <v>61</v>
      </c>
      <c r="R296" s="1">
        <f t="shared" si="1"/>
        <v>0.1365307692</v>
      </c>
      <c r="S296" s="1">
        <f t="shared" si="2"/>
        <v>108</v>
      </c>
      <c r="T296" s="1">
        <f t="shared" si="3"/>
        <v>2.08</v>
      </c>
      <c r="U296" s="1">
        <f t="shared" si="4"/>
        <v>0</v>
      </c>
      <c r="V296" s="3">
        <f t="shared" si="5"/>
        <v>3</v>
      </c>
      <c r="W296" s="3">
        <f t="shared" si="6"/>
        <v>2</v>
      </c>
      <c r="X296" s="3" t="str">
        <f>IFERROR(__xludf.DUMMYFUNCTION("split(B296,"" "")"),"D.")</f>
        <v>D.</v>
      </c>
      <c r="Y296" s="3" t="str">
        <f>IFERROR(__xludf.DUMMYFUNCTION("""COMPUTED_VALUE"""),"Achane")</f>
        <v>Achane</v>
      </c>
      <c r="AA296" s="8">
        <v>8.0</v>
      </c>
      <c r="AB296" s="3">
        <f t="shared" si="7"/>
        <v>1</v>
      </c>
      <c r="AC296" s="3">
        <f t="shared" si="8"/>
        <v>0</v>
      </c>
      <c r="AD296" s="3">
        <f t="shared" si="9"/>
        <v>3.24</v>
      </c>
      <c r="AE296" s="3">
        <f t="shared" si="10"/>
        <v>-3</v>
      </c>
      <c r="AF296" s="3">
        <f t="shared" si="11"/>
        <v>-2</v>
      </c>
      <c r="AG296" s="3">
        <f t="shared" si="12"/>
        <v>-0.7777777778</v>
      </c>
    </row>
    <row r="297">
      <c r="A297" s="1" t="s">
        <v>11</v>
      </c>
      <c r="B297" s="1" t="s">
        <v>280</v>
      </c>
      <c r="C297" s="1" t="s">
        <v>19</v>
      </c>
      <c r="D297" s="1" t="s">
        <v>94</v>
      </c>
      <c r="E297" s="1" t="s">
        <v>104</v>
      </c>
      <c r="F297" s="1" t="s">
        <v>658</v>
      </c>
      <c r="G297" s="1">
        <v>5.5</v>
      </c>
      <c r="H297" s="1" t="s">
        <v>60</v>
      </c>
      <c r="I297" s="1">
        <v>-119.0</v>
      </c>
      <c r="J297" s="1">
        <v>0.0888135296779487</v>
      </c>
      <c r="K297" s="1" t="s">
        <v>61</v>
      </c>
      <c r="L297" s="1" t="s">
        <v>61</v>
      </c>
      <c r="M297" s="1" t="s">
        <v>62</v>
      </c>
      <c r="N297" s="1">
        <v>-108.0</v>
      </c>
      <c r="O297" s="1">
        <v>-0.151408557881867</v>
      </c>
      <c r="P297" s="1" t="s">
        <v>61</v>
      </c>
      <c r="Q297" s="1" t="s">
        <v>61</v>
      </c>
      <c r="R297" s="1">
        <f t="shared" si="1"/>
        <v>0.08881352968</v>
      </c>
      <c r="S297" s="1">
        <f t="shared" si="2"/>
        <v>-119</v>
      </c>
      <c r="T297" s="1">
        <f t="shared" si="3"/>
        <v>1.840336134</v>
      </c>
      <c r="U297" s="1">
        <f t="shared" si="4"/>
        <v>1</v>
      </c>
      <c r="V297" s="3">
        <f t="shared" si="5"/>
        <v>2</v>
      </c>
      <c r="W297" s="3">
        <f t="shared" si="6"/>
        <v>3</v>
      </c>
      <c r="X297" s="3" t="str">
        <f>IFERROR(__xludf.DUMMYFUNCTION("split(B297,"" "")"),"R.")</f>
        <v>R.</v>
      </c>
      <c r="Y297" s="3" t="str">
        <f>IFERROR(__xludf.DUMMYFUNCTION("""COMPUTED_VALUE"""),"Mostert")</f>
        <v>Mostert</v>
      </c>
      <c r="AA297" s="8">
        <v>32.0</v>
      </c>
      <c r="AB297" s="3">
        <f t="shared" si="7"/>
        <v>1</v>
      </c>
      <c r="AC297" s="3">
        <f t="shared" si="8"/>
        <v>1</v>
      </c>
      <c r="AD297" s="3">
        <f t="shared" si="9"/>
        <v>1.680672269</v>
      </c>
      <c r="AE297" s="3">
        <f t="shared" si="10"/>
        <v>1.680672269</v>
      </c>
      <c r="AF297" s="3">
        <f t="shared" si="11"/>
        <v>2.521008403</v>
      </c>
      <c r="AG297" s="3">
        <f t="shared" si="12"/>
        <v>4.818181818</v>
      </c>
    </row>
    <row r="298">
      <c r="A298" s="1" t="s">
        <v>11</v>
      </c>
      <c r="B298" s="1" t="s">
        <v>289</v>
      </c>
      <c r="C298" s="1" t="s">
        <v>19</v>
      </c>
      <c r="D298" s="1" t="s">
        <v>94</v>
      </c>
      <c r="E298" s="1" t="s">
        <v>104</v>
      </c>
      <c r="F298" s="1" t="s">
        <v>658</v>
      </c>
      <c r="G298" s="1">
        <v>39.5</v>
      </c>
      <c r="H298" s="1" t="s">
        <v>60</v>
      </c>
      <c r="I298" s="1">
        <v>-116.0</v>
      </c>
      <c r="J298" s="1">
        <v>-0.154579638285694</v>
      </c>
      <c r="K298" s="1" t="s">
        <v>61</v>
      </c>
      <c r="L298" s="1" t="s">
        <v>61</v>
      </c>
      <c r="M298" s="1" t="s">
        <v>62</v>
      </c>
      <c r="N298" s="1">
        <v>-116.0</v>
      </c>
      <c r="O298" s="1">
        <v>0.0804948037554057</v>
      </c>
      <c r="P298" s="1" t="s">
        <v>61</v>
      </c>
      <c r="Q298" s="1" t="s">
        <v>61</v>
      </c>
      <c r="R298" s="1">
        <f t="shared" si="1"/>
        <v>0.08049480376</v>
      </c>
      <c r="S298" s="1">
        <f t="shared" si="2"/>
        <v>-116</v>
      </c>
      <c r="T298" s="1">
        <f t="shared" si="3"/>
        <v>1.862068966</v>
      </c>
      <c r="U298" s="1">
        <f t="shared" si="4"/>
        <v>0</v>
      </c>
      <c r="V298" s="3">
        <f t="shared" si="5"/>
        <v>2</v>
      </c>
      <c r="W298" s="3">
        <f t="shared" si="6"/>
        <v>2</v>
      </c>
      <c r="X298" s="3" t="str">
        <f>IFERROR(__xludf.DUMMYFUNCTION("split(B298,"" "")"),"D.")</f>
        <v>D.</v>
      </c>
      <c r="Y298" s="3" t="str">
        <f>IFERROR(__xludf.DUMMYFUNCTION("""COMPUTED_VALUE"""),"Achane")</f>
        <v>Achane</v>
      </c>
      <c r="AA298" s="8">
        <v>58.0</v>
      </c>
      <c r="AB298" s="3">
        <f t="shared" si="7"/>
        <v>1</v>
      </c>
      <c r="AC298" s="3">
        <f t="shared" si="8"/>
        <v>0</v>
      </c>
      <c r="AD298" s="3">
        <f t="shared" si="9"/>
        <v>1.724137931</v>
      </c>
      <c r="AE298" s="3">
        <f t="shared" si="10"/>
        <v>-2</v>
      </c>
      <c r="AF298" s="3">
        <f t="shared" si="11"/>
        <v>-2</v>
      </c>
      <c r="AG298" s="3">
        <f t="shared" si="12"/>
        <v>-0.4683544304</v>
      </c>
    </row>
    <row r="299">
      <c r="A299" s="1" t="s">
        <v>12</v>
      </c>
      <c r="B299" s="1" t="s">
        <v>475</v>
      </c>
      <c r="C299" s="1" t="s">
        <v>18</v>
      </c>
      <c r="D299" s="1" t="s">
        <v>94</v>
      </c>
      <c r="E299" s="1" t="s">
        <v>104</v>
      </c>
      <c r="F299" s="1" t="s">
        <v>658</v>
      </c>
      <c r="G299" s="1">
        <v>4.5</v>
      </c>
      <c r="H299" s="1" t="s">
        <v>60</v>
      </c>
      <c r="I299" s="1">
        <v>126.0</v>
      </c>
      <c r="J299" s="1">
        <v>0.0730221238938053</v>
      </c>
      <c r="K299" s="1" t="s">
        <v>61</v>
      </c>
      <c r="L299" s="1" t="s">
        <v>61</v>
      </c>
      <c r="M299" s="1" t="s">
        <v>62</v>
      </c>
      <c r="N299" s="1">
        <v>-166.0</v>
      </c>
      <c r="O299" s="1">
        <v>-0.139560150375939</v>
      </c>
      <c r="P299" s="1" t="s">
        <v>61</v>
      </c>
      <c r="Q299" s="1" t="s">
        <v>61</v>
      </c>
      <c r="R299" s="1">
        <f t="shared" si="1"/>
        <v>0.07302212389</v>
      </c>
      <c r="S299" s="1">
        <f t="shared" si="2"/>
        <v>126</v>
      </c>
      <c r="T299" s="1">
        <f t="shared" si="3"/>
        <v>2.26</v>
      </c>
      <c r="U299" s="1">
        <f t="shared" si="4"/>
        <v>1</v>
      </c>
      <c r="V299" s="3">
        <f t="shared" si="5"/>
        <v>2</v>
      </c>
      <c r="W299" s="3">
        <f t="shared" si="6"/>
        <v>1</v>
      </c>
      <c r="X299" s="3" t="str">
        <f>IFERROR(__xludf.DUMMYFUNCTION("split(B299,"" "")"),"J.")</f>
        <v>J.</v>
      </c>
      <c r="Y299" s="3" t="str">
        <f>IFERROR(__xludf.DUMMYFUNCTION("""COMPUTED_VALUE"""),"Waddle")</f>
        <v>Waddle</v>
      </c>
      <c r="AA299" s="8">
        <v>2.0</v>
      </c>
      <c r="AB299" s="3">
        <f t="shared" si="7"/>
        <v>0</v>
      </c>
      <c r="AC299" s="3">
        <f t="shared" si="8"/>
        <v>0</v>
      </c>
      <c r="AD299" s="3">
        <f t="shared" si="9"/>
        <v>2.52</v>
      </c>
      <c r="AE299" s="3">
        <f t="shared" si="10"/>
        <v>-2</v>
      </c>
      <c r="AF299" s="3">
        <f t="shared" si="11"/>
        <v>-1</v>
      </c>
      <c r="AG299" s="3">
        <f t="shared" si="12"/>
        <v>-0.5555555556</v>
      </c>
    </row>
    <row r="300">
      <c r="A300" s="1" t="s">
        <v>15</v>
      </c>
      <c r="B300" s="1" t="s">
        <v>316</v>
      </c>
      <c r="C300" s="1" t="s">
        <v>21</v>
      </c>
      <c r="D300" s="1" t="s">
        <v>94</v>
      </c>
      <c r="E300" s="1" t="s">
        <v>104</v>
      </c>
      <c r="F300" s="1" t="s">
        <v>658</v>
      </c>
      <c r="G300" s="1">
        <v>22.5</v>
      </c>
      <c r="H300" s="1" t="s">
        <v>60</v>
      </c>
      <c r="I300" s="1">
        <v>-104.0</v>
      </c>
      <c r="J300" s="1">
        <v>0.0636941176470589</v>
      </c>
      <c r="K300" s="1" t="s">
        <v>61</v>
      </c>
      <c r="L300" s="1" t="s">
        <v>61</v>
      </c>
      <c r="M300" s="1" t="s">
        <v>62</v>
      </c>
      <c r="N300" s="1">
        <v>-126.0</v>
      </c>
      <c r="O300" s="1">
        <v>-0.131033628318584</v>
      </c>
      <c r="P300" s="1" t="s">
        <v>61</v>
      </c>
      <c r="Q300" s="1" t="s">
        <v>61</v>
      </c>
      <c r="R300" s="1">
        <f t="shared" si="1"/>
        <v>0.06369411765</v>
      </c>
      <c r="S300" s="1">
        <f t="shared" si="2"/>
        <v>-104</v>
      </c>
      <c r="T300" s="1">
        <f t="shared" si="3"/>
        <v>1.961538462</v>
      </c>
      <c r="U300" s="1">
        <f t="shared" si="4"/>
        <v>1</v>
      </c>
      <c r="V300" s="3">
        <f t="shared" si="5"/>
        <v>2</v>
      </c>
      <c r="W300" s="3">
        <f t="shared" si="6"/>
        <v>2</v>
      </c>
      <c r="X300" s="3" t="str">
        <f>IFERROR(__xludf.DUMMYFUNCTION("split(B300,"" "")"),"T.")</f>
        <v>T.</v>
      </c>
      <c r="Y300" s="3" t="str">
        <f>IFERROR(__xludf.DUMMYFUNCTION("""COMPUTED_VALUE"""),"Tagovailoa")</f>
        <v>Tagovailoa</v>
      </c>
      <c r="AA300" s="8">
        <v>25.0</v>
      </c>
      <c r="AB300" s="3">
        <f t="shared" si="7"/>
        <v>1</v>
      </c>
      <c r="AC300" s="3">
        <f t="shared" si="8"/>
        <v>1</v>
      </c>
      <c r="AD300" s="3">
        <f t="shared" si="9"/>
        <v>1.923076923</v>
      </c>
      <c r="AE300" s="3">
        <f t="shared" si="10"/>
        <v>1.923076923</v>
      </c>
      <c r="AF300" s="3">
        <f t="shared" si="11"/>
        <v>1.923076923</v>
      </c>
      <c r="AG300" s="3">
        <f t="shared" si="12"/>
        <v>0.1111111111</v>
      </c>
    </row>
    <row r="301">
      <c r="A301" s="1" t="s">
        <v>17</v>
      </c>
      <c r="B301" s="1" t="s">
        <v>316</v>
      </c>
      <c r="C301" s="1" t="s">
        <v>21</v>
      </c>
      <c r="D301" s="1" t="s">
        <v>94</v>
      </c>
      <c r="E301" s="1" t="s">
        <v>104</v>
      </c>
      <c r="F301" s="1" t="s">
        <v>658</v>
      </c>
      <c r="G301" s="1">
        <v>0.5</v>
      </c>
      <c r="H301" s="1" t="s">
        <v>60</v>
      </c>
      <c r="I301" s="1">
        <v>-145.0</v>
      </c>
      <c r="J301" s="1">
        <v>-0.130536734693877</v>
      </c>
      <c r="K301" s="1" t="s">
        <v>61</v>
      </c>
      <c r="L301" s="1" t="s">
        <v>61</v>
      </c>
      <c r="M301" s="1" t="s">
        <v>62</v>
      </c>
      <c r="N301" s="1">
        <v>110.0</v>
      </c>
      <c r="O301" s="1">
        <v>0.0625095238095237</v>
      </c>
      <c r="P301" s="1" t="s">
        <v>61</v>
      </c>
      <c r="Q301" s="1" t="s">
        <v>61</v>
      </c>
      <c r="R301" s="1">
        <f t="shared" si="1"/>
        <v>0.06250952381</v>
      </c>
      <c r="S301" s="1">
        <f t="shared" si="2"/>
        <v>110</v>
      </c>
      <c r="T301" s="1">
        <f t="shared" si="3"/>
        <v>2.1</v>
      </c>
      <c r="U301" s="1">
        <f t="shared" si="4"/>
        <v>0</v>
      </c>
      <c r="V301" s="3">
        <f t="shared" si="5"/>
        <v>2</v>
      </c>
      <c r="W301" s="3">
        <f t="shared" si="6"/>
        <v>2</v>
      </c>
      <c r="X301" s="3" t="str">
        <f>IFERROR(__xludf.DUMMYFUNCTION("split(B301,"" "")"),"T.")</f>
        <v>T.</v>
      </c>
      <c r="Y301" s="3" t="str">
        <f>IFERROR(__xludf.DUMMYFUNCTION("""COMPUTED_VALUE"""),"Tagovailoa")</f>
        <v>Tagovailoa</v>
      </c>
      <c r="AA301" s="8">
        <v>0.0</v>
      </c>
      <c r="AB301" s="3">
        <f t="shared" si="7"/>
        <v>0</v>
      </c>
      <c r="AC301" s="3">
        <f t="shared" si="8"/>
        <v>1</v>
      </c>
      <c r="AD301" s="3">
        <f t="shared" si="9"/>
        <v>2.2</v>
      </c>
      <c r="AE301" s="3">
        <f t="shared" si="10"/>
        <v>2.2</v>
      </c>
      <c r="AF301" s="3">
        <f t="shared" si="11"/>
        <v>2.2</v>
      </c>
      <c r="AG301" s="3">
        <f t="shared" si="12"/>
        <v>1</v>
      </c>
    </row>
    <row r="302">
      <c r="A302" s="1" t="s">
        <v>8</v>
      </c>
      <c r="B302" s="1" t="s">
        <v>316</v>
      </c>
      <c r="C302" s="1" t="s">
        <v>21</v>
      </c>
      <c r="D302" s="1" t="s">
        <v>94</v>
      </c>
      <c r="E302" s="1" t="s">
        <v>104</v>
      </c>
      <c r="F302" s="1" t="s">
        <v>658</v>
      </c>
      <c r="G302" s="1">
        <v>1.5</v>
      </c>
      <c r="H302" s="1" t="s">
        <v>60</v>
      </c>
      <c r="I302" s="1">
        <v>-188.0</v>
      </c>
      <c r="J302" s="1">
        <v>-0.124071528379378</v>
      </c>
      <c r="K302" s="1" t="s">
        <v>61</v>
      </c>
      <c r="L302" s="1" t="s">
        <v>61</v>
      </c>
      <c r="M302" s="1" t="s">
        <v>62</v>
      </c>
      <c r="N302" s="1">
        <v>140.0</v>
      </c>
      <c r="O302" s="1">
        <v>0.0546258340552537</v>
      </c>
      <c r="P302" s="1" t="s">
        <v>61</v>
      </c>
      <c r="Q302" s="1" t="s">
        <v>61</v>
      </c>
      <c r="R302" s="1">
        <f t="shared" si="1"/>
        <v>0.05462583406</v>
      </c>
      <c r="S302" s="1">
        <f t="shared" si="2"/>
        <v>140</v>
      </c>
      <c r="T302" s="1">
        <f t="shared" si="3"/>
        <v>2.4</v>
      </c>
      <c r="U302" s="1">
        <f t="shared" si="4"/>
        <v>0</v>
      </c>
      <c r="V302" s="3">
        <f t="shared" si="5"/>
        <v>2</v>
      </c>
      <c r="W302" s="3">
        <f t="shared" si="6"/>
        <v>1</v>
      </c>
      <c r="X302" s="3" t="str">
        <f>IFERROR(__xludf.DUMMYFUNCTION("split(B302,"" "")"),"T.")</f>
        <v>T.</v>
      </c>
      <c r="Y302" s="3" t="str">
        <f>IFERROR(__xludf.DUMMYFUNCTION("""COMPUTED_VALUE"""),"Tagovailoa")</f>
        <v>Tagovailoa</v>
      </c>
      <c r="AA302" s="8">
        <v>2.0</v>
      </c>
      <c r="AB302" s="3">
        <f t="shared" si="7"/>
        <v>1</v>
      </c>
      <c r="AC302" s="3">
        <f t="shared" si="8"/>
        <v>0</v>
      </c>
      <c r="AD302" s="3">
        <f t="shared" si="9"/>
        <v>2.8</v>
      </c>
      <c r="AE302" s="3">
        <f t="shared" si="10"/>
        <v>-2</v>
      </c>
      <c r="AF302" s="3">
        <f t="shared" si="11"/>
        <v>-1</v>
      </c>
      <c r="AG302" s="3">
        <f t="shared" si="12"/>
        <v>-0.3333333333</v>
      </c>
    </row>
    <row r="303">
      <c r="A303" s="1" t="s">
        <v>9</v>
      </c>
      <c r="B303" s="1" t="s">
        <v>289</v>
      </c>
      <c r="C303" s="1" t="s">
        <v>19</v>
      </c>
      <c r="D303" s="1" t="s">
        <v>94</v>
      </c>
      <c r="E303" s="1" t="s">
        <v>104</v>
      </c>
      <c r="F303" s="1" t="s">
        <v>658</v>
      </c>
      <c r="G303" s="1">
        <v>91.5</v>
      </c>
      <c r="H303" s="1" t="s">
        <v>60</v>
      </c>
      <c r="I303" s="1">
        <v>-124.0</v>
      </c>
      <c r="J303" s="1">
        <v>-0.119469438994164</v>
      </c>
      <c r="K303" s="1" t="s">
        <v>61</v>
      </c>
      <c r="L303" s="1" t="s">
        <v>61</v>
      </c>
      <c r="M303" s="1" t="s">
        <v>62</v>
      </c>
      <c r="N303" s="1">
        <v>-109.0</v>
      </c>
      <c r="O303" s="1">
        <v>0.0442815311724364</v>
      </c>
      <c r="P303" s="1" t="s">
        <v>61</v>
      </c>
      <c r="Q303" s="1" t="s">
        <v>61</v>
      </c>
      <c r="R303" s="1">
        <f t="shared" si="1"/>
        <v>0.04428153117</v>
      </c>
      <c r="S303" s="1">
        <f t="shared" si="2"/>
        <v>-109</v>
      </c>
      <c r="T303" s="1">
        <f t="shared" si="3"/>
        <v>1.917431193</v>
      </c>
      <c r="U303" s="1">
        <f t="shared" si="4"/>
        <v>0</v>
      </c>
      <c r="V303" s="3">
        <f t="shared" si="5"/>
        <v>1</v>
      </c>
      <c r="W303" s="3">
        <f t="shared" si="6"/>
        <v>2</v>
      </c>
      <c r="X303" s="3" t="str">
        <f>IFERROR(__xludf.DUMMYFUNCTION("split(B303,"" "")"),"D.")</f>
        <v>D.</v>
      </c>
      <c r="Y303" s="3" t="str">
        <f>IFERROR(__xludf.DUMMYFUNCTION("""COMPUTED_VALUE"""),"Achane")</f>
        <v>Achane</v>
      </c>
      <c r="AA303" s="8">
        <v>121.0</v>
      </c>
      <c r="AB303" s="3">
        <f t="shared" si="7"/>
        <v>1</v>
      </c>
      <c r="AC303" s="3">
        <f t="shared" si="8"/>
        <v>0</v>
      </c>
      <c r="AD303" s="3">
        <f t="shared" si="9"/>
        <v>0.9174311927</v>
      </c>
      <c r="AE303" s="3">
        <f t="shared" si="10"/>
        <v>-1</v>
      </c>
      <c r="AF303" s="3">
        <f t="shared" si="11"/>
        <v>-2</v>
      </c>
      <c r="AG303" s="3">
        <f t="shared" si="12"/>
        <v>-0.3224043716</v>
      </c>
    </row>
    <row r="304">
      <c r="A304" s="1" t="s">
        <v>11</v>
      </c>
      <c r="B304" s="1" t="s">
        <v>220</v>
      </c>
      <c r="C304" s="1" t="s">
        <v>20</v>
      </c>
      <c r="D304" s="1" t="s">
        <v>94</v>
      </c>
      <c r="E304" s="1" t="s">
        <v>104</v>
      </c>
      <c r="F304" s="1" t="s">
        <v>658</v>
      </c>
      <c r="G304" s="1">
        <v>28.5</v>
      </c>
      <c r="H304" s="1" t="s">
        <v>60</v>
      </c>
      <c r="I304" s="1">
        <v>-115.0</v>
      </c>
      <c r="J304" s="1">
        <v>-0.0985780603287443</v>
      </c>
      <c r="K304" s="1" t="s">
        <v>61</v>
      </c>
      <c r="L304" s="1" t="s">
        <v>61</v>
      </c>
      <c r="M304" s="1" t="s">
        <v>62</v>
      </c>
      <c r="N304" s="1">
        <v>-112.0</v>
      </c>
      <c r="O304" s="1">
        <v>0.0354324383356681</v>
      </c>
      <c r="P304" s="1" t="s">
        <v>61</v>
      </c>
      <c r="Q304" s="1" t="s">
        <v>61</v>
      </c>
      <c r="R304" s="1">
        <f t="shared" si="1"/>
        <v>0.03543243834</v>
      </c>
      <c r="S304" s="1">
        <f t="shared" si="2"/>
        <v>-112</v>
      </c>
      <c r="T304" s="1">
        <f t="shared" si="3"/>
        <v>1.892857143</v>
      </c>
      <c r="U304" s="1">
        <f t="shared" si="4"/>
        <v>0</v>
      </c>
      <c r="V304" s="3">
        <f t="shared" si="5"/>
        <v>1</v>
      </c>
      <c r="W304" s="3">
        <f t="shared" si="6"/>
        <v>2</v>
      </c>
      <c r="X304" s="3" t="str">
        <f>IFERROR(__xludf.DUMMYFUNCTION("split(B304,"" "")"),"J.")</f>
        <v>J.</v>
      </c>
      <c r="Y304" s="3" t="str">
        <f>IFERROR(__xludf.DUMMYFUNCTION("""COMPUTED_VALUE"""),"Smith")</f>
        <v>Smith</v>
      </c>
      <c r="AA304" s="8">
        <v>46.0</v>
      </c>
      <c r="AB304" s="3">
        <f t="shared" si="7"/>
        <v>1</v>
      </c>
      <c r="AC304" s="3">
        <f t="shared" si="8"/>
        <v>0</v>
      </c>
      <c r="AD304" s="3">
        <f t="shared" si="9"/>
        <v>0.8928571429</v>
      </c>
      <c r="AE304" s="3">
        <f t="shared" si="10"/>
        <v>-1</v>
      </c>
      <c r="AF304" s="3">
        <f t="shared" si="11"/>
        <v>-2</v>
      </c>
      <c r="AG304" s="3">
        <f t="shared" si="12"/>
        <v>-0.6140350877</v>
      </c>
    </row>
    <row r="305">
      <c r="A305" s="1" t="s">
        <v>9</v>
      </c>
      <c r="B305" s="1" t="s">
        <v>280</v>
      </c>
      <c r="C305" s="1" t="s">
        <v>19</v>
      </c>
      <c r="D305" s="1" t="s">
        <v>94</v>
      </c>
      <c r="E305" s="1" t="s">
        <v>104</v>
      </c>
      <c r="F305" s="1" t="s">
        <v>658</v>
      </c>
      <c r="G305" s="1">
        <v>38.5</v>
      </c>
      <c r="H305" s="1" t="s">
        <v>60</v>
      </c>
      <c r="I305" s="1">
        <v>-112.0</v>
      </c>
      <c r="J305" s="1">
        <v>0.0300991431756375</v>
      </c>
      <c r="K305" s="1" t="s">
        <v>61</v>
      </c>
      <c r="L305" s="1" t="s">
        <v>61</v>
      </c>
      <c r="M305" s="1" t="s">
        <v>62</v>
      </c>
      <c r="N305" s="1">
        <v>-124.0</v>
      </c>
      <c r="O305" s="1">
        <v>-0.11192056588398</v>
      </c>
      <c r="P305" s="1" t="s">
        <v>61</v>
      </c>
      <c r="Q305" s="1" t="s">
        <v>61</v>
      </c>
      <c r="R305" s="1">
        <f t="shared" si="1"/>
        <v>0.03009914318</v>
      </c>
      <c r="S305" s="1">
        <f t="shared" si="2"/>
        <v>-112</v>
      </c>
      <c r="T305" s="1">
        <f t="shared" si="3"/>
        <v>1.892857143</v>
      </c>
      <c r="U305" s="1">
        <f t="shared" si="4"/>
        <v>1</v>
      </c>
      <c r="V305" s="3">
        <f t="shared" si="5"/>
        <v>1</v>
      </c>
      <c r="W305" s="3">
        <f t="shared" si="6"/>
        <v>2</v>
      </c>
      <c r="X305" s="3" t="str">
        <f>IFERROR(__xludf.DUMMYFUNCTION("split(B305,"" "")"),"R.")</f>
        <v>R.</v>
      </c>
      <c r="Y305" s="3" t="str">
        <f>IFERROR(__xludf.DUMMYFUNCTION("""COMPUTED_VALUE"""),"Mostert")</f>
        <v>Mostert</v>
      </c>
      <c r="AA305" s="8">
        <v>88.0</v>
      </c>
      <c r="AB305" s="3">
        <f t="shared" si="7"/>
        <v>1</v>
      </c>
      <c r="AC305" s="3">
        <f t="shared" si="8"/>
        <v>1</v>
      </c>
      <c r="AD305" s="3">
        <f t="shared" si="9"/>
        <v>0.8928571429</v>
      </c>
      <c r="AE305" s="3">
        <f t="shared" si="10"/>
        <v>0.8928571429</v>
      </c>
      <c r="AF305" s="3">
        <f t="shared" si="11"/>
        <v>1.785714286</v>
      </c>
      <c r="AG305" s="3">
        <f t="shared" si="12"/>
        <v>1.285714286</v>
      </c>
    </row>
    <row r="306">
      <c r="A306" s="1" t="s">
        <v>10</v>
      </c>
      <c r="B306" s="1" t="s">
        <v>316</v>
      </c>
      <c r="C306" s="1" t="s">
        <v>21</v>
      </c>
      <c r="D306" s="1" t="s">
        <v>94</v>
      </c>
      <c r="E306" s="1" t="s">
        <v>104</v>
      </c>
      <c r="F306" s="1" t="s">
        <v>658</v>
      </c>
      <c r="G306" s="1">
        <v>5.5</v>
      </c>
      <c r="H306" s="1" t="s">
        <v>60</v>
      </c>
      <c r="I306" s="1">
        <v>-113.0</v>
      </c>
      <c r="J306" s="1">
        <v>0.0295027876306497</v>
      </c>
      <c r="K306" s="1" t="s">
        <v>61</v>
      </c>
      <c r="L306" s="1" t="s">
        <v>61</v>
      </c>
      <c r="M306" s="1" t="s">
        <v>62</v>
      </c>
      <c r="N306" s="1">
        <v>-117.0</v>
      </c>
      <c r="O306" s="1">
        <v>-0.0991628926517706</v>
      </c>
      <c r="P306" s="1" t="s">
        <v>61</v>
      </c>
      <c r="Q306" s="1" t="s">
        <v>61</v>
      </c>
      <c r="R306" s="1">
        <f t="shared" si="1"/>
        <v>0.02950278763</v>
      </c>
      <c r="S306" s="1">
        <f t="shared" si="2"/>
        <v>-113</v>
      </c>
      <c r="T306" s="1">
        <f t="shared" si="3"/>
        <v>1.884955752</v>
      </c>
      <c r="U306" s="1">
        <f t="shared" si="4"/>
        <v>1</v>
      </c>
      <c r="V306" s="3">
        <f t="shared" si="5"/>
        <v>1</v>
      </c>
      <c r="W306" s="3">
        <f t="shared" si="6"/>
        <v>2</v>
      </c>
      <c r="X306" s="3" t="str">
        <f>IFERROR(__xludf.DUMMYFUNCTION("split(B306,"" "")"),"T.")</f>
        <v>T.</v>
      </c>
      <c r="Y306" s="3" t="str">
        <f>IFERROR(__xludf.DUMMYFUNCTION("""COMPUTED_VALUE"""),"Tagovailoa")</f>
        <v>Tagovailoa</v>
      </c>
      <c r="AA306" s="8">
        <v>3.0</v>
      </c>
      <c r="AB306" s="3">
        <f t="shared" si="7"/>
        <v>0</v>
      </c>
      <c r="AC306" s="3">
        <f t="shared" si="8"/>
        <v>0</v>
      </c>
      <c r="AD306" s="3">
        <f t="shared" si="9"/>
        <v>0.8849557522</v>
      </c>
      <c r="AE306" s="3">
        <f t="shared" si="10"/>
        <v>-1</v>
      </c>
      <c r="AF306" s="3">
        <f t="shared" si="11"/>
        <v>-2</v>
      </c>
      <c r="AG306" s="3">
        <f t="shared" si="12"/>
        <v>-0.4545454545</v>
      </c>
    </row>
    <row r="307">
      <c r="A307" s="1" t="s">
        <v>12</v>
      </c>
      <c r="B307" s="1" t="s">
        <v>220</v>
      </c>
      <c r="C307" s="1" t="s">
        <v>20</v>
      </c>
      <c r="D307" s="1" t="s">
        <v>94</v>
      </c>
      <c r="E307" s="1" t="s">
        <v>104</v>
      </c>
      <c r="F307" s="1" t="s">
        <v>658</v>
      </c>
      <c r="G307" s="1">
        <v>3.5</v>
      </c>
      <c r="H307" s="1" t="s">
        <v>60</v>
      </c>
      <c r="I307" s="1">
        <v>132.0</v>
      </c>
      <c r="J307" s="1">
        <v>-0.0979775862068965</v>
      </c>
      <c r="K307" s="1" t="s">
        <v>61</v>
      </c>
      <c r="L307" s="1" t="s">
        <v>61</v>
      </c>
      <c r="M307" s="1" t="s">
        <v>62</v>
      </c>
      <c r="N307" s="1">
        <v>-176.0</v>
      </c>
      <c r="O307" s="1">
        <v>0.0292550724637682</v>
      </c>
      <c r="P307" s="1" t="s">
        <v>61</v>
      </c>
      <c r="Q307" s="1" t="s">
        <v>61</v>
      </c>
      <c r="R307" s="1">
        <f t="shared" si="1"/>
        <v>0.02925507246</v>
      </c>
      <c r="S307" s="1">
        <f t="shared" si="2"/>
        <v>-176</v>
      </c>
      <c r="T307" s="1">
        <f t="shared" si="3"/>
        <v>1.568181818</v>
      </c>
      <c r="U307" s="1">
        <f t="shared" si="4"/>
        <v>0</v>
      </c>
      <c r="V307" s="3">
        <f t="shared" si="5"/>
        <v>1</v>
      </c>
      <c r="W307" s="3">
        <f t="shared" si="6"/>
        <v>3</v>
      </c>
      <c r="X307" s="3" t="str">
        <f>IFERROR(__xludf.DUMMYFUNCTION("split(B307,"" "")"),"J.")</f>
        <v>J.</v>
      </c>
      <c r="Y307" s="3" t="str">
        <f>IFERROR(__xludf.DUMMYFUNCTION("""COMPUTED_VALUE"""),"Smith")</f>
        <v>Smith</v>
      </c>
      <c r="AA307" s="8">
        <v>5.0</v>
      </c>
      <c r="AB307" s="3">
        <f t="shared" si="7"/>
        <v>1</v>
      </c>
      <c r="AC307" s="3">
        <f t="shared" si="8"/>
        <v>0</v>
      </c>
      <c r="AD307" s="3">
        <f t="shared" si="9"/>
        <v>0.5681818182</v>
      </c>
      <c r="AE307" s="3">
        <f t="shared" si="10"/>
        <v>-1</v>
      </c>
      <c r="AF307" s="3">
        <f t="shared" si="11"/>
        <v>-3</v>
      </c>
      <c r="AG307" s="3">
        <f t="shared" si="12"/>
        <v>-0.4285714286</v>
      </c>
    </row>
    <row r="308">
      <c r="A308" s="1" t="s">
        <v>9</v>
      </c>
      <c r="B308" s="1" t="s">
        <v>475</v>
      </c>
      <c r="C308" s="1" t="s">
        <v>18</v>
      </c>
      <c r="D308" s="1" t="s">
        <v>94</v>
      </c>
      <c r="E308" s="1" t="s">
        <v>104</v>
      </c>
      <c r="F308" s="1" t="s">
        <v>658</v>
      </c>
      <c r="G308" s="1">
        <v>51.5</v>
      </c>
      <c r="H308" s="1" t="s">
        <v>60</v>
      </c>
      <c r="I308" s="1">
        <v>-116.0</v>
      </c>
      <c r="J308" s="1">
        <v>0.010812988769869</v>
      </c>
      <c r="K308" s="1" t="s">
        <v>61</v>
      </c>
      <c r="L308" s="1" t="s">
        <v>61</v>
      </c>
      <c r="M308" s="1" t="s">
        <v>62</v>
      </c>
      <c r="N308" s="1">
        <v>-116.0</v>
      </c>
      <c r="O308" s="1">
        <v>-0.0849270669730482</v>
      </c>
      <c r="P308" s="1" t="s">
        <v>61</v>
      </c>
      <c r="Q308" s="1" t="s">
        <v>61</v>
      </c>
      <c r="R308" s="1">
        <f t="shared" si="1"/>
        <v>0.01081298877</v>
      </c>
      <c r="S308" s="1">
        <f t="shared" si="2"/>
        <v>-116</v>
      </c>
      <c r="T308" s="1">
        <f t="shared" si="3"/>
        <v>1.862068966</v>
      </c>
      <c r="U308" s="1">
        <f t="shared" si="4"/>
        <v>1</v>
      </c>
      <c r="V308" s="3">
        <f t="shared" si="5"/>
        <v>1</v>
      </c>
      <c r="W308" s="3">
        <f t="shared" si="6"/>
        <v>2</v>
      </c>
      <c r="X308" s="3" t="str">
        <f>IFERROR(__xludf.DUMMYFUNCTION("split(B308,"" "")"),"J.")</f>
        <v>J.</v>
      </c>
      <c r="Y308" s="3" t="str">
        <f>IFERROR(__xludf.DUMMYFUNCTION("""COMPUTED_VALUE"""),"Waddle")</f>
        <v>Waddle</v>
      </c>
      <c r="AA308" s="8">
        <v>-4.0</v>
      </c>
      <c r="AB308" s="3">
        <f t="shared" si="7"/>
        <v>0</v>
      </c>
      <c r="AC308" s="3">
        <f t="shared" si="8"/>
        <v>0</v>
      </c>
      <c r="AD308" s="3">
        <f t="shared" si="9"/>
        <v>0.8620689655</v>
      </c>
      <c r="AE308" s="3">
        <f t="shared" si="10"/>
        <v>-1</v>
      </c>
      <c r="AF308" s="3">
        <f t="shared" si="11"/>
        <v>-2</v>
      </c>
      <c r="AG308" s="3">
        <f t="shared" si="12"/>
        <v>-1.077669903</v>
      </c>
    </row>
    <row r="309">
      <c r="A309" s="1" t="s">
        <v>10</v>
      </c>
      <c r="B309" s="1" t="s">
        <v>280</v>
      </c>
      <c r="C309" s="1" t="s">
        <v>19</v>
      </c>
      <c r="D309" s="1" t="s">
        <v>94</v>
      </c>
      <c r="E309" s="1" t="s">
        <v>104</v>
      </c>
      <c r="F309" s="1" t="s">
        <v>658</v>
      </c>
      <c r="G309" s="1">
        <v>29.5</v>
      </c>
      <c r="H309" s="1" t="s">
        <v>60</v>
      </c>
      <c r="I309" s="1">
        <v>-112.0</v>
      </c>
      <c r="J309" s="1">
        <v>-0.065493451766783</v>
      </c>
      <c r="K309" s="1" t="s">
        <v>61</v>
      </c>
      <c r="L309" s="1" t="s">
        <v>61</v>
      </c>
      <c r="M309" s="1" t="s">
        <v>62</v>
      </c>
      <c r="N309" s="1">
        <v>-113.0</v>
      </c>
      <c r="O309" s="1">
        <v>0.00669902021244384</v>
      </c>
      <c r="P309" s="1" t="s">
        <v>61</v>
      </c>
      <c r="Q309" s="1" t="s">
        <v>61</v>
      </c>
      <c r="R309" s="1">
        <f t="shared" si="1"/>
        <v>0.006699020212</v>
      </c>
      <c r="S309" s="1">
        <f t="shared" si="2"/>
        <v>-113</v>
      </c>
      <c r="T309" s="1">
        <f t="shared" si="3"/>
        <v>1.884955752</v>
      </c>
      <c r="U309" s="1">
        <f t="shared" si="4"/>
        <v>0</v>
      </c>
      <c r="V309" s="3">
        <f t="shared" si="5"/>
        <v>1</v>
      </c>
      <c r="W309" s="3">
        <f t="shared" si="6"/>
        <v>2</v>
      </c>
      <c r="X309" s="3" t="str">
        <f>IFERROR(__xludf.DUMMYFUNCTION("split(B309,"" "")"),"R.")</f>
        <v>R.</v>
      </c>
      <c r="Y309" s="3" t="str">
        <f>IFERROR(__xludf.DUMMYFUNCTION("""COMPUTED_VALUE"""),"Mostert")</f>
        <v>Mostert</v>
      </c>
      <c r="AA309" s="8">
        <v>56.0</v>
      </c>
      <c r="AB309" s="3">
        <f t="shared" si="7"/>
        <v>1</v>
      </c>
      <c r="AC309" s="3">
        <f t="shared" si="8"/>
        <v>0</v>
      </c>
      <c r="AD309" s="3">
        <f t="shared" si="9"/>
        <v>0.8849557522</v>
      </c>
      <c r="AE309" s="3">
        <f t="shared" si="10"/>
        <v>-1</v>
      </c>
      <c r="AF309" s="3">
        <f t="shared" si="11"/>
        <v>-2</v>
      </c>
      <c r="AG309" s="3">
        <f t="shared" si="12"/>
        <v>-0.8983050847</v>
      </c>
    </row>
    <row r="310">
      <c r="A310" s="1" t="s">
        <v>9</v>
      </c>
      <c r="B310" s="1" t="s">
        <v>441</v>
      </c>
      <c r="C310" s="1" t="s">
        <v>18</v>
      </c>
      <c r="D310" s="1" t="s">
        <v>94</v>
      </c>
      <c r="E310" s="1" t="s">
        <v>104</v>
      </c>
      <c r="F310" s="1" t="s">
        <v>658</v>
      </c>
      <c r="G310" s="1">
        <v>80.5</v>
      </c>
      <c r="H310" s="1" t="s">
        <v>60</v>
      </c>
      <c r="I310" s="1">
        <v>-117.0</v>
      </c>
      <c r="J310" s="1">
        <v>-0.0794225350749556</v>
      </c>
      <c r="K310" s="1" t="s">
        <v>61</v>
      </c>
      <c r="L310" s="1" t="s">
        <v>61</v>
      </c>
      <c r="M310" s="1" t="s">
        <v>62</v>
      </c>
      <c r="N310" s="1">
        <v>-115.0</v>
      </c>
      <c r="O310" s="1">
        <v>0.00544094710676823</v>
      </c>
      <c r="P310" s="1" t="s">
        <v>61</v>
      </c>
      <c r="Q310" s="1" t="s">
        <v>61</v>
      </c>
      <c r="R310" s="1">
        <f t="shared" si="1"/>
        <v>0.005440947107</v>
      </c>
      <c r="S310" s="1">
        <f t="shared" si="2"/>
        <v>-115</v>
      </c>
      <c r="T310" s="1">
        <f t="shared" si="3"/>
        <v>1.869565217</v>
      </c>
      <c r="U310" s="1">
        <f t="shared" si="4"/>
        <v>0</v>
      </c>
      <c r="V310" s="3">
        <f t="shared" si="5"/>
        <v>1</v>
      </c>
      <c r="W310" s="3">
        <f t="shared" si="6"/>
        <v>2</v>
      </c>
      <c r="X310" s="3" t="str">
        <f>IFERROR(__xludf.DUMMYFUNCTION("split(B310,"" "")"),"T.")</f>
        <v>T.</v>
      </c>
      <c r="Y310" s="3" t="str">
        <f>IFERROR(__xludf.DUMMYFUNCTION("""COMPUTED_VALUE"""),"Hill")</f>
        <v>Hill</v>
      </c>
      <c r="AA310" s="8">
        <v>80.0</v>
      </c>
      <c r="AB310" s="3">
        <f t="shared" si="7"/>
        <v>0</v>
      </c>
      <c r="AC310" s="3">
        <f t="shared" si="8"/>
        <v>1</v>
      </c>
      <c r="AD310" s="3">
        <f t="shared" si="9"/>
        <v>0.8695652174</v>
      </c>
      <c r="AE310" s="3">
        <f t="shared" si="10"/>
        <v>0.8695652174</v>
      </c>
      <c r="AF310" s="3">
        <f t="shared" si="11"/>
        <v>1.739130435</v>
      </c>
      <c r="AG310" s="3">
        <f t="shared" si="12"/>
        <v>0.006211180124</v>
      </c>
    </row>
    <row r="311">
      <c r="A311" s="1" t="s">
        <v>10</v>
      </c>
      <c r="B311" s="1" t="s">
        <v>549</v>
      </c>
      <c r="C311" s="1" t="s">
        <v>18</v>
      </c>
      <c r="D311" s="1" t="s">
        <v>146</v>
      </c>
      <c r="E311" s="1" t="s">
        <v>71</v>
      </c>
      <c r="F311" s="1" t="s">
        <v>666</v>
      </c>
      <c r="G311" s="1">
        <v>0.5</v>
      </c>
      <c r="H311" s="1" t="s">
        <v>60</v>
      </c>
      <c r="I311" s="1">
        <v>545.0</v>
      </c>
      <c r="J311" s="1">
        <v>0.457686242545157</v>
      </c>
      <c r="K311" s="1" t="s">
        <v>61</v>
      </c>
      <c r="L311" s="1" t="s">
        <v>61</v>
      </c>
      <c r="M311" s="1" t="s">
        <v>62</v>
      </c>
      <c r="N311" s="1">
        <v>-1008.0</v>
      </c>
      <c r="O311" s="1">
        <v>-0.522435874959692</v>
      </c>
      <c r="P311" s="1" t="s">
        <v>61</v>
      </c>
      <c r="Q311" s="1" t="s">
        <v>61</v>
      </c>
      <c r="R311" s="1">
        <f t="shared" si="1"/>
        <v>0.4576862425</v>
      </c>
      <c r="S311" s="1">
        <f t="shared" si="2"/>
        <v>545</v>
      </c>
      <c r="T311" s="1">
        <f t="shared" si="3"/>
        <v>6.45</v>
      </c>
      <c r="U311" s="1">
        <f t="shared" si="4"/>
        <v>1</v>
      </c>
      <c r="V311" s="3">
        <f t="shared" si="5"/>
        <v>3</v>
      </c>
      <c r="W311" s="3">
        <f t="shared" si="6"/>
        <v>1</v>
      </c>
      <c r="X311" s="3" t="str">
        <f>IFERROR(__xludf.DUMMYFUNCTION("split(B311,"" "")"),"J.")</f>
        <v>J.</v>
      </c>
      <c r="Y311" s="3" t="str">
        <f>IFERROR(__xludf.DUMMYFUNCTION("""COMPUTED_VALUE"""),"Nailor")</f>
        <v>Nailor</v>
      </c>
      <c r="AA311" s="8">
        <v>0.0</v>
      </c>
      <c r="AB311" s="3">
        <f t="shared" si="7"/>
        <v>0</v>
      </c>
      <c r="AC311" s="3">
        <f t="shared" si="8"/>
        <v>0</v>
      </c>
      <c r="AD311" s="3">
        <f t="shared" si="9"/>
        <v>16.35</v>
      </c>
      <c r="AE311" s="3">
        <f t="shared" si="10"/>
        <v>0</v>
      </c>
      <c r="AF311" s="3">
        <f t="shared" si="11"/>
        <v>-1</v>
      </c>
      <c r="AG311" s="3">
        <f t="shared" si="12"/>
        <v>-1</v>
      </c>
    </row>
    <row r="312">
      <c r="A312" s="1" t="s">
        <v>12</v>
      </c>
      <c r="B312" s="1" t="s">
        <v>549</v>
      </c>
      <c r="C312" s="1" t="s">
        <v>18</v>
      </c>
      <c r="D312" s="1" t="s">
        <v>146</v>
      </c>
      <c r="E312" s="1" t="s">
        <v>71</v>
      </c>
      <c r="F312" s="1" t="s">
        <v>666</v>
      </c>
      <c r="G312" s="1">
        <v>1.5</v>
      </c>
      <c r="H312" s="1" t="s">
        <v>60</v>
      </c>
      <c r="I312" s="1">
        <v>-158.0</v>
      </c>
      <c r="J312" s="1">
        <v>-0.26809718046124</v>
      </c>
      <c r="K312" s="1" t="s">
        <v>61</v>
      </c>
      <c r="L312" s="1" t="s">
        <v>61</v>
      </c>
      <c r="M312" s="1" t="s">
        <v>62</v>
      </c>
      <c r="N312" s="1">
        <v>120.0</v>
      </c>
      <c r="O312" s="1">
        <v>0.201147602540909</v>
      </c>
      <c r="P312" s="1" t="s">
        <v>61</v>
      </c>
      <c r="Q312" s="1" t="s">
        <v>61</v>
      </c>
      <c r="R312" s="1">
        <f t="shared" si="1"/>
        <v>0.2011476025</v>
      </c>
      <c r="S312" s="1">
        <f t="shared" si="2"/>
        <v>120</v>
      </c>
      <c r="T312" s="1">
        <f t="shared" si="3"/>
        <v>2.2</v>
      </c>
      <c r="U312" s="1">
        <f t="shared" si="4"/>
        <v>0</v>
      </c>
      <c r="V312" s="3">
        <f t="shared" si="5"/>
        <v>3</v>
      </c>
      <c r="W312" s="3">
        <f t="shared" si="6"/>
        <v>1</v>
      </c>
      <c r="X312" s="3" t="str">
        <f>IFERROR(__xludf.DUMMYFUNCTION("split(B312,"" "")"),"J.")</f>
        <v>J.</v>
      </c>
      <c r="Y312" s="3" t="str">
        <f>IFERROR(__xludf.DUMMYFUNCTION("""COMPUTED_VALUE"""),"Nailor")</f>
        <v>Nailor</v>
      </c>
      <c r="AA312" s="8">
        <v>1.0</v>
      </c>
      <c r="AB312" s="3">
        <f t="shared" si="7"/>
        <v>0</v>
      </c>
      <c r="AC312" s="3">
        <f t="shared" si="8"/>
        <v>1</v>
      </c>
      <c r="AD312" s="3">
        <f t="shared" si="9"/>
        <v>3.6</v>
      </c>
      <c r="AE312" s="3">
        <f t="shared" si="10"/>
        <v>3.6</v>
      </c>
      <c r="AF312" s="3">
        <f t="shared" si="11"/>
        <v>1.2</v>
      </c>
      <c r="AG312" s="3">
        <f t="shared" si="12"/>
        <v>0.3333333333</v>
      </c>
    </row>
    <row r="313">
      <c r="A313" s="1" t="s">
        <v>12</v>
      </c>
      <c r="B313" s="1" t="s">
        <v>654</v>
      </c>
      <c r="C313" s="1" t="s">
        <v>20</v>
      </c>
      <c r="D313" s="1" t="s">
        <v>146</v>
      </c>
      <c r="E313" s="1" t="s">
        <v>71</v>
      </c>
      <c r="F313" s="1" t="s">
        <v>666</v>
      </c>
      <c r="G313" s="1">
        <v>3.5</v>
      </c>
      <c r="H313" s="1" t="s">
        <v>60</v>
      </c>
      <c r="I313" s="1">
        <v>-131.0</v>
      </c>
      <c r="J313" s="1">
        <v>-0.188999567099567</v>
      </c>
      <c r="K313" s="1" t="s">
        <v>61</v>
      </c>
      <c r="L313" s="1" t="s">
        <v>61</v>
      </c>
      <c r="M313" s="1" t="s">
        <v>62</v>
      </c>
      <c r="N313" s="1">
        <v>100.0</v>
      </c>
      <c r="O313" s="1">
        <v>0.1219</v>
      </c>
      <c r="P313" s="1" t="s">
        <v>61</v>
      </c>
      <c r="Q313" s="1" t="s">
        <v>61</v>
      </c>
      <c r="R313" s="1">
        <f t="shared" si="1"/>
        <v>0.1219</v>
      </c>
      <c r="S313" s="1">
        <f t="shared" si="2"/>
        <v>100</v>
      </c>
      <c r="T313" s="1">
        <f t="shared" si="3"/>
        <v>2</v>
      </c>
      <c r="U313" s="1">
        <f t="shared" si="4"/>
        <v>0</v>
      </c>
      <c r="V313" s="3">
        <f t="shared" si="5"/>
        <v>3</v>
      </c>
      <c r="W313" s="3">
        <f t="shared" si="6"/>
        <v>2</v>
      </c>
      <c r="X313" s="3" t="str">
        <f>IFERROR(__xludf.DUMMYFUNCTION("split(B313,"" "")"),"T.")</f>
        <v>T.</v>
      </c>
      <c r="Y313" s="3" t="str">
        <f>IFERROR(__xludf.DUMMYFUNCTION("""COMPUTED_VALUE"""),"Hockenson")</f>
        <v>Hockenson</v>
      </c>
      <c r="AA313" s="8">
        <v>3.0</v>
      </c>
      <c r="AB313" s="3">
        <f t="shared" si="7"/>
        <v>0</v>
      </c>
      <c r="AC313" s="3">
        <f t="shared" si="8"/>
        <v>1</v>
      </c>
      <c r="AD313" s="3">
        <f t="shared" si="9"/>
        <v>3</v>
      </c>
      <c r="AE313" s="3">
        <f t="shared" si="10"/>
        <v>3</v>
      </c>
      <c r="AF313" s="3">
        <f t="shared" si="11"/>
        <v>2</v>
      </c>
      <c r="AG313" s="3">
        <f t="shared" si="12"/>
        <v>0.1428571429</v>
      </c>
    </row>
    <row r="314">
      <c r="A314" s="1" t="s">
        <v>12</v>
      </c>
      <c r="B314" s="1" t="s">
        <v>379</v>
      </c>
      <c r="C314" s="1" t="s">
        <v>18</v>
      </c>
      <c r="D314" s="1" t="s">
        <v>146</v>
      </c>
      <c r="E314" s="1" t="s">
        <v>71</v>
      </c>
      <c r="F314" s="1" t="s">
        <v>666</v>
      </c>
      <c r="G314" s="1">
        <v>6.5</v>
      </c>
      <c r="H314" s="1" t="s">
        <v>60</v>
      </c>
      <c r="I314" s="1">
        <v>-107.0</v>
      </c>
      <c r="J314" s="1">
        <v>0.115440096618357</v>
      </c>
      <c r="K314" s="1" t="s">
        <v>61</v>
      </c>
      <c r="L314" s="1" t="s">
        <v>61</v>
      </c>
      <c r="M314" s="1" t="s">
        <v>62</v>
      </c>
      <c r="N314" s="1">
        <v>-125.0</v>
      </c>
      <c r="O314" s="1">
        <v>-0.187911111111111</v>
      </c>
      <c r="P314" s="1" t="s">
        <v>61</v>
      </c>
      <c r="Q314" s="1" t="s">
        <v>61</v>
      </c>
      <c r="R314" s="1">
        <f t="shared" si="1"/>
        <v>0.1154400966</v>
      </c>
      <c r="S314" s="1">
        <f t="shared" si="2"/>
        <v>-107</v>
      </c>
      <c r="T314" s="1">
        <f t="shared" si="3"/>
        <v>1.934579439</v>
      </c>
      <c r="U314" s="1">
        <f t="shared" si="4"/>
        <v>1</v>
      </c>
      <c r="V314" s="3">
        <f t="shared" si="5"/>
        <v>3</v>
      </c>
      <c r="W314" s="3">
        <f t="shared" si="6"/>
        <v>2</v>
      </c>
      <c r="X314" s="3" t="str">
        <f>IFERROR(__xludf.DUMMYFUNCTION("split(B314,"" "")"),"J.")</f>
        <v>J.</v>
      </c>
      <c r="Y314" s="3" t="str">
        <f>IFERROR(__xludf.DUMMYFUNCTION("""COMPUTED_VALUE"""),"Jefferson")</f>
        <v>Jefferson</v>
      </c>
      <c r="AA314" s="8">
        <v>7.0</v>
      </c>
      <c r="AB314" s="3">
        <f t="shared" si="7"/>
        <v>1</v>
      </c>
      <c r="AC314" s="3">
        <f t="shared" si="8"/>
        <v>1</v>
      </c>
      <c r="AD314" s="3">
        <f t="shared" si="9"/>
        <v>2.803738318</v>
      </c>
      <c r="AE314" s="3">
        <f t="shared" si="10"/>
        <v>2.803738318</v>
      </c>
      <c r="AF314" s="3">
        <f t="shared" si="11"/>
        <v>1.869158879</v>
      </c>
      <c r="AG314" s="3">
        <f t="shared" si="12"/>
        <v>0.07692307692</v>
      </c>
    </row>
    <row r="315">
      <c r="A315" s="1" t="s">
        <v>14</v>
      </c>
      <c r="B315" s="1" t="s">
        <v>145</v>
      </c>
      <c r="C315" s="1" t="s">
        <v>21</v>
      </c>
      <c r="D315" s="1" t="s">
        <v>146</v>
      </c>
      <c r="E315" s="1" t="s">
        <v>71</v>
      </c>
      <c r="F315" s="1" t="s">
        <v>666</v>
      </c>
      <c r="G315" s="1">
        <v>1.5</v>
      </c>
      <c r="H315" s="1" t="s">
        <v>60</v>
      </c>
      <c r="I315" s="1">
        <v>-137.0</v>
      </c>
      <c r="J315" s="1">
        <v>-0.162659071729957</v>
      </c>
      <c r="K315" s="1" t="s">
        <v>61</v>
      </c>
      <c r="L315" s="1" t="s">
        <v>61</v>
      </c>
      <c r="M315" s="1" t="s">
        <v>62</v>
      </c>
      <c r="N315" s="1">
        <v>105.0</v>
      </c>
      <c r="O315" s="1">
        <v>0.0967951219512194</v>
      </c>
      <c r="P315" s="1" t="s">
        <v>61</v>
      </c>
      <c r="Q315" s="1" t="s">
        <v>61</v>
      </c>
      <c r="R315" s="1">
        <f t="shared" si="1"/>
        <v>0.09679512195</v>
      </c>
      <c r="S315" s="1">
        <f t="shared" si="2"/>
        <v>105</v>
      </c>
      <c r="T315" s="1">
        <f t="shared" si="3"/>
        <v>2.05</v>
      </c>
      <c r="U315" s="1">
        <f t="shared" si="4"/>
        <v>0</v>
      </c>
      <c r="V315" s="3">
        <f t="shared" si="5"/>
        <v>2</v>
      </c>
      <c r="W315" s="3">
        <f t="shared" si="6"/>
        <v>2</v>
      </c>
      <c r="X315" s="3" t="str">
        <f>IFERROR(__xludf.DUMMYFUNCTION("split(B315,"" "")"),"S.")</f>
        <v>S.</v>
      </c>
      <c r="Y315" s="3" t="str">
        <f>IFERROR(__xludf.DUMMYFUNCTION("""COMPUTED_VALUE"""),"Darnold")</f>
        <v>Darnold</v>
      </c>
      <c r="AA315" s="8">
        <v>3.0</v>
      </c>
      <c r="AB315" s="3">
        <f t="shared" si="7"/>
        <v>1</v>
      </c>
      <c r="AC315" s="3">
        <f t="shared" si="8"/>
        <v>0</v>
      </c>
      <c r="AD315" s="3">
        <f t="shared" si="9"/>
        <v>2.1</v>
      </c>
      <c r="AE315" s="3">
        <f t="shared" si="10"/>
        <v>-2</v>
      </c>
      <c r="AF315" s="3">
        <f t="shared" si="11"/>
        <v>-2</v>
      </c>
      <c r="AG315" s="3">
        <f t="shared" si="12"/>
        <v>-1</v>
      </c>
    </row>
    <row r="316">
      <c r="A316" s="1" t="s">
        <v>8</v>
      </c>
      <c r="B316" s="1" t="s">
        <v>145</v>
      </c>
      <c r="C316" s="1" t="s">
        <v>21</v>
      </c>
      <c r="D316" s="1" t="s">
        <v>146</v>
      </c>
      <c r="E316" s="1" t="s">
        <v>71</v>
      </c>
      <c r="F316" s="1" t="s">
        <v>666</v>
      </c>
      <c r="G316" s="1">
        <v>4.5</v>
      </c>
      <c r="H316" s="1" t="s">
        <v>60</v>
      </c>
      <c r="I316" s="1">
        <v>117.0</v>
      </c>
      <c r="J316" s="1">
        <v>-0.140531043189353</v>
      </c>
      <c r="K316" s="1" t="s">
        <v>61</v>
      </c>
      <c r="L316" s="1" t="s">
        <v>61</v>
      </c>
      <c r="M316" s="1" t="s">
        <v>62</v>
      </c>
      <c r="N316" s="1">
        <v>-153.0</v>
      </c>
      <c r="O316" s="1">
        <v>0.0749708173686606</v>
      </c>
      <c r="P316" s="1" t="s">
        <v>61</v>
      </c>
      <c r="Q316" s="1" t="s">
        <v>61</v>
      </c>
      <c r="R316" s="1">
        <f t="shared" si="1"/>
        <v>0.07497081737</v>
      </c>
      <c r="S316" s="1">
        <f t="shared" si="2"/>
        <v>-153</v>
      </c>
      <c r="T316" s="1">
        <f t="shared" si="3"/>
        <v>1.653594771</v>
      </c>
      <c r="U316" s="1">
        <f t="shared" si="4"/>
        <v>0</v>
      </c>
      <c r="V316" s="3">
        <f t="shared" si="5"/>
        <v>2</v>
      </c>
      <c r="W316" s="3">
        <f t="shared" si="6"/>
        <v>3</v>
      </c>
      <c r="X316" s="3" t="str">
        <f>IFERROR(__xludf.DUMMYFUNCTION("split(B316,"" "")"),"S.")</f>
        <v>S.</v>
      </c>
      <c r="Y316" s="3" t="str">
        <f>IFERROR(__xludf.DUMMYFUNCTION("""COMPUTED_VALUE"""),"Darnold")</f>
        <v>Darnold</v>
      </c>
      <c r="AA316" s="8">
        <v>4.0</v>
      </c>
      <c r="AB316" s="3">
        <f t="shared" si="7"/>
        <v>0</v>
      </c>
      <c r="AC316" s="3">
        <f t="shared" si="8"/>
        <v>1</v>
      </c>
      <c r="AD316" s="3">
        <f t="shared" si="9"/>
        <v>1.307189542</v>
      </c>
      <c r="AE316" s="3">
        <f t="shared" si="10"/>
        <v>1.307189542</v>
      </c>
      <c r="AF316" s="3">
        <f t="shared" si="11"/>
        <v>1.960784314</v>
      </c>
      <c r="AG316" s="3">
        <f t="shared" si="12"/>
        <v>0.1111111111</v>
      </c>
    </row>
    <row r="317">
      <c r="A317" s="1" t="s">
        <v>9</v>
      </c>
      <c r="B317" s="1" t="s">
        <v>377</v>
      </c>
      <c r="C317" s="1" t="s">
        <v>19</v>
      </c>
      <c r="D317" s="1" t="s">
        <v>146</v>
      </c>
      <c r="E317" s="1" t="s">
        <v>71</v>
      </c>
      <c r="F317" s="1" t="s">
        <v>666</v>
      </c>
      <c r="G317" s="1">
        <v>22.5</v>
      </c>
      <c r="H317" s="1" t="s">
        <v>60</v>
      </c>
      <c r="I317" s="1">
        <v>-121.0</v>
      </c>
      <c r="J317" s="1">
        <v>0.0681936627032743</v>
      </c>
      <c r="K317" s="1" t="s">
        <v>61</v>
      </c>
      <c r="L317" s="1" t="s">
        <v>61</v>
      </c>
      <c r="M317" s="1" t="s">
        <v>62</v>
      </c>
      <c r="N317" s="1">
        <v>-112.0</v>
      </c>
      <c r="O317" s="1">
        <v>-0.143974185812804</v>
      </c>
      <c r="P317" s="1" t="s">
        <v>61</v>
      </c>
      <c r="Q317" s="1" t="s">
        <v>61</v>
      </c>
      <c r="R317" s="1">
        <f t="shared" si="1"/>
        <v>0.0681936627</v>
      </c>
      <c r="S317" s="1">
        <f t="shared" si="2"/>
        <v>-121</v>
      </c>
      <c r="T317" s="1">
        <f t="shared" si="3"/>
        <v>1.826446281</v>
      </c>
      <c r="U317" s="1">
        <f t="shared" si="4"/>
        <v>1</v>
      </c>
      <c r="V317" s="3">
        <f t="shared" si="5"/>
        <v>2</v>
      </c>
      <c r="W317" s="3">
        <f t="shared" si="6"/>
        <v>3</v>
      </c>
      <c r="X317" s="3" t="str">
        <f>IFERROR(__xludf.DUMMYFUNCTION("split(B317,"" "")"),"T.")</f>
        <v>T.</v>
      </c>
      <c r="Y317" s="3" t="str">
        <f>IFERROR(__xludf.DUMMYFUNCTION("""COMPUTED_VALUE"""),"Chandler")</f>
        <v>Chandler</v>
      </c>
      <c r="AA317" s="8">
        <v>0.0</v>
      </c>
      <c r="AB317" s="3">
        <f t="shared" si="7"/>
        <v>0</v>
      </c>
      <c r="AC317" s="3">
        <f t="shared" si="8"/>
        <v>0</v>
      </c>
      <c r="AD317" s="3">
        <f t="shared" si="9"/>
        <v>1.652892562</v>
      </c>
      <c r="AE317" s="3">
        <f t="shared" si="10"/>
        <v>-2</v>
      </c>
      <c r="AF317" s="3">
        <f t="shared" si="11"/>
        <v>-3</v>
      </c>
      <c r="AG317" s="3">
        <f t="shared" si="12"/>
        <v>-1</v>
      </c>
    </row>
    <row r="318">
      <c r="A318" s="1" t="s">
        <v>12</v>
      </c>
      <c r="B318" s="1" t="s">
        <v>304</v>
      </c>
      <c r="C318" s="1" t="s">
        <v>19</v>
      </c>
      <c r="D318" s="1" t="s">
        <v>146</v>
      </c>
      <c r="E318" s="1" t="s">
        <v>71</v>
      </c>
      <c r="F318" s="1" t="s">
        <v>666</v>
      </c>
      <c r="G318" s="1">
        <v>3.5</v>
      </c>
      <c r="H318" s="1" t="s">
        <v>60</v>
      </c>
      <c r="I318" s="1">
        <v>121.0</v>
      </c>
      <c r="J318" s="1">
        <v>-0.132343438914027</v>
      </c>
      <c r="K318" s="1" t="s">
        <v>61</v>
      </c>
      <c r="L318" s="1" t="s">
        <v>61</v>
      </c>
      <c r="M318" s="1" t="s">
        <v>62</v>
      </c>
      <c r="N318" s="1">
        <v>-160.0</v>
      </c>
      <c r="O318" s="1">
        <v>0.0644769230769229</v>
      </c>
      <c r="P318" s="1" t="s">
        <v>61</v>
      </c>
      <c r="Q318" s="1" t="s">
        <v>61</v>
      </c>
      <c r="R318" s="1">
        <f t="shared" si="1"/>
        <v>0.06447692308</v>
      </c>
      <c r="S318" s="1">
        <f t="shared" si="2"/>
        <v>-160</v>
      </c>
      <c r="T318" s="1">
        <f t="shared" si="3"/>
        <v>1.625</v>
      </c>
      <c r="U318" s="1">
        <f t="shared" si="4"/>
        <v>0</v>
      </c>
      <c r="V318" s="3">
        <f t="shared" si="5"/>
        <v>2</v>
      </c>
      <c r="W318" s="3">
        <f t="shared" si="6"/>
        <v>3</v>
      </c>
      <c r="X318" s="3" t="str">
        <f>IFERROR(__xludf.DUMMYFUNCTION("split(B318,"" "")"),"A.")</f>
        <v>A.</v>
      </c>
      <c r="Y318" s="3" t="str">
        <f>IFERROR(__xludf.DUMMYFUNCTION("""COMPUTED_VALUE"""),"Jones")</f>
        <v>Jones</v>
      </c>
      <c r="AA318" s="8">
        <v>4.0</v>
      </c>
      <c r="AB318" s="3">
        <f t="shared" si="7"/>
        <v>1</v>
      </c>
      <c r="AC318" s="3">
        <f t="shared" si="8"/>
        <v>0</v>
      </c>
      <c r="AD318" s="3">
        <f t="shared" si="9"/>
        <v>1.25</v>
      </c>
      <c r="AE318" s="3">
        <f t="shared" si="10"/>
        <v>-2</v>
      </c>
      <c r="AF318" s="3">
        <f t="shared" si="11"/>
        <v>-3</v>
      </c>
      <c r="AG318" s="3">
        <f t="shared" si="12"/>
        <v>-0.1428571429</v>
      </c>
    </row>
    <row r="319">
      <c r="A319" s="1" t="s">
        <v>9</v>
      </c>
      <c r="B319" s="1" t="s">
        <v>304</v>
      </c>
      <c r="C319" s="1" t="s">
        <v>19</v>
      </c>
      <c r="D319" s="1" t="s">
        <v>146</v>
      </c>
      <c r="E319" s="1" t="s">
        <v>71</v>
      </c>
      <c r="F319" s="1" t="s">
        <v>666</v>
      </c>
      <c r="G319" s="1">
        <v>97.5</v>
      </c>
      <c r="H319" s="1" t="s">
        <v>60</v>
      </c>
      <c r="I319" s="1">
        <v>-117.0</v>
      </c>
      <c r="J319" s="1">
        <v>-0.132347619550083</v>
      </c>
      <c r="K319" s="1" t="s">
        <v>61</v>
      </c>
      <c r="L319" s="1" t="s">
        <v>61</v>
      </c>
      <c r="M319" s="1" t="s">
        <v>62</v>
      </c>
      <c r="N319" s="1">
        <v>-115.0</v>
      </c>
      <c r="O319" s="1">
        <v>0.0583212456502715</v>
      </c>
      <c r="P319" s="1" t="s">
        <v>61</v>
      </c>
      <c r="Q319" s="1" t="s">
        <v>61</v>
      </c>
      <c r="R319" s="1">
        <f t="shared" si="1"/>
        <v>0.05832124565</v>
      </c>
      <c r="S319" s="1">
        <f t="shared" si="2"/>
        <v>-115</v>
      </c>
      <c r="T319" s="1">
        <f t="shared" si="3"/>
        <v>1.869565217</v>
      </c>
      <c r="U319" s="1">
        <f t="shared" si="4"/>
        <v>0</v>
      </c>
      <c r="V319" s="3">
        <f t="shared" si="5"/>
        <v>2</v>
      </c>
      <c r="W319" s="3">
        <f t="shared" si="6"/>
        <v>2</v>
      </c>
      <c r="X319" s="3" t="str">
        <f>IFERROR(__xludf.DUMMYFUNCTION("split(B319,"" "")"),"A.")</f>
        <v>A.</v>
      </c>
      <c r="Y319" s="3" t="str">
        <f>IFERROR(__xludf.DUMMYFUNCTION("""COMPUTED_VALUE"""),"Jones")</f>
        <v>Jones</v>
      </c>
      <c r="AA319" s="8">
        <v>82.0</v>
      </c>
      <c r="AB319" s="3">
        <f t="shared" si="7"/>
        <v>0</v>
      </c>
      <c r="AC319" s="3">
        <f t="shared" si="8"/>
        <v>1</v>
      </c>
      <c r="AD319" s="3">
        <f t="shared" si="9"/>
        <v>1.739130435</v>
      </c>
      <c r="AE319" s="3">
        <f t="shared" si="10"/>
        <v>1.739130435</v>
      </c>
      <c r="AF319" s="3">
        <f t="shared" si="11"/>
        <v>1.739130435</v>
      </c>
      <c r="AG319" s="3">
        <f t="shared" si="12"/>
        <v>0.158974359</v>
      </c>
    </row>
    <row r="320">
      <c r="A320" s="1" t="s">
        <v>10</v>
      </c>
      <c r="B320" s="1" t="s">
        <v>145</v>
      </c>
      <c r="C320" s="1" t="s">
        <v>21</v>
      </c>
      <c r="D320" s="1" t="s">
        <v>146</v>
      </c>
      <c r="E320" s="1" t="s">
        <v>71</v>
      </c>
      <c r="F320" s="1" t="s">
        <v>666</v>
      </c>
      <c r="G320" s="1">
        <v>16.5</v>
      </c>
      <c r="H320" s="1" t="s">
        <v>60</v>
      </c>
      <c r="I320" s="1">
        <v>-109.0</v>
      </c>
      <c r="J320" s="1">
        <v>-0.116128570340852</v>
      </c>
      <c r="K320" s="1" t="s">
        <v>61</v>
      </c>
      <c r="L320" s="1" t="s">
        <v>61</v>
      </c>
      <c r="M320" s="1" t="s">
        <v>62</v>
      </c>
      <c r="N320" s="1">
        <v>-119.0</v>
      </c>
      <c r="O320" s="1">
        <v>0.0512045649747643</v>
      </c>
      <c r="P320" s="1" t="s">
        <v>61</v>
      </c>
      <c r="Q320" s="1" t="s">
        <v>61</v>
      </c>
      <c r="R320" s="1">
        <f t="shared" si="1"/>
        <v>0.05120456497</v>
      </c>
      <c r="S320" s="1">
        <f t="shared" si="2"/>
        <v>-119</v>
      </c>
      <c r="T320" s="1">
        <f t="shared" si="3"/>
        <v>1.840336134</v>
      </c>
      <c r="U320" s="1">
        <f t="shared" si="4"/>
        <v>0</v>
      </c>
      <c r="V320" s="3">
        <f t="shared" si="5"/>
        <v>2</v>
      </c>
      <c r="W320" s="3">
        <f t="shared" si="6"/>
        <v>3</v>
      </c>
      <c r="X320" s="3" t="str">
        <f>IFERROR(__xludf.DUMMYFUNCTION("split(B320,"" "")"),"S.")</f>
        <v>S.</v>
      </c>
      <c r="Y320" s="3" t="str">
        <f>IFERROR(__xludf.DUMMYFUNCTION("""COMPUTED_VALUE"""),"Darnold")</f>
        <v>Darnold</v>
      </c>
      <c r="AA320" s="8">
        <v>14.0</v>
      </c>
      <c r="AB320" s="3">
        <f t="shared" si="7"/>
        <v>0</v>
      </c>
      <c r="AC320" s="3">
        <f t="shared" si="8"/>
        <v>1</v>
      </c>
      <c r="AD320" s="3">
        <f t="shared" si="9"/>
        <v>1.680672269</v>
      </c>
      <c r="AE320" s="3">
        <f t="shared" si="10"/>
        <v>1.680672269</v>
      </c>
      <c r="AF320" s="3">
        <f t="shared" si="11"/>
        <v>2.521008403</v>
      </c>
      <c r="AG320" s="3">
        <f t="shared" si="12"/>
        <v>0.1515151515</v>
      </c>
    </row>
    <row r="321">
      <c r="A321" s="1" t="s">
        <v>9</v>
      </c>
      <c r="B321" s="1" t="s">
        <v>549</v>
      </c>
      <c r="C321" s="1" t="s">
        <v>18</v>
      </c>
      <c r="D321" s="1" t="s">
        <v>146</v>
      </c>
      <c r="E321" s="1" t="s">
        <v>71</v>
      </c>
      <c r="F321" s="1" t="s">
        <v>666</v>
      </c>
      <c r="G321" s="1">
        <v>21.5</v>
      </c>
      <c r="H321" s="1" t="s">
        <v>60</v>
      </c>
      <c r="I321" s="1">
        <v>-118.0</v>
      </c>
      <c r="J321" s="1">
        <v>0.048591175762831</v>
      </c>
      <c r="K321" s="1" t="s">
        <v>61</v>
      </c>
      <c r="L321" s="1" t="s">
        <v>61</v>
      </c>
      <c r="M321" s="1" t="s">
        <v>62</v>
      </c>
      <c r="N321" s="1">
        <v>-115.0</v>
      </c>
      <c r="O321" s="1">
        <v>-0.124705431459264</v>
      </c>
      <c r="P321" s="1" t="s">
        <v>61</v>
      </c>
      <c r="Q321" s="1" t="s">
        <v>61</v>
      </c>
      <c r="R321" s="1">
        <f t="shared" si="1"/>
        <v>0.04859117576</v>
      </c>
      <c r="S321" s="1">
        <f t="shared" si="2"/>
        <v>-118</v>
      </c>
      <c r="T321" s="1">
        <f t="shared" si="3"/>
        <v>1.847457627</v>
      </c>
      <c r="U321" s="1">
        <f t="shared" si="4"/>
        <v>1</v>
      </c>
      <c r="V321" s="3">
        <f t="shared" si="5"/>
        <v>1</v>
      </c>
      <c r="W321" s="3">
        <f t="shared" si="6"/>
        <v>3</v>
      </c>
      <c r="X321" s="3" t="str">
        <f>IFERROR(__xludf.DUMMYFUNCTION("split(B321,"" "")"),"J.")</f>
        <v>J.</v>
      </c>
      <c r="Y321" s="3" t="str">
        <f>IFERROR(__xludf.DUMMYFUNCTION("""COMPUTED_VALUE"""),"Nailor")</f>
        <v>Nailor</v>
      </c>
      <c r="AA321" s="8">
        <v>7.0</v>
      </c>
      <c r="AB321" s="3">
        <f t="shared" si="7"/>
        <v>0</v>
      </c>
      <c r="AC321" s="3">
        <f t="shared" si="8"/>
        <v>0</v>
      </c>
      <c r="AD321" s="3">
        <f t="shared" si="9"/>
        <v>0.8474576271</v>
      </c>
      <c r="AE321" s="3">
        <f t="shared" si="10"/>
        <v>-1</v>
      </c>
      <c r="AF321" s="3">
        <f t="shared" si="11"/>
        <v>-3</v>
      </c>
      <c r="AG321" s="3">
        <f t="shared" si="12"/>
        <v>-0.6744186047</v>
      </c>
    </row>
    <row r="322">
      <c r="A322" s="1" t="s">
        <v>10</v>
      </c>
      <c r="B322" s="1" t="s">
        <v>304</v>
      </c>
      <c r="C322" s="1" t="s">
        <v>19</v>
      </c>
      <c r="D322" s="1" t="s">
        <v>146</v>
      </c>
      <c r="E322" s="1" t="s">
        <v>71</v>
      </c>
      <c r="F322" s="1" t="s">
        <v>666</v>
      </c>
      <c r="G322" s="1">
        <v>71.5</v>
      </c>
      <c r="H322" s="1" t="s">
        <v>60</v>
      </c>
      <c r="I322" s="1">
        <v>-114.0</v>
      </c>
      <c r="J322" s="1">
        <v>-0.112927048513539</v>
      </c>
      <c r="K322" s="1" t="s">
        <v>61</v>
      </c>
      <c r="L322" s="1" t="s">
        <v>61</v>
      </c>
      <c r="M322" s="1" t="s">
        <v>62</v>
      </c>
      <c r="N322" s="1">
        <v>-114.0</v>
      </c>
      <c r="O322" s="1">
        <v>0.047465661055029</v>
      </c>
      <c r="P322" s="1" t="s">
        <v>61</v>
      </c>
      <c r="Q322" s="1" t="s">
        <v>61</v>
      </c>
      <c r="R322" s="1">
        <f t="shared" si="1"/>
        <v>0.04746566106</v>
      </c>
      <c r="S322" s="1">
        <f t="shared" si="2"/>
        <v>-114</v>
      </c>
      <c r="T322" s="1">
        <f t="shared" si="3"/>
        <v>1.877192982</v>
      </c>
      <c r="U322" s="1">
        <f t="shared" si="4"/>
        <v>0</v>
      </c>
      <c r="V322" s="3">
        <f t="shared" si="5"/>
        <v>1</v>
      </c>
      <c r="W322" s="3">
        <f t="shared" si="6"/>
        <v>2</v>
      </c>
      <c r="X322" s="3" t="str">
        <f>IFERROR(__xludf.DUMMYFUNCTION("split(B322,"" "")"),"A.")</f>
        <v>A.</v>
      </c>
      <c r="Y322" s="3" t="str">
        <f>IFERROR(__xludf.DUMMYFUNCTION("""COMPUTED_VALUE"""),"Jones")</f>
        <v>Jones</v>
      </c>
      <c r="AA322" s="8">
        <v>64.0</v>
      </c>
      <c r="AB322" s="3">
        <f t="shared" si="7"/>
        <v>0</v>
      </c>
      <c r="AC322" s="3">
        <f t="shared" si="8"/>
        <v>1</v>
      </c>
      <c r="AD322" s="3">
        <f t="shared" si="9"/>
        <v>0.8771929825</v>
      </c>
      <c r="AE322" s="3">
        <f t="shared" si="10"/>
        <v>0.8771929825</v>
      </c>
      <c r="AF322" s="3">
        <f t="shared" si="11"/>
        <v>1.754385965</v>
      </c>
      <c r="AG322" s="3">
        <f t="shared" si="12"/>
        <v>0.1048951049</v>
      </c>
    </row>
    <row r="323">
      <c r="A323" s="1" t="s">
        <v>11</v>
      </c>
      <c r="B323" s="1" t="s">
        <v>654</v>
      </c>
      <c r="C323" s="1" t="s">
        <v>20</v>
      </c>
      <c r="D323" s="1" t="s">
        <v>146</v>
      </c>
      <c r="E323" s="1" t="s">
        <v>71</v>
      </c>
      <c r="F323" s="1" t="s">
        <v>666</v>
      </c>
      <c r="G323" s="1">
        <v>37.5</v>
      </c>
      <c r="H323" s="1" t="s">
        <v>60</v>
      </c>
      <c r="I323" s="1">
        <v>-116.0</v>
      </c>
      <c r="J323" s="1">
        <v>-0.114846520236342</v>
      </c>
      <c r="K323" s="1" t="s">
        <v>61</v>
      </c>
      <c r="L323" s="1" t="s">
        <v>61</v>
      </c>
      <c r="M323" s="1" t="s">
        <v>62</v>
      </c>
      <c r="N323" s="1">
        <v>-113.0</v>
      </c>
      <c r="O323" s="1">
        <v>0.0473370662596175</v>
      </c>
      <c r="P323" s="1" t="s">
        <v>61</v>
      </c>
      <c r="Q323" s="1" t="s">
        <v>61</v>
      </c>
      <c r="R323" s="1">
        <f t="shared" si="1"/>
        <v>0.04733706626</v>
      </c>
      <c r="S323" s="1">
        <f t="shared" si="2"/>
        <v>-113</v>
      </c>
      <c r="T323" s="1">
        <f t="shared" si="3"/>
        <v>1.884955752</v>
      </c>
      <c r="U323" s="1">
        <f t="shared" si="4"/>
        <v>0</v>
      </c>
      <c r="V323" s="3">
        <f t="shared" si="5"/>
        <v>1</v>
      </c>
      <c r="W323" s="3">
        <f t="shared" si="6"/>
        <v>2</v>
      </c>
      <c r="X323" s="3" t="str">
        <f>IFERROR(__xludf.DUMMYFUNCTION("split(B323,"" "")"),"T.")</f>
        <v>T.</v>
      </c>
      <c r="Y323" s="3" t="str">
        <f>IFERROR(__xludf.DUMMYFUNCTION("""COMPUTED_VALUE"""),"Hockenson")</f>
        <v>Hockenson</v>
      </c>
      <c r="AA323" s="8">
        <v>27.0</v>
      </c>
      <c r="AB323" s="3">
        <f t="shared" si="7"/>
        <v>0</v>
      </c>
      <c r="AC323" s="3">
        <f t="shared" si="8"/>
        <v>1</v>
      </c>
      <c r="AD323" s="3">
        <f t="shared" si="9"/>
        <v>0.8849557522</v>
      </c>
      <c r="AE323" s="3">
        <f t="shared" si="10"/>
        <v>0.8849557522</v>
      </c>
      <c r="AF323" s="3">
        <f t="shared" si="11"/>
        <v>1.769911504</v>
      </c>
      <c r="AG323" s="3">
        <f t="shared" si="12"/>
        <v>0.28</v>
      </c>
    </row>
    <row r="324">
      <c r="A324" s="1" t="s">
        <v>13</v>
      </c>
      <c r="B324" s="1" t="s">
        <v>145</v>
      </c>
      <c r="C324" s="1" t="s">
        <v>21</v>
      </c>
      <c r="D324" s="1" t="s">
        <v>146</v>
      </c>
      <c r="E324" s="1" t="s">
        <v>71</v>
      </c>
      <c r="F324" s="1" t="s">
        <v>666</v>
      </c>
      <c r="G324" s="1">
        <v>252.5</v>
      </c>
      <c r="H324" s="1" t="s">
        <v>60</v>
      </c>
      <c r="I324" s="1">
        <v>-122.0</v>
      </c>
      <c r="J324" s="1">
        <v>-0.109614414414414</v>
      </c>
      <c r="K324" s="1" t="s">
        <v>61</v>
      </c>
      <c r="L324" s="1" t="s">
        <v>61</v>
      </c>
      <c r="M324" s="1" t="s">
        <v>62</v>
      </c>
      <c r="N324" s="1">
        <v>-111.0</v>
      </c>
      <c r="O324" s="1">
        <v>0.0339758293838864</v>
      </c>
      <c r="P324" s="1" t="s">
        <v>61</v>
      </c>
      <c r="Q324" s="1" t="s">
        <v>61</v>
      </c>
      <c r="R324" s="1">
        <f t="shared" si="1"/>
        <v>0.03397582938</v>
      </c>
      <c r="S324" s="1">
        <f t="shared" si="2"/>
        <v>-111</v>
      </c>
      <c r="T324" s="1">
        <f t="shared" si="3"/>
        <v>1.900900901</v>
      </c>
      <c r="U324" s="1">
        <f t="shared" si="4"/>
        <v>0</v>
      </c>
      <c r="V324" s="3">
        <f t="shared" si="5"/>
        <v>1</v>
      </c>
      <c r="W324" s="3">
        <f t="shared" si="6"/>
        <v>2</v>
      </c>
      <c r="X324" s="3" t="str">
        <f>IFERROR(__xludf.DUMMYFUNCTION("split(B324,"" "")"),"S.")</f>
        <v>S.</v>
      </c>
      <c r="Y324" s="3" t="str">
        <f>IFERROR(__xludf.DUMMYFUNCTION("""COMPUTED_VALUE"""),"Darnold")</f>
        <v>Darnold</v>
      </c>
      <c r="AA324" s="8">
        <v>290.0</v>
      </c>
      <c r="AB324" s="3">
        <f t="shared" si="7"/>
        <v>1</v>
      </c>
      <c r="AC324" s="3">
        <f t="shared" si="8"/>
        <v>0</v>
      </c>
      <c r="AD324" s="3">
        <f t="shared" si="9"/>
        <v>0.9009009009</v>
      </c>
      <c r="AE324" s="3">
        <f t="shared" si="10"/>
        <v>-1</v>
      </c>
      <c r="AF324" s="3">
        <f t="shared" si="11"/>
        <v>-2</v>
      </c>
      <c r="AG324" s="3">
        <f t="shared" si="12"/>
        <v>-0.1485148515</v>
      </c>
    </row>
    <row r="325">
      <c r="A325" s="1" t="s">
        <v>11</v>
      </c>
      <c r="B325" s="1" t="s">
        <v>304</v>
      </c>
      <c r="C325" s="1" t="s">
        <v>19</v>
      </c>
      <c r="D325" s="1" t="s">
        <v>146</v>
      </c>
      <c r="E325" s="1" t="s">
        <v>71</v>
      </c>
      <c r="F325" s="1" t="s">
        <v>666</v>
      </c>
      <c r="G325" s="1">
        <v>21.5</v>
      </c>
      <c r="H325" s="1" t="s">
        <v>60</v>
      </c>
      <c r="I325" s="1">
        <v>-119.0</v>
      </c>
      <c r="J325" s="1">
        <v>-0.10311325562005</v>
      </c>
      <c r="K325" s="1" t="s">
        <v>61</v>
      </c>
      <c r="L325" s="1" t="s">
        <v>61</v>
      </c>
      <c r="M325" s="1" t="s">
        <v>62</v>
      </c>
      <c r="N325" s="1">
        <v>-111.0</v>
      </c>
      <c r="O325" s="1">
        <v>0.0336274943539244</v>
      </c>
      <c r="P325" s="1" t="s">
        <v>61</v>
      </c>
      <c r="Q325" s="1" t="s">
        <v>61</v>
      </c>
      <c r="R325" s="1">
        <f t="shared" si="1"/>
        <v>0.03362749435</v>
      </c>
      <c r="S325" s="1">
        <f t="shared" si="2"/>
        <v>-111</v>
      </c>
      <c r="T325" s="1">
        <f t="shared" si="3"/>
        <v>1.900900901</v>
      </c>
      <c r="U325" s="1">
        <f t="shared" si="4"/>
        <v>0</v>
      </c>
      <c r="V325" s="3">
        <f t="shared" si="5"/>
        <v>1</v>
      </c>
      <c r="W325" s="3">
        <f t="shared" si="6"/>
        <v>2</v>
      </c>
      <c r="X325" s="3" t="str">
        <f>IFERROR(__xludf.DUMMYFUNCTION("split(B325,"" "")"),"A.")</f>
        <v>A.</v>
      </c>
      <c r="Y325" s="3" t="str">
        <f>IFERROR(__xludf.DUMMYFUNCTION("""COMPUTED_VALUE"""),"Jones")</f>
        <v>Jones</v>
      </c>
      <c r="AA325" s="8">
        <v>18.0</v>
      </c>
      <c r="AB325" s="3">
        <f t="shared" si="7"/>
        <v>0</v>
      </c>
      <c r="AC325" s="3">
        <f t="shared" si="8"/>
        <v>1</v>
      </c>
      <c r="AD325" s="3">
        <f t="shared" si="9"/>
        <v>0.9009009009</v>
      </c>
      <c r="AE325" s="3">
        <f t="shared" si="10"/>
        <v>0.9009009009</v>
      </c>
      <c r="AF325" s="3">
        <f t="shared" si="11"/>
        <v>1.801801802</v>
      </c>
      <c r="AG325" s="3">
        <f t="shared" si="12"/>
        <v>0.1627906977</v>
      </c>
    </row>
    <row r="326">
      <c r="A326" s="1" t="s">
        <v>9</v>
      </c>
      <c r="B326" s="1" t="s">
        <v>379</v>
      </c>
      <c r="C326" s="1" t="s">
        <v>18</v>
      </c>
      <c r="D326" s="1" t="s">
        <v>146</v>
      </c>
      <c r="E326" s="1" t="s">
        <v>71</v>
      </c>
      <c r="F326" s="1" t="s">
        <v>666</v>
      </c>
      <c r="G326" s="1">
        <v>87.5</v>
      </c>
      <c r="H326" s="1" t="s">
        <v>60</v>
      </c>
      <c r="I326" s="1">
        <v>-116.0</v>
      </c>
      <c r="J326" s="1">
        <v>-0.104667582035493</v>
      </c>
      <c r="K326" s="1" t="s">
        <v>61</v>
      </c>
      <c r="L326" s="1" t="s">
        <v>61</v>
      </c>
      <c r="M326" s="1" t="s">
        <v>62</v>
      </c>
      <c r="N326" s="1">
        <v>-116.0</v>
      </c>
      <c r="O326" s="1">
        <v>0.0306129610971715</v>
      </c>
      <c r="P326" s="1" t="s">
        <v>61</v>
      </c>
      <c r="Q326" s="1" t="s">
        <v>61</v>
      </c>
      <c r="R326" s="1">
        <f t="shared" si="1"/>
        <v>0.0306129611</v>
      </c>
      <c r="S326" s="1">
        <f t="shared" si="2"/>
        <v>-116</v>
      </c>
      <c r="T326" s="1">
        <f t="shared" si="3"/>
        <v>1.862068966</v>
      </c>
      <c r="U326" s="1">
        <f t="shared" si="4"/>
        <v>0</v>
      </c>
      <c r="V326" s="3">
        <f t="shared" si="5"/>
        <v>1</v>
      </c>
      <c r="W326" s="3">
        <f t="shared" si="6"/>
        <v>2</v>
      </c>
      <c r="X326" s="3" t="str">
        <f>IFERROR(__xludf.DUMMYFUNCTION("split(B326,"" "")"),"J.")</f>
        <v>J.</v>
      </c>
      <c r="Y326" s="3" t="str">
        <f>IFERROR(__xludf.DUMMYFUNCTION("""COMPUTED_VALUE"""),"Jefferson")</f>
        <v>Jefferson</v>
      </c>
      <c r="AA326" s="8">
        <v>137.0</v>
      </c>
      <c r="AB326" s="3">
        <f t="shared" si="7"/>
        <v>1</v>
      </c>
      <c r="AC326" s="3">
        <f t="shared" si="8"/>
        <v>0</v>
      </c>
      <c r="AD326" s="3">
        <f t="shared" si="9"/>
        <v>0.8620689655</v>
      </c>
      <c r="AE326" s="3">
        <f t="shared" si="10"/>
        <v>-1</v>
      </c>
      <c r="AF326" s="3">
        <f t="shared" si="11"/>
        <v>-2</v>
      </c>
      <c r="AG326" s="3">
        <f t="shared" si="12"/>
        <v>-0.5657142857</v>
      </c>
    </row>
    <row r="327">
      <c r="A327" s="1" t="s">
        <v>11</v>
      </c>
      <c r="B327" s="1" t="s">
        <v>549</v>
      </c>
      <c r="C327" s="1" t="s">
        <v>18</v>
      </c>
      <c r="D327" s="1" t="s">
        <v>146</v>
      </c>
      <c r="E327" s="1" t="s">
        <v>71</v>
      </c>
      <c r="F327" s="1" t="s">
        <v>666</v>
      </c>
      <c r="G327" s="1">
        <v>20.5</v>
      </c>
      <c r="H327" s="1" t="s">
        <v>60</v>
      </c>
      <c r="I327" s="1">
        <v>-114.0</v>
      </c>
      <c r="J327" s="1">
        <v>-0.0925005675229345</v>
      </c>
      <c r="K327" s="1" t="s">
        <v>61</v>
      </c>
      <c r="L327" s="1" t="s">
        <v>61</v>
      </c>
      <c r="M327" s="1" t="s">
        <v>62</v>
      </c>
      <c r="N327" s="1">
        <v>-113.0</v>
      </c>
      <c r="O327" s="1">
        <v>0.0292996020581974</v>
      </c>
      <c r="P327" s="1" t="s">
        <v>61</v>
      </c>
      <c r="Q327" s="1" t="s">
        <v>61</v>
      </c>
      <c r="R327" s="1">
        <f t="shared" si="1"/>
        <v>0.02929960206</v>
      </c>
      <c r="S327" s="1">
        <f t="shared" si="2"/>
        <v>-113</v>
      </c>
      <c r="T327" s="1">
        <f t="shared" si="3"/>
        <v>1.884955752</v>
      </c>
      <c r="U327" s="1">
        <f t="shared" si="4"/>
        <v>0</v>
      </c>
      <c r="V327" s="3">
        <f t="shared" si="5"/>
        <v>1</v>
      </c>
      <c r="W327" s="3">
        <f t="shared" si="6"/>
        <v>2</v>
      </c>
      <c r="X327" s="3" t="str">
        <f>IFERROR(__xludf.DUMMYFUNCTION("split(B327,"" "")"),"J.")</f>
        <v>J.</v>
      </c>
      <c r="Y327" s="3" t="str">
        <f>IFERROR(__xludf.DUMMYFUNCTION("""COMPUTED_VALUE"""),"Nailor")</f>
        <v>Nailor</v>
      </c>
      <c r="AA327" s="8">
        <v>7.0</v>
      </c>
      <c r="AB327" s="3">
        <f t="shared" si="7"/>
        <v>0</v>
      </c>
      <c r="AC327" s="3">
        <f t="shared" si="8"/>
        <v>1</v>
      </c>
      <c r="AD327" s="3">
        <f t="shared" si="9"/>
        <v>0.8849557522</v>
      </c>
      <c r="AE327" s="3">
        <f t="shared" si="10"/>
        <v>0.8849557522</v>
      </c>
      <c r="AF327" s="3">
        <f t="shared" si="11"/>
        <v>1.769911504</v>
      </c>
      <c r="AG327" s="3">
        <f t="shared" si="12"/>
        <v>0.6585365854</v>
      </c>
    </row>
    <row r="328">
      <c r="A328" s="1" t="s">
        <v>8</v>
      </c>
      <c r="B328" s="1" t="s">
        <v>304</v>
      </c>
      <c r="C328" s="1" t="s">
        <v>19</v>
      </c>
      <c r="D328" s="1" t="s">
        <v>146</v>
      </c>
      <c r="E328" s="1" t="s">
        <v>71</v>
      </c>
      <c r="F328" s="1" t="s">
        <v>666</v>
      </c>
      <c r="G328" s="1">
        <v>15.5</v>
      </c>
      <c r="H328" s="1" t="s">
        <v>60</v>
      </c>
      <c r="I328" s="1">
        <v>-112.0</v>
      </c>
      <c r="J328" s="1">
        <v>-0.0902488227075472</v>
      </c>
      <c r="K328" s="1" t="s">
        <v>61</v>
      </c>
      <c r="L328" s="1" t="s">
        <v>61</v>
      </c>
      <c r="M328" s="1" t="s">
        <v>62</v>
      </c>
      <c r="N328" s="1">
        <v>-117.0</v>
      </c>
      <c r="O328" s="1">
        <v>0.0227831427851613</v>
      </c>
      <c r="P328" s="1" t="s">
        <v>61</v>
      </c>
      <c r="Q328" s="1" t="s">
        <v>61</v>
      </c>
      <c r="R328" s="1">
        <f t="shared" si="1"/>
        <v>0.02278314279</v>
      </c>
      <c r="S328" s="1">
        <f t="shared" si="2"/>
        <v>-117</v>
      </c>
      <c r="T328" s="1">
        <f t="shared" si="3"/>
        <v>1.854700855</v>
      </c>
      <c r="U328" s="1">
        <f t="shared" si="4"/>
        <v>0</v>
      </c>
      <c r="V328" s="3">
        <f t="shared" si="5"/>
        <v>1</v>
      </c>
      <c r="W328" s="3">
        <f t="shared" si="6"/>
        <v>2</v>
      </c>
      <c r="X328" s="3" t="str">
        <f>IFERROR(__xludf.DUMMYFUNCTION("split(B328,"" "")"),"A.")</f>
        <v>A.</v>
      </c>
      <c r="Y328" s="3" t="str">
        <f>IFERROR(__xludf.DUMMYFUNCTION("""COMPUTED_VALUE"""),"Jones")</f>
        <v>Jones</v>
      </c>
      <c r="AA328" s="8">
        <v>21.0</v>
      </c>
      <c r="AB328" s="3">
        <f t="shared" si="7"/>
        <v>1</v>
      </c>
      <c r="AC328" s="3">
        <f t="shared" si="8"/>
        <v>0</v>
      </c>
      <c r="AD328" s="3">
        <f t="shared" si="9"/>
        <v>0.8547008547</v>
      </c>
      <c r="AE328" s="3">
        <f t="shared" si="10"/>
        <v>-1</v>
      </c>
      <c r="AF328" s="3">
        <f t="shared" si="11"/>
        <v>-2</v>
      </c>
      <c r="AG328" s="3">
        <f t="shared" si="12"/>
        <v>-0.3548387097</v>
      </c>
    </row>
    <row r="329">
      <c r="A329" s="1" t="s">
        <v>9</v>
      </c>
      <c r="B329" s="1" t="s">
        <v>175</v>
      </c>
      <c r="C329" s="1" t="s">
        <v>18</v>
      </c>
      <c r="D329" s="1" t="s">
        <v>146</v>
      </c>
      <c r="E329" s="1" t="s">
        <v>71</v>
      </c>
      <c r="F329" s="1" t="s">
        <v>666</v>
      </c>
      <c r="G329" s="1">
        <v>41.5</v>
      </c>
      <c r="H329" s="1" t="s">
        <v>60</v>
      </c>
      <c r="I329" s="1">
        <v>-110.0</v>
      </c>
      <c r="J329" s="1">
        <v>0.0202751726287654</v>
      </c>
      <c r="K329" s="1" t="s">
        <v>61</v>
      </c>
      <c r="L329" s="1" t="s">
        <v>61</v>
      </c>
      <c r="M329" s="1" t="s">
        <v>62</v>
      </c>
      <c r="N329" s="1">
        <v>-120.0</v>
      </c>
      <c r="O329" s="1">
        <v>-0.0895224704656766</v>
      </c>
      <c r="P329" s="1" t="s">
        <v>61</v>
      </c>
      <c r="Q329" s="1" t="s">
        <v>61</v>
      </c>
      <c r="R329" s="1">
        <f t="shared" si="1"/>
        <v>0.02027517263</v>
      </c>
      <c r="S329" s="1">
        <f t="shared" si="2"/>
        <v>-110</v>
      </c>
      <c r="T329" s="1">
        <f t="shared" si="3"/>
        <v>1.909090909</v>
      </c>
      <c r="U329" s="1">
        <f t="shared" si="4"/>
        <v>1</v>
      </c>
      <c r="V329" s="3">
        <f t="shared" si="5"/>
        <v>1</v>
      </c>
      <c r="W329" s="3">
        <f t="shared" si="6"/>
        <v>2</v>
      </c>
      <c r="X329" s="3" t="str">
        <f>IFERROR(__xludf.DUMMYFUNCTION("split(B329,"" "")"),"J.")</f>
        <v>J.</v>
      </c>
      <c r="Y329" s="3" t="str">
        <f>IFERROR(__xludf.DUMMYFUNCTION("""COMPUTED_VALUE"""),"Addison")</f>
        <v>Addison</v>
      </c>
      <c r="AA329" s="8">
        <v>51.0</v>
      </c>
      <c r="AB329" s="3">
        <f t="shared" si="7"/>
        <v>1</v>
      </c>
      <c r="AC329" s="3">
        <f t="shared" si="8"/>
        <v>1</v>
      </c>
      <c r="AD329" s="3">
        <f t="shared" si="9"/>
        <v>0.9090909091</v>
      </c>
      <c r="AE329" s="3">
        <f t="shared" si="10"/>
        <v>0.9090909091</v>
      </c>
      <c r="AF329" s="3">
        <f t="shared" si="11"/>
        <v>1.818181818</v>
      </c>
      <c r="AG329" s="3">
        <f t="shared" si="12"/>
        <v>0.2289156627</v>
      </c>
    </row>
    <row r="330">
      <c r="A330" s="1" t="s">
        <v>10</v>
      </c>
      <c r="B330" s="1" t="s">
        <v>597</v>
      </c>
      <c r="C330" s="1" t="s">
        <v>18</v>
      </c>
      <c r="D330" s="1" t="s">
        <v>66</v>
      </c>
      <c r="E330" s="1" t="s">
        <v>100</v>
      </c>
      <c r="F330" s="1" t="s">
        <v>658</v>
      </c>
      <c r="G330" s="1">
        <v>0.5</v>
      </c>
      <c r="H330" s="1" t="s">
        <v>60</v>
      </c>
      <c r="I330" s="1">
        <v>866.0</v>
      </c>
      <c r="J330" s="1">
        <v>0.509176371870094</v>
      </c>
      <c r="K330" s="1" t="s">
        <v>61</v>
      </c>
      <c r="L330" s="1" t="s">
        <v>61</v>
      </c>
      <c r="M330" s="1" t="s">
        <v>62</v>
      </c>
      <c r="N330" s="1">
        <v>-2157.0</v>
      </c>
      <c r="O330" s="1">
        <v>-0.568356152101383</v>
      </c>
      <c r="P330" s="1" t="s">
        <v>61</v>
      </c>
      <c r="Q330" s="1" t="s">
        <v>61</v>
      </c>
      <c r="R330" s="1">
        <f t="shared" si="1"/>
        <v>0.5091763719</v>
      </c>
      <c r="S330" s="1">
        <f t="shared" si="2"/>
        <v>866</v>
      </c>
      <c r="T330" s="1">
        <f t="shared" si="3"/>
        <v>9.66</v>
      </c>
      <c r="U330" s="1">
        <f t="shared" si="4"/>
        <v>1</v>
      </c>
      <c r="V330" s="3">
        <f t="shared" si="5"/>
        <v>3</v>
      </c>
      <c r="W330" s="3">
        <f t="shared" si="6"/>
        <v>1</v>
      </c>
      <c r="X330" s="3" t="str">
        <f>IFERROR(__xludf.DUMMYFUNCTION("split(B330,"" "")"),"K.")</f>
        <v>K.</v>
      </c>
      <c r="Y330" s="3" t="str">
        <f>IFERROR(__xludf.DUMMYFUNCTION("""COMPUTED_VALUE"""),"Bourne")</f>
        <v>Bourne</v>
      </c>
      <c r="AA330" s="8">
        <v>0.0</v>
      </c>
      <c r="AB330" s="3">
        <f t="shared" si="7"/>
        <v>0</v>
      </c>
      <c r="AC330" s="3">
        <f t="shared" si="8"/>
        <v>0</v>
      </c>
      <c r="AD330" s="3">
        <f t="shared" si="9"/>
        <v>25.98</v>
      </c>
      <c r="AE330" s="3">
        <f t="shared" si="10"/>
        <v>0</v>
      </c>
      <c r="AF330" s="3">
        <f t="shared" si="11"/>
        <v>-1</v>
      </c>
      <c r="AG330" s="3">
        <f t="shared" si="12"/>
        <v>-1</v>
      </c>
    </row>
    <row r="331">
      <c r="A331" s="1" t="s">
        <v>12</v>
      </c>
      <c r="B331" s="1" t="s">
        <v>476</v>
      </c>
      <c r="C331" s="1" t="s">
        <v>19</v>
      </c>
      <c r="D331" s="1" t="s">
        <v>66</v>
      </c>
      <c r="E331" s="1" t="s">
        <v>100</v>
      </c>
      <c r="F331" s="1" t="s">
        <v>658</v>
      </c>
      <c r="G331" s="1">
        <v>2.5</v>
      </c>
      <c r="H331" s="1" t="s">
        <v>60</v>
      </c>
      <c r="I331" s="1">
        <v>-118.0</v>
      </c>
      <c r="J331" s="1">
        <v>-0.247434080091743</v>
      </c>
      <c r="K331" s="1" t="s">
        <v>61</v>
      </c>
      <c r="L331" s="1" t="s">
        <v>61</v>
      </c>
      <c r="M331" s="1" t="s">
        <v>62</v>
      </c>
      <c r="N331" s="1">
        <v>-111.0</v>
      </c>
      <c r="O331" s="1">
        <v>0.180075936969668</v>
      </c>
      <c r="P331" s="1" t="s">
        <v>61</v>
      </c>
      <c r="Q331" s="1" t="s">
        <v>61</v>
      </c>
      <c r="R331" s="1">
        <f t="shared" si="1"/>
        <v>0.180075937</v>
      </c>
      <c r="S331" s="1">
        <f t="shared" si="2"/>
        <v>-111</v>
      </c>
      <c r="T331" s="1">
        <f t="shared" si="3"/>
        <v>1.900900901</v>
      </c>
      <c r="U331" s="1">
        <f t="shared" si="4"/>
        <v>0</v>
      </c>
      <c r="V331" s="3">
        <f t="shared" si="5"/>
        <v>3</v>
      </c>
      <c r="W331" s="3">
        <f t="shared" si="6"/>
        <v>2</v>
      </c>
      <c r="X331" s="3" t="str">
        <f>IFERROR(__xludf.DUMMYFUNCTION("split(B331,"" "")"),"R.")</f>
        <v>R.</v>
      </c>
      <c r="Y331" s="3" t="str">
        <f>IFERROR(__xludf.DUMMYFUNCTION("""COMPUTED_VALUE"""),"Stevenson")</f>
        <v>Stevenson</v>
      </c>
      <c r="AA331" s="8">
        <v>5.0</v>
      </c>
      <c r="AB331" s="3">
        <f t="shared" si="7"/>
        <v>1</v>
      </c>
      <c r="AC331" s="3">
        <f t="shared" si="8"/>
        <v>0</v>
      </c>
      <c r="AD331" s="3">
        <f t="shared" si="9"/>
        <v>2.702702703</v>
      </c>
      <c r="AE331" s="3">
        <f t="shared" si="10"/>
        <v>-3</v>
      </c>
      <c r="AF331" s="3">
        <f t="shared" si="11"/>
        <v>-2</v>
      </c>
      <c r="AG331" s="3">
        <f t="shared" si="12"/>
        <v>-1</v>
      </c>
    </row>
    <row r="332">
      <c r="A332" s="1" t="s">
        <v>14</v>
      </c>
      <c r="B332" s="1" t="s">
        <v>621</v>
      </c>
      <c r="C332" s="1" t="s">
        <v>21</v>
      </c>
      <c r="D332" s="1" t="s">
        <v>66</v>
      </c>
      <c r="E332" s="1" t="s">
        <v>100</v>
      </c>
      <c r="F332" s="1" t="s">
        <v>658</v>
      </c>
      <c r="G332" s="1">
        <v>0.5</v>
      </c>
      <c r="H332" s="1" t="s">
        <v>60</v>
      </c>
      <c r="I332" s="1">
        <v>-239.0</v>
      </c>
      <c r="J332" s="1">
        <v>-0.212172198230088</v>
      </c>
      <c r="K332" s="1" t="s">
        <v>61</v>
      </c>
      <c r="L332" s="1" t="s">
        <v>61</v>
      </c>
      <c r="M332" s="1" t="s">
        <v>62</v>
      </c>
      <c r="N332" s="1">
        <v>177.0</v>
      </c>
      <c r="O332" s="1">
        <v>0.146159477256317</v>
      </c>
      <c r="P332" s="1" t="s">
        <v>61</v>
      </c>
      <c r="Q332" s="1" t="s">
        <v>61</v>
      </c>
      <c r="R332" s="1">
        <f t="shared" si="1"/>
        <v>0.1461594773</v>
      </c>
      <c r="S332" s="1">
        <f t="shared" si="2"/>
        <v>177</v>
      </c>
      <c r="T332" s="1">
        <f t="shared" si="3"/>
        <v>2.77</v>
      </c>
      <c r="U332" s="1">
        <f t="shared" si="4"/>
        <v>0</v>
      </c>
      <c r="V332" s="3">
        <f t="shared" si="5"/>
        <v>3</v>
      </c>
      <c r="W332" s="3">
        <f t="shared" si="6"/>
        <v>1</v>
      </c>
      <c r="X332" s="3" t="str">
        <f>IFERROR(__xludf.DUMMYFUNCTION("split(B332,"" "")"),"D.")</f>
        <v>D.</v>
      </c>
      <c r="Y332" s="3" t="str">
        <f>IFERROR(__xludf.DUMMYFUNCTION("""COMPUTED_VALUE"""),"Maye")</f>
        <v>Maye</v>
      </c>
      <c r="AA332" s="8">
        <v>1.0</v>
      </c>
      <c r="AB332" s="3">
        <f t="shared" si="7"/>
        <v>1</v>
      </c>
      <c r="AC332" s="3">
        <f t="shared" si="8"/>
        <v>0</v>
      </c>
      <c r="AD332" s="3">
        <f t="shared" si="9"/>
        <v>5.31</v>
      </c>
      <c r="AE332" s="3">
        <f t="shared" si="10"/>
        <v>-3</v>
      </c>
      <c r="AF332" s="3">
        <f t="shared" si="11"/>
        <v>-1</v>
      </c>
      <c r="AG332" s="3">
        <f t="shared" si="12"/>
        <v>-1</v>
      </c>
    </row>
    <row r="333">
      <c r="A333" s="1" t="s">
        <v>9</v>
      </c>
      <c r="B333" s="1" t="s">
        <v>597</v>
      </c>
      <c r="C333" s="1" t="s">
        <v>18</v>
      </c>
      <c r="D333" s="1" t="s">
        <v>66</v>
      </c>
      <c r="E333" s="1" t="s">
        <v>100</v>
      </c>
      <c r="F333" s="1" t="s">
        <v>658</v>
      </c>
      <c r="G333" s="1">
        <v>16.5</v>
      </c>
      <c r="H333" s="1" t="s">
        <v>60</v>
      </c>
      <c r="I333" s="1">
        <v>-120.0</v>
      </c>
      <c r="J333" s="1">
        <v>0.125013429318133</v>
      </c>
      <c r="K333" s="1" t="s">
        <v>61</v>
      </c>
      <c r="L333" s="1" t="s">
        <v>61</v>
      </c>
      <c r="M333" s="1" t="s">
        <v>62</v>
      </c>
      <c r="N333" s="1">
        <v>-115.0</v>
      </c>
      <c r="O333" s="1">
        <v>-0.205328361011571</v>
      </c>
      <c r="P333" s="1" t="s">
        <v>61</v>
      </c>
      <c r="Q333" s="1" t="s">
        <v>61</v>
      </c>
      <c r="R333" s="1">
        <f t="shared" si="1"/>
        <v>0.1250134293</v>
      </c>
      <c r="S333" s="1">
        <f t="shared" si="2"/>
        <v>-120</v>
      </c>
      <c r="T333" s="1">
        <f t="shared" si="3"/>
        <v>1.833333333</v>
      </c>
      <c r="U333" s="1">
        <f t="shared" si="4"/>
        <v>1</v>
      </c>
      <c r="V333" s="3">
        <f t="shared" si="5"/>
        <v>3</v>
      </c>
      <c r="W333" s="3">
        <f t="shared" si="6"/>
        <v>3</v>
      </c>
      <c r="X333" s="3" t="str">
        <f>IFERROR(__xludf.DUMMYFUNCTION("split(B333,"" "")"),"K.")</f>
        <v>K.</v>
      </c>
      <c r="Y333" s="3" t="str">
        <f>IFERROR(__xludf.DUMMYFUNCTION("""COMPUTED_VALUE"""),"Bourne")</f>
        <v>Bourne</v>
      </c>
      <c r="AA333" s="8">
        <v>41.0</v>
      </c>
      <c r="AB333" s="3">
        <f t="shared" si="7"/>
        <v>1</v>
      </c>
      <c r="AC333" s="3">
        <f t="shared" si="8"/>
        <v>1</v>
      </c>
      <c r="AD333" s="3">
        <f t="shared" si="9"/>
        <v>2.5</v>
      </c>
      <c r="AE333" s="3">
        <f t="shared" si="10"/>
        <v>2.5</v>
      </c>
      <c r="AF333" s="3">
        <f t="shared" si="11"/>
        <v>2.5</v>
      </c>
      <c r="AG333" s="3">
        <f t="shared" si="12"/>
        <v>1.484848485</v>
      </c>
    </row>
    <row r="334">
      <c r="A334" s="1" t="s">
        <v>8</v>
      </c>
      <c r="B334" s="1" t="s">
        <v>476</v>
      </c>
      <c r="C334" s="1" t="s">
        <v>19</v>
      </c>
      <c r="D334" s="1" t="s">
        <v>66</v>
      </c>
      <c r="E334" s="1" t="s">
        <v>100</v>
      </c>
      <c r="F334" s="1" t="s">
        <v>658</v>
      </c>
      <c r="G334" s="1">
        <v>14.5</v>
      </c>
      <c r="H334" s="1" t="s">
        <v>60</v>
      </c>
      <c r="I334" s="1">
        <v>-119.0</v>
      </c>
      <c r="J334" s="1">
        <v>-0.192222468407305</v>
      </c>
      <c r="K334" s="1" t="s">
        <v>61</v>
      </c>
      <c r="L334" s="1" t="s">
        <v>61</v>
      </c>
      <c r="M334" s="1" t="s">
        <v>62</v>
      </c>
      <c r="N334" s="1">
        <v>-111.0</v>
      </c>
      <c r="O334" s="1">
        <v>0.122783733863184</v>
      </c>
      <c r="P334" s="1" t="s">
        <v>61</v>
      </c>
      <c r="Q334" s="1" t="s">
        <v>61</v>
      </c>
      <c r="R334" s="1">
        <f t="shared" si="1"/>
        <v>0.1227837339</v>
      </c>
      <c r="S334" s="1">
        <f t="shared" si="2"/>
        <v>-111</v>
      </c>
      <c r="T334" s="1">
        <f t="shared" si="3"/>
        <v>1.900900901</v>
      </c>
      <c r="U334" s="1">
        <f t="shared" si="4"/>
        <v>0</v>
      </c>
      <c r="V334" s="3">
        <f t="shared" si="5"/>
        <v>3</v>
      </c>
      <c r="W334" s="3">
        <f t="shared" si="6"/>
        <v>2</v>
      </c>
      <c r="X334" s="3" t="str">
        <f>IFERROR(__xludf.DUMMYFUNCTION("split(B334,"" "")"),"R.")</f>
        <v>R.</v>
      </c>
      <c r="Y334" s="3" t="str">
        <f>IFERROR(__xludf.DUMMYFUNCTION("""COMPUTED_VALUE"""),"Stevenson")</f>
        <v>Stevenson</v>
      </c>
      <c r="AA334" s="8">
        <v>10.0</v>
      </c>
      <c r="AB334" s="3">
        <f t="shared" si="7"/>
        <v>0</v>
      </c>
      <c r="AC334" s="3">
        <f t="shared" si="8"/>
        <v>1</v>
      </c>
      <c r="AD334" s="3">
        <f t="shared" si="9"/>
        <v>2.702702703</v>
      </c>
      <c r="AE334" s="3">
        <f t="shared" si="10"/>
        <v>2.702702703</v>
      </c>
      <c r="AF334" s="3">
        <f t="shared" si="11"/>
        <v>1.801801802</v>
      </c>
      <c r="AG334" s="3">
        <f t="shared" si="12"/>
        <v>0.3103448276</v>
      </c>
    </row>
    <row r="335">
      <c r="A335" s="1" t="s">
        <v>12</v>
      </c>
      <c r="B335" s="1" t="s">
        <v>552</v>
      </c>
      <c r="C335" s="1" t="s">
        <v>20</v>
      </c>
      <c r="D335" s="1" t="s">
        <v>66</v>
      </c>
      <c r="E335" s="1" t="s">
        <v>100</v>
      </c>
      <c r="F335" s="1" t="s">
        <v>658</v>
      </c>
      <c r="G335" s="1">
        <v>1.5</v>
      </c>
      <c r="H335" s="1" t="s">
        <v>60</v>
      </c>
      <c r="I335" s="1">
        <v>-120.0</v>
      </c>
      <c r="J335" s="1">
        <v>-0.186446165613636</v>
      </c>
      <c r="K335" s="1" t="s">
        <v>61</v>
      </c>
      <c r="L335" s="1" t="s">
        <v>61</v>
      </c>
      <c r="M335" s="1" t="s">
        <v>62</v>
      </c>
      <c r="N335" s="1">
        <v>-109.0</v>
      </c>
      <c r="O335" s="1">
        <v>0.119459284756698</v>
      </c>
      <c r="P335" s="1" t="s">
        <v>61</v>
      </c>
      <c r="Q335" s="1" t="s">
        <v>61</v>
      </c>
      <c r="R335" s="1">
        <f t="shared" si="1"/>
        <v>0.1194592848</v>
      </c>
      <c r="S335" s="1">
        <f t="shared" si="2"/>
        <v>-109</v>
      </c>
      <c r="T335" s="1">
        <f t="shared" si="3"/>
        <v>1.917431193</v>
      </c>
      <c r="U335" s="1">
        <f t="shared" si="4"/>
        <v>0</v>
      </c>
      <c r="V335" s="3">
        <f t="shared" si="5"/>
        <v>3</v>
      </c>
      <c r="W335" s="3">
        <f t="shared" si="6"/>
        <v>2</v>
      </c>
      <c r="X335" s="3" t="str">
        <f>IFERROR(__xludf.DUMMYFUNCTION("split(B335,"" "")"),"A.")</f>
        <v>A.</v>
      </c>
      <c r="Y335" s="3" t="str">
        <f>IFERROR(__xludf.DUMMYFUNCTION("""COMPUTED_VALUE"""),"Hooper")</f>
        <v>Hooper</v>
      </c>
      <c r="AA335" s="8">
        <v>1.0</v>
      </c>
      <c r="AB335" s="3">
        <f t="shared" si="7"/>
        <v>0</v>
      </c>
      <c r="AC335" s="3">
        <f t="shared" si="8"/>
        <v>1</v>
      </c>
      <c r="AD335" s="3">
        <f t="shared" si="9"/>
        <v>2.752293578</v>
      </c>
      <c r="AE335" s="3">
        <f t="shared" si="10"/>
        <v>2.752293578</v>
      </c>
      <c r="AF335" s="3">
        <f t="shared" si="11"/>
        <v>1.834862385</v>
      </c>
      <c r="AG335" s="3">
        <f t="shared" si="12"/>
        <v>0.3333333333</v>
      </c>
    </row>
    <row r="336">
      <c r="A336" s="1" t="s">
        <v>15</v>
      </c>
      <c r="B336" s="1" t="s">
        <v>621</v>
      </c>
      <c r="C336" s="1" t="s">
        <v>21</v>
      </c>
      <c r="D336" s="1" t="s">
        <v>66</v>
      </c>
      <c r="E336" s="1" t="s">
        <v>100</v>
      </c>
      <c r="F336" s="1" t="s">
        <v>658</v>
      </c>
      <c r="G336" s="1">
        <v>18.5</v>
      </c>
      <c r="H336" s="1" t="s">
        <v>60</v>
      </c>
      <c r="I336" s="1">
        <v>-120.0</v>
      </c>
      <c r="J336" s="1">
        <v>-0.183363286104545</v>
      </c>
      <c r="K336" s="1" t="s">
        <v>61</v>
      </c>
      <c r="L336" s="1" t="s">
        <v>61</v>
      </c>
      <c r="M336" s="1" t="s">
        <v>62</v>
      </c>
      <c r="N336" s="1">
        <v>-109.0</v>
      </c>
      <c r="O336" s="1">
        <v>0.116364191425215</v>
      </c>
      <c r="P336" s="1" t="s">
        <v>61</v>
      </c>
      <c r="Q336" s="1" t="s">
        <v>61</v>
      </c>
      <c r="R336" s="1">
        <f t="shared" si="1"/>
        <v>0.1163641914</v>
      </c>
      <c r="S336" s="1">
        <f t="shared" si="2"/>
        <v>-109</v>
      </c>
      <c r="T336" s="1">
        <f t="shared" si="3"/>
        <v>1.917431193</v>
      </c>
      <c r="U336" s="1">
        <f t="shared" si="4"/>
        <v>0</v>
      </c>
      <c r="V336" s="3">
        <f t="shared" si="5"/>
        <v>3</v>
      </c>
      <c r="W336" s="3">
        <f t="shared" si="6"/>
        <v>2</v>
      </c>
      <c r="X336" s="3" t="str">
        <f>IFERROR(__xludf.DUMMYFUNCTION("split(B336,"" "")"),"D.")</f>
        <v>D.</v>
      </c>
      <c r="Y336" s="3" t="str">
        <f>IFERROR(__xludf.DUMMYFUNCTION("""COMPUTED_VALUE"""),"Maye")</f>
        <v>Maye</v>
      </c>
      <c r="AA336" s="8">
        <v>29.0</v>
      </c>
      <c r="AB336" s="3">
        <f t="shared" si="7"/>
        <v>1</v>
      </c>
      <c r="AC336" s="3">
        <f t="shared" si="8"/>
        <v>0</v>
      </c>
      <c r="AD336" s="3">
        <f t="shared" si="9"/>
        <v>2.752293578</v>
      </c>
      <c r="AE336" s="3">
        <f t="shared" si="10"/>
        <v>-3</v>
      </c>
      <c r="AF336" s="3">
        <f t="shared" si="11"/>
        <v>-2</v>
      </c>
      <c r="AG336" s="3">
        <f t="shared" si="12"/>
        <v>-0.5675675676</v>
      </c>
    </row>
    <row r="337">
      <c r="A337" s="1" t="s">
        <v>12</v>
      </c>
      <c r="B337" s="1" t="s">
        <v>140</v>
      </c>
      <c r="C337" s="1" t="s">
        <v>20</v>
      </c>
      <c r="D337" s="1" t="s">
        <v>66</v>
      </c>
      <c r="E337" s="1" t="s">
        <v>100</v>
      </c>
      <c r="F337" s="1" t="s">
        <v>658</v>
      </c>
      <c r="G337" s="1">
        <v>3.5</v>
      </c>
      <c r="H337" s="1" t="s">
        <v>60</v>
      </c>
      <c r="I337" s="1">
        <v>-113.0</v>
      </c>
      <c r="J337" s="1">
        <v>-0.171169483568075</v>
      </c>
      <c r="K337" s="1" t="s">
        <v>61</v>
      </c>
      <c r="L337" s="1" t="s">
        <v>61</v>
      </c>
      <c r="M337" s="1" t="s">
        <v>62</v>
      </c>
      <c r="N337" s="1">
        <v>-117.0</v>
      </c>
      <c r="O337" s="1">
        <v>0.101475576036866</v>
      </c>
      <c r="P337" s="1" t="s">
        <v>61</v>
      </c>
      <c r="Q337" s="1" t="s">
        <v>61</v>
      </c>
      <c r="R337" s="1">
        <f t="shared" si="1"/>
        <v>0.101475576</v>
      </c>
      <c r="S337" s="1">
        <f t="shared" si="2"/>
        <v>-117</v>
      </c>
      <c r="T337" s="1">
        <f t="shared" si="3"/>
        <v>1.854700855</v>
      </c>
      <c r="U337" s="1">
        <f t="shared" si="4"/>
        <v>0</v>
      </c>
      <c r="V337" s="3">
        <f t="shared" si="5"/>
        <v>3</v>
      </c>
      <c r="W337" s="3">
        <f t="shared" si="6"/>
        <v>2</v>
      </c>
      <c r="X337" s="3" t="str">
        <f>IFERROR(__xludf.DUMMYFUNCTION("split(B337,"" "")"),"H.")</f>
        <v>H.</v>
      </c>
      <c r="Y337" s="3" t="str">
        <f>IFERROR(__xludf.DUMMYFUNCTION("""COMPUTED_VALUE"""),"Henry")</f>
        <v>Henry</v>
      </c>
      <c r="AA337" s="8">
        <v>7.0</v>
      </c>
      <c r="AB337" s="3">
        <f t="shared" si="7"/>
        <v>1</v>
      </c>
      <c r="AC337" s="3">
        <f t="shared" si="8"/>
        <v>0</v>
      </c>
      <c r="AD337" s="3">
        <f t="shared" si="9"/>
        <v>2.564102564</v>
      </c>
      <c r="AE337" s="3">
        <f t="shared" si="10"/>
        <v>-3</v>
      </c>
      <c r="AF337" s="3">
        <f t="shared" si="11"/>
        <v>-2</v>
      </c>
      <c r="AG337" s="3">
        <f t="shared" si="12"/>
        <v>-1</v>
      </c>
    </row>
    <row r="338">
      <c r="A338" s="1" t="s">
        <v>12</v>
      </c>
      <c r="B338" s="1" t="s">
        <v>597</v>
      </c>
      <c r="C338" s="1" t="s">
        <v>18</v>
      </c>
      <c r="D338" s="1" t="s">
        <v>66</v>
      </c>
      <c r="E338" s="1" t="s">
        <v>100</v>
      </c>
      <c r="F338" s="1" t="s">
        <v>658</v>
      </c>
      <c r="G338" s="1">
        <v>1.5</v>
      </c>
      <c r="H338" s="1" t="s">
        <v>60</v>
      </c>
      <c r="I338" s="1">
        <v>-105.0</v>
      </c>
      <c r="J338" s="1">
        <v>-0.172688119356097</v>
      </c>
      <c r="K338" s="1" t="s">
        <v>61</v>
      </c>
      <c r="L338" s="1" t="s">
        <v>61</v>
      </c>
      <c r="M338" s="1" t="s">
        <v>62</v>
      </c>
      <c r="N338" s="1">
        <v>-129.0</v>
      </c>
      <c r="O338" s="1">
        <v>0.0971731360861136</v>
      </c>
      <c r="P338" s="1" t="s">
        <v>61</v>
      </c>
      <c r="Q338" s="1" t="s">
        <v>61</v>
      </c>
      <c r="R338" s="1">
        <f t="shared" si="1"/>
        <v>0.09717313609</v>
      </c>
      <c r="S338" s="1">
        <f t="shared" si="2"/>
        <v>-129</v>
      </c>
      <c r="T338" s="1">
        <f t="shared" si="3"/>
        <v>1.775193798</v>
      </c>
      <c r="U338" s="1">
        <f t="shared" si="4"/>
        <v>0</v>
      </c>
      <c r="V338" s="3">
        <f t="shared" si="5"/>
        <v>2</v>
      </c>
      <c r="W338" s="3">
        <f t="shared" si="6"/>
        <v>3</v>
      </c>
      <c r="X338" s="3" t="str">
        <f>IFERROR(__xludf.DUMMYFUNCTION("split(B338,"" "")"),"K.")</f>
        <v>K.</v>
      </c>
      <c r="Y338" s="3" t="str">
        <f>IFERROR(__xludf.DUMMYFUNCTION("""COMPUTED_VALUE"""),"Bourne")</f>
        <v>Bourne</v>
      </c>
      <c r="AA338" s="8">
        <v>4.0</v>
      </c>
      <c r="AB338" s="3">
        <f t="shared" si="7"/>
        <v>1</v>
      </c>
      <c r="AC338" s="3">
        <f t="shared" si="8"/>
        <v>0</v>
      </c>
      <c r="AD338" s="3">
        <f t="shared" si="9"/>
        <v>1.550387597</v>
      </c>
      <c r="AE338" s="3">
        <f t="shared" si="10"/>
        <v>-2</v>
      </c>
      <c r="AF338" s="3">
        <f t="shared" si="11"/>
        <v>-3</v>
      </c>
      <c r="AG338" s="3">
        <f t="shared" si="12"/>
        <v>-1.666666667</v>
      </c>
    </row>
    <row r="339">
      <c r="A339" s="1" t="s">
        <v>17</v>
      </c>
      <c r="B339" s="1" t="s">
        <v>621</v>
      </c>
      <c r="C339" s="1" t="s">
        <v>21</v>
      </c>
      <c r="D339" s="1" t="s">
        <v>66</v>
      </c>
      <c r="E339" s="1" t="s">
        <v>100</v>
      </c>
      <c r="F339" s="1" t="s">
        <v>658</v>
      </c>
      <c r="G339" s="1">
        <v>0.5</v>
      </c>
      <c r="H339" s="1" t="s">
        <v>60</v>
      </c>
      <c r="I339" s="1">
        <v>-150.0</v>
      </c>
      <c r="J339" s="1">
        <v>-0.15434</v>
      </c>
      <c r="K339" s="1" t="s">
        <v>61</v>
      </c>
      <c r="L339" s="1" t="s">
        <v>61</v>
      </c>
      <c r="M339" s="1" t="s">
        <v>62</v>
      </c>
      <c r="N339" s="1">
        <v>115.0</v>
      </c>
      <c r="O339" s="1">
        <v>0.0892302325581395</v>
      </c>
      <c r="P339" s="1" t="s">
        <v>61</v>
      </c>
      <c r="Q339" s="1" t="s">
        <v>61</v>
      </c>
      <c r="R339" s="1">
        <f t="shared" si="1"/>
        <v>0.08923023256</v>
      </c>
      <c r="S339" s="1">
        <f t="shared" si="2"/>
        <v>115</v>
      </c>
      <c r="T339" s="1">
        <f t="shared" si="3"/>
        <v>2.15</v>
      </c>
      <c r="U339" s="1">
        <f t="shared" si="4"/>
        <v>0</v>
      </c>
      <c r="V339" s="3">
        <f t="shared" si="5"/>
        <v>2</v>
      </c>
      <c r="W339" s="3">
        <f t="shared" si="6"/>
        <v>1</v>
      </c>
      <c r="X339" s="3" t="str">
        <f>IFERROR(__xludf.DUMMYFUNCTION("split(B339,"" "")"),"D.")</f>
        <v>D.</v>
      </c>
      <c r="Y339" s="3" t="str">
        <f>IFERROR(__xludf.DUMMYFUNCTION("""COMPUTED_VALUE"""),"Maye")</f>
        <v>Maye</v>
      </c>
      <c r="AA339" s="8">
        <v>2.0</v>
      </c>
      <c r="AB339" s="3">
        <f t="shared" si="7"/>
        <v>1</v>
      </c>
      <c r="AC339" s="3">
        <f t="shared" si="8"/>
        <v>0</v>
      </c>
      <c r="AD339" s="3">
        <f t="shared" si="9"/>
        <v>2.3</v>
      </c>
      <c r="AE339" s="3">
        <f t="shared" si="10"/>
        <v>-2</v>
      </c>
      <c r="AF339" s="3">
        <f t="shared" si="11"/>
        <v>-1</v>
      </c>
      <c r="AG339" s="3">
        <f t="shared" si="12"/>
        <v>-3</v>
      </c>
    </row>
    <row r="340">
      <c r="A340" s="1" t="s">
        <v>16</v>
      </c>
      <c r="B340" s="1" t="s">
        <v>621</v>
      </c>
      <c r="C340" s="1" t="s">
        <v>21</v>
      </c>
      <c r="D340" s="1" t="s">
        <v>66</v>
      </c>
      <c r="E340" s="1" t="s">
        <v>100</v>
      </c>
      <c r="F340" s="1" t="s">
        <v>658</v>
      </c>
      <c r="G340" s="1">
        <v>30.5</v>
      </c>
      <c r="H340" s="1" t="s">
        <v>60</v>
      </c>
      <c r="I340" s="1">
        <v>-107.0</v>
      </c>
      <c r="J340" s="1">
        <v>-0.148055100289855</v>
      </c>
      <c r="K340" s="1" t="s">
        <v>61</v>
      </c>
      <c r="L340" s="1" t="s">
        <v>61</v>
      </c>
      <c r="M340" s="1" t="s">
        <v>62</v>
      </c>
      <c r="N340" s="1">
        <v>-123.0</v>
      </c>
      <c r="O340" s="1">
        <v>0.0795840272860985</v>
      </c>
      <c r="P340" s="1" t="s">
        <v>61</v>
      </c>
      <c r="Q340" s="1" t="s">
        <v>61</v>
      </c>
      <c r="R340" s="1">
        <f t="shared" si="1"/>
        <v>0.07958402729</v>
      </c>
      <c r="S340" s="1">
        <f t="shared" si="2"/>
        <v>-123</v>
      </c>
      <c r="T340" s="1">
        <f t="shared" si="3"/>
        <v>1.81300813</v>
      </c>
      <c r="U340" s="1">
        <f t="shared" si="4"/>
        <v>0</v>
      </c>
      <c r="V340" s="3">
        <f t="shared" si="5"/>
        <v>2</v>
      </c>
      <c r="W340" s="3">
        <f t="shared" si="6"/>
        <v>3</v>
      </c>
      <c r="X340" s="3" t="str">
        <f>IFERROR(__xludf.DUMMYFUNCTION("split(B340,"" "")"),"D.")</f>
        <v>D.</v>
      </c>
      <c r="Y340" s="3" t="str">
        <f>IFERROR(__xludf.DUMMYFUNCTION("""COMPUTED_VALUE"""),"Maye")</f>
        <v>Maye</v>
      </c>
      <c r="AA340" s="8">
        <v>41.0</v>
      </c>
      <c r="AB340" s="3">
        <f t="shared" si="7"/>
        <v>1</v>
      </c>
      <c r="AC340" s="3">
        <f t="shared" si="8"/>
        <v>0</v>
      </c>
      <c r="AD340" s="3">
        <f t="shared" si="9"/>
        <v>1.62601626</v>
      </c>
      <c r="AE340" s="3">
        <f t="shared" si="10"/>
        <v>-2</v>
      </c>
      <c r="AF340" s="3">
        <f t="shared" si="11"/>
        <v>-3</v>
      </c>
      <c r="AG340" s="3">
        <f t="shared" si="12"/>
        <v>-0.3442622951</v>
      </c>
    </row>
    <row r="341">
      <c r="A341" s="1" t="s">
        <v>9</v>
      </c>
      <c r="B341" s="1" t="s">
        <v>628</v>
      </c>
      <c r="C341" s="1" t="s">
        <v>18</v>
      </c>
      <c r="D341" s="1" t="s">
        <v>66</v>
      </c>
      <c r="E341" s="1" t="s">
        <v>100</v>
      </c>
      <c r="F341" s="1" t="s">
        <v>658</v>
      </c>
      <c r="G341" s="1">
        <v>24.5</v>
      </c>
      <c r="H341" s="1" t="s">
        <v>60</v>
      </c>
      <c r="I341" s="1">
        <v>-115.0</v>
      </c>
      <c r="J341" s="1">
        <v>0.0625291862502375</v>
      </c>
      <c r="K341" s="1" t="s">
        <v>61</v>
      </c>
      <c r="L341" s="1" t="s">
        <v>61</v>
      </c>
      <c r="M341" s="1" t="s">
        <v>62</v>
      </c>
      <c r="N341" s="1">
        <v>-115.0</v>
      </c>
      <c r="O341" s="1">
        <v>-0.132253564187773</v>
      </c>
      <c r="P341" s="1" t="s">
        <v>61</v>
      </c>
      <c r="Q341" s="1" t="s">
        <v>61</v>
      </c>
      <c r="R341" s="1">
        <f t="shared" si="1"/>
        <v>0.06252918625</v>
      </c>
      <c r="S341" s="1">
        <f t="shared" si="2"/>
        <v>-115</v>
      </c>
      <c r="T341" s="1">
        <f t="shared" si="3"/>
        <v>1.869565217</v>
      </c>
      <c r="U341" s="1">
        <f t="shared" si="4"/>
        <v>1</v>
      </c>
      <c r="V341" s="3">
        <f t="shared" si="5"/>
        <v>2</v>
      </c>
      <c r="W341" s="3">
        <f t="shared" si="6"/>
        <v>2</v>
      </c>
      <c r="X341" s="3" t="str">
        <f>IFERROR(__xludf.DUMMYFUNCTION("split(B341,"" "")"),"K.")</f>
        <v>K.</v>
      </c>
      <c r="Y341" s="3" t="str">
        <f>IFERROR(__xludf.DUMMYFUNCTION("""COMPUTED_VALUE"""),"Boutte")</f>
        <v>Boutte</v>
      </c>
      <c r="AA341" s="8">
        <v>18.0</v>
      </c>
      <c r="AB341" s="3">
        <f t="shared" si="7"/>
        <v>0</v>
      </c>
      <c r="AC341" s="3">
        <f t="shared" si="8"/>
        <v>0</v>
      </c>
      <c r="AD341" s="3">
        <f t="shared" si="9"/>
        <v>1.739130435</v>
      </c>
      <c r="AE341" s="3">
        <f t="shared" si="10"/>
        <v>-2</v>
      </c>
      <c r="AF341" s="3">
        <f t="shared" si="11"/>
        <v>-2</v>
      </c>
      <c r="AG341" s="3">
        <f t="shared" si="12"/>
        <v>-0.2653061224</v>
      </c>
    </row>
    <row r="342">
      <c r="A342" s="1" t="s">
        <v>9</v>
      </c>
      <c r="B342" s="1" t="s">
        <v>476</v>
      </c>
      <c r="C342" s="1" t="s">
        <v>19</v>
      </c>
      <c r="D342" s="1" t="s">
        <v>66</v>
      </c>
      <c r="E342" s="1" t="s">
        <v>100</v>
      </c>
      <c r="F342" s="1" t="s">
        <v>658</v>
      </c>
      <c r="G342" s="1">
        <v>74.5</v>
      </c>
      <c r="H342" s="1" t="s">
        <v>60</v>
      </c>
      <c r="I342" s="1">
        <v>-116.0</v>
      </c>
      <c r="J342" s="1">
        <v>-0.13987141661203</v>
      </c>
      <c r="K342" s="1" t="s">
        <v>61</v>
      </c>
      <c r="L342" s="1" t="s">
        <v>61</v>
      </c>
      <c r="M342" s="1" t="s">
        <v>62</v>
      </c>
      <c r="N342" s="1">
        <v>-119.0</v>
      </c>
      <c r="O342" s="1">
        <v>0.0594266161002572</v>
      </c>
      <c r="P342" s="1" t="s">
        <v>61</v>
      </c>
      <c r="Q342" s="1" t="s">
        <v>61</v>
      </c>
      <c r="R342" s="1">
        <f t="shared" si="1"/>
        <v>0.0594266161</v>
      </c>
      <c r="S342" s="1">
        <f t="shared" si="2"/>
        <v>-119</v>
      </c>
      <c r="T342" s="1">
        <f t="shared" si="3"/>
        <v>1.840336134</v>
      </c>
      <c r="U342" s="1">
        <f t="shared" si="4"/>
        <v>0</v>
      </c>
      <c r="V342" s="3">
        <f t="shared" si="5"/>
        <v>2</v>
      </c>
      <c r="W342" s="3">
        <f t="shared" si="6"/>
        <v>3</v>
      </c>
      <c r="X342" s="3" t="str">
        <f>IFERROR(__xludf.DUMMYFUNCTION("split(B342,"" "")"),"R.")</f>
        <v>R.</v>
      </c>
      <c r="Y342" s="3" t="str">
        <f>IFERROR(__xludf.DUMMYFUNCTION("""COMPUTED_VALUE"""),"Stevenson")</f>
        <v>Stevenson</v>
      </c>
      <c r="AA342" s="8">
        <v>54.0</v>
      </c>
      <c r="AB342" s="3">
        <f t="shared" si="7"/>
        <v>0</v>
      </c>
      <c r="AC342" s="3">
        <f t="shared" si="8"/>
        <v>1</v>
      </c>
      <c r="AD342" s="3">
        <f t="shared" si="9"/>
        <v>1.680672269</v>
      </c>
      <c r="AE342" s="3">
        <f t="shared" si="10"/>
        <v>1.680672269</v>
      </c>
      <c r="AF342" s="3">
        <f t="shared" si="11"/>
        <v>2.521008403</v>
      </c>
      <c r="AG342" s="3">
        <f t="shared" si="12"/>
        <v>0.2751677852</v>
      </c>
    </row>
    <row r="343">
      <c r="A343" s="1" t="s">
        <v>11</v>
      </c>
      <c r="B343" s="1" t="s">
        <v>140</v>
      </c>
      <c r="C343" s="1" t="s">
        <v>20</v>
      </c>
      <c r="D343" s="1" t="s">
        <v>66</v>
      </c>
      <c r="E343" s="1" t="s">
        <v>100</v>
      </c>
      <c r="F343" s="1" t="s">
        <v>658</v>
      </c>
      <c r="G343" s="1">
        <v>37.5</v>
      </c>
      <c r="H343" s="1" t="s">
        <v>60</v>
      </c>
      <c r="I343" s="1">
        <v>-115.0</v>
      </c>
      <c r="J343" s="1">
        <v>-0.118681948430372</v>
      </c>
      <c r="K343" s="1" t="s">
        <v>61</v>
      </c>
      <c r="L343" s="1" t="s">
        <v>61</v>
      </c>
      <c r="M343" s="1" t="s">
        <v>62</v>
      </c>
      <c r="N343" s="1">
        <v>-114.0</v>
      </c>
      <c r="O343" s="1">
        <v>0.0511591138957673</v>
      </c>
      <c r="P343" s="1" t="s">
        <v>61</v>
      </c>
      <c r="Q343" s="1" t="s">
        <v>61</v>
      </c>
      <c r="R343" s="1">
        <f t="shared" si="1"/>
        <v>0.0511591139</v>
      </c>
      <c r="S343" s="1">
        <f t="shared" si="2"/>
        <v>-114</v>
      </c>
      <c r="T343" s="1">
        <f t="shared" si="3"/>
        <v>1.877192982</v>
      </c>
      <c r="U343" s="1">
        <f t="shared" si="4"/>
        <v>0</v>
      </c>
      <c r="V343" s="3">
        <f t="shared" si="5"/>
        <v>2</v>
      </c>
      <c r="W343" s="3">
        <f t="shared" si="6"/>
        <v>2</v>
      </c>
      <c r="X343" s="3" t="str">
        <f>IFERROR(__xludf.DUMMYFUNCTION("split(B343,"" "")"),"H.")</f>
        <v>H.</v>
      </c>
      <c r="Y343" s="3" t="str">
        <f>IFERROR(__xludf.DUMMYFUNCTION("""COMPUTED_VALUE"""),"Henry")</f>
        <v>Henry</v>
      </c>
      <c r="AA343" s="8">
        <v>56.0</v>
      </c>
      <c r="AB343" s="3">
        <f t="shared" si="7"/>
        <v>1</v>
      </c>
      <c r="AC343" s="3">
        <f t="shared" si="8"/>
        <v>0</v>
      </c>
      <c r="AD343" s="3">
        <f t="shared" si="9"/>
        <v>1.754385965</v>
      </c>
      <c r="AE343" s="3">
        <f t="shared" si="10"/>
        <v>-2</v>
      </c>
      <c r="AF343" s="3">
        <f t="shared" si="11"/>
        <v>-2</v>
      </c>
      <c r="AG343" s="3">
        <f t="shared" si="12"/>
        <v>-0.4933333333</v>
      </c>
    </row>
    <row r="344">
      <c r="A344" s="1" t="s">
        <v>8</v>
      </c>
      <c r="B344" s="1" t="s">
        <v>621</v>
      </c>
      <c r="C344" s="1" t="s">
        <v>21</v>
      </c>
      <c r="D344" s="1" t="s">
        <v>66</v>
      </c>
      <c r="E344" s="1" t="s">
        <v>100</v>
      </c>
      <c r="F344" s="1" t="s">
        <v>658</v>
      </c>
      <c r="G344" s="1">
        <v>4.5</v>
      </c>
      <c r="H344" s="1" t="s">
        <v>60</v>
      </c>
      <c r="I344" s="1">
        <v>100.0</v>
      </c>
      <c r="J344" s="1">
        <v>-0.121387432476742</v>
      </c>
      <c r="K344" s="1" t="s">
        <v>61</v>
      </c>
      <c r="L344" s="1" t="s">
        <v>61</v>
      </c>
      <c r="M344" s="1" t="s">
        <v>62</v>
      </c>
      <c r="N344" s="1">
        <v>-133.0</v>
      </c>
      <c r="O344" s="1">
        <v>0.0505702018833194</v>
      </c>
      <c r="P344" s="1" t="s">
        <v>61</v>
      </c>
      <c r="Q344" s="1" t="s">
        <v>61</v>
      </c>
      <c r="R344" s="1">
        <f t="shared" si="1"/>
        <v>0.05057020188</v>
      </c>
      <c r="S344" s="1">
        <f t="shared" si="2"/>
        <v>-133</v>
      </c>
      <c r="T344" s="1">
        <f t="shared" si="3"/>
        <v>1.751879699</v>
      </c>
      <c r="U344" s="1">
        <f t="shared" si="4"/>
        <v>0</v>
      </c>
      <c r="V344" s="3">
        <f t="shared" si="5"/>
        <v>2</v>
      </c>
      <c r="W344" s="3">
        <f t="shared" si="6"/>
        <v>3</v>
      </c>
      <c r="X344" s="3" t="str">
        <f>IFERROR(__xludf.DUMMYFUNCTION("split(B344,"" "")"),"D.")</f>
        <v>D.</v>
      </c>
      <c r="Y344" s="3" t="str">
        <f>IFERROR(__xludf.DUMMYFUNCTION("""COMPUTED_VALUE"""),"Maye")</f>
        <v>Maye</v>
      </c>
      <c r="AA344" s="8">
        <v>8.0</v>
      </c>
      <c r="AB344" s="3">
        <f t="shared" si="7"/>
        <v>1</v>
      </c>
      <c r="AC344" s="3">
        <f t="shared" si="8"/>
        <v>0</v>
      </c>
      <c r="AD344" s="3">
        <f t="shared" si="9"/>
        <v>1.503759398</v>
      </c>
      <c r="AE344" s="3">
        <f t="shared" si="10"/>
        <v>-2</v>
      </c>
      <c r="AF344" s="3">
        <f t="shared" si="11"/>
        <v>-3</v>
      </c>
      <c r="AG344" s="3">
        <f t="shared" si="12"/>
        <v>-0.7777777778</v>
      </c>
    </row>
    <row r="345">
      <c r="A345" s="1" t="s">
        <v>10</v>
      </c>
      <c r="B345" s="1" t="s">
        <v>476</v>
      </c>
      <c r="C345" s="1" t="s">
        <v>19</v>
      </c>
      <c r="D345" s="1" t="s">
        <v>66</v>
      </c>
      <c r="E345" s="1" t="s">
        <v>100</v>
      </c>
      <c r="F345" s="1" t="s">
        <v>658</v>
      </c>
      <c r="G345" s="1">
        <v>54.5</v>
      </c>
      <c r="H345" s="1" t="s">
        <v>60</v>
      </c>
      <c r="I345" s="1">
        <v>-115.0</v>
      </c>
      <c r="J345" s="1">
        <v>-0.10838135230762</v>
      </c>
      <c r="K345" s="1" t="s">
        <v>61</v>
      </c>
      <c r="L345" s="1" t="s">
        <v>61</v>
      </c>
      <c r="M345" s="1" t="s">
        <v>62</v>
      </c>
      <c r="N345" s="1">
        <v>-114.0</v>
      </c>
      <c r="O345" s="1">
        <v>0.0407844245847331</v>
      </c>
      <c r="P345" s="1" t="s">
        <v>61</v>
      </c>
      <c r="Q345" s="1" t="s">
        <v>61</v>
      </c>
      <c r="R345" s="1">
        <f t="shared" si="1"/>
        <v>0.04078442458</v>
      </c>
      <c r="S345" s="1">
        <f t="shared" si="2"/>
        <v>-114</v>
      </c>
      <c r="T345" s="1">
        <f t="shared" si="3"/>
        <v>1.877192982</v>
      </c>
      <c r="U345" s="1">
        <f t="shared" si="4"/>
        <v>0</v>
      </c>
      <c r="V345" s="3">
        <f t="shared" si="5"/>
        <v>1</v>
      </c>
      <c r="W345" s="3">
        <f t="shared" si="6"/>
        <v>2</v>
      </c>
      <c r="X345" s="3" t="str">
        <f>IFERROR(__xludf.DUMMYFUNCTION("split(B345,"" "")"),"R.")</f>
        <v>R.</v>
      </c>
      <c r="Y345" s="3" t="str">
        <f>IFERROR(__xludf.DUMMYFUNCTION("""COMPUTED_VALUE"""),"Stevenson")</f>
        <v>Stevenson</v>
      </c>
      <c r="AA345" s="8">
        <v>16.0</v>
      </c>
      <c r="AB345" s="3">
        <f t="shared" si="7"/>
        <v>0</v>
      </c>
      <c r="AC345" s="3">
        <f t="shared" si="8"/>
        <v>1</v>
      </c>
      <c r="AD345" s="3">
        <f t="shared" si="9"/>
        <v>0.8771929825</v>
      </c>
      <c r="AE345" s="3">
        <f t="shared" si="10"/>
        <v>0.8771929825</v>
      </c>
      <c r="AF345" s="3">
        <f t="shared" si="11"/>
        <v>1.754385965</v>
      </c>
      <c r="AG345" s="3">
        <f t="shared" si="12"/>
        <v>0.7064220183</v>
      </c>
    </row>
    <row r="346">
      <c r="A346" s="1" t="s">
        <v>12</v>
      </c>
      <c r="B346" s="1" t="s">
        <v>131</v>
      </c>
      <c r="C346" s="1" t="s">
        <v>18</v>
      </c>
      <c r="D346" s="1" t="s">
        <v>66</v>
      </c>
      <c r="E346" s="1" t="s">
        <v>100</v>
      </c>
      <c r="F346" s="1" t="s">
        <v>658</v>
      </c>
      <c r="G346" s="1">
        <v>3.5</v>
      </c>
      <c r="H346" s="1" t="s">
        <v>60</v>
      </c>
      <c r="I346" s="1">
        <v>102.0</v>
      </c>
      <c r="J346" s="1">
        <v>-0.1043</v>
      </c>
      <c r="K346" s="1" t="s">
        <v>61</v>
      </c>
      <c r="L346" s="1" t="s">
        <v>61</v>
      </c>
      <c r="M346" s="1" t="s">
        <v>62</v>
      </c>
      <c r="N346" s="1">
        <v>-134.0</v>
      </c>
      <c r="O346" s="1">
        <v>0.0366076923076922</v>
      </c>
      <c r="P346" s="1" t="s">
        <v>61</v>
      </c>
      <c r="Q346" s="1" t="s">
        <v>61</v>
      </c>
      <c r="R346" s="1">
        <f t="shared" si="1"/>
        <v>0.03660769231</v>
      </c>
      <c r="S346" s="1">
        <f t="shared" si="2"/>
        <v>-134</v>
      </c>
      <c r="T346" s="1">
        <f t="shared" si="3"/>
        <v>1.746268657</v>
      </c>
      <c r="U346" s="1">
        <f t="shared" si="4"/>
        <v>0</v>
      </c>
      <c r="V346" s="3">
        <f t="shared" si="5"/>
        <v>1</v>
      </c>
      <c r="W346" s="3">
        <f t="shared" si="6"/>
        <v>3</v>
      </c>
      <c r="X346" s="3" t="str">
        <f>IFERROR(__xludf.DUMMYFUNCTION("split(B346,"" "")"),"D.")</f>
        <v>D.</v>
      </c>
      <c r="Y346" s="3" t="str">
        <f>IFERROR(__xludf.DUMMYFUNCTION("""COMPUTED_VALUE"""),"Douglas")</f>
        <v>Douglas</v>
      </c>
      <c r="AA346" s="8">
        <v>7.0</v>
      </c>
      <c r="AB346" s="3">
        <f t="shared" si="7"/>
        <v>1</v>
      </c>
      <c r="AC346" s="3">
        <f t="shared" si="8"/>
        <v>0</v>
      </c>
      <c r="AD346" s="3">
        <f t="shared" si="9"/>
        <v>0.7462686567</v>
      </c>
      <c r="AE346" s="3">
        <f t="shared" si="10"/>
        <v>-1</v>
      </c>
      <c r="AF346" s="3">
        <f t="shared" si="11"/>
        <v>-3</v>
      </c>
      <c r="AG346" s="3">
        <f t="shared" si="12"/>
        <v>-1</v>
      </c>
    </row>
    <row r="347">
      <c r="A347" s="1" t="s">
        <v>12</v>
      </c>
      <c r="B347" s="1" t="s">
        <v>628</v>
      </c>
      <c r="C347" s="1" t="s">
        <v>18</v>
      </c>
      <c r="D347" s="1" t="s">
        <v>66</v>
      </c>
      <c r="E347" s="1" t="s">
        <v>100</v>
      </c>
      <c r="F347" s="1" t="s">
        <v>658</v>
      </c>
      <c r="G347" s="1">
        <v>2.5</v>
      </c>
      <c r="H347" s="1" t="s">
        <v>60</v>
      </c>
      <c r="I347" s="1">
        <v>135.0</v>
      </c>
      <c r="J347" s="1">
        <v>-0.0974875885489361</v>
      </c>
      <c r="K347" s="1" t="s">
        <v>61</v>
      </c>
      <c r="L347" s="1" t="s">
        <v>61</v>
      </c>
      <c r="M347" s="1" t="s">
        <v>62</v>
      </c>
      <c r="N347" s="1">
        <v>-178.0</v>
      </c>
      <c r="O347" s="1">
        <v>0.0316742826805754</v>
      </c>
      <c r="P347" s="1" t="s">
        <v>61</v>
      </c>
      <c r="Q347" s="1" t="s">
        <v>61</v>
      </c>
      <c r="R347" s="1">
        <f t="shared" si="1"/>
        <v>0.03167428268</v>
      </c>
      <c r="S347" s="1">
        <f t="shared" si="2"/>
        <v>-178</v>
      </c>
      <c r="T347" s="1">
        <f t="shared" si="3"/>
        <v>1.561797753</v>
      </c>
      <c r="U347" s="1">
        <f t="shared" si="4"/>
        <v>0</v>
      </c>
      <c r="V347" s="3">
        <f t="shared" si="5"/>
        <v>1</v>
      </c>
      <c r="W347" s="3">
        <f t="shared" si="6"/>
        <v>3</v>
      </c>
      <c r="X347" s="3" t="str">
        <f>IFERROR(__xludf.DUMMYFUNCTION("split(B347,"" "")"),"K.")</f>
        <v>K.</v>
      </c>
      <c r="Y347" s="3" t="str">
        <f>IFERROR(__xludf.DUMMYFUNCTION("""COMPUTED_VALUE"""),"Boutte")</f>
        <v>Boutte</v>
      </c>
      <c r="AA347" s="8">
        <v>2.0</v>
      </c>
      <c r="AB347" s="3">
        <f t="shared" si="7"/>
        <v>0</v>
      </c>
      <c r="AC347" s="3">
        <f t="shared" si="8"/>
        <v>1</v>
      </c>
      <c r="AD347" s="3">
        <f t="shared" si="9"/>
        <v>0.5617977528</v>
      </c>
      <c r="AE347" s="3">
        <f t="shared" si="10"/>
        <v>0.5617977528</v>
      </c>
      <c r="AF347" s="3">
        <f t="shared" si="11"/>
        <v>1.685393258</v>
      </c>
      <c r="AG347" s="3">
        <f t="shared" si="12"/>
        <v>0.2</v>
      </c>
    </row>
    <row r="348">
      <c r="A348" s="1" t="s">
        <v>9</v>
      </c>
      <c r="B348" s="1" t="s">
        <v>131</v>
      </c>
      <c r="C348" s="1" t="s">
        <v>18</v>
      </c>
      <c r="D348" s="1" t="s">
        <v>66</v>
      </c>
      <c r="E348" s="1" t="s">
        <v>100</v>
      </c>
      <c r="F348" s="1" t="s">
        <v>658</v>
      </c>
      <c r="G348" s="1">
        <v>34.5</v>
      </c>
      <c r="H348" s="1" t="s">
        <v>60</v>
      </c>
      <c r="I348" s="1">
        <v>-115.0</v>
      </c>
      <c r="J348" s="1">
        <v>0.0289649559274975</v>
      </c>
      <c r="K348" s="1" t="s">
        <v>61</v>
      </c>
      <c r="L348" s="1" t="s">
        <v>61</v>
      </c>
      <c r="M348" s="1" t="s">
        <v>62</v>
      </c>
      <c r="N348" s="1">
        <v>-115.0</v>
      </c>
      <c r="O348" s="1">
        <v>-0.0987246993166224</v>
      </c>
      <c r="P348" s="1" t="s">
        <v>61</v>
      </c>
      <c r="Q348" s="1" t="s">
        <v>61</v>
      </c>
      <c r="R348" s="1">
        <f t="shared" si="1"/>
        <v>0.02896495593</v>
      </c>
      <c r="S348" s="1">
        <f t="shared" si="2"/>
        <v>-115</v>
      </c>
      <c r="T348" s="1">
        <f t="shared" si="3"/>
        <v>1.869565217</v>
      </c>
      <c r="U348" s="1">
        <f t="shared" si="4"/>
        <v>1</v>
      </c>
      <c r="V348" s="3">
        <f t="shared" si="5"/>
        <v>1</v>
      </c>
      <c r="W348" s="3">
        <f t="shared" si="6"/>
        <v>2</v>
      </c>
      <c r="X348" s="3" t="str">
        <f>IFERROR(__xludf.DUMMYFUNCTION("split(B348,"" "")"),"D.")</f>
        <v>D.</v>
      </c>
      <c r="Y348" s="3" t="str">
        <f>IFERROR(__xludf.DUMMYFUNCTION("""COMPUTED_VALUE"""),"Douglas")</f>
        <v>Douglas</v>
      </c>
      <c r="AA348" s="8">
        <v>35.0</v>
      </c>
      <c r="AB348" s="3">
        <f t="shared" si="7"/>
        <v>1</v>
      </c>
      <c r="AC348" s="3">
        <f t="shared" si="8"/>
        <v>1</v>
      </c>
      <c r="AD348" s="3">
        <f t="shared" si="9"/>
        <v>0.8695652174</v>
      </c>
      <c r="AE348" s="3">
        <f t="shared" si="10"/>
        <v>0.8695652174</v>
      </c>
      <c r="AF348" s="3">
        <f t="shared" si="11"/>
        <v>1.739130435</v>
      </c>
      <c r="AG348" s="3">
        <f t="shared" si="12"/>
        <v>0.01449275362</v>
      </c>
    </row>
    <row r="349">
      <c r="A349" s="1" t="s">
        <v>11</v>
      </c>
      <c r="B349" s="1" t="s">
        <v>131</v>
      </c>
      <c r="C349" s="1" t="s">
        <v>18</v>
      </c>
      <c r="D349" s="1" t="s">
        <v>66</v>
      </c>
      <c r="E349" s="1" t="s">
        <v>100</v>
      </c>
      <c r="F349" s="1" t="s">
        <v>658</v>
      </c>
      <c r="G349" s="1">
        <v>34.5</v>
      </c>
      <c r="H349" s="1" t="s">
        <v>60</v>
      </c>
      <c r="I349" s="1">
        <v>-119.0</v>
      </c>
      <c r="J349" s="1">
        <v>-0.0903210253624201</v>
      </c>
      <c r="K349" s="1" t="s">
        <v>61</v>
      </c>
      <c r="L349" s="1" t="s">
        <v>61</v>
      </c>
      <c r="M349" s="1" t="s">
        <v>62</v>
      </c>
      <c r="N349" s="1">
        <v>-109.0</v>
      </c>
      <c r="O349" s="1">
        <v>0.0254014199655662</v>
      </c>
      <c r="P349" s="1" t="s">
        <v>61</v>
      </c>
      <c r="Q349" s="1" t="s">
        <v>61</v>
      </c>
      <c r="R349" s="1">
        <f t="shared" si="1"/>
        <v>0.02540141997</v>
      </c>
      <c r="S349" s="1">
        <f t="shared" si="2"/>
        <v>-109</v>
      </c>
      <c r="T349" s="1">
        <f t="shared" si="3"/>
        <v>1.917431193</v>
      </c>
      <c r="U349" s="1">
        <f t="shared" si="4"/>
        <v>0</v>
      </c>
      <c r="V349" s="3">
        <f t="shared" si="5"/>
        <v>1</v>
      </c>
      <c r="W349" s="3">
        <f t="shared" si="6"/>
        <v>2</v>
      </c>
      <c r="X349" s="3" t="str">
        <f>IFERROR(__xludf.DUMMYFUNCTION("split(B349,"" "")"),"D.")</f>
        <v>D.</v>
      </c>
      <c r="Y349" s="3" t="str">
        <f>IFERROR(__xludf.DUMMYFUNCTION("""COMPUTED_VALUE"""),"Douglas")</f>
        <v>Douglas</v>
      </c>
      <c r="AA349" s="8">
        <v>35.0</v>
      </c>
      <c r="AB349" s="3">
        <f t="shared" si="7"/>
        <v>1</v>
      </c>
      <c r="AC349" s="3">
        <f t="shared" si="8"/>
        <v>0</v>
      </c>
      <c r="AD349" s="3">
        <f t="shared" si="9"/>
        <v>0.9174311927</v>
      </c>
      <c r="AE349" s="3">
        <f t="shared" si="10"/>
        <v>-1</v>
      </c>
      <c r="AF349" s="3">
        <f t="shared" si="11"/>
        <v>-2</v>
      </c>
      <c r="AG349" s="3">
        <f t="shared" si="12"/>
        <v>-0.01449275362</v>
      </c>
    </row>
    <row r="350">
      <c r="A350" s="1" t="s">
        <v>9</v>
      </c>
      <c r="B350" s="1" t="s">
        <v>667</v>
      </c>
      <c r="C350" s="1" t="s">
        <v>18</v>
      </c>
      <c r="D350" s="1" t="s">
        <v>58</v>
      </c>
      <c r="E350" s="1" t="s">
        <v>57</v>
      </c>
      <c r="F350" s="1" t="s">
        <v>658</v>
      </c>
      <c r="G350" s="1">
        <v>15.5</v>
      </c>
      <c r="H350" s="1" t="s">
        <v>60</v>
      </c>
      <c r="I350" s="1">
        <v>-110.0</v>
      </c>
      <c r="J350" s="1">
        <v>0.159661119960717</v>
      </c>
      <c r="K350" s="1" t="s">
        <v>61</v>
      </c>
      <c r="L350" s="1" t="s">
        <v>61</v>
      </c>
      <c r="M350" s="1" t="s">
        <v>62</v>
      </c>
      <c r="N350" s="1">
        <v>-120.0</v>
      </c>
      <c r="O350" s="1">
        <v>-0.228891828318639</v>
      </c>
      <c r="P350" s="1" t="s">
        <v>61</v>
      </c>
      <c r="Q350" s="1" t="s">
        <v>61</v>
      </c>
      <c r="R350" s="1">
        <f t="shared" si="1"/>
        <v>0.15966112</v>
      </c>
      <c r="S350" s="1">
        <f t="shared" si="2"/>
        <v>-110</v>
      </c>
      <c r="T350" s="1">
        <f t="shared" si="3"/>
        <v>1.909090909</v>
      </c>
      <c r="U350" s="1">
        <f t="shared" si="4"/>
        <v>1</v>
      </c>
      <c r="V350" s="3">
        <f t="shared" si="5"/>
        <v>3</v>
      </c>
      <c r="W350" s="3">
        <f t="shared" si="6"/>
        <v>2</v>
      </c>
      <c r="X350" s="3" t="str">
        <f>IFERROR(__xludf.DUMMYFUNCTION("split(B350,"" "")"),"C.")</f>
        <v>C.</v>
      </c>
      <c r="Y350" s="3" t="str">
        <f>IFERROR(__xludf.DUMMYFUNCTION("""COMPUTED_VALUE"""),"Wilson")</f>
        <v>Wilson</v>
      </c>
      <c r="Z350" s="3" t="str">
        <f>IFERROR(__xludf.DUMMYFUNCTION("""COMPUTED_VALUE"""),"Jr.")</f>
        <v>Jr.</v>
      </c>
      <c r="AA350" s="8">
        <v>34.0</v>
      </c>
      <c r="AB350" s="3">
        <f t="shared" si="7"/>
        <v>1</v>
      </c>
      <c r="AC350" s="3">
        <f t="shared" si="8"/>
        <v>1</v>
      </c>
      <c r="AD350" s="3">
        <f t="shared" si="9"/>
        <v>2.727272727</v>
      </c>
      <c r="AE350" s="3">
        <f t="shared" si="10"/>
        <v>2.727272727</v>
      </c>
      <c r="AF350" s="3">
        <f t="shared" si="11"/>
        <v>1.818181818</v>
      </c>
      <c r="AG350" s="3">
        <f t="shared" si="12"/>
        <v>1.193548387</v>
      </c>
    </row>
    <row r="351">
      <c r="A351" s="1" t="s">
        <v>12</v>
      </c>
      <c r="B351" s="1" t="s">
        <v>193</v>
      </c>
      <c r="C351" s="1" t="s">
        <v>20</v>
      </c>
      <c r="D351" s="1" t="s">
        <v>58</v>
      </c>
      <c r="E351" s="1" t="s">
        <v>57</v>
      </c>
      <c r="F351" s="1" t="s">
        <v>658</v>
      </c>
      <c r="G351" s="1">
        <v>2.5</v>
      </c>
      <c r="H351" s="1" t="s">
        <v>60</v>
      </c>
      <c r="I351" s="1">
        <v>-101.0</v>
      </c>
      <c r="J351" s="1">
        <v>-0.176486063134328</v>
      </c>
      <c r="K351" s="1" t="s">
        <v>61</v>
      </c>
      <c r="L351" s="1" t="s">
        <v>61</v>
      </c>
      <c r="M351" s="1" t="s">
        <v>62</v>
      </c>
      <c r="N351" s="1">
        <v>-129.0</v>
      </c>
      <c r="O351" s="1">
        <v>0.110679525371615</v>
      </c>
      <c r="P351" s="1" t="s">
        <v>61</v>
      </c>
      <c r="Q351" s="1" t="s">
        <v>61</v>
      </c>
      <c r="R351" s="1">
        <f t="shared" si="1"/>
        <v>0.1106795254</v>
      </c>
      <c r="S351" s="1">
        <f t="shared" si="2"/>
        <v>-129</v>
      </c>
      <c r="T351" s="1">
        <f t="shared" si="3"/>
        <v>1.775193798</v>
      </c>
      <c r="U351" s="1">
        <f t="shared" si="4"/>
        <v>0</v>
      </c>
      <c r="V351" s="3">
        <f t="shared" si="5"/>
        <v>3</v>
      </c>
      <c r="W351" s="3">
        <f t="shared" si="6"/>
        <v>3</v>
      </c>
      <c r="X351" s="3" t="str">
        <f>IFERROR(__xludf.DUMMYFUNCTION("split(B351,"" "")"),"J.")</f>
        <v>J.</v>
      </c>
      <c r="Y351" s="3" t="str">
        <f>IFERROR(__xludf.DUMMYFUNCTION("""COMPUTED_VALUE"""),"Johnson")</f>
        <v>Johnson</v>
      </c>
      <c r="AA351" s="8">
        <v>2.0</v>
      </c>
      <c r="AB351" s="3">
        <f t="shared" si="7"/>
        <v>0</v>
      </c>
      <c r="AC351" s="3">
        <f t="shared" si="8"/>
        <v>1</v>
      </c>
      <c r="AD351" s="3">
        <f t="shared" si="9"/>
        <v>2.325581395</v>
      </c>
      <c r="AE351" s="3">
        <f t="shared" si="10"/>
        <v>2.325581395</v>
      </c>
      <c r="AF351" s="3">
        <f t="shared" si="11"/>
        <v>2.325581395</v>
      </c>
      <c r="AG351" s="3">
        <f t="shared" si="12"/>
        <v>0.2</v>
      </c>
    </row>
    <row r="352">
      <c r="A352" s="1" t="s">
        <v>12</v>
      </c>
      <c r="B352" s="1" t="s">
        <v>441</v>
      </c>
      <c r="C352" s="1" t="s">
        <v>20</v>
      </c>
      <c r="D352" s="1" t="s">
        <v>58</v>
      </c>
      <c r="E352" s="1" t="s">
        <v>57</v>
      </c>
      <c r="F352" s="1" t="s">
        <v>658</v>
      </c>
      <c r="G352" s="1">
        <v>1.5</v>
      </c>
      <c r="H352" s="1" t="s">
        <v>60</v>
      </c>
      <c r="I352" s="1">
        <v>-137.0</v>
      </c>
      <c r="J352" s="1">
        <v>-0.169599952776371</v>
      </c>
      <c r="K352" s="1" t="s">
        <v>61</v>
      </c>
      <c r="L352" s="1" t="s">
        <v>61</v>
      </c>
      <c r="M352" s="1" t="s">
        <v>62</v>
      </c>
      <c r="N352" s="1">
        <v>104.0</v>
      </c>
      <c r="O352" s="1">
        <v>0.10135141572549</v>
      </c>
      <c r="P352" s="1" t="s">
        <v>61</v>
      </c>
      <c r="Q352" s="1" t="s">
        <v>61</v>
      </c>
      <c r="R352" s="1">
        <f t="shared" si="1"/>
        <v>0.1013514157</v>
      </c>
      <c r="S352" s="1">
        <f t="shared" si="2"/>
        <v>104</v>
      </c>
      <c r="T352" s="1">
        <f t="shared" si="3"/>
        <v>2.04</v>
      </c>
      <c r="U352" s="1">
        <f t="shared" si="4"/>
        <v>0</v>
      </c>
      <c r="V352" s="3">
        <f t="shared" si="5"/>
        <v>3</v>
      </c>
      <c r="W352" s="3">
        <f t="shared" si="6"/>
        <v>2</v>
      </c>
      <c r="X352" s="3" t="str">
        <f>IFERROR(__xludf.DUMMYFUNCTION("split(B352,"" "")"),"T.")</f>
        <v>T.</v>
      </c>
      <c r="Y352" s="3" t="str">
        <f>IFERROR(__xludf.DUMMYFUNCTION("""COMPUTED_VALUE"""),"Hill")</f>
        <v>Hill</v>
      </c>
      <c r="AA352" s="8">
        <v>4.0</v>
      </c>
      <c r="AB352" s="3">
        <f t="shared" si="7"/>
        <v>1</v>
      </c>
      <c r="AC352" s="3">
        <f t="shared" si="8"/>
        <v>0</v>
      </c>
      <c r="AD352" s="3">
        <f t="shared" si="9"/>
        <v>3.12</v>
      </c>
      <c r="AE352" s="3">
        <f t="shared" si="10"/>
        <v>-3</v>
      </c>
      <c r="AF352" s="3">
        <f t="shared" si="11"/>
        <v>-2</v>
      </c>
      <c r="AG352" s="3">
        <f t="shared" si="12"/>
        <v>-1.666666667</v>
      </c>
    </row>
    <row r="353">
      <c r="A353" s="1" t="s">
        <v>12</v>
      </c>
      <c r="B353" s="1" t="s">
        <v>598</v>
      </c>
      <c r="C353" s="1" t="s">
        <v>18</v>
      </c>
      <c r="D353" s="1" t="s">
        <v>58</v>
      </c>
      <c r="E353" s="1" t="s">
        <v>57</v>
      </c>
      <c r="F353" s="1" t="s">
        <v>658</v>
      </c>
      <c r="G353" s="1">
        <v>2.5</v>
      </c>
      <c r="H353" s="1" t="s">
        <v>60</v>
      </c>
      <c r="I353" s="1">
        <v>100.0</v>
      </c>
      <c r="J353" s="1">
        <v>-0.169148407649999</v>
      </c>
      <c r="K353" s="1" t="s">
        <v>61</v>
      </c>
      <c r="L353" s="1" t="s">
        <v>61</v>
      </c>
      <c r="M353" s="1" t="s">
        <v>62</v>
      </c>
      <c r="N353" s="1">
        <v>-134.0</v>
      </c>
      <c r="O353" s="1">
        <v>0.0964913386760684</v>
      </c>
      <c r="P353" s="1" t="s">
        <v>61</v>
      </c>
      <c r="Q353" s="1" t="s">
        <v>61</v>
      </c>
      <c r="R353" s="1">
        <f t="shared" si="1"/>
        <v>0.09649133868</v>
      </c>
      <c r="S353" s="1">
        <f t="shared" si="2"/>
        <v>-134</v>
      </c>
      <c r="T353" s="1">
        <f t="shared" si="3"/>
        <v>1.746268657</v>
      </c>
      <c r="U353" s="1">
        <f t="shared" si="4"/>
        <v>0</v>
      </c>
      <c r="V353" s="3">
        <f t="shared" si="5"/>
        <v>2</v>
      </c>
      <c r="W353" s="3">
        <f t="shared" si="6"/>
        <v>3</v>
      </c>
      <c r="X353" s="3" t="str">
        <f>IFERROR(__xludf.DUMMYFUNCTION("split(B353,"" "")"),"M.")</f>
        <v>M.</v>
      </c>
      <c r="Y353" s="3" t="str">
        <f>IFERROR(__xludf.DUMMYFUNCTION("""COMPUTED_VALUE"""),"Tipton")</f>
        <v>Tipton</v>
      </c>
      <c r="AA353" s="8">
        <v>0.0</v>
      </c>
      <c r="AB353" s="3">
        <f t="shared" si="7"/>
        <v>0</v>
      </c>
      <c r="AC353" s="3">
        <f t="shared" si="8"/>
        <v>1</v>
      </c>
      <c r="AD353" s="3">
        <f t="shared" si="9"/>
        <v>1.492537313</v>
      </c>
      <c r="AE353" s="3">
        <f t="shared" si="10"/>
        <v>1.492537313</v>
      </c>
      <c r="AF353" s="3">
        <f t="shared" si="11"/>
        <v>2.23880597</v>
      </c>
      <c r="AG353" s="3">
        <f t="shared" si="12"/>
        <v>1</v>
      </c>
    </row>
    <row r="354">
      <c r="A354" s="1" t="s">
        <v>12</v>
      </c>
      <c r="B354" s="1" t="s">
        <v>667</v>
      </c>
      <c r="C354" s="1" t="s">
        <v>18</v>
      </c>
      <c r="D354" s="1" t="s">
        <v>58</v>
      </c>
      <c r="E354" s="1" t="s">
        <v>57</v>
      </c>
      <c r="F354" s="1" t="s">
        <v>658</v>
      </c>
      <c r="G354" s="1">
        <v>1.5</v>
      </c>
      <c r="H354" s="1" t="s">
        <v>60</v>
      </c>
      <c r="I354" s="1">
        <v>-106.0</v>
      </c>
      <c r="J354" s="1">
        <v>-0.15425109468932</v>
      </c>
      <c r="K354" s="1" t="s">
        <v>61</v>
      </c>
      <c r="L354" s="1" t="s">
        <v>61</v>
      </c>
      <c r="M354" s="1" t="s">
        <v>62</v>
      </c>
      <c r="N354" s="1">
        <v>-125.0</v>
      </c>
      <c r="O354" s="1">
        <v>0.0841451416999999</v>
      </c>
      <c r="P354" s="1" t="s">
        <v>61</v>
      </c>
      <c r="Q354" s="1" t="s">
        <v>61</v>
      </c>
      <c r="R354" s="1">
        <f t="shared" si="1"/>
        <v>0.0841451417</v>
      </c>
      <c r="S354" s="1">
        <f t="shared" si="2"/>
        <v>-125</v>
      </c>
      <c r="T354" s="1">
        <f t="shared" si="3"/>
        <v>1.8</v>
      </c>
      <c r="U354" s="1">
        <f t="shared" si="4"/>
        <v>0</v>
      </c>
      <c r="V354" s="3">
        <f t="shared" si="5"/>
        <v>2</v>
      </c>
      <c r="W354" s="3">
        <f t="shared" si="6"/>
        <v>3</v>
      </c>
      <c r="X354" s="3" t="str">
        <f>IFERROR(__xludf.DUMMYFUNCTION("split(B354,"" "")"),"C.")</f>
        <v>C.</v>
      </c>
      <c r="Y354" s="3" t="str">
        <f>IFERROR(__xludf.DUMMYFUNCTION("""COMPUTED_VALUE"""),"Wilson")</f>
        <v>Wilson</v>
      </c>
      <c r="Z354" s="3" t="str">
        <f>IFERROR(__xludf.DUMMYFUNCTION("""COMPUTED_VALUE"""),"Jr.")</f>
        <v>Jr.</v>
      </c>
      <c r="AA354" s="8">
        <v>2.0</v>
      </c>
      <c r="AB354" s="3">
        <f t="shared" si="7"/>
        <v>1</v>
      </c>
      <c r="AC354" s="3">
        <f t="shared" si="8"/>
        <v>0</v>
      </c>
      <c r="AD354" s="3">
        <f t="shared" si="9"/>
        <v>1.6</v>
      </c>
      <c r="AE354" s="3">
        <f t="shared" si="10"/>
        <v>-2</v>
      </c>
      <c r="AF354" s="3">
        <f t="shared" si="11"/>
        <v>-3</v>
      </c>
      <c r="AG354" s="3">
        <f t="shared" si="12"/>
        <v>-0.3333333333</v>
      </c>
    </row>
    <row r="355">
      <c r="A355" s="1" t="s">
        <v>10</v>
      </c>
      <c r="B355" s="1" t="s">
        <v>287</v>
      </c>
      <c r="C355" s="1" t="s">
        <v>21</v>
      </c>
      <c r="D355" s="1" t="s">
        <v>58</v>
      </c>
      <c r="E355" s="1" t="s">
        <v>57</v>
      </c>
      <c r="F355" s="1" t="s">
        <v>658</v>
      </c>
      <c r="G355" s="1">
        <v>2.5</v>
      </c>
      <c r="H355" s="1" t="s">
        <v>60</v>
      </c>
      <c r="I355" s="1">
        <v>-107.0</v>
      </c>
      <c r="J355" s="1">
        <v>0.083702406050007</v>
      </c>
      <c r="K355" s="1" t="s">
        <v>61</v>
      </c>
      <c r="L355" s="1" t="s">
        <v>61</v>
      </c>
      <c r="M355" s="1" t="s">
        <v>62</v>
      </c>
      <c r="N355" s="1">
        <v>-122.0</v>
      </c>
      <c r="O355" s="1">
        <v>-0.150134115422832</v>
      </c>
      <c r="P355" s="1" t="s">
        <v>61</v>
      </c>
      <c r="Q355" s="1" t="s">
        <v>61</v>
      </c>
      <c r="R355" s="1">
        <f t="shared" si="1"/>
        <v>0.08370240605</v>
      </c>
      <c r="S355" s="1">
        <f t="shared" si="2"/>
        <v>-107</v>
      </c>
      <c r="T355" s="1">
        <f t="shared" si="3"/>
        <v>1.934579439</v>
      </c>
      <c r="U355" s="1">
        <f t="shared" si="4"/>
        <v>1</v>
      </c>
      <c r="V355" s="3">
        <f t="shared" si="5"/>
        <v>2</v>
      </c>
      <c r="W355" s="3">
        <f t="shared" si="6"/>
        <v>2</v>
      </c>
      <c r="X355" s="3" t="str">
        <f>IFERROR(__xludf.DUMMYFUNCTION("split(B355,"" "")"),"D.")</f>
        <v>D.</v>
      </c>
      <c r="Y355" s="3" t="str">
        <f>IFERROR(__xludf.DUMMYFUNCTION("""COMPUTED_VALUE"""),"Carr")</f>
        <v>Carr</v>
      </c>
      <c r="AA355" s="8">
        <v>0.0</v>
      </c>
      <c r="AB355" s="3">
        <f t="shared" si="7"/>
        <v>0</v>
      </c>
      <c r="AC355" s="3">
        <f t="shared" si="8"/>
        <v>0</v>
      </c>
      <c r="AD355" s="3">
        <f t="shared" si="9"/>
        <v>1.869158879</v>
      </c>
      <c r="AE355" s="3">
        <f t="shared" si="10"/>
        <v>-2</v>
      </c>
      <c r="AF355" s="3">
        <f t="shared" si="11"/>
        <v>-2</v>
      </c>
      <c r="AG355" s="3">
        <f t="shared" si="12"/>
        <v>-1</v>
      </c>
    </row>
    <row r="356">
      <c r="A356" s="1" t="s">
        <v>9</v>
      </c>
      <c r="B356" s="1" t="s">
        <v>598</v>
      </c>
      <c r="C356" s="1" t="s">
        <v>18</v>
      </c>
      <c r="D356" s="1" t="s">
        <v>58</v>
      </c>
      <c r="E356" s="1" t="s">
        <v>57</v>
      </c>
      <c r="F356" s="1" t="s">
        <v>658</v>
      </c>
      <c r="G356" s="1">
        <v>26.5</v>
      </c>
      <c r="H356" s="1" t="s">
        <v>60</v>
      </c>
      <c r="I356" s="1">
        <v>-110.0</v>
      </c>
      <c r="J356" s="1">
        <v>0.0539557645601325</v>
      </c>
      <c r="K356" s="1" t="s">
        <v>61</v>
      </c>
      <c r="L356" s="1" t="s">
        <v>61</v>
      </c>
      <c r="M356" s="1" t="s">
        <v>62</v>
      </c>
      <c r="N356" s="1">
        <v>-120.0</v>
      </c>
      <c r="O356" s="1">
        <v>-0.123171148496151</v>
      </c>
      <c r="P356" s="1" t="s">
        <v>61</v>
      </c>
      <c r="Q356" s="1" t="s">
        <v>61</v>
      </c>
      <c r="R356" s="1">
        <f t="shared" si="1"/>
        <v>0.05395576456</v>
      </c>
      <c r="S356" s="1">
        <f t="shared" si="2"/>
        <v>-110</v>
      </c>
      <c r="T356" s="1">
        <f t="shared" si="3"/>
        <v>1.909090909</v>
      </c>
      <c r="U356" s="1">
        <f t="shared" si="4"/>
        <v>1</v>
      </c>
      <c r="V356" s="3">
        <f t="shared" si="5"/>
        <v>2</v>
      </c>
      <c r="W356" s="3">
        <f t="shared" si="6"/>
        <v>2</v>
      </c>
      <c r="X356" s="3" t="str">
        <f>IFERROR(__xludf.DUMMYFUNCTION("split(B356,"" "")"),"M.")</f>
        <v>M.</v>
      </c>
      <c r="Y356" s="3" t="str">
        <f>IFERROR(__xludf.DUMMYFUNCTION("""COMPUTED_VALUE"""),"Tipton")</f>
        <v>Tipton</v>
      </c>
      <c r="AA356" s="8">
        <v>0.0</v>
      </c>
      <c r="AB356" s="3">
        <f t="shared" si="7"/>
        <v>0</v>
      </c>
      <c r="AC356" s="3">
        <f t="shared" si="8"/>
        <v>0</v>
      </c>
      <c r="AD356" s="3">
        <f t="shared" si="9"/>
        <v>1.818181818</v>
      </c>
      <c r="AE356" s="3">
        <f t="shared" si="10"/>
        <v>-2</v>
      </c>
      <c r="AF356" s="3">
        <f t="shared" si="11"/>
        <v>-2</v>
      </c>
      <c r="AG356" s="3">
        <f t="shared" si="12"/>
        <v>-1</v>
      </c>
    </row>
    <row r="357">
      <c r="A357" s="1" t="s">
        <v>12</v>
      </c>
      <c r="B357" s="1" t="s">
        <v>282</v>
      </c>
      <c r="C357" s="1" t="s">
        <v>19</v>
      </c>
      <c r="D357" s="1" t="s">
        <v>58</v>
      </c>
      <c r="E357" s="1" t="s">
        <v>57</v>
      </c>
      <c r="F357" s="1" t="s">
        <v>658</v>
      </c>
      <c r="G357" s="1">
        <v>4.5</v>
      </c>
      <c r="H357" s="1" t="s">
        <v>60</v>
      </c>
      <c r="I357" s="1">
        <v>-105.0</v>
      </c>
      <c r="J357" s="1">
        <v>-0.121246341463414</v>
      </c>
      <c r="K357" s="1" t="s">
        <v>61</v>
      </c>
      <c r="L357" s="1" t="s">
        <v>61</v>
      </c>
      <c r="M357" s="1" t="s">
        <v>62</v>
      </c>
      <c r="N357" s="1">
        <v>-126.0</v>
      </c>
      <c r="O357" s="1">
        <v>0.0515221238938051</v>
      </c>
      <c r="P357" s="1" t="s">
        <v>61</v>
      </c>
      <c r="Q357" s="1" t="s">
        <v>61</v>
      </c>
      <c r="R357" s="1">
        <f t="shared" si="1"/>
        <v>0.05152212389</v>
      </c>
      <c r="S357" s="1">
        <f t="shared" si="2"/>
        <v>-126</v>
      </c>
      <c r="T357" s="1">
        <f t="shared" si="3"/>
        <v>1.793650794</v>
      </c>
      <c r="U357" s="1">
        <f t="shared" si="4"/>
        <v>0</v>
      </c>
      <c r="V357" s="3">
        <f t="shared" si="5"/>
        <v>2</v>
      </c>
      <c r="W357" s="3">
        <f t="shared" si="6"/>
        <v>3</v>
      </c>
      <c r="X357" s="3" t="str">
        <f>IFERROR(__xludf.DUMMYFUNCTION("split(B357,"" "")"),"A.")</f>
        <v>A.</v>
      </c>
      <c r="Y357" s="3" t="str">
        <f>IFERROR(__xludf.DUMMYFUNCTION("""COMPUTED_VALUE"""),"Kamara")</f>
        <v>Kamara</v>
      </c>
      <c r="AA357" s="8">
        <v>6.0</v>
      </c>
      <c r="AB357" s="3">
        <f t="shared" si="7"/>
        <v>1</v>
      </c>
      <c r="AC357" s="3">
        <f t="shared" si="8"/>
        <v>0</v>
      </c>
      <c r="AD357" s="3">
        <f t="shared" si="9"/>
        <v>1.587301587</v>
      </c>
      <c r="AE357" s="3">
        <f t="shared" si="10"/>
        <v>-2</v>
      </c>
      <c r="AF357" s="3">
        <f t="shared" si="11"/>
        <v>-3</v>
      </c>
      <c r="AG357" s="3">
        <f t="shared" si="12"/>
        <v>-0.3333333333</v>
      </c>
    </row>
    <row r="358">
      <c r="A358" s="1" t="s">
        <v>12</v>
      </c>
      <c r="B358" s="1" t="s">
        <v>553</v>
      </c>
      <c r="C358" s="1" t="s">
        <v>20</v>
      </c>
      <c r="D358" s="1" t="s">
        <v>58</v>
      </c>
      <c r="E358" s="1" t="s">
        <v>57</v>
      </c>
      <c r="F358" s="1" t="s">
        <v>658</v>
      </c>
      <c r="G358" s="1">
        <v>1.5</v>
      </c>
      <c r="H358" s="1" t="s">
        <v>60</v>
      </c>
      <c r="I358" s="1">
        <v>118.0</v>
      </c>
      <c r="J358" s="1">
        <v>-0.118861917035412</v>
      </c>
      <c r="K358" s="1" t="s">
        <v>61</v>
      </c>
      <c r="L358" s="1" t="s">
        <v>61</v>
      </c>
      <c r="M358" s="1" t="s">
        <v>62</v>
      </c>
      <c r="N358" s="1">
        <v>-156.0</v>
      </c>
      <c r="O358" s="1">
        <v>0.0507771475946875</v>
      </c>
      <c r="P358" s="1" t="s">
        <v>61</v>
      </c>
      <c r="Q358" s="1" t="s">
        <v>61</v>
      </c>
      <c r="R358" s="1">
        <f t="shared" si="1"/>
        <v>0.05077714759</v>
      </c>
      <c r="S358" s="1">
        <f t="shared" si="2"/>
        <v>-156</v>
      </c>
      <c r="T358" s="1">
        <f t="shared" si="3"/>
        <v>1.641025641</v>
      </c>
      <c r="U358" s="1">
        <f t="shared" si="4"/>
        <v>0</v>
      </c>
      <c r="V358" s="3">
        <f t="shared" si="5"/>
        <v>2</v>
      </c>
      <c r="W358" s="3">
        <f t="shared" si="6"/>
        <v>3</v>
      </c>
      <c r="X358" s="3" t="str">
        <f>IFERROR(__xludf.DUMMYFUNCTION("split(B358,"" "")"),"F.")</f>
        <v>F.</v>
      </c>
      <c r="Y358" s="3" t="str">
        <f>IFERROR(__xludf.DUMMYFUNCTION("""COMPUTED_VALUE"""),"Moreau")</f>
        <v>Moreau</v>
      </c>
      <c r="AA358" s="8">
        <v>1.0</v>
      </c>
      <c r="AB358" s="3">
        <f t="shared" si="7"/>
        <v>0</v>
      </c>
      <c r="AC358" s="3">
        <f t="shared" si="8"/>
        <v>1</v>
      </c>
      <c r="AD358" s="3">
        <f t="shared" si="9"/>
        <v>1.282051282</v>
      </c>
      <c r="AE358" s="3">
        <f t="shared" si="10"/>
        <v>1.282051282</v>
      </c>
      <c r="AF358" s="3">
        <f t="shared" si="11"/>
        <v>1.923076923</v>
      </c>
      <c r="AG358" s="3">
        <f t="shared" si="12"/>
        <v>0.3333333333</v>
      </c>
    </row>
    <row r="359">
      <c r="A359" s="1" t="s">
        <v>10</v>
      </c>
      <c r="B359" s="1" t="s">
        <v>441</v>
      </c>
      <c r="C359" s="1" t="s">
        <v>20</v>
      </c>
      <c r="D359" s="1" t="s">
        <v>58</v>
      </c>
      <c r="E359" s="1" t="s">
        <v>57</v>
      </c>
      <c r="F359" s="1" t="s">
        <v>658</v>
      </c>
      <c r="G359" s="1">
        <v>27.5</v>
      </c>
      <c r="H359" s="1" t="s">
        <v>60</v>
      </c>
      <c r="I359" s="1">
        <v>-119.0</v>
      </c>
      <c r="J359" s="1">
        <v>-0.111025235995958</v>
      </c>
      <c r="K359" s="1" t="s">
        <v>61</v>
      </c>
      <c r="L359" s="1" t="s">
        <v>61</v>
      </c>
      <c r="M359" s="1" t="s">
        <v>62</v>
      </c>
      <c r="N359" s="1">
        <v>-107.0</v>
      </c>
      <c r="O359" s="1">
        <v>0.0507309301977442</v>
      </c>
      <c r="P359" s="1" t="s">
        <v>61</v>
      </c>
      <c r="Q359" s="1" t="s">
        <v>61</v>
      </c>
      <c r="R359" s="1">
        <f t="shared" si="1"/>
        <v>0.0507309302</v>
      </c>
      <c r="S359" s="1">
        <f t="shared" si="2"/>
        <v>-107</v>
      </c>
      <c r="T359" s="1">
        <f t="shared" si="3"/>
        <v>1.934579439</v>
      </c>
      <c r="U359" s="1">
        <f t="shared" si="4"/>
        <v>0</v>
      </c>
      <c r="V359" s="3">
        <f t="shared" si="5"/>
        <v>2</v>
      </c>
      <c r="W359" s="3">
        <f t="shared" si="6"/>
        <v>2</v>
      </c>
      <c r="X359" s="3" t="str">
        <f>IFERROR(__xludf.DUMMYFUNCTION("split(B359,"" "")"),"T.")</f>
        <v>T.</v>
      </c>
      <c r="Y359" s="3" t="str">
        <f>IFERROR(__xludf.DUMMYFUNCTION("""COMPUTED_VALUE"""),"Hill")</f>
        <v>Hill</v>
      </c>
      <c r="AA359" s="8">
        <v>19.0</v>
      </c>
      <c r="AB359" s="3">
        <f t="shared" si="7"/>
        <v>0</v>
      </c>
      <c r="AC359" s="3">
        <f t="shared" si="8"/>
        <v>1</v>
      </c>
      <c r="AD359" s="3">
        <f t="shared" si="9"/>
        <v>1.869158879</v>
      </c>
      <c r="AE359" s="3">
        <f t="shared" si="10"/>
        <v>1.869158879</v>
      </c>
      <c r="AF359" s="3">
        <f t="shared" si="11"/>
        <v>1.869158879</v>
      </c>
      <c r="AG359" s="3">
        <f t="shared" si="12"/>
        <v>0.3090909091</v>
      </c>
    </row>
    <row r="360">
      <c r="A360" s="1" t="s">
        <v>12</v>
      </c>
      <c r="B360" s="1" t="s">
        <v>491</v>
      </c>
      <c r="C360" s="1" t="s">
        <v>18</v>
      </c>
      <c r="D360" s="1" t="s">
        <v>58</v>
      </c>
      <c r="E360" s="1" t="s">
        <v>57</v>
      </c>
      <c r="F360" s="1" t="s">
        <v>658</v>
      </c>
      <c r="G360" s="1">
        <v>5.5</v>
      </c>
      <c r="H360" s="1" t="s">
        <v>60</v>
      </c>
      <c r="I360" s="1">
        <v>101.0</v>
      </c>
      <c r="J360" s="1">
        <v>0.0398875621890546</v>
      </c>
      <c r="K360" s="1" t="s">
        <v>61</v>
      </c>
      <c r="L360" s="1" t="s">
        <v>61</v>
      </c>
      <c r="M360" s="1" t="s">
        <v>62</v>
      </c>
      <c r="N360" s="1">
        <v>-134.0</v>
      </c>
      <c r="O360" s="1">
        <v>-0.110049572649572</v>
      </c>
      <c r="P360" s="1" t="s">
        <v>61</v>
      </c>
      <c r="Q360" s="1" t="s">
        <v>61</v>
      </c>
      <c r="R360" s="1">
        <f t="shared" si="1"/>
        <v>0.03988756219</v>
      </c>
      <c r="S360" s="1">
        <f t="shared" si="2"/>
        <v>101</v>
      </c>
      <c r="T360" s="1">
        <f t="shared" si="3"/>
        <v>2.01</v>
      </c>
      <c r="U360" s="1">
        <f t="shared" si="4"/>
        <v>1</v>
      </c>
      <c r="V360" s="3">
        <f t="shared" si="5"/>
        <v>1</v>
      </c>
      <c r="W360" s="3">
        <f t="shared" si="6"/>
        <v>2</v>
      </c>
      <c r="X360" s="3" t="str">
        <f>IFERROR(__xludf.DUMMYFUNCTION("split(B360,"" "")"),"C.")</f>
        <v>C.</v>
      </c>
      <c r="Y360" s="3" t="str">
        <f>IFERROR(__xludf.DUMMYFUNCTION("""COMPUTED_VALUE"""),"Olave")</f>
        <v>Olave</v>
      </c>
      <c r="AA360" s="8">
        <v>1.0</v>
      </c>
      <c r="AB360" s="3">
        <f t="shared" si="7"/>
        <v>0</v>
      </c>
      <c r="AC360" s="3">
        <f t="shared" si="8"/>
        <v>0</v>
      </c>
      <c r="AD360" s="3">
        <f t="shared" si="9"/>
        <v>1.01</v>
      </c>
      <c r="AE360" s="3">
        <f t="shared" si="10"/>
        <v>-1</v>
      </c>
      <c r="AF360" s="3">
        <f t="shared" si="11"/>
        <v>-2</v>
      </c>
      <c r="AG360" s="3">
        <f t="shared" si="12"/>
        <v>-0.8181818182</v>
      </c>
    </row>
    <row r="361">
      <c r="A361" s="1" t="s">
        <v>11</v>
      </c>
      <c r="B361" s="1" t="s">
        <v>282</v>
      </c>
      <c r="C361" s="1" t="s">
        <v>19</v>
      </c>
      <c r="D361" s="1" t="s">
        <v>58</v>
      </c>
      <c r="E361" s="1" t="s">
        <v>57</v>
      </c>
      <c r="F361" s="1" t="s">
        <v>658</v>
      </c>
      <c r="G361" s="1">
        <v>30.5</v>
      </c>
      <c r="H361" s="1" t="s">
        <v>60</v>
      </c>
      <c r="I361" s="1">
        <v>-114.0</v>
      </c>
      <c r="J361" s="1">
        <v>-0.110659067958598</v>
      </c>
      <c r="K361" s="1" t="s">
        <v>61</v>
      </c>
      <c r="L361" s="1" t="s">
        <v>61</v>
      </c>
      <c r="M361" s="1" t="s">
        <v>62</v>
      </c>
      <c r="N361" s="1">
        <v>-118.0</v>
      </c>
      <c r="O361" s="1">
        <v>0.0367022329549231</v>
      </c>
      <c r="P361" s="1" t="s">
        <v>61</v>
      </c>
      <c r="Q361" s="1" t="s">
        <v>61</v>
      </c>
      <c r="R361" s="1">
        <f t="shared" si="1"/>
        <v>0.03670223295</v>
      </c>
      <c r="S361" s="1">
        <f t="shared" si="2"/>
        <v>-118</v>
      </c>
      <c r="T361" s="1">
        <f t="shared" si="3"/>
        <v>1.847457627</v>
      </c>
      <c r="U361" s="1">
        <f t="shared" si="4"/>
        <v>0</v>
      </c>
      <c r="V361" s="3">
        <f t="shared" si="5"/>
        <v>1</v>
      </c>
      <c r="W361" s="3">
        <f t="shared" si="6"/>
        <v>3</v>
      </c>
      <c r="X361" s="3" t="str">
        <f>IFERROR(__xludf.DUMMYFUNCTION("split(B361,"" "")"),"A.")</f>
        <v>A.</v>
      </c>
      <c r="Y361" s="3" t="str">
        <f>IFERROR(__xludf.DUMMYFUNCTION("""COMPUTED_VALUE"""),"Kamara")</f>
        <v>Kamara</v>
      </c>
      <c r="AA361" s="8">
        <v>60.0</v>
      </c>
      <c r="AB361" s="3">
        <f t="shared" si="7"/>
        <v>1</v>
      </c>
      <c r="AC361" s="3">
        <f t="shared" si="8"/>
        <v>0</v>
      </c>
      <c r="AD361" s="3">
        <f t="shared" si="9"/>
        <v>0.8474576271</v>
      </c>
      <c r="AE361" s="3">
        <f t="shared" si="10"/>
        <v>-1</v>
      </c>
      <c r="AF361" s="3">
        <f t="shared" si="11"/>
        <v>-3</v>
      </c>
      <c r="AG361" s="3">
        <f t="shared" si="12"/>
        <v>-0.9672131148</v>
      </c>
    </row>
    <row r="362">
      <c r="A362" s="1" t="s">
        <v>10</v>
      </c>
      <c r="B362" s="1" t="s">
        <v>282</v>
      </c>
      <c r="C362" s="1" t="s">
        <v>19</v>
      </c>
      <c r="D362" s="1" t="s">
        <v>58</v>
      </c>
      <c r="E362" s="1" t="s">
        <v>57</v>
      </c>
      <c r="F362" s="1" t="s">
        <v>658</v>
      </c>
      <c r="G362" s="1">
        <v>73.5</v>
      </c>
      <c r="H362" s="1" t="s">
        <v>60</v>
      </c>
      <c r="I362" s="1">
        <v>-122.0</v>
      </c>
      <c r="J362" s="1">
        <v>-0.0930792387592486</v>
      </c>
      <c r="K362" s="1" t="s">
        <v>61</v>
      </c>
      <c r="L362" s="1" t="s">
        <v>61</v>
      </c>
      <c r="M362" s="1" t="s">
        <v>62</v>
      </c>
      <c r="N362" s="1">
        <v>-107.0</v>
      </c>
      <c r="O362" s="1">
        <v>0.0265801517856703</v>
      </c>
      <c r="P362" s="1" t="s">
        <v>61</v>
      </c>
      <c r="Q362" s="1" t="s">
        <v>61</v>
      </c>
      <c r="R362" s="1">
        <f t="shared" si="1"/>
        <v>0.02658015179</v>
      </c>
      <c r="S362" s="1">
        <f t="shared" si="2"/>
        <v>-107</v>
      </c>
      <c r="T362" s="1">
        <f t="shared" si="3"/>
        <v>1.934579439</v>
      </c>
      <c r="U362" s="1">
        <f t="shared" si="4"/>
        <v>0</v>
      </c>
      <c r="V362" s="3">
        <f t="shared" si="5"/>
        <v>1</v>
      </c>
      <c r="W362" s="3">
        <f t="shared" si="6"/>
        <v>2</v>
      </c>
      <c r="X362" s="3" t="str">
        <f>IFERROR(__xludf.DUMMYFUNCTION("split(B362,"" "")"),"A.")</f>
        <v>A.</v>
      </c>
      <c r="Y362" s="3" t="str">
        <f>IFERROR(__xludf.DUMMYFUNCTION("""COMPUTED_VALUE"""),"Kamara")</f>
        <v>Kamara</v>
      </c>
      <c r="AA362" s="8">
        <v>155.0</v>
      </c>
      <c r="AB362" s="3">
        <f t="shared" si="7"/>
        <v>1</v>
      </c>
      <c r="AC362" s="3">
        <f t="shared" si="8"/>
        <v>0</v>
      </c>
      <c r="AD362" s="3">
        <f t="shared" si="9"/>
        <v>0.9345794393</v>
      </c>
      <c r="AE362" s="3">
        <f t="shared" si="10"/>
        <v>-1</v>
      </c>
      <c r="AF362" s="3">
        <f t="shared" si="11"/>
        <v>-2</v>
      </c>
      <c r="AG362" s="3">
        <f t="shared" si="12"/>
        <v>-1.108843537</v>
      </c>
    </row>
    <row r="363">
      <c r="A363" s="1" t="s">
        <v>11</v>
      </c>
      <c r="B363" s="1" t="s">
        <v>193</v>
      </c>
      <c r="C363" s="1" t="s">
        <v>20</v>
      </c>
      <c r="D363" s="1" t="s">
        <v>58</v>
      </c>
      <c r="E363" s="1" t="s">
        <v>57</v>
      </c>
      <c r="F363" s="1" t="s">
        <v>658</v>
      </c>
      <c r="G363" s="1">
        <v>24.5</v>
      </c>
      <c r="H363" s="1" t="s">
        <v>60</v>
      </c>
      <c r="I363" s="1">
        <v>-115.0</v>
      </c>
      <c r="J363" s="1">
        <v>-0.0927898617953348</v>
      </c>
      <c r="K363" s="1" t="s">
        <v>61</v>
      </c>
      <c r="L363" s="1" t="s">
        <v>61</v>
      </c>
      <c r="M363" s="1" t="s">
        <v>62</v>
      </c>
      <c r="N363" s="1">
        <v>-114.0</v>
      </c>
      <c r="O363" s="1">
        <v>0.0252403510562457</v>
      </c>
      <c r="P363" s="1" t="s">
        <v>61</v>
      </c>
      <c r="Q363" s="1" t="s">
        <v>61</v>
      </c>
      <c r="R363" s="1">
        <f t="shared" si="1"/>
        <v>0.02524035106</v>
      </c>
      <c r="S363" s="1">
        <f t="shared" si="2"/>
        <v>-114</v>
      </c>
      <c r="T363" s="1">
        <f t="shared" si="3"/>
        <v>1.877192982</v>
      </c>
      <c r="U363" s="1">
        <f t="shared" si="4"/>
        <v>0</v>
      </c>
      <c r="V363" s="3">
        <f t="shared" si="5"/>
        <v>1</v>
      </c>
      <c r="W363" s="3">
        <f t="shared" si="6"/>
        <v>2</v>
      </c>
      <c r="X363" s="3" t="str">
        <f>IFERROR(__xludf.DUMMYFUNCTION("split(B363,"" "")"),"J.")</f>
        <v>J.</v>
      </c>
      <c r="Y363" s="3" t="str">
        <f>IFERROR(__xludf.DUMMYFUNCTION("""COMPUTED_VALUE"""),"Johnson")</f>
        <v>Johnson</v>
      </c>
      <c r="AA363" s="8">
        <v>41.0</v>
      </c>
      <c r="AB363" s="3">
        <f t="shared" si="7"/>
        <v>1</v>
      </c>
      <c r="AC363" s="3">
        <f t="shared" si="8"/>
        <v>0</v>
      </c>
      <c r="AD363" s="3">
        <f t="shared" si="9"/>
        <v>0.8771929825</v>
      </c>
      <c r="AE363" s="3">
        <f t="shared" si="10"/>
        <v>-1</v>
      </c>
      <c r="AF363" s="3">
        <f t="shared" si="11"/>
        <v>-2</v>
      </c>
      <c r="AG363" s="3">
        <f t="shared" si="12"/>
        <v>-0.6734693878</v>
      </c>
    </row>
    <row r="364">
      <c r="A364" s="1" t="s">
        <v>11</v>
      </c>
      <c r="B364" s="1" t="s">
        <v>441</v>
      </c>
      <c r="C364" s="1" t="s">
        <v>20</v>
      </c>
      <c r="D364" s="1" t="s">
        <v>58</v>
      </c>
      <c r="E364" s="1" t="s">
        <v>57</v>
      </c>
      <c r="F364" s="1" t="s">
        <v>658</v>
      </c>
      <c r="G364" s="1">
        <v>12.5</v>
      </c>
      <c r="H364" s="1" t="s">
        <v>60</v>
      </c>
      <c r="I364" s="1">
        <v>-113.0</v>
      </c>
      <c r="J364" s="1">
        <v>0.0180737603087604</v>
      </c>
      <c r="K364" s="1" t="s">
        <v>61</v>
      </c>
      <c r="L364" s="1" t="s">
        <v>61</v>
      </c>
      <c r="M364" s="1" t="s">
        <v>62</v>
      </c>
      <c r="N364" s="1">
        <v>-116.0</v>
      </c>
      <c r="O364" s="1">
        <v>-0.0855970402642987</v>
      </c>
      <c r="P364" s="1" t="s">
        <v>61</v>
      </c>
      <c r="Q364" s="1" t="s">
        <v>61</v>
      </c>
      <c r="R364" s="1">
        <f t="shared" si="1"/>
        <v>0.01807376031</v>
      </c>
      <c r="S364" s="1">
        <f t="shared" si="2"/>
        <v>-113</v>
      </c>
      <c r="T364" s="1">
        <f t="shared" si="3"/>
        <v>1.884955752</v>
      </c>
      <c r="U364" s="1">
        <f t="shared" si="4"/>
        <v>1</v>
      </c>
      <c r="V364" s="3">
        <f t="shared" si="5"/>
        <v>1</v>
      </c>
      <c r="W364" s="3">
        <f t="shared" si="6"/>
        <v>2</v>
      </c>
      <c r="X364" s="3" t="str">
        <f>IFERROR(__xludf.DUMMYFUNCTION("split(B364,"" "")"),"T.")</f>
        <v>T.</v>
      </c>
      <c r="Y364" s="3" t="str">
        <f>IFERROR(__xludf.DUMMYFUNCTION("""COMPUTED_VALUE"""),"Hill")</f>
        <v>Hill</v>
      </c>
      <c r="AA364" s="8">
        <v>41.0</v>
      </c>
      <c r="AB364" s="3">
        <f t="shared" si="7"/>
        <v>1</v>
      </c>
      <c r="AC364" s="3">
        <f t="shared" si="8"/>
        <v>1</v>
      </c>
      <c r="AD364" s="3">
        <f t="shared" si="9"/>
        <v>0.8849557522</v>
      </c>
      <c r="AE364" s="3">
        <f t="shared" si="10"/>
        <v>0.8849557522</v>
      </c>
      <c r="AF364" s="3">
        <f t="shared" si="11"/>
        <v>1.769911504</v>
      </c>
      <c r="AG364" s="3">
        <f t="shared" si="12"/>
        <v>2.28</v>
      </c>
    </row>
    <row r="365">
      <c r="A365" s="1" t="s">
        <v>8</v>
      </c>
      <c r="B365" s="1" t="s">
        <v>287</v>
      </c>
      <c r="C365" s="1" t="s">
        <v>21</v>
      </c>
      <c r="D365" s="1" t="s">
        <v>58</v>
      </c>
      <c r="E365" s="1" t="s">
        <v>57</v>
      </c>
      <c r="F365" s="1" t="s">
        <v>658</v>
      </c>
      <c r="G365" s="1">
        <v>2.5</v>
      </c>
      <c r="H365" s="1" t="s">
        <v>60</v>
      </c>
      <c r="I365" s="1">
        <v>140.0</v>
      </c>
      <c r="J365" s="1">
        <v>-0.0789006584168647</v>
      </c>
      <c r="K365" s="1" t="s">
        <v>61</v>
      </c>
      <c r="L365" s="1" t="s">
        <v>61</v>
      </c>
      <c r="M365" s="1" t="s">
        <v>62</v>
      </c>
      <c r="N365" s="1">
        <v>-185.0</v>
      </c>
      <c r="O365" s="1">
        <v>0.0131037401932027</v>
      </c>
      <c r="P365" s="1" t="s">
        <v>61</v>
      </c>
      <c r="Q365" s="1" t="s">
        <v>61</v>
      </c>
      <c r="R365" s="1">
        <f t="shared" si="1"/>
        <v>0.01310374019</v>
      </c>
      <c r="S365" s="1">
        <f t="shared" si="2"/>
        <v>-185</v>
      </c>
      <c r="T365" s="1">
        <f t="shared" si="3"/>
        <v>1.540540541</v>
      </c>
      <c r="U365" s="1">
        <f t="shared" si="4"/>
        <v>0</v>
      </c>
      <c r="V365" s="3">
        <f t="shared" si="5"/>
        <v>1</v>
      </c>
      <c r="W365" s="3">
        <f t="shared" si="6"/>
        <v>3</v>
      </c>
      <c r="X365" s="3" t="str">
        <f>IFERROR(__xludf.DUMMYFUNCTION("split(B365,"" "")"),"D.")</f>
        <v>D.</v>
      </c>
      <c r="Y365" s="3" t="str">
        <f>IFERROR(__xludf.DUMMYFUNCTION("""COMPUTED_VALUE"""),"Carr")</f>
        <v>Carr</v>
      </c>
      <c r="AA365" s="8">
        <v>0.0</v>
      </c>
      <c r="AB365" s="3">
        <f t="shared" si="7"/>
        <v>0</v>
      </c>
      <c r="AC365" s="3">
        <f t="shared" si="8"/>
        <v>1</v>
      </c>
      <c r="AD365" s="3">
        <f t="shared" si="9"/>
        <v>0.5405405405</v>
      </c>
      <c r="AE365" s="3">
        <f t="shared" si="10"/>
        <v>0.5405405405</v>
      </c>
      <c r="AF365" s="3">
        <f t="shared" si="11"/>
        <v>1.621621622</v>
      </c>
      <c r="AG365" s="3">
        <f t="shared" si="12"/>
        <v>1</v>
      </c>
    </row>
    <row r="366">
      <c r="A366" s="1" t="s">
        <v>14</v>
      </c>
      <c r="B366" s="1" t="s">
        <v>287</v>
      </c>
      <c r="C366" s="1" t="s">
        <v>21</v>
      </c>
      <c r="D366" s="1" t="s">
        <v>58</v>
      </c>
      <c r="E366" s="1" t="s">
        <v>57</v>
      </c>
      <c r="F366" s="1" t="s">
        <v>658</v>
      </c>
      <c r="G366" s="1">
        <v>1.5</v>
      </c>
      <c r="H366" s="1" t="s">
        <v>60</v>
      </c>
      <c r="I366" s="1">
        <v>-107.0</v>
      </c>
      <c r="J366" s="1">
        <v>-0.0767082125603864</v>
      </c>
      <c r="K366" s="1" t="s">
        <v>61</v>
      </c>
      <c r="L366" s="1" t="s">
        <v>61</v>
      </c>
      <c r="M366" s="1" t="s">
        <v>62</v>
      </c>
      <c r="N366" s="1">
        <v>-122.0</v>
      </c>
      <c r="O366" s="1">
        <v>0.0102504504504504</v>
      </c>
      <c r="P366" s="1" t="s">
        <v>61</v>
      </c>
      <c r="Q366" s="1" t="s">
        <v>61</v>
      </c>
      <c r="R366" s="1">
        <f t="shared" si="1"/>
        <v>0.01025045045</v>
      </c>
      <c r="S366" s="1">
        <f t="shared" si="2"/>
        <v>-122</v>
      </c>
      <c r="T366" s="1">
        <f t="shared" si="3"/>
        <v>1.819672131</v>
      </c>
      <c r="U366" s="1">
        <f t="shared" si="4"/>
        <v>0</v>
      </c>
      <c r="V366" s="3">
        <f t="shared" si="5"/>
        <v>1</v>
      </c>
      <c r="W366" s="3">
        <f t="shared" si="6"/>
        <v>3</v>
      </c>
      <c r="X366" s="3" t="str">
        <f>IFERROR(__xludf.DUMMYFUNCTION("split(B366,"" "")"),"D.")</f>
        <v>D.</v>
      </c>
      <c r="Y366" s="3" t="str">
        <f>IFERROR(__xludf.DUMMYFUNCTION("""COMPUTED_VALUE"""),"Carr")</f>
        <v>Carr</v>
      </c>
      <c r="AA366" s="8">
        <v>1.0</v>
      </c>
      <c r="AB366" s="3">
        <f t="shared" si="7"/>
        <v>0</v>
      </c>
      <c r="AC366" s="3">
        <f t="shared" si="8"/>
        <v>1</v>
      </c>
      <c r="AD366" s="3">
        <f t="shared" si="9"/>
        <v>0.8196721311</v>
      </c>
      <c r="AE366" s="3">
        <f t="shared" si="10"/>
        <v>0.8196721311</v>
      </c>
      <c r="AF366" s="3">
        <f t="shared" si="11"/>
        <v>2.459016393</v>
      </c>
      <c r="AG366" s="3">
        <f t="shared" si="12"/>
        <v>0.3333333333</v>
      </c>
    </row>
    <row r="367">
      <c r="A367" s="1" t="s">
        <v>9</v>
      </c>
      <c r="B367" s="1" t="s">
        <v>282</v>
      </c>
      <c r="C367" s="1" t="s">
        <v>19</v>
      </c>
      <c r="D367" s="1" t="s">
        <v>58</v>
      </c>
      <c r="E367" s="1" t="s">
        <v>57</v>
      </c>
      <c r="F367" s="1" t="s">
        <v>658</v>
      </c>
      <c r="G367" s="1">
        <v>105.5</v>
      </c>
      <c r="H367" s="1" t="s">
        <v>60</v>
      </c>
      <c r="I367" s="1">
        <v>-122.0</v>
      </c>
      <c r="J367" s="1">
        <v>-0.0812211658088781</v>
      </c>
      <c r="K367" s="1" t="s">
        <v>61</v>
      </c>
      <c r="L367" s="1" t="s">
        <v>61</v>
      </c>
      <c r="M367" s="1" t="s">
        <v>62</v>
      </c>
      <c r="N367" s="1">
        <v>-111.0</v>
      </c>
      <c r="O367" s="1">
        <v>0.00556678028640733</v>
      </c>
      <c r="P367" s="1" t="s">
        <v>61</v>
      </c>
      <c r="Q367" s="1" t="s">
        <v>61</v>
      </c>
      <c r="R367" s="1">
        <f t="shared" si="1"/>
        <v>0.005566780286</v>
      </c>
      <c r="S367" s="1">
        <f t="shared" si="2"/>
        <v>-111</v>
      </c>
      <c r="T367" s="1">
        <f t="shared" si="3"/>
        <v>1.900900901</v>
      </c>
      <c r="U367" s="1">
        <f t="shared" si="4"/>
        <v>0</v>
      </c>
      <c r="V367" s="3">
        <f t="shared" si="5"/>
        <v>1</v>
      </c>
      <c r="W367" s="3">
        <f t="shared" si="6"/>
        <v>2</v>
      </c>
      <c r="X367" s="3" t="str">
        <f>IFERROR(__xludf.DUMMYFUNCTION("split(B367,"" "")"),"A.")</f>
        <v>A.</v>
      </c>
      <c r="Y367" s="3" t="str">
        <f>IFERROR(__xludf.DUMMYFUNCTION("""COMPUTED_VALUE"""),"Kamara")</f>
        <v>Kamara</v>
      </c>
      <c r="AA367" s="8">
        <v>215.0</v>
      </c>
      <c r="AB367" s="3">
        <f t="shared" si="7"/>
        <v>1</v>
      </c>
      <c r="AC367" s="3">
        <f t="shared" si="8"/>
        <v>0</v>
      </c>
      <c r="AD367" s="3">
        <f t="shared" si="9"/>
        <v>0.9009009009</v>
      </c>
      <c r="AE367" s="3">
        <f t="shared" si="10"/>
        <v>-1</v>
      </c>
      <c r="AF367" s="3">
        <f t="shared" si="11"/>
        <v>-2</v>
      </c>
      <c r="AG367" s="3">
        <f t="shared" si="12"/>
        <v>-1.037914692</v>
      </c>
    </row>
    <row r="368">
      <c r="A368" s="1" t="s">
        <v>9</v>
      </c>
      <c r="B368" s="1" t="s">
        <v>491</v>
      </c>
      <c r="C368" s="1" t="s">
        <v>18</v>
      </c>
      <c r="D368" s="1" t="s">
        <v>58</v>
      </c>
      <c r="E368" s="1" t="s">
        <v>57</v>
      </c>
      <c r="F368" s="1" t="s">
        <v>658</v>
      </c>
      <c r="G368" s="1">
        <v>70.0</v>
      </c>
      <c r="H368" s="1" t="s">
        <v>60</v>
      </c>
      <c r="I368" s="1">
        <v>-119.0</v>
      </c>
      <c r="J368" s="1">
        <v>-0.0742529915189202</v>
      </c>
      <c r="K368" s="1" t="s">
        <v>61</v>
      </c>
      <c r="L368" s="1" t="s">
        <v>61</v>
      </c>
      <c r="M368" s="1" t="s">
        <v>62</v>
      </c>
      <c r="N368" s="1">
        <v>-113.0</v>
      </c>
      <c r="O368" s="1">
        <v>0.00121106014641902</v>
      </c>
      <c r="P368" s="1" t="s">
        <v>61</v>
      </c>
      <c r="Q368" s="1" t="s">
        <v>61</v>
      </c>
      <c r="R368" s="1">
        <f t="shared" si="1"/>
        <v>0.001211060146</v>
      </c>
      <c r="S368" s="1">
        <f t="shared" si="2"/>
        <v>-113</v>
      </c>
      <c r="T368" s="1">
        <f t="shared" si="3"/>
        <v>1.884955752</v>
      </c>
      <c r="U368" s="1">
        <f t="shared" si="4"/>
        <v>0</v>
      </c>
      <c r="V368" s="3">
        <f t="shared" si="5"/>
        <v>1</v>
      </c>
      <c r="W368" s="3">
        <f t="shared" si="6"/>
        <v>2</v>
      </c>
      <c r="X368" s="3" t="str">
        <f>IFERROR(__xludf.DUMMYFUNCTION("split(B368,"" "")"),"C.")</f>
        <v>C.</v>
      </c>
      <c r="Y368" s="3" t="str">
        <f>IFERROR(__xludf.DUMMYFUNCTION("""COMPUTED_VALUE"""),"Olave")</f>
        <v>Olave</v>
      </c>
      <c r="AA368" s="8">
        <v>13.0</v>
      </c>
      <c r="AB368" s="3">
        <f t="shared" si="7"/>
        <v>0</v>
      </c>
      <c r="AC368" s="3">
        <f t="shared" si="8"/>
        <v>1</v>
      </c>
      <c r="AD368" s="3">
        <f t="shared" si="9"/>
        <v>0.8849557522</v>
      </c>
      <c r="AE368" s="3">
        <f t="shared" si="10"/>
        <v>0.8849557522</v>
      </c>
      <c r="AF368" s="3">
        <f t="shared" si="11"/>
        <v>1.769911504</v>
      </c>
      <c r="AG368" s="3">
        <f t="shared" si="12"/>
        <v>0.8142857143</v>
      </c>
    </row>
    <row r="369">
      <c r="A369" s="1" t="s">
        <v>12</v>
      </c>
      <c r="B369" s="1" t="s">
        <v>477</v>
      </c>
      <c r="C369" s="1" t="s">
        <v>20</v>
      </c>
      <c r="D369" s="1" t="s">
        <v>147</v>
      </c>
      <c r="E369" s="1" t="s">
        <v>114</v>
      </c>
      <c r="F369" s="1" t="s">
        <v>658</v>
      </c>
      <c r="G369" s="1">
        <v>1.5</v>
      </c>
      <c r="H369" s="1" t="s">
        <v>60</v>
      </c>
      <c r="I369" s="1">
        <v>-149.0</v>
      </c>
      <c r="J369" s="1">
        <v>-0.252987346987951</v>
      </c>
      <c r="K369" s="1" t="s">
        <v>61</v>
      </c>
      <c r="L369" s="1" t="s">
        <v>61</v>
      </c>
      <c r="M369" s="1" t="s">
        <v>62</v>
      </c>
      <c r="N369" s="1">
        <v>113.0</v>
      </c>
      <c r="O369" s="1">
        <v>0.185109152112676</v>
      </c>
      <c r="P369" s="1" t="s">
        <v>61</v>
      </c>
      <c r="Q369" s="1" t="s">
        <v>61</v>
      </c>
      <c r="R369" s="1">
        <f t="shared" si="1"/>
        <v>0.1851091521</v>
      </c>
      <c r="S369" s="1">
        <f t="shared" si="2"/>
        <v>113</v>
      </c>
      <c r="T369" s="1">
        <f t="shared" si="3"/>
        <v>2.13</v>
      </c>
      <c r="U369" s="1">
        <f t="shared" si="4"/>
        <v>0</v>
      </c>
      <c r="V369" s="3">
        <f t="shared" si="5"/>
        <v>3</v>
      </c>
      <c r="W369" s="3">
        <f t="shared" si="6"/>
        <v>1</v>
      </c>
      <c r="X369" s="3" t="str">
        <f>IFERROR(__xludf.DUMMYFUNCTION("split(B369,"" "")"),"T.")</f>
        <v>T.</v>
      </c>
      <c r="Y369" s="3" t="str">
        <f>IFERROR(__xludf.DUMMYFUNCTION("""COMPUTED_VALUE"""),"Johnson")</f>
        <v>Johnson</v>
      </c>
      <c r="AA369" s="8">
        <v>3.0</v>
      </c>
      <c r="AB369" s="3">
        <f t="shared" si="7"/>
        <v>1</v>
      </c>
      <c r="AC369" s="3">
        <f t="shared" si="8"/>
        <v>0</v>
      </c>
      <c r="AD369" s="3">
        <f t="shared" si="9"/>
        <v>3.39</v>
      </c>
      <c r="AE369" s="3">
        <f t="shared" si="10"/>
        <v>-3</v>
      </c>
      <c r="AF369" s="3">
        <f t="shared" si="11"/>
        <v>-1</v>
      </c>
      <c r="AG369" s="3">
        <f t="shared" si="12"/>
        <v>-1</v>
      </c>
    </row>
    <row r="370">
      <c r="A370" s="1" t="s">
        <v>12</v>
      </c>
      <c r="B370" s="1" t="s">
        <v>478</v>
      </c>
      <c r="C370" s="1" t="s">
        <v>18</v>
      </c>
      <c r="D370" s="1" t="s">
        <v>147</v>
      </c>
      <c r="E370" s="1" t="s">
        <v>114</v>
      </c>
      <c r="F370" s="1" t="s">
        <v>658</v>
      </c>
      <c r="G370" s="1">
        <v>6.5</v>
      </c>
      <c r="H370" s="1" t="s">
        <v>60</v>
      </c>
      <c r="I370" s="1">
        <v>101.0</v>
      </c>
      <c r="J370" s="1">
        <v>0.178537810945273</v>
      </c>
      <c r="K370" s="1" t="s">
        <v>61</v>
      </c>
      <c r="L370" s="1" t="s">
        <v>61</v>
      </c>
      <c r="M370" s="1" t="s">
        <v>62</v>
      </c>
      <c r="N370" s="1">
        <v>-133.0</v>
      </c>
      <c r="O370" s="1">
        <v>-0.246872532188841</v>
      </c>
      <c r="P370" s="1" t="s">
        <v>61</v>
      </c>
      <c r="Q370" s="1" t="s">
        <v>61</v>
      </c>
      <c r="R370" s="1">
        <f t="shared" si="1"/>
        <v>0.1785378109</v>
      </c>
      <c r="S370" s="1">
        <f t="shared" si="2"/>
        <v>101</v>
      </c>
      <c r="T370" s="1">
        <f t="shared" si="3"/>
        <v>2.01</v>
      </c>
      <c r="U370" s="1">
        <f t="shared" si="4"/>
        <v>1</v>
      </c>
      <c r="V370" s="3">
        <f t="shared" si="5"/>
        <v>3</v>
      </c>
      <c r="W370" s="3">
        <f t="shared" si="6"/>
        <v>2</v>
      </c>
      <c r="X370" s="3" t="str">
        <f>IFERROR(__xludf.DUMMYFUNCTION("split(B370,"" "")"),"M.")</f>
        <v>M.</v>
      </c>
      <c r="Y370" s="3" t="str">
        <f>IFERROR(__xludf.DUMMYFUNCTION("""COMPUTED_VALUE"""),"Nabers")</f>
        <v>Nabers</v>
      </c>
      <c r="AA370" s="8">
        <v>9.0</v>
      </c>
      <c r="AB370" s="3">
        <f t="shared" si="7"/>
        <v>1</v>
      </c>
      <c r="AC370" s="3">
        <f t="shared" si="8"/>
        <v>1</v>
      </c>
      <c r="AD370" s="3">
        <f t="shared" si="9"/>
        <v>3.03</v>
      </c>
      <c r="AE370" s="3">
        <f t="shared" si="10"/>
        <v>3.03</v>
      </c>
      <c r="AF370" s="3">
        <f t="shared" si="11"/>
        <v>2.02</v>
      </c>
      <c r="AG370" s="3">
        <f t="shared" si="12"/>
        <v>0.3846153846</v>
      </c>
    </row>
    <row r="371">
      <c r="A371" s="1" t="s">
        <v>8</v>
      </c>
      <c r="B371" s="1" t="s">
        <v>260</v>
      </c>
      <c r="C371" s="1" t="s">
        <v>21</v>
      </c>
      <c r="D371" s="1" t="s">
        <v>147</v>
      </c>
      <c r="E371" s="1" t="s">
        <v>114</v>
      </c>
      <c r="F371" s="1" t="s">
        <v>658</v>
      </c>
      <c r="G371" s="1">
        <v>5.5</v>
      </c>
      <c r="H371" s="1" t="s">
        <v>60</v>
      </c>
      <c r="I371" s="1">
        <v>-120.0</v>
      </c>
      <c r="J371" s="1">
        <v>-0.184545547239347</v>
      </c>
      <c r="K371" s="1" t="s">
        <v>61</v>
      </c>
      <c r="L371" s="1" t="s">
        <v>61</v>
      </c>
      <c r="M371" s="1" t="s">
        <v>62</v>
      </c>
      <c r="N371" s="1">
        <v>-110.0</v>
      </c>
      <c r="O371" s="1">
        <v>0.115280106818676</v>
      </c>
      <c r="P371" s="1" t="s">
        <v>61</v>
      </c>
      <c r="Q371" s="1" t="s">
        <v>61</v>
      </c>
      <c r="R371" s="1">
        <f t="shared" si="1"/>
        <v>0.1152801068</v>
      </c>
      <c r="S371" s="1">
        <f t="shared" si="2"/>
        <v>-110</v>
      </c>
      <c r="T371" s="1">
        <f t="shared" si="3"/>
        <v>1.909090909</v>
      </c>
      <c r="U371" s="1">
        <f t="shared" si="4"/>
        <v>0</v>
      </c>
      <c r="V371" s="3">
        <f t="shared" si="5"/>
        <v>3</v>
      </c>
      <c r="W371" s="3">
        <f t="shared" si="6"/>
        <v>2</v>
      </c>
      <c r="X371" s="3" t="str">
        <f>IFERROR(__xludf.DUMMYFUNCTION("split(B371,"" "")"),"D.")</f>
        <v>D.</v>
      </c>
      <c r="Y371" s="3" t="str">
        <f>IFERROR(__xludf.DUMMYFUNCTION("""COMPUTED_VALUE"""),"Jones")</f>
        <v>Jones</v>
      </c>
      <c r="AA371" s="8">
        <v>7.0</v>
      </c>
      <c r="AB371" s="3">
        <f t="shared" si="7"/>
        <v>1</v>
      </c>
      <c r="AC371" s="3">
        <f t="shared" si="8"/>
        <v>0</v>
      </c>
      <c r="AD371" s="3">
        <f t="shared" si="9"/>
        <v>2.727272727</v>
      </c>
      <c r="AE371" s="3">
        <f t="shared" si="10"/>
        <v>-3</v>
      </c>
      <c r="AF371" s="3">
        <f t="shared" si="11"/>
        <v>-2</v>
      </c>
      <c r="AG371" s="3">
        <f t="shared" si="12"/>
        <v>-0.2727272727</v>
      </c>
    </row>
    <row r="372">
      <c r="A372" s="1" t="s">
        <v>12</v>
      </c>
      <c r="B372" s="1" t="s">
        <v>568</v>
      </c>
      <c r="C372" s="1" t="s">
        <v>19</v>
      </c>
      <c r="D372" s="1" t="s">
        <v>147</v>
      </c>
      <c r="E372" s="1" t="s">
        <v>114</v>
      </c>
      <c r="F372" s="1" t="s">
        <v>658</v>
      </c>
      <c r="G372" s="1">
        <v>2.5</v>
      </c>
      <c r="H372" s="1" t="s">
        <v>60</v>
      </c>
      <c r="I372" s="1">
        <v>110.0</v>
      </c>
      <c r="J372" s="1">
        <v>-0.178237507895238</v>
      </c>
      <c r="K372" s="1" t="s">
        <v>61</v>
      </c>
      <c r="L372" s="1" t="s">
        <v>61</v>
      </c>
      <c r="M372" s="1" t="s">
        <v>62</v>
      </c>
      <c r="N372" s="1">
        <v>-145.0</v>
      </c>
      <c r="O372" s="1">
        <v>0.110216405024489</v>
      </c>
      <c r="P372" s="1" t="s">
        <v>61</v>
      </c>
      <c r="Q372" s="1" t="s">
        <v>61</v>
      </c>
      <c r="R372" s="1">
        <f t="shared" si="1"/>
        <v>0.110216405</v>
      </c>
      <c r="S372" s="1">
        <f t="shared" si="2"/>
        <v>-145</v>
      </c>
      <c r="T372" s="1">
        <f t="shared" si="3"/>
        <v>1.689655172</v>
      </c>
      <c r="U372" s="1">
        <f t="shared" si="4"/>
        <v>0</v>
      </c>
      <c r="V372" s="3">
        <f t="shared" si="5"/>
        <v>3</v>
      </c>
      <c r="W372" s="3">
        <f t="shared" si="6"/>
        <v>3</v>
      </c>
      <c r="X372" s="3" t="str">
        <f>IFERROR(__xludf.DUMMYFUNCTION("split(B372,"" "")"),"T.")</f>
        <v>T.</v>
      </c>
      <c r="Y372" s="3" t="str">
        <f>IFERROR(__xludf.DUMMYFUNCTION("""COMPUTED_VALUE"""),"Tracy")</f>
        <v>Tracy</v>
      </c>
      <c r="AA372" s="8">
        <v>1.0</v>
      </c>
      <c r="AB372" s="3">
        <f t="shared" si="7"/>
        <v>0</v>
      </c>
      <c r="AC372" s="3">
        <f t="shared" si="8"/>
        <v>1</v>
      </c>
      <c r="AD372" s="3">
        <f t="shared" si="9"/>
        <v>2.068965517</v>
      </c>
      <c r="AE372" s="3">
        <f t="shared" si="10"/>
        <v>2.068965517</v>
      </c>
      <c r="AF372" s="3">
        <f t="shared" si="11"/>
        <v>2.068965517</v>
      </c>
      <c r="AG372" s="3">
        <f t="shared" si="12"/>
        <v>0.6</v>
      </c>
    </row>
    <row r="373">
      <c r="A373" s="1" t="s">
        <v>12</v>
      </c>
      <c r="B373" s="1" t="s">
        <v>354</v>
      </c>
      <c r="C373" s="1" t="s">
        <v>18</v>
      </c>
      <c r="D373" s="1" t="s">
        <v>147</v>
      </c>
      <c r="E373" s="1" t="s">
        <v>114</v>
      </c>
      <c r="F373" s="1" t="s">
        <v>658</v>
      </c>
      <c r="G373" s="1">
        <v>5.5</v>
      </c>
      <c r="H373" s="1" t="s">
        <v>60</v>
      </c>
      <c r="I373" s="1">
        <v>123.0</v>
      </c>
      <c r="J373" s="1">
        <v>0.0986695067264574</v>
      </c>
      <c r="K373" s="1" t="s">
        <v>61</v>
      </c>
      <c r="L373" s="1" t="s">
        <v>61</v>
      </c>
      <c r="M373" s="1" t="s">
        <v>62</v>
      </c>
      <c r="N373" s="1">
        <v>-162.0</v>
      </c>
      <c r="O373" s="1">
        <v>-0.165420610687022</v>
      </c>
      <c r="P373" s="1" t="s">
        <v>61</v>
      </c>
      <c r="Q373" s="1" t="s">
        <v>61</v>
      </c>
      <c r="R373" s="1">
        <f t="shared" si="1"/>
        <v>0.09866950673</v>
      </c>
      <c r="S373" s="1">
        <f t="shared" si="2"/>
        <v>123</v>
      </c>
      <c r="T373" s="1">
        <f t="shared" si="3"/>
        <v>2.23</v>
      </c>
      <c r="U373" s="1">
        <f t="shared" si="4"/>
        <v>1</v>
      </c>
      <c r="V373" s="3">
        <f t="shared" si="5"/>
        <v>2</v>
      </c>
      <c r="W373" s="3">
        <f t="shared" si="6"/>
        <v>1</v>
      </c>
      <c r="X373" s="3" t="str">
        <f>IFERROR(__xludf.DUMMYFUNCTION("split(B373,"" "")"),"W.")</f>
        <v>W.</v>
      </c>
      <c r="Y373" s="3" t="str">
        <f>IFERROR(__xludf.DUMMYFUNCTION("""COMPUTED_VALUE"""),"Robinson")</f>
        <v>Robinson</v>
      </c>
      <c r="AA373" s="8">
        <v>3.0</v>
      </c>
      <c r="AB373" s="3">
        <f t="shared" si="7"/>
        <v>0</v>
      </c>
      <c r="AC373" s="3">
        <f t="shared" si="8"/>
        <v>0</v>
      </c>
      <c r="AD373" s="3">
        <f t="shared" si="9"/>
        <v>2.46</v>
      </c>
      <c r="AE373" s="3">
        <f t="shared" si="10"/>
        <v>-2</v>
      </c>
      <c r="AF373" s="3">
        <f t="shared" si="11"/>
        <v>-1</v>
      </c>
      <c r="AG373" s="3">
        <f t="shared" si="12"/>
        <v>-0.4545454545</v>
      </c>
    </row>
    <row r="374">
      <c r="A374" s="1" t="s">
        <v>12</v>
      </c>
      <c r="B374" s="1" t="s">
        <v>483</v>
      </c>
      <c r="C374" s="1" t="s">
        <v>18</v>
      </c>
      <c r="D374" s="1" t="s">
        <v>147</v>
      </c>
      <c r="E374" s="1" t="s">
        <v>114</v>
      </c>
      <c r="F374" s="1" t="s">
        <v>658</v>
      </c>
      <c r="G374" s="1">
        <v>3.5</v>
      </c>
      <c r="H374" s="1" t="s">
        <v>60</v>
      </c>
      <c r="I374" s="1">
        <v>123.0</v>
      </c>
      <c r="J374" s="1">
        <v>-0.144120179372197</v>
      </c>
      <c r="K374" s="1" t="s">
        <v>61</v>
      </c>
      <c r="L374" s="1" t="s">
        <v>61</v>
      </c>
      <c r="M374" s="1" t="s">
        <v>62</v>
      </c>
      <c r="N374" s="1">
        <v>-162.0</v>
      </c>
      <c r="O374" s="1">
        <v>0.0773557251908397</v>
      </c>
      <c r="P374" s="1" t="s">
        <v>61</v>
      </c>
      <c r="Q374" s="1" t="s">
        <v>61</v>
      </c>
      <c r="R374" s="1">
        <f t="shared" si="1"/>
        <v>0.07735572519</v>
      </c>
      <c r="S374" s="1">
        <f t="shared" si="2"/>
        <v>-162</v>
      </c>
      <c r="T374" s="1">
        <f t="shared" si="3"/>
        <v>1.617283951</v>
      </c>
      <c r="U374" s="1">
        <f t="shared" si="4"/>
        <v>0</v>
      </c>
      <c r="V374" s="3">
        <f t="shared" si="5"/>
        <v>2</v>
      </c>
      <c r="W374" s="3">
        <f t="shared" si="6"/>
        <v>3</v>
      </c>
      <c r="X374" s="3" t="str">
        <f>IFERROR(__xludf.DUMMYFUNCTION("split(B374,"" "")"),"D.")</f>
        <v>D.</v>
      </c>
      <c r="Y374" s="3" t="str">
        <f>IFERROR(__xludf.DUMMYFUNCTION("""COMPUTED_VALUE"""),"Slayton")</f>
        <v>Slayton</v>
      </c>
      <c r="AA374" s="8">
        <v>3.0</v>
      </c>
      <c r="AB374" s="3">
        <f t="shared" si="7"/>
        <v>0</v>
      </c>
      <c r="AC374" s="3">
        <f t="shared" si="8"/>
        <v>1</v>
      </c>
      <c r="AD374" s="3">
        <f t="shared" si="9"/>
        <v>1.234567901</v>
      </c>
      <c r="AE374" s="3">
        <f t="shared" si="10"/>
        <v>1.234567901</v>
      </c>
      <c r="AF374" s="3">
        <f t="shared" si="11"/>
        <v>1.851851852</v>
      </c>
      <c r="AG374" s="3">
        <f t="shared" si="12"/>
        <v>0.1428571429</v>
      </c>
    </row>
    <row r="375">
      <c r="A375" s="1" t="s">
        <v>8</v>
      </c>
      <c r="B375" s="1" t="s">
        <v>568</v>
      </c>
      <c r="C375" s="1" t="s">
        <v>19</v>
      </c>
      <c r="D375" s="1" t="s">
        <v>147</v>
      </c>
      <c r="E375" s="1" t="s">
        <v>114</v>
      </c>
      <c r="F375" s="1" t="s">
        <v>658</v>
      </c>
      <c r="G375" s="1">
        <v>14.5</v>
      </c>
      <c r="H375" s="1" t="s">
        <v>60</v>
      </c>
      <c r="I375" s="1">
        <v>-102.0</v>
      </c>
      <c r="J375" s="1">
        <v>-0.14064770290198</v>
      </c>
      <c r="K375" s="1" t="s">
        <v>61</v>
      </c>
      <c r="L375" s="1" t="s">
        <v>61</v>
      </c>
      <c r="M375" s="1" t="s">
        <v>62</v>
      </c>
      <c r="N375" s="1">
        <v>-129.0</v>
      </c>
      <c r="O375" s="1">
        <v>0.0723780455117817</v>
      </c>
      <c r="P375" s="1" t="s">
        <v>61</v>
      </c>
      <c r="Q375" s="1" t="s">
        <v>61</v>
      </c>
      <c r="R375" s="1">
        <f t="shared" si="1"/>
        <v>0.07237804551</v>
      </c>
      <c r="S375" s="1">
        <f t="shared" si="2"/>
        <v>-129</v>
      </c>
      <c r="T375" s="1">
        <f t="shared" si="3"/>
        <v>1.775193798</v>
      </c>
      <c r="U375" s="1">
        <f t="shared" si="4"/>
        <v>0</v>
      </c>
      <c r="V375" s="3">
        <f t="shared" si="5"/>
        <v>2</v>
      </c>
      <c r="W375" s="3">
        <f t="shared" si="6"/>
        <v>3</v>
      </c>
      <c r="X375" s="3" t="str">
        <f>IFERROR(__xludf.DUMMYFUNCTION("split(B375,"" "")"),"T.")</f>
        <v>T.</v>
      </c>
      <c r="Y375" s="3" t="str">
        <f>IFERROR(__xludf.DUMMYFUNCTION("""COMPUTED_VALUE"""),"Tracy")</f>
        <v>Tracy</v>
      </c>
      <c r="AA375" s="8">
        <v>16.0</v>
      </c>
      <c r="AB375" s="3">
        <f t="shared" si="7"/>
        <v>1</v>
      </c>
      <c r="AC375" s="3">
        <f t="shared" si="8"/>
        <v>0</v>
      </c>
      <c r="AD375" s="3">
        <f t="shared" si="9"/>
        <v>1.550387597</v>
      </c>
      <c r="AE375" s="3">
        <f t="shared" si="10"/>
        <v>-2</v>
      </c>
      <c r="AF375" s="3">
        <f t="shared" si="11"/>
        <v>-3</v>
      </c>
      <c r="AG375" s="3">
        <f t="shared" si="12"/>
        <v>-0.1034482759</v>
      </c>
    </row>
    <row r="376">
      <c r="A376" s="1" t="s">
        <v>14</v>
      </c>
      <c r="B376" s="1" t="s">
        <v>260</v>
      </c>
      <c r="C376" s="1" t="s">
        <v>21</v>
      </c>
      <c r="D376" s="1" t="s">
        <v>147</v>
      </c>
      <c r="E376" s="1" t="s">
        <v>114</v>
      </c>
      <c r="F376" s="1" t="s">
        <v>658</v>
      </c>
      <c r="G376" s="1">
        <v>1.5</v>
      </c>
      <c r="H376" s="1" t="s">
        <v>60</v>
      </c>
      <c r="I376" s="1">
        <v>198.0</v>
      </c>
      <c r="J376" s="1">
        <v>0.0691295302013423</v>
      </c>
      <c r="K376" s="1" t="s">
        <v>61</v>
      </c>
      <c r="L376" s="1" t="s">
        <v>61</v>
      </c>
      <c r="M376" s="1" t="s">
        <v>62</v>
      </c>
      <c r="N376" s="1">
        <v>-265.0</v>
      </c>
      <c r="O376" s="1">
        <v>-0.130727397260274</v>
      </c>
      <c r="P376" s="1" t="s">
        <v>61</v>
      </c>
      <c r="Q376" s="1" t="s">
        <v>61</v>
      </c>
      <c r="R376" s="1">
        <f t="shared" si="1"/>
        <v>0.0691295302</v>
      </c>
      <c r="S376" s="1">
        <f t="shared" si="2"/>
        <v>198</v>
      </c>
      <c r="T376" s="1">
        <f t="shared" si="3"/>
        <v>2.98</v>
      </c>
      <c r="U376" s="1">
        <f t="shared" si="4"/>
        <v>1</v>
      </c>
      <c r="V376" s="3">
        <f t="shared" si="5"/>
        <v>2</v>
      </c>
      <c r="W376" s="3">
        <f t="shared" si="6"/>
        <v>1</v>
      </c>
      <c r="X376" s="3" t="str">
        <f>IFERROR(__xludf.DUMMYFUNCTION("split(B376,"" "")"),"D.")</f>
        <v>D.</v>
      </c>
      <c r="Y376" s="3" t="str">
        <f>IFERROR(__xludf.DUMMYFUNCTION("""COMPUTED_VALUE"""),"Jones")</f>
        <v>Jones</v>
      </c>
      <c r="AA376" s="8">
        <v>2.0</v>
      </c>
      <c r="AB376" s="3">
        <f t="shared" si="7"/>
        <v>1</v>
      </c>
      <c r="AC376" s="3">
        <f t="shared" si="8"/>
        <v>1</v>
      </c>
      <c r="AD376" s="3">
        <f t="shared" si="9"/>
        <v>3.96</v>
      </c>
      <c r="AE376" s="3">
        <f t="shared" si="10"/>
        <v>3.96</v>
      </c>
      <c r="AF376" s="3">
        <f t="shared" si="11"/>
        <v>1.98</v>
      </c>
      <c r="AG376" s="3">
        <f t="shared" si="12"/>
        <v>0.3333333333</v>
      </c>
    </row>
    <row r="377">
      <c r="A377" s="1" t="s">
        <v>9</v>
      </c>
      <c r="B377" s="1" t="s">
        <v>568</v>
      </c>
      <c r="C377" s="1" t="s">
        <v>19</v>
      </c>
      <c r="D377" s="1" t="s">
        <v>147</v>
      </c>
      <c r="E377" s="1" t="s">
        <v>114</v>
      </c>
      <c r="F377" s="1" t="s">
        <v>658</v>
      </c>
      <c r="G377" s="1">
        <v>80.5</v>
      </c>
      <c r="H377" s="1" t="s">
        <v>60</v>
      </c>
      <c r="I377" s="1">
        <v>-119.0</v>
      </c>
      <c r="J377" s="1">
        <v>-0.14058820812671</v>
      </c>
      <c r="K377" s="1" t="s">
        <v>61</v>
      </c>
      <c r="L377" s="1" t="s">
        <v>61</v>
      </c>
      <c r="M377" s="1" t="s">
        <v>62</v>
      </c>
      <c r="N377" s="1">
        <v>-113.0</v>
      </c>
      <c r="O377" s="1">
        <v>0.0667266378643993</v>
      </c>
      <c r="P377" s="1" t="s">
        <v>61</v>
      </c>
      <c r="Q377" s="1" t="s">
        <v>61</v>
      </c>
      <c r="R377" s="1">
        <f t="shared" si="1"/>
        <v>0.06672663786</v>
      </c>
      <c r="S377" s="1">
        <f t="shared" si="2"/>
        <v>-113</v>
      </c>
      <c r="T377" s="1">
        <f t="shared" si="3"/>
        <v>1.884955752</v>
      </c>
      <c r="U377" s="1">
        <f t="shared" si="4"/>
        <v>0</v>
      </c>
      <c r="V377" s="3">
        <f t="shared" si="5"/>
        <v>2</v>
      </c>
      <c r="W377" s="3">
        <f t="shared" si="6"/>
        <v>2</v>
      </c>
      <c r="X377" s="3" t="str">
        <f>IFERROR(__xludf.DUMMYFUNCTION("split(B377,"" "")"),"T.")</f>
        <v>T.</v>
      </c>
      <c r="Y377" s="3" t="str">
        <f>IFERROR(__xludf.DUMMYFUNCTION("""COMPUTED_VALUE"""),"Tracy")</f>
        <v>Tracy</v>
      </c>
      <c r="AA377" s="8">
        <v>69.0</v>
      </c>
      <c r="AB377" s="3">
        <f t="shared" si="7"/>
        <v>0</v>
      </c>
      <c r="AC377" s="3">
        <f t="shared" si="8"/>
        <v>1</v>
      </c>
      <c r="AD377" s="3">
        <f t="shared" si="9"/>
        <v>1.769911504</v>
      </c>
      <c r="AE377" s="3">
        <f t="shared" si="10"/>
        <v>1.769911504</v>
      </c>
      <c r="AF377" s="3">
        <f t="shared" si="11"/>
        <v>1.769911504</v>
      </c>
      <c r="AG377" s="3">
        <f t="shared" si="12"/>
        <v>0.1428571429</v>
      </c>
    </row>
    <row r="378">
      <c r="A378" s="1" t="s">
        <v>11</v>
      </c>
      <c r="B378" s="1" t="s">
        <v>483</v>
      </c>
      <c r="C378" s="1" t="s">
        <v>18</v>
      </c>
      <c r="D378" s="1" t="s">
        <v>147</v>
      </c>
      <c r="E378" s="1" t="s">
        <v>114</v>
      </c>
      <c r="F378" s="1" t="s">
        <v>658</v>
      </c>
      <c r="G378" s="1">
        <v>37.5</v>
      </c>
      <c r="H378" s="1" t="s">
        <v>60</v>
      </c>
      <c r="I378" s="1">
        <v>-116.0</v>
      </c>
      <c r="J378" s="1">
        <v>-0.124395051616203</v>
      </c>
      <c r="K378" s="1" t="s">
        <v>61</v>
      </c>
      <c r="L378" s="1" t="s">
        <v>61</v>
      </c>
      <c r="M378" s="1" t="s">
        <v>62</v>
      </c>
      <c r="N378" s="1">
        <v>-114.0</v>
      </c>
      <c r="O378" s="1">
        <v>0.0547003038121404</v>
      </c>
      <c r="P378" s="1" t="s">
        <v>61</v>
      </c>
      <c r="Q378" s="1" t="s">
        <v>61</v>
      </c>
      <c r="R378" s="1">
        <f t="shared" si="1"/>
        <v>0.05470030381</v>
      </c>
      <c r="S378" s="1">
        <f t="shared" si="2"/>
        <v>-114</v>
      </c>
      <c r="T378" s="1">
        <f t="shared" si="3"/>
        <v>1.877192982</v>
      </c>
      <c r="U378" s="1">
        <f t="shared" si="4"/>
        <v>0</v>
      </c>
      <c r="V378" s="3">
        <f t="shared" si="5"/>
        <v>2</v>
      </c>
      <c r="W378" s="3">
        <f t="shared" si="6"/>
        <v>2</v>
      </c>
      <c r="X378" s="3" t="str">
        <f>IFERROR(__xludf.DUMMYFUNCTION("split(B378,"" "")"),"D.")</f>
        <v>D.</v>
      </c>
      <c r="Y378" s="3" t="str">
        <f>IFERROR(__xludf.DUMMYFUNCTION("""COMPUTED_VALUE"""),"Slayton")</f>
        <v>Slayton</v>
      </c>
      <c r="AA378" s="8">
        <v>49.0</v>
      </c>
      <c r="AB378" s="3">
        <f t="shared" si="7"/>
        <v>1</v>
      </c>
      <c r="AC378" s="3">
        <f t="shared" si="8"/>
        <v>0</v>
      </c>
      <c r="AD378" s="3">
        <f t="shared" si="9"/>
        <v>1.754385965</v>
      </c>
      <c r="AE378" s="3">
        <f t="shared" si="10"/>
        <v>-2</v>
      </c>
      <c r="AF378" s="3">
        <f t="shared" si="11"/>
        <v>-2</v>
      </c>
      <c r="AG378" s="3">
        <f t="shared" si="12"/>
        <v>-0.3066666667</v>
      </c>
    </row>
    <row r="379">
      <c r="A379" s="1" t="s">
        <v>10</v>
      </c>
      <c r="B379" s="1" t="s">
        <v>568</v>
      </c>
      <c r="C379" s="1" t="s">
        <v>19</v>
      </c>
      <c r="D379" s="1" t="s">
        <v>147</v>
      </c>
      <c r="E379" s="1" t="s">
        <v>114</v>
      </c>
      <c r="F379" s="1" t="s">
        <v>658</v>
      </c>
      <c r="G379" s="1">
        <v>60.5</v>
      </c>
      <c r="H379" s="1" t="s">
        <v>60</v>
      </c>
      <c r="I379" s="1">
        <v>-118.0</v>
      </c>
      <c r="J379" s="1">
        <v>-0.105226650063145</v>
      </c>
      <c r="K379" s="1" t="s">
        <v>61</v>
      </c>
      <c r="L379" s="1" t="s">
        <v>61</v>
      </c>
      <c r="M379" s="1" t="s">
        <v>62</v>
      </c>
      <c r="N379" s="1">
        <v>-111.0</v>
      </c>
      <c r="O379" s="1">
        <v>0.0378811772757272</v>
      </c>
      <c r="P379" s="1" t="s">
        <v>61</v>
      </c>
      <c r="Q379" s="1" t="s">
        <v>61</v>
      </c>
      <c r="R379" s="1">
        <f t="shared" si="1"/>
        <v>0.03788117728</v>
      </c>
      <c r="S379" s="1">
        <f t="shared" si="2"/>
        <v>-111</v>
      </c>
      <c r="T379" s="1">
        <f t="shared" si="3"/>
        <v>1.900900901</v>
      </c>
      <c r="U379" s="1">
        <f t="shared" si="4"/>
        <v>0</v>
      </c>
      <c r="V379" s="3">
        <f t="shared" si="5"/>
        <v>1</v>
      </c>
      <c r="W379" s="3">
        <f t="shared" si="6"/>
        <v>2</v>
      </c>
      <c r="X379" s="3" t="str">
        <f>IFERROR(__xludf.DUMMYFUNCTION("split(B379,"" "")"),"T.")</f>
        <v>T.</v>
      </c>
      <c r="Y379" s="3" t="str">
        <f>IFERROR(__xludf.DUMMYFUNCTION("""COMPUTED_VALUE"""),"Tracy")</f>
        <v>Tracy</v>
      </c>
      <c r="AA379" s="8">
        <v>66.0</v>
      </c>
      <c r="AB379" s="3">
        <f t="shared" si="7"/>
        <v>1</v>
      </c>
      <c r="AC379" s="3">
        <f t="shared" si="8"/>
        <v>0</v>
      </c>
      <c r="AD379" s="3">
        <f t="shared" si="9"/>
        <v>0.9009009009</v>
      </c>
      <c r="AE379" s="3">
        <f t="shared" si="10"/>
        <v>-1</v>
      </c>
      <c r="AF379" s="3">
        <f t="shared" si="11"/>
        <v>-2</v>
      </c>
      <c r="AG379" s="3">
        <f t="shared" si="12"/>
        <v>-0.09090909091</v>
      </c>
    </row>
    <row r="380">
      <c r="A380" s="1" t="s">
        <v>9</v>
      </c>
      <c r="B380" s="1" t="s">
        <v>354</v>
      </c>
      <c r="C380" s="1" t="s">
        <v>18</v>
      </c>
      <c r="D380" s="1" t="s">
        <v>147</v>
      </c>
      <c r="E380" s="1" t="s">
        <v>114</v>
      </c>
      <c r="F380" s="1" t="s">
        <v>658</v>
      </c>
      <c r="G380" s="1">
        <v>37.5</v>
      </c>
      <c r="H380" s="1" t="s">
        <v>60</v>
      </c>
      <c r="I380" s="1">
        <v>-118.0</v>
      </c>
      <c r="J380" s="1">
        <v>0.0237336521489421</v>
      </c>
      <c r="K380" s="1" t="s">
        <v>61</v>
      </c>
      <c r="L380" s="1" t="s">
        <v>61</v>
      </c>
      <c r="M380" s="1" t="s">
        <v>62</v>
      </c>
      <c r="N380" s="1">
        <v>-114.0</v>
      </c>
      <c r="O380" s="1">
        <v>-0.097666725383435</v>
      </c>
      <c r="P380" s="1" t="s">
        <v>61</v>
      </c>
      <c r="Q380" s="1" t="s">
        <v>61</v>
      </c>
      <c r="R380" s="1">
        <f t="shared" si="1"/>
        <v>0.02373365215</v>
      </c>
      <c r="S380" s="1">
        <f t="shared" si="2"/>
        <v>-118</v>
      </c>
      <c r="T380" s="1">
        <f t="shared" si="3"/>
        <v>1.847457627</v>
      </c>
      <c r="U380" s="1">
        <f t="shared" si="4"/>
        <v>1</v>
      </c>
      <c r="V380" s="3">
        <f t="shared" si="5"/>
        <v>1</v>
      </c>
      <c r="W380" s="3">
        <f t="shared" si="6"/>
        <v>3</v>
      </c>
      <c r="X380" s="3" t="str">
        <f>IFERROR(__xludf.DUMMYFUNCTION("split(B380,"" "")"),"W.")</f>
        <v>W.</v>
      </c>
      <c r="Y380" s="3" t="str">
        <f>IFERROR(__xludf.DUMMYFUNCTION("""COMPUTED_VALUE"""),"Robinson")</f>
        <v>Robinson</v>
      </c>
      <c r="AA380" s="8">
        <v>10.0</v>
      </c>
      <c r="AB380" s="3">
        <f t="shared" si="7"/>
        <v>0</v>
      </c>
      <c r="AC380" s="3">
        <f t="shared" si="8"/>
        <v>0</v>
      </c>
      <c r="AD380" s="3">
        <f t="shared" si="9"/>
        <v>0.8474576271</v>
      </c>
      <c r="AE380" s="3">
        <f t="shared" si="10"/>
        <v>-1</v>
      </c>
      <c r="AF380" s="3">
        <f t="shared" si="11"/>
        <v>-3</v>
      </c>
      <c r="AG380" s="3">
        <f t="shared" si="12"/>
        <v>-0.7333333333</v>
      </c>
    </row>
    <row r="381">
      <c r="A381" s="1" t="s">
        <v>10</v>
      </c>
      <c r="B381" s="1" t="s">
        <v>260</v>
      </c>
      <c r="C381" s="1" t="s">
        <v>21</v>
      </c>
      <c r="D381" s="1" t="s">
        <v>147</v>
      </c>
      <c r="E381" s="1" t="s">
        <v>114</v>
      </c>
      <c r="F381" s="1" t="s">
        <v>658</v>
      </c>
      <c r="G381" s="1">
        <v>27.5</v>
      </c>
      <c r="H381" s="1" t="s">
        <v>60</v>
      </c>
      <c r="I381" s="1">
        <v>-115.0</v>
      </c>
      <c r="J381" s="1">
        <v>-0.076225391552934</v>
      </c>
      <c r="K381" s="1" t="s">
        <v>61</v>
      </c>
      <c r="L381" s="1" t="s">
        <v>61</v>
      </c>
      <c r="M381" s="1" t="s">
        <v>62</v>
      </c>
      <c r="N381" s="1">
        <v>-114.0</v>
      </c>
      <c r="O381" s="1">
        <v>0.00863744611973893</v>
      </c>
      <c r="P381" s="1" t="s">
        <v>61</v>
      </c>
      <c r="Q381" s="1" t="s">
        <v>61</v>
      </c>
      <c r="R381" s="1">
        <f t="shared" si="1"/>
        <v>0.00863744612</v>
      </c>
      <c r="S381" s="1">
        <f t="shared" si="2"/>
        <v>-114</v>
      </c>
      <c r="T381" s="1">
        <f t="shared" si="3"/>
        <v>1.877192982</v>
      </c>
      <c r="U381" s="1">
        <f t="shared" si="4"/>
        <v>0</v>
      </c>
      <c r="V381" s="3">
        <f t="shared" si="5"/>
        <v>1</v>
      </c>
      <c r="W381" s="3">
        <f t="shared" si="6"/>
        <v>2</v>
      </c>
      <c r="X381" s="3" t="str">
        <f>IFERROR(__xludf.DUMMYFUNCTION("split(B381,"" "")"),"D.")</f>
        <v>D.</v>
      </c>
      <c r="Y381" s="3" t="str">
        <f>IFERROR(__xludf.DUMMYFUNCTION("""COMPUTED_VALUE"""),"Jones")</f>
        <v>Jones</v>
      </c>
      <c r="AA381" s="8">
        <v>54.0</v>
      </c>
      <c r="AB381" s="3">
        <f t="shared" si="7"/>
        <v>1</v>
      </c>
      <c r="AC381" s="3">
        <f t="shared" si="8"/>
        <v>0</v>
      </c>
      <c r="AD381" s="3">
        <f t="shared" si="9"/>
        <v>0.8771929825</v>
      </c>
      <c r="AE381" s="3">
        <f t="shared" si="10"/>
        <v>-1</v>
      </c>
      <c r="AF381" s="3">
        <f t="shared" si="11"/>
        <v>-2</v>
      </c>
      <c r="AG381" s="3">
        <f t="shared" si="12"/>
        <v>-0.9636363636</v>
      </c>
    </row>
    <row r="382">
      <c r="A382" s="1" t="s">
        <v>13</v>
      </c>
      <c r="B382" s="1" t="s">
        <v>260</v>
      </c>
      <c r="C382" s="1" t="s">
        <v>21</v>
      </c>
      <c r="D382" s="1" t="s">
        <v>147</v>
      </c>
      <c r="E382" s="1" t="s">
        <v>114</v>
      </c>
      <c r="F382" s="1" t="s">
        <v>658</v>
      </c>
      <c r="G382" s="1">
        <v>203.5</v>
      </c>
      <c r="H382" s="1" t="s">
        <v>60</v>
      </c>
      <c r="I382" s="1">
        <v>-112.0</v>
      </c>
      <c r="J382" s="1">
        <v>0.00450841372641486</v>
      </c>
      <c r="K382" s="1" t="s">
        <v>61</v>
      </c>
      <c r="L382" s="1" t="s">
        <v>61</v>
      </c>
      <c r="M382" s="1" t="s">
        <v>62</v>
      </c>
      <c r="N382" s="1">
        <v>-117.0</v>
      </c>
      <c r="O382" s="1">
        <v>-0.0718678476529952</v>
      </c>
      <c r="P382" s="1" t="s">
        <v>61</v>
      </c>
      <c r="Q382" s="1" t="s">
        <v>61</v>
      </c>
      <c r="R382" s="1">
        <f t="shared" si="1"/>
        <v>0.004508413726</v>
      </c>
      <c r="S382" s="1">
        <f t="shared" si="2"/>
        <v>-112</v>
      </c>
      <c r="T382" s="1">
        <f t="shared" si="3"/>
        <v>1.892857143</v>
      </c>
      <c r="U382" s="1">
        <f t="shared" si="4"/>
        <v>1</v>
      </c>
      <c r="V382" s="3">
        <f t="shared" si="5"/>
        <v>1</v>
      </c>
      <c r="W382" s="3">
        <f t="shared" si="6"/>
        <v>2</v>
      </c>
      <c r="X382" s="3" t="str">
        <f>IFERROR(__xludf.DUMMYFUNCTION("split(B382,"" "")"),"D.")</f>
        <v>D.</v>
      </c>
      <c r="Y382" s="3" t="str">
        <f>IFERROR(__xludf.DUMMYFUNCTION("""COMPUTED_VALUE"""),"Jones")</f>
        <v>Jones</v>
      </c>
      <c r="AA382" s="8">
        <v>174.0</v>
      </c>
      <c r="AB382" s="3">
        <f t="shared" si="7"/>
        <v>0</v>
      </c>
      <c r="AC382" s="3">
        <f t="shared" si="8"/>
        <v>0</v>
      </c>
      <c r="AD382" s="3">
        <f t="shared" si="9"/>
        <v>0.8928571429</v>
      </c>
      <c r="AE382" s="3">
        <f t="shared" si="10"/>
        <v>-1</v>
      </c>
      <c r="AF382" s="3">
        <f t="shared" si="11"/>
        <v>-2</v>
      </c>
      <c r="AG382" s="3">
        <f t="shared" si="12"/>
        <v>-0.144963145</v>
      </c>
    </row>
    <row r="383">
      <c r="A383" s="1" t="s">
        <v>12</v>
      </c>
      <c r="B383" s="1" t="s">
        <v>305</v>
      </c>
      <c r="C383" s="1" t="s">
        <v>20</v>
      </c>
      <c r="D383" s="1" t="s">
        <v>165</v>
      </c>
      <c r="E383" s="1" t="s">
        <v>72</v>
      </c>
      <c r="F383" s="1" t="s">
        <v>663</v>
      </c>
      <c r="G383" s="1">
        <v>2.5</v>
      </c>
      <c r="H383" s="1" t="s">
        <v>60</v>
      </c>
      <c r="I383" s="1">
        <v>-149.0</v>
      </c>
      <c r="J383" s="1">
        <v>-0.265152099919678</v>
      </c>
      <c r="K383" s="1" t="s">
        <v>61</v>
      </c>
      <c r="L383" s="1" t="s">
        <v>61</v>
      </c>
      <c r="M383" s="1" t="s">
        <v>62</v>
      </c>
      <c r="N383" s="1">
        <v>113.0</v>
      </c>
      <c r="O383" s="1">
        <v>0.197267947793427</v>
      </c>
      <c r="P383" s="1" t="s">
        <v>61</v>
      </c>
      <c r="Q383" s="1" t="s">
        <v>61</v>
      </c>
      <c r="R383" s="1">
        <f t="shared" si="1"/>
        <v>0.1972679478</v>
      </c>
      <c r="S383" s="1">
        <f t="shared" si="2"/>
        <v>113</v>
      </c>
      <c r="T383" s="1">
        <f t="shared" si="3"/>
        <v>2.13</v>
      </c>
      <c r="U383" s="1">
        <f t="shared" si="4"/>
        <v>0</v>
      </c>
      <c r="V383" s="3">
        <f t="shared" si="5"/>
        <v>3</v>
      </c>
      <c r="W383" s="3">
        <f t="shared" si="6"/>
        <v>1</v>
      </c>
      <c r="X383" s="3" t="str">
        <f>IFERROR(__xludf.DUMMYFUNCTION("split(B383,"" "")"),"T.")</f>
        <v>T.</v>
      </c>
      <c r="Y383" s="3" t="str">
        <f>IFERROR(__xludf.DUMMYFUNCTION("""COMPUTED_VALUE"""),"Conklin")</f>
        <v>Conklin</v>
      </c>
      <c r="AA383" s="8">
        <v>1.0</v>
      </c>
      <c r="AB383" s="3">
        <f t="shared" si="7"/>
        <v>0</v>
      </c>
      <c r="AC383" s="3">
        <f t="shared" si="8"/>
        <v>1</v>
      </c>
      <c r="AD383" s="3">
        <f t="shared" si="9"/>
        <v>3.39</v>
      </c>
      <c r="AE383" s="3">
        <f t="shared" si="10"/>
        <v>3.39</v>
      </c>
      <c r="AF383" s="3">
        <f t="shared" si="11"/>
        <v>1.13</v>
      </c>
      <c r="AG383" s="3">
        <f t="shared" si="12"/>
        <v>0.6</v>
      </c>
    </row>
    <row r="384">
      <c r="A384" s="1" t="s">
        <v>10</v>
      </c>
      <c r="B384" s="1" t="s">
        <v>330</v>
      </c>
      <c r="C384" s="1" t="s">
        <v>21</v>
      </c>
      <c r="D384" s="1" t="s">
        <v>165</v>
      </c>
      <c r="E384" s="1" t="s">
        <v>72</v>
      </c>
      <c r="F384" s="1" t="s">
        <v>663</v>
      </c>
      <c r="G384" s="1">
        <v>0.5</v>
      </c>
      <c r="H384" s="1" t="s">
        <v>60</v>
      </c>
      <c r="I384" s="1">
        <v>-101.0</v>
      </c>
      <c r="J384" s="1">
        <v>0.164311418504652</v>
      </c>
      <c r="K384" s="1" t="s">
        <v>61</v>
      </c>
      <c r="L384" s="1" t="s">
        <v>61</v>
      </c>
      <c r="M384" s="1" t="s">
        <v>62</v>
      </c>
      <c r="N384" s="1">
        <v>-129.0</v>
      </c>
      <c r="O384" s="1">
        <v>-0.230104396087648</v>
      </c>
      <c r="P384" s="1" t="s">
        <v>61</v>
      </c>
      <c r="Q384" s="1" t="s">
        <v>61</v>
      </c>
      <c r="R384" s="1">
        <f t="shared" si="1"/>
        <v>0.1643114185</v>
      </c>
      <c r="S384" s="1">
        <f t="shared" si="2"/>
        <v>-101</v>
      </c>
      <c r="T384" s="1">
        <f t="shared" si="3"/>
        <v>1.99009901</v>
      </c>
      <c r="U384" s="1">
        <f t="shared" si="4"/>
        <v>1</v>
      </c>
      <c r="V384" s="3">
        <f t="shared" si="5"/>
        <v>3</v>
      </c>
      <c r="W384" s="3">
        <f t="shared" si="6"/>
        <v>2</v>
      </c>
      <c r="X384" s="3" t="str">
        <f>IFERROR(__xludf.DUMMYFUNCTION("split(B384,"" "")"),"A.")</f>
        <v>A.</v>
      </c>
      <c r="Y384" s="3" t="str">
        <f>IFERROR(__xludf.DUMMYFUNCTION("""COMPUTED_VALUE"""),"Rodgers")</f>
        <v>Rodgers</v>
      </c>
      <c r="AA384" s="8">
        <v>-1.0</v>
      </c>
      <c r="AB384" s="3">
        <f t="shared" si="7"/>
        <v>0</v>
      </c>
      <c r="AC384" s="3">
        <f t="shared" si="8"/>
        <v>0</v>
      </c>
      <c r="AD384" s="3">
        <f t="shared" si="9"/>
        <v>2.97029703</v>
      </c>
      <c r="AE384" s="3">
        <f t="shared" si="10"/>
        <v>-3</v>
      </c>
      <c r="AF384" s="3">
        <f t="shared" si="11"/>
        <v>-2</v>
      </c>
      <c r="AG384" s="3">
        <f t="shared" si="12"/>
        <v>-3</v>
      </c>
    </row>
    <row r="385">
      <c r="A385" s="1" t="s">
        <v>8</v>
      </c>
      <c r="B385" s="1" t="s">
        <v>554</v>
      </c>
      <c r="C385" s="1" t="s">
        <v>19</v>
      </c>
      <c r="D385" s="1" t="s">
        <v>165</v>
      </c>
      <c r="E385" s="1" t="s">
        <v>72</v>
      </c>
      <c r="F385" s="1" t="s">
        <v>663</v>
      </c>
      <c r="G385" s="1">
        <v>5.5</v>
      </c>
      <c r="H385" s="1" t="s">
        <v>60</v>
      </c>
      <c r="I385" s="1">
        <v>-150.0</v>
      </c>
      <c r="J385" s="1">
        <v>-0.225455104040002</v>
      </c>
      <c r="K385" s="1" t="s">
        <v>61</v>
      </c>
      <c r="L385" s="1" t="s">
        <v>61</v>
      </c>
      <c r="M385" s="1" t="s">
        <v>62</v>
      </c>
      <c r="N385" s="1">
        <v>115.0</v>
      </c>
      <c r="O385" s="1">
        <v>0.160331516325584</v>
      </c>
      <c r="P385" s="1" t="s">
        <v>61</v>
      </c>
      <c r="Q385" s="1" t="s">
        <v>61</v>
      </c>
      <c r="R385" s="1">
        <f t="shared" si="1"/>
        <v>0.1603315163</v>
      </c>
      <c r="S385" s="1">
        <f t="shared" si="2"/>
        <v>115</v>
      </c>
      <c r="T385" s="1">
        <f t="shared" si="3"/>
        <v>2.15</v>
      </c>
      <c r="U385" s="1">
        <f t="shared" si="4"/>
        <v>0</v>
      </c>
      <c r="V385" s="3">
        <f t="shared" si="5"/>
        <v>3</v>
      </c>
      <c r="W385" s="3">
        <f t="shared" si="6"/>
        <v>1</v>
      </c>
      <c r="X385" s="3" t="str">
        <f>IFERROR(__xludf.DUMMYFUNCTION("split(B385,"" "")"),"B.")</f>
        <v>B.</v>
      </c>
      <c r="Y385" s="3" t="str">
        <f>IFERROR(__xludf.DUMMYFUNCTION("""COMPUTED_VALUE"""),"Allen")</f>
        <v>Allen</v>
      </c>
      <c r="AA385" s="8">
        <v>4.0</v>
      </c>
      <c r="AB385" s="3">
        <f t="shared" si="7"/>
        <v>0</v>
      </c>
      <c r="AC385" s="3">
        <f t="shared" si="8"/>
        <v>1</v>
      </c>
      <c r="AD385" s="3">
        <f t="shared" si="9"/>
        <v>3.45</v>
      </c>
      <c r="AE385" s="3">
        <f t="shared" si="10"/>
        <v>3.45</v>
      </c>
      <c r="AF385" s="3">
        <f t="shared" si="11"/>
        <v>1.15</v>
      </c>
      <c r="AG385" s="3">
        <f t="shared" si="12"/>
        <v>0.2727272727</v>
      </c>
    </row>
    <row r="386">
      <c r="A386" s="1" t="s">
        <v>11</v>
      </c>
      <c r="B386" s="1" t="s">
        <v>503</v>
      </c>
      <c r="C386" s="1" t="s">
        <v>20</v>
      </c>
      <c r="D386" s="1" t="s">
        <v>165</v>
      </c>
      <c r="E386" s="1" t="s">
        <v>72</v>
      </c>
      <c r="F386" s="1" t="s">
        <v>663</v>
      </c>
      <c r="G386" s="1">
        <v>3.5</v>
      </c>
      <c r="H386" s="1" t="s">
        <v>60</v>
      </c>
      <c r="I386" s="1">
        <v>-112.0</v>
      </c>
      <c r="J386" s="1">
        <v>0.128740873297665</v>
      </c>
      <c r="K386" s="1" t="s">
        <v>61</v>
      </c>
      <c r="L386" s="1" t="s">
        <v>61</v>
      </c>
      <c r="M386" s="1" t="s">
        <v>62</v>
      </c>
      <c r="N386" s="1">
        <v>-113.0</v>
      </c>
      <c r="O386" s="1">
        <v>-0.187527115526707</v>
      </c>
      <c r="P386" s="1" t="s">
        <v>61</v>
      </c>
      <c r="Q386" s="1" t="s">
        <v>61</v>
      </c>
      <c r="R386" s="1">
        <f t="shared" si="1"/>
        <v>0.1287408733</v>
      </c>
      <c r="S386" s="1">
        <f t="shared" si="2"/>
        <v>-112</v>
      </c>
      <c r="T386" s="1">
        <f t="shared" si="3"/>
        <v>1.892857143</v>
      </c>
      <c r="U386" s="1">
        <f t="shared" si="4"/>
        <v>1</v>
      </c>
      <c r="V386" s="3">
        <f t="shared" si="5"/>
        <v>3</v>
      </c>
      <c r="W386" s="3">
        <f t="shared" si="6"/>
        <v>2</v>
      </c>
      <c r="X386" s="3" t="str">
        <f>IFERROR(__xludf.DUMMYFUNCTION("split(B386,"" "")"),"J.")</f>
        <v>J.</v>
      </c>
      <c r="Y386" s="3" t="str">
        <f>IFERROR(__xludf.DUMMYFUNCTION("""COMPUTED_VALUE"""),"Ruckert")</f>
        <v>Ruckert</v>
      </c>
      <c r="AA386" s="8">
        <v>4.0</v>
      </c>
      <c r="AB386" s="3">
        <f t="shared" si="7"/>
        <v>1</v>
      </c>
      <c r="AC386" s="3">
        <f t="shared" si="8"/>
        <v>1</v>
      </c>
      <c r="AD386" s="3">
        <f t="shared" si="9"/>
        <v>2.678571429</v>
      </c>
      <c r="AE386" s="3">
        <f t="shared" si="10"/>
        <v>2.678571429</v>
      </c>
      <c r="AF386" s="3">
        <f t="shared" si="11"/>
        <v>1.785714286</v>
      </c>
      <c r="AG386" s="3">
        <f t="shared" si="12"/>
        <v>0.1428571429</v>
      </c>
    </row>
    <row r="387">
      <c r="A387" s="1" t="s">
        <v>11</v>
      </c>
      <c r="B387" s="1" t="s">
        <v>554</v>
      </c>
      <c r="C387" s="1" t="s">
        <v>19</v>
      </c>
      <c r="D387" s="1" t="s">
        <v>165</v>
      </c>
      <c r="E387" s="1" t="s">
        <v>72</v>
      </c>
      <c r="F387" s="1" t="s">
        <v>663</v>
      </c>
      <c r="G387" s="1">
        <v>4.5</v>
      </c>
      <c r="H387" s="1" t="s">
        <v>60</v>
      </c>
      <c r="I387" s="1">
        <v>-110.0</v>
      </c>
      <c r="J387" s="1">
        <v>0.124869431060578</v>
      </c>
      <c r="K387" s="1" t="s">
        <v>61</v>
      </c>
      <c r="L387" s="1" t="s">
        <v>61</v>
      </c>
      <c r="M387" s="1" t="s">
        <v>62</v>
      </c>
      <c r="N387" s="1">
        <v>-116.0</v>
      </c>
      <c r="O387" s="1">
        <v>-0.185713302807208</v>
      </c>
      <c r="P387" s="1" t="s">
        <v>61</v>
      </c>
      <c r="Q387" s="1" t="s">
        <v>61</v>
      </c>
      <c r="R387" s="1">
        <f t="shared" si="1"/>
        <v>0.1248694311</v>
      </c>
      <c r="S387" s="1">
        <f t="shared" si="2"/>
        <v>-110</v>
      </c>
      <c r="T387" s="1">
        <f t="shared" si="3"/>
        <v>1.909090909</v>
      </c>
      <c r="U387" s="1">
        <f t="shared" si="4"/>
        <v>1</v>
      </c>
      <c r="V387" s="3">
        <f t="shared" si="5"/>
        <v>3</v>
      </c>
      <c r="W387" s="3">
        <f t="shared" si="6"/>
        <v>2</v>
      </c>
      <c r="X387" s="3" t="str">
        <f>IFERROR(__xludf.DUMMYFUNCTION("split(B387,"" "")"),"B.")</f>
        <v>B.</v>
      </c>
      <c r="Y387" s="3" t="str">
        <f>IFERROR(__xludf.DUMMYFUNCTION("""COMPUTED_VALUE"""),"Allen")</f>
        <v>Allen</v>
      </c>
      <c r="AA387" s="8">
        <v>0.0</v>
      </c>
      <c r="AB387" s="3">
        <f t="shared" si="7"/>
        <v>0</v>
      </c>
      <c r="AC387" s="3">
        <f t="shared" si="8"/>
        <v>0</v>
      </c>
      <c r="AD387" s="3">
        <f t="shared" si="9"/>
        <v>2.727272727</v>
      </c>
      <c r="AE387" s="3">
        <f t="shared" si="10"/>
        <v>-3</v>
      </c>
      <c r="AF387" s="3">
        <f t="shared" si="11"/>
        <v>-2</v>
      </c>
      <c r="AG387" s="3">
        <f t="shared" si="12"/>
        <v>-1</v>
      </c>
    </row>
    <row r="388">
      <c r="A388" s="1" t="s">
        <v>9</v>
      </c>
      <c r="B388" s="1" t="s">
        <v>303</v>
      </c>
      <c r="C388" s="1" t="s">
        <v>18</v>
      </c>
      <c r="D388" s="1" t="s">
        <v>165</v>
      </c>
      <c r="E388" s="1" t="s">
        <v>72</v>
      </c>
      <c r="F388" s="1" t="s">
        <v>663</v>
      </c>
      <c r="G388" s="1">
        <v>21.5</v>
      </c>
      <c r="H388" s="1" t="s">
        <v>60</v>
      </c>
      <c r="I388" s="1">
        <v>-105.0</v>
      </c>
      <c r="J388" s="1">
        <v>0.109847846778218</v>
      </c>
      <c r="K388" s="1" t="s">
        <v>61</v>
      </c>
      <c r="L388" s="1" t="s">
        <v>61</v>
      </c>
      <c r="M388" s="1" t="s">
        <v>62</v>
      </c>
      <c r="N388" s="1">
        <v>-128.0</v>
      </c>
      <c r="O388" s="1">
        <v>-0.183407697344756</v>
      </c>
      <c r="P388" s="1" t="s">
        <v>61</v>
      </c>
      <c r="Q388" s="1" t="s">
        <v>61</v>
      </c>
      <c r="R388" s="1">
        <f t="shared" si="1"/>
        <v>0.1098478468</v>
      </c>
      <c r="S388" s="1">
        <f t="shared" si="2"/>
        <v>-105</v>
      </c>
      <c r="T388" s="1">
        <f t="shared" si="3"/>
        <v>1.952380952</v>
      </c>
      <c r="U388" s="1">
        <f t="shared" si="4"/>
        <v>1</v>
      </c>
      <c r="V388" s="3">
        <f t="shared" si="5"/>
        <v>3</v>
      </c>
      <c r="W388" s="3">
        <f t="shared" si="6"/>
        <v>2</v>
      </c>
      <c r="X388" s="3" t="str">
        <f>IFERROR(__xludf.DUMMYFUNCTION("split(B388,"" "")"),"M.")</f>
        <v>M.</v>
      </c>
      <c r="Y388" s="3" t="str">
        <f>IFERROR(__xludf.DUMMYFUNCTION("""COMPUTED_VALUE"""),"Williams")</f>
        <v>Williams</v>
      </c>
      <c r="AA388" s="8">
        <v>6.0</v>
      </c>
      <c r="AB388" s="3">
        <f t="shared" si="7"/>
        <v>0</v>
      </c>
      <c r="AC388" s="3">
        <f t="shared" si="8"/>
        <v>0</v>
      </c>
      <c r="AD388" s="3">
        <f t="shared" si="9"/>
        <v>2.857142857</v>
      </c>
      <c r="AE388" s="3">
        <f t="shared" si="10"/>
        <v>-3</v>
      </c>
      <c r="AF388" s="3">
        <f t="shared" si="11"/>
        <v>-2</v>
      </c>
      <c r="AG388" s="3">
        <f t="shared" si="12"/>
        <v>-0.7209302326</v>
      </c>
    </row>
    <row r="389">
      <c r="A389" s="1" t="s">
        <v>12</v>
      </c>
      <c r="B389" s="1" t="s">
        <v>303</v>
      </c>
      <c r="C389" s="1" t="s">
        <v>18</v>
      </c>
      <c r="D389" s="1" t="s">
        <v>165</v>
      </c>
      <c r="E389" s="1" t="s">
        <v>72</v>
      </c>
      <c r="F389" s="1" t="s">
        <v>663</v>
      </c>
      <c r="G389" s="1">
        <v>1.5</v>
      </c>
      <c r="H389" s="1" t="s">
        <v>60</v>
      </c>
      <c r="I389" s="1">
        <v>-121.0</v>
      </c>
      <c r="J389" s="1">
        <v>-0.164010291669683</v>
      </c>
      <c r="K389" s="1" t="s">
        <v>61</v>
      </c>
      <c r="L389" s="1" t="s">
        <v>61</v>
      </c>
      <c r="M389" s="1" t="s">
        <v>62</v>
      </c>
      <c r="N389" s="1">
        <v>-109.0</v>
      </c>
      <c r="O389" s="1">
        <v>0.0949677232550718</v>
      </c>
      <c r="P389" s="1" t="s">
        <v>61</v>
      </c>
      <c r="Q389" s="1" t="s">
        <v>61</v>
      </c>
      <c r="R389" s="1">
        <f t="shared" si="1"/>
        <v>0.09496772326</v>
      </c>
      <c r="S389" s="1">
        <f t="shared" si="2"/>
        <v>-109</v>
      </c>
      <c r="T389" s="1">
        <f t="shared" si="3"/>
        <v>1.917431193</v>
      </c>
      <c r="U389" s="1">
        <f t="shared" si="4"/>
        <v>0</v>
      </c>
      <c r="V389" s="3">
        <f t="shared" si="5"/>
        <v>2</v>
      </c>
      <c r="W389" s="3">
        <f t="shared" si="6"/>
        <v>2</v>
      </c>
      <c r="X389" s="3" t="str">
        <f>IFERROR(__xludf.DUMMYFUNCTION("split(B389,"" "")"),"M.")</f>
        <v>M.</v>
      </c>
      <c r="Y389" s="3" t="str">
        <f>IFERROR(__xludf.DUMMYFUNCTION("""COMPUTED_VALUE"""),"Williams")</f>
        <v>Williams</v>
      </c>
      <c r="AA389" s="8">
        <v>1.0</v>
      </c>
      <c r="AB389" s="3">
        <f t="shared" si="7"/>
        <v>0</v>
      </c>
      <c r="AC389" s="3">
        <f t="shared" si="8"/>
        <v>1</v>
      </c>
      <c r="AD389" s="3">
        <f t="shared" si="9"/>
        <v>1.834862385</v>
      </c>
      <c r="AE389" s="3">
        <f t="shared" si="10"/>
        <v>1.834862385</v>
      </c>
      <c r="AF389" s="3">
        <f t="shared" si="11"/>
        <v>1.834862385</v>
      </c>
      <c r="AG389" s="3">
        <f t="shared" si="12"/>
        <v>0.3333333333</v>
      </c>
    </row>
    <row r="390">
      <c r="A390" s="1" t="s">
        <v>12</v>
      </c>
      <c r="B390" s="1" t="s">
        <v>322</v>
      </c>
      <c r="C390" s="1" t="s">
        <v>18</v>
      </c>
      <c r="D390" s="1" t="s">
        <v>165</v>
      </c>
      <c r="E390" s="1" t="s">
        <v>72</v>
      </c>
      <c r="F390" s="1" t="s">
        <v>663</v>
      </c>
      <c r="G390" s="1">
        <v>5.5</v>
      </c>
      <c r="H390" s="1" t="s">
        <v>60</v>
      </c>
      <c r="I390" s="1">
        <v>124.0</v>
      </c>
      <c r="J390" s="1">
        <v>0.0854160714285715</v>
      </c>
      <c r="K390" s="1" t="s">
        <v>61</v>
      </c>
      <c r="L390" s="1" t="s">
        <v>61</v>
      </c>
      <c r="M390" s="1" t="s">
        <v>62</v>
      </c>
      <c r="N390" s="1">
        <v>-163.0</v>
      </c>
      <c r="O390" s="1">
        <v>-0.151609885931559</v>
      </c>
      <c r="P390" s="1" t="s">
        <v>61</v>
      </c>
      <c r="Q390" s="1" t="s">
        <v>61</v>
      </c>
      <c r="R390" s="1">
        <f t="shared" si="1"/>
        <v>0.08541607143</v>
      </c>
      <c r="S390" s="1">
        <f t="shared" si="2"/>
        <v>124</v>
      </c>
      <c r="T390" s="1">
        <f t="shared" si="3"/>
        <v>2.24</v>
      </c>
      <c r="U390" s="1">
        <f t="shared" si="4"/>
        <v>1</v>
      </c>
      <c r="V390" s="3">
        <f t="shared" si="5"/>
        <v>2</v>
      </c>
      <c r="W390" s="3">
        <f t="shared" si="6"/>
        <v>1</v>
      </c>
      <c r="X390" s="3" t="str">
        <f>IFERROR(__xludf.DUMMYFUNCTION("split(B390,"" "")"),"D.")</f>
        <v>D.</v>
      </c>
      <c r="Y390" s="3" t="str">
        <f>IFERROR(__xludf.DUMMYFUNCTION("""COMPUTED_VALUE"""),"Adams")</f>
        <v>Adams</v>
      </c>
      <c r="AA390" s="8">
        <v>7.0</v>
      </c>
      <c r="AB390" s="3">
        <f t="shared" si="7"/>
        <v>1</v>
      </c>
      <c r="AC390" s="3">
        <f t="shared" si="8"/>
        <v>1</v>
      </c>
      <c r="AD390" s="3">
        <f t="shared" si="9"/>
        <v>2.48</v>
      </c>
      <c r="AE390" s="3">
        <f t="shared" si="10"/>
        <v>2.48</v>
      </c>
      <c r="AF390" s="3">
        <f t="shared" si="11"/>
        <v>1.24</v>
      </c>
      <c r="AG390" s="3">
        <f t="shared" si="12"/>
        <v>0.2727272727</v>
      </c>
    </row>
    <row r="391">
      <c r="A391" s="1" t="s">
        <v>8</v>
      </c>
      <c r="B391" s="1" t="s">
        <v>336</v>
      </c>
      <c r="C391" s="1" t="s">
        <v>19</v>
      </c>
      <c r="D391" s="1" t="s">
        <v>165</v>
      </c>
      <c r="E391" s="1" t="s">
        <v>72</v>
      </c>
      <c r="F391" s="1" t="s">
        <v>663</v>
      </c>
      <c r="G391" s="1">
        <v>15.5</v>
      </c>
      <c r="H391" s="1" t="s">
        <v>60</v>
      </c>
      <c r="I391" s="1">
        <v>-146.0</v>
      </c>
      <c r="J391" s="1">
        <v>-0.140295687979674</v>
      </c>
      <c r="K391" s="1" t="s">
        <v>61</v>
      </c>
      <c r="L391" s="1" t="s">
        <v>61</v>
      </c>
      <c r="M391" s="1" t="s">
        <v>62</v>
      </c>
      <c r="N391" s="1">
        <v>110.0</v>
      </c>
      <c r="O391" s="1">
        <v>0.0706092344904762</v>
      </c>
      <c r="P391" s="1" t="s">
        <v>61</v>
      </c>
      <c r="Q391" s="1" t="s">
        <v>61</v>
      </c>
      <c r="R391" s="1">
        <f t="shared" si="1"/>
        <v>0.07060923449</v>
      </c>
      <c r="S391" s="1">
        <f t="shared" si="2"/>
        <v>110</v>
      </c>
      <c r="T391" s="1">
        <f t="shared" si="3"/>
        <v>2.1</v>
      </c>
      <c r="U391" s="1">
        <f t="shared" si="4"/>
        <v>0</v>
      </c>
      <c r="V391" s="3">
        <f t="shared" si="5"/>
        <v>2</v>
      </c>
      <c r="W391" s="3">
        <f t="shared" si="6"/>
        <v>2</v>
      </c>
      <c r="X391" s="3" t="str">
        <f>IFERROR(__xludf.DUMMYFUNCTION("split(B391,"" "")"),"B.")</f>
        <v>B.</v>
      </c>
      <c r="Y391" s="3" t="str">
        <f>IFERROR(__xludf.DUMMYFUNCTION("""COMPUTED_VALUE"""),"Hall")</f>
        <v>Hall</v>
      </c>
      <c r="AA391" s="8">
        <v>15.0</v>
      </c>
      <c r="AB391" s="3">
        <f t="shared" si="7"/>
        <v>0</v>
      </c>
      <c r="AC391" s="3">
        <f t="shared" si="8"/>
        <v>1</v>
      </c>
      <c r="AD391" s="3">
        <f t="shared" si="9"/>
        <v>2.2</v>
      </c>
      <c r="AE391" s="3">
        <f t="shared" si="10"/>
        <v>2.2</v>
      </c>
      <c r="AF391" s="3">
        <f t="shared" si="11"/>
        <v>2.2</v>
      </c>
      <c r="AG391" s="3">
        <f t="shared" si="12"/>
        <v>0.03225806452</v>
      </c>
    </row>
    <row r="392">
      <c r="A392" s="1" t="s">
        <v>10</v>
      </c>
      <c r="B392" s="1" t="s">
        <v>336</v>
      </c>
      <c r="C392" s="1" t="s">
        <v>19</v>
      </c>
      <c r="D392" s="1" t="s">
        <v>165</v>
      </c>
      <c r="E392" s="1" t="s">
        <v>72</v>
      </c>
      <c r="F392" s="1" t="s">
        <v>663</v>
      </c>
      <c r="G392" s="1">
        <v>67.5</v>
      </c>
      <c r="H392" s="1" t="s">
        <v>60</v>
      </c>
      <c r="I392" s="1">
        <v>-116.0</v>
      </c>
      <c r="J392" s="1">
        <v>-0.117905451399459</v>
      </c>
      <c r="K392" s="1" t="s">
        <v>61</v>
      </c>
      <c r="L392" s="1" t="s">
        <v>61</v>
      </c>
      <c r="M392" s="1" t="s">
        <v>62</v>
      </c>
      <c r="N392" s="1">
        <v>-110.0</v>
      </c>
      <c r="O392" s="1">
        <v>0.0570150316347829</v>
      </c>
      <c r="P392" s="1" t="s">
        <v>61</v>
      </c>
      <c r="Q392" s="1" t="s">
        <v>61</v>
      </c>
      <c r="R392" s="1">
        <f t="shared" si="1"/>
        <v>0.05701503163</v>
      </c>
      <c r="S392" s="1">
        <f t="shared" si="2"/>
        <v>-110</v>
      </c>
      <c r="T392" s="1">
        <f t="shared" si="3"/>
        <v>1.909090909</v>
      </c>
      <c r="U392" s="1">
        <f t="shared" si="4"/>
        <v>0</v>
      </c>
      <c r="V392" s="3">
        <f t="shared" si="5"/>
        <v>2</v>
      </c>
      <c r="W392" s="3">
        <f t="shared" si="6"/>
        <v>2</v>
      </c>
      <c r="X392" s="3" t="str">
        <f>IFERROR(__xludf.DUMMYFUNCTION("split(B392,"" "")"),"B.")</f>
        <v>B.</v>
      </c>
      <c r="Y392" s="3" t="str">
        <f>IFERROR(__xludf.DUMMYFUNCTION("""COMPUTED_VALUE"""),"Hall")</f>
        <v>Hall</v>
      </c>
      <c r="AA392" s="8">
        <v>74.0</v>
      </c>
      <c r="AB392" s="3">
        <f t="shared" si="7"/>
        <v>1</v>
      </c>
      <c r="AC392" s="3">
        <f t="shared" si="8"/>
        <v>0</v>
      </c>
      <c r="AD392" s="3">
        <f t="shared" si="9"/>
        <v>1.818181818</v>
      </c>
      <c r="AE392" s="3">
        <f t="shared" si="10"/>
        <v>-2</v>
      </c>
      <c r="AF392" s="3">
        <f t="shared" si="11"/>
        <v>-2</v>
      </c>
      <c r="AG392" s="3">
        <f t="shared" si="12"/>
        <v>-0.0962962963</v>
      </c>
    </row>
    <row r="393">
      <c r="A393" s="1" t="s">
        <v>8</v>
      </c>
      <c r="B393" s="1" t="s">
        <v>330</v>
      </c>
      <c r="C393" s="1" t="s">
        <v>21</v>
      </c>
      <c r="D393" s="1" t="s">
        <v>165</v>
      </c>
      <c r="E393" s="1" t="s">
        <v>72</v>
      </c>
      <c r="F393" s="1" t="s">
        <v>663</v>
      </c>
      <c r="G393" s="1">
        <v>1.5</v>
      </c>
      <c r="H393" s="1" t="s">
        <v>60</v>
      </c>
      <c r="I393" s="1">
        <v>115.0</v>
      </c>
      <c r="J393" s="1">
        <v>0.0519921490062222</v>
      </c>
      <c r="K393" s="1" t="s">
        <v>61</v>
      </c>
      <c r="L393" s="1" t="s">
        <v>61</v>
      </c>
      <c r="M393" s="1" t="s">
        <v>62</v>
      </c>
      <c r="N393" s="1">
        <v>-150.0</v>
      </c>
      <c r="O393" s="1">
        <v>-0.117109454102632</v>
      </c>
      <c r="P393" s="1" t="s">
        <v>61</v>
      </c>
      <c r="Q393" s="1" t="s">
        <v>61</v>
      </c>
      <c r="R393" s="1">
        <f t="shared" si="1"/>
        <v>0.05199214901</v>
      </c>
      <c r="S393" s="1">
        <f t="shared" si="2"/>
        <v>115</v>
      </c>
      <c r="T393" s="1">
        <f t="shared" si="3"/>
        <v>2.15</v>
      </c>
      <c r="U393" s="1">
        <f t="shared" si="4"/>
        <v>1</v>
      </c>
      <c r="V393" s="3">
        <f t="shared" si="5"/>
        <v>2</v>
      </c>
      <c r="W393" s="3">
        <f t="shared" si="6"/>
        <v>1</v>
      </c>
      <c r="X393" s="3" t="str">
        <f>IFERROR(__xludf.DUMMYFUNCTION("split(B393,"" "")"),"A.")</f>
        <v>A.</v>
      </c>
      <c r="Y393" s="3" t="str">
        <f>IFERROR(__xludf.DUMMYFUNCTION("""COMPUTED_VALUE"""),"Rodgers")</f>
        <v>Rodgers</v>
      </c>
      <c r="AA393" s="8">
        <v>1.0</v>
      </c>
      <c r="AB393" s="3">
        <f t="shared" si="7"/>
        <v>0</v>
      </c>
      <c r="AC393" s="3">
        <f t="shared" si="8"/>
        <v>0</v>
      </c>
      <c r="AD393" s="3">
        <f t="shared" si="9"/>
        <v>2.3</v>
      </c>
      <c r="AE393" s="3">
        <f t="shared" si="10"/>
        <v>-2</v>
      </c>
      <c r="AF393" s="3">
        <f t="shared" si="11"/>
        <v>-1</v>
      </c>
      <c r="AG393" s="3">
        <f t="shared" si="12"/>
        <v>-0.3333333333</v>
      </c>
    </row>
    <row r="394">
      <c r="A394" s="1" t="s">
        <v>11</v>
      </c>
      <c r="B394" s="1" t="s">
        <v>479</v>
      </c>
      <c r="C394" s="1" t="s">
        <v>18</v>
      </c>
      <c r="D394" s="1" t="s">
        <v>165</v>
      </c>
      <c r="E394" s="1" t="s">
        <v>72</v>
      </c>
      <c r="F394" s="1" t="s">
        <v>663</v>
      </c>
      <c r="G394" s="1">
        <v>62.5</v>
      </c>
      <c r="H394" s="1" t="s">
        <v>60</v>
      </c>
      <c r="I394" s="1">
        <v>-111.0</v>
      </c>
      <c r="J394" s="1">
        <v>-0.106020054112442</v>
      </c>
      <c r="K394" s="1" t="s">
        <v>61</v>
      </c>
      <c r="L394" s="1" t="s">
        <v>61</v>
      </c>
      <c r="M394" s="1" t="s">
        <v>62</v>
      </c>
      <c r="N394" s="1">
        <v>-113.0</v>
      </c>
      <c r="O394" s="1">
        <v>0.0494307805386372</v>
      </c>
      <c r="P394" s="1" t="s">
        <v>61</v>
      </c>
      <c r="Q394" s="1" t="s">
        <v>61</v>
      </c>
      <c r="R394" s="1">
        <f t="shared" si="1"/>
        <v>0.04943078054</v>
      </c>
      <c r="S394" s="1">
        <f t="shared" si="2"/>
        <v>-113</v>
      </c>
      <c r="T394" s="1">
        <f t="shared" si="3"/>
        <v>1.884955752</v>
      </c>
      <c r="U394" s="1">
        <f t="shared" si="4"/>
        <v>0</v>
      </c>
      <c r="V394" s="3">
        <f t="shared" si="5"/>
        <v>1</v>
      </c>
      <c r="W394" s="3">
        <f t="shared" si="6"/>
        <v>2</v>
      </c>
      <c r="X394" s="3" t="str">
        <f>IFERROR(__xludf.DUMMYFUNCTION("split(B394,"" "")"),"G.")</f>
        <v>G.</v>
      </c>
      <c r="Y394" s="3" t="str">
        <f>IFERROR(__xludf.DUMMYFUNCTION("""COMPUTED_VALUE"""),"Wilson")</f>
        <v>Wilson</v>
      </c>
      <c r="AA394" s="8">
        <v>90.0</v>
      </c>
      <c r="AB394" s="3">
        <f t="shared" si="7"/>
        <v>1</v>
      </c>
      <c r="AC394" s="3">
        <f t="shared" si="8"/>
        <v>0</v>
      </c>
      <c r="AD394" s="3">
        <f t="shared" si="9"/>
        <v>0.8849557522</v>
      </c>
      <c r="AE394" s="3">
        <f t="shared" si="10"/>
        <v>-1</v>
      </c>
      <c r="AF394" s="3">
        <f t="shared" si="11"/>
        <v>-2</v>
      </c>
      <c r="AG394" s="3">
        <f t="shared" si="12"/>
        <v>-0.44</v>
      </c>
    </row>
    <row r="395">
      <c r="A395" s="1" t="s">
        <v>9</v>
      </c>
      <c r="B395" s="1" t="s">
        <v>554</v>
      </c>
      <c r="C395" s="1" t="s">
        <v>19</v>
      </c>
      <c r="D395" s="1" t="s">
        <v>165</v>
      </c>
      <c r="E395" s="1" t="s">
        <v>72</v>
      </c>
      <c r="F395" s="1" t="s">
        <v>663</v>
      </c>
      <c r="G395" s="1">
        <v>30.5</v>
      </c>
      <c r="H395" s="1" t="s">
        <v>60</v>
      </c>
      <c r="I395" s="1">
        <v>-118.0</v>
      </c>
      <c r="J395" s="1">
        <v>0.0455314016889447</v>
      </c>
      <c r="K395" s="1" t="s">
        <v>61</v>
      </c>
      <c r="L395" s="1" t="s">
        <v>61</v>
      </c>
      <c r="M395" s="1" t="s">
        <v>62</v>
      </c>
      <c r="N395" s="1">
        <v>-117.0</v>
      </c>
      <c r="O395" s="1">
        <v>-0.125954006058904</v>
      </c>
      <c r="P395" s="1" t="s">
        <v>61</v>
      </c>
      <c r="Q395" s="1" t="s">
        <v>61</v>
      </c>
      <c r="R395" s="1">
        <f t="shared" si="1"/>
        <v>0.04553140169</v>
      </c>
      <c r="S395" s="1">
        <f t="shared" si="2"/>
        <v>-118</v>
      </c>
      <c r="T395" s="1">
        <f t="shared" si="3"/>
        <v>1.847457627</v>
      </c>
      <c r="U395" s="1">
        <f t="shared" si="4"/>
        <v>1</v>
      </c>
      <c r="V395" s="3">
        <f t="shared" si="5"/>
        <v>1</v>
      </c>
      <c r="W395" s="3">
        <f t="shared" si="6"/>
        <v>3</v>
      </c>
      <c r="X395" s="3" t="str">
        <f>IFERROR(__xludf.DUMMYFUNCTION("split(B395,"" "")"),"B.")</f>
        <v>B.</v>
      </c>
      <c r="Y395" s="3" t="str">
        <f>IFERROR(__xludf.DUMMYFUNCTION("""COMPUTED_VALUE"""),"Allen")</f>
        <v>Allen</v>
      </c>
      <c r="AA395" s="8">
        <v>9.0</v>
      </c>
      <c r="AB395" s="3">
        <f t="shared" si="7"/>
        <v>0</v>
      </c>
      <c r="AC395" s="3">
        <f t="shared" si="8"/>
        <v>0</v>
      </c>
      <c r="AD395" s="3">
        <f t="shared" si="9"/>
        <v>0.8474576271</v>
      </c>
      <c r="AE395" s="3">
        <f t="shared" si="10"/>
        <v>-1</v>
      </c>
      <c r="AF395" s="3">
        <f t="shared" si="11"/>
        <v>-3</v>
      </c>
      <c r="AG395" s="3">
        <f t="shared" si="12"/>
        <v>-0.7049180328</v>
      </c>
    </row>
    <row r="396">
      <c r="A396" s="1" t="s">
        <v>15</v>
      </c>
      <c r="B396" s="1" t="s">
        <v>330</v>
      </c>
      <c r="C396" s="1" t="s">
        <v>21</v>
      </c>
      <c r="D396" s="1" t="s">
        <v>165</v>
      </c>
      <c r="E396" s="1" t="s">
        <v>72</v>
      </c>
      <c r="F396" s="1" t="s">
        <v>663</v>
      </c>
      <c r="G396" s="1">
        <v>21.5</v>
      </c>
      <c r="H396" s="1" t="s">
        <v>60</v>
      </c>
      <c r="I396" s="1">
        <v>-103.0</v>
      </c>
      <c r="J396" s="1">
        <v>0.0401600985221675</v>
      </c>
      <c r="K396" s="1" t="s">
        <v>61</v>
      </c>
      <c r="L396" s="1" t="s">
        <v>61</v>
      </c>
      <c r="M396" s="1" t="s">
        <v>62</v>
      </c>
      <c r="N396" s="1">
        <v>-128.0</v>
      </c>
      <c r="O396" s="1">
        <v>-0.108959649122807</v>
      </c>
      <c r="P396" s="1" t="s">
        <v>61</v>
      </c>
      <c r="Q396" s="1" t="s">
        <v>61</v>
      </c>
      <c r="R396" s="1">
        <f t="shared" si="1"/>
        <v>0.04016009852</v>
      </c>
      <c r="S396" s="1">
        <f t="shared" si="2"/>
        <v>-103</v>
      </c>
      <c r="T396" s="1">
        <f t="shared" si="3"/>
        <v>1.970873786</v>
      </c>
      <c r="U396" s="1">
        <f t="shared" si="4"/>
        <v>1</v>
      </c>
      <c r="V396" s="3">
        <f t="shared" si="5"/>
        <v>1</v>
      </c>
      <c r="W396" s="3">
        <f t="shared" si="6"/>
        <v>2</v>
      </c>
      <c r="X396" s="3" t="str">
        <f>IFERROR(__xludf.DUMMYFUNCTION("split(B396,"" "")"),"A.")</f>
        <v>A.</v>
      </c>
      <c r="Y396" s="3" t="str">
        <f>IFERROR(__xludf.DUMMYFUNCTION("""COMPUTED_VALUE"""),"Rodgers")</f>
        <v>Rodgers</v>
      </c>
      <c r="AA396" s="8">
        <v>22.0</v>
      </c>
      <c r="AB396" s="3">
        <f t="shared" si="7"/>
        <v>1</v>
      </c>
      <c r="AC396" s="3">
        <f t="shared" si="8"/>
        <v>1</v>
      </c>
      <c r="AD396" s="3">
        <f t="shared" si="9"/>
        <v>0.9708737864</v>
      </c>
      <c r="AE396" s="3">
        <f t="shared" si="10"/>
        <v>0.9708737864</v>
      </c>
      <c r="AF396" s="3">
        <f t="shared" si="11"/>
        <v>1.941747573</v>
      </c>
      <c r="AG396" s="3">
        <f t="shared" si="12"/>
        <v>0.02325581395</v>
      </c>
    </row>
    <row r="397">
      <c r="A397" s="1" t="s">
        <v>9</v>
      </c>
      <c r="B397" s="1" t="s">
        <v>336</v>
      </c>
      <c r="C397" s="1" t="s">
        <v>19</v>
      </c>
      <c r="D397" s="1" t="s">
        <v>165</v>
      </c>
      <c r="E397" s="1" t="s">
        <v>72</v>
      </c>
      <c r="F397" s="1" t="s">
        <v>663</v>
      </c>
      <c r="G397" s="1">
        <v>105.5</v>
      </c>
      <c r="H397" s="1" t="s">
        <v>60</v>
      </c>
      <c r="I397" s="1">
        <v>-116.0</v>
      </c>
      <c r="J397" s="1">
        <v>-0.111165258642122</v>
      </c>
      <c r="K397" s="1" t="s">
        <v>61</v>
      </c>
      <c r="L397" s="1" t="s">
        <v>61</v>
      </c>
      <c r="M397" s="1" t="s">
        <v>62</v>
      </c>
      <c r="N397" s="1">
        <v>-116.0</v>
      </c>
      <c r="O397" s="1">
        <v>0.0370314622968623</v>
      </c>
      <c r="P397" s="1" t="s">
        <v>61</v>
      </c>
      <c r="Q397" s="1" t="s">
        <v>61</v>
      </c>
      <c r="R397" s="1">
        <f t="shared" si="1"/>
        <v>0.0370314623</v>
      </c>
      <c r="S397" s="1">
        <f t="shared" si="2"/>
        <v>-116</v>
      </c>
      <c r="T397" s="1">
        <f t="shared" si="3"/>
        <v>1.862068966</v>
      </c>
      <c r="U397" s="1">
        <f t="shared" si="4"/>
        <v>0</v>
      </c>
      <c r="V397" s="3">
        <f t="shared" si="5"/>
        <v>1</v>
      </c>
      <c r="W397" s="3">
        <f t="shared" si="6"/>
        <v>2</v>
      </c>
      <c r="X397" s="3" t="str">
        <f>IFERROR(__xludf.DUMMYFUNCTION("split(B397,"" "")"),"B.")</f>
        <v>B.</v>
      </c>
      <c r="Y397" s="3" t="str">
        <f>IFERROR(__xludf.DUMMYFUNCTION("""COMPUTED_VALUE"""),"Hall")</f>
        <v>Hall</v>
      </c>
      <c r="AA397" s="8">
        <v>85.0</v>
      </c>
      <c r="AB397" s="3">
        <f t="shared" si="7"/>
        <v>0</v>
      </c>
      <c r="AC397" s="3">
        <f t="shared" si="8"/>
        <v>1</v>
      </c>
      <c r="AD397" s="3">
        <f t="shared" si="9"/>
        <v>0.8620689655</v>
      </c>
      <c r="AE397" s="3">
        <f t="shared" si="10"/>
        <v>0.8620689655</v>
      </c>
      <c r="AF397" s="3">
        <f t="shared" si="11"/>
        <v>1.724137931</v>
      </c>
      <c r="AG397" s="3">
        <f t="shared" si="12"/>
        <v>0.1943127962</v>
      </c>
    </row>
    <row r="398">
      <c r="A398" s="1" t="s">
        <v>11</v>
      </c>
      <c r="B398" s="1" t="s">
        <v>305</v>
      </c>
      <c r="C398" s="1" t="s">
        <v>20</v>
      </c>
      <c r="D398" s="1" t="s">
        <v>165</v>
      </c>
      <c r="E398" s="1" t="s">
        <v>72</v>
      </c>
      <c r="F398" s="1" t="s">
        <v>663</v>
      </c>
      <c r="G398" s="1">
        <v>23.5</v>
      </c>
      <c r="H398" s="1" t="s">
        <v>60</v>
      </c>
      <c r="I398" s="1">
        <v>-117.0</v>
      </c>
      <c r="J398" s="1">
        <v>-0.0904906392293319</v>
      </c>
      <c r="K398" s="1" t="s">
        <v>61</v>
      </c>
      <c r="L398" s="1" t="s">
        <v>61</v>
      </c>
      <c r="M398" s="1" t="s">
        <v>62</v>
      </c>
      <c r="N398" s="1">
        <v>-112.0</v>
      </c>
      <c r="O398" s="1">
        <v>0.0230358347089473</v>
      </c>
      <c r="P398" s="1" t="s">
        <v>61</v>
      </c>
      <c r="Q398" s="1" t="s">
        <v>61</v>
      </c>
      <c r="R398" s="1">
        <f t="shared" si="1"/>
        <v>0.02303583471</v>
      </c>
      <c r="S398" s="1">
        <f t="shared" si="2"/>
        <v>-112</v>
      </c>
      <c r="T398" s="1">
        <f t="shared" si="3"/>
        <v>1.892857143</v>
      </c>
      <c r="U398" s="1">
        <f t="shared" si="4"/>
        <v>0</v>
      </c>
      <c r="V398" s="3">
        <f t="shared" si="5"/>
        <v>1</v>
      </c>
      <c r="W398" s="3">
        <f t="shared" si="6"/>
        <v>2</v>
      </c>
      <c r="X398" s="3" t="str">
        <f>IFERROR(__xludf.DUMMYFUNCTION("split(B398,"" "")"),"T.")</f>
        <v>T.</v>
      </c>
      <c r="Y398" s="3" t="str">
        <f>IFERROR(__xludf.DUMMYFUNCTION("""COMPUTED_VALUE"""),"Conklin")</f>
        <v>Conklin</v>
      </c>
      <c r="AA398" s="8">
        <v>-3.0</v>
      </c>
      <c r="AB398" s="3">
        <f t="shared" si="7"/>
        <v>0</v>
      </c>
      <c r="AC398" s="3">
        <f t="shared" si="8"/>
        <v>1</v>
      </c>
      <c r="AD398" s="3">
        <f t="shared" si="9"/>
        <v>0.8928571429</v>
      </c>
      <c r="AE398" s="3">
        <f t="shared" si="10"/>
        <v>0.8928571429</v>
      </c>
      <c r="AF398" s="3">
        <f t="shared" si="11"/>
        <v>1.785714286</v>
      </c>
      <c r="AG398" s="3">
        <f t="shared" si="12"/>
        <v>1.127659574</v>
      </c>
    </row>
    <row r="399">
      <c r="A399" s="1" t="s">
        <v>11</v>
      </c>
      <c r="B399" s="1" t="s">
        <v>336</v>
      </c>
      <c r="C399" s="1" t="s">
        <v>19</v>
      </c>
      <c r="D399" s="1" t="s">
        <v>165</v>
      </c>
      <c r="E399" s="1" t="s">
        <v>72</v>
      </c>
      <c r="F399" s="1" t="s">
        <v>663</v>
      </c>
      <c r="G399" s="1">
        <v>30.5</v>
      </c>
      <c r="H399" s="1" t="s">
        <v>60</v>
      </c>
      <c r="I399" s="1">
        <v>-106.0</v>
      </c>
      <c r="J399" s="1">
        <v>-0.0867724306419417</v>
      </c>
      <c r="K399" s="1" t="s">
        <v>61</v>
      </c>
      <c r="L399" s="1" t="s">
        <v>61</v>
      </c>
      <c r="M399" s="1" t="s">
        <v>62</v>
      </c>
      <c r="N399" s="1">
        <v>-123.0</v>
      </c>
      <c r="O399" s="1">
        <v>0.0206807468462654</v>
      </c>
      <c r="P399" s="1" t="s">
        <v>61</v>
      </c>
      <c r="Q399" s="1" t="s">
        <v>61</v>
      </c>
      <c r="R399" s="1">
        <f t="shared" si="1"/>
        <v>0.02068074685</v>
      </c>
      <c r="S399" s="1">
        <f t="shared" si="2"/>
        <v>-123</v>
      </c>
      <c r="T399" s="1">
        <f t="shared" si="3"/>
        <v>1.81300813</v>
      </c>
      <c r="U399" s="1">
        <f t="shared" si="4"/>
        <v>0</v>
      </c>
      <c r="V399" s="3">
        <f t="shared" si="5"/>
        <v>1</v>
      </c>
      <c r="W399" s="3">
        <f t="shared" si="6"/>
        <v>3</v>
      </c>
      <c r="X399" s="3" t="str">
        <f>IFERROR(__xludf.DUMMYFUNCTION("split(B399,"" "")"),"B.")</f>
        <v>B.</v>
      </c>
      <c r="Y399" s="3" t="str">
        <f>IFERROR(__xludf.DUMMYFUNCTION("""COMPUTED_VALUE"""),"Hall")</f>
        <v>Hall</v>
      </c>
      <c r="AA399" s="8">
        <v>11.0</v>
      </c>
      <c r="AB399" s="3">
        <f t="shared" si="7"/>
        <v>0</v>
      </c>
      <c r="AC399" s="3">
        <f t="shared" si="8"/>
        <v>1</v>
      </c>
      <c r="AD399" s="3">
        <f t="shared" si="9"/>
        <v>0.8130081301</v>
      </c>
      <c r="AE399" s="3">
        <f t="shared" si="10"/>
        <v>0.8130081301</v>
      </c>
      <c r="AF399" s="3">
        <f t="shared" si="11"/>
        <v>2.43902439</v>
      </c>
      <c r="AG399" s="3">
        <f t="shared" si="12"/>
        <v>0.6393442623</v>
      </c>
    </row>
    <row r="400">
      <c r="A400" s="1" t="s">
        <v>17</v>
      </c>
      <c r="B400" s="1" t="s">
        <v>330</v>
      </c>
      <c r="C400" s="1" t="s">
        <v>21</v>
      </c>
      <c r="D400" s="1" t="s">
        <v>165</v>
      </c>
      <c r="E400" s="1" t="s">
        <v>72</v>
      </c>
      <c r="F400" s="1" t="s">
        <v>663</v>
      </c>
      <c r="G400" s="1">
        <v>0.5</v>
      </c>
      <c r="H400" s="1" t="s">
        <v>60</v>
      </c>
      <c r="I400" s="1">
        <v>-110.0</v>
      </c>
      <c r="J400" s="1">
        <v>-0.0854095238095238</v>
      </c>
      <c r="K400" s="1" t="s">
        <v>61</v>
      </c>
      <c r="L400" s="1" t="s">
        <v>61</v>
      </c>
      <c r="M400" s="1" t="s">
        <v>62</v>
      </c>
      <c r="N400" s="1">
        <v>-119.0</v>
      </c>
      <c r="O400" s="1">
        <v>0.0182210045662101</v>
      </c>
      <c r="P400" s="1" t="s">
        <v>61</v>
      </c>
      <c r="Q400" s="1" t="s">
        <v>61</v>
      </c>
      <c r="R400" s="1">
        <f t="shared" si="1"/>
        <v>0.01822100457</v>
      </c>
      <c r="S400" s="1">
        <f t="shared" si="2"/>
        <v>-119</v>
      </c>
      <c r="T400" s="1">
        <f t="shared" si="3"/>
        <v>1.840336134</v>
      </c>
      <c r="U400" s="1">
        <f t="shared" si="4"/>
        <v>0</v>
      </c>
      <c r="V400" s="3">
        <f t="shared" si="5"/>
        <v>1</v>
      </c>
      <c r="W400" s="3">
        <f t="shared" si="6"/>
        <v>3</v>
      </c>
      <c r="X400" s="3" t="str">
        <f>IFERROR(__xludf.DUMMYFUNCTION("split(B400,"" "")"),"A.")</f>
        <v>A.</v>
      </c>
      <c r="Y400" s="3" t="str">
        <f>IFERROR(__xludf.DUMMYFUNCTION("""COMPUTED_VALUE"""),"Rodgers")</f>
        <v>Rodgers</v>
      </c>
      <c r="AA400" s="8">
        <v>0.0</v>
      </c>
      <c r="AB400" s="3">
        <f t="shared" si="7"/>
        <v>0</v>
      </c>
      <c r="AC400" s="3">
        <f t="shared" si="8"/>
        <v>1</v>
      </c>
      <c r="AD400" s="3">
        <f t="shared" si="9"/>
        <v>0.8403361345</v>
      </c>
      <c r="AE400" s="3">
        <f t="shared" si="10"/>
        <v>0.8403361345</v>
      </c>
      <c r="AF400" s="3">
        <f t="shared" si="11"/>
        <v>2.521008403</v>
      </c>
      <c r="AG400" s="3">
        <f t="shared" si="12"/>
        <v>1</v>
      </c>
    </row>
    <row r="401">
      <c r="A401" s="1" t="s">
        <v>11</v>
      </c>
      <c r="B401" s="1" t="s">
        <v>322</v>
      </c>
      <c r="C401" s="1" t="s">
        <v>18</v>
      </c>
      <c r="D401" s="1" t="s">
        <v>165</v>
      </c>
      <c r="E401" s="1" t="s">
        <v>72</v>
      </c>
      <c r="F401" s="1" t="s">
        <v>663</v>
      </c>
      <c r="G401" s="1">
        <v>60.5</v>
      </c>
      <c r="H401" s="1" t="s">
        <v>60</v>
      </c>
      <c r="I401" s="1">
        <v>-118.0</v>
      </c>
      <c r="J401" s="1">
        <v>-0.0727673984708527</v>
      </c>
      <c r="K401" s="1" t="s">
        <v>61</v>
      </c>
      <c r="L401" s="1" t="s">
        <v>61</v>
      </c>
      <c r="M401" s="1" t="s">
        <v>62</v>
      </c>
      <c r="N401" s="1">
        <v>-108.0</v>
      </c>
      <c r="O401" s="1">
        <v>0.0122755232169206</v>
      </c>
      <c r="P401" s="1" t="s">
        <v>61</v>
      </c>
      <c r="Q401" s="1" t="s">
        <v>61</v>
      </c>
      <c r="R401" s="1">
        <f t="shared" si="1"/>
        <v>0.01227552322</v>
      </c>
      <c r="S401" s="1">
        <f t="shared" si="2"/>
        <v>-108</v>
      </c>
      <c r="T401" s="1">
        <f t="shared" si="3"/>
        <v>1.925925926</v>
      </c>
      <c r="U401" s="1">
        <f t="shared" si="4"/>
        <v>0</v>
      </c>
      <c r="V401" s="3">
        <f t="shared" si="5"/>
        <v>1</v>
      </c>
      <c r="W401" s="3">
        <f t="shared" si="6"/>
        <v>2</v>
      </c>
      <c r="X401" s="3" t="str">
        <f>IFERROR(__xludf.DUMMYFUNCTION("split(B401,"" "")"),"D.")</f>
        <v>D.</v>
      </c>
      <c r="Y401" s="3" t="str">
        <f>IFERROR(__xludf.DUMMYFUNCTION("""COMPUTED_VALUE"""),"Adams")</f>
        <v>Adams</v>
      </c>
      <c r="AA401" s="8">
        <v>91.0</v>
      </c>
      <c r="AB401" s="3">
        <f t="shared" si="7"/>
        <v>1</v>
      </c>
      <c r="AC401" s="3">
        <f t="shared" si="8"/>
        <v>0</v>
      </c>
      <c r="AD401" s="3">
        <f t="shared" si="9"/>
        <v>0.9259259259</v>
      </c>
      <c r="AE401" s="3">
        <f t="shared" si="10"/>
        <v>-1</v>
      </c>
      <c r="AF401" s="3">
        <f t="shared" si="11"/>
        <v>-2</v>
      </c>
      <c r="AG401" s="3">
        <f t="shared" si="12"/>
        <v>-0.5041322314</v>
      </c>
    </row>
    <row r="402">
      <c r="A402" s="1" t="s">
        <v>9</v>
      </c>
      <c r="B402" s="1" t="s">
        <v>479</v>
      </c>
      <c r="C402" s="1" t="s">
        <v>18</v>
      </c>
      <c r="D402" s="1" t="s">
        <v>165</v>
      </c>
      <c r="E402" s="1" t="s">
        <v>72</v>
      </c>
      <c r="F402" s="1" t="s">
        <v>663</v>
      </c>
      <c r="G402" s="1">
        <v>63.5</v>
      </c>
      <c r="H402" s="1" t="s">
        <v>60</v>
      </c>
      <c r="I402" s="1">
        <v>-115.0</v>
      </c>
      <c r="J402" s="1">
        <v>-0.083976621020793</v>
      </c>
      <c r="K402" s="1" t="s">
        <v>61</v>
      </c>
      <c r="L402" s="1" t="s">
        <v>61</v>
      </c>
      <c r="M402" s="1" t="s">
        <v>62</v>
      </c>
      <c r="N402" s="1">
        <v>-117.0</v>
      </c>
      <c r="O402" s="1">
        <v>0.0100008710496796</v>
      </c>
      <c r="P402" s="1" t="s">
        <v>61</v>
      </c>
      <c r="Q402" s="1" t="s">
        <v>61</v>
      </c>
      <c r="R402" s="1">
        <f t="shared" si="1"/>
        <v>0.01000087105</v>
      </c>
      <c r="S402" s="1">
        <f t="shared" si="2"/>
        <v>-117</v>
      </c>
      <c r="T402" s="1">
        <f t="shared" si="3"/>
        <v>1.854700855</v>
      </c>
      <c r="U402" s="1">
        <f t="shared" si="4"/>
        <v>0</v>
      </c>
      <c r="V402" s="3">
        <f t="shared" si="5"/>
        <v>1</v>
      </c>
      <c r="W402" s="3">
        <f t="shared" si="6"/>
        <v>2</v>
      </c>
      <c r="X402" s="3" t="str">
        <f>IFERROR(__xludf.DUMMYFUNCTION("split(B402,"" "")"),"G.")</f>
        <v>G.</v>
      </c>
      <c r="Y402" s="3" t="str">
        <f>IFERROR(__xludf.DUMMYFUNCTION("""COMPUTED_VALUE"""),"Wilson")</f>
        <v>Wilson</v>
      </c>
      <c r="AA402" s="8">
        <v>90.0</v>
      </c>
      <c r="AB402" s="3">
        <f t="shared" si="7"/>
        <v>1</v>
      </c>
      <c r="AC402" s="3">
        <f t="shared" si="8"/>
        <v>0</v>
      </c>
      <c r="AD402" s="3">
        <f t="shared" si="9"/>
        <v>0.8547008547</v>
      </c>
      <c r="AE402" s="3">
        <f t="shared" si="10"/>
        <v>-1</v>
      </c>
      <c r="AF402" s="3">
        <f t="shared" si="11"/>
        <v>-2</v>
      </c>
      <c r="AG402" s="3">
        <f t="shared" si="12"/>
        <v>-0.4173228346</v>
      </c>
    </row>
    <row r="403">
      <c r="A403" s="1" t="s">
        <v>10</v>
      </c>
      <c r="B403" s="1" t="s">
        <v>554</v>
      </c>
      <c r="C403" s="1" t="s">
        <v>19</v>
      </c>
      <c r="D403" s="1" t="s">
        <v>165</v>
      </c>
      <c r="E403" s="1" t="s">
        <v>72</v>
      </c>
      <c r="F403" s="1" t="s">
        <v>663</v>
      </c>
      <c r="G403" s="1">
        <v>22.5</v>
      </c>
      <c r="H403" s="1" t="s">
        <v>60</v>
      </c>
      <c r="I403" s="1">
        <v>-109.0</v>
      </c>
      <c r="J403" s="1">
        <v>-0.0584263792745345</v>
      </c>
      <c r="K403" s="1" t="s">
        <v>61</v>
      </c>
      <c r="L403" s="1" t="s">
        <v>61</v>
      </c>
      <c r="M403" s="1" t="s">
        <v>62</v>
      </c>
      <c r="N403" s="1">
        <v>-115.0</v>
      </c>
      <c r="O403" s="1">
        <v>0.00199921050527618</v>
      </c>
      <c r="P403" s="1" t="s">
        <v>61</v>
      </c>
      <c r="Q403" s="1" t="s">
        <v>61</v>
      </c>
      <c r="R403" s="1">
        <f t="shared" si="1"/>
        <v>0.001999210505</v>
      </c>
      <c r="S403" s="1">
        <f t="shared" si="2"/>
        <v>-115</v>
      </c>
      <c r="T403" s="1">
        <f t="shared" si="3"/>
        <v>1.869565217</v>
      </c>
      <c r="U403" s="1">
        <f t="shared" si="4"/>
        <v>0</v>
      </c>
      <c r="V403" s="3">
        <f t="shared" si="5"/>
        <v>1</v>
      </c>
      <c r="W403" s="3">
        <f t="shared" si="6"/>
        <v>2</v>
      </c>
      <c r="X403" s="3" t="str">
        <f>IFERROR(__xludf.DUMMYFUNCTION("split(B403,"" "")"),"B.")</f>
        <v>B.</v>
      </c>
      <c r="Y403" s="3" t="str">
        <f>IFERROR(__xludf.DUMMYFUNCTION("""COMPUTED_VALUE"""),"Allen")</f>
        <v>Allen</v>
      </c>
      <c r="AA403" s="8">
        <v>9.0</v>
      </c>
      <c r="AB403" s="3">
        <f t="shared" si="7"/>
        <v>0</v>
      </c>
      <c r="AC403" s="3">
        <f t="shared" si="8"/>
        <v>1</v>
      </c>
      <c r="AD403" s="3">
        <f t="shared" si="9"/>
        <v>0.8695652174</v>
      </c>
      <c r="AE403" s="3">
        <f t="shared" si="10"/>
        <v>0.8695652174</v>
      </c>
      <c r="AF403" s="3">
        <f t="shared" si="11"/>
        <v>1.739130435</v>
      </c>
      <c r="AG403" s="3">
        <f t="shared" si="12"/>
        <v>0.6</v>
      </c>
    </row>
    <row r="404">
      <c r="A404" s="1" t="s">
        <v>12</v>
      </c>
      <c r="B404" s="1" t="s">
        <v>490</v>
      </c>
      <c r="C404" s="1" t="s">
        <v>19</v>
      </c>
      <c r="D404" s="1" t="s">
        <v>82</v>
      </c>
      <c r="E404" s="1" t="s">
        <v>196</v>
      </c>
      <c r="F404" s="1" t="s">
        <v>662</v>
      </c>
      <c r="G404" s="1">
        <v>3.5</v>
      </c>
      <c r="H404" s="1" t="s">
        <v>60</v>
      </c>
      <c r="I404" s="1">
        <v>-141.0</v>
      </c>
      <c r="J404" s="1">
        <v>-0.279103734439833</v>
      </c>
      <c r="K404" s="1" t="s">
        <v>61</v>
      </c>
      <c r="L404" s="1" t="s">
        <v>61</v>
      </c>
      <c r="M404" s="1" t="s">
        <v>62</v>
      </c>
      <c r="N404" s="1">
        <v>107.0</v>
      </c>
      <c r="O404" s="1">
        <v>0.21095652173913</v>
      </c>
      <c r="P404" s="1" t="s">
        <v>61</v>
      </c>
      <c r="Q404" s="1" t="s">
        <v>61</v>
      </c>
      <c r="R404" s="1">
        <f t="shared" si="1"/>
        <v>0.2109565217</v>
      </c>
      <c r="S404" s="1">
        <f t="shared" si="2"/>
        <v>107</v>
      </c>
      <c r="T404" s="1">
        <f t="shared" si="3"/>
        <v>2.07</v>
      </c>
      <c r="U404" s="1">
        <f t="shared" si="4"/>
        <v>0</v>
      </c>
      <c r="V404" s="3">
        <f t="shared" si="5"/>
        <v>3</v>
      </c>
      <c r="W404" s="3">
        <f t="shared" si="6"/>
        <v>2</v>
      </c>
      <c r="X404" s="3" t="str">
        <f>IFERROR(__xludf.DUMMYFUNCTION("split(B404,"" "")"),"K.")</f>
        <v>K.</v>
      </c>
      <c r="Y404" s="3" t="str">
        <f>IFERROR(__xludf.DUMMYFUNCTION("""COMPUTED_VALUE"""),"Walker")</f>
        <v>Walker</v>
      </c>
      <c r="Z404" s="3" t="str">
        <f>IFERROR(__xludf.DUMMYFUNCTION("""COMPUTED_VALUE"""),"III")</f>
        <v>III</v>
      </c>
      <c r="AA404" s="8">
        <v>3.0</v>
      </c>
      <c r="AB404" s="3">
        <f t="shared" si="7"/>
        <v>0</v>
      </c>
      <c r="AC404" s="3">
        <f t="shared" si="8"/>
        <v>1</v>
      </c>
      <c r="AD404" s="3">
        <f t="shared" si="9"/>
        <v>3.21</v>
      </c>
      <c r="AE404" s="3">
        <f t="shared" si="10"/>
        <v>3.21</v>
      </c>
      <c r="AF404" s="3">
        <f t="shared" si="11"/>
        <v>2.14</v>
      </c>
      <c r="AG404" s="3">
        <f t="shared" si="12"/>
        <v>0.1428571429</v>
      </c>
    </row>
    <row r="405">
      <c r="A405" s="1" t="s">
        <v>12</v>
      </c>
      <c r="B405" s="1" t="s">
        <v>361</v>
      </c>
      <c r="C405" s="1" t="s">
        <v>19</v>
      </c>
      <c r="D405" s="1" t="s">
        <v>82</v>
      </c>
      <c r="E405" s="1" t="s">
        <v>196</v>
      </c>
      <c r="F405" s="1" t="s">
        <v>662</v>
      </c>
      <c r="G405" s="1">
        <v>1.5</v>
      </c>
      <c r="H405" s="1" t="s">
        <v>60</v>
      </c>
      <c r="I405" s="1">
        <v>-190.0</v>
      </c>
      <c r="J405" s="1">
        <v>-0.270371623324138</v>
      </c>
      <c r="K405" s="1" t="s">
        <v>61</v>
      </c>
      <c r="L405" s="1" t="s">
        <v>61</v>
      </c>
      <c r="M405" s="1" t="s">
        <v>62</v>
      </c>
      <c r="N405" s="1">
        <v>143.0</v>
      </c>
      <c r="O405" s="1">
        <v>0.203676422897119</v>
      </c>
      <c r="P405" s="1" t="s">
        <v>61</v>
      </c>
      <c r="Q405" s="1" t="s">
        <v>61</v>
      </c>
      <c r="R405" s="1">
        <f t="shared" si="1"/>
        <v>0.2036764229</v>
      </c>
      <c r="S405" s="1">
        <f t="shared" si="2"/>
        <v>143</v>
      </c>
      <c r="T405" s="1">
        <f t="shared" si="3"/>
        <v>2.43</v>
      </c>
      <c r="U405" s="1">
        <f t="shared" si="4"/>
        <v>0</v>
      </c>
      <c r="V405" s="3">
        <f t="shared" si="5"/>
        <v>3</v>
      </c>
      <c r="W405" s="3">
        <f t="shared" si="6"/>
        <v>1</v>
      </c>
      <c r="X405" s="3" t="str">
        <f>IFERROR(__xludf.DUMMYFUNCTION("split(B405,"" "")"),"Z.")</f>
        <v>Z.</v>
      </c>
      <c r="Y405" s="3" t="str">
        <f>IFERROR(__xludf.DUMMYFUNCTION("""COMPUTED_VALUE"""),"Charbonnet")</f>
        <v>Charbonnet</v>
      </c>
      <c r="AA405" s="8">
        <v>2.0</v>
      </c>
      <c r="AB405" s="3">
        <f t="shared" si="7"/>
        <v>1</v>
      </c>
      <c r="AC405" s="3">
        <f t="shared" si="8"/>
        <v>0</v>
      </c>
      <c r="AD405" s="3">
        <f t="shared" si="9"/>
        <v>4.29</v>
      </c>
      <c r="AE405" s="3">
        <f t="shared" si="10"/>
        <v>-3</v>
      </c>
      <c r="AF405" s="3">
        <f t="shared" si="11"/>
        <v>-1</v>
      </c>
      <c r="AG405" s="3">
        <f t="shared" si="12"/>
        <v>-0.3333333333</v>
      </c>
    </row>
    <row r="406">
      <c r="A406" s="1" t="s">
        <v>12</v>
      </c>
      <c r="B406" s="1" t="s">
        <v>668</v>
      </c>
      <c r="C406" s="1" t="s">
        <v>18</v>
      </c>
      <c r="D406" s="1" t="s">
        <v>82</v>
      </c>
      <c r="E406" s="1" t="s">
        <v>196</v>
      </c>
      <c r="F406" s="1" t="s">
        <v>662</v>
      </c>
      <c r="G406" s="1">
        <v>2.5</v>
      </c>
      <c r="H406" s="1" t="s">
        <v>60</v>
      </c>
      <c r="I406" s="1">
        <v>-146.0</v>
      </c>
      <c r="J406" s="1">
        <v>-0.169633173170731</v>
      </c>
      <c r="K406" s="1" t="s">
        <v>61</v>
      </c>
      <c r="L406" s="1" t="s">
        <v>61</v>
      </c>
      <c r="M406" s="1" t="s">
        <v>62</v>
      </c>
      <c r="N406" s="1">
        <v>111.0</v>
      </c>
      <c r="O406" s="1">
        <v>0.102209765876777</v>
      </c>
      <c r="P406" s="1" t="s">
        <v>61</v>
      </c>
      <c r="Q406" s="1" t="s">
        <v>61</v>
      </c>
      <c r="R406" s="1">
        <f t="shared" si="1"/>
        <v>0.1022097659</v>
      </c>
      <c r="S406" s="1">
        <f t="shared" si="2"/>
        <v>111</v>
      </c>
      <c r="T406" s="1">
        <f t="shared" si="3"/>
        <v>2.11</v>
      </c>
      <c r="U406" s="1">
        <f t="shared" si="4"/>
        <v>0</v>
      </c>
      <c r="V406" s="3">
        <f t="shared" si="5"/>
        <v>3</v>
      </c>
      <c r="W406" s="3">
        <f t="shared" si="6"/>
        <v>1</v>
      </c>
      <c r="X406" s="3" t="str">
        <f>IFERROR(__xludf.DUMMYFUNCTION("split(B406,"" "")"),"J.")</f>
        <v>J.</v>
      </c>
      <c r="Y406" s="3" t="str">
        <f>IFERROR(__xludf.DUMMYFUNCTION("""COMPUTED_VALUE"""),"Bobo")</f>
        <v>Bobo</v>
      </c>
      <c r="AA406" s="8">
        <v>0.0</v>
      </c>
      <c r="AB406" s="3">
        <f t="shared" si="7"/>
        <v>0</v>
      </c>
      <c r="AC406" s="3">
        <f t="shared" si="8"/>
        <v>1</v>
      </c>
      <c r="AD406" s="3">
        <f t="shared" si="9"/>
        <v>3.33</v>
      </c>
      <c r="AE406" s="3">
        <f t="shared" si="10"/>
        <v>3.33</v>
      </c>
      <c r="AF406" s="3">
        <f t="shared" si="11"/>
        <v>1.11</v>
      </c>
      <c r="AG406" s="3">
        <f t="shared" si="12"/>
        <v>1</v>
      </c>
    </row>
    <row r="407">
      <c r="A407" s="1" t="s">
        <v>12</v>
      </c>
      <c r="B407" s="1" t="s">
        <v>603</v>
      </c>
      <c r="C407" s="1" t="s">
        <v>20</v>
      </c>
      <c r="D407" s="1" t="s">
        <v>82</v>
      </c>
      <c r="E407" s="1" t="s">
        <v>196</v>
      </c>
      <c r="F407" s="1" t="s">
        <v>662</v>
      </c>
      <c r="G407" s="1">
        <v>2.5</v>
      </c>
      <c r="H407" s="1" t="s">
        <v>60</v>
      </c>
      <c r="I407" s="1">
        <v>-101.0</v>
      </c>
      <c r="J407" s="1">
        <v>-0.165985872786069</v>
      </c>
      <c r="K407" s="1" t="s">
        <v>61</v>
      </c>
      <c r="L407" s="1" t="s">
        <v>61</v>
      </c>
      <c r="M407" s="1" t="s">
        <v>62</v>
      </c>
      <c r="N407" s="1">
        <v>-131.0</v>
      </c>
      <c r="O407" s="1">
        <v>0.0963985072004329</v>
      </c>
      <c r="P407" s="1" t="s">
        <v>61</v>
      </c>
      <c r="Q407" s="1" t="s">
        <v>61</v>
      </c>
      <c r="R407" s="1">
        <f t="shared" si="1"/>
        <v>0.0963985072</v>
      </c>
      <c r="S407" s="1">
        <f t="shared" si="2"/>
        <v>-131</v>
      </c>
      <c r="T407" s="1">
        <f t="shared" si="3"/>
        <v>1.763358779</v>
      </c>
      <c r="U407" s="1">
        <f t="shared" si="4"/>
        <v>0</v>
      </c>
      <c r="V407" s="3">
        <f t="shared" si="5"/>
        <v>2</v>
      </c>
      <c r="W407" s="3">
        <f t="shared" si="6"/>
        <v>3</v>
      </c>
      <c r="X407" s="3" t="str">
        <f>IFERROR(__xludf.DUMMYFUNCTION("split(B407,"" "")"),"A.")</f>
        <v>A.</v>
      </c>
      <c r="Y407" s="3" t="str">
        <f>IFERROR(__xludf.DUMMYFUNCTION("""COMPUTED_VALUE"""),"Barner")</f>
        <v>Barner</v>
      </c>
      <c r="AA407" s="8">
        <v>4.0</v>
      </c>
      <c r="AB407" s="3">
        <f t="shared" si="7"/>
        <v>1</v>
      </c>
      <c r="AC407" s="3">
        <f t="shared" si="8"/>
        <v>0</v>
      </c>
      <c r="AD407" s="3">
        <f t="shared" si="9"/>
        <v>1.526717557</v>
      </c>
      <c r="AE407" s="3">
        <f t="shared" si="10"/>
        <v>-2</v>
      </c>
      <c r="AF407" s="3">
        <f t="shared" si="11"/>
        <v>-3</v>
      </c>
      <c r="AG407" s="3">
        <f t="shared" si="12"/>
        <v>-0.6</v>
      </c>
    </row>
    <row r="408">
      <c r="A408" s="1" t="s">
        <v>8</v>
      </c>
      <c r="B408" s="1" t="s">
        <v>500</v>
      </c>
      <c r="C408" s="1" t="s">
        <v>21</v>
      </c>
      <c r="D408" s="1" t="s">
        <v>82</v>
      </c>
      <c r="E408" s="1" t="s">
        <v>196</v>
      </c>
      <c r="F408" s="1" t="s">
        <v>662</v>
      </c>
      <c r="G408" s="1">
        <v>3.5</v>
      </c>
      <c r="H408" s="1" t="s">
        <v>60</v>
      </c>
      <c r="I408" s="1">
        <v>115.0</v>
      </c>
      <c r="J408" s="1">
        <v>-0.158064963393393</v>
      </c>
      <c r="K408" s="1" t="s">
        <v>61</v>
      </c>
      <c r="L408" s="1" t="s">
        <v>61</v>
      </c>
      <c r="M408" s="1" t="s">
        <v>62</v>
      </c>
      <c r="N408" s="1">
        <v>-150.0</v>
      </c>
      <c r="O408" s="1">
        <v>0.0929546111108502</v>
      </c>
      <c r="P408" s="1" t="s">
        <v>61</v>
      </c>
      <c r="Q408" s="1" t="s">
        <v>61</v>
      </c>
      <c r="R408" s="1">
        <f t="shared" si="1"/>
        <v>0.09295461111</v>
      </c>
      <c r="S408" s="1">
        <f t="shared" si="2"/>
        <v>-150</v>
      </c>
      <c r="T408" s="1">
        <f t="shared" si="3"/>
        <v>1.666666667</v>
      </c>
      <c r="U408" s="1">
        <f t="shared" si="4"/>
        <v>0</v>
      </c>
      <c r="V408" s="3">
        <f t="shared" si="5"/>
        <v>2</v>
      </c>
      <c r="W408" s="3">
        <f t="shared" si="6"/>
        <v>3</v>
      </c>
      <c r="X408" s="3" t="str">
        <f>IFERROR(__xludf.DUMMYFUNCTION("split(B408,"" "")"),"G.")</f>
        <v>G.</v>
      </c>
      <c r="Y408" s="3" t="str">
        <f>IFERROR(__xludf.DUMMYFUNCTION("""COMPUTED_VALUE"""),"Smith")</f>
        <v>Smith</v>
      </c>
      <c r="AA408" s="8">
        <v>6.0</v>
      </c>
      <c r="AB408" s="3">
        <f t="shared" si="7"/>
        <v>1</v>
      </c>
      <c r="AC408" s="3">
        <f t="shared" si="8"/>
        <v>0</v>
      </c>
      <c r="AD408" s="3">
        <f t="shared" si="9"/>
        <v>1.333333333</v>
      </c>
      <c r="AE408" s="3">
        <f t="shared" si="10"/>
        <v>-2</v>
      </c>
      <c r="AF408" s="3">
        <f t="shared" si="11"/>
        <v>-3</v>
      </c>
      <c r="AG408" s="3">
        <f t="shared" si="12"/>
        <v>-0.7142857143</v>
      </c>
    </row>
    <row r="409">
      <c r="A409" s="1" t="s">
        <v>9</v>
      </c>
      <c r="B409" s="1" t="s">
        <v>490</v>
      </c>
      <c r="C409" s="1" t="s">
        <v>19</v>
      </c>
      <c r="D409" s="1" t="s">
        <v>82</v>
      </c>
      <c r="E409" s="1" t="s">
        <v>196</v>
      </c>
      <c r="F409" s="1" t="s">
        <v>662</v>
      </c>
      <c r="G409" s="1">
        <v>96.5</v>
      </c>
      <c r="H409" s="1" t="s">
        <v>60</v>
      </c>
      <c r="I409" s="1">
        <v>-116.0</v>
      </c>
      <c r="J409" s="1">
        <v>-0.144760128140424</v>
      </c>
      <c r="K409" s="1" t="s">
        <v>61</v>
      </c>
      <c r="L409" s="1" t="s">
        <v>61</v>
      </c>
      <c r="M409" s="1" t="s">
        <v>62</v>
      </c>
      <c r="N409" s="1">
        <v>-116.0</v>
      </c>
      <c r="O409" s="1">
        <v>0.0707209422428928</v>
      </c>
      <c r="P409" s="1" t="s">
        <v>61</v>
      </c>
      <c r="Q409" s="1" t="s">
        <v>61</v>
      </c>
      <c r="R409" s="1">
        <f t="shared" si="1"/>
        <v>0.07072094224</v>
      </c>
      <c r="S409" s="1">
        <f t="shared" si="2"/>
        <v>-116</v>
      </c>
      <c r="T409" s="1">
        <f t="shared" si="3"/>
        <v>1.862068966</v>
      </c>
      <c r="U409" s="1">
        <f t="shared" si="4"/>
        <v>0</v>
      </c>
      <c r="V409" s="3">
        <f t="shared" si="5"/>
        <v>2</v>
      </c>
      <c r="W409" s="3">
        <f t="shared" si="6"/>
        <v>2</v>
      </c>
      <c r="X409" s="3" t="str">
        <f>IFERROR(__xludf.DUMMYFUNCTION("split(B409,"" "")"),"K.")</f>
        <v>K.</v>
      </c>
      <c r="Y409" s="3" t="str">
        <f>IFERROR(__xludf.DUMMYFUNCTION("""COMPUTED_VALUE"""),"Walker")</f>
        <v>Walker</v>
      </c>
      <c r="Z409" s="3" t="str">
        <f>IFERROR(__xludf.DUMMYFUNCTION("""COMPUTED_VALUE"""),"III")</f>
        <v>III</v>
      </c>
      <c r="AA409" s="8">
        <v>107.0</v>
      </c>
      <c r="AB409" s="3">
        <f t="shared" si="7"/>
        <v>1</v>
      </c>
      <c r="AC409" s="3">
        <f t="shared" si="8"/>
        <v>0</v>
      </c>
      <c r="AD409" s="3">
        <f t="shared" si="9"/>
        <v>1.724137931</v>
      </c>
      <c r="AE409" s="3">
        <f t="shared" si="10"/>
        <v>-2</v>
      </c>
      <c r="AF409" s="3">
        <f t="shared" si="11"/>
        <v>-2</v>
      </c>
      <c r="AG409" s="3">
        <f t="shared" si="12"/>
        <v>-0.1088082902</v>
      </c>
    </row>
    <row r="410">
      <c r="A410" s="1" t="s">
        <v>11</v>
      </c>
      <c r="B410" s="1" t="s">
        <v>490</v>
      </c>
      <c r="C410" s="1" t="s">
        <v>19</v>
      </c>
      <c r="D410" s="1" t="s">
        <v>82</v>
      </c>
      <c r="E410" s="1" t="s">
        <v>196</v>
      </c>
      <c r="F410" s="1" t="s">
        <v>662</v>
      </c>
      <c r="G410" s="1">
        <v>26.5</v>
      </c>
      <c r="H410" s="1" t="s">
        <v>60</v>
      </c>
      <c r="I410" s="1">
        <v>-114.0</v>
      </c>
      <c r="J410" s="1">
        <v>-0.124265378559509</v>
      </c>
      <c r="K410" s="1" t="s">
        <v>61</v>
      </c>
      <c r="L410" s="1" t="s">
        <v>61</v>
      </c>
      <c r="M410" s="1" t="s">
        <v>62</v>
      </c>
      <c r="N410" s="1">
        <v>-115.0</v>
      </c>
      <c r="O410" s="1">
        <v>0.056722742620908</v>
      </c>
      <c r="P410" s="1" t="s">
        <v>61</v>
      </c>
      <c r="Q410" s="1" t="s">
        <v>61</v>
      </c>
      <c r="R410" s="1">
        <f t="shared" si="1"/>
        <v>0.05672274262</v>
      </c>
      <c r="S410" s="1">
        <f t="shared" si="2"/>
        <v>-115</v>
      </c>
      <c r="T410" s="1">
        <f t="shared" si="3"/>
        <v>1.869565217</v>
      </c>
      <c r="U410" s="1">
        <f t="shared" si="4"/>
        <v>0</v>
      </c>
      <c r="V410" s="3">
        <f t="shared" si="5"/>
        <v>2</v>
      </c>
      <c r="W410" s="3">
        <f t="shared" si="6"/>
        <v>2</v>
      </c>
      <c r="X410" s="3" t="str">
        <f>IFERROR(__xludf.DUMMYFUNCTION("split(B410,"" "")"),"K.")</f>
        <v>K.</v>
      </c>
      <c r="Y410" s="3" t="str">
        <f>IFERROR(__xludf.DUMMYFUNCTION("""COMPUTED_VALUE"""),"Walker")</f>
        <v>Walker</v>
      </c>
      <c r="Z410" s="3" t="str">
        <f>IFERROR(__xludf.DUMMYFUNCTION("""COMPUTED_VALUE"""),"III")</f>
        <v>III</v>
      </c>
      <c r="AA410" s="8">
        <v>24.0</v>
      </c>
      <c r="AB410" s="3">
        <f t="shared" si="7"/>
        <v>0</v>
      </c>
      <c r="AC410" s="3">
        <f t="shared" si="8"/>
        <v>1</v>
      </c>
      <c r="AD410" s="3">
        <f t="shared" si="9"/>
        <v>1.739130435</v>
      </c>
      <c r="AE410" s="3">
        <f t="shared" si="10"/>
        <v>1.739130435</v>
      </c>
      <c r="AF410" s="3">
        <f t="shared" si="11"/>
        <v>1.739130435</v>
      </c>
      <c r="AG410" s="3">
        <f t="shared" si="12"/>
        <v>0.09433962264</v>
      </c>
    </row>
    <row r="411">
      <c r="A411" s="1" t="s">
        <v>15</v>
      </c>
      <c r="B411" s="1" t="s">
        <v>500</v>
      </c>
      <c r="C411" s="1" t="s">
        <v>21</v>
      </c>
      <c r="D411" s="1" t="s">
        <v>82</v>
      </c>
      <c r="E411" s="1" t="s">
        <v>196</v>
      </c>
      <c r="F411" s="1" t="s">
        <v>662</v>
      </c>
      <c r="G411" s="1">
        <v>23.5</v>
      </c>
      <c r="H411" s="1" t="s">
        <v>60</v>
      </c>
      <c r="I411" s="1">
        <v>-119.0</v>
      </c>
      <c r="J411" s="1">
        <v>0.0433296803652969</v>
      </c>
      <c r="K411" s="1" t="s">
        <v>61</v>
      </c>
      <c r="L411" s="1" t="s">
        <v>61</v>
      </c>
      <c r="M411" s="1" t="s">
        <v>62</v>
      </c>
      <c r="N411" s="1">
        <v>-110.0</v>
      </c>
      <c r="O411" s="1">
        <v>-0.110504761904762</v>
      </c>
      <c r="P411" s="1" t="s">
        <v>61</v>
      </c>
      <c r="Q411" s="1" t="s">
        <v>61</v>
      </c>
      <c r="R411" s="1">
        <f t="shared" si="1"/>
        <v>0.04332968037</v>
      </c>
      <c r="S411" s="1">
        <f t="shared" si="2"/>
        <v>-119</v>
      </c>
      <c r="T411" s="1">
        <f t="shared" si="3"/>
        <v>1.840336134</v>
      </c>
      <c r="U411" s="1">
        <f t="shared" si="4"/>
        <v>1</v>
      </c>
      <c r="V411" s="3">
        <f t="shared" si="5"/>
        <v>1</v>
      </c>
      <c r="W411" s="3">
        <f t="shared" si="6"/>
        <v>3</v>
      </c>
      <c r="X411" s="3" t="str">
        <f>IFERROR(__xludf.DUMMYFUNCTION("split(B411,"" "")"),"G.")</f>
        <v>G.</v>
      </c>
      <c r="Y411" s="3" t="str">
        <f>IFERROR(__xludf.DUMMYFUNCTION("""COMPUTED_VALUE"""),"Smith")</f>
        <v>Smith</v>
      </c>
      <c r="AA411" s="8">
        <v>21.0</v>
      </c>
      <c r="AB411" s="3">
        <f t="shared" si="7"/>
        <v>0</v>
      </c>
      <c r="AC411" s="3">
        <f t="shared" si="8"/>
        <v>0</v>
      </c>
      <c r="AD411" s="3">
        <f t="shared" si="9"/>
        <v>0.8403361345</v>
      </c>
      <c r="AE411" s="3">
        <f t="shared" si="10"/>
        <v>-1</v>
      </c>
      <c r="AF411" s="3">
        <f t="shared" si="11"/>
        <v>-3</v>
      </c>
      <c r="AG411" s="3">
        <f t="shared" si="12"/>
        <v>-0.1063829787</v>
      </c>
    </row>
    <row r="412">
      <c r="A412" s="1" t="s">
        <v>17</v>
      </c>
      <c r="B412" s="1" t="s">
        <v>500</v>
      </c>
      <c r="C412" s="1" t="s">
        <v>21</v>
      </c>
      <c r="D412" s="1" t="s">
        <v>82</v>
      </c>
      <c r="E412" s="1" t="s">
        <v>196</v>
      </c>
      <c r="F412" s="1" t="s">
        <v>662</v>
      </c>
      <c r="G412" s="1">
        <v>0.5</v>
      </c>
      <c r="H412" s="1" t="s">
        <v>60</v>
      </c>
      <c r="I412" s="1">
        <v>-127.0</v>
      </c>
      <c r="J412" s="1">
        <v>-0.106671365638766</v>
      </c>
      <c r="K412" s="1" t="s">
        <v>61</v>
      </c>
      <c r="L412" s="1" t="s">
        <v>61</v>
      </c>
      <c r="M412" s="1" t="s">
        <v>62</v>
      </c>
      <c r="N412" s="1">
        <v>-102.0</v>
      </c>
      <c r="O412" s="1">
        <v>0.042249504950495</v>
      </c>
      <c r="P412" s="1" t="s">
        <v>61</v>
      </c>
      <c r="Q412" s="1" t="s">
        <v>61</v>
      </c>
      <c r="R412" s="1">
        <f t="shared" si="1"/>
        <v>0.04224950495</v>
      </c>
      <c r="S412" s="1">
        <f t="shared" si="2"/>
        <v>-102</v>
      </c>
      <c r="T412" s="1">
        <f t="shared" si="3"/>
        <v>1.980392157</v>
      </c>
      <c r="U412" s="1">
        <f t="shared" si="4"/>
        <v>0</v>
      </c>
      <c r="V412" s="3">
        <f t="shared" si="5"/>
        <v>1</v>
      </c>
      <c r="W412" s="3">
        <f t="shared" si="6"/>
        <v>2</v>
      </c>
      <c r="X412" s="3" t="str">
        <f>IFERROR(__xludf.DUMMYFUNCTION("split(B412,"" "")"),"G.")</f>
        <v>G.</v>
      </c>
      <c r="Y412" s="3" t="str">
        <f>IFERROR(__xludf.DUMMYFUNCTION("""COMPUTED_VALUE"""),"Smith")</f>
        <v>Smith</v>
      </c>
      <c r="AA412" s="8">
        <v>3.0</v>
      </c>
      <c r="AB412" s="3">
        <f t="shared" si="7"/>
        <v>1</v>
      </c>
      <c r="AC412" s="3">
        <f t="shared" si="8"/>
        <v>0</v>
      </c>
      <c r="AD412" s="3">
        <f t="shared" si="9"/>
        <v>0.9803921569</v>
      </c>
      <c r="AE412" s="3">
        <f t="shared" si="10"/>
        <v>-1</v>
      </c>
      <c r="AF412" s="3">
        <f t="shared" si="11"/>
        <v>-2</v>
      </c>
      <c r="AG412" s="3">
        <f t="shared" si="12"/>
        <v>-5</v>
      </c>
    </row>
    <row r="413">
      <c r="A413" s="1" t="s">
        <v>10</v>
      </c>
      <c r="B413" s="1" t="s">
        <v>490</v>
      </c>
      <c r="C413" s="1" t="s">
        <v>19</v>
      </c>
      <c r="D413" s="1" t="s">
        <v>82</v>
      </c>
      <c r="E413" s="1" t="s">
        <v>196</v>
      </c>
      <c r="F413" s="1" t="s">
        <v>662</v>
      </c>
      <c r="G413" s="1">
        <v>66.5</v>
      </c>
      <c r="H413" s="1" t="s">
        <v>60</v>
      </c>
      <c r="I413" s="1">
        <v>-112.0</v>
      </c>
      <c r="J413" s="1">
        <v>-0.105742112258036</v>
      </c>
      <c r="K413" s="1" t="s">
        <v>61</v>
      </c>
      <c r="L413" s="1" t="s">
        <v>61</v>
      </c>
      <c r="M413" s="1" t="s">
        <v>62</v>
      </c>
      <c r="N413" s="1">
        <v>-117.0</v>
      </c>
      <c r="O413" s="1">
        <v>0.0382751368385083</v>
      </c>
      <c r="P413" s="1" t="s">
        <v>61</v>
      </c>
      <c r="Q413" s="1" t="s">
        <v>61</v>
      </c>
      <c r="R413" s="1">
        <f t="shared" si="1"/>
        <v>0.03827513684</v>
      </c>
      <c r="S413" s="1">
        <f t="shared" si="2"/>
        <v>-117</v>
      </c>
      <c r="T413" s="1">
        <f t="shared" si="3"/>
        <v>1.854700855</v>
      </c>
      <c r="U413" s="1">
        <f t="shared" si="4"/>
        <v>0</v>
      </c>
      <c r="V413" s="3">
        <f t="shared" si="5"/>
        <v>1</v>
      </c>
      <c r="W413" s="3">
        <f t="shared" si="6"/>
        <v>2</v>
      </c>
      <c r="X413" s="3" t="str">
        <f>IFERROR(__xludf.DUMMYFUNCTION("split(B413,"" "")"),"K.")</f>
        <v>K.</v>
      </c>
      <c r="Y413" s="3" t="str">
        <f>IFERROR(__xludf.DUMMYFUNCTION("""COMPUTED_VALUE"""),"Walker")</f>
        <v>Walker</v>
      </c>
      <c r="Z413" s="3" t="str">
        <f>IFERROR(__xludf.DUMMYFUNCTION("""COMPUTED_VALUE"""),"III")</f>
        <v>III</v>
      </c>
      <c r="AA413" s="8">
        <v>83.0</v>
      </c>
      <c r="AB413" s="3">
        <f t="shared" si="7"/>
        <v>1</v>
      </c>
      <c r="AC413" s="3">
        <f t="shared" si="8"/>
        <v>0</v>
      </c>
      <c r="AD413" s="3">
        <f t="shared" si="9"/>
        <v>0.8547008547</v>
      </c>
      <c r="AE413" s="3">
        <f t="shared" si="10"/>
        <v>-1</v>
      </c>
      <c r="AF413" s="3">
        <f t="shared" si="11"/>
        <v>-2</v>
      </c>
      <c r="AG413" s="3">
        <f t="shared" si="12"/>
        <v>-0.2481203008</v>
      </c>
    </row>
    <row r="414">
      <c r="A414" s="1" t="s">
        <v>8</v>
      </c>
      <c r="B414" s="1" t="s">
        <v>490</v>
      </c>
      <c r="C414" s="1" t="s">
        <v>19</v>
      </c>
      <c r="D414" s="1" t="s">
        <v>82</v>
      </c>
      <c r="E414" s="1" t="s">
        <v>196</v>
      </c>
      <c r="F414" s="1" t="s">
        <v>662</v>
      </c>
      <c r="G414" s="1">
        <v>15.5</v>
      </c>
      <c r="H414" s="1" t="s">
        <v>60</v>
      </c>
      <c r="I414" s="1">
        <v>-115.0</v>
      </c>
      <c r="J414" s="1">
        <v>-0.10693003104186</v>
      </c>
      <c r="K414" s="1" t="s">
        <v>61</v>
      </c>
      <c r="L414" s="1" t="s">
        <v>61</v>
      </c>
      <c r="M414" s="1" t="s">
        <v>62</v>
      </c>
      <c r="N414" s="1">
        <v>-115.0</v>
      </c>
      <c r="O414" s="1">
        <v>0.0371695356981395</v>
      </c>
      <c r="P414" s="1" t="s">
        <v>61</v>
      </c>
      <c r="Q414" s="1" t="s">
        <v>61</v>
      </c>
      <c r="R414" s="1">
        <f t="shared" si="1"/>
        <v>0.0371695357</v>
      </c>
      <c r="S414" s="1">
        <f t="shared" si="2"/>
        <v>-115</v>
      </c>
      <c r="T414" s="1">
        <f t="shared" si="3"/>
        <v>1.869565217</v>
      </c>
      <c r="U414" s="1">
        <f t="shared" si="4"/>
        <v>0</v>
      </c>
      <c r="V414" s="3">
        <f t="shared" si="5"/>
        <v>1</v>
      </c>
      <c r="W414" s="3">
        <f t="shared" si="6"/>
        <v>2</v>
      </c>
      <c r="X414" s="3" t="str">
        <f>IFERROR(__xludf.DUMMYFUNCTION("split(B414,"" "")"),"K.")</f>
        <v>K.</v>
      </c>
      <c r="Y414" s="3" t="str">
        <f>IFERROR(__xludf.DUMMYFUNCTION("""COMPUTED_VALUE"""),"Walker")</f>
        <v>Walker</v>
      </c>
      <c r="Z414" s="3" t="str">
        <f>IFERROR(__xludf.DUMMYFUNCTION("""COMPUTED_VALUE"""),"III")</f>
        <v>III</v>
      </c>
      <c r="AA414" s="8">
        <v>25.0</v>
      </c>
      <c r="AB414" s="3">
        <f t="shared" si="7"/>
        <v>1</v>
      </c>
      <c r="AC414" s="3">
        <f t="shared" si="8"/>
        <v>0</v>
      </c>
      <c r="AD414" s="3">
        <f t="shared" si="9"/>
        <v>0.8695652174</v>
      </c>
      <c r="AE414" s="3">
        <f t="shared" si="10"/>
        <v>-1</v>
      </c>
      <c r="AF414" s="3">
        <f t="shared" si="11"/>
        <v>-2</v>
      </c>
      <c r="AG414" s="3">
        <f t="shared" si="12"/>
        <v>-0.6129032258</v>
      </c>
    </row>
    <row r="415">
      <c r="A415" s="1" t="s">
        <v>12</v>
      </c>
      <c r="B415" s="1" t="s">
        <v>334</v>
      </c>
      <c r="C415" s="1" t="s">
        <v>18</v>
      </c>
      <c r="D415" s="1" t="s">
        <v>82</v>
      </c>
      <c r="E415" s="1" t="s">
        <v>196</v>
      </c>
      <c r="F415" s="1" t="s">
        <v>662</v>
      </c>
      <c r="G415" s="1">
        <v>5.5</v>
      </c>
      <c r="H415" s="1" t="s">
        <v>60</v>
      </c>
      <c r="I415" s="1">
        <v>-109.0</v>
      </c>
      <c r="J415" s="1">
        <v>0.0346167464114832</v>
      </c>
      <c r="K415" s="1" t="s">
        <v>61</v>
      </c>
      <c r="L415" s="1" t="s">
        <v>61</v>
      </c>
      <c r="M415" s="1" t="s">
        <v>62</v>
      </c>
      <c r="N415" s="1">
        <v>-121.0</v>
      </c>
      <c r="O415" s="1">
        <v>-0.103666063348416</v>
      </c>
      <c r="P415" s="1" t="s">
        <v>61</v>
      </c>
      <c r="Q415" s="1" t="s">
        <v>61</v>
      </c>
      <c r="R415" s="1">
        <f t="shared" si="1"/>
        <v>0.03461674641</v>
      </c>
      <c r="S415" s="1">
        <f t="shared" si="2"/>
        <v>-109</v>
      </c>
      <c r="T415" s="1">
        <f t="shared" si="3"/>
        <v>1.917431193</v>
      </c>
      <c r="U415" s="1">
        <f t="shared" si="4"/>
        <v>1</v>
      </c>
      <c r="V415" s="3">
        <f t="shared" si="5"/>
        <v>1</v>
      </c>
      <c r="W415" s="3">
        <f t="shared" si="6"/>
        <v>2</v>
      </c>
      <c r="X415" s="3" t="str">
        <f>IFERROR(__xludf.DUMMYFUNCTION("split(B415,"" "")"),"J.")</f>
        <v>J.</v>
      </c>
      <c r="Y415" s="3" t="str">
        <f>IFERROR(__xludf.DUMMYFUNCTION("""COMPUTED_VALUE"""),"Smith-Njigba")</f>
        <v>Smith-Njigba</v>
      </c>
      <c r="AA415" s="8">
        <v>7.0</v>
      </c>
      <c r="AB415" s="3">
        <f t="shared" si="7"/>
        <v>1</v>
      </c>
      <c r="AC415" s="3">
        <f t="shared" si="8"/>
        <v>1</v>
      </c>
      <c r="AD415" s="3">
        <f t="shared" si="9"/>
        <v>0.9174311927</v>
      </c>
      <c r="AE415" s="3">
        <f t="shared" si="10"/>
        <v>0.9174311927</v>
      </c>
      <c r="AF415" s="3">
        <f t="shared" si="11"/>
        <v>1.834862385</v>
      </c>
      <c r="AG415" s="3">
        <f t="shared" si="12"/>
        <v>0.2727272727</v>
      </c>
    </row>
    <row r="416">
      <c r="A416" s="1" t="s">
        <v>10</v>
      </c>
      <c r="B416" s="1" t="s">
        <v>500</v>
      </c>
      <c r="C416" s="1" t="s">
        <v>21</v>
      </c>
      <c r="D416" s="1" t="s">
        <v>82</v>
      </c>
      <c r="E416" s="1" t="s">
        <v>196</v>
      </c>
      <c r="F416" s="1" t="s">
        <v>662</v>
      </c>
      <c r="G416" s="1">
        <v>12.5</v>
      </c>
      <c r="H416" s="1" t="s">
        <v>60</v>
      </c>
      <c r="I416" s="1">
        <v>-116.0</v>
      </c>
      <c r="J416" s="1">
        <v>-0.094731126042068</v>
      </c>
      <c r="K416" s="1" t="s">
        <v>61</v>
      </c>
      <c r="L416" s="1" t="s">
        <v>61</v>
      </c>
      <c r="M416" s="1" t="s">
        <v>62</v>
      </c>
      <c r="N416" s="1">
        <v>-112.0</v>
      </c>
      <c r="O416" s="1">
        <v>0.0293913679815898</v>
      </c>
      <c r="P416" s="1" t="s">
        <v>61</v>
      </c>
      <c r="Q416" s="1" t="s">
        <v>61</v>
      </c>
      <c r="R416" s="1">
        <f t="shared" si="1"/>
        <v>0.02939136798</v>
      </c>
      <c r="S416" s="1">
        <f t="shared" si="2"/>
        <v>-112</v>
      </c>
      <c r="T416" s="1">
        <f t="shared" si="3"/>
        <v>1.892857143</v>
      </c>
      <c r="U416" s="1">
        <f t="shared" si="4"/>
        <v>0</v>
      </c>
      <c r="V416" s="3">
        <f t="shared" si="5"/>
        <v>1</v>
      </c>
      <c r="W416" s="3">
        <f t="shared" si="6"/>
        <v>2</v>
      </c>
      <c r="X416" s="3" t="str">
        <f>IFERROR(__xludf.DUMMYFUNCTION("split(B416,"" "")"),"G.")</f>
        <v>G.</v>
      </c>
      <c r="Y416" s="3" t="str">
        <f>IFERROR(__xludf.DUMMYFUNCTION("""COMPUTED_VALUE"""),"Smith")</f>
        <v>Smith</v>
      </c>
      <c r="AA416" s="8">
        <v>16.0</v>
      </c>
      <c r="AB416" s="3">
        <f t="shared" si="7"/>
        <v>1</v>
      </c>
      <c r="AC416" s="3">
        <f t="shared" si="8"/>
        <v>0</v>
      </c>
      <c r="AD416" s="3">
        <f t="shared" si="9"/>
        <v>0.8928571429</v>
      </c>
      <c r="AE416" s="3">
        <f t="shared" si="10"/>
        <v>-1</v>
      </c>
      <c r="AF416" s="3">
        <f t="shared" si="11"/>
        <v>-2</v>
      </c>
      <c r="AG416" s="3">
        <f t="shared" si="12"/>
        <v>-0.28</v>
      </c>
    </row>
    <row r="417">
      <c r="A417" s="1" t="s">
        <v>9</v>
      </c>
      <c r="B417" s="1" t="s">
        <v>668</v>
      </c>
      <c r="C417" s="1" t="s">
        <v>18</v>
      </c>
      <c r="D417" s="1" t="s">
        <v>82</v>
      </c>
      <c r="E417" s="1" t="s">
        <v>196</v>
      </c>
      <c r="F417" s="1" t="s">
        <v>662</v>
      </c>
      <c r="G417" s="1">
        <v>31.5</v>
      </c>
      <c r="H417" s="1" t="s">
        <v>60</v>
      </c>
      <c r="I417" s="1">
        <v>-120.0</v>
      </c>
      <c r="J417" s="1">
        <v>0.0275757407812674</v>
      </c>
      <c r="K417" s="1" t="s">
        <v>61</v>
      </c>
      <c r="L417" s="1" t="s">
        <v>61</v>
      </c>
      <c r="M417" s="1" t="s">
        <v>62</v>
      </c>
      <c r="N417" s="1">
        <v>-110.0</v>
      </c>
      <c r="O417" s="1">
        <v>-0.0967987108050796</v>
      </c>
      <c r="P417" s="1" t="s">
        <v>61</v>
      </c>
      <c r="Q417" s="1" t="s">
        <v>61</v>
      </c>
      <c r="R417" s="1">
        <f t="shared" si="1"/>
        <v>0.02757574078</v>
      </c>
      <c r="S417" s="1">
        <f t="shared" si="2"/>
        <v>-120</v>
      </c>
      <c r="T417" s="1">
        <f t="shared" si="3"/>
        <v>1.833333333</v>
      </c>
      <c r="U417" s="1">
        <f t="shared" si="4"/>
        <v>1</v>
      </c>
      <c r="V417" s="3">
        <f t="shared" si="5"/>
        <v>1</v>
      </c>
      <c r="W417" s="3">
        <f t="shared" si="6"/>
        <v>3</v>
      </c>
      <c r="X417" s="3" t="str">
        <f>IFERROR(__xludf.DUMMYFUNCTION("split(B417,"" "")"),"J.")</f>
        <v>J.</v>
      </c>
      <c r="Y417" s="3" t="str">
        <f>IFERROR(__xludf.DUMMYFUNCTION("""COMPUTED_VALUE"""),"Bobo")</f>
        <v>Bobo</v>
      </c>
      <c r="AA417" s="8">
        <v>0.0</v>
      </c>
      <c r="AB417" s="3">
        <f t="shared" si="7"/>
        <v>0</v>
      </c>
      <c r="AC417" s="3">
        <f t="shared" si="8"/>
        <v>0</v>
      </c>
      <c r="AD417" s="3">
        <f t="shared" si="9"/>
        <v>0.8333333333</v>
      </c>
      <c r="AE417" s="3">
        <f t="shared" si="10"/>
        <v>-1</v>
      </c>
      <c r="AF417" s="3">
        <f t="shared" si="11"/>
        <v>-3</v>
      </c>
      <c r="AG417" s="3">
        <f t="shared" si="12"/>
        <v>-1</v>
      </c>
    </row>
    <row r="418">
      <c r="A418" s="1" t="s">
        <v>9</v>
      </c>
      <c r="B418" s="1" t="s">
        <v>361</v>
      </c>
      <c r="C418" s="1" t="s">
        <v>19</v>
      </c>
      <c r="D418" s="1" t="s">
        <v>82</v>
      </c>
      <c r="E418" s="1" t="s">
        <v>196</v>
      </c>
      <c r="F418" s="1" t="s">
        <v>662</v>
      </c>
      <c r="G418" s="1">
        <v>34.5</v>
      </c>
      <c r="H418" s="1" t="s">
        <v>60</v>
      </c>
      <c r="I418" s="1">
        <v>-120.0</v>
      </c>
      <c r="J418" s="1">
        <v>0.0179042498723465</v>
      </c>
      <c r="K418" s="1" t="s">
        <v>61</v>
      </c>
      <c r="L418" s="1" t="s">
        <v>61</v>
      </c>
      <c r="M418" s="1" t="s">
        <v>62</v>
      </c>
      <c r="N418" s="1">
        <v>-113.0</v>
      </c>
      <c r="O418" s="1">
        <v>-0.0938516268463161</v>
      </c>
      <c r="P418" s="1" t="s">
        <v>61</v>
      </c>
      <c r="Q418" s="1" t="s">
        <v>61</v>
      </c>
      <c r="R418" s="1">
        <f t="shared" si="1"/>
        <v>0.01790424987</v>
      </c>
      <c r="S418" s="1">
        <f t="shared" si="2"/>
        <v>-120</v>
      </c>
      <c r="T418" s="1">
        <f t="shared" si="3"/>
        <v>1.833333333</v>
      </c>
      <c r="U418" s="1">
        <f t="shared" si="4"/>
        <v>1</v>
      </c>
      <c r="V418" s="3">
        <f t="shared" si="5"/>
        <v>1</v>
      </c>
      <c r="W418" s="3">
        <f t="shared" si="6"/>
        <v>3</v>
      </c>
      <c r="X418" s="3" t="str">
        <f>IFERROR(__xludf.DUMMYFUNCTION("split(B418,"" "")"),"Z.")</f>
        <v>Z.</v>
      </c>
      <c r="Y418" s="3" t="str">
        <f>IFERROR(__xludf.DUMMYFUNCTION("""COMPUTED_VALUE"""),"Charbonnet")</f>
        <v>Charbonnet</v>
      </c>
      <c r="AA418" s="8">
        <v>33.0</v>
      </c>
      <c r="AB418" s="3">
        <f t="shared" si="7"/>
        <v>0</v>
      </c>
      <c r="AC418" s="3">
        <f t="shared" si="8"/>
        <v>0</v>
      </c>
      <c r="AD418" s="3">
        <f t="shared" si="9"/>
        <v>0.8333333333</v>
      </c>
      <c r="AE418" s="3">
        <f t="shared" si="10"/>
        <v>-1</v>
      </c>
      <c r="AF418" s="3">
        <f t="shared" si="11"/>
        <v>-3</v>
      </c>
      <c r="AG418" s="3">
        <f t="shared" si="12"/>
        <v>-0.04347826087</v>
      </c>
    </row>
    <row r="419">
      <c r="A419" s="1" t="s">
        <v>11</v>
      </c>
      <c r="B419" s="1" t="s">
        <v>603</v>
      </c>
      <c r="C419" s="1" t="s">
        <v>20</v>
      </c>
      <c r="D419" s="1" t="s">
        <v>82</v>
      </c>
      <c r="E419" s="1" t="s">
        <v>196</v>
      </c>
      <c r="F419" s="1" t="s">
        <v>662</v>
      </c>
      <c r="G419" s="1">
        <v>23.5</v>
      </c>
      <c r="H419" s="1" t="s">
        <v>60</v>
      </c>
      <c r="I419" s="1">
        <v>-114.0</v>
      </c>
      <c r="J419" s="1">
        <v>-0.080331453419257</v>
      </c>
      <c r="K419" s="1" t="s">
        <v>61</v>
      </c>
      <c r="L419" s="1" t="s">
        <v>61</v>
      </c>
      <c r="M419" s="1" t="s">
        <v>62</v>
      </c>
      <c r="N419" s="1">
        <v>-113.0</v>
      </c>
      <c r="O419" s="1">
        <v>0.0171211364593649</v>
      </c>
      <c r="P419" s="1" t="s">
        <v>61</v>
      </c>
      <c r="Q419" s="1" t="s">
        <v>61</v>
      </c>
      <c r="R419" s="1">
        <f t="shared" si="1"/>
        <v>0.01712113646</v>
      </c>
      <c r="S419" s="1">
        <f t="shared" si="2"/>
        <v>-113</v>
      </c>
      <c r="T419" s="1">
        <f t="shared" si="3"/>
        <v>1.884955752</v>
      </c>
      <c r="U419" s="1">
        <f t="shared" si="4"/>
        <v>0</v>
      </c>
      <c r="V419" s="3">
        <f t="shared" si="5"/>
        <v>1</v>
      </c>
      <c r="W419" s="3">
        <f t="shared" si="6"/>
        <v>2</v>
      </c>
      <c r="X419" s="3" t="str">
        <f>IFERROR(__xludf.DUMMYFUNCTION("split(B419,"" "")"),"A.")</f>
        <v>A.</v>
      </c>
      <c r="Y419" s="3" t="str">
        <f>IFERROR(__xludf.DUMMYFUNCTION("""COMPUTED_VALUE"""),"Barner")</f>
        <v>Barner</v>
      </c>
      <c r="AA419" s="8">
        <v>27.0</v>
      </c>
      <c r="AB419" s="3">
        <f t="shared" si="7"/>
        <v>1</v>
      </c>
      <c r="AC419" s="3">
        <f t="shared" si="8"/>
        <v>0</v>
      </c>
      <c r="AD419" s="3">
        <f t="shared" si="9"/>
        <v>0.8849557522</v>
      </c>
      <c r="AE419" s="3">
        <f t="shared" si="10"/>
        <v>-1</v>
      </c>
      <c r="AF419" s="3">
        <f t="shared" si="11"/>
        <v>-2</v>
      </c>
      <c r="AG419" s="3">
        <f t="shared" si="12"/>
        <v>-0.1489361702</v>
      </c>
    </row>
    <row r="420">
      <c r="A420" s="1" t="s">
        <v>10</v>
      </c>
      <c r="B420" s="1" t="s">
        <v>437</v>
      </c>
      <c r="C420" s="1" t="s">
        <v>18</v>
      </c>
      <c r="D420" s="1" t="s">
        <v>100</v>
      </c>
      <c r="E420" s="1" t="s">
        <v>66</v>
      </c>
      <c r="F420" s="1" t="s">
        <v>658</v>
      </c>
      <c r="G420" s="1">
        <v>0.5</v>
      </c>
      <c r="H420" s="1" t="s">
        <v>60</v>
      </c>
      <c r="I420" s="1">
        <v>158.0</v>
      </c>
      <c r="J420" s="1">
        <v>0.225258836340068</v>
      </c>
      <c r="K420" s="1" t="s">
        <v>61</v>
      </c>
      <c r="L420" s="1" t="s">
        <v>61</v>
      </c>
      <c r="M420" s="1" t="s">
        <v>62</v>
      </c>
      <c r="N420" s="1">
        <v>-211.0</v>
      </c>
      <c r="O420" s="1">
        <v>-0.291275195015683</v>
      </c>
      <c r="P420" s="1" t="s">
        <v>61</v>
      </c>
      <c r="Q420" s="1" t="s">
        <v>61</v>
      </c>
      <c r="R420" s="1">
        <f t="shared" si="1"/>
        <v>0.2252588363</v>
      </c>
      <c r="S420" s="1">
        <f t="shared" si="2"/>
        <v>158</v>
      </c>
      <c r="T420" s="1">
        <f t="shared" si="3"/>
        <v>2.58</v>
      </c>
      <c r="U420" s="1">
        <f t="shared" si="4"/>
        <v>1</v>
      </c>
      <c r="V420" s="3">
        <f t="shared" si="5"/>
        <v>3</v>
      </c>
      <c r="W420" s="3">
        <f t="shared" si="6"/>
        <v>1</v>
      </c>
      <c r="X420" s="3" t="str">
        <f>IFERROR(__xludf.DUMMYFUNCTION("split(B420,"" "")"),"C.")</f>
        <v>C.</v>
      </c>
      <c r="Y420" s="3" t="str">
        <f>IFERROR(__xludf.DUMMYFUNCTION("""COMPUTED_VALUE"""),"Ridley")</f>
        <v>Ridley</v>
      </c>
      <c r="AA420" s="8">
        <v>0.0</v>
      </c>
      <c r="AB420" s="3">
        <f t="shared" si="7"/>
        <v>0</v>
      </c>
      <c r="AC420" s="3">
        <f t="shared" si="8"/>
        <v>0</v>
      </c>
      <c r="AD420" s="3">
        <f t="shared" si="9"/>
        <v>4.74</v>
      </c>
      <c r="AE420" s="3">
        <f t="shared" si="10"/>
        <v>-3</v>
      </c>
      <c r="AF420" s="3">
        <f t="shared" si="11"/>
        <v>-1</v>
      </c>
      <c r="AG420" s="3">
        <f t="shared" si="12"/>
        <v>-1</v>
      </c>
    </row>
    <row r="421">
      <c r="A421" s="1" t="s">
        <v>12</v>
      </c>
      <c r="B421" s="1" t="s">
        <v>559</v>
      </c>
      <c r="C421" s="1" t="s">
        <v>18</v>
      </c>
      <c r="D421" s="1" t="s">
        <v>100</v>
      </c>
      <c r="E421" s="1" t="s">
        <v>66</v>
      </c>
      <c r="F421" s="1" t="s">
        <v>658</v>
      </c>
      <c r="G421" s="1">
        <v>2.5</v>
      </c>
      <c r="H421" s="1" t="s">
        <v>60</v>
      </c>
      <c r="I421" s="1">
        <v>-156.0</v>
      </c>
      <c r="J421" s="1">
        <v>-0.251173316210937</v>
      </c>
      <c r="K421" s="1" t="s">
        <v>61</v>
      </c>
      <c r="L421" s="1" t="s">
        <v>61</v>
      </c>
      <c r="M421" s="1" t="s">
        <v>62</v>
      </c>
      <c r="N421" s="1">
        <v>119.0</v>
      </c>
      <c r="O421" s="1">
        <v>0.185177027168949</v>
      </c>
      <c r="P421" s="1" t="s">
        <v>61</v>
      </c>
      <c r="Q421" s="1" t="s">
        <v>61</v>
      </c>
      <c r="R421" s="1">
        <f t="shared" si="1"/>
        <v>0.1851770272</v>
      </c>
      <c r="S421" s="1">
        <f t="shared" si="2"/>
        <v>119</v>
      </c>
      <c r="T421" s="1">
        <f t="shared" si="3"/>
        <v>2.19</v>
      </c>
      <c r="U421" s="1">
        <f t="shared" si="4"/>
        <v>0</v>
      </c>
      <c r="V421" s="3">
        <f t="shared" si="5"/>
        <v>3</v>
      </c>
      <c r="W421" s="3">
        <f t="shared" si="6"/>
        <v>1</v>
      </c>
      <c r="X421" s="3" t="str">
        <f>IFERROR(__xludf.DUMMYFUNCTION("split(B421,"" "")"),"T.")</f>
        <v>T.</v>
      </c>
      <c r="Y421" s="3" t="str">
        <f>IFERROR(__xludf.DUMMYFUNCTION("""COMPUTED_VALUE"""),"Boyd")</f>
        <v>Boyd</v>
      </c>
      <c r="AA421" s="8">
        <v>0.0</v>
      </c>
      <c r="AB421" s="3">
        <f t="shared" si="7"/>
        <v>0</v>
      </c>
      <c r="AC421" s="3">
        <f t="shared" si="8"/>
        <v>1</v>
      </c>
      <c r="AD421" s="3">
        <f t="shared" si="9"/>
        <v>3.57</v>
      </c>
      <c r="AE421" s="3">
        <f t="shared" si="10"/>
        <v>3.57</v>
      </c>
      <c r="AF421" s="3">
        <f t="shared" si="11"/>
        <v>1.19</v>
      </c>
      <c r="AG421" s="3">
        <f t="shared" si="12"/>
        <v>1</v>
      </c>
    </row>
    <row r="422">
      <c r="A422" s="1" t="s">
        <v>8</v>
      </c>
      <c r="B422" s="1" t="s">
        <v>631</v>
      </c>
      <c r="C422" s="1" t="s">
        <v>21</v>
      </c>
      <c r="D422" s="1" t="s">
        <v>100</v>
      </c>
      <c r="E422" s="1" t="s">
        <v>66</v>
      </c>
      <c r="F422" s="1" t="s">
        <v>658</v>
      </c>
      <c r="G422" s="1">
        <v>2.5</v>
      </c>
      <c r="H422" s="1" t="s">
        <v>60</v>
      </c>
      <c r="I422" s="1">
        <v>-175.0</v>
      </c>
      <c r="J422" s="1">
        <v>-0.245994801943543</v>
      </c>
      <c r="K422" s="1" t="s">
        <v>61</v>
      </c>
      <c r="L422" s="1" t="s">
        <v>61</v>
      </c>
      <c r="M422" s="1" t="s">
        <v>62</v>
      </c>
      <c r="N422" s="1">
        <v>130.0</v>
      </c>
      <c r="O422" s="1">
        <v>0.174854654497714</v>
      </c>
      <c r="P422" s="1" t="s">
        <v>61</v>
      </c>
      <c r="Q422" s="1" t="s">
        <v>61</v>
      </c>
      <c r="R422" s="1">
        <f t="shared" si="1"/>
        <v>0.1748546545</v>
      </c>
      <c r="S422" s="1">
        <f t="shared" si="2"/>
        <v>130</v>
      </c>
      <c r="T422" s="1">
        <f t="shared" si="3"/>
        <v>2.3</v>
      </c>
      <c r="U422" s="1">
        <f t="shared" si="4"/>
        <v>0</v>
      </c>
      <c r="V422" s="3">
        <f t="shared" si="5"/>
        <v>3</v>
      </c>
      <c r="W422" s="3">
        <f t="shared" si="6"/>
        <v>1</v>
      </c>
      <c r="X422" s="3" t="str">
        <f>IFERROR(__xludf.DUMMYFUNCTION("split(B422,"" "")"),"M.")</f>
        <v>M.</v>
      </c>
      <c r="Y422" s="3" t="str">
        <f>IFERROR(__xludf.DUMMYFUNCTION("""COMPUTED_VALUE"""),"Rudolph")</f>
        <v>Rudolph</v>
      </c>
      <c r="AA422" s="8">
        <v>4.0</v>
      </c>
      <c r="AB422" s="3">
        <f t="shared" si="7"/>
        <v>1</v>
      </c>
      <c r="AC422" s="3">
        <f t="shared" si="8"/>
        <v>0</v>
      </c>
      <c r="AD422" s="3">
        <f t="shared" si="9"/>
        <v>3.9</v>
      </c>
      <c r="AE422" s="3">
        <f t="shared" si="10"/>
        <v>-3</v>
      </c>
      <c r="AF422" s="3">
        <f t="shared" si="11"/>
        <v>-1</v>
      </c>
      <c r="AG422" s="3">
        <f t="shared" si="12"/>
        <v>-0.6</v>
      </c>
    </row>
    <row r="423">
      <c r="A423" s="1" t="s">
        <v>12</v>
      </c>
      <c r="B423" s="1" t="s">
        <v>340</v>
      </c>
      <c r="C423" s="1" t="s">
        <v>19</v>
      </c>
      <c r="D423" s="1" t="s">
        <v>100</v>
      </c>
      <c r="E423" s="1" t="s">
        <v>66</v>
      </c>
      <c r="F423" s="1" t="s">
        <v>658</v>
      </c>
      <c r="G423" s="1">
        <v>2.5</v>
      </c>
      <c r="H423" s="1" t="s">
        <v>60</v>
      </c>
      <c r="I423" s="1">
        <v>-147.0</v>
      </c>
      <c r="J423" s="1">
        <v>-0.232339866842105</v>
      </c>
      <c r="K423" s="1" t="s">
        <v>61</v>
      </c>
      <c r="L423" s="1" t="s">
        <v>61</v>
      </c>
      <c r="M423" s="1" t="s">
        <v>62</v>
      </c>
      <c r="N423" s="1">
        <v>111.0</v>
      </c>
      <c r="O423" s="1">
        <v>0.163264204312796</v>
      </c>
      <c r="P423" s="1" t="s">
        <v>61</v>
      </c>
      <c r="Q423" s="1" t="s">
        <v>61</v>
      </c>
      <c r="R423" s="1">
        <f t="shared" si="1"/>
        <v>0.1632642043</v>
      </c>
      <c r="S423" s="1">
        <f t="shared" si="2"/>
        <v>111</v>
      </c>
      <c r="T423" s="1">
        <f t="shared" si="3"/>
        <v>2.11</v>
      </c>
      <c r="U423" s="1">
        <f t="shared" si="4"/>
        <v>0</v>
      </c>
      <c r="V423" s="3">
        <f t="shared" si="5"/>
        <v>3</v>
      </c>
      <c r="W423" s="3">
        <f t="shared" si="6"/>
        <v>1</v>
      </c>
      <c r="X423" s="3" t="str">
        <f>IFERROR(__xludf.DUMMYFUNCTION("split(B423,"" "")"),"T.")</f>
        <v>T.</v>
      </c>
      <c r="Y423" s="3" t="str">
        <f>IFERROR(__xludf.DUMMYFUNCTION("""COMPUTED_VALUE"""),"Pollard")</f>
        <v>Pollard</v>
      </c>
      <c r="AA423" s="8">
        <v>3.0</v>
      </c>
      <c r="AB423" s="3">
        <f t="shared" si="7"/>
        <v>1</v>
      </c>
      <c r="AC423" s="3">
        <f t="shared" si="8"/>
        <v>0</v>
      </c>
      <c r="AD423" s="3">
        <f t="shared" si="9"/>
        <v>3.33</v>
      </c>
      <c r="AE423" s="3">
        <f t="shared" si="10"/>
        <v>-3</v>
      </c>
      <c r="AF423" s="3">
        <f t="shared" si="11"/>
        <v>-1</v>
      </c>
      <c r="AG423" s="3">
        <f t="shared" si="12"/>
        <v>-0.2</v>
      </c>
    </row>
    <row r="424">
      <c r="A424" s="1" t="s">
        <v>15</v>
      </c>
      <c r="B424" s="1" t="s">
        <v>631</v>
      </c>
      <c r="C424" s="1" t="s">
        <v>21</v>
      </c>
      <c r="D424" s="1" t="s">
        <v>100</v>
      </c>
      <c r="E424" s="1" t="s">
        <v>66</v>
      </c>
      <c r="F424" s="1" t="s">
        <v>658</v>
      </c>
      <c r="G424" s="1">
        <v>18.5</v>
      </c>
      <c r="H424" s="1" t="s">
        <v>60</v>
      </c>
      <c r="I424" s="1">
        <v>-125.0</v>
      </c>
      <c r="J424" s="1">
        <v>-0.180944055551111</v>
      </c>
      <c r="K424" s="1" t="s">
        <v>61</v>
      </c>
      <c r="L424" s="1" t="s">
        <v>61</v>
      </c>
      <c r="M424" s="1" t="s">
        <v>62</v>
      </c>
      <c r="N424" s="1">
        <v>-106.0</v>
      </c>
      <c r="O424" s="1">
        <v>0.110839355577378</v>
      </c>
      <c r="P424" s="1" t="s">
        <v>61</v>
      </c>
      <c r="Q424" s="1" t="s">
        <v>61</v>
      </c>
      <c r="R424" s="1">
        <f t="shared" si="1"/>
        <v>0.1108393556</v>
      </c>
      <c r="S424" s="1">
        <f t="shared" si="2"/>
        <v>-106</v>
      </c>
      <c r="T424" s="1">
        <f t="shared" si="3"/>
        <v>1.943396226</v>
      </c>
      <c r="U424" s="1">
        <f t="shared" si="4"/>
        <v>0</v>
      </c>
      <c r="V424" s="3">
        <f t="shared" si="5"/>
        <v>3</v>
      </c>
      <c r="W424" s="3">
        <f t="shared" si="6"/>
        <v>2</v>
      </c>
      <c r="X424" s="3" t="str">
        <f>IFERROR(__xludf.DUMMYFUNCTION("split(B424,"" "")"),"M.")</f>
        <v>M.</v>
      </c>
      <c r="Y424" s="3" t="str">
        <f>IFERROR(__xludf.DUMMYFUNCTION("""COMPUTED_VALUE"""),"Rudolph")</f>
        <v>Rudolph</v>
      </c>
      <c r="AA424" s="8">
        <v>20.0</v>
      </c>
      <c r="AB424" s="3">
        <f t="shared" si="7"/>
        <v>1</v>
      </c>
      <c r="AC424" s="3">
        <f t="shared" si="8"/>
        <v>0</v>
      </c>
      <c r="AD424" s="3">
        <f t="shared" si="9"/>
        <v>2.830188679</v>
      </c>
      <c r="AE424" s="3">
        <f t="shared" si="10"/>
        <v>-3</v>
      </c>
      <c r="AF424" s="3">
        <f t="shared" si="11"/>
        <v>-2</v>
      </c>
      <c r="AG424" s="3">
        <f t="shared" si="12"/>
        <v>-0.08108108108</v>
      </c>
    </row>
    <row r="425">
      <c r="A425" s="1" t="s">
        <v>8</v>
      </c>
      <c r="B425" s="1" t="s">
        <v>340</v>
      </c>
      <c r="C425" s="1" t="s">
        <v>19</v>
      </c>
      <c r="D425" s="1" t="s">
        <v>100</v>
      </c>
      <c r="E425" s="1" t="s">
        <v>66</v>
      </c>
      <c r="F425" s="1" t="s">
        <v>658</v>
      </c>
      <c r="G425" s="1">
        <v>16.5</v>
      </c>
      <c r="H425" s="1" t="s">
        <v>60</v>
      </c>
      <c r="I425" s="1">
        <v>-118.0</v>
      </c>
      <c r="J425" s="1">
        <v>0.0872155963302753</v>
      </c>
      <c r="K425" s="1" t="s">
        <v>61</v>
      </c>
      <c r="L425" s="1" t="s">
        <v>61</v>
      </c>
      <c r="M425" s="1" t="s">
        <v>62</v>
      </c>
      <c r="N425" s="1">
        <v>-112.0</v>
      </c>
      <c r="O425" s="1">
        <v>-0.156801886792452</v>
      </c>
      <c r="P425" s="1" t="s">
        <v>61</v>
      </c>
      <c r="Q425" s="1" t="s">
        <v>61</v>
      </c>
      <c r="R425" s="1">
        <f t="shared" si="1"/>
        <v>0.08721559633</v>
      </c>
      <c r="S425" s="1">
        <f t="shared" si="2"/>
        <v>-118</v>
      </c>
      <c r="T425" s="1">
        <f t="shared" si="3"/>
        <v>1.847457627</v>
      </c>
      <c r="U425" s="1">
        <f t="shared" si="4"/>
        <v>1</v>
      </c>
      <c r="V425" s="3">
        <f t="shared" si="5"/>
        <v>2</v>
      </c>
      <c r="W425" s="3">
        <f t="shared" si="6"/>
        <v>3</v>
      </c>
      <c r="X425" s="3" t="str">
        <f>IFERROR(__xludf.DUMMYFUNCTION("split(B425,"" "")"),"T.")</f>
        <v>T.</v>
      </c>
      <c r="Y425" s="3" t="str">
        <f>IFERROR(__xludf.DUMMYFUNCTION("""COMPUTED_VALUE"""),"Pollard")</f>
        <v>Pollard</v>
      </c>
      <c r="AA425" s="8">
        <v>28.0</v>
      </c>
      <c r="AB425" s="3">
        <f t="shared" si="7"/>
        <v>1</v>
      </c>
      <c r="AC425" s="3">
        <f t="shared" si="8"/>
        <v>1</v>
      </c>
      <c r="AD425" s="3">
        <f t="shared" si="9"/>
        <v>1.694915254</v>
      </c>
      <c r="AE425" s="3">
        <f t="shared" si="10"/>
        <v>1.694915254</v>
      </c>
      <c r="AF425" s="3">
        <f t="shared" si="11"/>
        <v>2.542372881</v>
      </c>
      <c r="AG425" s="3">
        <f t="shared" si="12"/>
        <v>0.696969697</v>
      </c>
    </row>
    <row r="426">
      <c r="A426" s="1" t="s">
        <v>16</v>
      </c>
      <c r="B426" s="1" t="s">
        <v>631</v>
      </c>
      <c r="C426" s="1" t="s">
        <v>21</v>
      </c>
      <c r="D426" s="1" t="s">
        <v>100</v>
      </c>
      <c r="E426" s="1" t="s">
        <v>66</v>
      </c>
      <c r="F426" s="1" t="s">
        <v>658</v>
      </c>
      <c r="G426" s="1">
        <v>29.5</v>
      </c>
      <c r="H426" s="1" t="s">
        <v>60</v>
      </c>
      <c r="I426" s="1">
        <v>-115.0</v>
      </c>
      <c r="J426" s="1">
        <v>-0.151968786744186</v>
      </c>
      <c r="K426" s="1" t="s">
        <v>61</v>
      </c>
      <c r="L426" s="1" t="s">
        <v>61</v>
      </c>
      <c r="M426" s="1" t="s">
        <v>62</v>
      </c>
      <c r="N426" s="1">
        <v>-114.0</v>
      </c>
      <c r="O426" s="1">
        <v>0.0844016805186915</v>
      </c>
      <c r="P426" s="1" t="s">
        <v>61</v>
      </c>
      <c r="Q426" s="1" t="s">
        <v>61</v>
      </c>
      <c r="R426" s="1">
        <f t="shared" si="1"/>
        <v>0.08440168052</v>
      </c>
      <c r="S426" s="1">
        <f t="shared" si="2"/>
        <v>-114</v>
      </c>
      <c r="T426" s="1">
        <f t="shared" si="3"/>
        <v>1.877192982</v>
      </c>
      <c r="U426" s="1">
        <f t="shared" si="4"/>
        <v>0</v>
      </c>
      <c r="V426" s="3">
        <f t="shared" si="5"/>
        <v>2</v>
      </c>
      <c r="W426" s="3">
        <f t="shared" si="6"/>
        <v>2</v>
      </c>
      <c r="X426" s="3" t="str">
        <f>IFERROR(__xludf.DUMMYFUNCTION("split(B426,"" "")"),"M.")</f>
        <v>M.</v>
      </c>
      <c r="Y426" s="3" t="str">
        <f>IFERROR(__xludf.DUMMYFUNCTION("""COMPUTED_VALUE"""),"Rudolph")</f>
        <v>Rudolph</v>
      </c>
      <c r="AA426" s="8">
        <v>33.0</v>
      </c>
      <c r="AB426" s="3">
        <f t="shared" si="7"/>
        <v>1</v>
      </c>
      <c r="AC426" s="3">
        <f t="shared" si="8"/>
        <v>0</v>
      </c>
      <c r="AD426" s="3">
        <f t="shared" si="9"/>
        <v>1.754385965</v>
      </c>
      <c r="AE426" s="3">
        <f t="shared" si="10"/>
        <v>-2</v>
      </c>
      <c r="AF426" s="3">
        <f t="shared" si="11"/>
        <v>-2</v>
      </c>
      <c r="AG426" s="3">
        <f t="shared" si="12"/>
        <v>-0.1186440678</v>
      </c>
    </row>
    <row r="427">
      <c r="A427" s="1" t="s">
        <v>12</v>
      </c>
      <c r="B427" s="1" t="s">
        <v>669</v>
      </c>
      <c r="C427" s="1" t="s">
        <v>18</v>
      </c>
      <c r="D427" s="1" t="s">
        <v>100</v>
      </c>
      <c r="E427" s="1" t="s">
        <v>66</v>
      </c>
      <c r="F427" s="1" t="s">
        <v>658</v>
      </c>
      <c r="G427" s="1">
        <v>2.5</v>
      </c>
      <c r="H427" s="1" t="s">
        <v>60</v>
      </c>
      <c r="I427" s="1">
        <v>104.0</v>
      </c>
      <c r="J427" s="1">
        <v>-0.137094000827451</v>
      </c>
      <c r="K427" s="1" t="s">
        <v>61</v>
      </c>
      <c r="L427" s="1" t="s">
        <v>61</v>
      </c>
      <c r="M427" s="1" t="s">
        <v>62</v>
      </c>
      <c r="N427" s="1">
        <v>-136.0</v>
      </c>
      <c r="O427" s="1">
        <v>0.0706264650813559</v>
      </c>
      <c r="P427" s="1" t="s">
        <v>61</v>
      </c>
      <c r="Q427" s="1" t="s">
        <v>61</v>
      </c>
      <c r="R427" s="1">
        <f t="shared" si="1"/>
        <v>0.07062646508</v>
      </c>
      <c r="S427" s="1">
        <f t="shared" si="2"/>
        <v>-136</v>
      </c>
      <c r="T427" s="1">
        <f t="shared" si="3"/>
        <v>1.735294118</v>
      </c>
      <c r="U427" s="1">
        <f t="shared" si="4"/>
        <v>0</v>
      </c>
      <c r="V427" s="3">
        <f t="shared" si="5"/>
        <v>2</v>
      </c>
      <c r="W427" s="3">
        <f t="shared" si="6"/>
        <v>3</v>
      </c>
      <c r="X427" s="3" t="str">
        <f>IFERROR(__xludf.DUMMYFUNCTION("split(B427,"" "")"),"N.")</f>
        <v>N.</v>
      </c>
      <c r="Y427" s="3" t="str">
        <f>IFERROR(__xludf.DUMMYFUNCTION("""COMPUTED_VALUE"""),"Westbrook-Ikhine")</f>
        <v>Westbrook-Ikhine</v>
      </c>
      <c r="AA427" s="8">
        <v>5.0</v>
      </c>
      <c r="AB427" s="3">
        <f t="shared" si="7"/>
        <v>1</v>
      </c>
      <c r="AC427" s="3">
        <f t="shared" si="8"/>
        <v>0</v>
      </c>
      <c r="AD427" s="3">
        <f t="shared" si="9"/>
        <v>1.470588235</v>
      </c>
      <c r="AE427" s="3">
        <f t="shared" si="10"/>
        <v>-2</v>
      </c>
      <c r="AF427" s="3">
        <f t="shared" si="11"/>
        <v>-3</v>
      </c>
      <c r="AG427" s="3">
        <f t="shared" si="12"/>
        <v>-1</v>
      </c>
    </row>
    <row r="428">
      <c r="A428" s="1" t="s">
        <v>12</v>
      </c>
      <c r="B428" s="1" t="s">
        <v>430</v>
      </c>
      <c r="C428" s="1" t="s">
        <v>20</v>
      </c>
      <c r="D428" s="1" t="s">
        <v>100</v>
      </c>
      <c r="E428" s="1" t="s">
        <v>66</v>
      </c>
      <c r="F428" s="1" t="s">
        <v>658</v>
      </c>
      <c r="G428" s="1">
        <v>2.5</v>
      </c>
      <c r="H428" s="1" t="s">
        <v>60</v>
      </c>
      <c r="I428" s="1">
        <v>104.0</v>
      </c>
      <c r="J428" s="1">
        <v>-0.130495803878431</v>
      </c>
      <c r="K428" s="1" t="s">
        <v>61</v>
      </c>
      <c r="L428" s="1" t="s">
        <v>61</v>
      </c>
      <c r="M428" s="1" t="s">
        <v>62</v>
      </c>
      <c r="N428" s="1">
        <v>-137.0</v>
      </c>
      <c r="O428" s="1">
        <v>0.0622540054687763</v>
      </c>
      <c r="P428" s="1" t="s">
        <v>61</v>
      </c>
      <c r="Q428" s="1" t="s">
        <v>61</v>
      </c>
      <c r="R428" s="1">
        <f t="shared" si="1"/>
        <v>0.06225400547</v>
      </c>
      <c r="S428" s="1">
        <f t="shared" si="2"/>
        <v>-137</v>
      </c>
      <c r="T428" s="1">
        <f t="shared" si="3"/>
        <v>1.729927007</v>
      </c>
      <c r="U428" s="1">
        <f t="shared" si="4"/>
        <v>0</v>
      </c>
      <c r="V428" s="3">
        <f t="shared" si="5"/>
        <v>2</v>
      </c>
      <c r="W428" s="3">
        <f t="shared" si="6"/>
        <v>3</v>
      </c>
      <c r="X428" s="3" t="str">
        <f>IFERROR(__xludf.DUMMYFUNCTION("split(B428,"" "")"),"C.")</f>
        <v>C.</v>
      </c>
      <c r="Y428" s="3" t="str">
        <f>IFERROR(__xludf.DUMMYFUNCTION("""COMPUTED_VALUE"""),"Okonkwo")</f>
        <v>Okonkwo</v>
      </c>
      <c r="AA428" s="8">
        <v>3.0</v>
      </c>
      <c r="AB428" s="3">
        <f t="shared" si="7"/>
        <v>1</v>
      </c>
      <c r="AC428" s="3">
        <f t="shared" si="8"/>
        <v>0</v>
      </c>
      <c r="AD428" s="3">
        <f t="shared" si="9"/>
        <v>1.459854015</v>
      </c>
      <c r="AE428" s="3">
        <f t="shared" si="10"/>
        <v>-2</v>
      </c>
      <c r="AF428" s="3">
        <f t="shared" si="11"/>
        <v>-3</v>
      </c>
      <c r="AG428" s="3">
        <f t="shared" si="12"/>
        <v>-0.2</v>
      </c>
    </row>
    <row r="429">
      <c r="A429" s="1" t="s">
        <v>9</v>
      </c>
      <c r="B429" s="1" t="s">
        <v>669</v>
      </c>
      <c r="C429" s="1" t="s">
        <v>18</v>
      </c>
      <c r="D429" s="1" t="s">
        <v>100</v>
      </c>
      <c r="E429" s="1" t="s">
        <v>66</v>
      </c>
      <c r="F429" s="1" t="s">
        <v>658</v>
      </c>
      <c r="G429" s="1">
        <v>26.5</v>
      </c>
      <c r="H429" s="1" t="s">
        <v>60</v>
      </c>
      <c r="I429" s="1">
        <v>-117.0</v>
      </c>
      <c r="J429" s="1">
        <v>0.0520842059998921</v>
      </c>
      <c r="K429" s="1" t="s">
        <v>61</v>
      </c>
      <c r="L429" s="1" t="s">
        <v>61</v>
      </c>
      <c r="M429" s="1" t="s">
        <v>62</v>
      </c>
      <c r="N429" s="1">
        <v>-115.0</v>
      </c>
      <c r="O429" s="1">
        <v>-0.126131156312898</v>
      </c>
      <c r="P429" s="1" t="s">
        <v>61</v>
      </c>
      <c r="Q429" s="1" t="s">
        <v>61</v>
      </c>
      <c r="R429" s="1">
        <f t="shared" si="1"/>
        <v>0.052084206</v>
      </c>
      <c r="S429" s="1">
        <f t="shared" si="2"/>
        <v>-117</v>
      </c>
      <c r="T429" s="1">
        <f t="shared" si="3"/>
        <v>1.854700855</v>
      </c>
      <c r="U429" s="1">
        <f t="shared" si="4"/>
        <v>1</v>
      </c>
      <c r="V429" s="3">
        <f t="shared" si="5"/>
        <v>2</v>
      </c>
      <c r="W429" s="3">
        <f t="shared" si="6"/>
        <v>2</v>
      </c>
      <c r="X429" s="3" t="str">
        <f>IFERROR(__xludf.DUMMYFUNCTION("split(B429,"" "")"),"N.")</f>
        <v>N.</v>
      </c>
      <c r="Y429" s="3" t="str">
        <f>IFERROR(__xludf.DUMMYFUNCTION("""COMPUTED_VALUE"""),"Westbrook-Ikhine")</f>
        <v>Westbrook-Ikhine</v>
      </c>
      <c r="AA429" s="8">
        <v>50.0</v>
      </c>
      <c r="AB429" s="3">
        <f t="shared" si="7"/>
        <v>1</v>
      </c>
      <c r="AC429" s="3">
        <f t="shared" si="8"/>
        <v>1</v>
      </c>
      <c r="AD429" s="3">
        <f t="shared" si="9"/>
        <v>1.709401709</v>
      </c>
      <c r="AE429" s="3">
        <f t="shared" si="10"/>
        <v>1.709401709</v>
      </c>
      <c r="AF429" s="3">
        <f t="shared" si="11"/>
        <v>1.709401709</v>
      </c>
      <c r="AG429" s="3">
        <f t="shared" si="12"/>
        <v>0.8867924528</v>
      </c>
    </row>
    <row r="430">
      <c r="A430" s="1" t="s">
        <v>17</v>
      </c>
      <c r="B430" s="1" t="s">
        <v>631</v>
      </c>
      <c r="C430" s="1" t="s">
        <v>21</v>
      </c>
      <c r="D430" s="1" t="s">
        <v>100</v>
      </c>
      <c r="E430" s="1" t="s">
        <v>66</v>
      </c>
      <c r="F430" s="1" t="s">
        <v>658</v>
      </c>
      <c r="G430" s="1">
        <v>0.5</v>
      </c>
      <c r="H430" s="1" t="s">
        <v>60</v>
      </c>
      <c r="I430" s="1">
        <v>-122.0</v>
      </c>
      <c r="J430" s="1">
        <v>-0.104094594594594</v>
      </c>
      <c r="K430" s="1" t="s">
        <v>61</v>
      </c>
      <c r="L430" s="1" t="s">
        <v>61</v>
      </c>
      <c r="M430" s="1" t="s">
        <v>62</v>
      </c>
      <c r="N430" s="1">
        <v>-107.0</v>
      </c>
      <c r="O430" s="1">
        <v>0.0376434782608695</v>
      </c>
      <c r="P430" s="1" t="s">
        <v>61</v>
      </c>
      <c r="Q430" s="1" t="s">
        <v>61</v>
      </c>
      <c r="R430" s="1">
        <f t="shared" si="1"/>
        <v>0.03764347826</v>
      </c>
      <c r="S430" s="1">
        <f t="shared" si="2"/>
        <v>-107</v>
      </c>
      <c r="T430" s="1">
        <f t="shared" si="3"/>
        <v>1.934579439</v>
      </c>
      <c r="U430" s="1">
        <f t="shared" si="4"/>
        <v>0</v>
      </c>
      <c r="V430" s="3">
        <f t="shared" si="5"/>
        <v>1</v>
      </c>
      <c r="W430" s="3">
        <f t="shared" si="6"/>
        <v>2</v>
      </c>
      <c r="X430" s="3" t="str">
        <f>IFERROR(__xludf.DUMMYFUNCTION("split(B430,"" "")"),"M.")</f>
        <v>M.</v>
      </c>
      <c r="Y430" s="3" t="str">
        <f>IFERROR(__xludf.DUMMYFUNCTION("""COMPUTED_VALUE"""),"Rudolph")</f>
        <v>Rudolph</v>
      </c>
      <c r="AA430" s="8">
        <v>1.0</v>
      </c>
      <c r="AB430" s="3">
        <f t="shared" si="7"/>
        <v>1</v>
      </c>
      <c r="AC430" s="3">
        <f t="shared" si="8"/>
        <v>0</v>
      </c>
      <c r="AD430" s="3">
        <f t="shared" si="9"/>
        <v>0.9345794393</v>
      </c>
      <c r="AE430" s="3">
        <f t="shared" si="10"/>
        <v>-1</v>
      </c>
      <c r="AF430" s="3">
        <f t="shared" si="11"/>
        <v>-2</v>
      </c>
      <c r="AG430" s="3">
        <f t="shared" si="12"/>
        <v>-1</v>
      </c>
    </row>
    <row r="431">
      <c r="A431" s="1" t="s">
        <v>11</v>
      </c>
      <c r="B431" s="1" t="s">
        <v>559</v>
      </c>
      <c r="C431" s="1" t="s">
        <v>18</v>
      </c>
      <c r="D431" s="1" t="s">
        <v>100</v>
      </c>
      <c r="E431" s="1" t="s">
        <v>66</v>
      </c>
      <c r="F431" s="1" t="s">
        <v>658</v>
      </c>
      <c r="G431" s="1">
        <v>28.5</v>
      </c>
      <c r="H431" s="1" t="s">
        <v>60</v>
      </c>
      <c r="I431" s="1">
        <v>-117.0</v>
      </c>
      <c r="J431" s="1">
        <v>-0.0983451669272351</v>
      </c>
      <c r="K431" s="1" t="s">
        <v>61</v>
      </c>
      <c r="L431" s="1" t="s">
        <v>61</v>
      </c>
      <c r="M431" s="1" t="s">
        <v>62</v>
      </c>
      <c r="N431" s="1">
        <v>-114.0</v>
      </c>
      <c r="O431" s="1">
        <v>0.0265384177311188</v>
      </c>
      <c r="P431" s="1" t="s">
        <v>61</v>
      </c>
      <c r="Q431" s="1" t="s">
        <v>61</v>
      </c>
      <c r="R431" s="1">
        <f t="shared" si="1"/>
        <v>0.02653841773</v>
      </c>
      <c r="S431" s="1">
        <f t="shared" si="2"/>
        <v>-114</v>
      </c>
      <c r="T431" s="1">
        <f t="shared" si="3"/>
        <v>1.877192982</v>
      </c>
      <c r="U431" s="1">
        <f t="shared" si="4"/>
        <v>0</v>
      </c>
      <c r="V431" s="3">
        <f t="shared" si="5"/>
        <v>1</v>
      </c>
      <c r="W431" s="3">
        <f t="shared" si="6"/>
        <v>2</v>
      </c>
      <c r="X431" s="3" t="str">
        <f>IFERROR(__xludf.DUMMYFUNCTION("split(B431,"" "")"),"T.")</f>
        <v>T.</v>
      </c>
      <c r="Y431" s="3" t="str">
        <f>IFERROR(__xludf.DUMMYFUNCTION("""COMPUTED_VALUE"""),"Boyd")</f>
        <v>Boyd</v>
      </c>
      <c r="AA431" s="8">
        <v>0.0</v>
      </c>
      <c r="AB431" s="3">
        <f t="shared" si="7"/>
        <v>0</v>
      </c>
      <c r="AC431" s="3">
        <f t="shared" si="8"/>
        <v>1</v>
      </c>
      <c r="AD431" s="3">
        <f t="shared" si="9"/>
        <v>0.8771929825</v>
      </c>
      <c r="AE431" s="3">
        <f t="shared" si="10"/>
        <v>0.8771929825</v>
      </c>
      <c r="AF431" s="3">
        <f t="shared" si="11"/>
        <v>1.754385965</v>
      </c>
      <c r="AG431" s="3">
        <f t="shared" si="12"/>
        <v>1</v>
      </c>
    </row>
    <row r="432">
      <c r="A432" s="1" t="s">
        <v>14</v>
      </c>
      <c r="B432" s="1" t="s">
        <v>631</v>
      </c>
      <c r="C432" s="1" t="s">
        <v>21</v>
      </c>
      <c r="D432" s="1" t="s">
        <v>100</v>
      </c>
      <c r="E432" s="1" t="s">
        <v>66</v>
      </c>
      <c r="F432" s="1" t="s">
        <v>658</v>
      </c>
      <c r="G432" s="1">
        <v>1.5</v>
      </c>
      <c r="H432" s="1" t="s">
        <v>60</v>
      </c>
      <c r="I432" s="1">
        <v>191.0</v>
      </c>
      <c r="J432" s="1">
        <v>0.0231573883161512</v>
      </c>
      <c r="K432" s="1" t="s">
        <v>61</v>
      </c>
      <c r="L432" s="1" t="s">
        <v>61</v>
      </c>
      <c r="M432" s="1" t="s">
        <v>62</v>
      </c>
      <c r="N432" s="1">
        <v>-258.0</v>
      </c>
      <c r="O432" s="1">
        <v>-0.0874703910614524</v>
      </c>
      <c r="P432" s="1" t="s">
        <v>61</v>
      </c>
      <c r="Q432" s="1" t="s">
        <v>61</v>
      </c>
      <c r="R432" s="1">
        <f t="shared" si="1"/>
        <v>0.02315738832</v>
      </c>
      <c r="S432" s="1">
        <f t="shared" si="2"/>
        <v>191</v>
      </c>
      <c r="T432" s="1">
        <f t="shared" si="3"/>
        <v>2.91</v>
      </c>
      <c r="U432" s="1">
        <f t="shared" si="4"/>
        <v>1</v>
      </c>
      <c r="V432" s="3">
        <f t="shared" si="5"/>
        <v>1</v>
      </c>
      <c r="W432" s="3">
        <f t="shared" si="6"/>
        <v>1</v>
      </c>
      <c r="X432" s="3" t="str">
        <f>IFERROR(__xludf.DUMMYFUNCTION("split(B432,"" "")"),"M.")</f>
        <v>M.</v>
      </c>
      <c r="Y432" s="3" t="str">
        <f>IFERROR(__xludf.DUMMYFUNCTION("""COMPUTED_VALUE"""),"Rudolph")</f>
        <v>Rudolph</v>
      </c>
      <c r="AA432" s="8">
        <v>2.0</v>
      </c>
      <c r="AB432" s="3">
        <f t="shared" si="7"/>
        <v>1</v>
      </c>
      <c r="AC432" s="3">
        <f t="shared" si="8"/>
        <v>1</v>
      </c>
      <c r="AD432" s="3">
        <f t="shared" si="9"/>
        <v>1.91</v>
      </c>
      <c r="AE432" s="3">
        <f t="shared" si="10"/>
        <v>1.91</v>
      </c>
      <c r="AF432" s="3">
        <f t="shared" si="11"/>
        <v>1.91</v>
      </c>
      <c r="AG432" s="3">
        <f t="shared" si="12"/>
        <v>0.3333333333</v>
      </c>
    </row>
    <row r="433">
      <c r="A433" s="1" t="s">
        <v>9</v>
      </c>
      <c r="B433" s="1" t="s">
        <v>559</v>
      </c>
      <c r="C433" s="1" t="s">
        <v>18</v>
      </c>
      <c r="D433" s="1" t="s">
        <v>100</v>
      </c>
      <c r="E433" s="1" t="s">
        <v>66</v>
      </c>
      <c r="F433" s="1" t="s">
        <v>658</v>
      </c>
      <c r="G433" s="1">
        <v>28.5</v>
      </c>
      <c r="H433" s="1" t="s">
        <v>60</v>
      </c>
      <c r="I433" s="1">
        <v>-118.0</v>
      </c>
      <c r="J433" s="1">
        <v>0.0200658045436477</v>
      </c>
      <c r="K433" s="1" t="s">
        <v>61</v>
      </c>
      <c r="L433" s="1" t="s">
        <v>61</v>
      </c>
      <c r="M433" s="1" t="s">
        <v>62</v>
      </c>
      <c r="N433" s="1">
        <v>-115.0</v>
      </c>
      <c r="O433" s="1">
        <v>-0.0962422660422905</v>
      </c>
      <c r="P433" s="1" t="s">
        <v>61</v>
      </c>
      <c r="Q433" s="1" t="s">
        <v>61</v>
      </c>
      <c r="R433" s="1">
        <f t="shared" si="1"/>
        <v>0.02006580454</v>
      </c>
      <c r="S433" s="1">
        <f t="shared" si="2"/>
        <v>-118</v>
      </c>
      <c r="T433" s="1">
        <f t="shared" si="3"/>
        <v>1.847457627</v>
      </c>
      <c r="U433" s="1">
        <f t="shared" si="4"/>
        <v>1</v>
      </c>
      <c r="V433" s="3">
        <f t="shared" si="5"/>
        <v>1</v>
      </c>
      <c r="W433" s="3">
        <f t="shared" si="6"/>
        <v>3</v>
      </c>
      <c r="X433" s="3" t="str">
        <f>IFERROR(__xludf.DUMMYFUNCTION("split(B433,"" "")"),"T.")</f>
        <v>T.</v>
      </c>
      <c r="Y433" s="3" t="str">
        <f>IFERROR(__xludf.DUMMYFUNCTION("""COMPUTED_VALUE"""),"Boyd")</f>
        <v>Boyd</v>
      </c>
      <c r="AA433" s="8">
        <v>3.0</v>
      </c>
      <c r="AB433" s="3">
        <f t="shared" si="7"/>
        <v>0</v>
      </c>
      <c r="AC433" s="3">
        <f t="shared" si="8"/>
        <v>0</v>
      </c>
      <c r="AD433" s="3">
        <f t="shared" si="9"/>
        <v>0.8474576271</v>
      </c>
      <c r="AE433" s="3">
        <f t="shared" si="10"/>
        <v>-1</v>
      </c>
      <c r="AF433" s="3">
        <f t="shared" si="11"/>
        <v>-3</v>
      </c>
      <c r="AG433" s="3">
        <f t="shared" si="12"/>
        <v>-0.8947368421</v>
      </c>
    </row>
    <row r="434">
      <c r="A434" s="1" t="s">
        <v>11</v>
      </c>
      <c r="B434" s="1" t="s">
        <v>437</v>
      </c>
      <c r="C434" s="1" t="s">
        <v>18</v>
      </c>
      <c r="D434" s="1" t="s">
        <v>100</v>
      </c>
      <c r="E434" s="1" t="s">
        <v>66</v>
      </c>
      <c r="F434" s="1" t="s">
        <v>658</v>
      </c>
      <c r="G434" s="1">
        <v>51.5</v>
      </c>
      <c r="H434" s="1" t="s">
        <v>60</v>
      </c>
      <c r="I434" s="1">
        <v>-116.0</v>
      </c>
      <c r="J434" s="1">
        <v>-0.0872372890608704</v>
      </c>
      <c r="K434" s="1" t="s">
        <v>61</v>
      </c>
      <c r="L434" s="1" t="s">
        <v>61</v>
      </c>
      <c r="M434" s="1" t="s">
        <v>62</v>
      </c>
      <c r="N434" s="1">
        <v>-113.0</v>
      </c>
      <c r="O434" s="1">
        <v>0.0196835042241313</v>
      </c>
      <c r="P434" s="1" t="s">
        <v>61</v>
      </c>
      <c r="Q434" s="1" t="s">
        <v>61</v>
      </c>
      <c r="R434" s="1">
        <f t="shared" si="1"/>
        <v>0.01968350422</v>
      </c>
      <c r="S434" s="1">
        <f t="shared" si="2"/>
        <v>-113</v>
      </c>
      <c r="T434" s="1">
        <f t="shared" si="3"/>
        <v>1.884955752</v>
      </c>
      <c r="U434" s="1">
        <f t="shared" si="4"/>
        <v>0</v>
      </c>
      <c r="V434" s="3">
        <f t="shared" si="5"/>
        <v>1</v>
      </c>
      <c r="W434" s="3">
        <f t="shared" si="6"/>
        <v>2</v>
      </c>
      <c r="X434" s="3" t="str">
        <f>IFERROR(__xludf.DUMMYFUNCTION("split(B434,"" "")"),"C.")</f>
        <v>C.</v>
      </c>
      <c r="Y434" s="3" t="str">
        <f>IFERROR(__xludf.DUMMYFUNCTION("""COMPUTED_VALUE"""),"Ridley")</f>
        <v>Ridley</v>
      </c>
      <c r="AA434" s="8">
        <v>73.0</v>
      </c>
      <c r="AB434" s="3">
        <f t="shared" si="7"/>
        <v>1</v>
      </c>
      <c r="AC434" s="3">
        <f t="shared" si="8"/>
        <v>0</v>
      </c>
      <c r="AD434" s="3">
        <f t="shared" si="9"/>
        <v>0.8849557522</v>
      </c>
      <c r="AE434" s="3">
        <f t="shared" si="10"/>
        <v>-1</v>
      </c>
      <c r="AF434" s="3">
        <f t="shared" si="11"/>
        <v>-2</v>
      </c>
      <c r="AG434" s="3">
        <f t="shared" si="12"/>
        <v>-0.4174757282</v>
      </c>
    </row>
    <row r="435">
      <c r="A435" s="1" t="s">
        <v>12</v>
      </c>
      <c r="B435" s="1" t="s">
        <v>437</v>
      </c>
      <c r="C435" s="1" t="s">
        <v>18</v>
      </c>
      <c r="D435" s="1" t="s">
        <v>100</v>
      </c>
      <c r="E435" s="1" t="s">
        <v>66</v>
      </c>
      <c r="F435" s="1" t="s">
        <v>658</v>
      </c>
      <c r="G435" s="1">
        <v>4.5</v>
      </c>
      <c r="H435" s="1" t="s">
        <v>60</v>
      </c>
      <c r="I435" s="1">
        <v>105.0</v>
      </c>
      <c r="J435" s="1">
        <v>-0.0721073170731708</v>
      </c>
      <c r="K435" s="1" t="s">
        <v>61</v>
      </c>
      <c r="L435" s="1" t="s">
        <v>61</v>
      </c>
      <c r="M435" s="1" t="s">
        <v>62</v>
      </c>
      <c r="N435" s="1">
        <v>-137.0</v>
      </c>
      <c r="O435" s="1">
        <v>0.00625654008438814</v>
      </c>
      <c r="P435" s="1" t="s">
        <v>61</v>
      </c>
      <c r="Q435" s="1" t="s">
        <v>61</v>
      </c>
      <c r="R435" s="1">
        <f t="shared" si="1"/>
        <v>0.006256540084</v>
      </c>
      <c r="S435" s="1">
        <f t="shared" si="2"/>
        <v>-137</v>
      </c>
      <c r="T435" s="1">
        <f t="shared" si="3"/>
        <v>1.729927007</v>
      </c>
      <c r="U435" s="1">
        <f t="shared" si="4"/>
        <v>0</v>
      </c>
      <c r="V435" s="3">
        <f t="shared" si="5"/>
        <v>1</v>
      </c>
      <c r="W435" s="3">
        <f t="shared" si="6"/>
        <v>3</v>
      </c>
      <c r="X435" s="3" t="str">
        <f>IFERROR(__xludf.DUMMYFUNCTION("split(B435,"" "")"),"C.")</f>
        <v>C.</v>
      </c>
      <c r="Y435" s="3" t="str">
        <f>IFERROR(__xludf.DUMMYFUNCTION("""COMPUTED_VALUE"""),"Ridley")</f>
        <v>Ridley</v>
      </c>
      <c r="AA435" s="8">
        <v>5.0</v>
      </c>
      <c r="AB435" s="3">
        <f t="shared" si="7"/>
        <v>1</v>
      </c>
      <c r="AC435" s="3">
        <f t="shared" si="8"/>
        <v>0</v>
      </c>
      <c r="AD435" s="3">
        <f t="shared" si="9"/>
        <v>0.7299270073</v>
      </c>
      <c r="AE435" s="3">
        <f t="shared" si="10"/>
        <v>-1</v>
      </c>
      <c r="AF435" s="3">
        <f t="shared" si="11"/>
        <v>-3</v>
      </c>
      <c r="AG435" s="3">
        <f t="shared" si="12"/>
        <v>-0.1111111111</v>
      </c>
    </row>
    <row r="436">
      <c r="A436" s="1" t="s">
        <v>10</v>
      </c>
      <c r="B436" s="1" t="s">
        <v>340</v>
      </c>
      <c r="C436" s="1" t="s">
        <v>19</v>
      </c>
      <c r="D436" s="1" t="s">
        <v>100</v>
      </c>
      <c r="E436" s="1" t="s">
        <v>66</v>
      </c>
      <c r="F436" s="1" t="s">
        <v>658</v>
      </c>
      <c r="G436" s="1">
        <v>68.5</v>
      </c>
      <c r="H436" s="1" t="s">
        <v>60</v>
      </c>
      <c r="I436" s="1">
        <v>-109.0</v>
      </c>
      <c r="J436" s="1">
        <v>8.66285229861651E-4</v>
      </c>
      <c r="K436" s="1" t="s">
        <v>61</v>
      </c>
      <c r="L436" s="1" t="s">
        <v>61</v>
      </c>
      <c r="M436" s="1" t="s">
        <v>62</v>
      </c>
      <c r="N436" s="1">
        <v>-119.0</v>
      </c>
      <c r="O436" s="1">
        <v>-0.0657771561427759</v>
      </c>
      <c r="P436" s="1" t="s">
        <v>61</v>
      </c>
      <c r="Q436" s="1" t="s">
        <v>61</v>
      </c>
      <c r="R436" s="1">
        <f t="shared" si="1"/>
        <v>0.0008662852299</v>
      </c>
      <c r="S436" s="1">
        <f t="shared" si="2"/>
        <v>-109</v>
      </c>
      <c r="T436" s="1">
        <f t="shared" si="3"/>
        <v>1.917431193</v>
      </c>
      <c r="U436" s="1">
        <f t="shared" si="4"/>
        <v>1</v>
      </c>
      <c r="V436" s="3">
        <f t="shared" si="5"/>
        <v>1</v>
      </c>
      <c r="W436" s="3">
        <f t="shared" si="6"/>
        <v>2</v>
      </c>
      <c r="X436" s="3" t="str">
        <f>IFERROR(__xludf.DUMMYFUNCTION("split(B436,"" "")"),"T.")</f>
        <v>T.</v>
      </c>
      <c r="Y436" s="3" t="str">
        <f>IFERROR(__xludf.DUMMYFUNCTION("""COMPUTED_VALUE"""),"Pollard")</f>
        <v>Pollard</v>
      </c>
      <c r="AA436" s="8">
        <v>128.0</v>
      </c>
      <c r="AB436" s="3">
        <f t="shared" si="7"/>
        <v>1</v>
      </c>
      <c r="AC436" s="3">
        <f t="shared" si="8"/>
        <v>1</v>
      </c>
      <c r="AD436" s="3">
        <f t="shared" si="9"/>
        <v>0.9174311927</v>
      </c>
      <c r="AE436" s="3">
        <f t="shared" si="10"/>
        <v>0.9174311927</v>
      </c>
      <c r="AF436" s="3">
        <f t="shared" si="11"/>
        <v>1.834862385</v>
      </c>
      <c r="AG436" s="3">
        <f t="shared" si="12"/>
        <v>0.8686131387</v>
      </c>
    </row>
    <row r="437">
      <c r="A437" s="1" t="s">
        <v>12</v>
      </c>
      <c r="B437" s="1" t="s">
        <v>606</v>
      </c>
      <c r="C437" s="1" t="s">
        <v>18</v>
      </c>
      <c r="D437" s="1" t="s">
        <v>114</v>
      </c>
      <c r="E437" s="1" t="s">
        <v>147</v>
      </c>
      <c r="F437" s="1" t="s">
        <v>658</v>
      </c>
      <c r="G437" s="1">
        <v>1.5</v>
      </c>
      <c r="H437" s="1" t="s">
        <v>60</v>
      </c>
      <c r="I437" s="1">
        <v>-167.0</v>
      </c>
      <c r="J437" s="1">
        <v>-0.297031333636704</v>
      </c>
      <c r="K437" s="1" t="s">
        <v>61</v>
      </c>
      <c r="L437" s="1" t="s">
        <v>61</v>
      </c>
      <c r="M437" s="1" t="s">
        <v>62</v>
      </c>
      <c r="N437" s="1">
        <v>127.0</v>
      </c>
      <c r="O437" s="1">
        <v>0.231045665555066</v>
      </c>
      <c r="P437" s="1" t="s">
        <v>61</v>
      </c>
      <c r="Q437" s="1" t="s">
        <v>61</v>
      </c>
      <c r="R437" s="1">
        <f t="shared" si="1"/>
        <v>0.2310456656</v>
      </c>
      <c r="S437" s="1">
        <f t="shared" si="2"/>
        <v>127</v>
      </c>
      <c r="T437" s="1">
        <f t="shared" si="3"/>
        <v>2.27</v>
      </c>
      <c r="U437" s="1">
        <f t="shared" si="4"/>
        <v>0</v>
      </c>
      <c r="V437" s="3">
        <f t="shared" si="5"/>
        <v>3</v>
      </c>
      <c r="W437" s="3">
        <f t="shared" si="6"/>
        <v>1</v>
      </c>
      <c r="X437" s="3" t="str">
        <f>IFERROR(__xludf.DUMMYFUNCTION("split(B437,"" "")"),"O.")</f>
        <v>O.</v>
      </c>
      <c r="Y437" s="3" t="str">
        <f>IFERROR(__xludf.DUMMYFUNCTION("""COMPUTED_VALUE"""),"Zaccheaus")</f>
        <v>Zaccheaus</v>
      </c>
      <c r="AA437" s="8">
        <v>2.0</v>
      </c>
      <c r="AB437" s="3">
        <f t="shared" si="7"/>
        <v>1</v>
      </c>
      <c r="AC437" s="3">
        <f t="shared" si="8"/>
        <v>0</v>
      </c>
      <c r="AD437" s="3">
        <f t="shared" si="9"/>
        <v>3.81</v>
      </c>
      <c r="AE437" s="3">
        <f t="shared" si="10"/>
        <v>-3</v>
      </c>
      <c r="AF437" s="3">
        <f t="shared" si="11"/>
        <v>-1</v>
      </c>
      <c r="AG437" s="3">
        <f t="shared" si="12"/>
        <v>-0.3333333333</v>
      </c>
    </row>
    <row r="438">
      <c r="A438" s="1" t="s">
        <v>12</v>
      </c>
      <c r="B438" s="1" t="s">
        <v>561</v>
      </c>
      <c r="C438" s="1" t="s">
        <v>18</v>
      </c>
      <c r="D438" s="1" t="s">
        <v>114</v>
      </c>
      <c r="E438" s="1" t="s">
        <v>147</v>
      </c>
      <c r="F438" s="1" t="s">
        <v>658</v>
      </c>
      <c r="G438" s="1">
        <v>2.5</v>
      </c>
      <c r="H438" s="1" t="s">
        <v>60</v>
      </c>
      <c r="I438" s="1">
        <v>-120.0</v>
      </c>
      <c r="J438" s="1">
        <v>-0.206598414727272</v>
      </c>
      <c r="K438" s="1" t="s">
        <v>61</v>
      </c>
      <c r="L438" s="1" t="s">
        <v>61</v>
      </c>
      <c r="M438" s="1" t="s">
        <v>62</v>
      </c>
      <c r="N438" s="1">
        <v>-109.0</v>
      </c>
      <c r="O438" s="1">
        <v>0.139619233739712</v>
      </c>
      <c r="P438" s="1" t="s">
        <v>61</v>
      </c>
      <c r="Q438" s="1" t="s">
        <v>61</v>
      </c>
      <c r="R438" s="1">
        <f t="shared" si="1"/>
        <v>0.1396192337</v>
      </c>
      <c r="S438" s="1">
        <f t="shared" si="2"/>
        <v>-109</v>
      </c>
      <c r="T438" s="1">
        <f t="shared" si="3"/>
        <v>1.917431193</v>
      </c>
      <c r="U438" s="1">
        <f t="shared" si="4"/>
        <v>0</v>
      </c>
      <c r="V438" s="3">
        <f t="shared" si="5"/>
        <v>3</v>
      </c>
      <c r="W438" s="3">
        <f t="shared" si="6"/>
        <v>2</v>
      </c>
      <c r="X438" s="3" t="str">
        <f>IFERROR(__xludf.DUMMYFUNCTION("split(B438,"" "")"),"N.")</f>
        <v>N.</v>
      </c>
      <c r="Y438" s="3" t="str">
        <f>IFERROR(__xludf.DUMMYFUNCTION("""COMPUTED_VALUE"""),"Brown")</f>
        <v>Brown</v>
      </c>
      <c r="AA438" s="8">
        <v>5.0</v>
      </c>
      <c r="AB438" s="3">
        <f t="shared" si="7"/>
        <v>1</v>
      </c>
      <c r="AC438" s="3">
        <f t="shared" si="8"/>
        <v>0</v>
      </c>
      <c r="AD438" s="3">
        <f t="shared" si="9"/>
        <v>2.752293578</v>
      </c>
      <c r="AE438" s="3">
        <f t="shared" si="10"/>
        <v>-3</v>
      </c>
      <c r="AF438" s="3">
        <f t="shared" si="11"/>
        <v>-2</v>
      </c>
      <c r="AG438" s="3">
        <f t="shared" si="12"/>
        <v>-1</v>
      </c>
    </row>
    <row r="439">
      <c r="A439" s="1" t="s">
        <v>11</v>
      </c>
      <c r="B439" s="1" t="s">
        <v>264</v>
      </c>
      <c r="C439" s="1" t="s">
        <v>19</v>
      </c>
      <c r="D439" s="1" t="s">
        <v>114</v>
      </c>
      <c r="E439" s="1" t="s">
        <v>147</v>
      </c>
      <c r="F439" s="1" t="s">
        <v>658</v>
      </c>
      <c r="G439" s="1">
        <v>5.5</v>
      </c>
      <c r="H439" s="1" t="s">
        <v>60</v>
      </c>
      <c r="I439" s="1">
        <v>-109.0</v>
      </c>
      <c r="J439" s="1">
        <v>0.111069979225284</v>
      </c>
      <c r="K439" s="1" t="s">
        <v>61</v>
      </c>
      <c r="L439" s="1" t="s">
        <v>61</v>
      </c>
      <c r="M439" s="1" t="s">
        <v>62</v>
      </c>
      <c r="N439" s="1">
        <v>-119.0</v>
      </c>
      <c r="O439" s="1">
        <v>-0.175925956772239</v>
      </c>
      <c r="P439" s="1" t="s">
        <v>61</v>
      </c>
      <c r="Q439" s="1" t="s">
        <v>61</v>
      </c>
      <c r="R439" s="1">
        <f t="shared" si="1"/>
        <v>0.1110699792</v>
      </c>
      <c r="S439" s="1">
        <f t="shared" si="2"/>
        <v>-109</v>
      </c>
      <c r="T439" s="1">
        <f t="shared" si="3"/>
        <v>1.917431193</v>
      </c>
      <c r="U439" s="1">
        <f t="shared" si="4"/>
        <v>1</v>
      </c>
      <c r="V439" s="3">
        <f t="shared" si="5"/>
        <v>3</v>
      </c>
      <c r="W439" s="3">
        <f t="shared" si="6"/>
        <v>2</v>
      </c>
      <c r="X439" s="3" t="str">
        <f>IFERROR(__xludf.DUMMYFUNCTION("split(B439,"" "")"),"B.")</f>
        <v>B.</v>
      </c>
      <c r="Y439" s="3" t="str">
        <f>IFERROR(__xludf.DUMMYFUNCTION("""COMPUTED_VALUE"""),"Robinson")</f>
        <v>Robinson</v>
      </c>
      <c r="AA439" s="8">
        <v>10.0</v>
      </c>
      <c r="AB439" s="3">
        <f t="shared" si="7"/>
        <v>1</v>
      </c>
      <c r="AC439" s="3">
        <f t="shared" si="8"/>
        <v>1</v>
      </c>
      <c r="AD439" s="3">
        <f t="shared" si="9"/>
        <v>2.752293578</v>
      </c>
      <c r="AE439" s="3">
        <f t="shared" si="10"/>
        <v>2.752293578</v>
      </c>
      <c r="AF439" s="3">
        <f t="shared" si="11"/>
        <v>1.834862385</v>
      </c>
      <c r="AG439" s="3">
        <f t="shared" si="12"/>
        <v>0.8181818182</v>
      </c>
    </row>
    <row r="440">
      <c r="A440" s="1" t="s">
        <v>8</v>
      </c>
      <c r="B440" s="1" t="s">
        <v>408</v>
      </c>
      <c r="C440" s="1" t="s">
        <v>19</v>
      </c>
      <c r="D440" s="1" t="s">
        <v>114</v>
      </c>
      <c r="E440" s="1" t="s">
        <v>147</v>
      </c>
      <c r="F440" s="1" t="s">
        <v>658</v>
      </c>
      <c r="G440" s="1">
        <v>12.5</v>
      </c>
      <c r="H440" s="1" t="s">
        <v>60</v>
      </c>
      <c r="I440" s="1">
        <v>-130.0</v>
      </c>
      <c r="J440" s="1">
        <v>-0.169516824741304</v>
      </c>
      <c r="K440" s="1" t="s">
        <v>61</v>
      </c>
      <c r="L440" s="1" t="s">
        <v>61</v>
      </c>
      <c r="M440" s="1" t="s">
        <v>62</v>
      </c>
      <c r="N440" s="1">
        <v>100.0</v>
      </c>
      <c r="O440" s="1">
        <v>0.1042993484525</v>
      </c>
      <c r="P440" s="1" t="s">
        <v>61</v>
      </c>
      <c r="Q440" s="1" t="s">
        <v>61</v>
      </c>
      <c r="R440" s="1">
        <f t="shared" si="1"/>
        <v>0.1042993485</v>
      </c>
      <c r="S440" s="1">
        <f t="shared" si="2"/>
        <v>100</v>
      </c>
      <c r="T440" s="1">
        <f t="shared" si="3"/>
        <v>2</v>
      </c>
      <c r="U440" s="1">
        <f t="shared" si="4"/>
        <v>0</v>
      </c>
      <c r="V440" s="3">
        <f t="shared" si="5"/>
        <v>3</v>
      </c>
      <c r="W440" s="3">
        <f t="shared" si="6"/>
        <v>2</v>
      </c>
      <c r="X440" s="3" t="str">
        <f>IFERROR(__xludf.DUMMYFUNCTION("split(B440,"" "")"),"A.")</f>
        <v>A.</v>
      </c>
      <c r="Y440" s="3" t="str">
        <f>IFERROR(__xludf.DUMMYFUNCTION("""COMPUTED_VALUE"""),"Ekeler")</f>
        <v>Ekeler</v>
      </c>
      <c r="AA440" s="8">
        <v>11.0</v>
      </c>
      <c r="AB440" s="3">
        <f t="shared" si="7"/>
        <v>0</v>
      </c>
      <c r="AC440" s="3">
        <f t="shared" si="8"/>
        <v>1</v>
      </c>
      <c r="AD440" s="3">
        <f t="shared" si="9"/>
        <v>3</v>
      </c>
      <c r="AE440" s="3">
        <f t="shared" si="10"/>
        <v>3</v>
      </c>
      <c r="AF440" s="3">
        <f t="shared" si="11"/>
        <v>2</v>
      </c>
      <c r="AG440" s="3">
        <f t="shared" si="12"/>
        <v>0.12</v>
      </c>
    </row>
    <row r="441">
      <c r="A441" s="1" t="s">
        <v>12</v>
      </c>
      <c r="B441" s="1" t="s">
        <v>488</v>
      </c>
      <c r="C441" s="1" t="s">
        <v>20</v>
      </c>
      <c r="D441" s="1" t="s">
        <v>114</v>
      </c>
      <c r="E441" s="1" t="s">
        <v>147</v>
      </c>
      <c r="F441" s="1" t="s">
        <v>658</v>
      </c>
      <c r="G441" s="1">
        <v>3.5</v>
      </c>
      <c r="H441" s="1" t="s">
        <v>60</v>
      </c>
      <c r="I441" s="1">
        <v>-137.0</v>
      </c>
      <c r="J441" s="1">
        <v>-0.168659071729957</v>
      </c>
      <c r="K441" s="1" t="s">
        <v>61</v>
      </c>
      <c r="L441" s="1" t="s">
        <v>61</v>
      </c>
      <c r="M441" s="1" t="s">
        <v>62</v>
      </c>
      <c r="N441" s="1">
        <v>105.0</v>
      </c>
      <c r="O441" s="1">
        <v>0.102795121951219</v>
      </c>
      <c r="P441" s="1" t="s">
        <v>61</v>
      </c>
      <c r="Q441" s="1" t="s">
        <v>61</v>
      </c>
      <c r="R441" s="1">
        <f t="shared" si="1"/>
        <v>0.102795122</v>
      </c>
      <c r="S441" s="1">
        <f t="shared" si="2"/>
        <v>105</v>
      </c>
      <c r="T441" s="1">
        <f t="shared" si="3"/>
        <v>2.05</v>
      </c>
      <c r="U441" s="1">
        <f t="shared" si="4"/>
        <v>0</v>
      </c>
      <c r="V441" s="3">
        <f t="shared" si="5"/>
        <v>3</v>
      </c>
      <c r="W441" s="3">
        <f t="shared" si="6"/>
        <v>2</v>
      </c>
      <c r="X441" s="3" t="str">
        <f>IFERROR(__xludf.DUMMYFUNCTION("split(B441,"" "")"),"Z.")</f>
        <v>Z.</v>
      </c>
      <c r="Y441" s="3" t="str">
        <f>IFERROR(__xludf.DUMMYFUNCTION("""COMPUTED_VALUE"""),"Ertz")</f>
        <v>Ertz</v>
      </c>
      <c r="AA441" s="8">
        <v>1.0</v>
      </c>
      <c r="AB441" s="3">
        <f t="shared" si="7"/>
        <v>0</v>
      </c>
      <c r="AC441" s="3">
        <f t="shared" si="8"/>
        <v>1</v>
      </c>
      <c r="AD441" s="3">
        <f t="shared" si="9"/>
        <v>3.15</v>
      </c>
      <c r="AE441" s="3">
        <f t="shared" si="10"/>
        <v>3.15</v>
      </c>
      <c r="AF441" s="3">
        <f t="shared" si="11"/>
        <v>2.1</v>
      </c>
      <c r="AG441" s="3">
        <f t="shared" si="12"/>
        <v>0.7142857143</v>
      </c>
    </row>
    <row r="442">
      <c r="A442" s="1" t="s">
        <v>9</v>
      </c>
      <c r="B442" s="1" t="s">
        <v>606</v>
      </c>
      <c r="C442" s="1" t="s">
        <v>18</v>
      </c>
      <c r="D442" s="1" t="s">
        <v>114</v>
      </c>
      <c r="E442" s="1" t="s">
        <v>147</v>
      </c>
      <c r="F442" s="1" t="s">
        <v>658</v>
      </c>
      <c r="G442" s="1">
        <v>19.5</v>
      </c>
      <c r="H442" s="1" t="s">
        <v>60</v>
      </c>
      <c r="I442" s="1">
        <v>-113.0</v>
      </c>
      <c r="J442" s="1">
        <v>0.0903935690364148</v>
      </c>
      <c r="K442" s="1" t="s">
        <v>61</v>
      </c>
      <c r="L442" s="1" t="s">
        <v>61</v>
      </c>
      <c r="M442" s="1" t="s">
        <v>62</v>
      </c>
      <c r="N442" s="1">
        <v>-120.0</v>
      </c>
      <c r="O442" s="1">
        <v>-0.166333801116852</v>
      </c>
      <c r="P442" s="1" t="s">
        <v>61</v>
      </c>
      <c r="Q442" s="1" t="s">
        <v>61</v>
      </c>
      <c r="R442" s="1">
        <f t="shared" si="1"/>
        <v>0.09039356904</v>
      </c>
      <c r="S442" s="1">
        <f t="shared" si="2"/>
        <v>-113</v>
      </c>
      <c r="T442" s="1">
        <f t="shared" si="3"/>
        <v>1.884955752</v>
      </c>
      <c r="U442" s="1">
        <f t="shared" si="4"/>
        <v>1</v>
      </c>
      <c r="V442" s="3">
        <f t="shared" si="5"/>
        <v>2</v>
      </c>
      <c r="W442" s="3">
        <f t="shared" si="6"/>
        <v>2</v>
      </c>
      <c r="X442" s="3" t="str">
        <f>IFERROR(__xludf.DUMMYFUNCTION("split(B442,"" "")"),"O.")</f>
        <v>O.</v>
      </c>
      <c r="Y442" s="3" t="str">
        <f>IFERROR(__xludf.DUMMYFUNCTION("""COMPUTED_VALUE"""),"Zaccheaus")</f>
        <v>Zaccheaus</v>
      </c>
      <c r="AA442" s="8">
        <v>48.0</v>
      </c>
      <c r="AB442" s="3">
        <f t="shared" si="7"/>
        <v>1</v>
      </c>
      <c r="AC442" s="3">
        <f t="shared" si="8"/>
        <v>1</v>
      </c>
      <c r="AD442" s="3">
        <f t="shared" si="9"/>
        <v>1.769911504</v>
      </c>
      <c r="AE442" s="3">
        <f t="shared" si="10"/>
        <v>1.769911504</v>
      </c>
      <c r="AF442" s="3">
        <f t="shared" si="11"/>
        <v>1.769911504</v>
      </c>
      <c r="AG442" s="3">
        <f t="shared" si="12"/>
        <v>1.461538462</v>
      </c>
    </row>
    <row r="443">
      <c r="A443" s="1" t="s">
        <v>8</v>
      </c>
      <c r="B443" s="1" t="s">
        <v>320</v>
      </c>
      <c r="C443" s="1" t="s">
        <v>21</v>
      </c>
      <c r="D443" s="1" t="s">
        <v>114</v>
      </c>
      <c r="E443" s="1" t="s">
        <v>147</v>
      </c>
      <c r="F443" s="1" t="s">
        <v>658</v>
      </c>
      <c r="G443" s="1">
        <v>8.5</v>
      </c>
      <c r="H443" s="1" t="s">
        <v>60</v>
      </c>
      <c r="I443" s="1">
        <v>-117.0</v>
      </c>
      <c r="J443" s="1">
        <v>-0.150468479500658</v>
      </c>
      <c r="K443" s="1" t="s">
        <v>61</v>
      </c>
      <c r="L443" s="1" t="s">
        <v>61</v>
      </c>
      <c r="M443" s="1" t="s">
        <v>62</v>
      </c>
      <c r="N443" s="1">
        <v>-113.0</v>
      </c>
      <c r="O443" s="1">
        <v>0.0807812340767909</v>
      </c>
      <c r="P443" s="1" t="s">
        <v>61</v>
      </c>
      <c r="Q443" s="1" t="s">
        <v>61</v>
      </c>
      <c r="R443" s="1">
        <f t="shared" si="1"/>
        <v>0.08078123408</v>
      </c>
      <c r="S443" s="1">
        <f t="shared" si="2"/>
        <v>-113</v>
      </c>
      <c r="T443" s="1">
        <f t="shared" si="3"/>
        <v>1.884955752</v>
      </c>
      <c r="U443" s="1">
        <f t="shared" si="4"/>
        <v>0</v>
      </c>
      <c r="V443" s="3">
        <f t="shared" si="5"/>
        <v>2</v>
      </c>
      <c r="W443" s="3">
        <f t="shared" si="6"/>
        <v>2</v>
      </c>
      <c r="X443" s="3" t="str">
        <f>IFERROR(__xludf.DUMMYFUNCTION("split(B443,"" "")"),"J.")</f>
        <v>J.</v>
      </c>
      <c r="Y443" s="3" t="str">
        <f>IFERROR(__xludf.DUMMYFUNCTION("""COMPUTED_VALUE"""),"Daniels")</f>
        <v>Daniels</v>
      </c>
      <c r="AA443" s="8">
        <v>8.0</v>
      </c>
      <c r="AB443" s="3">
        <f t="shared" si="7"/>
        <v>0</v>
      </c>
      <c r="AC443" s="3">
        <f t="shared" si="8"/>
        <v>1</v>
      </c>
      <c r="AD443" s="3">
        <f t="shared" si="9"/>
        <v>1.769911504</v>
      </c>
      <c r="AE443" s="3">
        <f t="shared" si="10"/>
        <v>1.769911504</v>
      </c>
      <c r="AF443" s="3">
        <f t="shared" si="11"/>
        <v>1.769911504</v>
      </c>
      <c r="AG443" s="3">
        <f t="shared" si="12"/>
        <v>0.05882352941</v>
      </c>
    </row>
    <row r="444">
      <c r="A444" s="1" t="s">
        <v>16</v>
      </c>
      <c r="B444" s="1" t="s">
        <v>320</v>
      </c>
      <c r="C444" s="1" t="s">
        <v>21</v>
      </c>
      <c r="D444" s="1" t="s">
        <v>114</v>
      </c>
      <c r="E444" s="1" t="s">
        <v>147</v>
      </c>
      <c r="F444" s="1" t="s">
        <v>658</v>
      </c>
      <c r="G444" s="1">
        <v>30.5</v>
      </c>
      <c r="H444" s="1" t="s">
        <v>60</v>
      </c>
      <c r="I444" s="1">
        <v>-115.0</v>
      </c>
      <c r="J444" s="1">
        <v>-0.112734783348837</v>
      </c>
      <c r="K444" s="1" t="s">
        <v>61</v>
      </c>
      <c r="L444" s="1" t="s">
        <v>61</v>
      </c>
      <c r="M444" s="1" t="s">
        <v>62</v>
      </c>
      <c r="N444" s="1">
        <v>-115.0</v>
      </c>
      <c r="O444" s="1">
        <v>0.0429600008511628</v>
      </c>
      <c r="P444" s="1" t="s">
        <v>61</v>
      </c>
      <c r="Q444" s="1" t="s">
        <v>61</v>
      </c>
      <c r="R444" s="1">
        <f t="shared" si="1"/>
        <v>0.04296000085</v>
      </c>
      <c r="S444" s="1">
        <f t="shared" si="2"/>
        <v>-115</v>
      </c>
      <c r="T444" s="1">
        <f t="shared" si="3"/>
        <v>1.869565217</v>
      </c>
      <c r="U444" s="1">
        <f t="shared" si="4"/>
        <v>0</v>
      </c>
      <c r="V444" s="3">
        <f t="shared" si="5"/>
        <v>1</v>
      </c>
      <c r="W444" s="3">
        <f t="shared" si="6"/>
        <v>2</v>
      </c>
      <c r="X444" s="3" t="str">
        <f>IFERROR(__xludf.DUMMYFUNCTION("split(B444,"" "")"),"J.")</f>
        <v>J.</v>
      </c>
      <c r="Y444" s="3" t="str">
        <f>IFERROR(__xludf.DUMMYFUNCTION("""COMPUTED_VALUE"""),"Daniels")</f>
        <v>Daniels</v>
      </c>
      <c r="AA444" s="8">
        <v>22.0</v>
      </c>
      <c r="AB444" s="3">
        <f t="shared" si="7"/>
        <v>0</v>
      </c>
      <c r="AC444" s="3">
        <f t="shared" si="8"/>
        <v>1</v>
      </c>
      <c r="AD444" s="3">
        <f t="shared" si="9"/>
        <v>0.8695652174</v>
      </c>
      <c r="AE444" s="3">
        <f t="shared" si="10"/>
        <v>0.8695652174</v>
      </c>
      <c r="AF444" s="3">
        <f t="shared" si="11"/>
        <v>1.739130435</v>
      </c>
      <c r="AG444" s="3">
        <f t="shared" si="12"/>
        <v>0.2786885246</v>
      </c>
    </row>
    <row r="445">
      <c r="A445" s="1" t="s">
        <v>12</v>
      </c>
      <c r="B445" s="1" t="s">
        <v>249</v>
      </c>
      <c r="C445" s="1" t="s">
        <v>18</v>
      </c>
      <c r="D445" s="1" t="s">
        <v>114</v>
      </c>
      <c r="E445" s="1" t="s">
        <v>147</v>
      </c>
      <c r="F445" s="1" t="s">
        <v>658</v>
      </c>
      <c r="G445" s="1">
        <v>4.5</v>
      </c>
      <c r="H445" s="1" t="s">
        <v>60</v>
      </c>
      <c r="I445" s="1">
        <v>-151.0</v>
      </c>
      <c r="J445" s="1">
        <v>-0.107373306772908</v>
      </c>
      <c r="K445" s="1" t="s">
        <v>61</v>
      </c>
      <c r="L445" s="1" t="s">
        <v>61</v>
      </c>
      <c r="M445" s="1" t="s">
        <v>62</v>
      </c>
      <c r="N445" s="1">
        <v>115.0</v>
      </c>
      <c r="O445" s="1">
        <v>0.0406767441860465</v>
      </c>
      <c r="P445" s="1" t="s">
        <v>61</v>
      </c>
      <c r="Q445" s="1" t="s">
        <v>61</v>
      </c>
      <c r="R445" s="1">
        <f t="shared" si="1"/>
        <v>0.04067674419</v>
      </c>
      <c r="S445" s="1">
        <f t="shared" si="2"/>
        <v>115</v>
      </c>
      <c r="T445" s="1">
        <f t="shared" si="3"/>
        <v>2.15</v>
      </c>
      <c r="U445" s="1">
        <f t="shared" si="4"/>
        <v>0</v>
      </c>
      <c r="V445" s="3">
        <f t="shared" si="5"/>
        <v>1</v>
      </c>
      <c r="W445" s="3">
        <f t="shared" si="6"/>
        <v>1</v>
      </c>
      <c r="X445" s="3" t="str">
        <f>IFERROR(__xludf.DUMMYFUNCTION("split(B445,"" "")"),"T.")</f>
        <v>T.</v>
      </c>
      <c r="Y445" s="3" t="str">
        <f>IFERROR(__xludf.DUMMYFUNCTION("""COMPUTED_VALUE"""),"McLaurin")</f>
        <v>McLaurin</v>
      </c>
      <c r="AA445" s="8">
        <v>2.0</v>
      </c>
      <c r="AB445" s="3">
        <f t="shared" si="7"/>
        <v>0</v>
      </c>
      <c r="AC445" s="3">
        <f t="shared" si="8"/>
        <v>1</v>
      </c>
      <c r="AD445" s="3">
        <f t="shared" si="9"/>
        <v>1.15</v>
      </c>
      <c r="AE445" s="3">
        <f t="shared" si="10"/>
        <v>1.15</v>
      </c>
      <c r="AF445" s="3">
        <f t="shared" si="11"/>
        <v>1.15</v>
      </c>
      <c r="AG445" s="3">
        <f t="shared" si="12"/>
        <v>0.5555555556</v>
      </c>
    </row>
    <row r="446">
      <c r="A446" s="1" t="s">
        <v>9</v>
      </c>
      <c r="B446" s="1" t="s">
        <v>408</v>
      </c>
      <c r="C446" s="1" t="s">
        <v>19</v>
      </c>
      <c r="D446" s="1" t="s">
        <v>114</v>
      </c>
      <c r="E446" s="1" t="s">
        <v>147</v>
      </c>
      <c r="F446" s="1" t="s">
        <v>658</v>
      </c>
      <c r="G446" s="1">
        <v>81.5</v>
      </c>
      <c r="H446" s="1" t="s">
        <v>60</v>
      </c>
      <c r="I446" s="1">
        <v>-120.0</v>
      </c>
      <c r="J446" s="1">
        <v>-0.116971932018793</v>
      </c>
      <c r="K446" s="1" t="s">
        <v>61</v>
      </c>
      <c r="L446" s="1" t="s">
        <v>61</v>
      </c>
      <c r="M446" s="1" t="s">
        <v>62</v>
      </c>
      <c r="N446" s="1">
        <v>-115.0</v>
      </c>
      <c r="O446" s="1">
        <v>0.0366544130267666</v>
      </c>
      <c r="P446" s="1" t="s">
        <v>61</v>
      </c>
      <c r="Q446" s="1" t="s">
        <v>61</v>
      </c>
      <c r="R446" s="1">
        <f t="shared" si="1"/>
        <v>0.03665441303</v>
      </c>
      <c r="S446" s="1">
        <f t="shared" si="2"/>
        <v>-115</v>
      </c>
      <c r="T446" s="1">
        <f t="shared" si="3"/>
        <v>1.869565217</v>
      </c>
      <c r="U446" s="1">
        <f t="shared" si="4"/>
        <v>0</v>
      </c>
      <c r="V446" s="3">
        <f t="shared" si="5"/>
        <v>1</v>
      </c>
      <c r="W446" s="3">
        <f t="shared" si="6"/>
        <v>2</v>
      </c>
      <c r="X446" s="3" t="str">
        <f>IFERROR(__xludf.DUMMYFUNCTION("split(B446,"" "")"),"A.")</f>
        <v>A.</v>
      </c>
      <c r="Y446" s="3" t="str">
        <f>IFERROR(__xludf.DUMMYFUNCTION("""COMPUTED_VALUE"""),"Ekeler")</f>
        <v>Ekeler</v>
      </c>
      <c r="AA446" s="8">
        <v>83.0</v>
      </c>
      <c r="AB446" s="3">
        <f t="shared" si="7"/>
        <v>1</v>
      </c>
      <c r="AC446" s="3">
        <f t="shared" si="8"/>
        <v>0</v>
      </c>
      <c r="AD446" s="3">
        <f t="shared" si="9"/>
        <v>0.8695652174</v>
      </c>
      <c r="AE446" s="3">
        <f t="shared" si="10"/>
        <v>-1</v>
      </c>
      <c r="AF446" s="3">
        <f t="shared" si="11"/>
        <v>-2</v>
      </c>
      <c r="AG446" s="3">
        <f t="shared" si="12"/>
        <v>-0.01840490798</v>
      </c>
    </row>
    <row r="447">
      <c r="A447" s="1" t="s">
        <v>12</v>
      </c>
      <c r="B447" s="1" t="s">
        <v>408</v>
      </c>
      <c r="C447" s="1" t="s">
        <v>19</v>
      </c>
      <c r="D447" s="1" t="s">
        <v>114</v>
      </c>
      <c r="E447" s="1" t="s">
        <v>147</v>
      </c>
      <c r="F447" s="1" t="s">
        <v>658</v>
      </c>
      <c r="G447" s="1">
        <v>3.5</v>
      </c>
      <c r="H447" s="1" t="s">
        <v>60</v>
      </c>
      <c r="I447" s="1">
        <v>134.0</v>
      </c>
      <c r="J447" s="1">
        <v>-0.0951504273504273</v>
      </c>
      <c r="K447" s="1" t="s">
        <v>61</v>
      </c>
      <c r="L447" s="1" t="s">
        <v>61</v>
      </c>
      <c r="M447" s="1" t="s">
        <v>62</v>
      </c>
      <c r="N447" s="1">
        <v>-176.0</v>
      </c>
      <c r="O447" s="1">
        <v>0.0301188405797101</v>
      </c>
      <c r="P447" s="1" t="s">
        <v>61</v>
      </c>
      <c r="Q447" s="1" t="s">
        <v>61</v>
      </c>
      <c r="R447" s="1">
        <f t="shared" si="1"/>
        <v>0.03011884058</v>
      </c>
      <c r="S447" s="1">
        <f t="shared" si="2"/>
        <v>-176</v>
      </c>
      <c r="T447" s="1">
        <f t="shared" si="3"/>
        <v>1.568181818</v>
      </c>
      <c r="U447" s="1">
        <f t="shared" si="4"/>
        <v>0</v>
      </c>
      <c r="V447" s="3">
        <f t="shared" si="5"/>
        <v>1</v>
      </c>
      <c r="W447" s="3">
        <f t="shared" si="6"/>
        <v>3</v>
      </c>
      <c r="X447" s="3" t="str">
        <f>IFERROR(__xludf.DUMMYFUNCTION("split(B447,"" "")"),"A.")</f>
        <v>A.</v>
      </c>
      <c r="Y447" s="3" t="str">
        <f>IFERROR(__xludf.DUMMYFUNCTION("""COMPUTED_VALUE"""),"Ekeler")</f>
        <v>Ekeler</v>
      </c>
      <c r="AA447" s="8">
        <v>3.0</v>
      </c>
      <c r="AB447" s="3">
        <f t="shared" si="7"/>
        <v>0</v>
      </c>
      <c r="AC447" s="3">
        <f t="shared" si="8"/>
        <v>1</v>
      </c>
      <c r="AD447" s="3">
        <f t="shared" si="9"/>
        <v>0.5681818182</v>
      </c>
      <c r="AE447" s="3">
        <f t="shared" si="10"/>
        <v>0.5681818182</v>
      </c>
      <c r="AF447" s="3">
        <f t="shared" si="11"/>
        <v>1.704545455</v>
      </c>
      <c r="AG447" s="3">
        <f t="shared" si="12"/>
        <v>0.1428571429</v>
      </c>
    </row>
    <row r="448">
      <c r="A448" s="1" t="s">
        <v>9</v>
      </c>
      <c r="B448" s="1" t="s">
        <v>561</v>
      </c>
      <c r="C448" s="1" t="s">
        <v>18</v>
      </c>
      <c r="D448" s="1" t="s">
        <v>114</v>
      </c>
      <c r="E448" s="1" t="s">
        <v>147</v>
      </c>
      <c r="F448" s="1" t="s">
        <v>658</v>
      </c>
      <c r="G448" s="1">
        <v>29.5</v>
      </c>
      <c r="H448" s="1" t="s">
        <v>60</v>
      </c>
      <c r="I448" s="1">
        <v>-116.0</v>
      </c>
      <c r="J448" s="1">
        <v>0.0289213296314297</v>
      </c>
      <c r="K448" s="1" t="s">
        <v>61</v>
      </c>
      <c r="L448" s="1" t="s">
        <v>61</v>
      </c>
      <c r="M448" s="1" t="s">
        <v>62</v>
      </c>
      <c r="N448" s="1">
        <v>-116.0</v>
      </c>
      <c r="O448" s="1">
        <v>-0.102988742372458</v>
      </c>
      <c r="P448" s="1" t="s">
        <v>61</v>
      </c>
      <c r="Q448" s="1" t="s">
        <v>61</v>
      </c>
      <c r="R448" s="1">
        <f t="shared" si="1"/>
        <v>0.02892132963</v>
      </c>
      <c r="S448" s="1">
        <f t="shared" si="2"/>
        <v>-116</v>
      </c>
      <c r="T448" s="1">
        <f t="shared" si="3"/>
        <v>1.862068966</v>
      </c>
      <c r="U448" s="1">
        <f t="shared" si="4"/>
        <v>1</v>
      </c>
      <c r="V448" s="3">
        <f t="shared" si="5"/>
        <v>1</v>
      </c>
      <c r="W448" s="3">
        <f t="shared" si="6"/>
        <v>2</v>
      </c>
      <c r="X448" s="3" t="str">
        <f>IFERROR(__xludf.DUMMYFUNCTION("split(B448,"" "")"),"N.")</f>
        <v>N.</v>
      </c>
      <c r="Y448" s="3" t="str">
        <f>IFERROR(__xludf.DUMMYFUNCTION("""COMPUTED_VALUE"""),"Brown")</f>
        <v>Brown</v>
      </c>
      <c r="AA448" s="8">
        <v>60.0</v>
      </c>
      <c r="AB448" s="3">
        <f t="shared" si="7"/>
        <v>1</v>
      </c>
      <c r="AC448" s="3">
        <f t="shared" si="8"/>
        <v>1</v>
      </c>
      <c r="AD448" s="3">
        <f t="shared" si="9"/>
        <v>0.8620689655</v>
      </c>
      <c r="AE448" s="3">
        <f t="shared" si="10"/>
        <v>0.8620689655</v>
      </c>
      <c r="AF448" s="3">
        <f t="shared" si="11"/>
        <v>1.724137931</v>
      </c>
      <c r="AG448" s="3">
        <f t="shared" si="12"/>
        <v>1.033898305</v>
      </c>
    </row>
    <row r="449">
      <c r="A449" s="1" t="s">
        <v>11</v>
      </c>
      <c r="B449" s="1" t="s">
        <v>606</v>
      </c>
      <c r="C449" s="1" t="s">
        <v>18</v>
      </c>
      <c r="D449" s="1" t="s">
        <v>114</v>
      </c>
      <c r="E449" s="1" t="s">
        <v>147</v>
      </c>
      <c r="F449" s="1" t="s">
        <v>658</v>
      </c>
      <c r="G449" s="1">
        <v>18.5</v>
      </c>
      <c r="H449" s="1" t="s">
        <v>60</v>
      </c>
      <c r="I449" s="1">
        <v>-116.0</v>
      </c>
      <c r="J449" s="1">
        <v>-0.0950433154243658</v>
      </c>
      <c r="K449" s="1" t="s">
        <v>61</v>
      </c>
      <c r="L449" s="1" t="s">
        <v>61</v>
      </c>
      <c r="M449" s="1" t="s">
        <v>62</v>
      </c>
      <c r="N449" s="1">
        <v>-113.0</v>
      </c>
      <c r="O449" s="1">
        <v>0.0275199456750196</v>
      </c>
      <c r="P449" s="1" t="s">
        <v>61</v>
      </c>
      <c r="Q449" s="1" t="s">
        <v>61</v>
      </c>
      <c r="R449" s="1">
        <f t="shared" si="1"/>
        <v>0.02751994568</v>
      </c>
      <c r="S449" s="1">
        <f t="shared" si="2"/>
        <v>-113</v>
      </c>
      <c r="T449" s="1">
        <f t="shared" si="3"/>
        <v>1.884955752</v>
      </c>
      <c r="U449" s="1">
        <f t="shared" si="4"/>
        <v>0</v>
      </c>
      <c r="V449" s="3">
        <f t="shared" si="5"/>
        <v>1</v>
      </c>
      <c r="W449" s="3">
        <f t="shared" si="6"/>
        <v>2</v>
      </c>
      <c r="X449" s="3" t="str">
        <f>IFERROR(__xludf.DUMMYFUNCTION("split(B449,"" "")"),"O.")</f>
        <v>O.</v>
      </c>
      <c r="Y449" s="3" t="str">
        <f>IFERROR(__xludf.DUMMYFUNCTION("""COMPUTED_VALUE"""),"Zaccheaus")</f>
        <v>Zaccheaus</v>
      </c>
      <c r="AA449" s="8">
        <v>48.0</v>
      </c>
      <c r="AB449" s="3">
        <f t="shared" si="7"/>
        <v>1</v>
      </c>
      <c r="AC449" s="3">
        <f t="shared" si="8"/>
        <v>0</v>
      </c>
      <c r="AD449" s="3">
        <f t="shared" si="9"/>
        <v>0.8849557522</v>
      </c>
      <c r="AE449" s="3">
        <f t="shared" si="10"/>
        <v>-1</v>
      </c>
      <c r="AF449" s="3">
        <f t="shared" si="11"/>
        <v>-2</v>
      </c>
      <c r="AG449" s="3">
        <f t="shared" si="12"/>
        <v>-1.594594595</v>
      </c>
    </row>
    <row r="450">
      <c r="A450" s="1" t="s">
        <v>11</v>
      </c>
      <c r="B450" s="1" t="s">
        <v>408</v>
      </c>
      <c r="C450" s="1" t="s">
        <v>19</v>
      </c>
      <c r="D450" s="1" t="s">
        <v>114</v>
      </c>
      <c r="E450" s="1" t="s">
        <v>147</v>
      </c>
      <c r="F450" s="1" t="s">
        <v>658</v>
      </c>
      <c r="G450" s="1">
        <v>20.5</v>
      </c>
      <c r="H450" s="1" t="s">
        <v>60</v>
      </c>
      <c r="I450" s="1">
        <v>-119.0</v>
      </c>
      <c r="J450" s="1">
        <v>-0.093170717185895</v>
      </c>
      <c r="K450" s="1" t="s">
        <v>61</v>
      </c>
      <c r="L450" s="1" t="s">
        <v>61</v>
      </c>
      <c r="M450" s="1" t="s">
        <v>62</v>
      </c>
      <c r="N450" s="1">
        <v>-110.0</v>
      </c>
      <c r="O450" s="1">
        <v>0.0260104084289624</v>
      </c>
      <c r="P450" s="1" t="s">
        <v>61</v>
      </c>
      <c r="Q450" s="1" t="s">
        <v>61</v>
      </c>
      <c r="R450" s="1">
        <f t="shared" si="1"/>
        <v>0.02601040843</v>
      </c>
      <c r="S450" s="1">
        <f t="shared" si="2"/>
        <v>-110</v>
      </c>
      <c r="T450" s="1">
        <f t="shared" si="3"/>
        <v>1.909090909</v>
      </c>
      <c r="U450" s="1">
        <f t="shared" si="4"/>
        <v>0</v>
      </c>
      <c r="V450" s="3">
        <f t="shared" si="5"/>
        <v>1</v>
      </c>
      <c r="W450" s="3">
        <f t="shared" si="6"/>
        <v>2</v>
      </c>
      <c r="X450" s="3" t="str">
        <f>IFERROR(__xludf.DUMMYFUNCTION("split(B450,"" "")"),"A.")</f>
        <v>A.</v>
      </c>
      <c r="Y450" s="3" t="str">
        <f>IFERROR(__xludf.DUMMYFUNCTION("""COMPUTED_VALUE"""),"Ekeler")</f>
        <v>Ekeler</v>
      </c>
      <c r="AA450" s="8">
        <v>41.0</v>
      </c>
      <c r="AB450" s="3">
        <f t="shared" si="7"/>
        <v>1</v>
      </c>
      <c r="AC450" s="3">
        <f t="shared" si="8"/>
        <v>0</v>
      </c>
      <c r="AD450" s="3">
        <f t="shared" si="9"/>
        <v>0.9090909091</v>
      </c>
      <c r="AE450" s="3">
        <f t="shared" si="10"/>
        <v>-1</v>
      </c>
      <c r="AF450" s="3">
        <f t="shared" si="11"/>
        <v>-2</v>
      </c>
      <c r="AG450" s="3">
        <f t="shared" si="12"/>
        <v>-1</v>
      </c>
    </row>
    <row r="451">
      <c r="A451" s="1" t="s">
        <v>11</v>
      </c>
      <c r="B451" s="1" t="s">
        <v>561</v>
      </c>
      <c r="C451" s="1" t="s">
        <v>18</v>
      </c>
      <c r="D451" s="1" t="s">
        <v>114</v>
      </c>
      <c r="E451" s="1" t="s">
        <v>147</v>
      </c>
      <c r="F451" s="1" t="s">
        <v>658</v>
      </c>
      <c r="G451" s="1">
        <v>29.5</v>
      </c>
      <c r="H451" s="1" t="s">
        <v>60</v>
      </c>
      <c r="I451" s="1">
        <v>-115.0</v>
      </c>
      <c r="J451" s="1">
        <v>-0.0870320519641862</v>
      </c>
      <c r="K451" s="1" t="s">
        <v>61</v>
      </c>
      <c r="L451" s="1" t="s">
        <v>61</v>
      </c>
      <c r="M451" s="1" t="s">
        <v>62</v>
      </c>
      <c r="N451" s="1">
        <v>-112.0</v>
      </c>
      <c r="O451" s="1">
        <v>0.0238790731789435</v>
      </c>
      <c r="P451" s="1" t="s">
        <v>61</v>
      </c>
      <c r="Q451" s="1" t="s">
        <v>61</v>
      </c>
      <c r="R451" s="1">
        <f t="shared" si="1"/>
        <v>0.02387907318</v>
      </c>
      <c r="S451" s="1">
        <f t="shared" si="2"/>
        <v>-112</v>
      </c>
      <c r="T451" s="1">
        <f t="shared" si="3"/>
        <v>1.892857143</v>
      </c>
      <c r="U451" s="1">
        <f t="shared" si="4"/>
        <v>0</v>
      </c>
      <c r="V451" s="3">
        <f t="shared" si="5"/>
        <v>1</v>
      </c>
      <c r="W451" s="3">
        <f t="shared" si="6"/>
        <v>2</v>
      </c>
      <c r="X451" s="3" t="str">
        <f>IFERROR(__xludf.DUMMYFUNCTION("split(B451,"" "")"),"N.")</f>
        <v>N.</v>
      </c>
      <c r="Y451" s="3" t="str">
        <f>IFERROR(__xludf.DUMMYFUNCTION("""COMPUTED_VALUE"""),"Brown")</f>
        <v>Brown</v>
      </c>
      <c r="AA451" s="8">
        <v>60.0</v>
      </c>
      <c r="AB451" s="3">
        <f t="shared" si="7"/>
        <v>1</v>
      </c>
      <c r="AC451" s="3">
        <f t="shared" si="8"/>
        <v>0</v>
      </c>
      <c r="AD451" s="3">
        <f t="shared" si="9"/>
        <v>0.8928571429</v>
      </c>
      <c r="AE451" s="3">
        <f t="shared" si="10"/>
        <v>-1</v>
      </c>
      <c r="AF451" s="3">
        <f t="shared" si="11"/>
        <v>-2</v>
      </c>
      <c r="AG451" s="3">
        <f t="shared" si="12"/>
        <v>-1.033898305</v>
      </c>
    </row>
    <row r="452">
      <c r="A452" s="1" t="s">
        <v>14</v>
      </c>
      <c r="B452" s="1" t="s">
        <v>320</v>
      </c>
      <c r="C452" s="1" t="s">
        <v>21</v>
      </c>
      <c r="D452" s="1" t="s">
        <v>114</v>
      </c>
      <c r="E452" s="1" t="s">
        <v>147</v>
      </c>
      <c r="F452" s="1" t="s">
        <v>658</v>
      </c>
      <c r="G452" s="1">
        <v>1.5</v>
      </c>
      <c r="H452" s="1" t="s">
        <v>60</v>
      </c>
      <c r="I452" s="1">
        <v>109.0</v>
      </c>
      <c r="J452" s="1">
        <v>-0.0803688995215312</v>
      </c>
      <c r="K452" s="1" t="s">
        <v>61</v>
      </c>
      <c r="L452" s="1" t="s">
        <v>61</v>
      </c>
      <c r="M452" s="1" t="s">
        <v>62</v>
      </c>
      <c r="N452" s="1">
        <v>-140.0</v>
      </c>
      <c r="O452" s="1">
        <v>0.0185666666666668</v>
      </c>
      <c r="P452" s="1" t="s">
        <v>61</v>
      </c>
      <c r="Q452" s="1" t="s">
        <v>61</v>
      </c>
      <c r="R452" s="1">
        <f t="shared" si="1"/>
        <v>0.01856666667</v>
      </c>
      <c r="S452" s="1">
        <f t="shared" si="2"/>
        <v>-140</v>
      </c>
      <c r="T452" s="1">
        <f t="shared" si="3"/>
        <v>1.714285714</v>
      </c>
      <c r="U452" s="1">
        <f t="shared" si="4"/>
        <v>0</v>
      </c>
      <c r="V452" s="3">
        <f t="shared" si="5"/>
        <v>1</v>
      </c>
      <c r="W452" s="3">
        <f t="shared" si="6"/>
        <v>3</v>
      </c>
      <c r="X452" s="3" t="str">
        <f>IFERROR(__xludf.DUMMYFUNCTION("split(B452,"" "")"),"J.")</f>
        <v>J.</v>
      </c>
      <c r="Y452" s="3" t="str">
        <f>IFERROR(__xludf.DUMMYFUNCTION("""COMPUTED_VALUE"""),"Daniels")</f>
        <v>Daniels</v>
      </c>
      <c r="AA452" s="8">
        <v>2.0</v>
      </c>
      <c r="AB452" s="3">
        <f t="shared" si="7"/>
        <v>1</v>
      </c>
      <c r="AC452" s="3">
        <f t="shared" si="8"/>
        <v>0</v>
      </c>
      <c r="AD452" s="3">
        <f t="shared" si="9"/>
        <v>0.7142857143</v>
      </c>
      <c r="AE452" s="3">
        <f t="shared" si="10"/>
        <v>-1</v>
      </c>
      <c r="AF452" s="3">
        <f t="shared" si="11"/>
        <v>-3</v>
      </c>
      <c r="AG452" s="3">
        <f t="shared" si="12"/>
        <v>-0.3333333333</v>
      </c>
    </row>
    <row r="453">
      <c r="A453" s="1" t="s">
        <v>10</v>
      </c>
      <c r="B453" s="1" t="s">
        <v>408</v>
      </c>
      <c r="C453" s="1" t="s">
        <v>19</v>
      </c>
      <c r="D453" s="1" t="s">
        <v>114</v>
      </c>
      <c r="E453" s="1" t="s">
        <v>147</v>
      </c>
      <c r="F453" s="1" t="s">
        <v>658</v>
      </c>
      <c r="G453" s="1">
        <v>55.5</v>
      </c>
      <c r="H453" s="1" t="s">
        <v>60</v>
      </c>
      <c r="I453" s="1">
        <v>-120.0</v>
      </c>
      <c r="J453" s="1">
        <v>-0.0863367087867514</v>
      </c>
      <c r="K453" s="1" t="s">
        <v>61</v>
      </c>
      <c r="L453" s="1" t="s">
        <v>61</v>
      </c>
      <c r="M453" s="1" t="s">
        <v>62</v>
      </c>
      <c r="N453" s="1">
        <v>-110.0</v>
      </c>
      <c r="O453" s="1">
        <v>0.0170989163739135</v>
      </c>
      <c r="P453" s="1" t="s">
        <v>61</v>
      </c>
      <c r="Q453" s="1" t="s">
        <v>61</v>
      </c>
      <c r="R453" s="1">
        <f t="shared" si="1"/>
        <v>0.01709891637</v>
      </c>
      <c r="S453" s="1">
        <f t="shared" si="2"/>
        <v>-110</v>
      </c>
      <c r="T453" s="1">
        <f t="shared" si="3"/>
        <v>1.909090909</v>
      </c>
      <c r="U453" s="1">
        <f t="shared" si="4"/>
        <v>0</v>
      </c>
      <c r="V453" s="3">
        <f t="shared" si="5"/>
        <v>1</v>
      </c>
      <c r="W453" s="3">
        <f t="shared" si="6"/>
        <v>2</v>
      </c>
      <c r="X453" s="3" t="str">
        <f>IFERROR(__xludf.DUMMYFUNCTION("split(B453,"" "")"),"A.")</f>
        <v>A.</v>
      </c>
      <c r="Y453" s="3" t="str">
        <f>IFERROR(__xludf.DUMMYFUNCTION("""COMPUTED_VALUE"""),"Ekeler")</f>
        <v>Ekeler</v>
      </c>
      <c r="AA453" s="8">
        <v>42.0</v>
      </c>
      <c r="AB453" s="3">
        <f t="shared" si="7"/>
        <v>0</v>
      </c>
      <c r="AC453" s="3">
        <f t="shared" si="8"/>
        <v>1</v>
      </c>
      <c r="AD453" s="3">
        <f t="shared" si="9"/>
        <v>0.9090909091</v>
      </c>
      <c r="AE453" s="3">
        <f t="shared" si="10"/>
        <v>0.9090909091</v>
      </c>
      <c r="AF453" s="3">
        <f t="shared" si="11"/>
        <v>1.818181818</v>
      </c>
      <c r="AG453" s="3">
        <f t="shared" si="12"/>
        <v>0.2432432432</v>
      </c>
    </row>
    <row r="454">
      <c r="A454" s="1" t="s">
        <v>8</v>
      </c>
      <c r="B454" s="1" t="s">
        <v>264</v>
      </c>
      <c r="C454" s="1" t="s">
        <v>19</v>
      </c>
      <c r="D454" s="1" t="s">
        <v>114</v>
      </c>
      <c r="E454" s="1" t="s">
        <v>147</v>
      </c>
      <c r="F454" s="1" t="s">
        <v>658</v>
      </c>
      <c r="G454" s="1">
        <v>13.5</v>
      </c>
      <c r="H454" s="1" t="s">
        <v>60</v>
      </c>
      <c r="I454" s="1">
        <v>-115.0</v>
      </c>
      <c r="J454" s="1">
        <v>-0.0887805582902326</v>
      </c>
      <c r="K454" s="1" t="s">
        <v>61</v>
      </c>
      <c r="L454" s="1" t="s">
        <v>61</v>
      </c>
      <c r="M454" s="1" t="s">
        <v>62</v>
      </c>
      <c r="N454" s="1">
        <v>-118.0</v>
      </c>
      <c r="O454" s="1">
        <v>0.0126119157717063</v>
      </c>
      <c r="P454" s="1" t="s">
        <v>61</v>
      </c>
      <c r="Q454" s="1" t="s">
        <v>61</v>
      </c>
      <c r="R454" s="1">
        <f t="shared" si="1"/>
        <v>0.01261191577</v>
      </c>
      <c r="S454" s="1">
        <f t="shared" si="2"/>
        <v>-118</v>
      </c>
      <c r="T454" s="1">
        <f t="shared" si="3"/>
        <v>1.847457627</v>
      </c>
      <c r="U454" s="1">
        <f t="shared" si="4"/>
        <v>0</v>
      </c>
      <c r="V454" s="3">
        <f t="shared" si="5"/>
        <v>1</v>
      </c>
      <c r="W454" s="3">
        <f t="shared" si="6"/>
        <v>3</v>
      </c>
      <c r="X454" s="3" t="str">
        <f>IFERROR(__xludf.DUMMYFUNCTION("split(B454,"" "")"),"B.")</f>
        <v>B.</v>
      </c>
      <c r="Y454" s="3" t="str">
        <f>IFERROR(__xludf.DUMMYFUNCTION("""COMPUTED_VALUE"""),"Robinson")</f>
        <v>Robinson</v>
      </c>
      <c r="AA454" s="8">
        <v>0.0</v>
      </c>
      <c r="AB454" s="3">
        <f t="shared" si="7"/>
        <v>0</v>
      </c>
      <c r="AC454" s="3">
        <f t="shared" si="8"/>
        <v>1</v>
      </c>
      <c r="AD454" s="3">
        <f t="shared" si="9"/>
        <v>0.8474576271</v>
      </c>
      <c r="AE454" s="3">
        <f t="shared" si="10"/>
        <v>0.8474576271</v>
      </c>
      <c r="AF454" s="3">
        <f t="shared" si="11"/>
        <v>2.542372881</v>
      </c>
      <c r="AG454" s="3">
        <f t="shared" si="12"/>
        <v>1</v>
      </c>
    </row>
    <row r="455">
      <c r="A455" s="1" t="s">
        <v>11</v>
      </c>
      <c r="B455" s="1" t="s">
        <v>488</v>
      </c>
      <c r="C455" s="1" t="s">
        <v>20</v>
      </c>
      <c r="D455" s="1" t="s">
        <v>114</v>
      </c>
      <c r="E455" s="1" t="s">
        <v>147</v>
      </c>
      <c r="F455" s="1" t="s">
        <v>658</v>
      </c>
      <c r="G455" s="1">
        <v>34.5</v>
      </c>
      <c r="H455" s="1" t="s">
        <v>60</v>
      </c>
      <c r="I455" s="1">
        <v>-110.0</v>
      </c>
      <c r="J455" s="1">
        <v>-0.0747924219592858</v>
      </c>
      <c r="K455" s="1" t="s">
        <v>61</v>
      </c>
      <c r="L455" s="1" t="s">
        <v>61</v>
      </c>
      <c r="M455" s="1" t="s">
        <v>62</v>
      </c>
      <c r="N455" s="1">
        <v>-119.0</v>
      </c>
      <c r="O455" s="1">
        <v>0.0076142657364181</v>
      </c>
      <c r="P455" s="1" t="s">
        <v>61</v>
      </c>
      <c r="Q455" s="1" t="s">
        <v>61</v>
      </c>
      <c r="R455" s="1">
        <f t="shared" si="1"/>
        <v>0.007614265736</v>
      </c>
      <c r="S455" s="1">
        <f t="shared" si="2"/>
        <v>-119</v>
      </c>
      <c r="T455" s="1">
        <f t="shared" si="3"/>
        <v>1.840336134</v>
      </c>
      <c r="U455" s="1">
        <f t="shared" si="4"/>
        <v>0</v>
      </c>
      <c r="V455" s="3">
        <f t="shared" si="5"/>
        <v>1</v>
      </c>
      <c r="W455" s="3">
        <f t="shared" si="6"/>
        <v>3</v>
      </c>
      <c r="X455" s="3" t="str">
        <f>IFERROR(__xludf.DUMMYFUNCTION("split(B455,"" "")"),"Z.")</f>
        <v>Z.</v>
      </c>
      <c r="Y455" s="3" t="str">
        <f>IFERROR(__xludf.DUMMYFUNCTION("""COMPUTED_VALUE"""),"Ertz")</f>
        <v>Ertz</v>
      </c>
      <c r="AA455" s="8">
        <v>5.0</v>
      </c>
      <c r="AB455" s="3">
        <f t="shared" si="7"/>
        <v>0</v>
      </c>
      <c r="AC455" s="3">
        <f t="shared" si="8"/>
        <v>1</v>
      </c>
      <c r="AD455" s="3">
        <f t="shared" si="9"/>
        <v>0.8403361345</v>
      </c>
      <c r="AE455" s="3">
        <f t="shared" si="10"/>
        <v>0.8403361345</v>
      </c>
      <c r="AF455" s="3">
        <f t="shared" si="11"/>
        <v>2.521008403</v>
      </c>
      <c r="AG455" s="3">
        <f t="shared" si="12"/>
        <v>0.8550724638</v>
      </c>
    </row>
    <row r="456">
      <c r="AA456" s="8"/>
    </row>
    <row r="457">
      <c r="AA457" s="8"/>
    </row>
    <row r="458">
      <c r="AA458" s="8"/>
    </row>
    <row r="459">
      <c r="AA459" s="8"/>
    </row>
    <row r="460">
      <c r="AA460" s="8"/>
    </row>
    <row r="461">
      <c r="AA461" s="8"/>
    </row>
    <row r="462">
      <c r="AA462" s="8"/>
    </row>
    <row r="463">
      <c r="AA463" s="8"/>
    </row>
    <row r="464">
      <c r="AA464" s="8"/>
    </row>
    <row r="465">
      <c r="AA465" s="8"/>
    </row>
    <row r="466">
      <c r="AA466" s="8"/>
    </row>
    <row r="467">
      <c r="AA467" s="8"/>
    </row>
    <row r="468">
      <c r="AA468" s="8"/>
    </row>
    <row r="469">
      <c r="AA469" s="8"/>
    </row>
    <row r="470">
      <c r="AA470" s="8"/>
    </row>
    <row r="471">
      <c r="AA471" s="8"/>
    </row>
    <row r="472">
      <c r="AA472" s="8"/>
    </row>
    <row r="473">
      <c r="AA473" s="8"/>
    </row>
    <row r="474">
      <c r="AA474" s="8"/>
    </row>
    <row r="475">
      <c r="AA475" s="8"/>
    </row>
    <row r="476">
      <c r="AA476" s="8"/>
    </row>
    <row r="477">
      <c r="AA477" s="8"/>
    </row>
  </sheetData>
  <conditionalFormatting sqref="AG2:AG455">
    <cfRule type="colorScale" priority="1">
      <colorScale>
        <cfvo type="min"/>
        <cfvo type="formula" val="-0.1428571429"/>
        <cfvo type="max"/>
        <color rgb="FFB6D7A8"/>
        <color rgb="FFEFEFEF"/>
        <color rgb="FF93C47D"/>
      </colorScale>
    </cfRule>
  </conditionalFormatting>
  <conditionalFormatting sqref="O1:O981">
    <cfRule type="cellIs" dxfId="0" priority="2" operator="greaterThan">
      <formula>0</formula>
    </cfRule>
  </conditionalFormatting>
  <conditionalFormatting sqref="J1:J981">
    <cfRule type="cellIs" dxfId="0" priority="3" operator="greaterThan">
      <formula>0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SUM(AE2:AE99676)</f>
        <v>-49.29305776</v>
      </c>
      <c r="AH1" s="2">
        <f>COUNTIF(AC:AC,1)/COUNT(AC:AC)</f>
        <v>0.4961389961</v>
      </c>
      <c r="AI1" s="3">
        <f>COUNTIF(AC:AC,1)</f>
        <v>257</v>
      </c>
      <c r="AJ1" s="1">
        <f>COUNT(AC:AC)-AI1</f>
        <v>261</v>
      </c>
      <c r="AK1" s="1">
        <f>SUM(AF2:AF729)</f>
        <v>-66.92018336</v>
      </c>
      <c r="AL1" s="1"/>
      <c r="AM1" s="1"/>
      <c r="AN1" s="1"/>
      <c r="AO1" s="1"/>
      <c r="AP1" s="1"/>
      <c r="AQ1" s="1"/>
      <c r="AR1" s="1"/>
    </row>
    <row r="2">
      <c r="A2" s="1" t="s">
        <v>12</v>
      </c>
      <c r="B2" s="1" t="s">
        <v>606</v>
      </c>
      <c r="C2" s="1" t="s">
        <v>18</v>
      </c>
      <c r="D2" s="1" t="s">
        <v>114</v>
      </c>
      <c r="E2" s="1" t="s">
        <v>110</v>
      </c>
      <c r="F2" s="1" t="s">
        <v>670</v>
      </c>
      <c r="G2" s="1">
        <v>1.5</v>
      </c>
      <c r="H2" s="1" t="s">
        <v>60</v>
      </c>
      <c r="I2" s="1">
        <v>-109.0</v>
      </c>
      <c r="J2" s="1">
        <v>-0.187819961598086</v>
      </c>
      <c r="K2" s="1" t="s">
        <v>61</v>
      </c>
      <c r="L2" s="1" t="s">
        <v>61</v>
      </c>
      <c r="M2" s="1" t="s">
        <v>62</v>
      </c>
      <c r="N2" s="1">
        <v>-121.0</v>
      </c>
      <c r="O2" s="1">
        <v>0.118775941577104</v>
      </c>
      <c r="P2" s="1" t="s">
        <v>61</v>
      </c>
      <c r="Q2" s="1" t="s">
        <v>61</v>
      </c>
      <c r="R2" s="1">
        <f t="shared" ref="R2:R519" si="1">if(O2&gt;0, O2, J2)</f>
        <v>0.1187759416</v>
      </c>
      <c r="S2" s="1">
        <f t="shared" ref="S2:S519" si="2">if(O2&gt;0,N2,I2)</f>
        <v>-121</v>
      </c>
      <c r="T2" s="1">
        <f t="shared" ref="T2:T519" si="3">if(S2&gt;0, S2/100, -100/S2) + 1</f>
        <v>1.826446281</v>
      </c>
      <c r="U2" s="1">
        <f t="shared" ref="U2:U519" si="4">if(and(M2="under", O2&gt;0),0,1)</f>
        <v>0</v>
      </c>
      <c r="V2" s="3">
        <f t="shared" ref="V2:V519" si="5">IF(R2&lt;0.05, 1,if(R2&gt;0.1,3,2))</f>
        <v>3</v>
      </c>
      <c r="W2" s="3">
        <f t="shared" ref="W2:W519" si="6">IFS(T2&gt;2.1, 1, T2&lt;1.85,3, TRUE,2)</f>
        <v>3</v>
      </c>
      <c r="X2" s="3" t="str">
        <f>IFERROR(__xludf.DUMMYFUNCTION("split(B2,"" "")"),"O.")</f>
        <v>O.</v>
      </c>
      <c r="Y2" s="3" t="str">
        <f>IFERROR(__xludf.DUMMYFUNCTION("""COMPUTED_VALUE"""),"Zaccheaus")</f>
        <v>Zaccheaus</v>
      </c>
      <c r="AA2" s="8">
        <v>1.0</v>
      </c>
      <c r="AB2" s="3">
        <f t="shared" ref="AB2:AB519" si="7">if(AA2&lt;G2,0,1)</f>
        <v>0</v>
      </c>
      <c r="AC2" s="3">
        <f t="shared" ref="AC2:AC519" si="8">if(AB2=U2,1,0)</f>
        <v>1</v>
      </c>
      <c r="AD2" s="3">
        <f t="shared" ref="AD2:AD519" si="9">if(S2&lt;0, (100/(-S2))*V2, (S2/100)*V2)</f>
        <v>2.479338843</v>
      </c>
      <c r="AE2" s="3">
        <f t="shared" ref="AE2:AE519" si="10">if(T2&gt;4, 0, if(AC2=1,AD2,-V2))</f>
        <v>2.479338843</v>
      </c>
      <c r="AF2" s="3">
        <f t="shared" ref="AF2:AF519" si="11">IF(AC2=0, -W2, (W2*T2)-W2)</f>
        <v>2.479338843</v>
      </c>
      <c r="AG2" s="3">
        <f t="shared" ref="AG2:AG519" si="12">if(AC2 = 1, ABS((AA2-G2)/G2), ABS((AA2-G2)/G2)*-1)</f>
        <v>0.3333333333</v>
      </c>
    </row>
    <row r="3">
      <c r="A3" s="1" t="s">
        <v>12</v>
      </c>
      <c r="B3" s="1" t="s">
        <v>408</v>
      </c>
      <c r="C3" s="1" t="s">
        <v>19</v>
      </c>
      <c r="D3" s="1" t="s">
        <v>114</v>
      </c>
      <c r="E3" s="1" t="s">
        <v>110</v>
      </c>
      <c r="F3" s="1" t="s">
        <v>670</v>
      </c>
      <c r="G3" s="1">
        <v>3.5</v>
      </c>
      <c r="H3" s="1" t="s">
        <v>60</v>
      </c>
      <c r="I3" s="1">
        <v>100.0</v>
      </c>
      <c r="J3" s="1">
        <v>-0.1697</v>
      </c>
      <c r="K3" s="1" t="s">
        <v>61</v>
      </c>
      <c r="L3" s="1" t="s">
        <v>61</v>
      </c>
      <c r="M3" s="1" t="s">
        <v>62</v>
      </c>
      <c r="N3" s="1">
        <v>-131.0</v>
      </c>
      <c r="O3" s="1">
        <v>0.102600432900432</v>
      </c>
      <c r="P3" s="1" t="s">
        <v>61</v>
      </c>
      <c r="Q3" s="1" t="s">
        <v>61</v>
      </c>
      <c r="R3" s="1">
        <f t="shared" si="1"/>
        <v>0.1026004329</v>
      </c>
      <c r="S3" s="1">
        <f t="shared" si="2"/>
        <v>-131</v>
      </c>
      <c r="T3" s="1">
        <f t="shared" si="3"/>
        <v>1.763358779</v>
      </c>
      <c r="U3" s="1">
        <f t="shared" si="4"/>
        <v>0</v>
      </c>
      <c r="V3" s="3">
        <f t="shared" si="5"/>
        <v>3</v>
      </c>
      <c r="W3" s="3">
        <f t="shared" si="6"/>
        <v>3</v>
      </c>
      <c r="X3" s="3" t="str">
        <f>IFERROR(__xludf.DUMMYFUNCTION("split(B3,"" "")"),"A.")</f>
        <v>A.</v>
      </c>
      <c r="Y3" s="3" t="str">
        <f>IFERROR(__xludf.DUMMYFUNCTION("""COMPUTED_VALUE"""),"Ekeler")</f>
        <v>Ekeler</v>
      </c>
      <c r="AA3" s="8">
        <v>1.0</v>
      </c>
      <c r="AB3" s="3">
        <f t="shared" si="7"/>
        <v>0</v>
      </c>
      <c r="AC3" s="3">
        <f t="shared" si="8"/>
        <v>1</v>
      </c>
      <c r="AD3" s="3">
        <f t="shared" si="9"/>
        <v>2.290076336</v>
      </c>
      <c r="AE3" s="3">
        <f t="shared" si="10"/>
        <v>2.290076336</v>
      </c>
      <c r="AF3" s="3">
        <f t="shared" si="11"/>
        <v>2.290076336</v>
      </c>
      <c r="AG3" s="3">
        <f t="shared" si="12"/>
        <v>0.7142857143</v>
      </c>
    </row>
    <row r="4">
      <c r="A4" s="1" t="s">
        <v>8</v>
      </c>
      <c r="B4" s="1" t="s">
        <v>320</v>
      </c>
      <c r="C4" s="1" t="s">
        <v>21</v>
      </c>
      <c r="D4" s="1" t="s">
        <v>114</v>
      </c>
      <c r="E4" s="1" t="s">
        <v>110</v>
      </c>
      <c r="F4" s="1" t="s">
        <v>670</v>
      </c>
      <c r="G4" s="1">
        <v>8.5</v>
      </c>
      <c r="H4" s="1" t="s">
        <v>60</v>
      </c>
      <c r="I4" s="1">
        <v>-122.0</v>
      </c>
      <c r="J4" s="1">
        <v>-0.160047550010086</v>
      </c>
      <c r="K4" s="1" t="s">
        <v>61</v>
      </c>
      <c r="L4" s="1" t="s">
        <v>61</v>
      </c>
      <c r="M4" s="1" t="s">
        <v>62</v>
      </c>
      <c r="N4" s="1">
        <v>-110.0</v>
      </c>
      <c r="O4" s="1">
        <v>0.0866881510117296</v>
      </c>
      <c r="P4" s="1" t="s">
        <v>61</v>
      </c>
      <c r="Q4" s="1" t="s">
        <v>61</v>
      </c>
      <c r="R4" s="1">
        <f t="shared" si="1"/>
        <v>0.08668815101</v>
      </c>
      <c r="S4" s="1">
        <f t="shared" si="2"/>
        <v>-110</v>
      </c>
      <c r="T4" s="1">
        <f t="shared" si="3"/>
        <v>1.909090909</v>
      </c>
      <c r="U4" s="1">
        <f t="shared" si="4"/>
        <v>0</v>
      </c>
      <c r="V4" s="3">
        <f t="shared" si="5"/>
        <v>2</v>
      </c>
      <c r="W4" s="3">
        <f t="shared" si="6"/>
        <v>2</v>
      </c>
      <c r="X4" s="3" t="str">
        <f>IFERROR(__xludf.DUMMYFUNCTION("split(B4,"" "")"),"J.")</f>
        <v>J.</v>
      </c>
      <c r="Y4" s="3" t="str">
        <f>IFERROR(__xludf.DUMMYFUNCTION("""COMPUTED_VALUE"""),"Daniels")</f>
        <v>Daniels</v>
      </c>
      <c r="AA4" s="8">
        <v>3.0</v>
      </c>
      <c r="AB4" s="3">
        <f t="shared" si="7"/>
        <v>0</v>
      </c>
      <c r="AC4" s="3">
        <f t="shared" si="8"/>
        <v>1</v>
      </c>
      <c r="AD4" s="3">
        <f t="shared" si="9"/>
        <v>1.818181818</v>
      </c>
      <c r="AE4" s="3">
        <f t="shared" si="10"/>
        <v>1.818181818</v>
      </c>
      <c r="AF4" s="3">
        <f t="shared" si="11"/>
        <v>1.818181818</v>
      </c>
      <c r="AG4" s="3">
        <f t="shared" si="12"/>
        <v>0.6470588235</v>
      </c>
      <c r="AH4" s="1" t="s">
        <v>18</v>
      </c>
      <c r="AI4" s="3">
        <f t="shared" ref="AI4:AI7" si="13">COUNTIFS(C:C, "="&amp;AH4, AC:AC, "=1")</f>
        <v>78</v>
      </c>
      <c r="AJ4" s="3">
        <f t="shared" ref="AJ4:AJ7" si="14">countif(C:C, "="&amp;AH4)</f>
        <v>175</v>
      </c>
      <c r="AK4" s="3">
        <f t="shared" ref="AK4:AK7" si="15">AI4/AJ4</f>
        <v>0.4457142857</v>
      </c>
    </row>
    <row r="5">
      <c r="A5" s="1" t="s">
        <v>11</v>
      </c>
      <c r="B5" s="1" t="s">
        <v>408</v>
      </c>
      <c r="C5" s="1" t="s">
        <v>19</v>
      </c>
      <c r="D5" s="1" t="s">
        <v>114</v>
      </c>
      <c r="E5" s="1" t="s">
        <v>110</v>
      </c>
      <c r="F5" s="1" t="s">
        <v>670</v>
      </c>
      <c r="G5" s="1">
        <v>24.5</v>
      </c>
      <c r="H5" s="1" t="s">
        <v>60</v>
      </c>
      <c r="I5" s="1">
        <v>-130.0</v>
      </c>
      <c r="J5" s="1">
        <v>-0.136362187229613</v>
      </c>
      <c r="K5" s="1" t="s">
        <v>61</v>
      </c>
      <c r="L5" s="1" t="s">
        <v>61</v>
      </c>
      <c r="M5" s="1" t="s">
        <v>62</v>
      </c>
      <c r="N5" s="1">
        <v>-101.0</v>
      </c>
      <c r="O5" s="1">
        <v>0.068695353698702</v>
      </c>
      <c r="P5" s="1" t="s">
        <v>61</v>
      </c>
      <c r="Q5" s="1" t="s">
        <v>61</v>
      </c>
      <c r="R5" s="1">
        <f t="shared" si="1"/>
        <v>0.0686953537</v>
      </c>
      <c r="S5" s="1">
        <f t="shared" si="2"/>
        <v>-101</v>
      </c>
      <c r="T5" s="1">
        <f t="shared" si="3"/>
        <v>1.99009901</v>
      </c>
      <c r="U5" s="1">
        <f t="shared" si="4"/>
        <v>0</v>
      </c>
      <c r="V5" s="3">
        <f t="shared" si="5"/>
        <v>2</v>
      </c>
      <c r="W5" s="3">
        <f t="shared" si="6"/>
        <v>2</v>
      </c>
      <c r="X5" s="3" t="str">
        <f>IFERROR(__xludf.DUMMYFUNCTION("split(B5,"" "")"),"A.")</f>
        <v>A.</v>
      </c>
      <c r="Y5" s="3" t="str">
        <f>IFERROR(__xludf.DUMMYFUNCTION("""COMPUTED_VALUE"""),"Ekeler")</f>
        <v>Ekeler</v>
      </c>
      <c r="AA5" s="8">
        <v>7.0</v>
      </c>
      <c r="AB5" s="3">
        <f t="shared" si="7"/>
        <v>0</v>
      </c>
      <c r="AC5" s="3">
        <f t="shared" si="8"/>
        <v>1</v>
      </c>
      <c r="AD5" s="3">
        <f t="shared" si="9"/>
        <v>1.98019802</v>
      </c>
      <c r="AE5" s="3">
        <f t="shared" si="10"/>
        <v>1.98019802</v>
      </c>
      <c r="AF5" s="3">
        <f t="shared" si="11"/>
        <v>1.98019802</v>
      </c>
      <c r="AG5" s="3">
        <f t="shared" si="12"/>
        <v>0.7142857143</v>
      </c>
      <c r="AH5" s="1" t="s">
        <v>19</v>
      </c>
      <c r="AI5" s="3">
        <f t="shared" si="13"/>
        <v>84</v>
      </c>
      <c r="AJ5" s="3">
        <f t="shared" si="14"/>
        <v>165</v>
      </c>
      <c r="AK5" s="3">
        <f t="shared" si="15"/>
        <v>0.5090909091</v>
      </c>
    </row>
    <row r="6">
      <c r="A6" s="1" t="s">
        <v>16</v>
      </c>
      <c r="B6" s="1" t="s">
        <v>320</v>
      </c>
      <c r="C6" s="1" t="s">
        <v>21</v>
      </c>
      <c r="D6" s="1" t="s">
        <v>114</v>
      </c>
      <c r="E6" s="1" t="s">
        <v>110</v>
      </c>
      <c r="F6" s="1" t="s">
        <v>670</v>
      </c>
      <c r="G6" s="1">
        <v>29.5</v>
      </c>
      <c r="H6" s="1" t="s">
        <v>60</v>
      </c>
      <c r="I6" s="1">
        <v>-119.0</v>
      </c>
      <c r="J6" s="1">
        <v>-0.130577665616438</v>
      </c>
      <c r="K6" s="1" t="s">
        <v>61</v>
      </c>
      <c r="L6" s="1" t="s">
        <v>61</v>
      </c>
      <c r="M6" s="1" t="s">
        <v>62</v>
      </c>
      <c r="N6" s="1">
        <v>-111.0</v>
      </c>
      <c r="O6" s="1">
        <v>0.0611321172260663</v>
      </c>
      <c r="P6" s="1" t="s">
        <v>61</v>
      </c>
      <c r="Q6" s="1" t="s">
        <v>61</v>
      </c>
      <c r="R6" s="1">
        <f t="shared" si="1"/>
        <v>0.06113211723</v>
      </c>
      <c r="S6" s="1">
        <f t="shared" si="2"/>
        <v>-111</v>
      </c>
      <c r="T6" s="1">
        <f t="shared" si="3"/>
        <v>1.900900901</v>
      </c>
      <c r="U6" s="1">
        <f t="shared" si="4"/>
        <v>0</v>
      </c>
      <c r="V6" s="3">
        <f t="shared" si="5"/>
        <v>2</v>
      </c>
      <c r="W6" s="3">
        <f t="shared" si="6"/>
        <v>2</v>
      </c>
      <c r="X6" s="3" t="str">
        <f>IFERROR(__xludf.DUMMYFUNCTION("split(B6,"" "")"),"J.")</f>
        <v>J.</v>
      </c>
      <c r="Y6" s="3" t="str">
        <f>IFERROR(__xludf.DUMMYFUNCTION("""COMPUTED_VALUE"""),"Daniels")</f>
        <v>Daniels</v>
      </c>
      <c r="AA6" s="8">
        <v>34.0</v>
      </c>
      <c r="AB6" s="3">
        <f t="shared" si="7"/>
        <v>1</v>
      </c>
      <c r="AC6" s="3">
        <f t="shared" si="8"/>
        <v>0</v>
      </c>
      <c r="AD6" s="3">
        <f t="shared" si="9"/>
        <v>1.801801802</v>
      </c>
      <c r="AE6" s="3">
        <f t="shared" si="10"/>
        <v>-2</v>
      </c>
      <c r="AF6" s="3">
        <f t="shared" si="11"/>
        <v>-2</v>
      </c>
      <c r="AG6" s="3">
        <f t="shared" si="12"/>
        <v>-0.1525423729</v>
      </c>
      <c r="AH6" s="1" t="s">
        <v>20</v>
      </c>
      <c r="AI6" s="3">
        <f t="shared" si="13"/>
        <v>36</v>
      </c>
      <c r="AJ6" s="3">
        <f t="shared" si="14"/>
        <v>64</v>
      </c>
      <c r="AK6" s="3">
        <f t="shared" si="15"/>
        <v>0.5625</v>
      </c>
    </row>
    <row r="7">
      <c r="A7" s="1" t="s">
        <v>11</v>
      </c>
      <c r="B7" s="1" t="s">
        <v>561</v>
      </c>
      <c r="C7" s="1" t="s">
        <v>18</v>
      </c>
      <c r="D7" s="1" t="s">
        <v>114</v>
      </c>
      <c r="E7" s="1" t="s">
        <v>110</v>
      </c>
      <c r="F7" s="1" t="s">
        <v>670</v>
      </c>
      <c r="G7" s="1">
        <v>38.5</v>
      </c>
      <c r="H7" s="1" t="s">
        <v>60</v>
      </c>
      <c r="I7" s="1">
        <v>-118.0</v>
      </c>
      <c r="J7" s="1">
        <v>-0.10707098353266</v>
      </c>
      <c r="K7" s="1" t="s">
        <v>61</v>
      </c>
      <c r="L7" s="1" t="s">
        <v>61</v>
      </c>
      <c r="M7" s="1" t="s">
        <v>62</v>
      </c>
      <c r="N7" s="1">
        <v>-110.0</v>
      </c>
      <c r="O7" s="1">
        <v>0.0419885757348191</v>
      </c>
      <c r="P7" s="1" t="s">
        <v>61</v>
      </c>
      <c r="Q7" s="1" t="s">
        <v>61</v>
      </c>
      <c r="R7" s="1">
        <f t="shared" si="1"/>
        <v>0.04198857573</v>
      </c>
      <c r="S7" s="1">
        <f t="shared" si="2"/>
        <v>-110</v>
      </c>
      <c r="T7" s="1">
        <f t="shared" si="3"/>
        <v>1.909090909</v>
      </c>
      <c r="U7" s="1">
        <f t="shared" si="4"/>
        <v>0</v>
      </c>
      <c r="V7" s="3">
        <f t="shared" si="5"/>
        <v>1</v>
      </c>
      <c r="W7" s="3">
        <f t="shared" si="6"/>
        <v>2</v>
      </c>
      <c r="X7" s="3" t="str">
        <f>IFERROR(__xludf.DUMMYFUNCTION("split(B7,"" "")"),"N.")</f>
        <v>N.</v>
      </c>
      <c r="Y7" s="3" t="str">
        <f>IFERROR(__xludf.DUMMYFUNCTION("""COMPUTED_VALUE"""),"Brown")</f>
        <v>Brown</v>
      </c>
      <c r="AA7" s="8">
        <v>33.0</v>
      </c>
      <c r="AB7" s="3">
        <f t="shared" si="7"/>
        <v>0</v>
      </c>
      <c r="AC7" s="3">
        <f t="shared" si="8"/>
        <v>1</v>
      </c>
      <c r="AD7" s="3">
        <f t="shared" si="9"/>
        <v>0.9090909091</v>
      </c>
      <c r="AE7" s="3">
        <f t="shared" si="10"/>
        <v>0.9090909091</v>
      </c>
      <c r="AF7" s="3">
        <f t="shared" si="11"/>
        <v>1.818181818</v>
      </c>
      <c r="AG7" s="3">
        <f t="shared" si="12"/>
        <v>0.1428571429</v>
      </c>
      <c r="AH7" s="1" t="s">
        <v>21</v>
      </c>
      <c r="AI7" s="3">
        <f t="shared" si="13"/>
        <v>59</v>
      </c>
      <c r="AJ7" s="3">
        <f t="shared" si="14"/>
        <v>114</v>
      </c>
      <c r="AK7" s="3">
        <f t="shared" si="15"/>
        <v>0.5175438596</v>
      </c>
    </row>
    <row r="8">
      <c r="A8" s="1" t="s">
        <v>12</v>
      </c>
      <c r="B8" s="1" t="s">
        <v>561</v>
      </c>
      <c r="C8" s="1" t="s">
        <v>18</v>
      </c>
      <c r="D8" s="1" t="s">
        <v>114</v>
      </c>
      <c r="E8" s="1" t="s">
        <v>110</v>
      </c>
      <c r="F8" s="1" t="s">
        <v>670</v>
      </c>
      <c r="G8" s="1">
        <v>3.5</v>
      </c>
      <c r="H8" s="1" t="s">
        <v>60</v>
      </c>
      <c r="I8" s="1">
        <v>125.0</v>
      </c>
      <c r="J8" s="1">
        <v>-0.106388888888888</v>
      </c>
      <c r="K8" s="1" t="s">
        <v>61</v>
      </c>
      <c r="L8" s="1" t="s">
        <v>61</v>
      </c>
      <c r="M8" s="1" t="s">
        <v>62</v>
      </c>
      <c r="N8" s="1">
        <v>-164.0</v>
      </c>
      <c r="O8" s="1">
        <v>0.0407257575757575</v>
      </c>
      <c r="P8" s="1" t="s">
        <v>61</v>
      </c>
      <c r="Q8" s="1" t="s">
        <v>61</v>
      </c>
      <c r="R8" s="1">
        <f t="shared" si="1"/>
        <v>0.04072575758</v>
      </c>
      <c r="S8" s="1">
        <f t="shared" si="2"/>
        <v>-164</v>
      </c>
      <c r="T8" s="1">
        <f t="shared" si="3"/>
        <v>1.609756098</v>
      </c>
      <c r="U8" s="1">
        <f t="shared" si="4"/>
        <v>0</v>
      </c>
      <c r="V8" s="3">
        <f t="shared" si="5"/>
        <v>1</v>
      </c>
      <c r="W8" s="3">
        <f t="shared" si="6"/>
        <v>3</v>
      </c>
      <c r="X8" s="3" t="str">
        <f>IFERROR(__xludf.DUMMYFUNCTION("split(B8,"" "")"),"N.")</f>
        <v>N.</v>
      </c>
      <c r="Y8" s="3" t="str">
        <f>IFERROR(__xludf.DUMMYFUNCTION("""COMPUTED_VALUE"""),"Brown")</f>
        <v>Brown</v>
      </c>
      <c r="AA8" s="8">
        <v>3.0</v>
      </c>
      <c r="AB8" s="3">
        <f t="shared" si="7"/>
        <v>0</v>
      </c>
      <c r="AC8" s="3">
        <f t="shared" si="8"/>
        <v>1</v>
      </c>
      <c r="AD8" s="3">
        <f t="shared" si="9"/>
        <v>0.6097560976</v>
      </c>
      <c r="AE8" s="3">
        <f t="shared" si="10"/>
        <v>0.6097560976</v>
      </c>
      <c r="AF8" s="3">
        <f t="shared" si="11"/>
        <v>1.829268293</v>
      </c>
      <c r="AG8" s="3">
        <f t="shared" si="12"/>
        <v>0.1428571429</v>
      </c>
    </row>
    <row r="9">
      <c r="A9" s="1" t="s">
        <v>8</v>
      </c>
      <c r="B9" s="1" t="s">
        <v>408</v>
      </c>
      <c r="C9" s="1" t="s">
        <v>19</v>
      </c>
      <c r="D9" s="1" t="s">
        <v>114</v>
      </c>
      <c r="E9" s="1" t="s">
        <v>110</v>
      </c>
      <c r="F9" s="1" t="s">
        <v>670</v>
      </c>
      <c r="G9" s="1">
        <v>11.5</v>
      </c>
      <c r="H9" s="1" t="s">
        <v>60</v>
      </c>
      <c r="I9" s="1">
        <v>-113.0</v>
      </c>
      <c r="J9" s="1">
        <v>-0.109263076083333</v>
      </c>
      <c r="K9" s="1" t="s">
        <v>61</v>
      </c>
      <c r="L9" s="1" t="s">
        <v>61</v>
      </c>
      <c r="M9" s="1" t="s">
        <v>62</v>
      </c>
      <c r="N9" s="1">
        <v>-120.0</v>
      </c>
      <c r="O9" s="1">
        <v>0.0332996465768181</v>
      </c>
      <c r="P9" s="1" t="s">
        <v>61</v>
      </c>
      <c r="Q9" s="1" t="s">
        <v>61</v>
      </c>
      <c r="R9" s="1">
        <f t="shared" si="1"/>
        <v>0.03329964658</v>
      </c>
      <c r="S9" s="1">
        <f t="shared" si="2"/>
        <v>-120</v>
      </c>
      <c r="T9" s="1">
        <f t="shared" si="3"/>
        <v>1.833333333</v>
      </c>
      <c r="U9" s="1">
        <f t="shared" si="4"/>
        <v>0</v>
      </c>
      <c r="V9" s="3">
        <f t="shared" si="5"/>
        <v>1</v>
      </c>
      <c r="W9" s="3">
        <f t="shared" si="6"/>
        <v>3</v>
      </c>
      <c r="X9" s="3" t="str">
        <f>IFERROR(__xludf.DUMMYFUNCTION("split(B9,"" "")"),"A.")</f>
        <v>A.</v>
      </c>
      <c r="Y9" s="3" t="str">
        <f>IFERROR(__xludf.DUMMYFUNCTION("""COMPUTED_VALUE"""),"Ekeler")</f>
        <v>Ekeler</v>
      </c>
      <c r="AA9" s="8">
        <v>13.0</v>
      </c>
      <c r="AB9" s="3">
        <f t="shared" si="7"/>
        <v>1</v>
      </c>
      <c r="AC9" s="3">
        <f t="shared" si="8"/>
        <v>0</v>
      </c>
      <c r="AD9" s="3">
        <f t="shared" si="9"/>
        <v>0.8333333333</v>
      </c>
      <c r="AE9" s="3">
        <f t="shared" si="10"/>
        <v>-1</v>
      </c>
      <c r="AF9" s="3">
        <f t="shared" si="11"/>
        <v>-3</v>
      </c>
      <c r="AG9" s="3">
        <f t="shared" si="12"/>
        <v>-0.1304347826</v>
      </c>
    </row>
    <row r="10">
      <c r="A10" s="1" t="s">
        <v>9</v>
      </c>
      <c r="B10" s="1" t="s">
        <v>408</v>
      </c>
      <c r="C10" s="1" t="s">
        <v>19</v>
      </c>
      <c r="D10" s="1" t="s">
        <v>114</v>
      </c>
      <c r="E10" s="1" t="s">
        <v>110</v>
      </c>
      <c r="F10" s="1" t="s">
        <v>670</v>
      </c>
      <c r="G10" s="1">
        <v>74.5</v>
      </c>
      <c r="H10" s="1" t="s">
        <v>60</v>
      </c>
      <c r="I10" s="1">
        <v>-120.0</v>
      </c>
      <c r="J10" s="1">
        <v>-0.10434383110882</v>
      </c>
      <c r="K10" s="1" t="s">
        <v>61</v>
      </c>
      <c r="L10" s="1" t="s">
        <v>61</v>
      </c>
      <c r="M10" s="1" t="s">
        <v>62</v>
      </c>
      <c r="N10" s="1">
        <v>-113.0</v>
      </c>
      <c r="O10" s="1">
        <v>0.0283543493598723</v>
      </c>
      <c r="P10" s="1" t="s">
        <v>61</v>
      </c>
      <c r="Q10" s="1" t="s">
        <v>61</v>
      </c>
      <c r="R10" s="1">
        <f t="shared" si="1"/>
        <v>0.02835434936</v>
      </c>
      <c r="S10" s="1">
        <f t="shared" si="2"/>
        <v>-113</v>
      </c>
      <c r="T10" s="1">
        <f t="shared" si="3"/>
        <v>1.884955752</v>
      </c>
      <c r="U10" s="1">
        <f t="shared" si="4"/>
        <v>0</v>
      </c>
      <c r="V10" s="3">
        <f t="shared" si="5"/>
        <v>1</v>
      </c>
      <c r="W10" s="3">
        <f t="shared" si="6"/>
        <v>2</v>
      </c>
      <c r="X10" s="3" t="str">
        <f>IFERROR(__xludf.DUMMYFUNCTION("split(B10,"" "")"),"A.")</f>
        <v>A.</v>
      </c>
      <c r="Y10" s="3" t="str">
        <f>IFERROR(__xludf.DUMMYFUNCTION("""COMPUTED_VALUE"""),"Ekeler")</f>
        <v>Ekeler</v>
      </c>
      <c r="AA10" s="8">
        <v>51.0</v>
      </c>
      <c r="AB10" s="3">
        <f t="shared" si="7"/>
        <v>0</v>
      </c>
      <c r="AC10" s="3">
        <f t="shared" si="8"/>
        <v>1</v>
      </c>
      <c r="AD10" s="3">
        <f t="shared" si="9"/>
        <v>0.8849557522</v>
      </c>
      <c r="AE10" s="3">
        <f t="shared" si="10"/>
        <v>0.8849557522</v>
      </c>
      <c r="AF10" s="3">
        <f t="shared" si="11"/>
        <v>1.769911504</v>
      </c>
      <c r="AG10" s="3">
        <f t="shared" si="12"/>
        <v>0.3154362416</v>
      </c>
    </row>
    <row r="11">
      <c r="A11" s="1" t="s">
        <v>12</v>
      </c>
      <c r="B11" s="1" t="s">
        <v>488</v>
      </c>
      <c r="C11" s="1" t="s">
        <v>20</v>
      </c>
      <c r="D11" s="1" t="s">
        <v>114</v>
      </c>
      <c r="E11" s="1" t="s">
        <v>110</v>
      </c>
      <c r="F11" s="1" t="s">
        <v>670</v>
      </c>
      <c r="G11" s="1">
        <v>3.5</v>
      </c>
      <c r="H11" s="1" t="s">
        <v>60</v>
      </c>
      <c r="I11" s="1">
        <v>105.0</v>
      </c>
      <c r="J11" s="1">
        <v>-0.0806073170731707</v>
      </c>
      <c r="K11" s="1" t="s">
        <v>61</v>
      </c>
      <c r="L11" s="1" t="s">
        <v>61</v>
      </c>
      <c r="M11" s="1" t="s">
        <v>62</v>
      </c>
      <c r="N11" s="1">
        <v>-138.0</v>
      </c>
      <c r="O11" s="1">
        <v>0.0129840336134454</v>
      </c>
      <c r="P11" s="1" t="s">
        <v>61</v>
      </c>
      <c r="Q11" s="1" t="s">
        <v>61</v>
      </c>
      <c r="R11" s="1">
        <f t="shared" si="1"/>
        <v>0.01298403361</v>
      </c>
      <c r="S11" s="1">
        <f t="shared" si="2"/>
        <v>-138</v>
      </c>
      <c r="T11" s="1">
        <f t="shared" si="3"/>
        <v>1.724637681</v>
      </c>
      <c r="U11" s="1">
        <f t="shared" si="4"/>
        <v>0</v>
      </c>
      <c r="V11" s="3">
        <f t="shared" si="5"/>
        <v>1</v>
      </c>
      <c r="W11" s="3">
        <f t="shared" si="6"/>
        <v>3</v>
      </c>
      <c r="X11" s="3" t="str">
        <f>IFERROR(__xludf.DUMMYFUNCTION("split(B11,"" "")"),"Z.")</f>
        <v>Z.</v>
      </c>
      <c r="Y11" s="3" t="str">
        <f>IFERROR(__xludf.DUMMYFUNCTION("""COMPUTED_VALUE"""),"Ertz")</f>
        <v>Ertz</v>
      </c>
      <c r="AA11" s="8">
        <v>4.0</v>
      </c>
      <c r="AB11" s="3">
        <f t="shared" si="7"/>
        <v>1</v>
      </c>
      <c r="AC11" s="3">
        <f t="shared" si="8"/>
        <v>0</v>
      </c>
      <c r="AD11" s="3">
        <f t="shared" si="9"/>
        <v>0.7246376812</v>
      </c>
      <c r="AE11" s="3">
        <f t="shared" si="10"/>
        <v>-1</v>
      </c>
      <c r="AF11" s="3">
        <f t="shared" si="11"/>
        <v>-3</v>
      </c>
      <c r="AG11" s="3">
        <f t="shared" si="12"/>
        <v>-0.1428571429</v>
      </c>
      <c r="AH11" s="1" t="s">
        <v>209</v>
      </c>
      <c r="AI11" s="3">
        <f>COUNTIFs(AC:AC, "=1", AB:AB, "=0")</f>
        <v>194</v>
      </c>
      <c r="AJ11" s="3">
        <f>countif(AB:AB, "=0")</f>
        <v>293</v>
      </c>
      <c r="AK11" s="3">
        <f t="shared" ref="AK11:AK12" si="16">AI11/AJ11</f>
        <v>0.662116041</v>
      </c>
      <c r="AL11" s="3">
        <f>sumifs(AE:AE,U:U, "=0")</f>
        <v>27.94310902</v>
      </c>
    </row>
    <row r="12">
      <c r="A12" s="1" t="s">
        <v>17</v>
      </c>
      <c r="B12" s="1" t="s">
        <v>320</v>
      </c>
      <c r="C12" s="1" t="s">
        <v>21</v>
      </c>
      <c r="D12" s="1" t="s">
        <v>114</v>
      </c>
      <c r="E12" s="1" t="s">
        <v>110</v>
      </c>
      <c r="F12" s="1" t="s">
        <v>670</v>
      </c>
      <c r="G12" s="1">
        <v>0.5</v>
      </c>
      <c r="H12" s="1" t="s">
        <v>60</v>
      </c>
      <c r="I12" s="1">
        <v>-104.0</v>
      </c>
      <c r="J12" s="1">
        <v>-0.0742529411764705</v>
      </c>
      <c r="K12" s="1" t="s">
        <v>61</v>
      </c>
      <c r="L12" s="1" t="s">
        <v>61</v>
      </c>
      <c r="M12" s="1" t="s">
        <v>62</v>
      </c>
      <c r="N12" s="1">
        <v>-125.0</v>
      </c>
      <c r="O12" s="1">
        <v>0.00890000000000001</v>
      </c>
      <c r="P12" s="1" t="s">
        <v>61</v>
      </c>
      <c r="Q12" s="1" t="s">
        <v>61</v>
      </c>
      <c r="R12" s="1">
        <f t="shared" si="1"/>
        <v>0.0089</v>
      </c>
      <c r="S12" s="1">
        <f t="shared" si="2"/>
        <v>-125</v>
      </c>
      <c r="T12" s="1">
        <f t="shared" si="3"/>
        <v>1.8</v>
      </c>
      <c r="U12" s="1">
        <f t="shared" si="4"/>
        <v>0</v>
      </c>
      <c r="V12" s="3">
        <f t="shared" si="5"/>
        <v>1</v>
      </c>
      <c r="W12" s="3">
        <f t="shared" si="6"/>
        <v>3</v>
      </c>
      <c r="X12" s="3" t="str">
        <f>IFERROR(__xludf.DUMMYFUNCTION("split(B12,"" "")"),"J.")</f>
        <v>J.</v>
      </c>
      <c r="Y12" s="3" t="str">
        <f>IFERROR(__xludf.DUMMYFUNCTION("""COMPUTED_VALUE"""),"Daniels")</f>
        <v>Daniels</v>
      </c>
      <c r="AA12" s="8">
        <v>0.0</v>
      </c>
      <c r="AB12" s="3">
        <f t="shared" si="7"/>
        <v>0</v>
      </c>
      <c r="AC12" s="3">
        <f t="shared" si="8"/>
        <v>1</v>
      </c>
      <c r="AD12" s="3">
        <f t="shared" si="9"/>
        <v>0.8</v>
      </c>
      <c r="AE12" s="3">
        <f t="shared" si="10"/>
        <v>0.8</v>
      </c>
      <c r="AF12" s="3">
        <f t="shared" si="11"/>
        <v>2.4</v>
      </c>
      <c r="AG12" s="3">
        <f t="shared" si="12"/>
        <v>1</v>
      </c>
      <c r="AH12" s="1" t="s">
        <v>206</v>
      </c>
      <c r="AI12" s="3">
        <f>COUNTIFs(AC:AC, "=1", AB:AB, "=1")</f>
        <v>63</v>
      </c>
      <c r="AJ12" s="3">
        <f>countif(AB:AB, "=1")</f>
        <v>225</v>
      </c>
      <c r="AK12" s="3">
        <f t="shared" si="16"/>
        <v>0.28</v>
      </c>
      <c r="AL12" s="3">
        <f>sumifs(AE:AE,U:U, "=1")</f>
        <v>-77.23616679</v>
      </c>
    </row>
    <row r="13">
      <c r="A13" s="1" t="s">
        <v>11</v>
      </c>
      <c r="B13" s="1" t="s">
        <v>488</v>
      </c>
      <c r="C13" s="1" t="s">
        <v>20</v>
      </c>
      <c r="D13" s="1" t="s">
        <v>114</v>
      </c>
      <c r="E13" s="1" t="s">
        <v>110</v>
      </c>
      <c r="F13" s="1" t="s">
        <v>670</v>
      </c>
      <c r="G13" s="1">
        <v>31.5</v>
      </c>
      <c r="H13" s="1" t="s">
        <v>60</v>
      </c>
      <c r="I13" s="1">
        <v>-115.0</v>
      </c>
      <c r="J13" s="1">
        <v>-0.0759068914660931</v>
      </c>
      <c r="K13" s="1" t="s">
        <v>61</v>
      </c>
      <c r="L13" s="1" t="s">
        <v>61</v>
      </c>
      <c r="M13" s="1" t="s">
        <v>62</v>
      </c>
      <c r="N13" s="1">
        <v>-114.0</v>
      </c>
      <c r="O13" s="1">
        <v>0.00831563520728706</v>
      </c>
      <c r="P13" s="1" t="s">
        <v>61</v>
      </c>
      <c r="Q13" s="1" t="s">
        <v>61</v>
      </c>
      <c r="R13" s="1">
        <f t="shared" si="1"/>
        <v>0.008315635207</v>
      </c>
      <c r="S13" s="1">
        <f t="shared" si="2"/>
        <v>-114</v>
      </c>
      <c r="T13" s="1">
        <f t="shared" si="3"/>
        <v>1.877192982</v>
      </c>
      <c r="U13" s="1">
        <f t="shared" si="4"/>
        <v>0</v>
      </c>
      <c r="V13" s="3">
        <f t="shared" si="5"/>
        <v>1</v>
      </c>
      <c r="W13" s="3">
        <f t="shared" si="6"/>
        <v>2</v>
      </c>
      <c r="X13" s="3" t="str">
        <f>IFERROR(__xludf.DUMMYFUNCTION("split(B13,"" "")"),"Z.")</f>
        <v>Z.</v>
      </c>
      <c r="Y13" s="3" t="str">
        <f>IFERROR(__xludf.DUMMYFUNCTION("""COMPUTED_VALUE"""),"Ertz")</f>
        <v>Ertz</v>
      </c>
      <c r="AA13" s="8">
        <v>31.0</v>
      </c>
      <c r="AB13" s="3">
        <f t="shared" si="7"/>
        <v>0</v>
      </c>
      <c r="AC13" s="3">
        <f t="shared" si="8"/>
        <v>1</v>
      </c>
      <c r="AD13" s="3">
        <f t="shared" si="9"/>
        <v>0.8771929825</v>
      </c>
      <c r="AE13" s="3">
        <f t="shared" si="10"/>
        <v>0.8771929825</v>
      </c>
      <c r="AF13" s="3">
        <f t="shared" si="11"/>
        <v>1.754385965</v>
      </c>
      <c r="AG13" s="3">
        <f t="shared" si="12"/>
        <v>0.01587301587</v>
      </c>
    </row>
    <row r="14">
      <c r="A14" s="1" t="s">
        <v>14</v>
      </c>
      <c r="B14" s="1" t="s">
        <v>320</v>
      </c>
      <c r="C14" s="1" t="s">
        <v>21</v>
      </c>
      <c r="D14" s="1" t="s">
        <v>114</v>
      </c>
      <c r="E14" s="1" t="s">
        <v>110</v>
      </c>
      <c r="F14" s="1" t="s">
        <v>670</v>
      </c>
      <c r="G14" s="1">
        <v>1.5</v>
      </c>
      <c r="H14" s="1" t="s">
        <v>60</v>
      </c>
      <c r="I14" s="1">
        <v>115.0</v>
      </c>
      <c r="J14" s="1">
        <v>-0.0690697674418605</v>
      </c>
      <c r="K14" s="1" t="s">
        <v>61</v>
      </c>
      <c r="L14" s="1" t="s">
        <v>61</v>
      </c>
      <c r="M14" s="1" t="s">
        <v>62</v>
      </c>
      <c r="N14" s="1">
        <v>-152.0</v>
      </c>
      <c r="O14" s="1">
        <v>7.85714285714389E-4</v>
      </c>
      <c r="P14" s="1" t="s">
        <v>61</v>
      </c>
      <c r="Q14" s="1" t="s">
        <v>61</v>
      </c>
      <c r="R14" s="1">
        <f t="shared" si="1"/>
        <v>0.0007857142857</v>
      </c>
      <c r="S14" s="1">
        <f t="shared" si="2"/>
        <v>-152</v>
      </c>
      <c r="T14" s="1">
        <f t="shared" si="3"/>
        <v>1.657894737</v>
      </c>
      <c r="U14" s="1">
        <f t="shared" si="4"/>
        <v>0</v>
      </c>
      <c r="V14" s="3">
        <f t="shared" si="5"/>
        <v>1</v>
      </c>
      <c r="W14" s="3">
        <f t="shared" si="6"/>
        <v>3</v>
      </c>
      <c r="X14" s="3" t="str">
        <f>IFERROR(__xludf.DUMMYFUNCTION("split(B14,"" "")"),"J.")</f>
        <v>J.</v>
      </c>
      <c r="Y14" s="3" t="str">
        <f>IFERROR(__xludf.DUMMYFUNCTION("""COMPUTED_VALUE"""),"Daniels")</f>
        <v>Daniels</v>
      </c>
      <c r="AA14" s="8">
        <v>0.0</v>
      </c>
      <c r="AB14" s="3">
        <f t="shared" si="7"/>
        <v>0</v>
      </c>
      <c r="AC14" s="3">
        <f t="shared" si="8"/>
        <v>1</v>
      </c>
      <c r="AD14" s="3">
        <f t="shared" si="9"/>
        <v>0.6578947368</v>
      </c>
      <c r="AE14" s="3">
        <f t="shared" si="10"/>
        <v>0.6578947368</v>
      </c>
      <c r="AF14" s="3">
        <f t="shared" si="11"/>
        <v>1.973684211</v>
      </c>
      <c r="AG14" s="3">
        <f t="shared" si="12"/>
        <v>1</v>
      </c>
    </row>
    <row r="15">
      <c r="A15" s="1" t="s">
        <v>11</v>
      </c>
      <c r="B15" s="1" t="s">
        <v>605</v>
      </c>
      <c r="C15" s="1" t="s">
        <v>18</v>
      </c>
      <c r="D15" s="1" t="s">
        <v>114</v>
      </c>
      <c r="E15" s="1" t="s">
        <v>110</v>
      </c>
      <c r="F15" s="1" t="s">
        <v>670</v>
      </c>
      <c r="G15" s="1">
        <v>7.5</v>
      </c>
      <c r="H15" s="1" t="s">
        <v>60</v>
      </c>
      <c r="I15" s="1">
        <v>-119.0</v>
      </c>
      <c r="J15" s="1">
        <v>0.0615445159489351</v>
      </c>
      <c r="K15" s="1" t="s">
        <v>61</v>
      </c>
      <c r="L15" s="1" t="s">
        <v>61</v>
      </c>
      <c r="M15" s="1" t="s">
        <v>62</v>
      </c>
      <c r="N15" s="1">
        <v>-109.0</v>
      </c>
      <c r="O15" s="1">
        <v>-0.126386877522345</v>
      </c>
      <c r="P15" s="1" t="s">
        <v>61</v>
      </c>
      <c r="Q15" s="1" t="s">
        <v>61</v>
      </c>
      <c r="R15" s="1">
        <f t="shared" si="1"/>
        <v>0.06154451595</v>
      </c>
      <c r="S15" s="1">
        <f t="shared" si="2"/>
        <v>-119</v>
      </c>
      <c r="T15" s="1">
        <f t="shared" si="3"/>
        <v>1.840336134</v>
      </c>
      <c r="U15" s="1">
        <f t="shared" si="4"/>
        <v>1</v>
      </c>
      <c r="V15" s="3">
        <f t="shared" si="5"/>
        <v>2</v>
      </c>
      <c r="W15" s="3">
        <f t="shared" si="6"/>
        <v>3</v>
      </c>
      <c r="X15" s="3" t="str">
        <f>IFERROR(__xludf.DUMMYFUNCTION("split(B15,"" "")"),"D.")</f>
        <v>D.</v>
      </c>
      <c r="Y15" s="3" t="str">
        <f>IFERROR(__xludf.DUMMYFUNCTION("""COMPUTED_VALUE"""),"Brown")</f>
        <v>Brown</v>
      </c>
      <c r="AA15" s="8">
        <v>33.0</v>
      </c>
      <c r="AB15" s="3">
        <f t="shared" si="7"/>
        <v>1</v>
      </c>
      <c r="AC15" s="3">
        <f t="shared" si="8"/>
        <v>1</v>
      </c>
      <c r="AD15" s="3">
        <f t="shared" si="9"/>
        <v>1.680672269</v>
      </c>
      <c r="AE15" s="3">
        <f t="shared" si="10"/>
        <v>1.680672269</v>
      </c>
      <c r="AF15" s="3">
        <f t="shared" si="11"/>
        <v>2.521008403</v>
      </c>
      <c r="AG15" s="3">
        <f t="shared" si="12"/>
        <v>3.4</v>
      </c>
      <c r="AH15" s="1" t="s">
        <v>216</v>
      </c>
      <c r="AI15" s="3">
        <f>COUNTIFS(AC:AC, "=1",V:V, "=1")/COUNTIF(V:V, "=1")</f>
        <v>0.520661157</v>
      </c>
      <c r="AJ15" s="3">
        <f>SUMIF(V:V, "=1", AE:AE)</f>
        <v>-6.884331821</v>
      </c>
      <c r="AK15" s="3">
        <f>AVERAGEIF(V:V, "=1",T:T)</f>
        <v>1.873476638</v>
      </c>
      <c r="AL15" s="7">
        <f t="shared" ref="AL15:AL16" si="17">if(AK15&gt;2, (AK15-1)/100, (-100/(AK15-1)))</f>
        <v>-114.485031</v>
      </c>
    </row>
    <row r="16">
      <c r="A16" s="1" t="s">
        <v>9</v>
      </c>
      <c r="B16" s="1" t="s">
        <v>606</v>
      </c>
      <c r="C16" s="1" t="s">
        <v>18</v>
      </c>
      <c r="D16" s="1" t="s">
        <v>114</v>
      </c>
      <c r="E16" s="1" t="s">
        <v>110</v>
      </c>
      <c r="F16" s="1" t="s">
        <v>670</v>
      </c>
      <c r="G16" s="1">
        <v>15.5</v>
      </c>
      <c r="H16" s="1" t="s">
        <v>60</v>
      </c>
      <c r="I16" s="1">
        <v>-120.0</v>
      </c>
      <c r="J16" s="1">
        <v>0.123248938099364</v>
      </c>
      <c r="K16" s="1" t="s">
        <v>61</v>
      </c>
      <c r="L16" s="1" t="s">
        <v>61</v>
      </c>
      <c r="M16" s="1" t="s">
        <v>62</v>
      </c>
      <c r="N16" s="1">
        <v>-113.0</v>
      </c>
      <c r="O16" s="1">
        <v>-0.199220497706582</v>
      </c>
      <c r="P16" s="1" t="s">
        <v>61</v>
      </c>
      <c r="Q16" s="1" t="s">
        <v>61</v>
      </c>
      <c r="R16" s="1">
        <f t="shared" si="1"/>
        <v>0.1232489381</v>
      </c>
      <c r="S16" s="1">
        <f t="shared" si="2"/>
        <v>-120</v>
      </c>
      <c r="T16" s="1">
        <f t="shared" si="3"/>
        <v>1.833333333</v>
      </c>
      <c r="U16" s="1">
        <f t="shared" si="4"/>
        <v>1</v>
      </c>
      <c r="V16" s="3">
        <f t="shared" si="5"/>
        <v>3</v>
      </c>
      <c r="W16" s="3">
        <f t="shared" si="6"/>
        <v>3</v>
      </c>
      <c r="X16" s="3" t="str">
        <f>IFERROR(__xludf.DUMMYFUNCTION("split(B16,"" "")"),"O.")</f>
        <v>O.</v>
      </c>
      <c r="Y16" s="3" t="str">
        <f>IFERROR(__xludf.DUMMYFUNCTION("""COMPUTED_VALUE"""),"Zaccheaus")</f>
        <v>Zaccheaus</v>
      </c>
      <c r="AA16" s="8">
        <v>8.0</v>
      </c>
      <c r="AB16" s="3">
        <f t="shared" si="7"/>
        <v>0</v>
      </c>
      <c r="AC16" s="3">
        <f t="shared" si="8"/>
        <v>0</v>
      </c>
      <c r="AD16" s="3">
        <f t="shared" si="9"/>
        <v>2.5</v>
      </c>
      <c r="AE16" s="3">
        <f t="shared" si="10"/>
        <v>-3</v>
      </c>
      <c r="AF16" s="3">
        <f t="shared" si="11"/>
        <v>-3</v>
      </c>
      <c r="AG16" s="3">
        <f t="shared" si="12"/>
        <v>-0.4838709677</v>
      </c>
      <c r="AH16" s="1" t="s">
        <v>219</v>
      </c>
      <c r="AI16" s="3">
        <f>COUNTIFS(AC:AC, "=1",V:V, "=2")/COUNTIF(V:V, "=2")</f>
        <v>0.5157232704</v>
      </c>
      <c r="AJ16" s="3">
        <f>SUMIF(V:V, "=2", AE:AE)</f>
        <v>-4.98445414</v>
      </c>
      <c r="AK16" s="3">
        <f>AVERAGEIF(V:V, "=2",T:T)</f>
        <v>1.938767639</v>
      </c>
      <c r="AL16" s="7">
        <f t="shared" si="17"/>
        <v>-106.5226323</v>
      </c>
    </row>
    <row r="17">
      <c r="A17" s="1" t="s">
        <v>12</v>
      </c>
      <c r="B17" s="1" t="s">
        <v>340</v>
      </c>
      <c r="C17" s="1" t="s">
        <v>19</v>
      </c>
      <c r="D17" s="1" t="s">
        <v>100</v>
      </c>
      <c r="E17" s="1" t="s">
        <v>135</v>
      </c>
      <c r="F17" s="1" t="s">
        <v>671</v>
      </c>
      <c r="G17" s="1">
        <v>2.5</v>
      </c>
      <c r="H17" s="1" t="s">
        <v>60</v>
      </c>
      <c r="I17" s="1">
        <v>-109.0</v>
      </c>
      <c r="J17" s="1">
        <v>-0.219473809952153</v>
      </c>
      <c r="K17" s="1" t="s">
        <v>61</v>
      </c>
      <c r="L17" s="1" t="s">
        <v>61</v>
      </c>
      <c r="M17" s="1" t="s">
        <v>62</v>
      </c>
      <c r="N17" s="1">
        <v>-122.0</v>
      </c>
      <c r="O17" s="1">
        <v>0.148399504781982</v>
      </c>
      <c r="P17" s="1" t="s">
        <v>61</v>
      </c>
      <c r="Q17" s="1" t="s">
        <v>61</v>
      </c>
      <c r="R17" s="1">
        <f t="shared" si="1"/>
        <v>0.1483995048</v>
      </c>
      <c r="S17" s="1">
        <f t="shared" si="2"/>
        <v>-122</v>
      </c>
      <c r="T17" s="1">
        <f t="shared" si="3"/>
        <v>1.819672131</v>
      </c>
      <c r="U17" s="1">
        <f t="shared" si="4"/>
        <v>0</v>
      </c>
      <c r="V17" s="3">
        <f t="shared" si="5"/>
        <v>3</v>
      </c>
      <c r="W17" s="3">
        <f t="shared" si="6"/>
        <v>3</v>
      </c>
      <c r="X17" s="3" t="str">
        <f>IFERROR(__xludf.DUMMYFUNCTION("split(B17,"" "")"),"T.")</f>
        <v>T.</v>
      </c>
      <c r="Y17" s="3" t="str">
        <f>IFERROR(__xludf.DUMMYFUNCTION("""COMPUTED_VALUE"""),"Pollard")</f>
        <v>Pollard</v>
      </c>
      <c r="AA17" s="8">
        <v>4.0</v>
      </c>
      <c r="AB17" s="3">
        <f t="shared" si="7"/>
        <v>1</v>
      </c>
      <c r="AC17" s="3">
        <f t="shared" si="8"/>
        <v>0</v>
      </c>
      <c r="AD17" s="3">
        <f t="shared" si="9"/>
        <v>2.459016393</v>
      </c>
      <c r="AE17" s="3">
        <f t="shared" si="10"/>
        <v>-3</v>
      </c>
      <c r="AF17" s="3">
        <f t="shared" si="11"/>
        <v>-3</v>
      </c>
      <c r="AG17" s="3">
        <f t="shared" si="12"/>
        <v>-0.6</v>
      </c>
      <c r="AH17" s="1" t="s">
        <v>222</v>
      </c>
      <c r="AI17" s="3">
        <f>COUNTIFS(AC:AC, "=1",V:V, "=3")/COUNTIF(V:V, "=3")</f>
        <v>0.4188034188</v>
      </c>
      <c r="AJ17" s="3">
        <f>SUMIF(V:V, "=3", AE:AE)</f>
        <v>-37.4242718</v>
      </c>
      <c r="AK17" s="3">
        <f>AVERAGEIF(V:V, "=3",T:T)</f>
        <v>2.242285931</v>
      </c>
      <c r="AL17" s="7">
        <f>if(AK17&gt;2, (AK17-1)*100, (-100/(AK17-1)))</f>
        <v>124.2285931</v>
      </c>
    </row>
    <row r="18">
      <c r="A18" s="1" t="s">
        <v>12</v>
      </c>
      <c r="B18" s="1" t="s">
        <v>301</v>
      </c>
      <c r="C18" s="1" t="s">
        <v>19</v>
      </c>
      <c r="D18" s="1" t="s">
        <v>100</v>
      </c>
      <c r="E18" s="1" t="s">
        <v>135</v>
      </c>
      <c r="F18" s="1" t="s">
        <v>671</v>
      </c>
      <c r="G18" s="1">
        <v>1.5</v>
      </c>
      <c r="H18" s="1" t="s">
        <v>60</v>
      </c>
      <c r="I18" s="1">
        <v>-136.0</v>
      </c>
      <c r="J18" s="1">
        <v>-0.189854938279661</v>
      </c>
      <c r="K18" s="1" t="s">
        <v>61</v>
      </c>
      <c r="L18" s="1" t="s">
        <v>61</v>
      </c>
      <c r="M18" s="1" t="s">
        <v>62</v>
      </c>
      <c r="N18" s="1">
        <v>104.0</v>
      </c>
      <c r="O18" s="1">
        <v>0.12340081095098</v>
      </c>
      <c r="P18" s="1" t="s">
        <v>61</v>
      </c>
      <c r="Q18" s="1" t="s">
        <v>61</v>
      </c>
      <c r="R18" s="1">
        <f t="shared" si="1"/>
        <v>0.123400811</v>
      </c>
      <c r="S18" s="1">
        <f t="shared" si="2"/>
        <v>104</v>
      </c>
      <c r="T18" s="1">
        <f t="shared" si="3"/>
        <v>2.04</v>
      </c>
      <c r="U18" s="1">
        <f t="shared" si="4"/>
        <v>0</v>
      </c>
      <c r="V18" s="3">
        <f t="shared" si="5"/>
        <v>3</v>
      </c>
      <c r="W18" s="3">
        <f t="shared" si="6"/>
        <v>2</v>
      </c>
      <c r="X18" s="3" t="str">
        <f>IFERROR(__xludf.DUMMYFUNCTION("split(B18,"" "")"),"T.")</f>
        <v>T.</v>
      </c>
      <c r="Y18" s="3" t="str">
        <f>IFERROR(__xludf.DUMMYFUNCTION("""COMPUTED_VALUE"""),"Spears")</f>
        <v>Spears</v>
      </c>
      <c r="AA18" s="8">
        <v>3.0</v>
      </c>
      <c r="AB18" s="3">
        <f t="shared" si="7"/>
        <v>1</v>
      </c>
      <c r="AC18" s="3">
        <f t="shared" si="8"/>
        <v>0</v>
      </c>
      <c r="AD18" s="3">
        <f t="shared" si="9"/>
        <v>3.12</v>
      </c>
      <c r="AE18" s="3">
        <f t="shared" si="10"/>
        <v>-3</v>
      </c>
      <c r="AF18" s="3">
        <f t="shared" si="11"/>
        <v>-2</v>
      </c>
      <c r="AG18" s="3">
        <f t="shared" si="12"/>
        <v>-1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</row>
    <row r="19">
      <c r="A19" s="1" t="s">
        <v>12</v>
      </c>
      <c r="B19" s="1" t="s">
        <v>430</v>
      </c>
      <c r="C19" s="1" t="s">
        <v>20</v>
      </c>
      <c r="D19" s="1" t="s">
        <v>100</v>
      </c>
      <c r="E19" s="1" t="s">
        <v>135</v>
      </c>
      <c r="F19" s="1" t="s">
        <v>671</v>
      </c>
      <c r="G19" s="1">
        <v>2.5</v>
      </c>
      <c r="H19" s="1" t="s">
        <v>60</v>
      </c>
      <c r="I19" s="1">
        <v>-125.0</v>
      </c>
      <c r="J19" s="1">
        <v>-0.1742975576</v>
      </c>
      <c r="K19" s="1" t="s">
        <v>61</v>
      </c>
      <c r="L19" s="1" t="s">
        <v>61</v>
      </c>
      <c r="M19" s="1" t="s">
        <v>62</v>
      </c>
      <c r="N19" s="1">
        <v>-106.0</v>
      </c>
      <c r="O19" s="1">
        <v>0.104185521784466</v>
      </c>
      <c r="P19" s="1" t="s">
        <v>61</v>
      </c>
      <c r="Q19" s="1" t="s">
        <v>61</v>
      </c>
      <c r="R19" s="1">
        <f t="shared" si="1"/>
        <v>0.1041855218</v>
      </c>
      <c r="S19" s="1">
        <f t="shared" si="2"/>
        <v>-106</v>
      </c>
      <c r="T19" s="1">
        <f t="shared" si="3"/>
        <v>1.943396226</v>
      </c>
      <c r="U19" s="1">
        <f t="shared" si="4"/>
        <v>0</v>
      </c>
      <c r="V19" s="3">
        <f t="shared" si="5"/>
        <v>3</v>
      </c>
      <c r="W19" s="3">
        <f t="shared" si="6"/>
        <v>2</v>
      </c>
      <c r="X19" s="3" t="str">
        <f>IFERROR(__xludf.DUMMYFUNCTION("split(B19,"" "")"),"C.")</f>
        <v>C.</v>
      </c>
      <c r="Y19" s="3" t="str">
        <f>IFERROR(__xludf.DUMMYFUNCTION("""COMPUTED_VALUE"""),"Okonkwo")</f>
        <v>Okonkwo</v>
      </c>
      <c r="AA19" s="8">
        <v>1.0</v>
      </c>
      <c r="AB19" s="3">
        <f t="shared" si="7"/>
        <v>0</v>
      </c>
      <c r="AC19" s="3">
        <f t="shared" si="8"/>
        <v>1</v>
      </c>
      <c r="AD19" s="3">
        <f t="shared" si="9"/>
        <v>2.830188679</v>
      </c>
      <c r="AE19" s="3">
        <f t="shared" si="10"/>
        <v>2.830188679</v>
      </c>
      <c r="AF19" s="3">
        <f t="shared" si="11"/>
        <v>1.886792453</v>
      </c>
      <c r="AG19" s="3">
        <f t="shared" si="12"/>
        <v>0.6</v>
      </c>
      <c r="AH19" s="1" t="s">
        <v>8</v>
      </c>
      <c r="AI19" s="3">
        <f t="shared" ref="AI19:AI21" si="18">COUNTIFs(A:A, "=" &amp; AH19, AC:AC, "=1")</f>
        <v>30</v>
      </c>
      <c r="AJ19" s="3">
        <f t="shared" ref="AJ19:AJ21" si="19">countif(A:A, "=" &amp; AH19)</f>
        <v>58</v>
      </c>
      <c r="AK19" s="3">
        <f t="shared" ref="AK19:AK21" si="20">AI19/AJ19</f>
        <v>0.5172413793</v>
      </c>
      <c r="AL19" s="3">
        <f t="shared" ref="AL19:AL21" si="21">SUMIFS(AE:AE, A:A,"=" &amp; AH19,AC:AC, "=1")</f>
        <v>53.49645069</v>
      </c>
      <c r="AM19" s="3">
        <f t="shared" ref="AM19:AM21" si="22">SUMIFS(AE:AE, A:A,"=" &amp; AH19,AC:AC, "=0")</f>
        <v>-59</v>
      </c>
      <c r="AN19" s="3">
        <f t="shared" ref="AN19:AN21" si="23">AL19+AM19</f>
        <v>-5.503549314</v>
      </c>
      <c r="AO19" s="4">
        <f t="shared" ref="AO19:AO21" si="24">IFERROR( countifs(A:A, "="&amp;AH19, U:U, "=1", AC:AC, "=1")/countifs(A:A, "="&amp;AH19, U:U, "=1"), 0)</f>
        <v>0.1428571429</v>
      </c>
      <c r="AP19" s="4">
        <f t="shared" ref="AP19:AP21" si="25">IFERROR( countifs(A:A, "="&amp;AH19, U:U, "=0", AC:AC, "=1")/countifs(A:A, "="&amp;AH19, U:U, "=0"), 0)</f>
        <v>0.568627451</v>
      </c>
      <c r="AQ19" s="5">
        <f t="shared" ref="AQ19:AQ21" si="26">iferror(IFS(AND(AP19 &gt; 0.5, AO19 &gt; 0.5), 1, AND(AP19 &lt;= 0.5, AO19 &lt;= 0.5), -1), 0)
</f>
        <v>0</v>
      </c>
      <c r="AR19" s="5">
        <f t="shared" ref="AR19:AR21" si="27">if(AN19&lt;0, -1, 1)</f>
        <v>-1</v>
      </c>
    </row>
    <row r="20">
      <c r="A20" s="1" t="s">
        <v>17</v>
      </c>
      <c r="B20" s="1" t="s">
        <v>275</v>
      </c>
      <c r="C20" s="1" t="s">
        <v>21</v>
      </c>
      <c r="D20" s="1" t="s">
        <v>100</v>
      </c>
      <c r="E20" s="1" t="s">
        <v>135</v>
      </c>
      <c r="F20" s="1" t="s">
        <v>671</v>
      </c>
      <c r="G20" s="1">
        <v>0.5</v>
      </c>
      <c r="H20" s="1" t="s">
        <v>60</v>
      </c>
      <c r="I20" s="1">
        <v>-160.0</v>
      </c>
      <c r="J20" s="1">
        <v>-0.156423076923077</v>
      </c>
      <c r="K20" s="1" t="s">
        <v>61</v>
      </c>
      <c r="L20" s="1" t="s">
        <v>61</v>
      </c>
      <c r="M20" s="1" t="s">
        <v>62</v>
      </c>
      <c r="N20" s="1">
        <v>121.0</v>
      </c>
      <c r="O20" s="1">
        <v>0.0885565610859728</v>
      </c>
      <c r="P20" s="1" t="s">
        <v>61</v>
      </c>
      <c r="Q20" s="1" t="s">
        <v>61</v>
      </c>
      <c r="R20" s="1">
        <f t="shared" si="1"/>
        <v>0.08855656109</v>
      </c>
      <c r="S20" s="1">
        <f t="shared" si="2"/>
        <v>121</v>
      </c>
      <c r="T20" s="1">
        <f t="shared" si="3"/>
        <v>2.21</v>
      </c>
      <c r="U20" s="1">
        <f t="shared" si="4"/>
        <v>0</v>
      </c>
      <c r="V20" s="3">
        <f t="shared" si="5"/>
        <v>2</v>
      </c>
      <c r="W20" s="3">
        <f t="shared" si="6"/>
        <v>1</v>
      </c>
      <c r="X20" s="3" t="str">
        <f>IFERROR(__xludf.DUMMYFUNCTION("split(B20,"" "")"),"W.")</f>
        <v>W.</v>
      </c>
      <c r="Y20" s="3" t="str">
        <f>IFERROR(__xludf.DUMMYFUNCTION("""COMPUTED_VALUE"""),"Levis")</f>
        <v>Levis</v>
      </c>
      <c r="AA20" s="8">
        <v>0.0</v>
      </c>
      <c r="AB20" s="3">
        <f t="shared" si="7"/>
        <v>0</v>
      </c>
      <c r="AC20" s="3">
        <f t="shared" si="8"/>
        <v>1</v>
      </c>
      <c r="AD20" s="3">
        <f t="shared" si="9"/>
        <v>2.42</v>
      </c>
      <c r="AE20" s="3">
        <f t="shared" si="10"/>
        <v>2.42</v>
      </c>
      <c r="AF20" s="3">
        <f t="shared" si="11"/>
        <v>1.21</v>
      </c>
      <c r="AG20" s="3">
        <f t="shared" si="12"/>
        <v>1</v>
      </c>
      <c r="AH20" s="1" t="s">
        <v>9</v>
      </c>
      <c r="AI20" s="3">
        <f t="shared" si="18"/>
        <v>41</v>
      </c>
      <c r="AJ20" s="3">
        <f t="shared" si="19"/>
        <v>91</v>
      </c>
      <c r="AK20" s="3">
        <f t="shared" si="20"/>
        <v>0.4505494505</v>
      </c>
      <c r="AL20" s="3">
        <f t="shared" si="21"/>
        <v>49.37509172</v>
      </c>
      <c r="AM20" s="3">
        <f t="shared" si="22"/>
        <v>-97</v>
      </c>
      <c r="AN20" s="3">
        <f t="shared" si="23"/>
        <v>-47.62490828</v>
      </c>
      <c r="AO20" s="4">
        <f t="shared" si="24"/>
        <v>0.4098360656</v>
      </c>
      <c r="AP20" s="4">
        <f t="shared" si="25"/>
        <v>0.5333333333</v>
      </c>
      <c r="AQ20" s="5">
        <f t="shared" si="26"/>
        <v>0</v>
      </c>
      <c r="AR20" s="5">
        <f t="shared" si="27"/>
        <v>-1</v>
      </c>
    </row>
    <row r="21">
      <c r="A21" s="1" t="s">
        <v>14</v>
      </c>
      <c r="B21" s="1" t="s">
        <v>275</v>
      </c>
      <c r="C21" s="1" t="s">
        <v>21</v>
      </c>
      <c r="D21" s="1" t="s">
        <v>100</v>
      </c>
      <c r="E21" s="1" t="s">
        <v>135</v>
      </c>
      <c r="F21" s="1" t="s">
        <v>671</v>
      </c>
      <c r="G21" s="1">
        <v>0.5</v>
      </c>
      <c r="H21" s="1" t="s">
        <v>60</v>
      </c>
      <c r="I21" s="1">
        <v>-170.0</v>
      </c>
      <c r="J21" s="1">
        <v>-0.14379087337037</v>
      </c>
      <c r="K21" s="1" t="s">
        <v>61</v>
      </c>
      <c r="L21" s="1" t="s">
        <v>61</v>
      </c>
      <c r="M21" s="1" t="s">
        <v>62</v>
      </c>
      <c r="N21" s="1">
        <v>131.0</v>
      </c>
      <c r="O21" s="1">
        <v>0.0812542675757576</v>
      </c>
      <c r="P21" s="1" t="s">
        <v>61</v>
      </c>
      <c r="Q21" s="1" t="s">
        <v>61</v>
      </c>
      <c r="R21" s="1">
        <f t="shared" si="1"/>
        <v>0.08125426758</v>
      </c>
      <c r="S21" s="1">
        <f t="shared" si="2"/>
        <v>131</v>
      </c>
      <c r="T21" s="1">
        <f t="shared" si="3"/>
        <v>2.31</v>
      </c>
      <c r="U21" s="1">
        <f t="shared" si="4"/>
        <v>0</v>
      </c>
      <c r="V21" s="3">
        <f t="shared" si="5"/>
        <v>2</v>
      </c>
      <c r="W21" s="3">
        <f t="shared" si="6"/>
        <v>1</v>
      </c>
      <c r="X21" s="3" t="str">
        <f>IFERROR(__xludf.DUMMYFUNCTION("split(B21,"" "")"),"W.")</f>
        <v>W.</v>
      </c>
      <c r="Y21" s="3" t="str">
        <f>IFERROR(__xludf.DUMMYFUNCTION("""COMPUTED_VALUE"""),"Levis")</f>
        <v>Levis</v>
      </c>
      <c r="AA21" s="8">
        <v>2.0</v>
      </c>
      <c r="AB21" s="3">
        <f t="shared" si="7"/>
        <v>1</v>
      </c>
      <c r="AC21" s="3">
        <f t="shared" si="8"/>
        <v>0</v>
      </c>
      <c r="AD21" s="3">
        <f t="shared" si="9"/>
        <v>2.62</v>
      </c>
      <c r="AE21" s="3">
        <f t="shared" si="10"/>
        <v>-2</v>
      </c>
      <c r="AF21" s="3">
        <f t="shared" si="11"/>
        <v>-1</v>
      </c>
      <c r="AG21" s="3">
        <f t="shared" si="12"/>
        <v>-3</v>
      </c>
      <c r="AH21" s="1" t="s">
        <v>10</v>
      </c>
      <c r="AI21" s="3">
        <f t="shared" si="18"/>
        <v>28</v>
      </c>
      <c r="AJ21" s="3">
        <f t="shared" si="19"/>
        <v>58</v>
      </c>
      <c r="AK21" s="3">
        <f t="shared" si="20"/>
        <v>0.4827586207</v>
      </c>
      <c r="AL21" s="3">
        <f t="shared" si="21"/>
        <v>33.09963708</v>
      </c>
      <c r="AM21" s="3">
        <f t="shared" si="22"/>
        <v>-40</v>
      </c>
      <c r="AN21" s="3">
        <f t="shared" si="23"/>
        <v>-6.900362918</v>
      </c>
      <c r="AO21" s="4">
        <f t="shared" si="24"/>
        <v>0.1764705882</v>
      </c>
      <c r="AP21" s="4">
        <f t="shared" si="25"/>
        <v>0.6097560976</v>
      </c>
      <c r="AQ21" s="5">
        <f t="shared" si="26"/>
        <v>0</v>
      </c>
      <c r="AR21" s="5">
        <f t="shared" si="27"/>
        <v>-1</v>
      </c>
    </row>
    <row r="22">
      <c r="A22" s="1" t="s">
        <v>15</v>
      </c>
      <c r="B22" s="1" t="s">
        <v>275</v>
      </c>
      <c r="C22" s="1" t="s">
        <v>21</v>
      </c>
      <c r="D22" s="1" t="s">
        <v>100</v>
      </c>
      <c r="E22" s="1" t="s">
        <v>135</v>
      </c>
      <c r="F22" s="1" t="s">
        <v>671</v>
      </c>
      <c r="G22" s="1">
        <v>17.5</v>
      </c>
      <c r="H22" s="1" t="s">
        <v>60</v>
      </c>
      <c r="I22" s="1">
        <v>-126.0</v>
      </c>
      <c r="J22" s="1">
        <v>-0.142289004358407</v>
      </c>
      <c r="K22" s="1" t="s">
        <v>61</v>
      </c>
      <c r="L22" s="1" t="s">
        <v>61</v>
      </c>
      <c r="M22" s="1" t="s">
        <v>62</v>
      </c>
      <c r="N22" s="1">
        <v>-102.0</v>
      </c>
      <c r="O22" s="1">
        <v>0.0797975905183168</v>
      </c>
      <c r="P22" s="1" t="s">
        <v>61</v>
      </c>
      <c r="Q22" s="1" t="s">
        <v>61</v>
      </c>
      <c r="R22" s="1">
        <f t="shared" si="1"/>
        <v>0.07979759052</v>
      </c>
      <c r="S22" s="1">
        <f t="shared" si="2"/>
        <v>-102</v>
      </c>
      <c r="T22" s="1">
        <f t="shared" si="3"/>
        <v>1.980392157</v>
      </c>
      <c r="U22" s="1">
        <f t="shared" si="4"/>
        <v>0</v>
      </c>
      <c r="V22" s="3">
        <f t="shared" si="5"/>
        <v>2</v>
      </c>
      <c r="W22" s="3">
        <f t="shared" si="6"/>
        <v>2</v>
      </c>
      <c r="X22" s="3" t="str">
        <f>IFERROR(__xludf.DUMMYFUNCTION("split(B22,"" "")"),"W.")</f>
        <v>W.</v>
      </c>
      <c r="Y22" s="3" t="str">
        <f>IFERROR(__xludf.DUMMYFUNCTION("""COMPUTED_VALUE"""),"Levis")</f>
        <v>Levis</v>
      </c>
      <c r="AA22" s="8">
        <v>18.0</v>
      </c>
      <c r="AB22" s="3">
        <f t="shared" si="7"/>
        <v>1</v>
      </c>
      <c r="AC22" s="3">
        <f t="shared" si="8"/>
        <v>0</v>
      </c>
      <c r="AD22" s="3">
        <f t="shared" si="9"/>
        <v>1.960784314</v>
      </c>
      <c r="AE22" s="3">
        <f t="shared" si="10"/>
        <v>-2</v>
      </c>
      <c r="AF22" s="3">
        <f t="shared" si="11"/>
        <v>-2</v>
      </c>
      <c r="AG22" s="3">
        <f t="shared" si="12"/>
        <v>-0.02857142857</v>
      </c>
      <c r="AO22" s="4"/>
      <c r="AP22" s="4"/>
      <c r="AQ22" s="5"/>
      <c r="AR22" s="5"/>
    </row>
    <row r="23">
      <c r="A23" s="1" t="s">
        <v>9</v>
      </c>
      <c r="B23" s="1" t="s">
        <v>340</v>
      </c>
      <c r="C23" s="1" t="s">
        <v>19</v>
      </c>
      <c r="D23" s="1" t="s">
        <v>100</v>
      </c>
      <c r="E23" s="1" t="s">
        <v>135</v>
      </c>
      <c r="F23" s="1" t="s">
        <v>671</v>
      </c>
      <c r="G23" s="1">
        <v>78.0</v>
      </c>
      <c r="H23" s="1" t="s">
        <v>60</v>
      </c>
      <c r="I23" s="1">
        <v>-115.0</v>
      </c>
      <c r="J23" s="1">
        <v>-0.120583453537248</v>
      </c>
      <c r="K23" s="1" t="s">
        <v>61</v>
      </c>
      <c r="L23" s="1" t="s">
        <v>61</v>
      </c>
      <c r="M23" s="1" t="s">
        <v>62</v>
      </c>
      <c r="N23" s="1">
        <v>-116.0</v>
      </c>
      <c r="O23" s="1">
        <v>0.0495440431119895</v>
      </c>
      <c r="P23" s="1" t="s">
        <v>61</v>
      </c>
      <c r="Q23" s="1" t="s">
        <v>61</v>
      </c>
      <c r="R23" s="1">
        <f t="shared" si="1"/>
        <v>0.04954404311</v>
      </c>
      <c r="S23" s="1">
        <f t="shared" si="2"/>
        <v>-116</v>
      </c>
      <c r="T23" s="1">
        <f t="shared" si="3"/>
        <v>1.862068966</v>
      </c>
      <c r="U23" s="1">
        <f t="shared" si="4"/>
        <v>0</v>
      </c>
      <c r="V23" s="3">
        <f t="shared" si="5"/>
        <v>1</v>
      </c>
      <c r="W23" s="3">
        <f t="shared" si="6"/>
        <v>2</v>
      </c>
      <c r="X23" s="3" t="str">
        <f>IFERROR(__xludf.DUMMYFUNCTION("split(B23,"" "")"),"T.")</f>
        <v>T.</v>
      </c>
      <c r="Y23" s="3" t="str">
        <f>IFERROR(__xludf.DUMMYFUNCTION("""COMPUTED_VALUE"""),"Pollard")</f>
        <v>Pollard</v>
      </c>
      <c r="AA23" s="8">
        <v>63.0</v>
      </c>
      <c r="AB23" s="3">
        <f t="shared" si="7"/>
        <v>0</v>
      </c>
      <c r="AC23" s="3">
        <f t="shared" si="8"/>
        <v>1</v>
      </c>
      <c r="AD23" s="3">
        <f t="shared" si="9"/>
        <v>0.8620689655</v>
      </c>
      <c r="AE23" s="3">
        <f t="shared" si="10"/>
        <v>0.8620689655</v>
      </c>
      <c r="AF23" s="3">
        <f t="shared" si="11"/>
        <v>1.724137931</v>
      </c>
      <c r="AG23" s="3">
        <f t="shared" si="12"/>
        <v>0.1923076923</v>
      </c>
      <c r="AH23" s="1" t="s">
        <v>11</v>
      </c>
      <c r="AI23" s="3">
        <f t="shared" ref="AI23:AI24" si="28">COUNTIFs(A:A, "=" &amp; AH23, AC:AC, "=1")</f>
        <v>48</v>
      </c>
      <c r="AJ23" s="3">
        <f t="shared" ref="AJ23:AJ24" si="29">countif(A:A, "=" &amp; AH23)</f>
        <v>98</v>
      </c>
      <c r="AK23" s="3">
        <f t="shared" ref="AK23:AK24" si="30">AI23/AJ23</f>
        <v>0.4897959184</v>
      </c>
      <c r="AL23" s="3">
        <f t="shared" ref="AL23:AL24" si="31">SUMIFS(AE:AE, A:A,"=" &amp; AH23,AC:AC, "=1")</f>
        <v>58.8917289</v>
      </c>
      <c r="AM23" s="3">
        <f t="shared" ref="AM23:AM24" si="32">SUMIFS(AE:AE, A:A,"=" &amp; AH23,AC:AC, "=0")</f>
        <v>-72</v>
      </c>
      <c r="AN23" s="3">
        <f t="shared" ref="AN23:AN24" si="33">AL23+AM23</f>
        <v>-13.1082711</v>
      </c>
      <c r="AO23" s="4">
        <f t="shared" ref="AO23:AO24" si="34">IFERROR( countifs(A:A, "="&amp;AH23, U:U, "=1", AC:AC, "=1")/countifs(A:A, "="&amp;AH23, U:U, "=1"), 0)</f>
        <v>0.4444444444</v>
      </c>
      <c r="AP23" s="4">
        <f t="shared" ref="AP23:AP24" si="35">IFERROR( countifs(A:A, "="&amp;AH23, U:U, "=0", AC:AC, "=1")/countifs(A:A, "="&amp;AH23, U:U, "=0"), 0)</f>
        <v>0.5161290323</v>
      </c>
      <c r="AQ23" s="5">
        <f t="shared" ref="AQ23:AQ24" si="36">iferror(IFS(AND(AP23 &gt; 0.5, AO23 &gt; 0.5), 1, AND(AP23 &lt;= 0.5, AO23 &lt;= 0.5), -1), 0)
</f>
        <v>0</v>
      </c>
      <c r="AR23" s="5">
        <f t="shared" ref="AR23:AR24" si="37">if(AN23&lt;0, -1, 1)</f>
        <v>-1</v>
      </c>
    </row>
    <row r="24">
      <c r="A24" s="1" t="s">
        <v>8</v>
      </c>
      <c r="B24" s="1" t="s">
        <v>275</v>
      </c>
      <c r="C24" s="1" t="s">
        <v>21</v>
      </c>
      <c r="D24" s="1" t="s">
        <v>100</v>
      </c>
      <c r="E24" s="1" t="s">
        <v>135</v>
      </c>
      <c r="F24" s="1" t="s">
        <v>671</v>
      </c>
      <c r="G24" s="1">
        <v>3.5</v>
      </c>
      <c r="H24" s="1" t="s">
        <v>60</v>
      </c>
      <c r="I24" s="1">
        <v>126.0</v>
      </c>
      <c r="J24" s="1">
        <v>-0.111426733702135</v>
      </c>
      <c r="K24" s="1" t="s">
        <v>61</v>
      </c>
      <c r="L24" s="1" t="s">
        <v>61</v>
      </c>
      <c r="M24" s="1" t="s">
        <v>62</v>
      </c>
      <c r="N24" s="1">
        <v>-171.0</v>
      </c>
      <c r="O24" s="1">
        <v>0.0379589864304084</v>
      </c>
      <c r="P24" s="1" t="s">
        <v>61</v>
      </c>
      <c r="Q24" s="1" t="s">
        <v>61</v>
      </c>
      <c r="R24" s="1">
        <f t="shared" si="1"/>
        <v>0.03795898643</v>
      </c>
      <c r="S24" s="1">
        <f t="shared" si="2"/>
        <v>-171</v>
      </c>
      <c r="T24" s="1">
        <f t="shared" si="3"/>
        <v>1.584795322</v>
      </c>
      <c r="U24" s="1">
        <f t="shared" si="4"/>
        <v>0</v>
      </c>
      <c r="V24" s="3">
        <f t="shared" si="5"/>
        <v>1</v>
      </c>
      <c r="W24" s="3">
        <f t="shared" si="6"/>
        <v>3</v>
      </c>
      <c r="X24" s="3" t="str">
        <f>IFERROR(__xludf.DUMMYFUNCTION("split(B24,"" "")"),"W.")</f>
        <v>W.</v>
      </c>
      <c r="Y24" s="3" t="str">
        <f>IFERROR(__xludf.DUMMYFUNCTION("""COMPUTED_VALUE"""),"Levis")</f>
        <v>Levis</v>
      </c>
      <c r="AA24" s="8">
        <v>5.0</v>
      </c>
      <c r="AB24" s="3">
        <f t="shared" si="7"/>
        <v>1</v>
      </c>
      <c r="AC24" s="3">
        <f t="shared" si="8"/>
        <v>0</v>
      </c>
      <c r="AD24" s="3">
        <f t="shared" si="9"/>
        <v>0.5847953216</v>
      </c>
      <c r="AE24" s="3">
        <f t="shared" si="10"/>
        <v>-1</v>
      </c>
      <c r="AF24" s="3">
        <f t="shared" si="11"/>
        <v>-3</v>
      </c>
      <c r="AG24" s="3">
        <f t="shared" si="12"/>
        <v>-0.4285714286</v>
      </c>
      <c r="AH24" s="1" t="s">
        <v>12</v>
      </c>
      <c r="AI24" s="3">
        <f t="shared" si="28"/>
        <v>73</v>
      </c>
      <c r="AJ24" s="3">
        <f t="shared" si="29"/>
        <v>137</v>
      </c>
      <c r="AK24" s="3">
        <f t="shared" si="30"/>
        <v>0.5328467153</v>
      </c>
      <c r="AL24" s="3">
        <f t="shared" si="31"/>
        <v>148.1411652</v>
      </c>
      <c r="AM24" s="3">
        <f t="shared" si="32"/>
        <v>-131</v>
      </c>
      <c r="AN24" s="3">
        <f t="shared" si="33"/>
        <v>17.1411652</v>
      </c>
      <c r="AO24" s="4">
        <f t="shared" si="34"/>
        <v>0.4210526316</v>
      </c>
      <c r="AP24" s="4">
        <f t="shared" si="35"/>
        <v>0.5508474576</v>
      </c>
      <c r="AQ24" s="5">
        <f t="shared" si="36"/>
        <v>0</v>
      </c>
      <c r="AR24" s="5">
        <f t="shared" si="37"/>
        <v>1</v>
      </c>
    </row>
    <row r="25">
      <c r="A25" s="1" t="s">
        <v>8</v>
      </c>
      <c r="B25" s="1" t="s">
        <v>340</v>
      </c>
      <c r="C25" s="1" t="s">
        <v>19</v>
      </c>
      <c r="D25" s="1" t="s">
        <v>100</v>
      </c>
      <c r="E25" s="1" t="s">
        <v>135</v>
      </c>
      <c r="F25" s="1" t="s">
        <v>671</v>
      </c>
      <c r="G25" s="1">
        <v>15.5</v>
      </c>
      <c r="H25" s="1" t="s">
        <v>60</v>
      </c>
      <c r="I25" s="1">
        <v>-101.0</v>
      </c>
      <c r="J25" s="1">
        <v>-0.0856381231542289</v>
      </c>
      <c r="K25" s="1" t="s">
        <v>61</v>
      </c>
      <c r="L25" s="1" t="s">
        <v>61</v>
      </c>
      <c r="M25" s="1" t="s">
        <v>62</v>
      </c>
      <c r="N25" s="1">
        <v>-129.0</v>
      </c>
      <c r="O25" s="1">
        <v>0.0198120172605239</v>
      </c>
      <c r="P25" s="1" t="s">
        <v>61</v>
      </c>
      <c r="Q25" s="1" t="s">
        <v>61</v>
      </c>
      <c r="R25" s="1">
        <f t="shared" si="1"/>
        <v>0.01981201726</v>
      </c>
      <c r="S25" s="1">
        <f t="shared" si="2"/>
        <v>-129</v>
      </c>
      <c r="T25" s="1">
        <f t="shared" si="3"/>
        <v>1.775193798</v>
      </c>
      <c r="U25" s="1">
        <f t="shared" si="4"/>
        <v>0</v>
      </c>
      <c r="V25" s="3">
        <f t="shared" si="5"/>
        <v>1</v>
      </c>
      <c r="W25" s="3">
        <f t="shared" si="6"/>
        <v>3</v>
      </c>
      <c r="X25" s="3" t="str">
        <f>IFERROR(__xludf.DUMMYFUNCTION("split(B25,"" "")"),"T.")</f>
        <v>T.</v>
      </c>
      <c r="Y25" s="3" t="str">
        <f>IFERROR(__xludf.DUMMYFUNCTION("""COMPUTED_VALUE"""),"Pollard")</f>
        <v>Pollard</v>
      </c>
      <c r="AA25" s="8">
        <v>9.0</v>
      </c>
      <c r="AB25" s="3">
        <f t="shared" si="7"/>
        <v>0</v>
      </c>
      <c r="AC25" s="3">
        <f t="shared" si="8"/>
        <v>1</v>
      </c>
      <c r="AD25" s="3">
        <f t="shared" si="9"/>
        <v>0.7751937984</v>
      </c>
      <c r="AE25" s="3">
        <f t="shared" si="10"/>
        <v>0.7751937984</v>
      </c>
      <c r="AF25" s="3">
        <f t="shared" si="11"/>
        <v>2.325581395</v>
      </c>
      <c r="AG25" s="3">
        <f t="shared" si="12"/>
        <v>0.4193548387</v>
      </c>
      <c r="AO25" s="4"/>
      <c r="AP25" s="4"/>
      <c r="AQ25" s="5"/>
      <c r="AR25" s="5"/>
    </row>
    <row r="26">
      <c r="A26" s="1" t="s">
        <v>12</v>
      </c>
      <c r="B26" s="1" t="s">
        <v>559</v>
      </c>
      <c r="C26" s="1" t="s">
        <v>18</v>
      </c>
      <c r="D26" s="1" t="s">
        <v>100</v>
      </c>
      <c r="E26" s="1" t="s">
        <v>135</v>
      </c>
      <c r="F26" s="1" t="s">
        <v>671</v>
      </c>
      <c r="G26" s="1">
        <v>2.5</v>
      </c>
      <c r="H26" s="1" t="s">
        <v>60</v>
      </c>
      <c r="I26" s="1">
        <v>113.0</v>
      </c>
      <c r="J26" s="1">
        <v>-0.0888806735774647</v>
      </c>
      <c r="K26" s="1" t="s">
        <v>61</v>
      </c>
      <c r="L26" s="1" t="s">
        <v>61</v>
      </c>
      <c r="M26" s="1" t="s">
        <v>62</v>
      </c>
      <c r="N26" s="1">
        <v>-150.0</v>
      </c>
      <c r="O26" s="1">
        <v>0.0193967263999998</v>
      </c>
      <c r="P26" s="1" t="s">
        <v>61</v>
      </c>
      <c r="Q26" s="1" t="s">
        <v>61</v>
      </c>
      <c r="R26" s="1">
        <f t="shared" si="1"/>
        <v>0.0193967264</v>
      </c>
      <c r="S26" s="1">
        <f t="shared" si="2"/>
        <v>-150</v>
      </c>
      <c r="T26" s="1">
        <f t="shared" si="3"/>
        <v>1.666666667</v>
      </c>
      <c r="U26" s="1">
        <f t="shared" si="4"/>
        <v>0</v>
      </c>
      <c r="V26" s="3">
        <f t="shared" si="5"/>
        <v>1</v>
      </c>
      <c r="W26" s="3">
        <f t="shared" si="6"/>
        <v>3</v>
      </c>
      <c r="X26" s="3" t="str">
        <f>IFERROR(__xludf.DUMMYFUNCTION("split(B26,"" "")"),"T.")</f>
        <v>T.</v>
      </c>
      <c r="Y26" s="3" t="str">
        <f>IFERROR(__xludf.DUMMYFUNCTION("""COMPUTED_VALUE"""),"Boyd")</f>
        <v>Boyd</v>
      </c>
      <c r="AA26" s="8">
        <v>0.0</v>
      </c>
      <c r="AB26" s="3">
        <f t="shared" si="7"/>
        <v>0</v>
      </c>
      <c r="AC26" s="3">
        <f t="shared" si="8"/>
        <v>1</v>
      </c>
      <c r="AD26" s="3">
        <f t="shared" si="9"/>
        <v>0.6666666667</v>
      </c>
      <c r="AE26" s="3">
        <f t="shared" si="10"/>
        <v>0.6666666667</v>
      </c>
      <c r="AF26" s="3">
        <f t="shared" si="11"/>
        <v>2</v>
      </c>
      <c r="AG26" s="3">
        <f t="shared" si="12"/>
        <v>1</v>
      </c>
      <c r="AH26" s="1" t="s">
        <v>13</v>
      </c>
      <c r="AI26" s="3">
        <f t="shared" ref="AI26:AI30" si="38">COUNTIFs(A:A, "=" &amp; AH26, AC:AC, "=1")</f>
        <v>2</v>
      </c>
      <c r="AJ26" s="3">
        <f t="shared" ref="AJ26:AJ30" si="39">countif(A:A, "=" &amp; AH26)</f>
        <v>6</v>
      </c>
      <c r="AK26" s="3">
        <f t="shared" ref="AK26:AK30" si="40">AI26/AJ26</f>
        <v>0.3333333333</v>
      </c>
      <c r="AL26" s="3">
        <f t="shared" ref="AL26:AL30" si="41">SUMIFS(AE:AE, A:A,"=" &amp; AH26,AC:AC, "=1")</f>
        <v>1.724266072</v>
      </c>
      <c r="AM26" s="3">
        <f t="shared" ref="AM26:AM30" si="42">SUMIFS(AE:AE, A:A,"=" &amp; AH26,AC:AC, "=0")</f>
        <v>-4</v>
      </c>
      <c r="AN26" s="3">
        <f t="shared" ref="AN26:AN30" si="43">AL26+AM26</f>
        <v>-2.275733928</v>
      </c>
      <c r="AO26" s="4">
        <f t="shared" ref="AO26:AO30" si="44">IFERROR( countifs(A:A, "="&amp;AH26, U:U, "=1", AC:AC, "=1")/countifs(A:A, "="&amp;AH26, U:U, "=1"), 0)</f>
        <v>0.3333333333</v>
      </c>
      <c r="AP26" s="4">
        <f t="shared" ref="AP26:AP30" si="45">IFERROR( countifs(A:A, "="&amp;AH26, U:U, "=0", AC:AC, "=1")/countifs(A:A, "="&amp;AH26, U:U, "=0"), 0)</f>
        <v>0.3333333333</v>
      </c>
      <c r="AQ26" s="5">
        <f t="shared" ref="AQ26:AQ30" si="46">iferror(IFS(AND(AP26 &gt; 0.5, AO26 &gt; 0.5), 1, AND(AP26 &lt;= 0.5, AO26 &lt;= 0.5), -1), 0)
</f>
        <v>-1</v>
      </c>
      <c r="AR26" s="5">
        <f t="shared" ref="AR26:AR30" si="47">if(AN26&lt;0, -1, 1)</f>
        <v>-1</v>
      </c>
    </row>
    <row r="27">
      <c r="A27" s="1" t="s">
        <v>12</v>
      </c>
      <c r="B27" s="1" t="s">
        <v>669</v>
      </c>
      <c r="C27" s="1" t="s">
        <v>18</v>
      </c>
      <c r="D27" s="1" t="s">
        <v>100</v>
      </c>
      <c r="E27" s="1" t="s">
        <v>135</v>
      </c>
      <c r="F27" s="1" t="s">
        <v>671</v>
      </c>
      <c r="G27" s="1">
        <v>2.5</v>
      </c>
      <c r="H27" s="1" t="s">
        <v>60</v>
      </c>
      <c r="I27" s="1">
        <v>122.0</v>
      </c>
      <c r="J27" s="1">
        <v>-0.0714925504045046</v>
      </c>
      <c r="K27" s="1" t="s">
        <v>61</v>
      </c>
      <c r="L27" s="1" t="s">
        <v>61</v>
      </c>
      <c r="M27" s="1" t="s">
        <v>62</v>
      </c>
      <c r="N27" s="1">
        <v>-161.0</v>
      </c>
      <c r="O27" s="1">
        <v>0.00417677082337153</v>
      </c>
      <c r="P27" s="1" t="s">
        <v>61</v>
      </c>
      <c r="Q27" s="1" t="s">
        <v>61</v>
      </c>
      <c r="R27" s="1">
        <f t="shared" si="1"/>
        <v>0.004176770823</v>
      </c>
      <c r="S27" s="1">
        <f t="shared" si="2"/>
        <v>-161</v>
      </c>
      <c r="T27" s="1">
        <f t="shared" si="3"/>
        <v>1.621118012</v>
      </c>
      <c r="U27" s="1">
        <f t="shared" si="4"/>
        <v>0</v>
      </c>
      <c r="V27" s="3">
        <f t="shared" si="5"/>
        <v>1</v>
      </c>
      <c r="W27" s="3">
        <f t="shared" si="6"/>
        <v>3</v>
      </c>
      <c r="X27" s="3" t="str">
        <f>IFERROR(__xludf.DUMMYFUNCTION("split(B27,"" "")"),"N.")</f>
        <v>N.</v>
      </c>
      <c r="Y27" s="3" t="str">
        <f>IFERROR(__xludf.DUMMYFUNCTION("""COMPUTED_VALUE"""),"Westbrook-Ikhine")</f>
        <v>Westbrook-Ikhine</v>
      </c>
      <c r="AA27" s="8">
        <v>3.0</v>
      </c>
      <c r="AB27" s="3">
        <f t="shared" si="7"/>
        <v>1</v>
      </c>
      <c r="AC27" s="3">
        <f t="shared" si="8"/>
        <v>0</v>
      </c>
      <c r="AD27" s="3">
        <f t="shared" si="9"/>
        <v>0.6211180124</v>
      </c>
      <c r="AE27" s="3">
        <f t="shared" si="10"/>
        <v>-1</v>
      </c>
      <c r="AF27" s="3">
        <f t="shared" si="11"/>
        <v>-3</v>
      </c>
      <c r="AG27" s="3">
        <f t="shared" si="12"/>
        <v>-0.2</v>
      </c>
      <c r="AH27" s="1" t="s">
        <v>14</v>
      </c>
      <c r="AI27" s="3">
        <f t="shared" si="38"/>
        <v>10</v>
      </c>
      <c r="AJ27" s="3">
        <f t="shared" si="39"/>
        <v>21</v>
      </c>
      <c r="AK27" s="3">
        <f t="shared" si="40"/>
        <v>0.4761904762</v>
      </c>
      <c r="AL27" s="3">
        <f t="shared" si="41"/>
        <v>20.27101365</v>
      </c>
      <c r="AM27" s="3">
        <f t="shared" si="42"/>
        <v>-22</v>
      </c>
      <c r="AN27" s="3">
        <f t="shared" si="43"/>
        <v>-1.728986355</v>
      </c>
      <c r="AO27" s="4">
        <f t="shared" si="44"/>
        <v>0.5</v>
      </c>
      <c r="AP27" s="4">
        <f t="shared" si="45"/>
        <v>0.4666666667</v>
      </c>
      <c r="AQ27" s="5">
        <f t="shared" si="46"/>
        <v>-1</v>
      </c>
      <c r="AR27" s="5">
        <f t="shared" si="47"/>
        <v>-1</v>
      </c>
    </row>
    <row r="28">
      <c r="A28" s="1" t="s">
        <v>10</v>
      </c>
      <c r="B28" s="1" t="s">
        <v>340</v>
      </c>
      <c r="C28" s="1" t="s">
        <v>19</v>
      </c>
      <c r="D28" s="1" t="s">
        <v>100</v>
      </c>
      <c r="E28" s="1" t="s">
        <v>135</v>
      </c>
      <c r="F28" s="1" t="s">
        <v>671</v>
      </c>
      <c r="G28" s="1">
        <v>63.5</v>
      </c>
      <c r="H28" s="1" t="s">
        <v>60</v>
      </c>
      <c r="I28" s="1">
        <v>106.0</v>
      </c>
      <c r="J28" s="1">
        <v>-0.0624335689962765</v>
      </c>
      <c r="K28" s="1" t="s">
        <v>61</v>
      </c>
      <c r="L28" s="1" t="s">
        <v>61</v>
      </c>
      <c r="M28" s="1" t="s">
        <v>62</v>
      </c>
      <c r="N28" s="1">
        <v>-136.0</v>
      </c>
      <c r="O28" s="1">
        <v>7.48597866792599E-4</v>
      </c>
      <c r="P28" s="1" t="s">
        <v>61</v>
      </c>
      <c r="Q28" s="1" t="s">
        <v>61</v>
      </c>
      <c r="R28" s="1">
        <f t="shared" si="1"/>
        <v>0.0007485978668</v>
      </c>
      <c r="S28" s="1">
        <f t="shared" si="2"/>
        <v>-136</v>
      </c>
      <c r="T28" s="1">
        <f t="shared" si="3"/>
        <v>1.735294118</v>
      </c>
      <c r="U28" s="1">
        <f t="shared" si="4"/>
        <v>0</v>
      </c>
      <c r="V28" s="3">
        <f t="shared" si="5"/>
        <v>1</v>
      </c>
      <c r="W28" s="3">
        <f t="shared" si="6"/>
        <v>3</v>
      </c>
      <c r="X28" s="3" t="str">
        <f>IFERROR(__xludf.DUMMYFUNCTION("split(B28,"" "")"),"T.")</f>
        <v>T.</v>
      </c>
      <c r="Y28" s="3" t="str">
        <f>IFERROR(__xludf.DUMMYFUNCTION("""COMPUTED_VALUE"""),"Pollard")</f>
        <v>Pollard</v>
      </c>
      <c r="AA28" s="8">
        <v>44.0</v>
      </c>
      <c r="AB28" s="3">
        <f t="shared" si="7"/>
        <v>0</v>
      </c>
      <c r="AC28" s="3">
        <f t="shared" si="8"/>
        <v>1</v>
      </c>
      <c r="AD28" s="3">
        <f t="shared" si="9"/>
        <v>0.7352941176</v>
      </c>
      <c r="AE28" s="3">
        <f t="shared" si="10"/>
        <v>0.7352941176</v>
      </c>
      <c r="AF28" s="3">
        <f t="shared" si="11"/>
        <v>2.205882353</v>
      </c>
      <c r="AG28" s="3">
        <f t="shared" si="12"/>
        <v>0.3070866142</v>
      </c>
      <c r="AH28" s="1" t="s">
        <v>15</v>
      </c>
      <c r="AI28" s="3">
        <f t="shared" si="38"/>
        <v>9</v>
      </c>
      <c r="AJ28" s="3">
        <f t="shared" si="39"/>
        <v>17</v>
      </c>
      <c r="AK28" s="3">
        <f t="shared" si="40"/>
        <v>0.5294117647</v>
      </c>
      <c r="AL28" s="3">
        <f t="shared" si="41"/>
        <v>13.22950315</v>
      </c>
      <c r="AM28" s="3">
        <f t="shared" si="42"/>
        <v>-13</v>
      </c>
      <c r="AN28" s="3">
        <f t="shared" si="43"/>
        <v>0.2295031468</v>
      </c>
      <c r="AO28" s="4">
        <f t="shared" si="44"/>
        <v>0.4545454545</v>
      </c>
      <c r="AP28" s="4">
        <f t="shared" si="45"/>
        <v>0.6666666667</v>
      </c>
      <c r="AQ28" s="5">
        <f t="shared" si="46"/>
        <v>0</v>
      </c>
      <c r="AR28" s="5">
        <f t="shared" si="47"/>
        <v>1</v>
      </c>
    </row>
    <row r="29">
      <c r="A29" s="1" t="s">
        <v>13</v>
      </c>
      <c r="B29" s="1" t="s">
        <v>275</v>
      </c>
      <c r="C29" s="1" t="s">
        <v>21</v>
      </c>
      <c r="D29" s="1" t="s">
        <v>100</v>
      </c>
      <c r="E29" s="1" t="s">
        <v>135</v>
      </c>
      <c r="F29" s="1" t="s">
        <v>671</v>
      </c>
      <c r="G29" s="1">
        <v>185.5</v>
      </c>
      <c r="H29" s="1" t="s">
        <v>60</v>
      </c>
      <c r="I29" s="1">
        <v>-113.0</v>
      </c>
      <c r="J29" s="1">
        <v>0.00438378948356776</v>
      </c>
      <c r="K29" s="1" t="s">
        <v>61</v>
      </c>
      <c r="L29" s="1" t="s">
        <v>61</v>
      </c>
      <c r="M29" s="1" t="s">
        <v>62</v>
      </c>
      <c r="N29" s="1">
        <v>-113.0</v>
      </c>
      <c r="O29" s="1">
        <v>-0.0652996821164316</v>
      </c>
      <c r="P29" s="1" t="s">
        <v>61</v>
      </c>
      <c r="Q29" s="1" t="s">
        <v>61</v>
      </c>
      <c r="R29" s="1">
        <f t="shared" si="1"/>
        <v>0.004383789484</v>
      </c>
      <c r="S29" s="1">
        <f t="shared" si="2"/>
        <v>-113</v>
      </c>
      <c r="T29" s="1">
        <f t="shared" si="3"/>
        <v>1.884955752</v>
      </c>
      <c r="U29" s="1">
        <f t="shared" si="4"/>
        <v>1</v>
      </c>
      <c r="V29" s="3">
        <f t="shared" si="5"/>
        <v>1</v>
      </c>
      <c r="W29" s="3">
        <f t="shared" si="6"/>
        <v>2</v>
      </c>
      <c r="X29" s="3" t="str">
        <f>IFERROR(__xludf.DUMMYFUNCTION("split(B29,"" "")"),"W.")</f>
        <v>W.</v>
      </c>
      <c r="Y29" s="3" t="str">
        <f>IFERROR(__xludf.DUMMYFUNCTION("""COMPUTED_VALUE"""),"Levis")</f>
        <v>Levis</v>
      </c>
      <c r="AA29" s="8">
        <v>175.0</v>
      </c>
      <c r="AB29" s="3">
        <f t="shared" si="7"/>
        <v>0</v>
      </c>
      <c r="AC29" s="3">
        <f t="shared" si="8"/>
        <v>0</v>
      </c>
      <c r="AD29" s="3">
        <f t="shared" si="9"/>
        <v>0.8849557522</v>
      </c>
      <c r="AE29" s="3">
        <f t="shared" si="10"/>
        <v>-1</v>
      </c>
      <c r="AF29" s="3">
        <f t="shared" si="11"/>
        <v>-2</v>
      </c>
      <c r="AG29" s="3">
        <f t="shared" si="12"/>
        <v>-0.05660377358</v>
      </c>
      <c r="AH29" s="1" t="s">
        <v>16</v>
      </c>
      <c r="AI29" s="3">
        <f t="shared" si="38"/>
        <v>6</v>
      </c>
      <c r="AJ29" s="3">
        <f t="shared" si="39"/>
        <v>14</v>
      </c>
      <c r="AK29" s="3">
        <f t="shared" si="40"/>
        <v>0.4285714286</v>
      </c>
      <c r="AL29" s="3">
        <f t="shared" si="41"/>
        <v>8.861634162</v>
      </c>
      <c r="AM29" s="3">
        <f t="shared" si="42"/>
        <v>-11</v>
      </c>
      <c r="AN29" s="3">
        <f t="shared" si="43"/>
        <v>-2.138365838</v>
      </c>
      <c r="AO29" s="4">
        <f t="shared" si="44"/>
        <v>0.5</v>
      </c>
      <c r="AP29" s="4">
        <f t="shared" si="45"/>
        <v>0.4166666667</v>
      </c>
      <c r="AQ29" s="5">
        <f t="shared" si="46"/>
        <v>-1</v>
      </c>
      <c r="AR29" s="5">
        <f t="shared" si="47"/>
        <v>-1</v>
      </c>
    </row>
    <row r="30">
      <c r="A30" s="1" t="s">
        <v>12</v>
      </c>
      <c r="B30" s="1" t="s">
        <v>437</v>
      </c>
      <c r="C30" s="1" t="s">
        <v>18</v>
      </c>
      <c r="D30" s="1" t="s">
        <v>100</v>
      </c>
      <c r="E30" s="1" t="s">
        <v>135</v>
      </c>
      <c r="F30" s="1" t="s">
        <v>671</v>
      </c>
      <c r="G30" s="1">
        <v>4.5</v>
      </c>
      <c r="H30" s="1" t="s">
        <v>60</v>
      </c>
      <c r="I30" s="1">
        <v>135.0</v>
      </c>
      <c r="J30" s="1">
        <v>0.0263531914893617</v>
      </c>
      <c r="K30" s="1" t="s">
        <v>61</v>
      </c>
      <c r="L30" s="1" t="s">
        <v>61</v>
      </c>
      <c r="M30" s="1" t="s">
        <v>62</v>
      </c>
      <c r="N30" s="1">
        <v>-175.0</v>
      </c>
      <c r="O30" s="1">
        <v>-0.0882363636363635</v>
      </c>
      <c r="P30" s="1" t="s">
        <v>61</v>
      </c>
      <c r="Q30" s="1" t="s">
        <v>61</v>
      </c>
      <c r="R30" s="1">
        <f t="shared" si="1"/>
        <v>0.02635319149</v>
      </c>
      <c r="S30" s="1">
        <f t="shared" si="2"/>
        <v>135</v>
      </c>
      <c r="T30" s="1">
        <f t="shared" si="3"/>
        <v>2.35</v>
      </c>
      <c r="U30" s="1">
        <f t="shared" si="4"/>
        <v>1</v>
      </c>
      <c r="V30" s="3">
        <f t="shared" si="5"/>
        <v>1</v>
      </c>
      <c r="W30" s="3">
        <f t="shared" si="6"/>
        <v>1</v>
      </c>
      <c r="X30" s="3" t="str">
        <f>IFERROR(__xludf.DUMMYFUNCTION("split(B30,"" "")"),"C.")</f>
        <v>C.</v>
      </c>
      <c r="Y30" s="3" t="str">
        <f>IFERROR(__xludf.DUMMYFUNCTION("""COMPUTED_VALUE"""),"Ridley")</f>
        <v>Ridley</v>
      </c>
      <c r="AA30" s="8">
        <v>5.0</v>
      </c>
      <c r="AB30" s="3">
        <f t="shared" si="7"/>
        <v>1</v>
      </c>
      <c r="AC30" s="3">
        <f t="shared" si="8"/>
        <v>1</v>
      </c>
      <c r="AD30" s="3">
        <f t="shared" si="9"/>
        <v>1.35</v>
      </c>
      <c r="AE30" s="3">
        <f t="shared" si="10"/>
        <v>1.35</v>
      </c>
      <c r="AF30" s="3">
        <f t="shared" si="11"/>
        <v>1.35</v>
      </c>
      <c r="AG30" s="3">
        <f t="shared" si="12"/>
        <v>0.1111111111</v>
      </c>
      <c r="AH30" s="1" t="s">
        <v>17</v>
      </c>
      <c r="AI30" s="3">
        <f t="shared" si="38"/>
        <v>10</v>
      </c>
      <c r="AJ30" s="3">
        <f t="shared" si="39"/>
        <v>18</v>
      </c>
      <c r="AK30" s="3">
        <f t="shared" si="40"/>
        <v>0.5555555556</v>
      </c>
      <c r="AL30" s="3">
        <f t="shared" si="41"/>
        <v>22.61645161</v>
      </c>
      <c r="AM30" s="3">
        <f t="shared" si="42"/>
        <v>-10</v>
      </c>
      <c r="AN30" s="3">
        <f t="shared" si="43"/>
        <v>12.61645161</v>
      </c>
      <c r="AO30" s="4">
        <f t="shared" si="44"/>
        <v>0</v>
      </c>
      <c r="AP30" s="4">
        <f t="shared" si="45"/>
        <v>0.5555555556</v>
      </c>
      <c r="AQ30" s="5">
        <f t="shared" si="46"/>
        <v>0</v>
      </c>
      <c r="AR30" s="5">
        <f t="shared" si="47"/>
        <v>1</v>
      </c>
    </row>
    <row r="31">
      <c r="A31" s="1" t="s">
        <v>9</v>
      </c>
      <c r="B31" s="1" t="s">
        <v>301</v>
      </c>
      <c r="C31" s="1" t="s">
        <v>19</v>
      </c>
      <c r="D31" s="1" t="s">
        <v>100</v>
      </c>
      <c r="E31" s="1" t="s">
        <v>135</v>
      </c>
      <c r="F31" s="1" t="s">
        <v>671</v>
      </c>
      <c r="G31" s="1">
        <v>35.5</v>
      </c>
      <c r="H31" s="1" t="s">
        <v>60</v>
      </c>
      <c r="I31" s="1">
        <v>-122.0</v>
      </c>
      <c r="J31" s="1">
        <v>0.0334917054916351</v>
      </c>
      <c r="K31" s="1" t="s">
        <v>61</v>
      </c>
      <c r="L31" s="1" t="s">
        <v>61</v>
      </c>
      <c r="M31" s="1" t="s">
        <v>62</v>
      </c>
      <c r="N31" s="1">
        <v>-111.0</v>
      </c>
      <c r="O31" s="1">
        <v>-0.109097744394543</v>
      </c>
      <c r="P31" s="1" t="s">
        <v>61</v>
      </c>
      <c r="Q31" s="1" t="s">
        <v>61</v>
      </c>
      <c r="R31" s="1">
        <f t="shared" si="1"/>
        <v>0.03349170549</v>
      </c>
      <c r="S31" s="1">
        <f t="shared" si="2"/>
        <v>-122</v>
      </c>
      <c r="T31" s="1">
        <f t="shared" si="3"/>
        <v>1.819672131</v>
      </c>
      <c r="U31" s="1">
        <f t="shared" si="4"/>
        <v>1</v>
      </c>
      <c r="V31" s="3">
        <f t="shared" si="5"/>
        <v>1</v>
      </c>
      <c r="W31" s="3">
        <f t="shared" si="6"/>
        <v>3</v>
      </c>
      <c r="X31" s="3" t="str">
        <f>IFERROR(__xludf.DUMMYFUNCTION("split(B31,"" "")"),"T.")</f>
        <v>T.</v>
      </c>
      <c r="Y31" s="3" t="str">
        <f>IFERROR(__xludf.DUMMYFUNCTION("""COMPUTED_VALUE"""),"Spears")</f>
        <v>Spears</v>
      </c>
      <c r="AA31" s="8">
        <v>51.0</v>
      </c>
      <c r="AB31" s="3">
        <f t="shared" si="7"/>
        <v>1</v>
      </c>
      <c r="AC31" s="3">
        <f t="shared" si="8"/>
        <v>1</v>
      </c>
      <c r="AD31" s="3">
        <f t="shared" si="9"/>
        <v>0.8196721311</v>
      </c>
      <c r="AE31" s="3">
        <f t="shared" si="10"/>
        <v>0.8196721311</v>
      </c>
      <c r="AF31" s="3">
        <f t="shared" si="11"/>
        <v>2.459016393</v>
      </c>
      <c r="AG31" s="3">
        <f t="shared" si="12"/>
        <v>0.4366197183</v>
      </c>
      <c r="AJ31" s="1" t="s">
        <v>512</v>
      </c>
      <c r="AK31" s="1" t="s">
        <v>513</v>
      </c>
    </row>
    <row r="32">
      <c r="A32" s="1" t="s">
        <v>11</v>
      </c>
      <c r="B32" s="1" t="s">
        <v>301</v>
      </c>
      <c r="C32" s="1" t="s">
        <v>19</v>
      </c>
      <c r="D32" s="1" t="s">
        <v>100</v>
      </c>
      <c r="E32" s="1" t="s">
        <v>135</v>
      </c>
      <c r="F32" s="1" t="s">
        <v>671</v>
      </c>
      <c r="G32" s="1">
        <v>8.5</v>
      </c>
      <c r="H32" s="1" t="s">
        <v>60</v>
      </c>
      <c r="I32" s="1">
        <v>-109.0</v>
      </c>
      <c r="J32" s="1">
        <v>0.054507326548295</v>
      </c>
      <c r="K32" s="1" t="s">
        <v>61</v>
      </c>
      <c r="L32" s="1" t="s">
        <v>61</v>
      </c>
      <c r="M32" s="1" t="s">
        <v>62</v>
      </c>
      <c r="N32" s="1">
        <v>-117.0</v>
      </c>
      <c r="O32" s="1">
        <v>-0.115188435764306</v>
      </c>
      <c r="P32" s="1" t="s">
        <v>61</v>
      </c>
      <c r="Q32" s="1" t="s">
        <v>61</v>
      </c>
      <c r="R32" s="1">
        <f t="shared" si="1"/>
        <v>0.05450732655</v>
      </c>
      <c r="S32" s="1">
        <f t="shared" si="2"/>
        <v>-109</v>
      </c>
      <c r="T32" s="1">
        <f t="shared" si="3"/>
        <v>1.917431193</v>
      </c>
      <c r="U32" s="1">
        <f t="shared" si="4"/>
        <v>1</v>
      </c>
      <c r="V32" s="3">
        <f t="shared" si="5"/>
        <v>2</v>
      </c>
      <c r="W32" s="3">
        <f t="shared" si="6"/>
        <v>2</v>
      </c>
      <c r="X32" s="3" t="str">
        <f>IFERROR(__xludf.DUMMYFUNCTION("split(B32,"" "")"),"T.")</f>
        <v>T.</v>
      </c>
      <c r="Y32" s="3" t="str">
        <f>IFERROR(__xludf.DUMMYFUNCTION("""COMPUTED_VALUE"""),"Spears")</f>
        <v>Spears</v>
      </c>
      <c r="AA32" s="8">
        <v>4.0</v>
      </c>
      <c r="AB32" s="3">
        <f t="shared" si="7"/>
        <v>0</v>
      </c>
      <c r="AC32" s="3">
        <f t="shared" si="8"/>
        <v>0</v>
      </c>
      <c r="AD32" s="3">
        <f t="shared" si="9"/>
        <v>1.834862385</v>
      </c>
      <c r="AE32" s="3">
        <f t="shared" si="10"/>
        <v>-2</v>
      </c>
      <c r="AF32" s="3">
        <f t="shared" si="11"/>
        <v>-2</v>
      </c>
      <c r="AG32" s="3">
        <f t="shared" si="12"/>
        <v>-0.5294117647</v>
      </c>
      <c r="AH32" s="1" t="s">
        <v>514</v>
      </c>
      <c r="AI32" s="3">
        <f>COUNTIFS(AG2:AG999, "&gt;1.7", AC2:AC999,"=1", U2:U999, "=1") + countifs(U2:U999, "=0", AA2:AA999, "=0")</f>
        <v>56</v>
      </c>
      <c r="AJ32" s="3">
        <f>COUNTIFS(AG2:AG999, "&gt;1.7", AC2:AC999,"=1", U2:U999, "=1")</f>
        <v>14</v>
      </c>
      <c r="AK32" s="3">
        <f>AI32-AJ32</f>
        <v>42</v>
      </c>
    </row>
    <row r="33">
      <c r="A33" s="1" t="s">
        <v>9</v>
      </c>
      <c r="B33" s="1" t="s">
        <v>669</v>
      </c>
      <c r="C33" s="1" t="s">
        <v>18</v>
      </c>
      <c r="D33" s="1" t="s">
        <v>100</v>
      </c>
      <c r="E33" s="1" t="s">
        <v>135</v>
      </c>
      <c r="F33" s="1" t="s">
        <v>671</v>
      </c>
      <c r="G33" s="1">
        <v>24.5</v>
      </c>
      <c r="H33" s="1" t="s">
        <v>60</v>
      </c>
      <c r="I33" s="1">
        <v>-114.0</v>
      </c>
      <c r="J33" s="1">
        <v>0.0858710773689139</v>
      </c>
      <c r="K33" s="1" t="s">
        <v>61</v>
      </c>
      <c r="L33" s="1" t="s">
        <v>61</v>
      </c>
      <c r="M33" s="1" t="s">
        <v>62</v>
      </c>
      <c r="N33" s="1">
        <v>-118.0</v>
      </c>
      <c r="O33" s="1">
        <v>-0.159799469987147</v>
      </c>
      <c r="P33" s="1" t="s">
        <v>61</v>
      </c>
      <c r="Q33" s="1" t="s">
        <v>61</v>
      </c>
      <c r="R33" s="1">
        <f t="shared" si="1"/>
        <v>0.08587107737</v>
      </c>
      <c r="S33" s="1">
        <f t="shared" si="2"/>
        <v>-114</v>
      </c>
      <c r="T33" s="1">
        <f t="shared" si="3"/>
        <v>1.877192982</v>
      </c>
      <c r="U33" s="1">
        <f t="shared" si="4"/>
        <v>1</v>
      </c>
      <c r="V33" s="3">
        <f t="shared" si="5"/>
        <v>2</v>
      </c>
      <c r="W33" s="3">
        <f t="shared" si="6"/>
        <v>2</v>
      </c>
      <c r="X33" s="3" t="str">
        <f>IFERROR(__xludf.DUMMYFUNCTION("split(B33,"" "")"),"N.")</f>
        <v>N.</v>
      </c>
      <c r="Y33" s="3" t="str">
        <f>IFERROR(__xludf.DUMMYFUNCTION("""COMPUTED_VALUE"""),"Westbrook-Ikhine")</f>
        <v>Westbrook-Ikhine</v>
      </c>
      <c r="AA33" s="8">
        <v>31.0</v>
      </c>
      <c r="AB33" s="3">
        <f t="shared" si="7"/>
        <v>1</v>
      </c>
      <c r="AC33" s="3">
        <f t="shared" si="8"/>
        <v>1</v>
      </c>
      <c r="AD33" s="3">
        <f t="shared" si="9"/>
        <v>1.754385965</v>
      </c>
      <c r="AE33" s="3">
        <f t="shared" si="10"/>
        <v>1.754385965</v>
      </c>
      <c r="AF33" s="3">
        <f t="shared" si="11"/>
        <v>1.754385965</v>
      </c>
      <c r="AG33" s="3">
        <f t="shared" si="12"/>
        <v>0.2653061224</v>
      </c>
    </row>
    <row r="34">
      <c r="A34" s="1" t="s">
        <v>12</v>
      </c>
      <c r="B34" s="1" t="s">
        <v>557</v>
      </c>
      <c r="C34" s="1" t="s">
        <v>19</v>
      </c>
      <c r="D34" s="1" t="s">
        <v>113</v>
      </c>
      <c r="E34" s="1" t="s">
        <v>164</v>
      </c>
      <c r="F34" s="1" t="s">
        <v>670</v>
      </c>
      <c r="G34" s="1">
        <v>2.5</v>
      </c>
      <c r="H34" s="1" t="s">
        <v>60</v>
      </c>
      <c r="I34" s="1">
        <v>-117.0</v>
      </c>
      <c r="J34" s="1">
        <v>-0.258212793548387</v>
      </c>
      <c r="K34" s="1" t="s">
        <v>61</v>
      </c>
      <c r="L34" s="1" t="s">
        <v>61</v>
      </c>
      <c r="M34" s="1" t="s">
        <v>62</v>
      </c>
      <c r="N34" s="1">
        <v>-113.0</v>
      </c>
      <c r="O34" s="1">
        <v>0.188532249323943</v>
      </c>
      <c r="P34" s="1" t="s">
        <v>61</v>
      </c>
      <c r="Q34" s="1" t="s">
        <v>61</v>
      </c>
      <c r="R34" s="1">
        <f t="shared" si="1"/>
        <v>0.1885322493</v>
      </c>
      <c r="S34" s="1">
        <f t="shared" si="2"/>
        <v>-113</v>
      </c>
      <c r="T34" s="1">
        <f t="shared" si="3"/>
        <v>1.884955752</v>
      </c>
      <c r="U34" s="1">
        <f t="shared" si="4"/>
        <v>0</v>
      </c>
      <c r="V34" s="3">
        <f t="shared" si="5"/>
        <v>3</v>
      </c>
      <c r="W34" s="3">
        <f t="shared" si="6"/>
        <v>2</v>
      </c>
      <c r="X34" s="3" t="str">
        <f>IFERROR(__xludf.DUMMYFUNCTION("split(B34,"" "")"),"B.")</f>
        <v>B.</v>
      </c>
      <c r="Y34" s="3" t="str">
        <f>IFERROR(__xludf.DUMMYFUNCTION("""COMPUTED_VALUE"""),"Irving")</f>
        <v>Irving</v>
      </c>
      <c r="AA34" s="8">
        <v>3.0</v>
      </c>
      <c r="AB34" s="3">
        <f t="shared" si="7"/>
        <v>1</v>
      </c>
      <c r="AC34" s="3">
        <f t="shared" si="8"/>
        <v>0</v>
      </c>
      <c r="AD34" s="3">
        <f t="shared" si="9"/>
        <v>2.654867257</v>
      </c>
      <c r="AE34" s="3">
        <f t="shared" si="10"/>
        <v>-3</v>
      </c>
      <c r="AF34" s="3">
        <f t="shared" si="11"/>
        <v>-2</v>
      </c>
      <c r="AG34" s="3">
        <f t="shared" si="12"/>
        <v>-0.2</v>
      </c>
    </row>
    <row r="35">
      <c r="A35" s="1" t="s">
        <v>8</v>
      </c>
      <c r="B35" s="1" t="s">
        <v>417</v>
      </c>
      <c r="C35" s="1" t="s">
        <v>19</v>
      </c>
      <c r="D35" s="1" t="s">
        <v>113</v>
      </c>
      <c r="E35" s="1" t="s">
        <v>164</v>
      </c>
      <c r="F35" s="1" t="s">
        <v>670</v>
      </c>
      <c r="G35" s="1">
        <v>6.5</v>
      </c>
      <c r="H35" s="1" t="s">
        <v>60</v>
      </c>
      <c r="I35" s="1">
        <v>-123.0</v>
      </c>
      <c r="J35" s="1">
        <v>-0.252006954707597</v>
      </c>
      <c r="K35" s="1" t="s">
        <v>61</v>
      </c>
      <c r="L35" s="1" t="s">
        <v>61</v>
      </c>
      <c r="M35" s="1" t="s">
        <v>62</v>
      </c>
      <c r="N35" s="1">
        <v>-110.0</v>
      </c>
      <c r="O35" s="1">
        <v>0.176634218998922</v>
      </c>
      <c r="P35" s="1" t="s">
        <v>61</v>
      </c>
      <c r="Q35" s="1" t="s">
        <v>61</v>
      </c>
      <c r="R35" s="1">
        <f t="shared" si="1"/>
        <v>0.176634219</v>
      </c>
      <c r="S35" s="1">
        <f t="shared" si="2"/>
        <v>-110</v>
      </c>
      <c r="T35" s="1">
        <f t="shared" si="3"/>
        <v>1.909090909</v>
      </c>
      <c r="U35" s="1">
        <f t="shared" si="4"/>
        <v>0</v>
      </c>
      <c r="V35" s="3">
        <f t="shared" si="5"/>
        <v>3</v>
      </c>
      <c r="W35" s="3">
        <f t="shared" si="6"/>
        <v>2</v>
      </c>
      <c r="X35" s="3" t="str">
        <f>IFERROR(__xludf.DUMMYFUNCTION("split(B35,"" "")"),"R.")</f>
        <v>R.</v>
      </c>
      <c r="Y35" s="3" t="str">
        <f>IFERROR(__xludf.DUMMYFUNCTION("""COMPUTED_VALUE"""),"White")</f>
        <v>White</v>
      </c>
      <c r="AA35" s="8">
        <v>10.0</v>
      </c>
      <c r="AB35" s="3">
        <f t="shared" si="7"/>
        <v>1</v>
      </c>
      <c r="AC35" s="3">
        <f t="shared" si="8"/>
        <v>0</v>
      </c>
      <c r="AD35" s="3">
        <f t="shared" si="9"/>
        <v>2.727272727</v>
      </c>
      <c r="AE35" s="3">
        <f t="shared" si="10"/>
        <v>-3</v>
      </c>
      <c r="AF35" s="3">
        <f t="shared" si="11"/>
        <v>-2</v>
      </c>
      <c r="AG35" s="3">
        <f t="shared" si="12"/>
        <v>-0.5384615385</v>
      </c>
    </row>
    <row r="36">
      <c r="A36" s="1" t="s">
        <v>12</v>
      </c>
      <c r="B36" s="1" t="s">
        <v>417</v>
      </c>
      <c r="C36" s="1" t="s">
        <v>19</v>
      </c>
      <c r="D36" s="1" t="s">
        <v>113</v>
      </c>
      <c r="E36" s="1" t="s">
        <v>164</v>
      </c>
      <c r="F36" s="1" t="s">
        <v>670</v>
      </c>
      <c r="G36" s="1">
        <v>3.5</v>
      </c>
      <c r="H36" s="1" t="s">
        <v>60</v>
      </c>
      <c r="I36" s="1">
        <v>-123.0</v>
      </c>
      <c r="J36" s="1">
        <v>-0.192669506726457</v>
      </c>
      <c r="K36" s="1" t="s">
        <v>61</v>
      </c>
      <c r="L36" s="1" t="s">
        <v>61</v>
      </c>
      <c r="M36" s="1" t="s">
        <v>62</v>
      </c>
      <c r="N36" s="1">
        <v>-108.0</v>
      </c>
      <c r="O36" s="1">
        <v>0.12186923076923</v>
      </c>
      <c r="P36" s="1" t="s">
        <v>61</v>
      </c>
      <c r="Q36" s="1" t="s">
        <v>61</v>
      </c>
      <c r="R36" s="1">
        <f t="shared" si="1"/>
        <v>0.1218692308</v>
      </c>
      <c r="S36" s="1">
        <f t="shared" si="2"/>
        <v>-108</v>
      </c>
      <c r="T36" s="1">
        <f t="shared" si="3"/>
        <v>1.925925926</v>
      </c>
      <c r="U36" s="1">
        <f t="shared" si="4"/>
        <v>0</v>
      </c>
      <c r="V36" s="3">
        <f t="shared" si="5"/>
        <v>3</v>
      </c>
      <c r="W36" s="3">
        <f t="shared" si="6"/>
        <v>2</v>
      </c>
      <c r="X36" s="3" t="str">
        <f>IFERROR(__xludf.DUMMYFUNCTION("split(B36,"" "")"),"R.")</f>
        <v>R.</v>
      </c>
      <c r="Y36" s="3" t="str">
        <f>IFERROR(__xludf.DUMMYFUNCTION("""COMPUTED_VALUE"""),"White")</f>
        <v>White</v>
      </c>
      <c r="AA36" s="8">
        <v>6.0</v>
      </c>
      <c r="AB36" s="3">
        <f t="shared" si="7"/>
        <v>1</v>
      </c>
      <c r="AC36" s="3">
        <f t="shared" si="8"/>
        <v>0</v>
      </c>
      <c r="AD36" s="3">
        <f t="shared" si="9"/>
        <v>2.777777778</v>
      </c>
      <c r="AE36" s="3">
        <f t="shared" si="10"/>
        <v>-3</v>
      </c>
      <c r="AF36" s="3">
        <f t="shared" si="11"/>
        <v>-2</v>
      </c>
      <c r="AG36" s="3">
        <f t="shared" si="12"/>
        <v>-0.7142857143</v>
      </c>
    </row>
    <row r="37">
      <c r="A37" s="1" t="s">
        <v>8</v>
      </c>
      <c r="B37" s="1" t="s">
        <v>253</v>
      </c>
      <c r="C37" s="1" t="s">
        <v>21</v>
      </c>
      <c r="D37" s="1" t="s">
        <v>113</v>
      </c>
      <c r="E37" s="1" t="s">
        <v>164</v>
      </c>
      <c r="F37" s="1" t="s">
        <v>670</v>
      </c>
      <c r="G37" s="1">
        <v>3.5</v>
      </c>
      <c r="H37" s="1" t="s">
        <v>60</v>
      </c>
      <c r="I37" s="1">
        <v>104.0</v>
      </c>
      <c r="J37" s="1">
        <v>-0.167841433532846</v>
      </c>
      <c r="K37" s="1" t="s">
        <v>61</v>
      </c>
      <c r="L37" s="1" t="s">
        <v>61</v>
      </c>
      <c r="M37" s="1" t="s">
        <v>62</v>
      </c>
      <c r="N37" s="1">
        <v>-137.0</v>
      </c>
      <c r="O37" s="1">
        <v>0.0995923557439137</v>
      </c>
      <c r="P37" s="1" t="s">
        <v>61</v>
      </c>
      <c r="Q37" s="1" t="s">
        <v>61</v>
      </c>
      <c r="R37" s="1">
        <f t="shared" si="1"/>
        <v>0.09959235574</v>
      </c>
      <c r="S37" s="1">
        <f t="shared" si="2"/>
        <v>-137</v>
      </c>
      <c r="T37" s="1">
        <f t="shared" si="3"/>
        <v>1.729927007</v>
      </c>
      <c r="U37" s="1">
        <f t="shared" si="4"/>
        <v>0</v>
      </c>
      <c r="V37" s="3">
        <f t="shared" si="5"/>
        <v>2</v>
      </c>
      <c r="W37" s="3">
        <f t="shared" si="6"/>
        <v>3</v>
      </c>
      <c r="X37" s="3" t="str">
        <f>IFERROR(__xludf.DUMMYFUNCTION("split(B37,"" "")"),"B.")</f>
        <v>B.</v>
      </c>
      <c r="Y37" s="3" t="str">
        <f>IFERROR(__xludf.DUMMYFUNCTION("""COMPUTED_VALUE"""),"Mayfield")</f>
        <v>Mayfield</v>
      </c>
      <c r="AA37" s="8">
        <v>3.0</v>
      </c>
      <c r="AB37" s="3">
        <f t="shared" si="7"/>
        <v>0</v>
      </c>
      <c r="AC37" s="3">
        <f t="shared" si="8"/>
        <v>1</v>
      </c>
      <c r="AD37" s="3">
        <f t="shared" si="9"/>
        <v>1.459854015</v>
      </c>
      <c r="AE37" s="3">
        <f t="shared" si="10"/>
        <v>1.459854015</v>
      </c>
      <c r="AF37" s="3">
        <f t="shared" si="11"/>
        <v>2.189781022</v>
      </c>
      <c r="AG37" s="3">
        <f t="shared" si="12"/>
        <v>0.1428571429</v>
      </c>
    </row>
    <row r="38">
      <c r="A38" s="1" t="s">
        <v>8</v>
      </c>
      <c r="B38" s="1" t="s">
        <v>557</v>
      </c>
      <c r="C38" s="1" t="s">
        <v>19</v>
      </c>
      <c r="D38" s="1" t="s">
        <v>113</v>
      </c>
      <c r="E38" s="1" t="s">
        <v>164</v>
      </c>
      <c r="F38" s="1" t="s">
        <v>670</v>
      </c>
      <c r="G38" s="1">
        <v>8.5</v>
      </c>
      <c r="H38" s="1" t="s">
        <v>60</v>
      </c>
      <c r="I38" s="1">
        <v>-118.0</v>
      </c>
      <c r="J38" s="1">
        <v>-0.172920397339647</v>
      </c>
      <c r="K38" s="1" t="s">
        <v>61</v>
      </c>
      <c r="L38" s="1" t="s">
        <v>61</v>
      </c>
      <c r="M38" s="1" t="s">
        <v>62</v>
      </c>
      <c r="N38" s="1">
        <v>-114.0</v>
      </c>
      <c r="O38" s="1">
        <v>0.0989476502189212</v>
      </c>
      <c r="P38" s="1" t="s">
        <v>61</v>
      </c>
      <c r="Q38" s="1" t="s">
        <v>61</v>
      </c>
      <c r="R38" s="1">
        <f t="shared" si="1"/>
        <v>0.09894765022</v>
      </c>
      <c r="S38" s="1">
        <f t="shared" si="2"/>
        <v>-114</v>
      </c>
      <c r="T38" s="1">
        <f t="shared" si="3"/>
        <v>1.877192982</v>
      </c>
      <c r="U38" s="1">
        <f t="shared" si="4"/>
        <v>0</v>
      </c>
      <c r="V38" s="3">
        <f t="shared" si="5"/>
        <v>2</v>
      </c>
      <c r="W38" s="3">
        <f t="shared" si="6"/>
        <v>2</v>
      </c>
      <c r="X38" s="3" t="str">
        <f>IFERROR(__xludf.DUMMYFUNCTION("split(B38,"" "")"),"B.")</f>
        <v>B.</v>
      </c>
      <c r="Y38" s="3" t="str">
        <f>IFERROR(__xludf.DUMMYFUNCTION("""COMPUTED_VALUE"""),"Irving")</f>
        <v>Irving</v>
      </c>
      <c r="AA38" s="8">
        <v>13.0</v>
      </c>
      <c r="AB38" s="3">
        <f t="shared" si="7"/>
        <v>1</v>
      </c>
      <c r="AC38" s="3">
        <f t="shared" si="8"/>
        <v>0</v>
      </c>
      <c r="AD38" s="3">
        <f t="shared" si="9"/>
        <v>1.754385965</v>
      </c>
      <c r="AE38" s="3">
        <f t="shared" si="10"/>
        <v>-2</v>
      </c>
      <c r="AF38" s="3">
        <f t="shared" si="11"/>
        <v>-2</v>
      </c>
      <c r="AG38" s="3">
        <f t="shared" si="12"/>
        <v>-0.5294117647</v>
      </c>
    </row>
    <row r="39">
      <c r="A39" s="1" t="s">
        <v>12</v>
      </c>
      <c r="B39" s="1" t="s">
        <v>645</v>
      </c>
      <c r="C39" s="1" t="s">
        <v>18</v>
      </c>
      <c r="D39" s="1" t="s">
        <v>113</v>
      </c>
      <c r="E39" s="1" t="s">
        <v>164</v>
      </c>
      <c r="F39" s="1" t="s">
        <v>670</v>
      </c>
      <c r="G39" s="1">
        <v>2.5</v>
      </c>
      <c r="H39" s="1" t="s">
        <v>60</v>
      </c>
      <c r="I39" s="1">
        <v>-159.0</v>
      </c>
      <c r="J39" s="1">
        <v>-0.152438223938224</v>
      </c>
      <c r="K39" s="1" t="s">
        <v>61</v>
      </c>
      <c r="L39" s="1" t="s">
        <v>61</v>
      </c>
      <c r="M39" s="1" t="s">
        <v>62</v>
      </c>
      <c r="N39" s="1">
        <v>122.0</v>
      </c>
      <c r="O39" s="1">
        <v>0.0880945945945945</v>
      </c>
      <c r="P39" s="1" t="s">
        <v>61</v>
      </c>
      <c r="Q39" s="1" t="s">
        <v>61</v>
      </c>
      <c r="R39" s="1">
        <f t="shared" si="1"/>
        <v>0.08809459459</v>
      </c>
      <c r="S39" s="1">
        <f t="shared" si="2"/>
        <v>122</v>
      </c>
      <c r="T39" s="1">
        <f t="shared" si="3"/>
        <v>2.22</v>
      </c>
      <c r="U39" s="1">
        <f t="shared" si="4"/>
        <v>0</v>
      </c>
      <c r="V39" s="3">
        <f t="shared" si="5"/>
        <v>2</v>
      </c>
      <c r="W39" s="3">
        <f t="shared" si="6"/>
        <v>1</v>
      </c>
      <c r="X39" s="3" t="str">
        <f>IFERROR(__xludf.DUMMYFUNCTION("split(B39,"" "")"),"S.")</f>
        <v>S.</v>
      </c>
      <c r="Y39" s="3" t="str">
        <f>IFERROR(__xludf.DUMMYFUNCTION("""COMPUTED_VALUE"""),"Shepard")</f>
        <v>Shepard</v>
      </c>
      <c r="AA39" s="8">
        <v>1.0</v>
      </c>
      <c r="AB39" s="3">
        <f t="shared" si="7"/>
        <v>0</v>
      </c>
      <c r="AC39" s="3">
        <f t="shared" si="8"/>
        <v>1</v>
      </c>
      <c r="AD39" s="3">
        <f t="shared" si="9"/>
        <v>2.44</v>
      </c>
      <c r="AE39" s="3">
        <f t="shared" si="10"/>
        <v>2.44</v>
      </c>
      <c r="AF39" s="3">
        <f t="shared" si="11"/>
        <v>1.22</v>
      </c>
      <c r="AG39" s="3">
        <f t="shared" si="12"/>
        <v>0.6</v>
      </c>
    </row>
    <row r="40">
      <c r="A40" s="1" t="s">
        <v>17</v>
      </c>
      <c r="B40" s="1" t="s">
        <v>253</v>
      </c>
      <c r="C40" s="1" t="s">
        <v>21</v>
      </c>
      <c r="D40" s="1" t="s">
        <v>113</v>
      </c>
      <c r="E40" s="1" t="s">
        <v>164</v>
      </c>
      <c r="F40" s="1" t="s">
        <v>670</v>
      </c>
      <c r="G40" s="1">
        <v>0.5</v>
      </c>
      <c r="H40" s="1" t="s">
        <v>60</v>
      </c>
      <c r="I40" s="1">
        <v>-147.0</v>
      </c>
      <c r="J40" s="1">
        <v>-0.135901214574898</v>
      </c>
      <c r="K40" s="1" t="s">
        <v>61</v>
      </c>
      <c r="L40" s="1" t="s">
        <v>61</v>
      </c>
      <c r="M40" s="1" t="s">
        <v>62</v>
      </c>
      <c r="N40" s="1">
        <v>111.0</v>
      </c>
      <c r="O40" s="1">
        <v>0.0668189573459715</v>
      </c>
      <c r="P40" s="1" t="s">
        <v>61</v>
      </c>
      <c r="Q40" s="1" t="s">
        <v>61</v>
      </c>
      <c r="R40" s="1">
        <f t="shared" si="1"/>
        <v>0.06681895735</v>
      </c>
      <c r="S40" s="1">
        <f t="shared" si="2"/>
        <v>111</v>
      </c>
      <c r="T40" s="1">
        <f t="shared" si="3"/>
        <v>2.11</v>
      </c>
      <c r="U40" s="1">
        <f t="shared" si="4"/>
        <v>0</v>
      </c>
      <c r="V40" s="3">
        <f t="shared" si="5"/>
        <v>2</v>
      </c>
      <c r="W40" s="3">
        <f t="shared" si="6"/>
        <v>1</v>
      </c>
      <c r="X40" s="3" t="str">
        <f>IFERROR(__xludf.DUMMYFUNCTION("split(B40,"" "")"),"B.")</f>
        <v>B.</v>
      </c>
      <c r="Y40" s="3" t="str">
        <f>IFERROR(__xludf.DUMMYFUNCTION("""COMPUTED_VALUE"""),"Mayfield")</f>
        <v>Mayfield</v>
      </c>
      <c r="AA40" s="8">
        <v>0.0</v>
      </c>
      <c r="AB40" s="3">
        <f t="shared" si="7"/>
        <v>0</v>
      </c>
      <c r="AC40" s="3">
        <f t="shared" si="8"/>
        <v>1</v>
      </c>
      <c r="AD40" s="3">
        <f t="shared" si="9"/>
        <v>2.22</v>
      </c>
      <c r="AE40" s="3">
        <f t="shared" si="10"/>
        <v>2.22</v>
      </c>
      <c r="AF40" s="3">
        <f t="shared" si="11"/>
        <v>1.11</v>
      </c>
      <c r="AG40" s="3">
        <f t="shared" si="12"/>
        <v>1</v>
      </c>
    </row>
    <row r="41">
      <c r="A41" s="1" t="s">
        <v>12</v>
      </c>
      <c r="B41" s="1" t="s">
        <v>657</v>
      </c>
      <c r="C41" s="1" t="s">
        <v>18</v>
      </c>
      <c r="D41" s="1" t="s">
        <v>113</v>
      </c>
      <c r="E41" s="1" t="s">
        <v>164</v>
      </c>
      <c r="F41" s="1" t="s">
        <v>670</v>
      </c>
      <c r="G41" s="1">
        <v>1.5</v>
      </c>
      <c r="H41" s="1" t="s">
        <v>60</v>
      </c>
      <c r="I41" s="1">
        <v>-116.0</v>
      </c>
      <c r="J41" s="1">
        <v>-0.13032821924537</v>
      </c>
      <c r="K41" s="1" t="s">
        <v>61</v>
      </c>
      <c r="L41" s="1" t="s">
        <v>61</v>
      </c>
      <c r="M41" s="1" t="s">
        <v>62</v>
      </c>
      <c r="N41" s="1">
        <v>-113.0</v>
      </c>
      <c r="O41" s="1">
        <v>0.0627880551803286</v>
      </c>
      <c r="P41" s="1" t="s">
        <v>61</v>
      </c>
      <c r="Q41" s="1" t="s">
        <v>61</v>
      </c>
      <c r="R41" s="1">
        <f t="shared" si="1"/>
        <v>0.06278805518</v>
      </c>
      <c r="S41" s="1">
        <f t="shared" si="2"/>
        <v>-113</v>
      </c>
      <c r="T41" s="1">
        <f t="shared" si="3"/>
        <v>1.884955752</v>
      </c>
      <c r="U41" s="1">
        <f t="shared" si="4"/>
        <v>0</v>
      </c>
      <c r="V41" s="3">
        <f t="shared" si="5"/>
        <v>2</v>
      </c>
      <c r="W41" s="3">
        <f t="shared" si="6"/>
        <v>2</v>
      </c>
      <c r="X41" s="3" t="str">
        <f>IFERROR(__xludf.DUMMYFUNCTION("split(B41,"" "")"),"T.")</f>
        <v>T.</v>
      </c>
      <c r="Y41" s="3" t="str">
        <f>IFERROR(__xludf.DUMMYFUNCTION("""COMPUTED_VALUE"""),"Palmer")</f>
        <v>Palmer</v>
      </c>
      <c r="AA41" s="8">
        <v>0.0</v>
      </c>
      <c r="AB41" s="3">
        <f t="shared" si="7"/>
        <v>0</v>
      </c>
      <c r="AC41" s="3">
        <f t="shared" si="8"/>
        <v>1</v>
      </c>
      <c r="AD41" s="3">
        <f t="shared" si="9"/>
        <v>1.769911504</v>
      </c>
      <c r="AE41" s="3">
        <f t="shared" si="10"/>
        <v>1.769911504</v>
      </c>
      <c r="AF41" s="3">
        <f t="shared" si="11"/>
        <v>1.769911504</v>
      </c>
      <c r="AG41" s="3">
        <f t="shared" si="12"/>
        <v>1</v>
      </c>
    </row>
    <row r="42">
      <c r="A42" s="1" t="s">
        <v>11</v>
      </c>
      <c r="B42" s="1" t="s">
        <v>112</v>
      </c>
      <c r="C42" s="1" t="s">
        <v>20</v>
      </c>
      <c r="D42" s="1" t="s">
        <v>113</v>
      </c>
      <c r="E42" s="1" t="s">
        <v>164</v>
      </c>
      <c r="F42" s="1" t="s">
        <v>670</v>
      </c>
      <c r="G42" s="1">
        <v>58.5</v>
      </c>
      <c r="H42" s="1" t="s">
        <v>60</v>
      </c>
      <c r="I42" s="1">
        <v>-116.0</v>
      </c>
      <c r="J42" s="1">
        <v>-0.11418212087337</v>
      </c>
      <c r="K42" s="1" t="s">
        <v>61</v>
      </c>
      <c r="L42" s="1" t="s">
        <v>61</v>
      </c>
      <c r="M42" s="1" t="s">
        <v>62</v>
      </c>
      <c r="N42" s="1">
        <v>-113.0</v>
      </c>
      <c r="O42" s="1">
        <v>0.0466350468999059</v>
      </c>
      <c r="P42" s="1" t="s">
        <v>61</v>
      </c>
      <c r="Q42" s="1" t="s">
        <v>61</v>
      </c>
      <c r="R42" s="1">
        <f t="shared" si="1"/>
        <v>0.0466350469</v>
      </c>
      <c r="S42" s="1">
        <f t="shared" si="2"/>
        <v>-113</v>
      </c>
      <c r="T42" s="1">
        <f t="shared" si="3"/>
        <v>1.884955752</v>
      </c>
      <c r="U42" s="1">
        <f t="shared" si="4"/>
        <v>0</v>
      </c>
      <c r="V42" s="3">
        <f t="shared" si="5"/>
        <v>1</v>
      </c>
      <c r="W42" s="3">
        <f t="shared" si="6"/>
        <v>2</v>
      </c>
      <c r="X42" s="3" t="str">
        <f>IFERROR(__xludf.DUMMYFUNCTION("split(B42,"" "")"),"C.")</f>
        <v>C.</v>
      </c>
      <c r="Y42" s="3" t="str">
        <f>IFERROR(__xludf.DUMMYFUNCTION("""COMPUTED_VALUE"""),"Otton")</f>
        <v>Otton</v>
      </c>
      <c r="AA42" s="8">
        <v>35.0</v>
      </c>
      <c r="AB42" s="3">
        <f t="shared" si="7"/>
        <v>0</v>
      </c>
      <c r="AC42" s="3">
        <f t="shared" si="8"/>
        <v>1</v>
      </c>
      <c r="AD42" s="3">
        <f t="shared" si="9"/>
        <v>0.8849557522</v>
      </c>
      <c r="AE42" s="3">
        <f t="shared" si="10"/>
        <v>0.8849557522</v>
      </c>
      <c r="AF42" s="3">
        <f t="shared" si="11"/>
        <v>1.769911504</v>
      </c>
      <c r="AG42" s="3">
        <f t="shared" si="12"/>
        <v>0.4017094017</v>
      </c>
    </row>
    <row r="43">
      <c r="A43" s="1" t="s">
        <v>10</v>
      </c>
      <c r="B43" s="1" t="s">
        <v>253</v>
      </c>
      <c r="C43" s="1" t="s">
        <v>21</v>
      </c>
      <c r="D43" s="1" t="s">
        <v>113</v>
      </c>
      <c r="E43" s="1" t="s">
        <v>164</v>
      </c>
      <c r="F43" s="1" t="s">
        <v>670</v>
      </c>
      <c r="G43" s="1">
        <v>14.5</v>
      </c>
      <c r="H43" s="1" t="s">
        <v>60</v>
      </c>
      <c r="I43" s="1">
        <v>-117.0</v>
      </c>
      <c r="J43" s="1">
        <v>-0.110410815068145</v>
      </c>
      <c r="K43" s="1" t="s">
        <v>61</v>
      </c>
      <c r="L43" s="1" t="s">
        <v>61</v>
      </c>
      <c r="M43" s="1" t="s">
        <v>62</v>
      </c>
      <c r="N43" s="1">
        <v>-112.0</v>
      </c>
      <c r="O43" s="1">
        <v>0.0429443230856698</v>
      </c>
      <c r="P43" s="1" t="s">
        <v>61</v>
      </c>
      <c r="Q43" s="1" t="s">
        <v>61</v>
      </c>
      <c r="R43" s="1">
        <f t="shared" si="1"/>
        <v>0.04294432309</v>
      </c>
      <c r="S43" s="1">
        <f t="shared" si="2"/>
        <v>-112</v>
      </c>
      <c r="T43" s="1">
        <f t="shared" si="3"/>
        <v>1.892857143</v>
      </c>
      <c r="U43" s="1">
        <f t="shared" si="4"/>
        <v>0</v>
      </c>
      <c r="V43" s="3">
        <f t="shared" si="5"/>
        <v>1</v>
      </c>
      <c r="W43" s="3">
        <f t="shared" si="6"/>
        <v>2</v>
      </c>
      <c r="X43" s="3" t="str">
        <f>IFERROR(__xludf.DUMMYFUNCTION("split(B43,"" "")"),"B.")</f>
        <v>B.</v>
      </c>
      <c r="Y43" s="3" t="str">
        <f>IFERROR(__xludf.DUMMYFUNCTION("""COMPUTED_VALUE"""),"Mayfield")</f>
        <v>Mayfield</v>
      </c>
      <c r="AA43" s="8">
        <v>3.0</v>
      </c>
      <c r="AB43" s="3">
        <f t="shared" si="7"/>
        <v>0</v>
      </c>
      <c r="AC43" s="3">
        <f t="shared" si="8"/>
        <v>1</v>
      </c>
      <c r="AD43" s="3">
        <f t="shared" si="9"/>
        <v>0.8928571429</v>
      </c>
      <c r="AE43" s="3">
        <f t="shared" si="10"/>
        <v>0.8928571429</v>
      </c>
      <c r="AF43" s="3">
        <f t="shared" si="11"/>
        <v>1.785714286</v>
      </c>
      <c r="AG43" s="3">
        <f t="shared" si="12"/>
        <v>0.7931034483</v>
      </c>
    </row>
    <row r="44">
      <c r="A44" s="1" t="s">
        <v>12</v>
      </c>
      <c r="B44" s="1" t="s">
        <v>112</v>
      </c>
      <c r="C44" s="1" t="s">
        <v>20</v>
      </c>
      <c r="D44" s="1" t="s">
        <v>113</v>
      </c>
      <c r="E44" s="1" t="s">
        <v>164</v>
      </c>
      <c r="F44" s="1" t="s">
        <v>670</v>
      </c>
      <c r="G44" s="1">
        <v>5.5</v>
      </c>
      <c r="H44" s="1" t="s">
        <v>60</v>
      </c>
      <c r="I44" s="1">
        <v>-148.0</v>
      </c>
      <c r="J44" s="1">
        <v>-0.105214516129032</v>
      </c>
      <c r="K44" s="1" t="s">
        <v>61</v>
      </c>
      <c r="L44" s="1" t="s">
        <v>61</v>
      </c>
      <c r="M44" s="1" t="s">
        <v>62</v>
      </c>
      <c r="N44" s="1">
        <v>111.0</v>
      </c>
      <c r="O44" s="1">
        <v>0.0345137440758294</v>
      </c>
      <c r="P44" s="1" t="s">
        <v>61</v>
      </c>
      <c r="Q44" s="1" t="s">
        <v>61</v>
      </c>
      <c r="R44" s="1">
        <f t="shared" si="1"/>
        <v>0.03451374408</v>
      </c>
      <c r="S44" s="1">
        <f t="shared" si="2"/>
        <v>111</v>
      </c>
      <c r="T44" s="1">
        <f t="shared" si="3"/>
        <v>2.11</v>
      </c>
      <c r="U44" s="1">
        <f t="shared" si="4"/>
        <v>0</v>
      </c>
      <c r="V44" s="3">
        <f t="shared" si="5"/>
        <v>1</v>
      </c>
      <c r="W44" s="3">
        <f t="shared" si="6"/>
        <v>1</v>
      </c>
      <c r="X44" s="3" t="str">
        <f>IFERROR(__xludf.DUMMYFUNCTION("split(B44,"" "")"),"C.")</f>
        <v>C.</v>
      </c>
      <c r="Y44" s="3" t="str">
        <f>IFERROR(__xludf.DUMMYFUNCTION("""COMPUTED_VALUE"""),"Otton")</f>
        <v>Otton</v>
      </c>
      <c r="AA44" s="8">
        <v>5.0</v>
      </c>
      <c r="AB44" s="3">
        <f t="shared" si="7"/>
        <v>0</v>
      </c>
      <c r="AC44" s="3">
        <f t="shared" si="8"/>
        <v>1</v>
      </c>
      <c r="AD44" s="3">
        <f t="shared" si="9"/>
        <v>1.11</v>
      </c>
      <c r="AE44" s="3">
        <f t="shared" si="10"/>
        <v>1.11</v>
      </c>
      <c r="AF44" s="3">
        <f t="shared" si="11"/>
        <v>1.11</v>
      </c>
      <c r="AG44" s="3">
        <f t="shared" si="12"/>
        <v>0.09090909091</v>
      </c>
    </row>
    <row r="45">
      <c r="A45" s="1" t="s">
        <v>12</v>
      </c>
      <c r="B45" s="1" t="s">
        <v>672</v>
      </c>
      <c r="C45" s="1" t="s">
        <v>18</v>
      </c>
      <c r="D45" s="1" t="s">
        <v>113</v>
      </c>
      <c r="E45" s="1" t="s">
        <v>164</v>
      </c>
      <c r="F45" s="1" t="s">
        <v>670</v>
      </c>
      <c r="G45" s="1">
        <v>1.5</v>
      </c>
      <c r="H45" s="1" t="s">
        <v>60</v>
      </c>
      <c r="I45" s="1">
        <v>149.0</v>
      </c>
      <c r="J45" s="1">
        <v>-0.102353867703734</v>
      </c>
      <c r="K45" s="1" t="s">
        <v>61</v>
      </c>
      <c r="L45" s="1" t="s">
        <v>61</v>
      </c>
      <c r="M45" s="1" t="s">
        <v>62</v>
      </c>
      <c r="N45" s="1">
        <v>-200.0</v>
      </c>
      <c r="O45" s="1">
        <v>0.03408618818</v>
      </c>
      <c r="P45" s="1" t="s">
        <v>61</v>
      </c>
      <c r="Q45" s="1" t="s">
        <v>61</v>
      </c>
      <c r="R45" s="1">
        <f t="shared" si="1"/>
        <v>0.03408618818</v>
      </c>
      <c r="S45" s="1">
        <f t="shared" si="2"/>
        <v>-200</v>
      </c>
      <c r="T45" s="1">
        <f t="shared" si="3"/>
        <v>1.5</v>
      </c>
      <c r="U45" s="1">
        <f t="shared" si="4"/>
        <v>0</v>
      </c>
      <c r="V45" s="3">
        <f t="shared" si="5"/>
        <v>1</v>
      </c>
      <c r="W45" s="3">
        <f t="shared" si="6"/>
        <v>3</v>
      </c>
      <c r="X45" s="3" t="str">
        <f>IFERROR(__xludf.DUMMYFUNCTION("split(B45,"" "")"),"R.")</f>
        <v>R.</v>
      </c>
      <c r="Y45" s="3" t="str">
        <f>IFERROR(__xludf.DUMMYFUNCTION("""COMPUTED_VALUE"""),"Miller")</f>
        <v>Miller</v>
      </c>
      <c r="AA45" s="8">
        <v>1.0</v>
      </c>
      <c r="AB45" s="3">
        <f t="shared" si="7"/>
        <v>0</v>
      </c>
      <c r="AC45" s="3">
        <f t="shared" si="8"/>
        <v>1</v>
      </c>
      <c r="AD45" s="3">
        <f t="shared" si="9"/>
        <v>0.5</v>
      </c>
      <c r="AE45" s="3">
        <f t="shared" si="10"/>
        <v>0.5</v>
      </c>
      <c r="AF45" s="3">
        <f t="shared" si="11"/>
        <v>1.5</v>
      </c>
      <c r="AG45" s="3">
        <f t="shared" si="12"/>
        <v>0.3333333333</v>
      </c>
    </row>
    <row r="46">
      <c r="A46" s="1" t="s">
        <v>11</v>
      </c>
      <c r="B46" s="1" t="s">
        <v>417</v>
      </c>
      <c r="C46" s="1" t="s">
        <v>19</v>
      </c>
      <c r="D46" s="1" t="s">
        <v>113</v>
      </c>
      <c r="E46" s="1" t="s">
        <v>164</v>
      </c>
      <c r="F46" s="1" t="s">
        <v>670</v>
      </c>
      <c r="G46" s="1">
        <v>24.5</v>
      </c>
      <c r="H46" s="1" t="s">
        <v>60</v>
      </c>
      <c r="I46" s="1">
        <v>-118.0</v>
      </c>
      <c r="J46" s="1">
        <v>-0.100148871119265</v>
      </c>
      <c r="K46" s="1" t="s">
        <v>61</v>
      </c>
      <c r="L46" s="1" t="s">
        <v>61</v>
      </c>
      <c r="M46" s="1" t="s">
        <v>62</v>
      </c>
      <c r="N46" s="1">
        <v>-111.0</v>
      </c>
      <c r="O46" s="1">
        <v>0.0328222646134597</v>
      </c>
      <c r="P46" s="1" t="s">
        <v>61</v>
      </c>
      <c r="Q46" s="1" t="s">
        <v>61</v>
      </c>
      <c r="R46" s="1">
        <f t="shared" si="1"/>
        <v>0.03282226461</v>
      </c>
      <c r="S46" s="1">
        <f t="shared" si="2"/>
        <v>-111</v>
      </c>
      <c r="T46" s="1">
        <f t="shared" si="3"/>
        <v>1.900900901</v>
      </c>
      <c r="U46" s="1">
        <f t="shared" si="4"/>
        <v>0</v>
      </c>
      <c r="V46" s="3">
        <f t="shared" si="5"/>
        <v>1</v>
      </c>
      <c r="W46" s="3">
        <f t="shared" si="6"/>
        <v>2</v>
      </c>
      <c r="X46" s="3" t="str">
        <f>IFERROR(__xludf.DUMMYFUNCTION("split(B46,"" "")"),"R.")</f>
        <v>R.</v>
      </c>
      <c r="Y46" s="3" t="str">
        <f>IFERROR(__xludf.DUMMYFUNCTION("""COMPUTED_VALUE"""),"White")</f>
        <v>White</v>
      </c>
      <c r="AA46" s="8">
        <v>39.0</v>
      </c>
      <c r="AB46" s="3">
        <f t="shared" si="7"/>
        <v>1</v>
      </c>
      <c r="AC46" s="3">
        <f t="shared" si="8"/>
        <v>0</v>
      </c>
      <c r="AD46" s="3">
        <f t="shared" si="9"/>
        <v>0.9009009009</v>
      </c>
      <c r="AE46" s="3">
        <f t="shared" si="10"/>
        <v>-1</v>
      </c>
      <c r="AF46" s="3">
        <f t="shared" si="11"/>
        <v>-2</v>
      </c>
      <c r="AG46" s="3">
        <f t="shared" si="12"/>
        <v>-0.5918367347</v>
      </c>
    </row>
    <row r="47">
      <c r="A47" s="1" t="s">
        <v>11</v>
      </c>
      <c r="B47" s="1" t="s">
        <v>557</v>
      </c>
      <c r="C47" s="1" t="s">
        <v>19</v>
      </c>
      <c r="D47" s="1" t="s">
        <v>113</v>
      </c>
      <c r="E47" s="1" t="s">
        <v>164</v>
      </c>
      <c r="F47" s="1" t="s">
        <v>670</v>
      </c>
      <c r="G47" s="1">
        <v>17.5</v>
      </c>
      <c r="H47" s="1" t="s">
        <v>60</v>
      </c>
      <c r="I47" s="1">
        <v>-118.0</v>
      </c>
      <c r="J47" s="1">
        <v>-0.100116001270567</v>
      </c>
      <c r="K47" s="1" t="s">
        <v>61</v>
      </c>
      <c r="L47" s="1" t="s">
        <v>61</v>
      </c>
      <c r="M47" s="1" t="s">
        <v>62</v>
      </c>
      <c r="N47" s="1">
        <v>-111.0</v>
      </c>
      <c r="O47" s="1">
        <v>0.0328139335898198</v>
      </c>
      <c r="P47" s="1" t="s">
        <v>61</v>
      </c>
      <c r="Q47" s="1" t="s">
        <v>61</v>
      </c>
      <c r="R47" s="1">
        <f t="shared" si="1"/>
        <v>0.03281393359</v>
      </c>
      <c r="S47" s="1">
        <f t="shared" si="2"/>
        <v>-111</v>
      </c>
      <c r="T47" s="1">
        <f t="shared" si="3"/>
        <v>1.900900901</v>
      </c>
      <c r="U47" s="1">
        <f t="shared" si="4"/>
        <v>0</v>
      </c>
      <c r="V47" s="3">
        <f t="shared" si="5"/>
        <v>1</v>
      </c>
      <c r="W47" s="3">
        <f t="shared" si="6"/>
        <v>2</v>
      </c>
      <c r="X47" s="3" t="str">
        <f>IFERROR(__xludf.DUMMYFUNCTION("split(B47,"" "")"),"B.")</f>
        <v>B.</v>
      </c>
      <c r="Y47" s="3" t="str">
        <f>IFERROR(__xludf.DUMMYFUNCTION("""COMPUTED_VALUE"""),"Irving")</f>
        <v>Irving</v>
      </c>
      <c r="AA47" s="8">
        <v>14.0</v>
      </c>
      <c r="AB47" s="3">
        <f t="shared" si="7"/>
        <v>0</v>
      </c>
      <c r="AC47" s="3">
        <f t="shared" si="8"/>
        <v>1</v>
      </c>
      <c r="AD47" s="3">
        <f t="shared" si="9"/>
        <v>0.9009009009</v>
      </c>
      <c r="AE47" s="3">
        <f t="shared" si="10"/>
        <v>0.9009009009</v>
      </c>
      <c r="AF47" s="3">
        <f t="shared" si="11"/>
        <v>1.801801802</v>
      </c>
      <c r="AG47" s="3">
        <f t="shared" si="12"/>
        <v>0.2</v>
      </c>
    </row>
    <row r="48">
      <c r="A48" s="1" t="s">
        <v>10</v>
      </c>
      <c r="B48" s="1" t="s">
        <v>417</v>
      </c>
      <c r="C48" s="1" t="s">
        <v>19</v>
      </c>
      <c r="D48" s="1" t="s">
        <v>113</v>
      </c>
      <c r="E48" s="1" t="s">
        <v>164</v>
      </c>
      <c r="F48" s="1" t="s">
        <v>670</v>
      </c>
      <c r="G48" s="1">
        <v>23.5</v>
      </c>
      <c r="H48" s="1" t="s">
        <v>60</v>
      </c>
      <c r="I48" s="1">
        <v>-112.0</v>
      </c>
      <c r="J48" s="1">
        <v>-0.094383885015583</v>
      </c>
      <c r="K48" s="1" t="s">
        <v>61</v>
      </c>
      <c r="L48" s="1" t="s">
        <v>61</v>
      </c>
      <c r="M48" s="1" t="s">
        <v>62</v>
      </c>
      <c r="N48" s="1">
        <v>-117.0</v>
      </c>
      <c r="O48" s="1">
        <v>0.0269232204574433</v>
      </c>
      <c r="P48" s="1" t="s">
        <v>61</v>
      </c>
      <c r="Q48" s="1" t="s">
        <v>61</v>
      </c>
      <c r="R48" s="1">
        <f t="shared" si="1"/>
        <v>0.02692322046</v>
      </c>
      <c r="S48" s="1">
        <f t="shared" si="2"/>
        <v>-117</v>
      </c>
      <c r="T48" s="1">
        <f t="shared" si="3"/>
        <v>1.854700855</v>
      </c>
      <c r="U48" s="1">
        <f t="shared" si="4"/>
        <v>0</v>
      </c>
      <c r="V48" s="3">
        <f t="shared" si="5"/>
        <v>1</v>
      </c>
      <c r="W48" s="3">
        <f t="shared" si="6"/>
        <v>2</v>
      </c>
      <c r="X48" s="3" t="str">
        <f>IFERROR(__xludf.DUMMYFUNCTION("split(B48,"" "")"),"R.")</f>
        <v>R.</v>
      </c>
      <c r="Y48" s="3" t="str">
        <f>IFERROR(__xludf.DUMMYFUNCTION("""COMPUTED_VALUE"""),"White")</f>
        <v>White</v>
      </c>
      <c r="AA48" s="8">
        <v>31.0</v>
      </c>
      <c r="AB48" s="3">
        <f t="shared" si="7"/>
        <v>1</v>
      </c>
      <c r="AC48" s="3">
        <f t="shared" si="8"/>
        <v>0</v>
      </c>
      <c r="AD48" s="3">
        <f t="shared" si="9"/>
        <v>0.8547008547</v>
      </c>
      <c r="AE48" s="3">
        <f t="shared" si="10"/>
        <v>-1</v>
      </c>
      <c r="AF48" s="3">
        <f t="shared" si="11"/>
        <v>-2</v>
      </c>
      <c r="AG48" s="3">
        <f t="shared" si="12"/>
        <v>-0.3191489362</v>
      </c>
    </row>
    <row r="49">
      <c r="A49" s="1" t="s">
        <v>12</v>
      </c>
      <c r="B49" s="1" t="s">
        <v>673</v>
      </c>
      <c r="C49" s="1" t="s">
        <v>18</v>
      </c>
      <c r="D49" s="1" t="s">
        <v>113</v>
      </c>
      <c r="E49" s="1" t="s">
        <v>164</v>
      </c>
      <c r="F49" s="1" t="s">
        <v>670</v>
      </c>
      <c r="G49" s="1">
        <v>2.5</v>
      </c>
      <c r="H49" s="1" t="s">
        <v>60</v>
      </c>
      <c r="I49" s="1">
        <v>140.0</v>
      </c>
      <c r="J49" s="1">
        <v>-0.0822647328583333</v>
      </c>
      <c r="K49" s="1" t="s">
        <v>61</v>
      </c>
      <c r="L49" s="1" t="s">
        <v>61</v>
      </c>
      <c r="M49" s="1" t="s">
        <v>62</v>
      </c>
      <c r="N49" s="1">
        <v>-184.0</v>
      </c>
      <c r="O49" s="1">
        <v>0.0177105282450704</v>
      </c>
      <c r="P49" s="1" t="s">
        <v>61</v>
      </c>
      <c r="Q49" s="1" t="s">
        <v>61</v>
      </c>
      <c r="R49" s="1">
        <f t="shared" si="1"/>
        <v>0.01771052825</v>
      </c>
      <c r="S49" s="1">
        <f t="shared" si="2"/>
        <v>-184</v>
      </c>
      <c r="T49" s="1">
        <f t="shared" si="3"/>
        <v>1.543478261</v>
      </c>
      <c r="U49" s="1">
        <f t="shared" si="4"/>
        <v>0</v>
      </c>
      <c r="V49" s="3">
        <f t="shared" si="5"/>
        <v>1</v>
      </c>
      <c r="W49" s="3">
        <f t="shared" si="6"/>
        <v>3</v>
      </c>
      <c r="X49" s="3" t="str">
        <f>IFERROR(__xludf.DUMMYFUNCTION("split(B49,"" "")"),"R.")</f>
        <v>R.</v>
      </c>
      <c r="Y49" s="3" t="str">
        <f>IFERROR(__xludf.DUMMYFUNCTION("""COMPUTED_VALUE"""),"Jarrett")</f>
        <v>Jarrett</v>
      </c>
      <c r="AA49" s="8">
        <v>2.0</v>
      </c>
      <c r="AB49" s="3">
        <f t="shared" si="7"/>
        <v>0</v>
      </c>
      <c r="AC49" s="3">
        <f t="shared" si="8"/>
        <v>1</v>
      </c>
      <c r="AD49" s="3">
        <f t="shared" si="9"/>
        <v>0.5434782609</v>
      </c>
      <c r="AE49" s="3">
        <f t="shared" si="10"/>
        <v>0.5434782609</v>
      </c>
      <c r="AF49" s="3">
        <f t="shared" si="11"/>
        <v>1.630434783</v>
      </c>
      <c r="AG49" s="3">
        <f t="shared" si="12"/>
        <v>0.2</v>
      </c>
    </row>
    <row r="50">
      <c r="A50" s="1" t="s">
        <v>12</v>
      </c>
      <c r="B50" s="1" t="s">
        <v>307</v>
      </c>
      <c r="C50" s="1" t="s">
        <v>18</v>
      </c>
      <c r="D50" s="1" t="s">
        <v>113</v>
      </c>
      <c r="E50" s="1" t="s">
        <v>164</v>
      </c>
      <c r="F50" s="1" t="s">
        <v>670</v>
      </c>
      <c r="G50" s="1">
        <v>2.5</v>
      </c>
      <c r="H50" s="1" t="s">
        <v>60</v>
      </c>
      <c r="I50" s="1">
        <v>-119.0</v>
      </c>
      <c r="J50" s="1">
        <v>-0.0736333333333332</v>
      </c>
      <c r="K50" s="1" t="s">
        <v>61</v>
      </c>
      <c r="L50" s="1" t="s">
        <v>61</v>
      </c>
      <c r="M50" s="1" t="s">
        <v>62</v>
      </c>
      <c r="N50" s="1">
        <v>-111.0</v>
      </c>
      <c r="O50" s="1">
        <v>0.00418104265402841</v>
      </c>
      <c r="P50" s="1" t="s">
        <v>61</v>
      </c>
      <c r="Q50" s="1" t="s">
        <v>61</v>
      </c>
      <c r="R50" s="1">
        <f t="shared" si="1"/>
        <v>0.004181042654</v>
      </c>
      <c r="S50" s="1">
        <f t="shared" si="2"/>
        <v>-111</v>
      </c>
      <c r="T50" s="1">
        <f t="shared" si="3"/>
        <v>1.900900901</v>
      </c>
      <c r="U50" s="1">
        <f t="shared" si="4"/>
        <v>0</v>
      </c>
      <c r="V50" s="3">
        <f t="shared" si="5"/>
        <v>1</v>
      </c>
      <c r="W50" s="3">
        <f t="shared" si="6"/>
        <v>2</v>
      </c>
      <c r="X50" s="3" t="str">
        <f>IFERROR(__xludf.DUMMYFUNCTION("split(B50,"" "")"),"J.")</f>
        <v>J.</v>
      </c>
      <c r="Y50" s="3" t="str">
        <f>IFERROR(__xludf.DUMMYFUNCTION("""COMPUTED_VALUE"""),"McMillan")</f>
        <v>McMillan</v>
      </c>
      <c r="AA50" s="8">
        <v>0.0</v>
      </c>
      <c r="AB50" s="3">
        <f t="shared" si="7"/>
        <v>0</v>
      </c>
      <c r="AC50" s="3">
        <f t="shared" si="8"/>
        <v>1</v>
      </c>
      <c r="AD50" s="3">
        <f t="shared" si="9"/>
        <v>0.9009009009</v>
      </c>
      <c r="AE50" s="3">
        <f t="shared" si="10"/>
        <v>0.9009009009</v>
      </c>
      <c r="AF50" s="3">
        <f t="shared" si="11"/>
        <v>1.801801802</v>
      </c>
      <c r="AG50" s="3">
        <f t="shared" si="12"/>
        <v>1</v>
      </c>
    </row>
    <row r="51">
      <c r="A51" s="1" t="s">
        <v>15</v>
      </c>
      <c r="B51" s="1" t="s">
        <v>253</v>
      </c>
      <c r="C51" s="1" t="s">
        <v>21</v>
      </c>
      <c r="D51" s="1" t="s">
        <v>113</v>
      </c>
      <c r="E51" s="1" t="s">
        <v>164</v>
      </c>
      <c r="F51" s="1" t="s">
        <v>670</v>
      </c>
      <c r="G51" s="1">
        <v>23.5</v>
      </c>
      <c r="H51" s="1" t="s">
        <v>60</v>
      </c>
      <c r="I51" s="1">
        <v>-118.0</v>
      </c>
      <c r="J51" s="1">
        <v>0.0115614678899081</v>
      </c>
      <c r="K51" s="1" t="s">
        <v>61</v>
      </c>
      <c r="L51" s="1" t="s">
        <v>61</v>
      </c>
      <c r="M51" s="1" t="s">
        <v>62</v>
      </c>
      <c r="N51" s="1">
        <v>-112.0</v>
      </c>
      <c r="O51" s="1">
        <v>-0.0811547169811321</v>
      </c>
      <c r="P51" s="1" t="s">
        <v>61</v>
      </c>
      <c r="Q51" s="1" t="s">
        <v>61</v>
      </c>
      <c r="R51" s="1">
        <f t="shared" si="1"/>
        <v>0.01156146789</v>
      </c>
      <c r="S51" s="1">
        <f t="shared" si="2"/>
        <v>-118</v>
      </c>
      <c r="T51" s="1">
        <f t="shared" si="3"/>
        <v>1.847457627</v>
      </c>
      <c r="U51" s="1">
        <f t="shared" si="4"/>
        <v>1</v>
      </c>
      <c r="V51" s="3">
        <f t="shared" si="5"/>
        <v>1</v>
      </c>
      <c r="W51" s="3">
        <f t="shared" si="6"/>
        <v>3</v>
      </c>
      <c r="X51" s="3" t="str">
        <f>IFERROR(__xludf.DUMMYFUNCTION("split(B51,"" "")"),"B.")</f>
        <v>B.</v>
      </c>
      <c r="Y51" s="3" t="str">
        <f>IFERROR(__xludf.DUMMYFUNCTION("""COMPUTED_VALUE"""),"Mayfield")</f>
        <v>Mayfield</v>
      </c>
      <c r="AA51" s="8">
        <v>18.0</v>
      </c>
      <c r="AB51" s="3">
        <f t="shared" si="7"/>
        <v>0</v>
      </c>
      <c r="AC51" s="3">
        <f t="shared" si="8"/>
        <v>0</v>
      </c>
      <c r="AD51" s="3">
        <f t="shared" si="9"/>
        <v>0.8474576271</v>
      </c>
      <c r="AE51" s="3">
        <f t="shared" si="10"/>
        <v>-1</v>
      </c>
      <c r="AF51" s="3">
        <f t="shared" si="11"/>
        <v>-3</v>
      </c>
      <c r="AG51" s="3">
        <f t="shared" si="12"/>
        <v>-0.2340425532</v>
      </c>
    </row>
    <row r="52">
      <c r="A52" s="1" t="s">
        <v>11</v>
      </c>
      <c r="B52" s="1" t="s">
        <v>307</v>
      </c>
      <c r="C52" s="1" t="s">
        <v>18</v>
      </c>
      <c r="D52" s="1" t="s">
        <v>113</v>
      </c>
      <c r="E52" s="1" t="s">
        <v>164</v>
      </c>
      <c r="F52" s="1" t="s">
        <v>670</v>
      </c>
      <c r="G52" s="1">
        <v>31.5</v>
      </c>
      <c r="H52" s="1" t="s">
        <v>60</v>
      </c>
      <c r="I52" s="1">
        <v>-108.0</v>
      </c>
      <c r="J52" s="1">
        <v>0.0099752398821632</v>
      </c>
      <c r="K52" s="1" t="s">
        <v>61</v>
      </c>
      <c r="L52" s="1" t="s">
        <v>61</v>
      </c>
      <c r="M52" s="1" t="s">
        <v>62</v>
      </c>
      <c r="N52" s="1">
        <v>-125.0</v>
      </c>
      <c r="O52" s="1">
        <v>-0.0847633037193886</v>
      </c>
      <c r="P52" s="1" t="s">
        <v>61</v>
      </c>
      <c r="Q52" s="1" t="s">
        <v>61</v>
      </c>
      <c r="R52" s="1">
        <f t="shared" si="1"/>
        <v>0.009975239882</v>
      </c>
      <c r="S52" s="1">
        <f t="shared" si="2"/>
        <v>-108</v>
      </c>
      <c r="T52" s="1">
        <f t="shared" si="3"/>
        <v>1.925925926</v>
      </c>
      <c r="U52" s="1">
        <f t="shared" si="4"/>
        <v>1</v>
      </c>
      <c r="V52" s="3">
        <f t="shared" si="5"/>
        <v>1</v>
      </c>
      <c r="W52" s="3">
        <f t="shared" si="6"/>
        <v>2</v>
      </c>
      <c r="X52" s="3" t="str">
        <f>IFERROR(__xludf.DUMMYFUNCTION("split(B52,"" "")"),"J.")</f>
        <v>J.</v>
      </c>
      <c r="Y52" s="3" t="str">
        <f>IFERROR(__xludf.DUMMYFUNCTION("""COMPUTED_VALUE"""),"McMillan")</f>
        <v>McMillan</v>
      </c>
      <c r="AA52" s="8">
        <v>0.0</v>
      </c>
      <c r="AB52" s="3">
        <f t="shared" si="7"/>
        <v>0</v>
      </c>
      <c r="AC52" s="3">
        <f t="shared" si="8"/>
        <v>0</v>
      </c>
      <c r="AD52" s="3">
        <f t="shared" si="9"/>
        <v>0.9259259259</v>
      </c>
      <c r="AE52" s="3">
        <f t="shared" si="10"/>
        <v>-1</v>
      </c>
      <c r="AF52" s="3">
        <f t="shared" si="11"/>
        <v>-2</v>
      </c>
      <c r="AG52" s="3">
        <f t="shared" si="12"/>
        <v>-1</v>
      </c>
    </row>
    <row r="53">
      <c r="A53" s="1" t="s">
        <v>9</v>
      </c>
      <c r="B53" s="1" t="s">
        <v>645</v>
      </c>
      <c r="C53" s="1" t="s">
        <v>18</v>
      </c>
      <c r="D53" s="1" t="s">
        <v>113</v>
      </c>
      <c r="E53" s="1" t="s">
        <v>164</v>
      </c>
      <c r="F53" s="1" t="s">
        <v>670</v>
      </c>
      <c r="G53" s="1">
        <v>35.5</v>
      </c>
      <c r="H53" s="1" t="s">
        <v>60</v>
      </c>
      <c r="I53" s="1">
        <v>-115.0</v>
      </c>
      <c r="J53" s="1">
        <v>0.033557850849831</v>
      </c>
      <c r="K53" s="1" t="s">
        <v>61</v>
      </c>
      <c r="L53" s="1" t="s">
        <v>61</v>
      </c>
      <c r="M53" s="1" t="s">
        <v>62</v>
      </c>
      <c r="N53" s="1">
        <v>-117.0</v>
      </c>
      <c r="O53" s="1">
        <v>-0.10758685429159</v>
      </c>
      <c r="P53" s="1" t="s">
        <v>61</v>
      </c>
      <c r="Q53" s="1" t="s">
        <v>61</v>
      </c>
      <c r="R53" s="1">
        <f t="shared" si="1"/>
        <v>0.03355785085</v>
      </c>
      <c r="S53" s="1">
        <f t="shared" si="2"/>
        <v>-115</v>
      </c>
      <c r="T53" s="1">
        <f t="shared" si="3"/>
        <v>1.869565217</v>
      </c>
      <c r="U53" s="1">
        <f t="shared" si="4"/>
        <v>1</v>
      </c>
      <c r="V53" s="3">
        <f t="shared" si="5"/>
        <v>1</v>
      </c>
      <c r="W53" s="3">
        <f t="shared" si="6"/>
        <v>2</v>
      </c>
      <c r="X53" s="3" t="str">
        <f>IFERROR(__xludf.DUMMYFUNCTION("split(B53,"" "")"),"S.")</f>
        <v>S.</v>
      </c>
      <c r="Y53" s="3" t="str">
        <f>IFERROR(__xludf.DUMMYFUNCTION("""COMPUTED_VALUE"""),"Shepard")</f>
        <v>Shepard</v>
      </c>
      <c r="AA53" s="8">
        <v>10.0</v>
      </c>
      <c r="AB53" s="3">
        <f t="shared" si="7"/>
        <v>0</v>
      </c>
      <c r="AC53" s="3">
        <f t="shared" si="8"/>
        <v>0</v>
      </c>
      <c r="AD53" s="3">
        <f t="shared" si="9"/>
        <v>0.8695652174</v>
      </c>
      <c r="AE53" s="3">
        <f t="shared" si="10"/>
        <v>-1</v>
      </c>
      <c r="AF53" s="3">
        <f t="shared" si="11"/>
        <v>-2</v>
      </c>
      <c r="AG53" s="3">
        <f t="shared" si="12"/>
        <v>-0.7183098592</v>
      </c>
    </row>
    <row r="54">
      <c r="A54" s="1" t="s">
        <v>9</v>
      </c>
      <c r="B54" s="1" t="s">
        <v>307</v>
      </c>
      <c r="C54" s="1" t="s">
        <v>18</v>
      </c>
      <c r="D54" s="1" t="s">
        <v>113</v>
      </c>
      <c r="E54" s="1" t="s">
        <v>164</v>
      </c>
      <c r="F54" s="1" t="s">
        <v>670</v>
      </c>
      <c r="G54" s="1">
        <v>34.5</v>
      </c>
      <c r="H54" s="1" t="s">
        <v>60</v>
      </c>
      <c r="I54" s="1">
        <v>-119.0</v>
      </c>
      <c r="J54" s="1">
        <v>0.0617705524216596</v>
      </c>
      <c r="K54" s="1" t="s">
        <v>61</v>
      </c>
      <c r="L54" s="1" t="s">
        <v>61</v>
      </c>
      <c r="M54" s="1" t="s">
        <v>62</v>
      </c>
      <c r="N54" s="1">
        <v>-114.0</v>
      </c>
      <c r="O54" s="1">
        <v>-0.137834757558838</v>
      </c>
      <c r="P54" s="1" t="s">
        <v>61</v>
      </c>
      <c r="Q54" s="1" t="s">
        <v>61</v>
      </c>
      <c r="R54" s="1">
        <f t="shared" si="1"/>
        <v>0.06177055242</v>
      </c>
      <c r="S54" s="1">
        <f t="shared" si="2"/>
        <v>-119</v>
      </c>
      <c r="T54" s="1">
        <f t="shared" si="3"/>
        <v>1.840336134</v>
      </c>
      <c r="U54" s="1">
        <f t="shared" si="4"/>
        <v>1</v>
      </c>
      <c r="V54" s="3">
        <f t="shared" si="5"/>
        <v>2</v>
      </c>
      <c r="W54" s="3">
        <f t="shared" si="6"/>
        <v>3</v>
      </c>
      <c r="X54" s="3" t="str">
        <f>IFERROR(__xludf.DUMMYFUNCTION("split(B54,"" "")"),"J.")</f>
        <v>J.</v>
      </c>
      <c r="Y54" s="3" t="str">
        <f>IFERROR(__xludf.DUMMYFUNCTION("""COMPUTED_VALUE"""),"McMillan")</f>
        <v>McMillan</v>
      </c>
      <c r="AA54" s="8">
        <v>0.0</v>
      </c>
      <c r="AB54" s="3">
        <f t="shared" si="7"/>
        <v>0</v>
      </c>
      <c r="AC54" s="3">
        <f t="shared" si="8"/>
        <v>0</v>
      </c>
      <c r="AD54" s="3">
        <f t="shared" si="9"/>
        <v>1.680672269</v>
      </c>
      <c r="AE54" s="3">
        <f t="shared" si="10"/>
        <v>-2</v>
      </c>
      <c r="AF54" s="3">
        <f t="shared" si="11"/>
        <v>-3</v>
      </c>
      <c r="AG54" s="3">
        <f t="shared" si="12"/>
        <v>-1</v>
      </c>
    </row>
    <row r="55">
      <c r="A55" s="1" t="s">
        <v>9</v>
      </c>
      <c r="B55" s="1" t="s">
        <v>673</v>
      </c>
      <c r="C55" s="1" t="s">
        <v>18</v>
      </c>
      <c r="D55" s="1" t="s">
        <v>113</v>
      </c>
      <c r="E55" s="1" t="s">
        <v>164</v>
      </c>
      <c r="F55" s="1" t="s">
        <v>670</v>
      </c>
      <c r="G55" s="1">
        <v>23.5</v>
      </c>
      <c r="H55" s="1" t="s">
        <v>60</v>
      </c>
      <c r="I55" s="1">
        <v>-118.0</v>
      </c>
      <c r="J55" s="1">
        <v>0.0807865097858484</v>
      </c>
      <c r="K55" s="1" t="s">
        <v>61</v>
      </c>
      <c r="L55" s="1" t="s">
        <v>61</v>
      </c>
      <c r="M55" s="1" t="s">
        <v>62</v>
      </c>
      <c r="N55" s="1">
        <v>-115.0</v>
      </c>
      <c r="O55" s="1">
        <v>-0.15689999071308</v>
      </c>
      <c r="P55" s="1" t="s">
        <v>61</v>
      </c>
      <c r="Q55" s="1" t="s">
        <v>61</v>
      </c>
      <c r="R55" s="1">
        <f t="shared" si="1"/>
        <v>0.08078650979</v>
      </c>
      <c r="S55" s="1">
        <f t="shared" si="2"/>
        <v>-118</v>
      </c>
      <c r="T55" s="1">
        <f t="shared" si="3"/>
        <v>1.847457627</v>
      </c>
      <c r="U55" s="1">
        <f t="shared" si="4"/>
        <v>1</v>
      </c>
      <c r="V55" s="3">
        <f t="shared" si="5"/>
        <v>2</v>
      </c>
      <c r="W55" s="3">
        <f t="shared" si="6"/>
        <v>3</v>
      </c>
      <c r="X55" s="3" t="str">
        <f>IFERROR(__xludf.DUMMYFUNCTION("split(B55,"" "")"),"R.")</f>
        <v>R.</v>
      </c>
      <c r="Y55" s="3" t="str">
        <f>IFERROR(__xludf.DUMMYFUNCTION("""COMPUTED_VALUE"""),"Jarrett")</f>
        <v>Jarrett</v>
      </c>
      <c r="AA55" s="8">
        <v>10.0</v>
      </c>
      <c r="AB55" s="3">
        <f t="shared" si="7"/>
        <v>0</v>
      </c>
      <c r="AC55" s="3">
        <f t="shared" si="8"/>
        <v>0</v>
      </c>
      <c r="AD55" s="3">
        <f t="shared" si="9"/>
        <v>1.694915254</v>
      </c>
      <c r="AE55" s="3">
        <f t="shared" si="10"/>
        <v>-2</v>
      </c>
      <c r="AF55" s="3">
        <f t="shared" si="11"/>
        <v>-3</v>
      </c>
      <c r="AG55" s="3">
        <f t="shared" si="12"/>
        <v>-0.5744680851</v>
      </c>
    </row>
    <row r="56">
      <c r="A56" s="1" t="s">
        <v>9</v>
      </c>
      <c r="B56" s="1" t="s">
        <v>672</v>
      </c>
      <c r="C56" s="1" t="s">
        <v>18</v>
      </c>
      <c r="D56" s="1" t="s">
        <v>113</v>
      </c>
      <c r="E56" s="1" t="s">
        <v>164</v>
      </c>
      <c r="F56" s="1" t="s">
        <v>670</v>
      </c>
      <c r="G56" s="1">
        <v>11.5</v>
      </c>
      <c r="H56" s="1" t="s">
        <v>60</v>
      </c>
      <c r="I56" s="1">
        <v>-111.0</v>
      </c>
      <c r="J56" s="1">
        <v>0.165242871390665</v>
      </c>
      <c r="K56" s="1" t="s">
        <v>61</v>
      </c>
      <c r="L56" s="1" t="s">
        <v>61</v>
      </c>
      <c r="M56" s="1" t="s">
        <v>62</v>
      </c>
      <c r="N56" s="1">
        <v>-122.0</v>
      </c>
      <c r="O56" s="1">
        <v>-0.240876197988221</v>
      </c>
      <c r="P56" s="1" t="s">
        <v>61</v>
      </c>
      <c r="Q56" s="1" t="s">
        <v>61</v>
      </c>
      <c r="R56" s="1">
        <f t="shared" si="1"/>
        <v>0.1652428714</v>
      </c>
      <c r="S56" s="1">
        <f t="shared" si="2"/>
        <v>-111</v>
      </c>
      <c r="T56" s="1">
        <f t="shared" si="3"/>
        <v>1.900900901</v>
      </c>
      <c r="U56" s="1">
        <f t="shared" si="4"/>
        <v>1</v>
      </c>
      <c r="V56" s="3">
        <f t="shared" si="5"/>
        <v>3</v>
      </c>
      <c r="W56" s="3">
        <f t="shared" si="6"/>
        <v>2</v>
      </c>
      <c r="X56" s="3" t="str">
        <f>IFERROR(__xludf.DUMMYFUNCTION("split(B56,"" "")"),"R.")</f>
        <v>R.</v>
      </c>
      <c r="Y56" s="3" t="str">
        <f>IFERROR(__xludf.DUMMYFUNCTION("""COMPUTED_VALUE"""),"Miller")</f>
        <v>Miller</v>
      </c>
      <c r="AA56" s="8">
        <v>11.0</v>
      </c>
      <c r="AB56" s="3">
        <f t="shared" si="7"/>
        <v>0</v>
      </c>
      <c r="AC56" s="3">
        <f t="shared" si="8"/>
        <v>0</v>
      </c>
      <c r="AD56" s="3">
        <f t="shared" si="9"/>
        <v>2.702702703</v>
      </c>
      <c r="AE56" s="3">
        <f t="shared" si="10"/>
        <v>-3</v>
      </c>
      <c r="AF56" s="3">
        <f t="shared" si="11"/>
        <v>-2</v>
      </c>
      <c r="AG56" s="3">
        <f t="shared" si="12"/>
        <v>-0.04347826087</v>
      </c>
    </row>
    <row r="57">
      <c r="A57" s="1" t="s">
        <v>9</v>
      </c>
      <c r="B57" s="1" t="s">
        <v>657</v>
      </c>
      <c r="C57" s="1" t="s">
        <v>18</v>
      </c>
      <c r="D57" s="1" t="s">
        <v>113</v>
      </c>
      <c r="E57" s="1" t="s">
        <v>164</v>
      </c>
      <c r="F57" s="1" t="s">
        <v>670</v>
      </c>
      <c r="G57" s="1">
        <v>16.5</v>
      </c>
      <c r="H57" s="1" t="s">
        <v>60</v>
      </c>
      <c r="I57" s="1">
        <v>-117.0</v>
      </c>
      <c r="J57" s="1">
        <v>0.168300554440358</v>
      </c>
      <c r="K57" s="1" t="s">
        <v>61</v>
      </c>
      <c r="L57" s="1" t="s">
        <v>61</v>
      </c>
      <c r="M57" s="1" t="s">
        <v>62</v>
      </c>
      <c r="N57" s="1">
        <v>-118.0</v>
      </c>
      <c r="O57" s="1">
        <v>-0.248698036559625</v>
      </c>
      <c r="P57" s="1" t="s">
        <v>61</v>
      </c>
      <c r="Q57" s="1" t="s">
        <v>61</v>
      </c>
      <c r="R57" s="1">
        <f t="shared" si="1"/>
        <v>0.1683005544</v>
      </c>
      <c r="S57" s="1">
        <f t="shared" si="2"/>
        <v>-117</v>
      </c>
      <c r="T57" s="1">
        <f t="shared" si="3"/>
        <v>1.854700855</v>
      </c>
      <c r="U57" s="1">
        <f t="shared" si="4"/>
        <v>1</v>
      </c>
      <c r="V57" s="3">
        <f t="shared" si="5"/>
        <v>3</v>
      </c>
      <c r="W57" s="3">
        <f t="shared" si="6"/>
        <v>2</v>
      </c>
      <c r="X57" s="3" t="str">
        <f>IFERROR(__xludf.DUMMYFUNCTION("split(B57,"" "")"),"T.")</f>
        <v>T.</v>
      </c>
      <c r="Y57" s="3" t="str">
        <f>IFERROR(__xludf.DUMMYFUNCTION("""COMPUTED_VALUE"""),"Palmer")</f>
        <v>Palmer</v>
      </c>
      <c r="AA57" s="8">
        <v>0.0</v>
      </c>
      <c r="AB57" s="3">
        <f t="shared" si="7"/>
        <v>0</v>
      </c>
      <c r="AC57" s="3">
        <f t="shared" si="8"/>
        <v>0</v>
      </c>
      <c r="AD57" s="3">
        <f t="shared" si="9"/>
        <v>2.564102564</v>
      </c>
      <c r="AE57" s="3">
        <f t="shared" si="10"/>
        <v>-3</v>
      </c>
      <c r="AF57" s="3">
        <f t="shared" si="11"/>
        <v>-2</v>
      </c>
      <c r="AG57" s="3">
        <f t="shared" si="12"/>
        <v>-1</v>
      </c>
    </row>
    <row r="58">
      <c r="A58" s="1" t="s">
        <v>10</v>
      </c>
      <c r="B58" s="1" t="s">
        <v>673</v>
      </c>
      <c r="C58" s="1" t="s">
        <v>18</v>
      </c>
      <c r="D58" s="1" t="s">
        <v>113</v>
      </c>
      <c r="E58" s="1" t="s">
        <v>164</v>
      </c>
      <c r="F58" s="1" t="s">
        <v>670</v>
      </c>
      <c r="G58" s="1">
        <v>0.5</v>
      </c>
      <c r="H58" s="1" t="s">
        <v>60</v>
      </c>
      <c r="I58" s="1">
        <v>575.0</v>
      </c>
      <c r="J58" s="1">
        <v>0.46457298050679</v>
      </c>
      <c r="K58" s="1" t="s">
        <v>61</v>
      </c>
      <c r="L58" s="1" t="s">
        <v>61</v>
      </c>
      <c r="M58" s="1" t="s">
        <v>62</v>
      </c>
      <c r="N58" s="1">
        <v>-1094.0</v>
      </c>
      <c r="O58" s="1">
        <v>-0.528932834396968</v>
      </c>
      <c r="P58" s="1" t="s">
        <v>61</v>
      </c>
      <c r="Q58" s="1" t="s">
        <v>61</v>
      </c>
      <c r="R58" s="1">
        <f t="shared" si="1"/>
        <v>0.4645729805</v>
      </c>
      <c r="S58" s="1">
        <f t="shared" si="2"/>
        <v>575</v>
      </c>
      <c r="T58" s="1">
        <f t="shared" si="3"/>
        <v>6.75</v>
      </c>
      <c r="U58" s="1">
        <f t="shared" si="4"/>
        <v>1</v>
      </c>
      <c r="V58" s="3">
        <f t="shared" si="5"/>
        <v>3</v>
      </c>
      <c r="W58" s="3">
        <f t="shared" si="6"/>
        <v>1</v>
      </c>
      <c r="X58" s="3" t="str">
        <f>IFERROR(__xludf.DUMMYFUNCTION("split(B58,"" "")"),"R.")</f>
        <v>R.</v>
      </c>
      <c r="Y58" s="3" t="str">
        <f>IFERROR(__xludf.DUMMYFUNCTION("""COMPUTED_VALUE"""),"Jarrett")</f>
        <v>Jarrett</v>
      </c>
      <c r="AA58" s="8">
        <v>0.0</v>
      </c>
      <c r="AB58" s="3">
        <f t="shared" si="7"/>
        <v>0</v>
      </c>
      <c r="AC58" s="3">
        <f t="shared" si="8"/>
        <v>0</v>
      </c>
      <c r="AD58" s="3">
        <f t="shared" si="9"/>
        <v>17.25</v>
      </c>
      <c r="AE58" s="3">
        <f t="shared" si="10"/>
        <v>0</v>
      </c>
      <c r="AF58" s="3">
        <f t="shared" si="11"/>
        <v>-1</v>
      </c>
      <c r="AG58" s="3">
        <f t="shared" si="12"/>
        <v>-1</v>
      </c>
    </row>
    <row r="59">
      <c r="A59" s="1" t="s">
        <v>8</v>
      </c>
      <c r="B59" s="1" t="s">
        <v>262</v>
      </c>
      <c r="C59" s="1" t="s">
        <v>21</v>
      </c>
      <c r="D59" s="1" t="s">
        <v>164</v>
      </c>
      <c r="E59" s="1" t="s">
        <v>113</v>
      </c>
      <c r="F59" s="1" t="s">
        <v>670</v>
      </c>
      <c r="G59" s="1">
        <v>3.5</v>
      </c>
      <c r="H59" s="1" t="s">
        <v>60</v>
      </c>
      <c r="I59" s="1">
        <v>-170.0</v>
      </c>
      <c r="J59" s="1">
        <v>-0.299025075803957</v>
      </c>
      <c r="K59" s="1" t="s">
        <v>61</v>
      </c>
      <c r="L59" s="1" t="s">
        <v>61</v>
      </c>
      <c r="M59" s="1" t="s">
        <v>62</v>
      </c>
      <c r="N59" s="1">
        <v>130.0</v>
      </c>
      <c r="O59" s="1">
        <v>0.234612045508993</v>
      </c>
      <c r="P59" s="1" t="s">
        <v>61</v>
      </c>
      <c r="Q59" s="1" t="s">
        <v>61</v>
      </c>
      <c r="R59" s="1">
        <f t="shared" si="1"/>
        <v>0.2346120455</v>
      </c>
      <c r="S59" s="1">
        <f t="shared" si="2"/>
        <v>130</v>
      </c>
      <c r="T59" s="1">
        <f t="shared" si="3"/>
        <v>2.3</v>
      </c>
      <c r="U59" s="1">
        <f t="shared" si="4"/>
        <v>0</v>
      </c>
      <c r="V59" s="3">
        <f t="shared" si="5"/>
        <v>3</v>
      </c>
      <c r="W59" s="3">
        <f t="shared" si="6"/>
        <v>1</v>
      </c>
      <c r="X59" s="3" t="str">
        <f>IFERROR(__xludf.DUMMYFUNCTION("split(B59,"" "")"),"B.")</f>
        <v>B.</v>
      </c>
      <c r="Y59" s="3" t="str">
        <f>IFERROR(__xludf.DUMMYFUNCTION("""COMPUTED_VALUE"""),"Purdy")</f>
        <v>Purdy</v>
      </c>
      <c r="AA59" s="8">
        <v>4.0</v>
      </c>
      <c r="AB59" s="3">
        <f t="shared" si="7"/>
        <v>1</v>
      </c>
      <c r="AC59" s="3">
        <f t="shared" si="8"/>
        <v>0</v>
      </c>
      <c r="AD59" s="3">
        <f t="shared" si="9"/>
        <v>3.9</v>
      </c>
      <c r="AE59" s="3">
        <f t="shared" si="10"/>
        <v>-3</v>
      </c>
      <c r="AF59" s="3">
        <f t="shared" si="11"/>
        <v>-1</v>
      </c>
      <c r="AG59" s="3">
        <f t="shared" si="12"/>
        <v>-0.1428571429</v>
      </c>
    </row>
    <row r="60">
      <c r="A60" s="1" t="s">
        <v>12</v>
      </c>
      <c r="B60" s="1" t="s">
        <v>163</v>
      </c>
      <c r="C60" s="1" t="s">
        <v>19</v>
      </c>
      <c r="D60" s="1" t="s">
        <v>164</v>
      </c>
      <c r="E60" s="1" t="s">
        <v>113</v>
      </c>
      <c r="F60" s="1" t="s">
        <v>670</v>
      </c>
      <c r="G60" s="1">
        <v>0.5</v>
      </c>
      <c r="H60" s="1" t="s">
        <v>60</v>
      </c>
      <c r="I60" s="1">
        <v>-196.0</v>
      </c>
      <c r="J60" s="1">
        <v>-0.161325371244932</v>
      </c>
      <c r="K60" s="1" t="s">
        <v>61</v>
      </c>
      <c r="L60" s="1" t="s">
        <v>61</v>
      </c>
      <c r="M60" s="1" t="s">
        <v>62</v>
      </c>
      <c r="N60" s="1">
        <v>147.0</v>
      </c>
      <c r="O60" s="1">
        <v>0.0942976108846153</v>
      </c>
      <c r="P60" s="1" t="s">
        <v>61</v>
      </c>
      <c r="Q60" s="1" t="s">
        <v>61</v>
      </c>
      <c r="R60" s="1">
        <f t="shared" si="1"/>
        <v>0.09429761088</v>
      </c>
      <c r="S60" s="1">
        <f t="shared" si="2"/>
        <v>147</v>
      </c>
      <c r="T60" s="1">
        <f t="shared" si="3"/>
        <v>2.47</v>
      </c>
      <c r="U60" s="1">
        <f t="shared" si="4"/>
        <v>0</v>
      </c>
      <c r="V60" s="3">
        <f t="shared" si="5"/>
        <v>2</v>
      </c>
      <c r="W60" s="3">
        <f t="shared" si="6"/>
        <v>1</v>
      </c>
      <c r="X60" s="3" t="str">
        <f>IFERROR(__xludf.DUMMYFUNCTION("split(B60,"" "")"),"K.")</f>
        <v>K.</v>
      </c>
      <c r="Y60" s="3" t="str">
        <f>IFERROR(__xludf.DUMMYFUNCTION("""COMPUTED_VALUE"""),"Juszczyk")</f>
        <v>Juszczyk</v>
      </c>
      <c r="AA60" s="8">
        <v>0.0</v>
      </c>
      <c r="AB60" s="3">
        <f t="shared" si="7"/>
        <v>0</v>
      </c>
      <c r="AC60" s="3">
        <f t="shared" si="8"/>
        <v>1</v>
      </c>
      <c r="AD60" s="3">
        <f t="shared" si="9"/>
        <v>2.94</v>
      </c>
      <c r="AE60" s="3">
        <f t="shared" si="10"/>
        <v>2.94</v>
      </c>
      <c r="AF60" s="3">
        <f t="shared" si="11"/>
        <v>1.47</v>
      </c>
      <c r="AG60" s="3">
        <f t="shared" si="12"/>
        <v>1</v>
      </c>
    </row>
    <row r="61">
      <c r="A61" s="1" t="s">
        <v>14</v>
      </c>
      <c r="B61" s="1" t="s">
        <v>262</v>
      </c>
      <c r="C61" s="1" t="s">
        <v>21</v>
      </c>
      <c r="D61" s="1" t="s">
        <v>164</v>
      </c>
      <c r="E61" s="1" t="s">
        <v>113</v>
      </c>
      <c r="F61" s="1" t="s">
        <v>670</v>
      </c>
      <c r="G61" s="1">
        <v>1.5</v>
      </c>
      <c r="H61" s="1" t="s">
        <v>60</v>
      </c>
      <c r="I61" s="1">
        <v>-148.0</v>
      </c>
      <c r="J61" s="1">
        <v>-0.131233870967742</v>
      </c>
      <c r="K61" s="1" t="s">
        <v>61</v>
      </c>
      <c r="L61" s="1" t="s">
        <v>61</v>
      </c>
      <c r="M61" s="1" t="s">
        <v>62</v>
      </c>
      <c r="N61" s="1">
        <v>113.0</v>
      </c>
      <c r="O61" s="1">
        <v>0.064969483568075</v>
      </c>
      <c r="P61" s="1" t="s">
        <v>61</v>
      </c>
      <c r="Q61" s="1" t="s">
        <v>61</v>
      </c>
      <c r="R61" s="1">
        <f t="shared" si="1"/>
        <v>0.06496948357</v>
      </c>
      <c r="S61" s="1">
        <f t="shared" si="2"/>
        <v>113</v>
      </c>
      <c r="T61" s="1">
        <f t="shared" si="3"/>
        <v>2.13</v>
      </c>
      <c r="U61" s="1">
        <f t="shared" si="4"/>
        <v>0</v>
      </c>
      <c r="V61" s="3">
        <f t="shared" si="5"/>
        <v>2</v>
      </c>
      <c r="W61" s="3">
        <f t="shared" si="6"/>
        <v>1</v>
      </c>
      <c r="X61" s="3" t="str">
        <f>IFERROR(__xludf.DUMMYFUNCTION("split(B61,"" "")"),"B.")</f>
        <v>B.</v>
      </c>
      <c r="Y61" s="3" t="str">
        <f>IFERROR(__xludf.DUMMYFUNCTION("""COMPUTED_VALUE"""),"Purdy")</f>
        <v>Purdy</v>
      </c>
      <c r="AA61" s="8">
        <v>2.0</v>
      </c>
      <c r="AB61" s="3">
        <f t="shared" si="7"/>
        <v>1</v>
      </c>
      <c r="AC61" s="3">
        <f t="shared" si="8"/>
        <v>0</v>
      </c>
      <c r="AD61" s="3">
        <f t="shared" si="9"/>
        <v>2.26</v>
      </c>
      <c r="AE61" s="3">
        <f t="shared" si="10"/>
        <v>-2</v>
      </c>
      <c r="AF61" s="3">
        <f t="shared" si="11"/>
        <v>-1</v>
      </c>
      <c r="AG61" s="3">
        <f t="shared" si="12"/>
        <v>-0.3333333333</v>
      </c>
    </row>
    <row r="62">
      <c r="A62" s="1" t="s">
        <v>10</v>
      </c>
      <c r="B62" s="1" t="s">
        <v>262</v>
      </c>
      <c r="C62" s="1" t="s">
        <v>21</v>
      </c>
      <c r="D62" s="1" t="s">
        <v>164</v>
      </c>
      <c r="E62" s="1" t="s">
        <v>113</v>
      </c>
      <c r="F62" s="1" t="s">
        <v>670</v>
      </c>
      <c r="G62" s="1">
        <v>14.5</v>
      </c>
      <c r="H62" s="1" t="s">
        <v>60</v>
      </c>
      <c r="I62" s="1">
        <v>-117.0</v>
      </c>
      <c r="J62" s="1">
        <v>-0.104308335180446</v>
      </c>
      <c r="K62" s="1" t="s">
        <v>61</v>
      </c>
      <c r="L62" s="1" t="s">
        <v>61</v>
      </c>
      <c r="M62" s="1" t="s">
        <v>62</v>
      </c>
      <c r="N62" s="1">
        <v>-110.0</v>
      </c>
      <c r="O62" s="1">
        <v>0.0413334743217742</v>
      </c>
      <c r="P62" s="1" t="s">
        <v>61</v>
      </c>
      <c r="Q62" s="1" t="s">
        <v>61</v>
      </c>
      <c r="R62" s="1">
        <f t="shared" si="1"/>
        <v>0.04133347432</v>
      </c>
      <c r="S62" s="1">
        <f t="shared" si="2"/>
        <v>-110</v>
      </c>
      <c r="T62" s="1">
        <f t="shared" si="3"/>
        <v>1.909090909</v>
      </c>
      <c r="U62" s="1">
        <f t="shared" si="4"/>
        <v>0</v>
      </c>
      <c r="V62" s="3">
        <f t="shared" si="5"/>
        <v>1</v>
      </c>
      <c r="W62" s="3">
        <f t="shared" si="6"/>
        <v>2</v>
      </c>
      <c r="X62" s="3" t="str">
        <f>IFERROR(__xludf.DUMMYFUNCTION("split(B62,"" "")"),"B.")</f>
        <v>B.</v>
      </c>
      <c r="Y62" s="3" t="str">
        <f>IFERROR(__xludf.DUMMYFUNCTION("""COMPUTED_VALUE"""),"Purdy")</f>
        <v>Purdy</v>
      </c>
      <c r="AA62" s="8">
        <v>17.0</v>
      </c>
      <c r="AB62" s="3">
        <f t="shared" si="7"/>
        <v>1</v>
      </c>
      <c r="AC62" s="3">
        <f t="shared" si="8"/>
        <v>0</v>
      </c>
      <c r="AD62" s="3">
        <f t="shared" si="9"/>
        <v>0.9090909091</v>
      </c>
      <c r="AE62" s="3">
        <f t="shared" si="10"/>
        <v>-1</v>
      </c>
      <c r="AF62" s="3">
        <f t="shared" si="11"/>
        <v>-2</v>
      </c>
      <c r="AG62" s="3">
        <f t="shared" si="12"/>
        <v>-0.1724137931</v>
      </c>
    </row>
    <row r="63">
      <c r="A63" s="1" t="s">
        <v>12</v>
      </c>
      <c r="B63" s="1" t="s">
        <v>285</v>
      </c>
      <c r="C63" s="1" t="s">
        <v>18</v>
      </c>
      <c r="D63" s="1" t="s">
        <v>164</v>
      </c>
      <c r="E63" s="1" t="s">
        <v>113</v>
      </c>
      <c r="F63" s="1" t="s">
        <v>670</v>
      </c>
      <c r="G63" s="1">
        <v>3.5</v>
      </c>
      <c r="H63" s="1" t="s">
        <v>60</v>
      </c>
      <c r="I63" s="1">
        <v>-110.0</v>
      </c>
      <c r="J63" s="1">
        <v>-0.107009523809523</v>
      </c>
      <c r="K63" s="1" t="s">
        <v>61</v>
      </c>
      <c r="L63" s="1" t="s">
        <v>61</v>
      </c>
      <c r="M63" s="1" t="s">
        <v>62</v>
      </c>
      <c r="N63" s="1">
        <v>-120.0</v>
      </c>
      <c r="O63" s="1">
        <v>0.0377454545454546</v>
      </c>
      <c r="P63" s="1" t="s">
        <v>61</v>
      </c>
      <c r="Q63" s="1" t="s">
        <v>61</v>
      </c>
      <c r="R63" s="1">
        <f t="shared" si="1"/>
        <v>0.03774545455</v>
      </c>
      <c r="S63" s="1">
        <f t="shared" si="2"/>
        <v>-120</v>
      </c>
      <c r="T63" s="1">
        <f t="shared" si="3"/>
        <v>1.833333333</v>
      </c>
      <c r="U63" s="1">
        <f t="shared" si="4"/>
        <v>0</v>
      </c>
      <c r="V63" s="3">
        <f t="shared" si="5"/>
        <v>1</v>
      </c>
      <c r="W63" s="3">
        <f t="shared" si="6"/>
        <v>3</v>
      </c>
      <c r="X63" s="3" t="str">
        <f>IFERROR(__xludf.DUMMYFUNCTION("split(B63,"" "")"),"J.")</f>
        <v>J.</v>
      </c>
      <c r="Y63" s="3" t="str">
        <f>IFERROR(__xludf.DUMMYFUNCTION("""COMPUTED_VALUE"""),"Jennings")</f>
        <v>Jennings</v>
      </c>
      <c r="AA63" s="8">
        <v>7.0</v>
      </c>
      <c r="AB63" s="3">
        <f t="shared" si="7"/>
        <v>1</v>
      </c>
      <c r="AC63" s="3">
        <f t="shared" si="8"/>
        <v>0</v>
      </c>
      <c r="AD63" s="3">
        <f t="shared" si="9"/>
        <v>0.8333333333</v>
      </c>
      <c r="AE63" s="3">
        <f t="shared" si="10"/>
        <v>-1</v>
      </c>
      <c r="AF63" s="3">
        <f t="shared" si="11"/>
        <v>-3</v>
      </c>
      <c r="AG63" s="3">
        <f t="shared" si="12"/>
        <v>-1</v>
      </c>
    </row>
    <row r="64">
      <c r="A64" s="1" t="s">
        <v>10</v>
      </c>
      <c r="B64" s="1" t="s">
        <v>497</v>
      </c>
      <c r="C64" s="1" t="s">
        <v>19</v>
      </c>
      <c r="D64" s="1" t="s">
        <v>164</v>
      </c>
      <c r="E64" s="1" t="s">
        <v>113</v>
      </c>
      <c r="F64" s="1" t="s">
        <v>670</v>
      </c>
      <c r="G64" s="1">
        <v>20.5</v>
      </c>
      <c r="H64" s="1" t="s">
        <v>60</v>
      </c>
      <c r="I64" s="1">
        <v>-111.0</v>
      </c>
      <c r="J64" s="1">
        <v>-0.0864772982859692</v>
      </c>
      <c r="K64" s="1" t="s">
        <v>61</v>
      </c>
      <c r="L64" s="1" t="s">
        <v>61</v>
      </c>
      <c r="M64" s="1" t="s">
        <v>62</v>
      </c>
      <c r="N64" s="1">
        <v>-114.0</v>
      </c>
      <c r="O64" s="1">
        <v>0.0277392305126498</v>
      </c>
      <c r="P64" s="1" t="s">
        <v>61</v>
      </c>
      <c r="Q64" s="1" t="s">
        <v>61</v>
      </c>
      <c r="R64" s="1">
        <f t="shared" si="1"/>
        <v>0.02773923051</v>
      </c>
      <c r="S64" s="1">
        <f t="shared" si="2"/>
        <v>-114</v>
      </c>
      <c r="T64" s="1">
        <f t="shared" si="3"/>
        <v>1.877192982</v>
      </c>
      <c r="U64" s="1">
        <f t="shared" si="4"/>
        <v>0</v>
      </c>
      <c r="V64" s="3">
        <f t="shared" si="5"/>
        <v>1</v>
      </c>
      <c r="W64" s="3">
        <f t="shared" si="6"/>
        <v>2</v>
      </c>
      <c r="X64" s="3" t="str">
        <f>IFERROR(__xludf.DUMMYFUNCTION("split(B64,"" "")"),"J.")</f>
        <v>J.</v>
      </c>
      <c r="Y64" s="3" t="str">
        <f>IFERROR(__xludf.DUMMYFUNCTION("""COMPUTED_VALUE"""),"Mason")</f>
        <v>Mason</v>
      </c>
      <c r="AA64" s="8">
        <v>5.0</v>
      </c>
      <c r="AB64" s="3">
        <f t="shared" si="7"/>
        <v>0</v>
      </c>
      <c r="AC64" s="3">
        <f t="shared" si="8"/>
        <v>1</v>
      </c>
      <c r="AD64" s="3">
        <f t="shared" si="9"/>
        <v>0.8771929825</v>
      </c>
      <c r="AE64" s="3">
        <f t="shared" si="10"/>
        <v>0.8771929825</v>
      </c>
      <c r="AF64" s="3">
        <f t="shared" si="11"/>
        <v>1.754385965</v>
      </c>
      <c r="AG64" s="3">
        <f t="shared" si="12"/>
        <v>0.756097561</v>
      </c>
    </row>
    <row r="65">
      <c r="A65" s="1" t="s">
        <v>12</v>
      </c>
      <c r="B65" s="1" t="s">
        <v>639</v>
      </c>
      <c r="C65" s="1" t="s">
        <v>18</v>
      </c>
      <c r="D65" s="1" t="s">
        <v>164</v>
      </c>
      <c r="E65" s="1" t="s">
        <v>113</v>
      </c>
      <c r="F65" s="1" t="s">
        <v>670</v>
      </c>
      <c r="G65" s="1">
        <v>2.5</v>
      </c>
      <c r="H65" s="1" t="s">
        <v>60</v>
      </c>
      <c r="I65" s="1">
        <v>121.0</v>
      </c>
      <c r="J65" s="1">
        <v>-0.0923410290429864</v>
      </c>
      <c r="K65" s="1" t="s">
        <v>61</v>
      </c>
      <c r="L65" s="1" t="s">
        <v>61</v>
      </c>
      <c r="M65" s="1" t="s">
        <v>62</v>
      </c>
      <c r="N65" s="1">
        <v>-158.0</v>
      </c>
      <c r="O65" s="1">
        <v>0.0274554440426357</v>
      </c>
      <c r="P65" s="1" t="s">
        <v>61</v>
      </c>
      <c r="Q65" s="1" t="s">
        <v>61</v>
      </c>
      <c r="R65" s="1">
        <f t="shared" si="1"/>
        <v>0.02745544404</v>
      </c>
      <c r="S65" s="1">
        <f t="shared" si="2"/>
        <v>-158</v>
      </c>
      <c r="T65" s="1">
        <f t="shared" si="3"/>
        <v>1.632911392</v>
      </c>
      <c r="U65" s="1">
        <f t="shared" si="4"/>
        <v>0</v>
      </c>
      <c r="V65" s="3">
        <f t="shared" si="5"/>
        <v>1</v>
      </c>
      <c r="W65" s="3">
        <f t="shared" si="6"/>
        <v>3</v>
      </c>
      <c r="X65" s="3" t="str">
        <f>IFERROR(__xludf.DUMMYFUNCTION("split(B65,"" "")"),"R.")</f>
        <v>R.</v>
      </c>
      <c r="Y65" s="3" t="str">
        <f>IFERROR(__xludf.DUMMYFUNCTION("""COMPUTED_VALUE"""),"Pearsall")</f>
        <v>Pearsall</v>
      </c>
      <c r="AA65" s="8">
        <v>4.0</v>
      </c>
      <c r="AB65" s="3">
        <f t="shared" si="7"/>
        <v>1</v>
      </c>
      <c r="AC65" s="3">
        <f t="shared" si="8"/>
        <v>0</v>
      </c>
      <c r="AD65" s="3">
        <f t="shared" si="9"/>
        <v>0.6329113924</v>
      </c>
      <c r="AE65" s="3">
        <f t="shared" si="10"/>
        <v>-1</v>
      </c>
      <c r="AF65" s="3">
        <f t="shared" si="11"/>
        <v>-3</v>
      </c>
      <c r="AG65" s="3">
        <f t="shared" si="12"/>
        <v>-0.6</v>
      </c>
    </row>
    <row r="66">
      <c r="A66" s="1" t="s">
        <v>12</v>
      </c>
      <c r="B66" s="1" t="s">
        <v>332</v>
      </c>
      <c r="C66" s="1" t="s">
        <v>20</v>
      </c>
      <c r="D66" s="1" t="s">
        <v>164</v>
      </c>
      <c r="E66" s="1" t="s">
        <v>113</v>
      </c>
      <c r="F66" s="1" t="s">
        <v>670</v>
      </c>
      <c r="G66" s="1">
        <v>4.5</v>
      </c>
      <c r="H66" s="1" t="s">
        <v>60</v>
      </c>
      <c r="I66" s="1">
        <v>-137.0</v>
      </c>
      <c r="J66" s="1">
        <v>-0.0941168776371308</v>
      </c>
      <c r="K66" s="1" t="s">
        <v>61</v>
      </c>
      <c r="L66" s="1" t="s">
        <v>61</v>
      </c>
      <c r="M66" s="1" t="s">
        <v>62</v>
      </c>
      <c r="N66" s="1">
        <v>104.0</v>
      </c>
      <c r="O66" s="1">
        <v>0.0258549019607843</v>
      </c>
      <c r="P66" s="1" t="s">
        <v>61</v>
      </c>
      <c r="Q66" s="1" t="s">
        <v>61</v>
      </c>
      <c r="R66" s="1">
        <f t="shared" si="1"/>
        <v>0.02585490196</v>
      </c>
      <c r="S66" s="1">
        <f t="shared" si="2"/>
        <v>104</v>
      </c>
      <c r="T66" s="1">
        <f t="shared" si="3"/>
        <v>2.04</v>
      </c>
      <c r="U66" s="1">
        <f t="shared" si="4"/>
        <v>0</v>
      </c>
      <c r="V66" s="3">
        <f t="shared" si="5"/>
        <v>1</v>
      </c>
      <c r="W66" s="3">
        <f t="shared" si="6"/>
        <v>2</v>
      </c>
      <c r="X66" s="3" t="str">
        <f>IFERROR(__xludf.DUMMYFUNCTION("split(B66,"" "")"),"G.")</f>
        <v>G.</v>
      </c>
      <c r="Y66" s="3" t="str">
        <f>IFERROR(__xludf.DUMMYFUNCTION("""COMPUTED_VALUE"""),"Kittle")</f>
        <v>Kittle</v>
      </c>
      <c r="AA66" s="8">
        <v>3.0</v>
      </c>
      <c r="AB66" s="3">
        <f t="shared" si="7"/>
        <v>0</v>
      </c>
      <c r="AC66" s="3">
        <f t="shared" si="8"/>
        <v>1</v>
      </c>
      <c r="AD66" s="3">
        <f t="shared" si="9"/>
        <v>1.04</v>
      </c>
      <c r="AE66" s="3">
        <f t="shared" si="10"/>
        <v>1.04</v>
      </c>
      <c r="AF66" s="3">
        <f t="shared" si="11"/>
        <v>2.08</v>
      </c>
      <c r="AG66" s="3">
        <f t="shared" si="12"/>
        <v>0.3333333333</v>
      </c>
    </row>
    <row r="67">
      <c r="A67" s="1" t="s">
        <v>11</v>
      </c>
      <c r="B67" s="1" t="s">
        <v>285</v>
      </c>
      <c r="C67" s="1" t="s">
        <v>18</v>
      </c>
      <c r="D67" s="1" t="s">
        <v>164</v>
      </c>
      <c r="E67" s="1" t="s">
        <v>113</v>
      </c>
      <c r="F67" s="1" t="s">
        <v>670</v>
      </c>
      <c r="G67" s="1">
        <v>44.5</v>
      </c>
      <c r="H67" s="1" t="s">
        <v>60</v>
      </c>
      <c r="I67" s="1">
        <v>-119.0</v>
      </c>
      <c r="J67" s="1">
        <v>-0.0868732676251599</v>
      </c>
      <c r="K67" s="1" t="s">
        <v>61</v>
      </c>
      <c r="L67" s="1" t="s">
        <v>61</v>
      </c>
      <c r="M67" s="1" t="s">
        <v>62</v>
      </c>
      <c r="N67" s="1">
        <v>-111.0</v>
      </c>
      <c r="O67" s="1">
        <v>0.0174413157706352</v>
      </c>
      <c r="P67" s="1" t="s">
        <v>61</v>
      </c>
      <c r="Q67" s="1" t="s">
        <v>61</v>
      </c>
      <c r="R67" s="1">
        <f t="shared" si="1"/>
        <v>0.01744131577</v>
      </c>
      <c r="S67" s="1">
        <f t="shared" si="2"/>
        <v>-111</v>
      </c>
      <c r="T67" s="1">
        <f t="shared" si="3"/>
        <v>1.900900901</v>
      </c>
      <c r="U67" s="1">
        <f t="shared" si="4"/>
        <v>0</v>
      </c>
      <c r="V67" s="3">
        <f t="shared" si="5"/>
        <v>1</v>
      </c>
      <c r="W67" s="3">
        <f t="shared" si="6"/>
        <v>2</v>
      </c>
      <c r="X67" s="3" t="str">
        <f>IFERROR(__xludf.DUMMYFUNCTION("split(B67,"" "")"),"J.")</f>
        <v>J.</v>
      </c>
      <c r="Y67" s="3" t="str">
        <f>IFERROR(__xludf.DUMMYFUNCTION("""COMPUTED_VALUE"""),"Jennings")</f>
        <v>Jennings</v>
      </c>
      <c r="AA67" s="8">
        <v>93.0</v>
      </c>
      <c r="AB67" s="3">
        <f t="shared" si="7"/>
        <v>1</v>
      </c>
      <c r="AC67" s="3">
        <f t="shared" si="8"/>
        <v>0</v>
      </c>
      <c r="AD67" s="3">
        <f t="shared" si="9"/>
        <v>0.9009009009</v>
      </c>
      <c r="AE67" s="3">
        <f t="shared" si="10"/>
        <v>-1</v>
      </c>
      <c r="AF67" s="3">
        <f t="shared" si="11"/>
        <v>-2</v>
      </c>
      <c r="AG67" s="3">
        <f t="shared" si="12"/>
        <v>-1.08988764</v>
      </c>
    </row>
    <row r="68">
      <c r="A68" s="1" t="s">
        <v>12</v>
      </c>
      <c r="B68" s="1" t="s">
        <v>420</v>
      </c>
      <c r="C68" s="1" t="s">
        <v>19</v>
      </c>
      <c r="D68" s="1" t="s">
        <v>164</v>
      </c>
      <c r="E68" s="1" t="s">
        <v>113</v>
      </c>
      <c r="F68" s="1" t="s">
        <v>670</v>
      </c>
      <c r="G68" s="1">
        <v>3.5</v>
      </c>
      <c r="H68" s="1" t="s">
        <v>60</v>
      </c>
      <c r="I68" s="1">
        <v>-108.0</v>
      </c>
      <c r="J68" s="1">
        <v>-0.0804788461538461</v>
      </c>
      <c r="K68" s="1" t="s">
        <v>61</v>
      </c>
      <c r="L68" s="1" t="s">
        <v>61</v>
      </c>
      <c r="M68" s="1" t="s">
        <v>62</v>
      </c>
      <c r="N68" s="1">
        <v>-122.0</v>
      </c>
      <c r="O68" s="1">
        <v>0.0117054054054055</v>
      </c>
      <c r="P68" s="1" t="s">
        <v>61</v>
      </c>
      <c r="Q68" s="1" t="s">
        <v>61</v>
      </c>
      <c r="R68" s="1">
        <f t="shared" si="1"/>
        <v>0.01170540541</v>
      </c>
      <c r="S68" s="1">
        <f t="shared" si="2"/>
        <v>-122</v>
      </c>
      <c r="T68" s="1">
        <f t="shared" si="3"/>
        <v>1.819672131</v>
      </c>
      <c r="U68" s="1">
        <f t="shared" si="4"/>
        <v>0</v>
      </c>
      <c r="V68" s="3">
        <f t="shared" si="5"/>
        <v>1</v>
      </c>
      <c r="W68" s="3">
        <f t="shared" si="6"/>
        <v>3</v>
      </c>
      <c r="X68" s="3" t="str">
        <f>IFERROR(__xludf.DUMMYFUNCTION("split(B68,"" "")"),"C.")</f>
        <v>C.</v>
      </c>
      <c r="Y68" s="3" t="str">
        <f>IFERROR(__xludf.DUMMYFUNCTION("""COMPUTED_VALUE"""),"McCaffrey")</f>
        <v>McCaffrey</v>
      </c>
      <c r="AA68" s="8">
        <v>6.0</v>
      </c>
      <c r="AB68" s="3">
        <f t="shared" si="7"/>
        <v>1</v>
      </c>
      <c r="AC68" s="3">
        <f t="shared" si="8"/>
        <v>0</v>
      </c>
      <c r="AD68" s="3">
        <f t="shared" si="9"/>
        <v>0.8196721311</v>
      </c>
      <c r="AE68" s="3">
        <f t="shared" si="10"/>
        <v>-1</v>
      </c>
      <c r="AF68" s="3">
        <f t="shared" si="11"/>
        <v>-3</v>
      </c>
      <c r="AG68" s="3">
        <f t="shared" si="12"/>
        <v>-0.7142857143</v>
      </c>
    </row>
    <row r="69">
      <c r="A69" s="1" t="s">
        <v>11</v>
      </c>
      <c r="B69" s="1" t="s">
        <v>420</v>
      </c>
      <c r="C69" s="1" t="s">
        <v>19</v>
      </c>
      <c r="D69" s="1" t="s">
        <v>164</v>
      </c>
      <c r="E69" s="1" t="s">
        <v>113</v>
      </c>
      <c r="F69" s="1" t="s">
        <v>670</v>
      </c>
      <c r="G69" s="1">
        <v>26.5</v>
      </c>
      <c r="H69" s="1" t="s">
        <v>60</v>
      </c>
      <c r="I69" s="1">
        <v>-120.0</v>
      </c>
      <c r="J69" s="1">
        <v>-0.0746407351342727</v>
      </c>
      <c r="K69" s="1" t="s">
        <v>61</v>
      </c>
      <c r="L69" s="1" t="s">
        <v>61</v>
      </c>
      <c r="M69" s="1" t="s">
        <v>62</v>
      </c>
      <c r="N69" s="1">
        <v>-110.0</v>
      </c>
      <c r="O69" s="1">
        <v>0.00542027572616188</v>
      </c>
      <c r="P69" s="1" t="s">
        <v>61</v>
      </c>
      <c r="Q69" s="1" t="s">
        <v>61</v>
      </c>
      <c r="R69" s="1">
        <f t="shared" si="1"/>
        <v>0.005420275726</v>
      </c>
      <c r="S69" s="1">
        <f t="shared" si="2"/>
        <v>-110</v>
      </c>
      <c r="T69" s="1">
        <f t="shared" si="3"/>
        <v>1.909090909</v>
      </c>
      <c r="U69" s="1">
        <f t="shared" si="4"/>
        <v>0</v>
      </c>
      <c r="V69" s="3">
        <f t="shared" si="5"/>
        <v>1</v>
      </c>
      <c r="W69" s="3">
        <f t="shared" si="6"/>
        <v>2</v>
      </c>
      <c r="X69" s="3" t="str">
        <f>IFERROR(__xludf.DUMMYFUNCTION("split(B69,"" "")"),"C.")</f>
        <v>C.</v>
      </c>
      <c r="Y69" s="3" t="str">
        <f>IFERROR(__xludf.DUMMYFUNCTION("""COMPUTED_VALUE"""),"McCaffrey")</f>
        <v>McCaffrey</v>
      </c>
      <c r="AA69" s="8">
        <v>68.0</v>
      </c>
      <c r="AB69" s="3">
        <f t="shared" si="7"/>
        <v>1</v>
      </c>
      <c r="AC69" s="3">
        <f t="shared" si="8"/>
        <v>0</v>
      </c>
      <c r="AD69" s="3">
        <f t="shared" si="9"/>
        <v>0.9090909091</v>
      </c>
      <c r="AE69" s="3">
        <f t="shared" si="10"/>
        <v>-1</v>
      </c>
      <c r="AF69" s="3">
        <f t="shared" si="11"/>
        <v>-2</v>
      </c>
      <c r="AG69" s="3">
        <f t="shared" si="12"/>
        <v>-1.566037736</v>
      </c>
    </row>
    <row r="70">
      <c r="A70" s="1" t="s">
        <v>16</v>
      </c>
      <c r="B70" s="1" t="s">
        <v>262</v>
      </c>
      <c r="C70" s="1" t="s">
        <v>21</v>
      </c>
      <c r="D70" s="1" t="s">
        <v>164</v>
      </c>
      <c r="E70" s="1" t="s">
        <v>113</v>
      </c>
      <c r="F70" s="1" t="s">
        <v>670</v>
      </c>
      <c r="G70" s="1">
        <v>30.5</v>
      </c>
      <c r="H70" s="1" t="s">
        <v>60</v>
      </c>
      <c r="I70" s="1">
        <v>-115.0</v>
      </c>
      <c r="J70" s="1">
        <v>-0.073880125116279</v>
      </c>
      <c r="K70" s="1" t="s">
        <v>61</v>
      </c>
      <c r="L70" s="1" t="s">
        <v>61</v>
      </c>
      <c r="M70" s="1" t="s">
        <v>62</v>
      </c>
      <c r="N70" s="1">
        <v>-116.0</v>
      </c>
      <c r="O70" s="1">
        <v>0.00195881112962958</v>
      </c>
      <c r="P70" s="1" t="s">
        <v>61</v>
      </c>
      <c r="Q70" s="1" t="s">
        <v>61</v>
      </c>
      <c r="R70" s="1">
        <f t="shared" si="1"/>
        <v>0.00195881113</v>
      </c>
      <c r="S70" s="1">
        <f t="shared" si="2"/>
        <v>-116</v>
      </c>
      <c r="T70" s="1">
        <f t="shared" si="3"/>
        <v>1.862068966</v>
      </c>
      <c r="U70" s="1">
        <f t="shared" si="4"/>
        <v>0</v>
      </c>
      <c r="V70" s="3">
        <f t="shared" si="5"/>
        <v>1</v>
      </c>
      <c r="W70" s="3">
        <f t="shared" si="6"/>
        <v>2</v>
      </c>
      <c r="X70" s="3" t="str">
        <f>IFERROR(__xludf.DUMMYFUNCTION("split(B70,"" "")"),"B.")</f>
        <v>B.</v>
      </c>
      <c r="Y70" s="3" t="str">
        <f>IFERROR(__xludf.DUMMYFUNCTION("""COMPUTED_VALUE"""),"Purdy")</f>
        <v>Purdy</v>
      </c>
      <c r="AA70" s="8">
        <v>36.0</v>
      </c>
      <c r="AB70" s="3">
        <f t="shared" si="7"/>
        <v>1</v>
      </c>
      <c r="AC70" s="3">
        <f t="shared" si="8"/>
        <v>0</v>
      </c>
      <c r="AD70" s="3">
        <f t="shared" si="9"/>
        <v>0.8620689655</v>
      </c>
      <c r="AE70" s="3">
        <f t="shared" si="10"/>
        <v>-1</v>
      </c>
      <c r="AF70" s="3">
        <f t="shared" si="11"/>
        <v>-2</v>
      </c>
      <c r="AG70" s="3">
        <f t="shared" si="12"/>
        <v>-0.1803278689</v>
      </c>
    </row>
    <row r="71">
      <c r="A71" s="1" t="s">
        <v>8</v>
      </c>
      <c r="B71" s="1" t="s">
        <v>420</v>
      </c>
      <c r="C71" s="1" t="s">
        <v>19</v>
      </c>
      <c r="D71" s="1" t="s">
        <v>164</v>
      </c>
      <c r="E71" s="1" t="s">
        <v>113</v>
      </c>
      <c r="F71" s="1" t="s">
        <v>670</v>
      </c>
      <c r="G71" s="1">
        <v>14.5</v>
      </c>
      <c r="H71" s="1" t="s">
        <v>60</v>
      </c>
      <c r="I71" s="1">
        <v>-102.0</v>
      </c>
      <c r="J71" s="1">
        <v>0.033949969391089</v>
      </c>
      <c r="K71" s="1" t="s">
        <v>61</v>
      </c>
      <c r="L71" s="1" t="s">
        <v>61</v>
      </c>
      <c r="M71" s="1" t="s">
        <v>62</v>
      </c>
      <c r="N71" s="1">
        <v>-130.0</v>
      </c>
      <c r="O71" s="1">
        <v>-0.104117921574347</v>
      </c>
      <c r="P71" s="1" t="s">
        <v>61</v>
      </c>
      <c r="Q71" s="1" t="s">
        <v>61</v>
      </c>
      <c r="R71" s="1">
        <f t="shared" si="1"/>
        <v>0.03394996939</v>
      </c>
      <c r="S71" s="1">
        <f t="shared" si="2"/>
        <v>-102</v>
      </c>
      <c r="T71" s="1">
        <f t="shared" si="3"/>
        <v>1.980392157</v>
      </c>
      <c r="U71" s="1">
        <f t="shared" si="4"/>
        <v>1</v>
      </c>
      <c r="V71" s="3">
        <f t="shared" si="5"/>
        <v>1</v>
      </c>
      <c r="W71" s="3">
        <f t="shared" si="6"/>
        <v>2</v>
      </c>
      <c r="X71" s="3" t="str">
        <f>IFERROR(__xludf.DUMMYFUNCTION("split(B71,"" "")"),"C.")</f>
        <v>C.</v>
      </c>
      <c r="Y71" s="3" t="str">
        <f>IFERROR(__xludf.DUMMYFUNCTION("""COMPUTED_VALUE"""),"McCaffrey")</f>
        <v>McCaffrey</v>
      </c>
      <c r="AA71" s="8">
        <v>13.0</v>
      </c>
      <c r="AB71" s="3">
        <f t="shared" si="7"/>
        <v>0</v>
      </c>
      <c r="AC71" s="3">
        <f t="shared" si="8"/>
        <v>0</v>
      </c>
      <c r="AD71" s="3">
        <f t="shared" si="9"/>
        <v>0.9803921569</v>
      </c>
      <c r="AE71" s="3">
        <f t="shared" si="10"/>
        <v>-1</v>
      </c>
      <c r="AF71" s="3">
        <f t="shared" si="11"/>
        <v>-2</v>
      </c>
      <c r="AG71" s="3">
        <f t="shared" si="12"/>
        <v>-0.1034482759</v>
      </c>
    </row>
    <row r="72">
      <c r="A72" s="1" t="s">
        <v>11</v>
      </c>
      <c r="B72" s="1" t="s">
        <v>163</v>
      </c>
      <c r="C72" s="1" t="s">
        <v>19</v>
      </c>
      <c r="D72" s="1" t="s">
        <v>164</v>
      </c>
      <c r="E72" s="1" t="s">
        <v>113</v>
      </c>
      <c r="F72" s="1" t="s">
        <v>670</v>
      </c>
      <c r="G72" s="1">
        <v>6.5</v>
      </c>
      <c r="H72" s="1" t="s">
        <v>60</v>
      </c>
      <c r="I72" s="1">
        <v>-116.0</v>
      </c>
      <c r="J72" s="1">
        <v>0.043206890151184</v>
      </c>
      <c r="K72" s="1" t="s">
        <v>61</v>
      </c>
      <c r="L72" s="1" t="s">
        <v>61</v>
      </c>
      <c r="M72" s="1" t="s">
        <v>62</v>
      </c>
      <c r="N72" s="1">
        <v>-114.0</v>
      </c>
      <c r="O72" s="1">
        <v>-0.112930694536577</v>
      </c>
      <c r="P72" s="1" t="s">
        <v>61</v>
      </c>
      <c r="Q72" s="1" t="s">
        <v>61</v>
      </c>
      <c r="R72" s="1">
        <f t="shared" si="1"/>
        <v>0.04320689015</v>
      </c>
      <c r="S72" s="1">
        <f t="shared" si="2"/>
        <v>-116</v>
      </c>
      <c r="T72" s="1">
        <f t="shared" si="3"/>
        <v>1.862068966</v>
      </c>
      <c r="U72" s="1">
        <f t="shared" si="4"/>
        <v>1</v>
      </c>
      <c r="V72" s="3">
        <f t="shared" si="5"/>
        <v>1</v>
      </c>
      <c r="W72" s="3">
        <f t="shared" si="6"/>
        <v>2</v>
      </c>
      <c r="X72" s="3" t="str">
        <f>IFERROR(__xludf.DUMMYFUNCTION("split(B72,"" "")"),"K.")</f>
        <v>K.</v>
      </c>
      <c r="Y72" s="3" t="str">
        <f>IFERROR(__xludf.DUMMYFUNCTION("""COMPUTED_VALUE"""),"Juszczyk")</f>
        <v>Juszczyk</v>
      </c>
      <c r="AA72" s="8">
        <v>0.0</v>
      </c>
      <c r="AB72" s="3">
        <f t="shared" si="7"/>
        <v>0</v>
      </c>
      <c r="AC72" s="3">
        <f t="shared" si="8"/>
        <v>0</v>
      </c>
      <c r="AD72" s="3">
        <f t="shared" si="9"/>
        <v>0.8620689655</v>
      </c>
      <c r="AE72" s="3">
        <f t="shared" si="10"/>
        <v>-1</v>
      </c>
      <c r="AF72" s="3">
        <f t="shared" si="11"/>
        <v>-2</v>
      </c>
      <c r="AG72" s="3">
        <f t="shared" si="12"/>
        <v>-1</v>
      </c>
    </row>
    <row r="73">
      <c r="A73" s="1" t="s">
        <v>15</v>
      </c>
      <c r="B73" s="1" t="s">
        <v>262</v>
      </c>
      <c r="C73" s="1" t="s">
        <v>21</v>
      </c>
      <c r="D73" s="1" t="s">
        <v>164</v>
      </c>
      <c r="E73" s="1" t="s">
        <v>113</v>
      </c>
      <c r="F73" s="1" t="s">
        <v>670</v>
      </c>
      <c r="G73" s="1">
        <v>21.5</v>
      </c>
      <c r="H73" s="1" t="s">
        <v>60</v>
      </c>
      <c r="I73" s="1">
        <v>105.0</v>
      </c>
      <c r="J73" s="1">
        <v>0.055341463414634</v>
      </c>
      <c r="K73" s="1" t="s">
        <v>61</v>
      </c>
      <c r="L73" s="1" t="s">
        <v>61</v>
      </c>
      <c r="M73" s="1" t="s">
        <v>62</v>
      </c>
      <c r="N73" s="1">
        <v>-137.0</v>
      </c>
      <c r="O73" s="1">
        <v>-0.121185654008438</v>
      </c>
      <c r="P73" s="1" t="s">
        <v>61</v>
      </c>
      <c r="Q73" s="1" t="s">
        <v>61</v>
      </c>
      <c r="R73" s="1">
        <f t="shared" si="1"/>
        <v>0.05534146341</v>
      </c>
      <c r="S73" s="1">
        <f t="shared" si="2"/>
        <v>105</v>
      </c>
      <c r="T73" s="1">
        <f t="shared" si="3"/>
        <v>2.05</v>
      </c>
      <c r="U73" s="1">
        <f t="shared" si="4"/>
        <v>1</v>
      </c>
      <c r="V73" s="3">
        <f t="shared" si="5"/>
        <v>2</v>
      </c>
      <c r="W73" s="3">
        <f t="shared" si="6"/>
        <v>2</v>
      </c>
      <c r="X73" s="3" t="str">
        <f>IFERROR(__xludf.DUMMYFUNCTION("split(B73,"" "")"),"B.")</f>
        <v>B.</v>
      </c>
      <c r="Y73" s="3" t="str">
        <f>IFERROR(__xludf.DUMMYFUNCTION("""COMPUTED_VALUE"""),"Purdy")</f>
        <v>Purdy</v>
      </c>
      <c r="AA73" s="8">
        <v>25.0</v>
      </c>
      <c r="AB73" s="3">
        <f t="shared" si="7"/>
        <v>1</v>
      </c>
      <c r="AC73" s="3">
        <f t="shared" si="8"/>
        <v>1</v>
      </c>
      <c r="AD73" s="3">
        <f t="shared" si="9"/>
        <v>2.1</v>
      </c>
      <c r="AE73" s="3">
        <f t="shared" si="10"/>
        <v>2.1</v>
      </c>
      <c r="AF73" s="3">
        <f t="shared" si="11"/>
        <v>2.1</v>
      </c>
      <c r="AG73" s="3">
        <f t="shared" si="12"/>
        <v>0.1627906977</v>
      </c>
    </row>
    <row r="74">
      <c r="A74" s="1" t="s">
        <v>9</v>
      </c>
      <c r="B74" s="1" t="s">
        <v>639</v>
      </c>
      <c r="C74" s="1" t="s">
        <v>18</v>
      </c>
      <c r="D74" s="1" t="s">
        <v>164</v>
      </c>
      <c r="E74" s="1" t="s">
        <v>113</v>
      </c>
      <c r="F74" s="1" t="s">
        <v>670</v>
      </c>
      <c r="G74" s="1">
        <v>26.5</v>
      </c>
      <c r="H74" s="1" t="s">
        <v>60</v>
      </c>
      <c r="I74" s="1">
        <v>-117.0</v>
      </c>
      <c r="J74" s="1">
        <v>0.0523922297670487</v>
      </c>
      <c r="K74" s="1" t="s">
        <v>61</v>
      </c>
      <c r="L74" s="1" t="s">
        <v>61</v>
      </c>
      <c r="M74" s="1" t="s">
        <v>62</v>
      </c>
      <c r="N74" s="1">
        <v>-116.0</v>
      </c>
      <c r="O74" s="1">
        <v>-0.128577074430377</v>
      </c>
      <c r="P74" s="1" t="s">
        <v>61</v>
      </c>
      <c r="Q74" s="1" t="s">
        <v>61</v>
      </c>
      <c r="R74" s="1">
        <f t="shared" si="1"/>
        <v>0.05239222977</v>
      </c>
      <c r="S74" s="1">
        <f t="shared" si="2"/>
        <v>-117</v>
      </c>
      <c r="T74" s="1">
        <f t="shared" si="3"/>
        <v>1.854700855</v>
      </c>
      <c r="U74" s="1">
        <f t="shared" si="4"/>
        <v>1</v>
      </c>
      <c r="V74" s="3">
        <f t="shared" si="5"/>
        <v>2</v>
      </c>
      <c r="W74" s="3">
        <f t="shared" si="6"/>
        <v>2</v>
      </c>
      <c r="X74" s="3" t="str">
        <f>IFERROR(__xludf.DUMMYFUNCTION("split(B74,"" "")"),"R.")</f>
        <v>R.</v>
      </c>
      <c r="Y74" s="3" t="str">
        <f>IFERROR(__xludf.DUMMYFUNCTION("""COMPUTED_VALUE"""),"Pearsall")</f>
        <v>Pearsall</v>
      </c>
      <c r="AA74" s="8">
        <v>73.0</v>
      </c>
      <c r="AB74" s="3">
        <f t="shared" si="7"/>
        <v>1</v>
      </c>
      <c r="AC74" s="3">
        <f t="shared" si="8"/>
        <v>1</v>
      </c>
      <c r="AD74" s="3">
        <f t="shared" si="9"/>
        <v>1.709401709</v>
      </c>
      <c r="AE74" s="3">
        <f t="shared" si="10"/>
        <v>1.709401709</v>
      </c>
      <c r="AF74" s="3">
        <f t="shared" si="11"/>
        <v>1.709401709</v>
      </c>
      <c r="AG74" s="3">
        <f t="shared" si="12"/>
        <v>1.754716981</v>
      </c>
    </row>
    <row r="75">
      <c r="A75" s="1" t="s">
        <v>12</v>
      </c>
      <c r="B75" s="1" t="s">
        <v>600</v>
      </c>
      <c r="C75" s="1" t="s">
        <v>18</v>
      </c>
      <c r="D75" s="1" t="s">
        <v>110</v>
      </c>
      <c r="E75" s="1" t="s">
        <v>114</v>
      </c>
      <c r="F75" s="1" t="s">
        <v>670</v>
      </c>
      <c r="G75" s="1">
        <v>1.5</v>
      </c>
      <c r="H75" s="1" t="s">
        <v>60</v>
      </c>
      <c r="I75" s="1">
        <v>-167.0</v>
      </c>
      <c r="J75" s="1">
        <v>-0.263698464883895</v>
      </c>
      <c r="K75" s="1" t="s">
        <v>61</v>
      </c>
      <c r="L75" s="1" t="s">
        <v>61</v>
      </c>
      <c r="M75" s="1" t="s">
        <v>62</v>
      </c>
      <c r="N75" s="1">
        <v>128.0</v>
      </c>
      <c r="O75" s="1">
        <v>0.199638991771929</v>
      </c>
      <c r="P75" s="1" t="s">
        <v>61</v>
      </c>
      <c r="Q75" s="1" t="s">
        <v>61</v>
      </c>
      <c r="R75" s="1">
        <f t="shared" si="1"/>
        <v>0.1996389918</v>
      </c>
      <c r="S75" s="1">
        <f t="shared" si="2"/>
        <v>128</v>
      </c>
      <c r="T75" s="1">
        <f t="shared" si="3"/>
        <v>2.28</v>
      </c>
      <c r="U75" s="1">
        <f t="shared" si="4"/>
        <v>0</v>
      </c>
      <c r="V75" s="3">
        <f t="shared" si="5"/>
        <v>3</v>
      </c>
      <c r="W75" s="3">
        <f t="shared" si="6"/>
        <v>1</v>
      </c>
      <c r="X75" s="3" t="str">
        <f>IFERROR(__xludf.DUMMYFUNCTION("split(B75,"" "")"),"C.")</f>
        <v>C.</v>
      </c>
      <c r="Y75" s="3" t="str">
        <f>IFERROR(__xludf.DUMMYFUNCTION("""COMPUTED_VALUE"""),"Austin")</f>
        <v>Austin</v>
      </c>
      <c r="Z75" s="3" t="str">
        <f>IFERROR(__xludf.DUMMYFUNCTION("""COMPUTED_VALUE"""),"III")</f>
        <v>III</v>
      </c>
      <c r="AA75" s="8">
        <v>2.0</v>
      </c>
      <c r="AB75" s="3">
        <f t="shared" si="7"/>
        <v>1</v>
      </c>
      <c r="AC75" s="3">
        <f t="shared" si="8"/>
        <v>0</v>
      </c>
      <c r="AD75" s="3">
        <f t="shared" si="9"/>
        <v>3.84</v>
      </c>
      <c r="AE75" s="3">
        <f t="shared" si="10"/>
        <v>-3</v>
      </c>
      <c r="AF75" s="3">
        <f t="shared" si="11"/>
        <v>-1</v>
      </c>
      <c r="AG75" s="3">
        <f t="shared" si="12"/>
        <v>-0.3333333333</v>
      </c>
    </row>
    <row r="76">
      <c r="A76" s="1" t="s">
        <v>8</v>
      </c>
      <c r="B76" s="1" t="s">
        <v>214</v>
      </c>
      <c r="C76" s="1" t="s">
        <v>21</v>
      </c>
      <c r="D76" s="1" t="s">
        <v>110</v>
      </c>
      <c r="E76" s="1" t="s">
        <v>114</v>
      </c>
      <c r="F76" s="1" t="s">
        <v>670</v>
      </c>
      <c r="G76" s="1">
        <v>3.5</v>
      </c>
      <c r="H76" s="1" t="s">
        <v>60</v>
      </c>
      <c r="I76" s="1">
        <v>-151.0</v>
      </c>
      <c r="J76" s="1">
        <v>-0.254367247124363</v>
      </c>
      <c r="K76" s="1" t="s">
        <v>61</v>
      </c>
      <c r="L76" s="1" t="s">
        <v>61</v>
      </c>
      <c r="M76" s="1" t="s">
        <v>62</v>
      </c>
      <c r="N76" s="1">
        <v>113.0</v>
      </c>
      <c r="O76" s="1">
        <v>0.183303187925893</v>
      </c>
      <c r="P76" s="1" t="s">
        <v>61</v>
      </c>
      <c r="Q76" s="1" t="s">
        <v>61</v>
      </c>
      <c r="R76" s="1">
        <f t="shared" si="1"/>
        <v>0.1833031879</v>
      </c>
      <c r="S76" s="1">
        <f t="shared" si="2"/>
        <v>113</v>
      </c>
      <c r="T76" s="1">
        <f t="shared" si="3"/>
        <v>2.13</v>
      </c>
      <c r="U76" s="1">
        <f t="shared" si="4"/>
        <v>0</v>
      </c>
      <c r="V76" s="3">
        <f t="shared" si="5"/>
        <v>3</v>
      </c>
      <c r="W76" s="3">
        <f t="shared" si="6"/>
        <v>1</v>
      </c>
      <c r="X76" s="3" t="str">
        <f>IFERROR(__xludf.DUMMYFUNCTION("split(B76,"" "")"),"R.")</f>
        <v>R.</v>
      </c>
      <c r="Y76" s="3" t="str">
        <f>IFERROR(__xludf.DUMMYFUNCTION("""COMPUTED_VALUE"""),"Wilson")</f>
        <v>Wilson</v>
      </c>
      <c r="AA76" s="8">
        <v>4.0</v>
      </c>
      <c r="AB76" s="3">
        <f t="shared" si="7"/>
        <v>1</v>
      </c>
      <c r="AC76" s="3">
        <f t="shared" si="8"/>
        <v>0</v>
      </c>
      <c r="AD76" s="3">
        <f t="shared" si="9"/>
        <v>3.39</v>
      </c>
      <c r="AE76" s="3">
        <f t="shared" si="10"/>
        <v>-3</v>
      </c>
      <c r="AF76" s="3">
        <f t="shared" si="11"/>
        <v>-1</v>
      </c>
      <c r="AG76" s="3">
        <f t="shared" si="12"/>
        <v>-0.1428571429</v>
      </c>
    </row>
    <row r="77">
      <c r="A77" s="1" t="s">
        <v>12</v>
      </c>
      <c r="B77" s="1" t="s">
        <v>403</v>
      </c>
      <c r="C77" s="1" t="s">
        <v>18</v>
      </c>
      <c r="D77" s="1" t="s">
        <v>110</v>
      </c>
      <c r="E77" s="1" t="s">
        <v>114</v>
      </c>
      <c r="F77" s="1" t="s">
        <v>670</v>
      </c>
      <c r="G77" s="1">
        <v>1.5</v>
      </c>
      <c r="H77" s="1" t="s">
        <v>60</v>
      </c>
      <c r="I77" s="1">
        <v>-109.0</v>
      </c>
      <c r="J77" s="1">
        <v>-0.215415832799042</v>
      </c>
      <c r="K77" s="1" t="s">
        <v>61</v>
      </c>
      <c r="L77" s="1" t="s">
        <v>61</v>
      </c>
      <c r="M77" s="1" t="s">
        <v>62</v>
      </c>
      <c r="N77" s="1">
        <v>-120.0</v>
      </c>
      <c r="O77" s="1">
        <v>0.148442049390909</v>
      </c>
      <c r="P77" s="1" t="s">
        <v>61</v>
      </c>
      <c r="Q77" s="1" t="s">
        <v>61</v>
      </c>
      <c r="R77" s="1">
        <f t="shared" si="1"/>
        <v>0.1484420494</v>
      </c>
      <c r="S77" s="1">
        <f t="shared" si="2"/>
        <v>-120</v>
      </c>
      <c r="T77" s="1">
        <f t="shared" si="3"/>
        <v>1.833333333</v>
      </c>
      <c r="U77" s="1">
        <f t="shared" si="4"/>
        <v>0</v>
      </c>
      <c r="V77" s="3">
        <f t="shared" si="5"/>
        <v>3</v>
      </c>
      <c r="W77" s="3">
        <f t="shared" si="6"/>
        <v>3</v>
      </c>
      <c r="X77" s="3" t="str">
        <f>IFERROR(__xludf.DUMMYFUNCTION("split(B77,"" "")"),"V.")</f>
        <v>V.</v>
      </c>
      <c r="Y77" s="3" t="str">
        <f>IFERROR(__xludf.DUMMYFUNCTION("""COMPUTED_VALUE"""),"Jefferson")</f>
        <v>Jefferson</v>
      </c>
      <c r="AA77" s="8">
        <v>0.0</v>
      </c>
      <c r="AB77" s="3">
        <f t="shared" si="7"/>
        <v>0</v>
      </c>
      <c r="AC77" s="3">
        <f t="shared" si="8"/>
        <v>1</v>
      </c>
      <c r="AD77" s="3">
        <f t="shared" si="9"/>
        <v>2.5</v>
      </c>
      <c r="AE77" s="3">
        <f t="shared" si="10"/>
        <v>2.5</v>
      </c>
      <c r="AF77" s="3">
        <f t="shared" si="11"/>
        <v>2.5</v>
      </c>
      <c r="AG77" s="3">
        <f t="shared" si="12"/>
        <v>1</v>
      </c>
    </row>
    <row r="78">
      <c r="A78" s="1" t="s">
        <v>8</v>
      </c>
      <c r="B78" s="1" t="s">
        <v>177</v>
      </c>
      <c r="C78" s="1" t="s">
        <v>19</v>
      </c>
      <c r="D78" s="1" t="s">
        <v>110</v>
      </c>
      <c r="E78" s="1" t="s">
        <v>114</v>
      </c>
      <c r="F78" s="1" t="s">
        <v>670</v>
      </c>
      <c r="G78" s="1">
        <v>7.5</v>
      </c>
      <c r="H78" s="1" t="s">
        <v>60</v>
      </c>
      <c r="I78" s="1">
        <v>-102.0</v>
      </c>
      <c r="J78" s="1">
        <v>-0.164746413371182</v>
      </c>
      <c r="K78" s="1" t="s">
        <v>61</v>
      </c>
      <c r="L78" s="1" t="s">
        <v>61</v>
      </c>
      <c r="M78" s="1" t="s">
        <v>62</v>
      </c>
      <c r="N78" s="1">
        <v>-131.0</v>
      </c>
      <c r="O78" s="1">
        <v>0.0926666489449454</v>
      </c>
      <c r="P78" s="1" t="s">
        <v>61</v>
      </c>
      <c r="Q78" s="1" t="s">
        <v>61</v>
      </c>
      <c r="R78" s="1">
        <f t="shared" si="1"/>
        <v>0.09266664894</v>
      </c>
      <c r="S78" s="1">
        <f t="shared" si="2"/>
        <v>-131</v>
      </c>
      <c r="T78" s="1">
        <f t="shared" si="3"/>
        <v>1.763358779</v>
      </c>
      <c r="U78" s="1">
        <f t="shared" si="4"/>
        <v>0</v>
      </c>
      <c r="V78" s="3">
        <f t="shared" si="5"/>
        <v>2</v>
      </c>
      <c r="W78" s="3">
        <f t="shared" si="6"/>
        <v>3</v>
      </c>
      <c r="X78" s="3" t="str">
        <f>IFERROR(__xludf.DUMMYFUNCTION("split(B78,"" "")"),"J.")</f>
        <v>J.</v>
      </c>
      <c r="Y78" s="3" t="str">
        <f>IFERROR(__xludf.DUMMYFUNCTION("""COMPUTED_VALUE"""),"Warren")</f>
        <v>Warren</v>
      </c>
      <c r="AA78" s="8">
        <v>14.0</v>
      </c>
      <c r="AB78" s="3">
        <f t="shared" si="7"/>
        <v>1</v>
      </c>
      <c r="AC78" s="3">
        <f t="shared" si="8"/>
        <v>0</v>
      </c>
      <c r="AD78" s="3">
        <f t="shared" si="9"/>
        <v>1.526717557</v>
      </c>
      <c r="AE78" s="3">
        <f t="shared" si="10"/>
        <v>-2</v>
      </c>
      <c r="AF78" s="3">
        <f t="shared" si="11"/>
        <v>-3</v>
      </c>
      <c r="AG78" s="3">
        <f t="shared" si="12"/>
        <v>-0.8666666667</v>
      </c>
    </row>
    <row r="79">
      <c r="A79" s="1" t="s">
        <v>12</v>
      </c>
      <c r="B79" s="1" t="s">
        <v>123</v>
      </c>
      <c r="C79" s="1" t="s">
        <v>19</v>
      </c>
      <c r="D79" s="1" t="s">
        <v>110</v>
      </c>
      <c r="E79" s="1" t="s">
        <v>114</v>
      </c>
      <c r="F79" s="1" t="s">
        <v>670</v>
      </c>
      <c r="G79" s="1">
        <v>1.5</v>
      </c>
      <c r="H79" s="1" t="s">
        <v>60</v>
      </c>
      <c r="I79" s="1">
        <v>-120.0</v>
      </c>
      <c r="J79" s="1">
        <v>-0.139589538527272</v>
      </c>
      <c r="K79" s="1" t="s">
        <v>61</v>
      </c>
      <c r="L79" s="1" t="s">
        <v>61</v>
      </c>
      <c r="M79" s="1" t="s">
        <v>62</v>
      </c>
      <c r="N79" s="1">
        <v>-110.0</v>
      </c>
      <c r="O79" s="1">
        <v>0.0703460396361904</v>
      </c>
      <c r="P79" s="1" t="s">
        <v>61</v>
      </c>
      <c r="Q79" s="1" t="s">
        <v>61</v>
      </c>
      <c r="R79" s="1">
        <f t="shared" si="1"/>
        <v>0.07034603964</v>
      </c>
      <c r="S79" s="1">
        <f t="shared" si="2"/>
        <v>-110</v>
      </c>
      <c r="T79" s="1">
        <f t="shared" si="3"/>
        <v>1.909090909</v>
      </c>
      <c r="U79" s="1">
        <f t="shared" si="4"/>
        <v>0</v>
      </c>
      <c r="V79" s="3">
        <f t="shared" si="5"/>
        <v>2</v>
      </c>
      <c r="W79" s="3">
        <f t="shared" si="6"/>
        <v>2</v>
      </c>
      <c r="X79" s="3" t="str">
        <f>IFERROR(__xludf.DUMMYFUNCTION("split(B79,"" "")"),"N.")</f>
        <v>N.</v>
      </c>
      <c r="Y79" s="3" t="str">
        <f>IFERROR(__xludf.DUMMYFUNCTION("""COMPUTED_VALUE"""),"Harris")</f>
        <v>Harris</v>
      </c>
      <c r="AA79" s="8">
        <v>0.0</v>
      </c>
      <c r="AB79" s="3">
        <f t="shared" si="7"/>
        <v>0</v>
      </c>
      <c r="AC79" s="3">
        <f t="shared" si="8"/>
        <v>1</v>
      </c>
      <c r="AD79" s="3">
        <f t="shared" si="9"/>
        <v>1.818181818</v>
      </c>
      <c r="AE79" s="3">
        <f t="shared" si="10"/>
        <v>1.818181818</v>
      </c>
      <c r="AF79" s="3">
        <f t="shared" si="11"/>
        <v>1.818181818</v>
      </c>
      <c r="AG79" s="3">
        <f t="shared" si="12"/>
        <v>1</v>
      </c>
    </row>
    <row r="80">
      <c r="A80" s="1" t="s">
        <v>15</v>
      </c>
      <c r="B80" s="1" t="s">
        <v>214</v>
      </c>
      <c r="C80" s="1" t="s">
        <v>21</v>
      </c>
      <c r="D80" s="1" t="s">
        <v>110</v>
      </c>
      <c r="E80" s="1" t="s">
        <v>114</v>
      </c>
      <c r="F80" s="1" t="s">
        <v>670</v>
      </c>
      <c r="G80" s="1">
        <v>17.5</v>
      </c>
      <c r="H80" s="1" t="s">
        <v>60</v>
      </c>
      <c r="I80" s="1">
        <v>-132.0</v>
      </c>
      <c r="J80" s="1">
        <v>-0.123694341767241</v>
      </c>
      <c r="K80" s="1" t="s">
        <v>61</v>
      </c>
      <c r="L80" s="1" t="s">
        <v>61</v>
      </c>
      <c r="M80" s="1" t="s">
        <v>62</v>
      </c>
      <c r="N80" s="1">
        <v>100.0</v>
      </c>
      <c r="O80" s="1">
        <v>0.05474943645</v>
      </c>
      <c r="P80" s="1" t="s">
        <v>61</v>
      </c>
      <c r="Q80" s="1" t="s">
        <v>61</v>
      </c>
      <c r="R80" s="1">
        <f t="shared" si="1"/>
        <v>0.05474943645</v>
      </c>
      <c r="S80" s="1">
        <f t="shared" si="2"/>
        <v>100</v>
      </c>
      <c r="T80" s="1">
        <f t="shared" si="3"/>
        <v>2</v>
      </c>
      <c r="U80" s="1">
        <f t="shared" si="4"/>
        <v>0</v>
      </c>
      <c r="V80" s="3">
        <f t="shared" si="5"/>
        <v>2</v>
      </c>
      <c r="W80" s="3">
        <f t="shared" si="6"/>
        <v>2</v>
      </c>
      <c r="X80" s="3" t="str">
        <f>IFERROR(__xludf.DUMMYFUNCTION("split(B80,"" "")"),"R.")</f>
        <v>R.</v>
      </c>
      <c r="Y80" s="3" t="str">
        <f>IFERROR(__xludf.DUMMYFUNCTION("""COMPUTED_VALUE"""),"Wilson")</f>
        <v>Wilson</v>
      </c>
      <c r="AA80" s="8">
        <v>14.0</v>
      </c>
      <c r="AB80" s="3">
        <f t="shared" si="7"/>
        <v>0</v>
      </c>
      <c r="AC80" s="3">
        <f t="shared" si="8"/>
        <v>1</v>
      </c>
      <c r="AD80" s="3">
        <f t="shared" si="9"/>
        <v>2</v>
      </c>
      <c r="AE80" s="3">
        <f t="shared" si="10"/>
        <v>2</v>
      </c>
      <c r="AF80" s="3">
        <f t="shared" si="11"/>
        <v>2</v>
      </c>
      <c r="AG80" s="3">
        <f t="shared" si="12"/>
        <v>0.2</v>
      </c>
    </row>
    <row r="81">
      <c r="A81" s="1" t="s">
        <v>17</v>
      </c>
      <c r="B81" s="1" t="s">
        <v>214</v>
      </c>
      <c r="C81" s="1" t="s">
        <v>21</v>
      </c>
      <c r="D81" s="1" t="s">
        <v>110</v>
      </c>
      <c r="E81" s="1" t="s">
        <v>114</v>
      </c>
      <c r="F81" s="1" t="s">
        <v>670</v>
      </c>
      <c r="G81" s="1">
        <v>0.5</v>
      </c>
      <c r="H81" s="1" t="s">
        <v>60</v>
      </c>
      <c r="I81" s="1">
        <v>-123.0</v>
      </c>
      <c r="J81" s="1">
        <v>-0.11462466367713</v>
      </c>
      <c r="K81" s="1" t="s">
        <v>61</v>
      </c>
      <c r="L81" s="1" t="s">
        <v>61</v>
      </c>
      <c r="M81" s="1" t="s">
        <v>62</v>
      </c>
      <c r="N81" s="1">
        <v>-107.0</v>
      </c>
      <c r="O81" s="1">
        <v>0.0461400966183576</v>
      </c>
      <c r="P81" s="1" t="s">
        <v>61</v>
      </c>
      <c r="Q81" s="1" t="s">
        <v>61</v>
      </c>
      <c r="R81" s="1">
        <f t="shared" si="1"/>
        <v>0.04614009662</v>
      </c>
      <c r="S81" s="1">
        <f t="shared" si="2"/>
        <v>-107</v>
      </c>
      <c r="T81" s="1">
        <f t="shared" si="3"/>
        <v>1.934579439</v>
      </c>
      <c r="U81" s="1">
        <f t="shared" si="4"/>
        <v>0</v>
      </c>
      <c r="V81" s="3">
        <f t="shared" si="5"/>
        <v>1</v>
      </c>
      <c r="W81" s="3">
        <f t="shared" si="6"/>
        <v>2</v>
      </c>
      <c r="X81" s="3" t="str">
        <f>IFERROR(__xludf.DUMMYFUNCTION("split(B81,"" "")"),"R.")</f>
        <v>R.</v>
      </c>
      <c r="Y81" s="3" t="str">
        <f>IFERROR(__xludf.DUMMYFUNCTION("""COMPUTED_VALUE"""),"Wilson")</f>
        <v>Wilson</v>
      </c>
      <c r="AA81" s="8">
        <v>1.0</v>
      </c>
      <c r="AB81" s="3">
        <f t="shared" si="7"/>
        <v>1</v>
      </c>
      <c r="AC81" s="3">
        <f t="shared" si="8"/>
        <v>0</v>
      </c>
      <c r="AD81" s="3">
        <f t="shared" si="9"/>
        <v>0.9345794393</v>
      </c>
      <c r="AE81" s="3">
        <f t="shared" si="10"/>
        <v>-1</v>
      </c>
      <c r="AF81" s="3">
        <f t="shared" si="11"/>
        <v>-2</v>
      </c>
      <c r="AG81" s="3">
        <f t="shared" si="12"/>
        <v>-1</v>
      </c>
    </row>
    <row r="82">
      <c r="A82" s="1" t="s">
        <v>16</v>
      </c>
      <c r="B82" s="1" t="s">
        <v>214</v>
      </c>
      <c r="C82" s="1" t="s">
        <v>21</v>
      </c>
      <c r="D82" s="1" t="s">
        <v>110</v>
      </c>
      <c r="E82" s="1" t="s">
        <v>114</v>
      </c>
      <c r="F82" s="1" t="s">
        <v>670</v>
      </c>
      <c r="G82" s="1">
        <v>28.5</v>
      </c>
      <c r="H82" s="1" t="s">
        <v>60</v>
      </c>
      <c r="I82" s="1">
        <v>-118.0</v>
      </c>
      <c r="J82" s="1">
        <v>-0.104337513165137</v>
      </c>
      <c r="K82" s="1" t="s">
        <v>61</v>
      </c>
      <c r="L82" s="1" t="s">
        <v>61</v>
      </c>
      <c r="M82" s="1" t="s">
        <v>62</v>
      </c>
      <c r="N82" s="1">
        <v>-111.0</v>
      </c>
      <c r="O82" s="1">
        <v>0.0369798741028434</v>
      </c>
      <c r="P82" s="1" t="s">
        <v>61</v>
      </c>
      <c r="Q82" s="1" t="s">
        <v>61</v>
      </c>
      <c r="R82" s="1">
        <f t="shared" si="1"/>
        <v>0.0369798741</v>
      </c>
      <c r="S82" s="1">
        <f t="shared" si="2"/>
        <v>-111</v>
      </c>
      <c r="T82" s="1">
        <f t="shared" si="3"/>
        <v>1.900900901</v>
      </c>
      <c r="U82" s="1">
        <f t="shared" si="4"/>
        <v>0</v>
      </c>
      <c r="V82" s="3">
        <f t="shared" si="5"/>
        <v>1</v>
      </c>
      <c r="W82" s="3">
        <f t="shared" si="6"/>
        <v>2</v>
      </c>
      <c r="X82" s="3" t="str">
        <f>IFERROR(__xludf.DUMMYFUNCTION("split(B82,"" "")"),"R.")</f>
        <v>R.</v>
      </c>
      <c r="Y82" s="3" t="str">
        <f>IFERROR(__xludf.DUMMYFUNCTION("""COMPUTED_VALUE"""),"Wilson")</f>
        <v>Wilson</v>
      </c>
      <c r="AA82" s="8">
        <v>28.0</v>
      </c>
      <c r="AB82" s="3">
        <f t="shared" si="7"/>
        <v>0</v>
      </c>
      <c r="AC82" s="3">
        <f t="shared" si="8"/>
        <v>1</v>
      </c>
      <c r="AD82" s="3">
        <f t="shared" si="9"/>
        <v>0.9009009009</v>
      </c>
      <c r="AE82" s="3">
        <f t="shared" si="10"/>
        <v>0.9009009009</v>
      </c>
      <c r="AF82" s="3">
        <f t="shared" si="11"/>
        <v>1.801801802</v>
      </c>
      <c r="AG82" s="3">
        <f t="shared" si="12"/>
        <v>0.01754385965</v>
      </c>
    </row>
    <row r="83">
      <c r="A83" s="1" t="s">
        <v>8</v>
      </c>
      <c r="B83" s="1" t="s">
        <v>123</v>
      </c>
      <c r="C83" s="1" t="s">
        <v>19</v>
      </c>
      <c r="D83" s="1" t="s">
        <v>110</v>
      </c>
      <c r="E83" s="1" t="s">
        <v>114</v>
      </c>
      <c r="F83" s="1" t="s">
        <v>670</v>
      </c>
      <c r="G83" s="1">
        <v>15.5</v>
      </c>
      <c r="H83" s="1" t="s">
        <v>60</v>
      </c>
      <c r="I83" s="1">
        <v>-127.0</v>
      </c>
      <c r="J83" s="1">
        <v>-0.106327045422907</v>
      </c>
      <c r="K83" s="1" t="s">
        <v>61</v>
      </c>
      <c r="L83" s="1" t="s">
        <v>61</v>
      </c>
      <c r="M83" s="1" t="s">
        <v>62</v>
      </c>
      <c r="N83" s="1">
        <v>-105.0</v>
      </c>
      <c r="O83" s="1">
        <v>0.0346533476904876</v>
      </c>
      <c r="P83" s="1" t="s">
        <v>61</v>
      </c>
      <c r="Q83" s="1" t="s">
        <v>61</v>
      </c>
      <c r="R83" s="1">
        <f t="shared" si="1"/>
        <v>0.03465334769</v>
      </c>
      <c r="S83" s="1">
        <f t="shared" si="2"/>
        <v>-105</v>
      </c>
      <c r="T83" s="1">
        <f t="shared" si="3"/>
        <v>1.952380952</v>
      </c>
      <c r="U83" s="1">
        <f t="shared" si="4"/>
        <v>0</v>
      </c>
      <c r="V83" s="3">
        <f t="shared" si="5"/>
        <v>1</v>
      </c>
      <c r="W83" s="3">
        <f t="shared" si="6"/>
        <v>2</v>
      </c>
      <c r="X83" s="3" t="str">
        <f>IFERROR(__xludf.DUMMYFUNCTION("split(B83,"" "")"),"N.")</f>
        <v>N.</v>
      </c>
      <c r="Y83" s="3" t="str">
        <f>IFERROR(__xludf.DUMMYFUNCTION("""COMPUTED_VALUE"""),"Harris")</f>
        <v>Harris</v>
      </c>
      <c r="AA83" s="8">
        <v>21.0</v>
      </c>
      <c r="AB83" s="3">
        <f t="shared" si="7"/>
        <v>1</v>
      </c>
      <c r="AC83" s="3">
        <f t="shared" si="8"/>
        <v>0</v>
      </c>
      <c r="AD83" s="3">
        <f t="shared" si="9"/>
        <v>0.9523809524</v>
      </c>
      <c r="AE83" s="3">
        <f t="shared" si="10"/>
        <v>-1</v>
      </c>
      <c r="AF83" s="3">
        <f t="shared" si="11"/>
        <v>-2</v>
      </c>
      <c r="AG83" s="3">
        <f t="shared" si="12"/>
        <v>-0.3548387097</v>
      </c>
    </row>
    <row r="84">
      <c r="A84" s="1" t="s">
        <v>10</v>
      </c>
      <c r="B84" s="1" t="s">
        <v>123</v>
      </c>
      <c r="C84" s="1" t="s">
        <v>19</v>
      </c>
      <c r="D84" s="1" t="s">
        <v>110</v>
      </c>
      <c r="E84" s="1" t="s">
        <v>114</v>
      </c>
      <c r="F84" s="1" t="s">
        <v>670</v>
      </c>
      <c r="G84" s="1">
        <v>66.5</v>
      </c>
      <c r="H84" s="1" t="s">
        <v>60</v>
      </c>
      <c r="I84" s="1">
        <v>-116.0</v>
      </c>
      <c r="J84" s="1">
        <v>-0.0836298465550615</v>
      </c>
      <c r="K84" s="1" t="s">
        <v>61</v>
      </c>
      <c r="L84" s="1" t="s">
        <v>61</v>
      </c>
      <c r="M84" s="1" t="s">
        <v>62</v>
      </c>
      <c r="N84" s="1">
        <v>-110.0</v>
      </c>
      <c r="O84" s="1">
        <v>0.0227940557629056</v>
      </c>
      <c r="P84" s="1" t="s">
        <v>61</v>
      </c>
      <c r="Q84" s="1" t="s">
        <v>61</v>
      </c>
      <c r="R84" s="1">
        <f t="shared" si="1"/>
        <v>0.02279405576</v>
      </c>
      <c r="S84" s="1">
        <f t="shared" si="2"/>
        <v>-110</v>
      </c>
      <c r="T84" s="1">
        <f t="shared" si="3"/>
        <v>1.909090909</v>
      </c>
      <c r="U84" s="1">
        <f t="shared" si="4"/>
        <v>0</v>
      </c>
      <c r="V84" s="3">
        <f t="shared" si="5"/>
        <v>1</v>
      </c>
      <c r="W84" s="3">
        <f t="shared" si="6"/>
        <v>2</v>
      </c>
      <c r="X84" s="3" t="str">
        <f>IFERROR(__xludf.DUMMYFUNCTION("split(B84,"" "")"),"N.")</f>
        <v>N.</v>
      </c>
      <c r="Y84" s="3" t="str">
        <f>IFERROR(__xludf.DUMMYFUNCTION("""COMPUTED_VALUE"""),"Harris")</f>
        <v>Harris</v>
      </c>
      <c r="AA84" s="8">
        <v>53.0</v>
      </c>
      <c r="AB84" s="3">
        <f t="shared" si="7"/>
        <v>0</v>
      </c>
      <c r="AC84" s="3">
        <f t="shared" si="8"/>
        <v>1</v>
      </c>
      <c r="AD84" s="3">
        <f t="shared" si="9"/>
        <v>0.9090909091</v>
      </c>
      <c r="AE84" s="3">
        <f t="shared" si="10"/>
        <v>0.9090909091</v>
      </c>
      <c r="AF84" s="3">
        <f t="shared" si="11"/>
        <v>1.818181818</v>
      </c>
      <c r="AG84" s="3">
        <f t="shared" si="12"/>
        <v>0.2030075188</v>
      </c>
    </row>
    <row r="85">
      <c r="A85" s="1" t="s">
        <v>12</v>
      </c>
      <c r="B85" s="1" t="s">
        <v>489</v>
      </c>
      <c r="C85" s="1" t="s">
        <v>20</v>
      </c>
      <c r="D85" s="1" t="s">
        <v>110</v>
      </c>
      <c r="E85" s="1" t="s">
        <v>114</v>
      </c>
      <c r="F85" s="1" t="s">
        <v>670</v>
      </c>
      <c r="G85" s="1">
        <v>2.5</v>
      </c>
      <c r="H85" s="1" t="s">
        <v>60</v>
      </c>
      <c r="I85" s="1">
        <v>-103.0</v>
      </c>
      <c r="J85" s="1">
        <v>-0.0839850450246306</v>
      </c>
      <c r="K85" s="1" t="s">
        <v>61</v>
      </c>
      <c r="L85" s="1" t="s">
        <v>61</v>
      </c>
      <c r="M85" s="1" t="s">
        <v>62</v>
      </c>
      <c r="N85" s="1">
        <v>-128.0</v>
      </c>
      <c r="O85" s="1">
        <v>0.0151917986807017</v>
      </c>
      <c r="P85" s="1" t="s">
        <v>61</v>
      </c>
      <c r="Q85" s="1" t="s">
        <v>61</v>
      </c>
      <c r="R85" s="1">
        <f t="shared" si="1"/>
        <v>0.01519179868</v>
      </c>
      <c r="S85" s="1">
        <f t="shared" si="2"/>
        <v>-128</v>
      </c>
      <c r="T85" s="1">
        <f t="shared" si="3"/>
        <v>1.78125</v>
      </c>
      <c r="U85" s="1">
        <f t="shared" si="4"/>
        <v>0</v>
      </c>
      <c r="V85" s="3">
        <f t="shared" si="5"/>
        <v>1</v>
      </c>
      <c r="W85" s="3">
        <f t="shared" si="6"/>
        <v>3</v>
      </c>
      <c r="X85" s="3" t="str">
        <f>IFERROR(__xludf.DUMMYFUNCTION("split(B85,"" "")"),"P.")</f>
        <v>P.</v>
      </c>
      <c r="Y85" s="3" t="str">
        <f>IFERROR(__xludf.DUMMYFUNCTION("""COMPUTED_VALUE"""),"Freiermuth")</f>
        <v>Freiermuth</v>
      </c>
      <c r="AA85" s="8">
        <v>3.0</v>
      </c>
      <c r="AB85" s="3">
        <f t="shared" si="7"/>
        <v>1</v>
      </c>
      <c r="AC85" s="3">
        <f t="shared" si="8"/>
        <v>0</v>
      </c>
      <c r="AD85" s="3">
        <f t="shared" si="9"/>
        <v>0.78125</v>
      </c>
      <c r="AE85" s="3">
        <f t="shared" si="10"/>
        <v>-1</v>
      </c>
      <c r="AF85" s="3">
        <f t="shared" si="11"/>
        <v>-3</v>
      </c>
      <c r="AG85" s="3">
        <f t="shared" si="12"/>
        <v>-0.2</v>
      </c>
    </row>
    <row r="86">
      <c r="A86" s="1" t="s">
        <v>11</v>
      </c>
      <c r="B86" s="1" t="s">
        <v>600</v>
      </c>
      <c r="C86" s="1" t="s">
        <v>18</v>
      </c>
      <c r="D86" s="1" t="s">
        <v>110</v>
      </c>
      <c r="E86" s="1" t="s">
        <v>114</v>
      </c>
      <c r="F86" s="1" t="s">
        <v>670</v>
      </c>
      <c r="G86" s="1">
        <v>21.5</v>
      </c>
      <c r="H86" s="1" t="s">
        <v>60</v>
      </c>
      <c r="I86" s="1">
        <v>-118.0</v>
      </c>
      <c r="J86" s="1">
        <v>-0.0786478188705872</v>
      </c>
      <c r="K86" s="1" t="s">
        <v>61</v>
      </c>
      <c r="L86" s="1" t="s">
        <v>61</v>
      </c>
      <c r="M86" s="1" t="s">
        <v>62</v>
      </c>
      <c r="N86" s="1">
        <v>-111.0</v>
      </c>
      <c r="O86" s="1">
        <v>0.0113210578687427</v>
      </c>
      <c r="P86" s="1" t="s">
        <v>61</v>
      </c>
      <c r="Q86" s="1" t="s">
        <v>61</v>
      </c>
      <c r="R86" s="1">
        <f t="shared" si="1"/>
        <v>0.01132105787</v>
      </c>
      <c r="S86" s="1">
        <f t="shared" si="2"/>
        <v>-111</v>
      </c>
      <c r="T86" s="1">
        <f t="shared" si="3"/>
        <v>1.900900901</v>
      </c>
      <c r="U86" s="1">
        <f t="shared" si="4"/>
        <v>0</v>
      </c>
      <c r="V86" s="3">
        <f t="shared" si="5"/>
        <v>1</v>
      </c>
      <c r="W86" s="3">
        <f t="shared" si="6"/>
        <v>2</v>
      </c>
      <c r="X86" s="3" t="str">
        <f>IFERROR(__xludf.DUMMYFUNCTION("split(B86,"" "")"),"C.")</f>
        <v>C.</v>
      </c>
      <c r="Y86" s="3" t="str">
        <f>IFERROR(__xludf.DUMMYFUNCTION("""COMPUTED_VALUE"""),"Austin")</f>
        <v>Austin</v>
      </c>
      <c r="Z86" s="3" t="str">
        <f>IFERROR(__xludf.DUMMYFUNCTION("""COMPUTED_VALUE"""),"III")</f>
        <v>III</v>
      </c>
      <c r="AA86" s="8">
        <v>20.0</v>
      </c>
      <c r="AB86" s="3">
        <f t="shared" si="7"/>
        <v>0</v>
      </c>
      <c r="AC86" s="3">
        <f t="shared" si="8"/>
        <v>1</v>
      </c>
      <c r="AD86" s="3">
        <f t="shared" si="9"/>
        <v>0.9009009009</v>
      </c>
      <c r="AE86" s="3">
        <f t="shared" si="10"/>
        <v>0.9009009009</v>
      </c>
      <c r="AF86" s="3">
        <f t="shared" si="11"/>
        <v>1.801801802</v>
      </c>
      <c r="AG86" s="3">
        <f t="shared" si="12"/>
        <v>0.06976744186</v>
      </c>
    </row>
    <row r="87">
      <c r="A87" s="1" t="s">
        <v>9</v>
      </c>
      <c r="B87" s="1" t="s">
        <v>123</v>
      </c>
      <c r="C87" s="1" t="s">
        <v>19</v>
      </c>
      <c r="D87" s="1" t="s">
        <v>110</v>
      </c>
      <c r="E87" s="1" t="s">
        <v>114</v>
      </c>
      <c r="F87" s="1" t="s">
        <v>670</v>
      </c>
      <c r="G87" s="1">
        <v>79.5</v>
      </c>
      <c r="H87" s="1" t="s">
        <v>60</v>
      </c>
      <c r="I87" s="1">
        <v>-118.0</v>
      </c>
      <c r="J87" s="1">
        <v>-0.0790389788439806</v>
      </c>
      <c r="K87" s="1" t="s">
        <v>61</v>
      </c>
      <c r="L87" s="1" t="s">
        <v>61</v>
      </c>
      <c r="M87" s="1" t="s">
        <v>62</v>
      </c>
      <c r="N87" s="1">
        <v>-114.0</v>
      </c>
      <c r="O87" s="1">
        <v>0.00510149075843957</v>
      </c>
      <c r="P87" s="1" t="s">
        <v>61</v>
      </c>
      <c r="Q87" s="1" t="s">
        <v>61</v>
      </c>
      <c r="R87" s="1">
        <f t="shared" si="1"/>
        <v>0.005101490758</v>
      </c>
      <c r="S87" s="1">
        <f t="shared" si="2"/>
        <v>-114</v>
      </c>
      <c r="T87" s="1">
        <f t="shared" si="3"/>
        <v>1.877192982</v>
      </c>
      <c r="U87" s="1">
        <f t="shared" si="4"/>
        <v>0</v>
      </c>
      <c r="V87" s="3">
        <f t="shared" si="5"/>
        <v>1</v>
      </c>
      <c r="W87" s="3">
        <f t="shared" si="6"/>
        <v>2</v>
      </c>
      <c r="X87" s="3" t="str">
        <f>IFERROR(__xludf.DUMMYFUNCTION("split(B87,"" "")"),"N.")</f>
        <v>N.</v>
      </c>
      <c r="Y87" s="3" t="str">
        <f>IFERROR(__xludf.DUMMYFUNCTION("""COMPUTED_VALUE"""),"Harris")</f>
        <v>Harris</v>
      </c>
      <c r="AA87" s="8">
        <v>53.0</v>
      </c>
      <c r="AB87" s="3">
        <f t="shared" si="7"/>
        <v>0</v>
      </c>
      <c r="AC87" s="3">
        <f t="shared" si="8"/>
        <v>1</v>
      </c>
      <c r="AD87" s="3">
        <f t="shared" si="9"/>
        <v>0.8771929825</v>
      </c>
      <c r="AE87" s="3">
        <f t="shared" si="10"/>
        <v>0.8771929825</v>
      </c>
      <c r="AF87" s="3">
        <f t="shared" si="11"/>
        <v>1.754385965</v>
      </c>
      <c r="AG87" s="3">
        <f t="shared" si="12"/>
        <v>0.3333333333</v>
      </c>
    </row>
    <row r="88">
      <c r="A88" s="1" t="s">
        <v>11</v>
      </c>
      <c r="B88" s="1" t="s">
        <v>403</v>
      </c>
      <c r="C88" s="1" t="s">
        <v>18</v>
      </c>
      <c r="D88" s="1" t="s">
        <v>110</v>
      </c>
      <c r="E88" s="1" t="s">
        <v>114</v>
      </c>
      <c r="F88" s="1" t="s">
        <v>670</v>
      </c>
      <c r="G88" s="1">
        <v>15.5</v>
      </c>
      <c r="H88" s="1" t="s">
        <v>60</v>
      </c>
      <c r="I88" s="1">
        <v>-116.0</v>
      </c>
      <c r="J88" s="1">
        <v>-0.0739325114901431</v>
      </c>
      <c r="K88" s="1" t="s">
        <v>61</v>
      </c>
      <c r="L88" s="1" t="s">
        <v>61</v>
      </c>
      <c r="M88" s="1" t="s">
        <v>62</v>
      </c>
      <c r="N88" s="1">
        <v>-114.0</v>
      </c>
      <c r="O88" s="1">
        <v>0.00421464312772357</v>
      </c>
      <c r="P88" s="1" t="s">
        <v>61</v>
      </c>
      <c r="Q88" s="1" t="s">
        <v>61</v>
      </c>
      <c r="R88" s="1">
        <f t="shared" si="1"/>
        <v>0.004214643128</v>
      </c>
      <c r="S88" s="1">
        <f t="shared" si="2"/>
        <v>-114</v>
      </c>
      <c r="T88" s="1">
        <f t="shared" si="3"/>
        <v>1.877192982</v>
      </c>
      <c r="U88" s="1">
        <f t="shared" si="4"/>
        <v>0</v>
      </c>
      <c r="V88" s="3">
        <f t="shared" si="5"/>
        <v>1</v>
      </c>
      <c r="W88" s="3">
        <f t="shared" si="6"/>
        <v>2</v>
      </c>
      <c r="X88" s="3" t="str">
        <f>IFERROR(__xludf.DUMMYFUNCTION("split(B88,"" "")"),"V.")</f>
        <v>V.</v>
      </c>
      <c r="Y88" s="3" t="str">
        <f>IFERROR(__xludf.DUMMYFUNCTION("""COMPUTED_VALUE"""),"Jefferson")</f>
        <v>Jefferson</v>
      </c>
      <c r="AA88" s="8">
        <v>0.0</v>
      </c>
      <c r="AB88" s="3">
        <f t="shared" si="7"/>
        <v>0</v>
      </c>
      <c r="AC88" s="3">
        <f t="shared" si="8"/>
        <v>1</v>
      </c>
      <c r="AD88" s="3">
        <f t="shared" si="9"/>
        <v>0.8771929825</v>
      </c>
      <c r="AE88" s="3">
        <f t="shared" si="10"/>
        <v>0.8771929825</v>
      </c>
      <c r="AF88" s="3">
        <f t="shared" si="11"/>
        <v>1.754385965</v>
      </c>
      <c r="AG88" s="3">
        <f t="shared" si="12"/>
        <v>1</v>
      </c>
    </row>
    <row r="89">
      <c r="A89" s="1" t="s">
        <v>11</v>
      </c>
      <c r="B89" s="1" t="s">
        <v>303</v>
      </c>
      <c r="C89" s="1" t="s">
        <v>18</v>
      </c>
      <c r="D89" s="1" t="s">
        <v>110</v>
      </c>
      <c r="E89" s="1" t="s">
        <v>114</v>
      </c>
      <c r="F89" s="1" t="s">
        <v>670</v>
      </c>
      <c r="G89" s="1">
        <v>10.5</v>
      </c>
      <c r="H89" s="1" t="s">
        <v>60</v>
      </c>
      <c r="I89" s="1">
        <v>-113.0</v>
      </c>
      <c r="J89" s="1">
        <v>0.0196175447042474</v>
      </c>
      <c r="K89" s="1" t="s">
        <v>61</v>
      </c>
      <c r="L89" s="1" t="s">
        <v>61</v>
      </c>
      <c r="M89" s="1" t="s">
        <v>62</v>
      </c>
      <c r="N89" s="1">
        <v>-116.0</v>
      </c>
      <c r="O89" s="1">
        <v>-0.087175902525581</v>
      </c>
      <c r="P89" s="1" t="s">
        <v>61</v>
      </c>
      <c r="Q89" s="1" t="s">
        <v>61</v>
      </c>
      <c r="R89" s="1">
        <f t="shared" si="1"/>
        <v>0.0196175447</v>
      </c>
      <c r="S89" s="1">
        <f t="shared" si="2"/>
        <v>-113</v>
      </c>
      <c r="T89" s="1">
        <f t="shared" si="3"/>
        <v>1.884955752</v>
      </c>
      <c r="U89" s="1">
        <f t="shared" si="4"/>
        <v>1</v>
      </c>
      <c r="V89" s="3">
        <f t="shared" si="5"/>
        <v>1</v>
      </c>
      <c r="W89" s="3">
        <f t="shared" si="6"/>
        <v>2</v>
      </c>
      <c r="X89" s="3" t="str">
        <f>IFERROR(__xludf.DUMMYFUNCTION("split(B89,"" "")"),"M.")</f>
        <v>M.</v>
      </c>
      <c r="Y89" s="3" t="str">
        <f>IFERROR(__xludf.DUMMYFUNCTION("""COMPUTED_VALUE"""),"Williams")</f>
        <v>Williams</v>
      </c>
      <c r="AA89" s="8">
        <v>32.0</v>
      </c>
      <c r="AB89" s="3">
        <f t="shared" si="7"/>
        <v>1</v>
      </c>
      <c r="AC89" s="3">
        <f t="shared" si="8"/>
        <v>1</v>
      </c>
      <c r="AD89" s="3">
        <f t="shared" si="9"/>
        <v>0.8849557522</v>
      </c>
      <c r="AE89" s="3">
        <f t="shared" si="10"/>
        <v>0.8849557522</v>
      </c>
      <c r="AF89" s="3">
        <f t="shared" si="11"/>
        <v>1.769911504</v>
      </c>
      <c r="AG89" s="3">
        <f t="shared" si="12"/>
        <v>2.047619048</v>
      </c>
    </row>
    <row r="90">
      <c r="A90" s="1" t="s">
        <v>14</v>
      </c>
      <c r="B90" s="1" t="s">
        <v>214</v>
      </c>
      <c r="C90" s="1" t="s">
        <v>21</v>
      </c>
      <c r="D90" s="1" t="s">
        <v>110</v>
      </c>
      <c r="E90" s="1" t="s">
        <v>114</v>
      </c>
      <c r="F90" s="1" t="s">
        <v>670</v>
      </c>
      <c r="G90" s="1">
        <v>1.5</v>
      </c>
      <c r="H90" s="1" t="s">
        <v>60</v>
      </c>
      <c r="I90" s="1">
        <v>131.0</v>
      </c>
      <c r="J90" s="1">
        <v>0.0287995670995671</v>
      </c>
      <c r="K90" s="1" t="s">
        <v>61</v>
      </c>
      <c r="L90" s="1" t="s">
        <v>61</v>
      </c>
      <c r="M90" s="1" t="s">
        <v>62</v>
      </c>
      <c r="N90" s="1">
        <v>-173.0</v>
      </c>
      <c r="O90" s="1">
        <v>-0.0953996336996337</v>
      </c>
      <c r="P90" s="1" t="s">
        <v>61</v>
      </c>
      <c r="Q90" s="1" t="s">
        <v>61</v>
      </c>
      <c r="R90" s="1">
        <f t="shared" si="1"/>
        <v>0.0287995671</v>
      </c>
      <c r="S90" s="1">
        <f t="shared" si="2"/>
        <v>131</v>
      </c>
      <c r="T90" s="1">
        <f t="shared" si="3"/>
        <v>2.31</v>
      </c>
      <c r="U90" s="1">
        <f t="shared" si="4"/>
        <v>1</v>
      </c>
      <c r="V90" s="3">
        <f t="shared" si="5"/>
        <v>1</v>
      </c>
      <c r="W90" s="3">
        <f t="shared" si="6"/>
        <v>1</v>
      </c>
      <c r="X90" s="3" t="str">
        <f>IFERROR(__xludf.DUMMYFUNCTION("split(B90,"" "")"),"R.")</f>
        <v>R.</v>
      </c>
      <c r="Y90" s="3" t="str">
        <f>IFERROR(__xludf.DUMMYFUNCTION("""COMPUTED_VALUE"""),"Wilson")</f>
        <v>Wilson</v>
      </c>
      <c r="AA90" s="8">
        <v>3.0</v>
      </c>
      <c r="AB90" s="3">
        <f t="shared" si="7"/>
        <v>1</v>
      </c>
      <c r="AC90" s="3">
        <f t="shared" si="8"/>
        <v>1</v>
      </c>
      <c r="AD90" s="3">
        <f t="shared" si="9"/>
        <v>1.31</v>
      </c>
      <c r="AE90" s="3">
        <f t="shared" si="10"/>
        <v>1.31</v>
      </c>
      <c r="AF90" s="3">
        <f t="shared" si="11"/>
        <v>1.31</v>
      </c>
      <c r="AG90" s="3">
        <f t="shared" si="12"/>
        <v>1</v>
      </c>
    </row>
    <row r="91">
      <c r="A91" s="1" t="s">
        <v>9</v>
      </c>
      <c r="B91" s="1" t="s">
        <v>177</v>
      </c>
      <c r="C91" s="1" t="s">
        <v>19</v>
      </c>
      <c r="D91" s="1" t="s">
        <v>110</v>
      </c>
      <c r="E91" s="1" t="s">
        <v>114</v>
      </c>
      <c r="F91" s="1" t="s">
        <v>670</v>
      </c>
      <c r="G91" s="1">
        <v>49.5</v>
      </c>
      <c r="H91" s="1" t="s">
        <v>60</v>
      </c>
      <c r="I91" s="1">
        <v>-113.0</v>
      </c>
      <c r="J91" s="1">
        <v>0.0240499448070592</v>
      </c>
      <c r="K91" s="1" t="s">
        <v>61</v>
      </c>
      <c r="L91" s="1" t="s">
        <v>61</v>
      </c>
      <c r="M91" s="1" t="s">
        <v>62</v>
      </c>
      <c r="N91" s="1">
        <v>-120.0</v>
      </c>
      <c r="O91" s="1">
        <v>-0.100031663148565</v>
      </c>
      <c r="P91" s="1" t="s">
        <v>61</v>
      </c>
      <c r="Q91" s="1" t="s">
        <v>61</v>
      </c>
      <c r="R91" s="1">
        <f t="shared" si="1"/>
        <v>0.02404994481</v>
      </c>
      <c r="S91" s="1">
        <f t="shared" si="2"/>
        <v>-113</v>
      </c>
      <c r="T91" s="1">
        <f t="shared" si="3"/>
        <v>1.884955752</v>
      </c>
      <c r="U91" s="1">
        <f t="shared" si="4"/>
        <v>1</v>
      </c>
      <c r="V91" s="3">
        <f t="shared" si="5"/>
        <v>1</v>
      </c>
      <c r="W91" s="3">
        <f t="shared" si="6"/>
        <v>2</v>
      </c>
      <c r="X91" s="3" t="str">
        <f>IFERROR(__xludf.DUMMYFUNCTION("split(B91,"" "")"),"J.")</f>
        <v>J.</v>
      </c>
      <c r="Y91" s="3" t="str">
        <f>IFERROR(__xludf.DUMMYFUNCTION("""COMPUTED_VALUE"""),"Warren")</f>
        <v>Warren</v>
      </c>
      <c r="AA91" s="8">
        <v>95.0</v>
      </c>
      <c r="AB91" s="3">
        <f t="shared" si="7"/>
        <v>1</v>
      </c>
      <c r="AC91" s="3">
        <f t="shared" si="8"/>
        <v>1</v>
      </c>
      <c r="AD91" s="3">
        <f t="shared" si="9"/>
        <v>0.8849557522</v>
      </c>
      <c r="AE91" s="3">
        <f t="shared" si="10"/>
        <v>0.8849557522</v>
      </c>
      <c r="AF91" s="3">
        <f t="shared" si="11"/>
        <v>1.769911504</v>
      </c>
      <c r="AG91" s="3">
        <f t="shared" si="12"/>
        <v>0.9191919192</v>
      </c>
    </row>
    <row r="92">
      <c r="A92" s="1" t="s">
        <v>11</v>
      </c>
      <c r="B92" s="1" t="s">
        <v>123</v>
      </c>
      <c r="C92" s="1" t="s">
        <v>19</v>
      </c>
      <c r="D92" s="1" t="s">
        <v>110</v>
      </c>
      <c r="E92" s="1" t="s">
        <v>114</v>
      </c>
      <c r="F92" s="1" t="s">
        <v>670</v>
      </c>
      <c r="G92" s="1">
        <v>9.5</v>
      </c>
      <c r="H92" s="1" t="s">
        <v>60</v>
      </c>
      <c r="I92" s="1">
        <v>-114.0</v>
      </c>
      <c r="J92" s="1">
        <v>0.0368235271974365</v>
      </c>
      <c r="K92" s="1" t="s">
        <v>61</v>
      </c>
      <c r="L92" s="1" t="s">
        <v>61</v>
      </c>
      <c r="M92" s="1" t="s">
        <v>62</v>
      </c>
      <c r="N92" s="1">
        <v>-113.0</v>
      </c>
      <c r="O92" s="1">
        <v>-0.100054813835136</v>
      </c>
      <c r="P92" s="1" t="s">
        <v>61</v>
      </c>
      <c r="Q92" s="1" t="s">
        <v>61</v>
      </c>
      <c r="R92" s="1">
        <f t="shared" si="1"/>
        <v>0.0368235272</v>
      </c>
      <c r="S92" s="1">
        <f t="shared" si="2"/>
        <v>-114</v>
      </c>
      <c r="T92" s="1">
        <f t="shared" si="3"/>
        <v>1.877192982</v>
      </c>
      <c r="U92" s="1">
        <f t="shared" si="4"/>
        <v>1</v>
      </c>
      <c r="V92" s="3">
        <f t="shared" si="5"/>
        <v>1</v>
      </c>
      <c r="W92" s="3">
        <f t="shared" si="6"/>
        <v>2</v>
      </c>
      <c r="X92" s="3" t="str">
        <f>IFERROR(__xludf.DUMMYFUNCTION("split(B92,"" "")"),"N.")</f>
        <v>N.</v>
      </c>
      <c r="Y92" s="3" t="str">
        <f>IFERROR(__xludf.DUMMYFUNCTION("""COMPUTED_VALUE"""),"Harris")</f>
        <v>Harris</v>
      </c>
      <c r="AA92" s="8">
        <v>0.0</v>
      </c>
      <c r="AB92" s="3">
        <f t="shared" si="7"/>
        <v>0</v>
      </c>
      <c r="AC92" s="3">
        <f t="shared" si="8"/>
        <v>0</v>
      </c>
      <c r="AD92" s="3">
        <f t="shared" si="9"/>
        <v>0.8771929825</v>
      </c>
      <c r="AE92" s="3">
        <f t="shared" si="10"/>
        <v>-1</v>
      </c>
      <c r="AF92" s="3">
        <f t="shared" si="11"/>
        <v>-2</v>
      </c>
      <c r="AG92" s="3">
        <f t="shared" si="12"/>
        <v>-1</v>
      </c>
    </row>
    <row r="93">
      <c r="A93" s="1" t="s">
        <v>11</v>
      </c>
      <c r="B93" s="1" t="s">
        <v>602</v>
      </c>
      <c r="C93" s="1" t="s">
        <v>20</v>
      </c>
      <c r="D93" s="1" t="s">
        <v>110</v>
      </c>
      <c r="E93" s="1" t="s">
        <v>114</v>
      </c>
      <c r="F93" s="1" t="s">
        <v>670</v>
      </c>
      <c r="G93" s="1">
        <v>7.5</v>
      </c>
      <c r="H93" s="1" t="s">
        <v>60</v>
      </c>
      <c r="I93" s="1">
        <v>-119.0</v>
      </c>
      <c r="J93" s="1">
        <v>0.0532170537347674</v>
      </c>
      <c r="K93" s="1" t="s">
        <v>61</v>
      </c>
      <c r="L93" s="1" t="s">
        <v>61</v>
      </c>
      <c r="M93" s="1" t="s">
        <v>62</v>
      </c>
      <c r="N93" s="1">
        <v>-109.0</v>
      </c>
      <c r="O93" s="1">
        <v>-0.118112372713044</v>
      </c>
      <c r="P93" s="1" t="s">
        <v>61</v>
      </c>
      <c r="Q93" s="1" t="s">
        <v>61</v>
      </c>
      <c r="R93" s="1">
        <f t="shared" si="1"/>
        <v>0.05321705373</v>
      </c>
      <c r="S93" s="1">
        <f t="shared" si="2"/>
        <v>-119</v>
      </c>
      <c r="T93" s="1">
        <f t="shared" si="3"/>
        <v>1.840336134</v>
      </c>
      <c r="U93" s="1">
        <f t="shared" si="4"/>
        <v>1</v>
      </c>
      <c r="V93" s="3">
        <f t="shared" si="5"/>
        <v>2</v>
      </c>
      <c r="W93" s="3">
        <f t="shared" si="6"/>
        <v>3</v>
      </c>
      <c r="X93" s="3" t="str">
        <f>IFERROR(__xludf.DUMMYFUNCTION("split(B93,"" "")"),"D.")</f>
        <v>D.</v>
      </c>
      <c r="Y93" s="3" t="str">
        <f>IFERROR(__xludf.DUMMYFUNCTION("""COMPUTED_VALUE"""),"Washington")</f>
        <v>Washington</v>
      </c>
      <c r="AA93" s="8">
        <v>6.0</v>
      </c>
      <c r="AB93" s="3">
        <f t="shared" si="7"/>
        <v>0</v>
      </c>
      <c r="AC93" s="3">
        <f t="shared" si="8"/>
        <v>0</v>
      </c>
      <c r="AD93" s="3">
        <f t="shared" si="9"/>
        <v>1.680672269</v>
      </c>
      <c r="AE93" s="3">
        <f t="shared" si="10"/>
        <v>-2</v>
      </c>
      <c r="AF93" s="3">
        <f t="shared" si="11"/>
        <v>-3</v>
      </c>
      <c r="AG93" s="3">
        <f t="shared" si="12"/>
        <v>-0.2</v>
      </c>
    </row>
    <row r="94">
      <c r="A94" s="1" t="s">
        <v>9</v>
      </c>
      <c r="B94" s="1" t="s">
        <v>600</v>
      </c>
      <c r="C94" s="1" t="s">
        <v>18</v>
      </c>
      <c r="D94" s="1" t="s">
        <v>110</v>
      </c>
      <c r="E94" s="1" t="s">
        <v>114</v>
      </c>
      <c r="F94" s="1" t="s">
        <v>670</v>
      </c>
      <c r="G94" s="1">
        <v>23.5</v>
      </c>
      <c r="H94" s="1" t="s">
        <v>60</v>
      </c>
      <c r="I94" s="1">
        <v>-114.0</v>
      </c>
      <c r="J94" s="1">
        <v>0.0674508531420111</v>
      </c>
      <c r="K94" s="1" t="s">
        <v>61</v>
      </c>
      <c r="L94" s="1" t="s">
        <v>61</v>
      </c>
      <c r="M94" s="1" t="s">
        <v>62</v>
      </c>
      <c r="N94" s="1">
        <v>-119.0</v>
      </c>
      <c r="O94" s="1">
        <v>-0.14348495096413</v>
      </c>
      <c r="P94" s="1" t="s">
        <v>61</v>
      </c>
      <c r="Q94" s="1" t="s">
        <v>61</v>
      </c>
      <c r="R94" s="1">
        <f t="shared" si="1"/>
        <v>0.06745085314</v>
      </c>
      <c r="S94" s="1">
        <f t="shared" si="2"/>
        <v>-114</v>
      </c>
      <c r="T94" s="1">
        <f t="shared" si="3"/>
        <v>1.877192982</v>
      </c>
      <c r="U94" s="1">
        <f t="shared" si="4"/>
        <v>1</v>
      </c>
      <c r="V94" s="3">
        <f t="shared" si="5"/>
        <v>2</v>
      </c>
      <c r="W94" s="3">
        <f t="shared" si="6"/>
        <v>2</v>
      </c>
      <c r="X94" s="3" t="str">
        <f>IFERROR(__xludf.DUMMYFUNCTION("split(B94,"" "")"),"C.")</f>
        <v>C.</v>
      </c>
      <c r="Y94" s="3" t="str">
        <f>IFERROR(__xludf.DUMMYFUNCTION("""COMPUTED_VALUE"""),"Austin")</f>
        <v>Austin</v>
      </c>
      <c r="Z94" s="3" t="str">
        <f>IFERROR(__xludf.DUMMYFUNCTION("""COMPUTED_VALUE"""),"III")</f>
        <v>III</v>
      </c>
      <c r="AA94" s="8">
        <v>20.0</v>
      </c>
      <c r="AB94" s="3">
        <f t="shared" si="7"/>
        <v>0</v>
      </c>
      <c r="AC94" s="3">
        <f t="shared" si="8"/>
        <v>0</v>
      </c>
      <c r="AD94" s="3">
        <f t="shared" si="9"/>
        <v>1.754385965</v>
      </c>
      <c r="AE94" s="3">
        <f t="shared" si="10"/>
        <v>-2</v>
      </c>
      <c r="AF94" s="3">
        <f t="shared" si="11"/>
        <v>-2</v>
      </c>
      <c r="AG94" s="3">
        <f t="shared" si="12"/>
        <v>-0.1489361702</v>
      </c>
    </row>
    <row r="95">
      <c r="A95" s="1" t="s">
        <v>9</v>
      </c>
      <c r="B95" s="1" t="s">
        <v>403</v>
      </c>
      <c r="C95" s="1" t="s">
        <v>18</v>
      </c>
      <c r="D95" s="1" t="s">
        <v>110</v>
      </c>
      <c r="E95" s="1" t="s">
        <v>114</v>
      </c>
      <c r="F95" s="1" t="s">
        <v>670</v>
      </c>
      <c r="G95" s="1">
        <v>15.5</v>
      </c>
      <c r="H95" s="1" t="s">
        <v>60</v>
      </c>
      <c r="I95" s="1">
        <v>-120.0</v>
      </c>
      <c r="J95" s="1">
        <v>0.111742033904974</v>
      </c>
      <c r="K95" s="1" t="s">
        <v>61</v>
      </c>
      <c r="L95" s="1" t="s">
        <v>61</v>
      </c>
      <c r="M95" s="1" t="s">
        <v>62</v>
      </c>
      <c r="N95" s="1">
        <v>-113.0</v>
      </c>
      <c r="O95" s="1">
        <v>-0.187729153186744</v>
      </c>
      <c r="P95" s="1" t="s">
        <v>61</v>
      </c>
      <c r="Q95" s="1" t="s">
        <v>61</v>
      </c>
      <c r="R95" s="1">
        <f t="shared" si="1"/>
        <v>0.1117420339</v>
      </c>
      <c r="S95" s="1">
        <f t="shared" si="2"/>
        <v>-120</v>
      </c>
      <c r="T95" s="1">
        <f t="shared" si="3"/>
        <v>1.833333333</v>
      </c>
      <c r="U95" s="1">
        <f t="shared" si="4"/>
        <v>1</v>
      </c>
      <c r="V95" s="3">
        <f t="shared" si="5"/>
        <v>3</v>
      </c>
      <c r="W95" s="3">
        <f t="shared" si="6"/>
        <v>3</v>
      </c>
      <c r="X95" s="3" t="str">
        <f>IFERROR(__xludf.DUMMYFUNCTION("split(B95,"" "")"),"V.")</f>
        <v>V.</v>
      </c>
      <c r="Y95" s="3" t="str">
        <f>IFERROR(__xludf.DUMMYFUNCTION("""COMPUTED_VALUE"""),"Jefferson")</f>
        <v>Jefferson</v>
      </c>
      <c r="AA95" s="8">
        <v>0.0</v>
      </c>
      <c r="AB95" s="3">
        <f t="shared" si="7"/>
        <v>0</v>
      </c>
      <c r="AC95" s="3">
        <f t="shared" si="8"/>
        <v>0</v>
      </c>
      <c r="AD95" s="3">
        <f t="shared" si="9"/>
        <v>2.5</v>
      </c>
      <c r="AE95" s="3">
        <f t="shared" si="10"/>
        <v>-3</v>
      </c>
      <c r="AF95" s="3">
        <f t="shared" si="11"/>
        <v>-3</v>
      </c>
      <c r="AG95" s="3">
        <f t="shared" si="12"/>
        <v>-1</v>
      </c>
    </row>
    <row r="96">
      <c r="A96" s="1" t="s">
        <v>12</v>
      </c>
      <c r="B96" s="1" t="s">
        <v>366</v>
      </c>
      <c r="C96" s="1" t="s">
        <v>20</v>
      </c>
      <c r="D96" s="1" t="s">
        <v>156</v>
      </c>
      <c r="E96" s="1" t="s">
        <v>88</v>
      </c>
      <c r="F96" s="1" t="s">
        <v>674</v>
      </c>
      <c r="G96" s="1">
        <v>2.5</v>
      </c>
      <c r="H96" s="1" t="s">
        <v>60</v>
      </c>
      <c r="I96" s="1">
        <v>-169.0</v>
      </c>
      <c r="J96" s="1">
        <v>-0.198812324423791</v>
      </c>
      <c r="K96" s="1" t="s">
        <v>61</v>
      </c>
      <c r="L96" s="1" t="s">
        <v>61</v>
      </c>
      <c r="M96" s="1" t="s">
        <v>62</v>
      </c>
      <c r="N96" s="1">
        <v>130.0</v>
      </c>
      <c r="O96" s="1">
        <v>0.135770066391304</v>
      </c>
      <c r="P96" s="1" t="s">
        <v>61</v>
      </c>
      <c r="Q96" s="1" t="s">
        <v>61</v>
      </c>
      <c r="R96" s="1">
        <f t="shared" si="1"/>
        <v>0.1357700664</v>
      </c>
      <c r="S96" s="1">
        <f t="shared" si="2"/>
        <v>130</v>
      </c>
      <c r="T96" s="1">
        <f t="shared" si="3"/>
        <v>2.3</v>
      </c>
      <c r="U96" s="1">
        <f t="shared" si="4"/>
        <v>0</v>
      </c>
      <c r="V96" s="3">
        <f t="shared" si="5"/>
        <v>3</v>
      </c>
      <c r="W96" s="3">
        <f t="shared" si="6"/>
        <v>1</v>
      </c>
      <c r="X96" s="3" t="str">
        <f>IFERROR(__xludf.DUMMYFUNCTION("split(B96,"" "")"),"D.")</f>
        <v>D.</v>
      </c>
      <c r="Y96" s="3" t="str">
        <f>IFERROR(__xludf.DUMMYFUNCTION("""COMPUTED_VALUE"""),"Goedert")</f>
        <v>Goedert</v>
      </c>
      <c r="AA96" s="8">
        <v>2.0</v>
      </c>
      <c r="AB96" s="3">
        <f t="shared" si="7"/>
        <v>0</v>
      </c>
      <c r="AC96" s="3">
        <f t="shared" si="8"/>
        <v>1</v>
      </c>
      <c r="AD96" s="3">
        <f t="shared" si="9"/>
        <v>3.9</v>
      </c>
      <c r="AE96" s="3">
        <f t="shared" si="10"/>
        <v>3.9</v>
      </c>
      <c r="AF96" s="3">
        <f t="shared" si="11"/>
        <v>1.3</v>
      </c>
      <c r="AG96" s="3">
        <f t="shared" si="12"/>
        <v>0.2</v>
      </c>
    </row>
    <row r="97">
      <c r="A97" s="1" t="s">
        <v>8</v>
      </c>
      <c r="B97" s="1" t="s">
        <v>338</v>
      </c>
      <c r="C97" s="1" t="s">
        <v>21</v>
      </c>
      <c r="D97" s="1" t="s">
        <v>156</v>
      </c>
      <c r="E97" s="1" t="s">
        <v>88</v>
      </c>
      <c r="F97" s="1" t="s">
        <v>674</v>
      </c>
      <c r="G97" s="1">
        <v>9.5</v>
      </c>
      <c r="H97" s="1" t="s">
        <v>60</v>
      </c>
      <c r="I97" s="1">
        <v>-120.0</v>
      </c>
      <c r="J97" s="1">
        <v>-0.175351200720854</v>
      </c>
      <c r="K97" s="1" t="s">
        <v>61</v>
      </c>
      <c r="L97" s="1" t="s">
        <v>61</v>
      </c>
      <c r="M97" s="1" t="s">
        <v>62</v>
      </c>
      <c r="N97" s="1">
        <v>-113.0</v>
      </c>
      <c r="O97" s="1">
        <v>0.0993796643155139</v>
      </c>
      <c r="P97" s="1" t="s">
        <v>61</v>
      </c>
      <c r="Q97" s="1" t="s">
        <v>61</v>
      </c>
      <c r="R97" s="1">
        <f t="shared" si="1"/>
        <v>0.09937966432</v>
      </c>
      <c r="S97" s="1">
        <f t="shared" si="2"/>
        <v>-113</v>
      </c>
      <c r="T97" s="1">
        <f t="shared" si="3"/>
        <v>1.884955752</v>
      </c>
      <c r="U97" s="1">
        <f t="shared" si="4"/>
        <v>0</v>
      </c>
      <c r="V97" s="3">
        <f t="shared" si="5"/>
        <v>2</v>
      </c>
      <c r="W97" s="3">
        <f t="shared" si="6"/>
        <v>2</v>
      </c>
      <c r="X97" s="3" t="str">
        <f>IFERROR(__xludf.DUMMYFUNCTION("split(B97,"" "")"),"J.")</f>
        <v>J.</v>
      </c>
      <c r="Y97" s="3" t="str">
        <f>IFERROR(__xludf.DUMMYFUNCTION("""COMPUTED_VALUE"""),"Hurts")</f>
        <v>Hurts</v>
      </c>
      <c r="AA97" s="8">
        <v>7.0</v>
      </c>
      <c r="AB97" s="3">
        <f t="shared" si="7"/>
        <v>0</v>
      </c>
      <c r="AC97" s="3">
        <f t="shared" si="8"/>
        <v>1</v>
      </c>
      <c r="AD97" s="3">
        <f t="shared" si="9"/>
        <v>1.769911504</v>
      </c>
      <c r="AE97" s="3">
        <f t="shared" si="10"/>
        <v>1.769911504</v>
      </c>
      <c r="AF97" s="3">
        <f t="shared" si="11"/>
        <v>1.769911504</v>
      </c>
      <c r="AG97" s="3">
        <f t="shared" si="12"/>
        <v>0.2631578947</v>
      </c>
    </row>
    <row r="98">
      <c r="A98" s="1" t="s">
        <v>10</v>
      </c>
      <c r="B98" s="1" t="s">
        <v>243</v>
      </c>
      <c r="C98" s="1" t="s">
        <v>19</v>
      </c>
      <c r="D98" s="1" t="s">
        <v>156</v>
      </c>
      <c r="E98" s="1" t="s">
        <v>88</v>
      </c>
      <c r="F98" s="1" t="s">
        <v>674</v>
      </c>
      <c r="G98" s="1">
        <v>13.5</v>
      </c>
      <c r="H98" s="1" t="s">
        <v>60</v>
      </c>
      <c r="I98" s="1">
        <v>-104.0</v>
      </c>
      <c r="J98" s="1">
        <v>-0.125688202858693</v>
      </c>
      <c r="K98" s="1" t="s">
        <v>61</v>
      </c>
      <c r="L98" s="1" t="s">
        <v>61</v>
      </c>
      <c r="M98" s="1" t="s">
        <v>62</v>
      </c>
      <c r="N98" s="1">
        <v>-122.0</v>
      </c>
      <c r="O98" s="1">
        <v>0.0663328285021246</v>
      </c>
      <c r="P98" s="1" t="s">
        <v>61</v>
      </c>
      <c r="Q98" s="1" t="s">
        <v>61</v>
      </c>
      <c r="R98" s="1">
        <f t="shared" si="1"/>
        <v>0.0663328285</v>
      </c>
      <c r="S98" s="1">
        <f t="shared" si="2"/>
        <v>-122</v>
      </c>
      <c r="T98" s="1">
        <f t="shared" si="3"/>
        <v>1.819672131</v>
      </c>
      <c r="U98" s="1">
        <f t="shared" si="4"/>
        <v>0</v>
      </c>
      <c r="V98" s="3">
        <f t="shared" si="5"/>
        <v>2</v>
      </c>
      <c r="W98" s="3">
        <f t="shared" si="6"/>
        <v>3</v>
      </c>
      <c r="X98" s="3" t="str">
        <f>IFERROR(__xludf.DUMMYFUNCTION("split(B98,"" "")"),"K.")</f>
        <v>K.</v>
      </c>
      <c r="Y98" s="3" t="str">
        <f>IFERROR(__xludf.DUMMYFUNCTION("""COMPUTED_VALUE"""),"Gainwell")</f>
        <v>Gainwell</v>
      </c>
      <c r="AA98" s="8">
        <v>30.0</v>
      </c>
      <c r="AB98" s="3">
        <f t="shared" si="7"/>
        <v>1</v>
      </c>
      <c r="AC98" s="3">
        <f t="shared" si="8"/>
        <v>0</v>
      </c>
      <c r="AD98" s="3">
        <f t="shared" si="9"/>
        <v>1.639344262</v>
      </c>
      <c r="AE98" s="3">
        <f t="shared" si="10"/>
        <v>-2</v>
      </c>
      <c r="AF98" s="3">
        <f t="shared" si="11"/>
        <v>-3</v>
      </c>
      <c r="AG98" s="3">
        <f t="shared" si="12"/>
        <v>-1.222222222</v>
      </c>
    </row>
    <row r="99">
      <c r="A99" s="1" t="s">
        <v>12</v>
      </c>
      <c r="B99" s="1" t="s">
        <v>155</v>
      </c>
      <c r="C99" s="1" t="s">
        <v>19</v>
      </c>
      <c r="D99" s="1" t="s">
        <v>156</v>
      </c>
      <c r="E99" s="1" t="s">
        <v>88</v>
      </c>
      <c r="F99" s="1" t="s">
        <v>674</v>
      </c>
      <c r="G99" s="1">
        <v>2.5</v>
      </c>
      <c r="H99" s="1" t="s">
        <v>60</v>
      </c>
      <c r="I99" s="1">
        <v>107.0</v>
      </c>
      <c r="J99" s="1">
        <v>-0.124789556050241</v>
      </c>
      <c r="K99" s="1" t="s">
        <v>61</v>
      </c>
      <c r="L99" s="1" t="s">
        <v>61</v>
      </c>
      <c r="M99" s="1" t="s">
        <v>62</v>
      </c>
      <c r="N99" s="1">
        <v>-139.0</v>
      </c>
      <c r="O99" s="1">
        <v>0.0601075312334727</v>
      </c>
      <c r="P99" s="1" t="s">
        <v>61</v>
      </c>
      <c r="Q99" s="1" t="s">
        <v>61</v>
      </c>
      <c r="R99" s="1">
        <f t="shared" si="1"/>
        <v>0.06010753123</v>
      </c>
      <c r="S99" s="1">
        <f t="shared" si="2"/>
        <v>-139</v>
      </c>
      <c r="T99" s="1">
        <f t="shared" si="3"/>
        <v>1.71942446</v>
      </c>
      <c r="U99" s="1">
        <f t="shared" si="4"/>
        <v>0</v>
      </c>
      <c r="V99" s="3">
        <f t="shared" si="5"/>
        <v>2</v>
      </c>
      <c r="W99" s="3">
        <f t="shared" si="6"/>
        <v>3</v>
      </c>
      <c r="X99" s="3" t="str">
        <f>IFERROR(__xludf.DUMMYFUNCTION("split(B99,"" "")"),"S.")</f>
        <v>S.</v>
      </c>
      <c r="Y99" s="3" t="str">
        <f>IFERROR(__xludf.DUMMYFUNCTION("""COMPUTED_VALUE"""),"Barkley")</f>
        <v>Barkley</v>
      </c>
      <c r="AA99" s="8">
        <v>1.0</v>
      </c>
      <c r="AB99" s="3">
        <f t="shared" si="7"/>
        <v>0</v>
      </c>
      <c r="AC99" s="3">
        <f t="shared" si="8"/>
        <v>1</v>
      </c>
      <c r="AD99" s="3">
        <f t="shared" si="9"/>
        <v>1.438848921</v>
      </c>
      <c r="AE99" s="3">
        <f t="shared" si="10"/>
        <v>1.438848921</v>
      </c>
      <c r="AF99" s="3">
        <f t="shared" si="11"/>
        <v>2.158273381</v>
      </c>
      <c r="AG99" s="3">
        <f t="shared" si="12"/>
        <v>0.6</v>
      </c>
    </row>
    <row r="100">
      <c r="A100" s="1" t="s">
        <v>10</v>
      </c>
      <c r="B100" s="1" t="s">
        <v>338</v>
      </c>
      <c r="C100" s="1" t="s">
        <v>21</v>
      </c>
      <c r="D100" s="1" t="s">
        <v>156</v>
      </c>
      <c r="E100" s="1" t="s">
        <v>88</v>
      </c>
      <c r="F100" s="1" t="s">
        <v>674</v>
      </c>
      <c r="G100" s="1">
        <v>34.5</v>
      </c>
      <c r="H100" s="1" t="s">
        <v>60</v>
      </c>
      <c r="I100" s="1">
        <v>-113.0</v>
      </c>
      <c r="J100" s="1">
        <v>-0.0745832214665559</v>
      </c>
      <c r="K100" s="1" t="s">
        <v>61</v>
      </c>
      <c r="L100" s="1" t="s">
        <v>61</v>
      </c>
      <c r="M100" s="1" t="s">
        <v>62</v>
      </c>
      <c r="N100" s="1">
        <v>-116.0</v>
      </c>
      <c r="O100" s="1">
        <v>0.00715311744813251</v>
      </c>
      <c r="P100" s="1" t="s">
        <v>61</v>
      </c>
      <c r="Q100" s="1" t="s">
        <v>61</v>
      </c>
      <c r="R100" s="1">
        <f t="shared" si="1"/>
        <v>0.007153117448</v>
      </c>
      <c r="S100" s="1">
        <f t="shared" si="2"/>
        <v>-116</v>
      </c>
      <c r="T100" s="1">
        <f t="shared" si="3"/>
        <v>1.862068966</v>
      </c>
      <c r="U100" s="1">
        <f t="shared" si="4"/>
        <v>0</v>
      </c>
      <c r="V100" s="3">
        <f t="shared" si="5"/>
        <v>1</v>
      </c>
      <c r="W100" s="3">
        <f t="shared" si="6"/>
        <v>2</v>
      </c>
      <c r="X100" s="3" t="str">
        <f>IFERROR(__xludf.DUMMYFUNCTION("split(B100,"" "")"),"J.")</f>
        <v>J.</v>
      </c>
      <c r="Y100" s="3" t="str">
        <f>IFERROR(__xludf.DUMMYFUNCTION("""COMPUTED_VALUE"""),"Hurts")</f>
        <v>Hurts</v>
      </c>
      <c r="AA100" s="8">
        <v>56.0</v>
      </c>
      <c r="AB100" s="3">
        <f t="shared" si="7"/>
        <v>1</v>
      </c>
      <c r="AC100" s="3">
        <f t="shared" si="8"/>
        <v>0</v>
      </c>
      <c r="AD100" s="3">
        <f t="shared" si="9"/>
        <v>0.8620689655</v>
      </c>
      <c r="AE100" s="3">
        <f t="shared" si="10"/>
        <v>-1</v>
      </c>
      <c r="AF100" s="3">
        <f t="shared" si="11"/>
        <v>-2</v>
      </c>
      <c r="AG100" s="3">
        <f t="shared" si="12"/>
        <v>-0.6231884058</v>
      </c>
    </row>
    <row r="101">
      <c r="A101" s="1" t="s">
        <v>11</v>
      </c>
      <c r="B101" s="1" t="s">
        <v>366</v>
      </c>
      <c r="C101" s="1" t="s">
        <v>20</v>
      </c>
      <c r="D101" s="1" t="s">
        <v>156</v>
      </c>
      <c r="E101" s="1" t="s">
        <v>88</v>
      </c>
      <c r="F101" s="1" t="s">
        <v>674</v>
      </c>
      <c r="G101" s="1">
        <v>30.5</v>
      </c>
      <c r="H101" s="1" t="s">
        <v>60</v>
      </c>
      <c r="I101" s="1">
        <v>-115.0</v>
      </c>
      <c r="J101" s="1">
        <v>-0.0712413167326513</v>
      </c>
      <c r="K101" s="1" t="s">
        <v>61</v>
      </c>
      <c r="L101" s="1" t="s">
        <v>61</v>
      </c>
      <c r="M101" s="1" t="s">
        <v>62</v>
      </c>
      <c r="N101" s="1">
        <v>-114.0</v>
      </c>
      <c r="O101" s="1">
        <v>0.00368404760987306</v>
      </c>
      <c r="P101" s="1" t="s">
        <v>61</v>
      </c>
      <c r="Q101" s="1" t="s">
        <v>61</v>
      </c>
      <c r="R101" s="1">
        <f t="shared" si="1"/>
        <v>0.00368404761</v>
      </c>
      <c r="S101" s="1">
        <f t="shared" si="2"/>
        <v>-114</v>
      </c>
      <c r="T101" s="1">
        <f t="shared" si="3"/>
        <v>1.877192982</v>
      </c>
      <c r="U101" s="1">
        <f t="shared" si="4"/>
        <v>0</v>
      </c>
      <c r="V101" s="3">
        <f t="shared" si="5"/>
        <v>1</v>
      </c>
      <c r="W101" s="3">
        <f t="shared" si="6"/>
        <v>2</v>
      </c>
      <c r="X101" s="3" t="str">
        <f>IFERROR(__xludf.DUMMYFUNCTION("split(B101,"" "")"),"D.")</f>
        <v>D.</v>
      </c>
      <c r="Y101" s="3" t="str">
        <f>IFERROR(__xludf.DUMMYFUNCTION("""COMPUTED_VALUE"""),"Goedert")</f>
        <v>Goedert</v>
      </c>
      <c r="AA101" s="8">
        <v>25.0</v>
      </c>
      <c r="AB101" s="3">
        <f t="shared" si="7"/>
        <v>0</v>
      </c>
      <c r="AC101" s="3">
        <f t="shared" si="8"/>
        <v>1</v>
      </c>
      <c r="AD101" s="3">
        <f t="shared" si="9"/>
        <v>0.8771929825</v>
      </c>
      <c r="AE101" s="3">
        <f t="shared" si="10"/>
        <v>0.8771929825</v>
      </c>
      <c r="AF101" s="3">
        <f t="shared" si="11"/>
        <v>1.754385965</v>
      </c>
      <c r="AG101" s="3">
        <f t="shared" si="12"/>
        <v>0.1803278689</v>
      </c>
    </row>
    <row r="102">
      <c r="A102" s="1" t="s">
        <v>14</v>
      </c>
      <c r="B102" s="1" t="s">
        <v>338</v>
      </c>
      <c r="C102" s="1" t="s">
        <v>21</v>
      </c>
      <c r="D102" s="1" t="s">
        <v>156</v>
      </c>
      <c r="E102" s="1" t="s">
        <v>88</v>
      </c>
      <c r="F102" s="1" t="s">
        <v>674</v>
      </c>
      <c r="G102" s="1">
        <v>1.5</v>
      </c>
      <c r="H102" s="1" t="s">
        <v>60</v>
      </c>
      <c r="I102" s="1">
        <v>152.0</v>
      </c>
      <c r="J102" s="1">
        <v>0.0262539682539682</v>
      </c>
      <c r="K102" s="1" t="s">
        <v>61</v>
      </c>
      <c r="L102" s="1" t="s">
        <v>61</v>
      </c>
      <c r="M102" s="1" t="s">
        <v>62</v>
      </c>
      <c r="N102" s="1">
        <v>-198.0</v>
      </c>
      <c r="O102" s="1">
        <v>-0.087496644295302</v>
      </c>
      <c r="P102" s="1" t="s">
        <v>61</v>
      </c>
      <c r="Q102" s="1" t="s">
        <v>61</v>
      </c>
      <c r="R102" s="1">
        <f t="shared" si="1"/>
        <v>0.02625396825</v>
      </c>
      <c r="S102" s="1">
        <f t="shared" si="2"/>
        <v>152</v>
      </c>
      <c r="T102" s="1">
        <f t="shared" si="3"/>
        <v>2.52</v>
      </c>
      <c r="U102" s="1">
        <f t="shared" si="4"/>
        <v>1</v>
      </c>
      <c r="V102" s="3">
        <f t="shared" si="5"/>
        <v>1</v>
      </c>
      <c r="W102" s="3">
        <f t="shared" si="6"/>
        <v>1</v>
      </c>
      <c r="X102" s="3" t="str">
        <f>IFERROR(__xludf.DUMMYFUNCTION("split(B102,"" "")"),"J.")</f>
        <v>J.</v>
      </c>
      <c r="Y102" s="3" t="str">
        <f>IFERROR(__xludf.DUMMYFUNCTION("""COMPUTED_VALUE"""),"Hurts")</f>
        <v>Hurts</v>
      </c>
      <c r="AA102" s="8">
        <v>2.0</v>
      </c>
      <c r="AB102" s="3">
        <f t="shared" si="7"/>
        <v>1</v>
      </c>
      <c r="AC102" s="3">
        <f t="shared" si="8"/>
        <v>1</v>
      </c>
      <c r="AD102" s="3">
        <f t="shared" si="9"/>
        <v>1.52</v>
      </c>
      <c r="AE102" s="3">
        <f t="shared" si="10"/>
        <v>1.52</v>
      </c>
      <c r="AF102" s="3">
        <f t="shared" si="11"/>
        <v>1.52</v>
      </c>
      <c r="AG102" s="3">
        <f t="shared" si="12"/>
        <v>0.3333333333</v>
      </c>
    </row>
    <row r="103">
      <c r="A103" s="1" t="s">
        <v>12</v>
      </c>
      <c r="B103" s="1" t="s">
        <v>507</v>
      </c>
      <c r="C103" s="1" t="s">
        <v>18</v>
      </c>
      <c r="D103" s="1" t="s">
        <v>156</v>
      </c>
      <c r="E103" s="1" t="s">
        <v>88</v>
      </c>
      <c r="F103" s="1" t="s">
        <v>674</v>
      </c>
      <c r="G103" s="1">
        <v>4.5</v>
      </c>
      <c r="H103" s="1" t="s">
        <v>60</v>
      </c>
      <c r="I103" s="1">
        <v>106.0</v>
      </c>
      <c r="J103" s="1">
        <v>0.0215145631067961</v>
      </c>
      <c r="K103" s="1" t="s">
        <v>61</v>
      </c>
      <c r="L103" s="1" t="s">
        <v>61</v>
      </c>
      <c r="M103" s="1" t="s">
        <v>62</v>
      </c>
      <c r="N103" s="1">
        <v>-140.0</v>
      </c>
      <c r="O103" s="1">
        <v>-0.0902916666666664</v>
      </c>
      <c r="P103" s="1" t="s">
        <v>61</v>
      </c>
      <c r="Q103" s="1" t="s">
        <v>61</v>
      </c>
      <c r="R103" s="1">
        <f t="shared" si="1"/>
        <v>0.02151456311</v>
      </c>
      <c r="S103" s="1">
        <f t="shared" si="2"/>
        <v>106</v>
      </c>
      <c r="T103" s="1">
        <f t="shared" si="3"/>
        <v>2.06</v>
      </c>
      <c r="U103" s="1">
        <f t="shared" si="4"/>
        <v>1</v>
      </c>
      <c r="V103" s="3">
        <f t="shared" si="5"/>
        <v>1</v>
      </c>
      <c r="W103" s="3">
        <f t="shared" si="6"/>
        <v>2</v>
      </c>
      <c r="X103" s="3" t="str">
        <f>IFERROR(__xludf.DUMMYFUNCTION("split(B103,"" "")"),"D.")</f>
        <v>D.</v>
      </c>
      <c r="Y103" s="3" t="str">
        <f>IFERROR(__xludf.DUMMYFUNCTION("""COMPUTED_VALUE"""),"Smith")</f>
        <v>Smith</v>
      </c>
      <c r="AA103" s="8">
        <v>2.0</v>
      </c>
      <c r="AB103" s="3">
        <f t="shared" si="7"/>
        <v>0</v>
      </c>
      <c r="AC103" s="3">
        <f t="shared" si="8"/>
        <v>0</v>
      </c>
      <c r="AD103" s="3">
        <f t="shared" si="9"/>
        <v>1.06</v>
      </c>
      <c r="AE103" s="3">
        <f t="shared" si="10"/>
        <v>-1</v>
      </c>
      <c r="AF103" s="3">
        <f t="shared" si="11"/>
        <v>-2</v>
      </c>
      <c r="AG103" s="3">
        <f t="shared" si="12"/>
        <v>-0.5555555556</v>
      </c>
    </row>
    <row r="104">
      <c r="A104" s="1" t="s">
        <v>11</v>
      </c>
      <c r="B104" s="1" t="s">
        <v>210</v>
      </c>
      <c r="C104" s="1" t="s">
        <v>18</v>
      </c>
      <c r="D104" s="1" t="s">
        <v>156</v>
      </c>
      <c r="E104" s="1" t="s">
        <v>88</v>
      </c>
      <c r="F104" s="1" t="s">
        <v>674</v>
      </c>
      <c r="G104" s="1">
        <v>9.5</v>
      </c>
      <c r="H104" s="1" t="s">
        <v>60</v>
      </c>
      <c r="I104" s="1">
        <v>-110.0</v>
      </c>
      <c r="J104" s="1">
        <v>0.0342248865767317</v>
      </c>
      <c r="K104" s="1" t="s">
        <v>61</v>
      </c>
      <c r="L104" s="1" t="s">
        <v>61</v>
      </c>
      <c r="M104" s="1" t="s">
        <v>62</v>
      </c>
      <c r="N104" s="1">
        <v>-117.0</v>
      </c>
      <c r="O104" s="1">
        <v>-0.0972094683497833</v>
      </c>
      <c r="P104" s="1" t="s">
        <v>61</v>
      </c>
      <c r="Q104" s="1" t="s">
        <v>61</v>
      </c>
      <c r="R104" s="1">
        <f t="shared" si="1"/>
        <v>0.03422488658</v>
      </c>
      <c r="S104" s="1">
        <f t="shared" si="2"/>
        <v>-110</v>
      </c>
      <c r="T104" s="1">
        <f t="shared" si="3"/>
        <v>1.909090909</v>
      </c>
      <c r="U104" s="1">
        <f t="shared" si="4"/>
        <v>1</v>
      </c>
      <c r="V104" s="3">
        <f t="shared" si="5"/>
        <v>1</v>
      </c>
      <c r="W104" s="3">
        <f t="shared" si="6"/>
        <v>2</v>
      </c>
      <c r="X104" s="3" t="str">
        <f>IFERROR(__xludf.DUMMYFUNCTION("split(B104,"" "")"),"J.")</f>
        <v>J.</v>
      </c>
      <c r="Y104" s="3" t="str">
        <f>IFERROR(__xludf.DUMMYFUNCTION("""COMPUTED_VALUE"""),"Dotson")</f>
        <v>Dotson</v>
      </c>
      <c r="AA104" s="8">
        <v>27.0</v>
      </c>
      <c r="AB104" s="3">
        <f t="shared" si="7"/>
        <v>1</v>
      </c>
      <c r="AC104" s="3">
        <f t="shared" si="8"/>
        <v>1</v>
      </c>
      <c r="AD104" s="3">
        <f t="shared" si="9"/>
        <v>0.9090909091</v>
      </c>
      <c r="AE104" s="3">
        <f t="shared" si="10"/>
        <v>0.9090909091</v>
      </c>
      <c r="AF104" s="3">
        <f t="shared" si="11"/>
        <v>1.818181818</v>
      </c>
      <c r="AG104" s="3">
        <f t="shared" si="12"/>
        <v>1.842105263</v>
      </c>
    </row>
    <row r="105">
      <c r="A105" s="1" t="s">
        <v>11</v>
      </c>
      <c r="B105" s="1" t="s">
        <v>633</v>
      </c>
      <c r="C105" s="1" t="s">
        <v>20</v>
      </c>
      <c r="D105" s="1" t="s">
        <v>156</v>
      </c>
      <c r="E105" s="1" t="s">
        <v>88</v>
      </c>
      <c r="F105" s="1" t="s">
        <v>674</v>
      </c>
      <c r="G105" s="1">
        <v>5.5</v>
      </c>
      <c r="H105" s="1" t="s">
        <v>60</v>
      </c>
      <c r="I105" s="1">
        <v>-108.0</v>
      </c>
      <c r="J105" s="1">
        <v>0.0934043389174393</v>
      </c>
      <c r="K105" s="1" t="s">
        <v>61</v>
      </c>
      <c r="L105" s="1" t="s">
        <v>61</v>
      </c>
      <c r="M105" s="1" t="s">
        <v>62</v>
      </c>
      <c r="N105" s="1">
        <v>-118.0</v>
      </c>
      <c r="O105" s="1">
        <v>-0.15387358231145</v>
      </c>
      <c r="P105" s="1" t="s">
        <v>61</v>
      </c>
      <c r="Q105" s="1" t="s">
        <v>61</v>
      </c>
      <c r="R105" s="1">
        <f t="shared" si="1"/>
        <v>0.09340433892</v>
      </c>
      <c r="S105" s="1">
        <f t="shared" si="2"/>
        <v>-108</v>
      </c>
      <c r="T105" s="1">
        <f t="shared" si="3"/>
        <v>1.925925926</v>
      </c>
      <c r="U105" s="1">
        <f t="shared" si="4"/>
        <v>1</v>
      </c>
      <c r="V105" s="3">
        <f t="shared" si="5"/>
        <v>2</v>
      </c>
      <c r="W105" s="3">
        <f t="shared" si="6"/>
        <v>2</v>
      </c>
      <c r="X105" s="3" t="str">
        <f>IFERROR(__xludf.DUMMYFUNCTION("split(B105,"" "")"),"G.")</f>
        <v>G.</v>
      </c>
      <c r="Y105" s="3" t="str">
        <f>IFERROR(__xludf.DUMMYFUNCTION("""COMPUTED_VALUE"""),"Calcaterra")</f>
        <v>Calcaterra</v>
      </c>
      <c r="AA105" s="8">
        <v>0.0</v>
      </c>
      <c r="AB105" s="3">
        <f t="shared" si="7"/>
        <v>0</v>
      </c>
      <c r="AC105" s="3">
        <f t="shared" si="8"/>
        <v>0</v>
      </c>
      <c r="AD105" s="3">
        <f t="shared" si="9"/>
        <v>1.851851852</v>
      </c>
      <c r="AE105" s="3">
        <f t="shared" si="10"/>
        <v>-2</v>
      </c>
      <c r="AF105" s="3">
        <f t="shared" si="11"/>
        <v>-2</v>
      </c>
      <c r="AG105" s="3">
        <f t="shared" si="12"/>
        <v>-1</v>
      </c>
    </row>
    <row r="106">
      <c r="A106" s="1" t="s">
        <v>8</v>
      </c>
      <c r="B106" s="1" t="s">
        <v>155</v>
      </c>
      <c r="C106" s="1" t="s">
        <v>19</v>
      </c>
      <c r="D106" s="1" t="s">
        <v>156</v>
      </c>
      <c r="E106" s="1" t="s">
        <v>88</v>
      </c>
      <c r="F106" s="1" t="s">
        <v>674</v>
      </c>
      <c r="G106" s="1">
        <v>19.5</v>
      </c>
      <c r="H106" s="1" t="s">
        <v>60</v>
      </c>
      <c r="I106" s="1">
        <v>-125.0</v>
      </c>
      <c r="J106" s="1">
        <v>0.0975882560555555</v>
      </c>
      <c r="K106" s="1" t="s">
        <v>61</v>
      </c>
      <c r="L106" s="1" t="s">
        <v>61</v>
      </c>
      <c r="M106" s="1" t="s">
        <v>62</v>
      </c>
      <c r="N106" s="1">
        <v>-107.0</v>
      </c>
      <c r="O106" s="1">
        <v>-0.170059353091787</v>
      </c>
      <c r="P106" s="1" t="s">
        <v>61</v>
      </c>
      <c r="Q106" s="1" t="s">
        <v>61</v>
      </c>
      <c r="R106" s="1">
        <f t="shared" si="1"/>
        <v>0.09758825606</v>
      </c>
      <c r="S106" s="1">
        <f t="shared" si="2"/>
        <v>-125</v>
      </c>
      <c r="T106" s="1">
        <f t="shared" si="3"/>
        <v>1.8</v>
      </c>
      <c r="U106" s="1">
        <f t="shared" si="4"/>
        <v>1</v>
      </c>
      <c r="V106" s="3">
        <f t="shared" si="5"/>
        <v>2</v>
      </c>
      <c r="W106" s="3">
        <f t="shared" si="6"/>
        <v>3</v>
      </c>
      <c r="X106" s="3" t="str">
        <f>IFERROR(__xludf.DUMMYFUNCTION("split(B106,"" "")"),"S.")</f>
        <v>S.</v>
      </c>
      <c r="Y106" s="3" t="str">
        <f>IFERROR(__xludf.DUMMYFUNCTION("""COMPUTED_VALUE"""),"Barkley")</f>
        <v>Barkley</v>
      </c>
      <c r="AA106" s="8">
        <v>14.0</v>
      </c>
      <c r="AB106" s="3">
        <f t="shared" si="7"/>
        <v>0</v>
      </c>
      <c r="AC106" s="3">
        <f t="shared" si="8"/>
        <v>0</v>
      </c>
      <c r="AD106" s="3">
        <f t="shared" si="9"/>
        <v>1.6</v>
      </c>
      <c r="AE106" s="3">
        <f t="shared" si="10"/>
        <v>-2</v>
      </c>
      <c r="AF106" s="3">
        <f t="shared" si="11"/>
        <v>-3</v>
      </c>
      <c r="AG106" s="3">
        <f t="shared" si="12"/>
        <v>-0.2820512821</v>
      </c>
    </row>
    <row r="107">
      <c r="A107" s="1" t="s">
        <v>9</v>
      </c>
      <c r="B107" s="1" t="s">
        <v>210</v>
      </c>
      <c r="C107" s="1" t="s">
        <v>18</v>
      </c>
      <c r="D107" s="1" t="s">
        <v>156</v>
      </c>
      <c r="E107" s="1" t="s">
        <v>88</v>
      </c>
      <c r="F107" s="1" t="s">
        <v>674</v>
      </c>
      <c r="G107" s="1">
        <v>10.5</v>
      </c>
      <c r="H107" s="1" t="s">
        <v>60</v>
      </c>
      <c r="I107" s="1">
        <v>-116.0</v>
      </c>
      <c r="J107" s="1">
        <v>0.196496394645678</v>
      </c>
      <c r="K107" s="1" t="s">
        <v>61</v>
      </c>
      <c r="L107" s="1" t="s">
        <v>61</v>
      </c>
      <c r="M107" s="1" t="s">
        <v>62</v>
      </c>
      <c r="N107" s="1">
        <v>-116.0</v>
      </c>
      <c r="O107" s="1">
        <v>-0.270511817788987</v>
      </c>
      <c r="P107" s="1" t="s">
        <v>61</v>
      </c>
      <c r="Q107" s="1" t="s">
        <v>61</v>
      </c>
      <c r="R107" s="1">
        <f t="shared" si="1"/>
        <v>0.1964963946</v>
      </c>
      <c r="S107" s="1">
        <f t="shared" si="2"/>
        <v>-116</v>
      </c>
      <c r="T107" s="1">
        <f t="shared" si="3"/>
        <v>1.862068966</v>
      </c>
      <c r="U107" s="1">
        <f t="shared" si="4"/>
        <v>1</v>
      </c>
      <c r="V107" s="3">
        <f t="shared" si="5"/>
        <v>3</v>
      </c>
      <c r="W107" s="3">
        <f t="shared" si="6"/>
        <v>2</v>
      </c>
      <c r="X107" s="3" t="str">
        <f>IFERROR(__xludf.DUMMYFUNCTION("split(B107,"" "")"),"J.")</f>
        <v>J.</v>
      </c>
      <c r="Y107" s="3" t="str">
        <f>IFERROR(__xludf.DUMMYFUNCTION("""COMPUTED_VALUE"""),"Dotson")</f>
        <v>Dotson</v>
      </c>
      <c r="AA107" s="8">
        <v>27.0</v>
      </c>
      <c r="AB107" s="3">
        <f t="shared" si="7"/>
        <v>1</v>
      </c>
      <c r="AC107" s="3">
        <f t="shared" si="8"/>
        <v>1</v>
      </c>
      <c r="AD107" s="3">
        <f t="shared" si="9"/>
        <v>2.586206897</v>
      </c>
      <c r="AE107" s="3">
        <f t="shared" si="10"/>
        <v>2.586206897</v>
      </c>
      <c r="AF107" s="3">
        <f t="shared" si="11"/>
        <v>1.724137931</v>
      </c>
      <c r="AG107" s="3">
        <f t="shared" si="12"/>
        <v>1.571428571</v>
      </c>
    </row>
    <row r="108">
      <c r="A108" s="1" t="s">
        <v>10</v>
      </c>
      <c r="B108" s="1" t="s">
        <v>210</v>
      </c>
      <c r="C108" s="1" t="s">
        <v>18</v>
      </c>
      <c r="D108" s="1" t="s">
        <v>156</v>
      </c>
      <c r="E108" s="1" t="s">
        <v>88</v>
      </c>
      <c r="F108" s="1" t="s">
        <v>674</v>
      </c>
      <c r="G108" s="1">
        <v>0.5</v>
      </c>
      <c r="H108" s="1" t="s">
        <v>60</v>
      </c>
      <c r="I108" s="1">
        <v>543.0</v>
      </c>
      <c r="J108" s="1">
        <v>0.457204277991077</v>
      </c>
      <c r="K108" s="1" t="s">
        <v>61</v>
      </c>
      <c r="L108" s="1" t="s">
        <v>61</v>
      </c>
      <c r="M108" s="1" t="s">
        <v>62</v>
      </c>
      <c r="N108" s="1">
        <v>-1000.0</v>
      </c>
      <c r="O108" s="1">
        <v>-0.521779860619894</v>
      </c>
      <c r="P108" s="1" t="s">
        <v>61</v>
      </c>
      <c r="Q108" s="1" t="s">
        <v>61</v>
      </c>
      <c r="R108" s="1">
        <f t="shared" si="1"/>
        <v>0.457204278</v>
      </c>
      <c r="S108" s="1">
        <f t="shared" si="2"/>
        <v>543</v>
      </c>
      <c r="T108" s="1">
        <f t="shared" si="3"/>
        <v>6.43</v>
      </c>
      <c r="U108" s="1">
        <f t="shared" si="4"/>
        <v>1</v>
      </c>
      <c r="V108" s="3">
        <f t="shared" si="5"/>
        <v>3</v>
      </c>
      <c r="W108" s="3">
        <f t="shared" si="6"/>
        <v>1</v>
      </c>
      <c r="X108" s="3" t="str">
        <f>IFERROR(__xludf.DUMMYFUNCTION("split(B108,"" "")"),"J.")</f>
        <v>J.</v>
      </c>
      <c r="Y108" s="3" t="str">
        <f>IFERROR(__xludf.DUMMYFUNCTION("""COMPUTED_VALUE"""),"Dotson")</f>
        <v>Dotson</v>
      </c>
      <c r="AA108" s="8">
        <v>0.0</v>
      </c>
      <c r="AB108" s="3">
        <f t="shared" si="7"/>
        <v>0</v>
      </c>
      <c r="AC108" s="3">
        <f t="shared" si="8"/>
        <v>0</v>
      </c>
      <c r="AD108" s="3">
        <f t="shared" si="9"/>
        <v>16.29</v>
      </c>
      <c r="AE108" s="3">
        <f t="shared" si="10"/>
        <v>0</v>
      </c>
      <c r="AF108" s="3">
        <f t="shared" si="11"/>
        <v>-1</v>
      </c>
      <c r="AG108" s="3">
        <f t="shared" si="12"/>
        <v>-1</v>
      </c>
    </row>
    <row r="109">
      <c r="A109" s="1" t="s">
        <v>12</v>
      </c>
      <c r="B109" s="1" t="s">
        <v>305</v>
      </c>
      <c r="C109" s="1" t="s">
        <v>20</v>
      </c>
      <c r="D109" s="1" t="s">
        <v>165</v>
      </c>
      <c r="E109" s="1" t="s">
        <v>105</v>
      </c>
      <c r="F109" s="1" t="s">
        <v>674</v>
      </c>
      <c r="G109" s="1">
        <v>2.5</v>
      </c>
      <c r="H109" s="1" t="s">
        <v>60</v>
      </c>
      <c r="I109" s="1">
        <v>-130.0</v>
      </c>
      <c r="J109" s="1">
        <v>-0.231572483304347</v>
      </c>
      <c r="K109" s="1" t="s">
        <v>61</v>
      </c>
      <c r="L109" s="1" t="s">
        <v>61</v>
      </c>
      <c r="M109" s="1" t="s">
        <v>62</v>
      </c>
      <c r="N109" s="1">
        <v>-103.0</v>
      </c>
      <c r="O109" s="1">
        <v>0.158958430023645</v>
      </c>
      <c r="P109" s="1" t="s">
        <v>61</v>
      </c>
      <c r="Q109" s="1" t="s">
        <v>61</v>
      </c>
      <c r="R109" s="1">
        <f t="shared" si="1"/>
        <v>0.15895843</v>
      </c>
      <c r="S109" s="1">
        <f t="shared" si="2"/>
        <v>-103</v>
      </c>
      <c r="T109" s="1">
        <f t="shared" si="3"/>
        <v>1.970873786</v>
      </c>
      <c r="U109" s="1">
        <f t="shared" si="4"/>
        <v>0</v>
      </c>
      <c r="V109" s="3">
        <f t="shared" si="5"/>
        <v>3</v>
      </c>
      <c r="W109" s="3">
        <f t="shared" si="6"/>
        <v>2</v>
      </c>
      <c r="X109" s="3" t="str">
        <f>IFERROR(__xludf.DUMMYFUNCTION("split(B109,"" "")"),"T.")</f>
        <v>T.</v>
      </c>
      <c r="Y109" s="3" t="str">
        <f>IFERROR(__xludf.DUMMYFUNCTION("""COMPUTED_VALUE"""),"Conklin")</f>
        <v>Conklin</v>
      </c>
      <c r="AA109" s="8">
        <v>1.0</v>
      </c>
      <c r="AB109" s="3">
        <f t="shared" si="7"/>
        <v>0</v>
      </c>
      <c r="AC109" s="3">
        <f t="shared" si="8"/>
        <v>1</v>
      </c>
      <c r="AD109" s="3">
        <f t="shared" si="9"/>
        <v>2.912621359</v>
      </c>
      <c r="AE109" s="3">
        <f t="shared" si="10"/>
        <v>2.912621359</v>
      </c>
      <c r="AF109" s="3">
        <f t="shared" si="11"/>
        <v>1.941747573</v>
      </c>
      <c r="AG109" s="3">
        <f t="shared" si="12"/>
        <v>0.6</v>
      </c>
    </row>
    <row r="110">
      <c r="A110" s="1" t="s">
        <v>12</v>
      </c>
      <c r="B110" s="1" t="s">
        <v>336</v>
      </c>
      <c r="C110" s="1" t="s">
        <v>19</v>
      </c>
      <c r="D110" s="1" t="s">
        <v>165</v>
      </c>
      <c r="E110" s="1" t="s">
        <v>105</v>
      </c>
      <c r="F110" s="1" t="s">
        <v>674</v>
      </c>
      <c r="G110" s="1">
        <v>3.5</v>
      </c>
      <c r="H110" s="1" t="s">
        <v>60</v>
      </c>
      <c r="I110" s="1">
        <v>-159.0</v>
      </c>
      <c r="J110" s="1">
        <v>-0.200999613899613</v>
      </c>
      <c r="K110" s="1" t="s">
        <v>61</v>
      </c>
      <c r="L110" s="1" t="s">
        <v>61</v>
      </c>
      <c r="M110" s="1" t="s">
        <v>62</v>
      </c>
      <c r="N110" s="1">
        <v>120.0</v>
      </c>
      <c r="O110" s="1">
        <v>0.132554545454545</v>
      </c>
      <c r="P110" s="1" t="s">
        <v>61</v>
      </c>
      <c r="Q110" s="1" t="s">
        <v>61</v>
      </c>
      <c r="R110" s="1">
        <f t="shared" si="1"/>
        <v>0.1325545455</v>
      </c>
      <c r="S110" s="1">
        <f t="shared" si="2"/>
        <v>120</v>
      </c>
      <c r="T110" s="1">
        <f t="shared" si="3"/>
        <v>2.2</v>
      </c>
      <c r="U110" s="1">
        <f t="shared" si="4"/>
        <v>0</v>
      </c>
      <c r="V110" s="3">
        <f t="shared" si="5"/>
        <v>3</v>
      </c>
      <c r="W110" s="3">
        <f t="shared" si="6"/>
        <v>1</v>
      </c>
      <c r="X110" s="3" t="str">
        <f>IFERROR(__xludf.DUMMYFUNCTION("split(B110,"" "")"),"B.")</f>
        <v>B.</v>
      </c>
      <c r="Y110" s="3" t="str">
        <f>IFERROR(__xludf.DUMMYFUNCTION("""COMPUTED_VALUE"""),"Hall")</f>
        <v>Hall</v>
      </c>
      <c r="AA110" s="8">
        <v>4.0</v>
      </c>
      <c r="AB110" s="3">
        <f t="shared" si="7"/>
        <v>1</v>
      </c>
      <c r="AC110" s="3">
        <f t="shared" si="8"/>
        <v>0</v>
      </c>
      <c r="AD110" s="3">
        <f t="shared" si="9"/>
        <v>3.6</v>
      </c>
      <c r="AE110" s="3">
        <f t="shared" si="10"/>
        <v>-3</v>
      </c>
      <c r="AF110" s="3">
        <f t="shared" si="11"/>
        <v>-1</v>
      </c>
      <c r="AG110" s="3">
        <f t="shared" si="12"/>
        <v>-0.1428571429</v>
      </c>
    </row>
    <row r="111">
      <c r="A111" s="1" t="s">
        <v>8</v>
      </c>
      <c r="B111" s="1" t="s">
        <v>554</v>
      </c>
      <c r="C111" s="1" t="s">
        <v>19</v>
      </c>
      <c r="D111" s="1" t="s">
        <v>165</v>
      </c>
      <c r="E111" s="1" t="s">
        <v>105</v>
      </c>
      <c r="F111" s="1" t="s">
        <v>674</v>
      </c>
      <c r="G111" s="1">
        <v>5.5</v>
      </c>
      <c r="H111" s="1" t="s">
        <v>60</v>
      </c>
      <c r="I111" s="1">
        <v>-106.0</v>
      </c>
      <c r="J111" s="1">
        <v>-0.141305800775094</v>
      </c>
      <c r="K111" s="1" t="s">
        <v>61</v>
      </c>
      <c r="L111" s="1" t="s">
        <v>61</v>
      </c>
      <c r="M111" s="1" t="s">
        <v>62</v>
      </c>
      <c r="N111" s="1">
        <v>-125.0</v>
      </c>
      <c r="O111" s="1">
        <v>0.0711933053314974</v>
      </c>
      <c r="P111" s="1" t="s">
        <v>61</v>
      </c>
      <c r="Q111" s="1" t="s">
        <v>61</v>
      </c>
      <c r="R111" s="1">
        <f t="shared" si="1"/>
        <v>0.07119330533</v>
      </c>
      <c r="S111" s="1">
        <f t="shared" si="2"/>
        <v>-125</v>
      </c>
      <c r="T111" s="1">
        <f t="shared" si="3"/>
        <v>1.8</v>
      </c>
      <c r="U111" s="1">
        <f t="shared" si="4"/>
        <v>0</v>
      </c>
      <c r="V111" s="3">
        <f t="shared" si="5"/>
        <v>2</v>
      </c>
      <c r="W111" s="3">
        <f t="shared" si="6"/>
        <v>3</v>
      </c>
      <c r="X111" s="3" t="str">
        <f>IFERROR(__xludf.DUMMYFUNCTION("split(B111,"" "")"),"B.")</f>
        <v>B.</v>
      </c>
      <c r="Y111" s="3" t="str">
        <f>IFERROR(__xludf.DUMMYFUNCTION("""COMPUTED_VALUE"""),"Allen")</f>
        <v>Allen</v>
      </c>
      <c r="AA111" s="8">
        <v>7.0</v>
      </c>
      <c r="AB111" s="3">
        <f t="shared" si="7"/>
        <v>1</v>
      </c>
      <c r="AC111" s="3">
        <f t="shared" si="8"/>
        <v>0</v>
      </c>
      <c r="AD111" s="3">
        <f t="shared" si="9"/>
        <v>1.6</v>
      </c>
      <c r="AE111" s="3">
        <f t="shared" si="10"/>
        <v>-2</v>
      </c>
      <c r="AF111" s="3">
        <f t="shared" si="11"/>
        <v>-3</v>
      </c>
      <c r="AG111" s="3">
        <f t="shared" si="12"/>
        <v>-0.2727272727</v>
      </c>
    </row>
    <row r="112">
      <c r="A112" s="1" t="s">
        <v>12</v>
      </c>
      <c r="B112" s="1" t="s">
        <v>554</v>
      </c>
      <c r="C112" s="1" t="s">
        <v>19</v>
      </c>
      <c r="D112" s="1" t="s">
        <v>165</v>
      </c>
      <c r="E112" s="1" t="s">
        <v>105</v>
      </c>
      <c r="F112" s="1" t="s">
        <v>674</v>
      </c>
      <c r="G112" s="1">
        <v>0.5</v>
      </c>
      <c r="H112" s="1" t="s">
        <v>60</v>
      </c>
      <c r="I112" s="1">
        <v>-228.0</v>
      </c>
      <c r="J112" s="1">
        <v>-0.13675015731128</v>
      </c>
      <c r="K112" s="1" t="s">
        <v>61</v>
      </c>
      <c r="L112" s="1" t="s">
        <v>61</v>
      </c>
      <c r="M112" s="1" t="s">
        <v>62</v>
      </c>
      <c r="N112" s="1">
        <v>169.0</v>
      </c>
      <c r="O112" s="1">
        <v>0.0698871806620817</v>
      </c>
      <c r="P112" s="1" t="s">
        <v>61</v>
      </c>
      <c r="Q112" s="1" t="s">
        <v>61</v>
      </c>
      <c r="R112" s="1">
        <f t="shared" si="1"/>
        <v>0.06988718066</v>
      </c>
      <c r="S112" s="1">
        <f t="shared" si="2"/>
        <v>169</v>
      </c>
      <c r="T112" s="1">
        <f t="shared" si="3"/>
        <v>2.69</v>
      </c>
      <c r="U112" s="1">
        <f t="shared" si="4"/>
        <v>0</v>
      </c>
      <c r="V112" s="3">
        <f t="shared" si="5"/>
        <v>2</v>
      </c>
      <c r="W112" s="3">
        <f t="shared" si="6"/>
        <v>1</v>
      </c>
      <c r="X112" s="3" t="str">
        <f>IFERROR(__xludf.DUMMYFUNCTION("split(B112,"" "")"),"B.")</f>
        <v>B.</v>
      </c>
      <c r="Y112" s="3" t="str">
        <f>IFERROR(__xludf.DUMMYFUNCTION("""COMPUTED_VALUE"""),"Allen")</f>
        <v>Allen</v>
      </c>
      <c r="AA112" s="8">
        <v>1.0</v>
      </c>
      <c r="AB112" s="3">
        <f t="shared" si="7"/>
        <v>1</v>
      </c>
      <c r="AC112" s="3">
        <f t="shared" si="8"/>
        <v>0</v>
      </c>
      <c r="AD112" s="3">
        <f t="shared" si="9"/>
        <v>3.38</v>
      </c>
      <c r="AE112" s="3">
        <f t="shared" si="10"/>
        <v>-2</v>
      </c>
      <c r="AF112" s="3">
        <f t="shared" si="11"/>
        <v>-1</v>
      </c>
      <c r="AG112" s="3">
        <f t="shared" si="12"/>
        <v>-1</v>
      </c>
    </row>
    <row r="113">
      <c r="A113" s="1" t="s">
        <v>10</v>
      </c>
      <c r="B113" s="1" t="s">
        <v>336</v>
      </c>
      <c r="C113" s="1" t="s">
        <v>19</v>
      </c>
      <c r="D113" s="1" t="s">
        <v>165</v>
      </c>
      <c r="E113" s="1" t="s">
        <v>105</v>
      </c>
      <c r="F113" s="1" t="s">
        <v>674</v>
      </c>
      <c r="G113" s="1">
        <v>68.5</v>
      </c>
      <c r="H113" s="1" t="s">
        <v>60</v>
      </c>
      <c r="I113" s="1">
        <v>-109.0</v>
      </c>
      <c r="J113" s="1">
        <v>-0.0961874105449863</v>
      </c>
      <c r="K113" s="1" t="s">
        <v>61</v>
      </c>
      <c r="L113" s="1" t="s">
        <v>61</v>
      </c>
      <c r="M113" s="1" t="s">
        <v>62</v>
      </c>
      <c r="N113" s="1">
        <v>-117.0</v>
      </c>
      <c r="O113" s="1">
        <v>0.035454675593482</v>
      </c>
      <c r="P113" s="1" t="s">
        <v>61</v>
      </c>
      <c r="Q113" s="1" t="s">
        <v>61</v>
      </c>
      <c r="R113" s="1">
        <f t="shared" si="1"/>
        <v>0.03545467559</v>
      </c>
      <c r="S113" s="1">
        <f t="shared" si="2"/>
        <v>-117</v>
      </c>
      <c r="T113" s="1">
        <f t="shared" si="3"/>
        <v>1.854700855</v>
      </c>
      <c r="U113" s="1">
        <f t="shared" si="4"/>
        <v>0</v>
      </c>
      <c r="V113" s="3">
        <f t="shared" si="5"/>
        <v>1</v>
      </c>
      <c r="W113" s="3">
        <f t="shared" si="6"/>
        <v>2</v>
      </c>
      <c r="X113" s="3" t="str">
        <f>IFERROR(__xludf.DUMMYFUNCTION("split(B113,"" "")"),"B.")</f>
        <v>B.</v>
      </c>
      <c r="Y113" s="3" t="str">
        <f>IFERROR(__xludf.DUMMYFUNCTION("""COMPUTED_VALUE"""),"Hall")</f>
        <v>Hall</v>
      </c>
      <c r="AA113" s="8">
        <v>52.0</v>
      </c>
      <c r="AB113" s="3">
        <f t="shared" si="7"/>
        <v>0</v>
      </c>
      <c r="AC113" s="3">
        <f t="shared" si="8"/>
        <v>1</v>
      </c>
      <c r="AD113" s="3">
        <f t="shared" si="9"/>
        <v>0.8547008547</v>
      </c>
      <c r="AE113" s="3">
        <f t="shared" si="10"/>
        <v>0.8547008547</v>
      </c>
      <c r="AF113" s="3">
        <f t="shared" si="11"/>
        <v>1.709401709</v>
      </c>
      <c r="AG113" s="3">
        <f t="shared" si="12"/>
        <v>0.2408759124</v>
      </c>
    </row>
    <row r="114">
      <c r="A114" s="1" t="s">
        <v>9</v>
      </c>
      <c r="B114" s="1" t="s">
        <v>336</v>
      </c>
      <c r="C114" s="1" t="s">
        <v>19</v>
      </c>
      <c r="D114" s="1" t="s">
        <v>165</v>
      </c>
      <c r="E114" s="1" t="s">
        <v>105</v>
      </c>
      <c r="F114" s="1" t="s">
        <v>674</v>
      </c>
      <c r="G114" s="1">
        <v>102.5</v>
      </c>
      <c r="H114" s="1" t="s">
        <v>60</v>
      </c>
      <c r="I114" s="1">
        <v>-118.0</v>
      </c>
      <c r="J114" s="1">
        <v>-0.105799882770273</v>
      </c>
      <c r="K114" s="1" t="s">
        <v>61</v>
      </c>
      <c r="L114" s="1" t="s">
        <v>61</v>
      </c>
      <c r="M114" s="1" t="s">
        <v>62</v>
      </c>
      <c r="N114" s="1">
        <v>-114.0</v>
      </c>
      <c r="O114" s="1">
        <v>0.0317751645846748</v>
      </c>
      <c r="P114" s="1" t="s">
        <v>61</v>
      </c>
      <c r="Q114" s="1" t="s">
        <v>61</v>
      </c>
      <c r="R114" s="1">
        <f t="shared" si="1"/>
        <v>0.03177516458</v>
      </c>
      <c r="S114" s="1">
        <f t="shared" si="2"/>
        <v>-114</v>
      </c>
      <c r="T114" s="1">
        <f t="shared" si="3"/>
        <v>1.877192982</v>
      </c>
      <c r="U114" s="1">
        <f t="shared" si="4"/>
        <v>0</v>
      </c>
      <c r="V114" s="3">
        <f t="shared" si="5"/>
        <v>1</v>
      </c>
      <c r="W114" s="3">
        <f t="shared" si="6"/>
        <v>2</v>
      </c>
      <c r="X114" s="3" t="str">
        <f>IFERROR(__xludf.DUMMYFUNCTION("split(B114,"" "")"),"B.")</f>
        <v>B.</v>
      </c>
      <c r="Y114" s="3" t="str">
        <f>IFERROR(__xludf.DUMMYFUNCTION("""COMPUTED_VALUE"""),"Hall")</f>
        <v>Hall</v>
      </c>
      <c r="AA114" s="8">
        <v>83.0</v>
      </c>
      <c r="AB114" s="3">
        <f t="shared" si="7"/>
        <v>0</v>
      </c>
      <c r="AC114" s="3">
        <f t="shared" si="8"/>
        <v>1</v>
      </c>
      <c r="AD114" s="3">
        <f t="shared" si="9"/>
        <v>0.8771929825</v>
      </c>
      <c r="AE114" s="3">
        <f t="shared" si="10"/>
        <v>0.8771929825</v>
      </c>
      <c r="AF114" s="3">
        <f t="shared" si="11"/>
        <v>1.754385965</v>
      </c>
      <c r="AG114" s="3">
        <f t="shared" si="12"/>
        <v>0.1902439024</v>
      </c>
    </row>
    <row r="115">
      <c r="A115" s="1" t="s">
        <v>11</v>
      </c>
      <c r="B115" s="1" t="s">
        <v>336</v>
      </c>
      <c r="C115" s="1" t="s">
        <v>19</v>
      </c>
      <c r="D115" s="1" t="s">
        <v>165</v>
      </c>
      <c r="E115" s="1" t="s">
        <v>105</v>
      </c>
      <c r="F115" s="1" t="s">
        <v>674</v>
      </c>
      <c r="G115" s="1">
        <v>29.5</v>
      </c>
      <c r="H115" s="1" t="s">
        <v>60</v>
      </c>
      <c r="I115" s="1">
        <v>-114.0</v>
      </c>
      <c r="J115" s="1">
        <v>-0.0921755843053738</v>
      </c>
      <c r="K115" s="1" t="s">
        <v>61</v>
      </c>
      <c r="L115" s="1" t="s">
        <v>61</v>
      </c>
      <c r="M115" s="1" t="s">
        <v>62</v>
      </c>
      <c r="N115" s="1">
        <v>-114.0</v>
      </c>
      <c r="O115" s="1">
        <v>0.026762872340126</v>
      </c>
      <c r="P115" s="1" t="s">
        <v>61</v>
      </c>
      <c r="Q115" s="1" t="s">
        <v>61</v>
      </c>
      <c r="R115" s="1">
        <f t="shared" si="1"/>
        <v>0.02676287234</v>
      </c>
      <c r="S115" s="1">
        <f t="shared" si="2"/>
        <v>-114</v>
      </c>
      <c r="T115" s="1">
        <f t="shared" si="3"/>
        <v>1.877192982</v>
      </c>
      <c r="U115" s="1">
        <f t="shared" si="4"/>
        <v>0</v>
      </c>
      <c r="V115" s="3">
        <f t="shared" si="5"/>
        <v>1</v>
      </c>
      <c r="W115" s="3">
        <f t="shared" si="6"/>
        <v>2</v>
      </c>
      <c r="X115" s="3" t="str">
        <f>IFERROR(__xludf.DUMMYFUNCTION("split(B115,"" "")"),"B.")</f>
        <v>B.</v>
      </c>
      <c r="Y115" s="3" t="str">
        <f>IFERROR(__xludf.DUMMYFUNCTION("""COMPUTED_VALUE"""),"Hall")</f>
        <v>Hall</v>
      </c>
      <c r="AA115" s="8">
        <v>31.0</v>
      </c>
      <c r="AB115" s="3">
        <f t="shared" si="7"/>
        <v>1</v>
      </c>
      <c r="AC115" s="3">
        <f t="shared" si="8"/>
        <v>0</v>
      </c>
      <c r="AD115" s="3">
        <f t="shared" si="9"/>
        <v>0.8771929825</v>
      </c>
      <c r="AE115" s="3">
        <f t="shared" si="10"/>
        <v>-1</v>
      </c>
      <c r="AF115" s="3">
        <f t="shared" si="11"/>
        <v>-2</v>
      </c>
      <c r="AG115" s="3">
        <f t="shared" si="12"/>
        <v>-0.05084745763</v>
      </c>
    </row>
    <row r="116">
      <c r="A116" s="1" t="s">
        <v>8</v>
      </c>
      <c r="B116" s="1" t="s">
        <v>336</v>
      </c>
      <c r="C116" s="1" t="s">
        <v>19</v>
      </c>
      <c r="D116" s="1" t="s">
        <v>165</v>
      </c>
      <c r="E116" s="1" t="s">
        <v>105</v>
      </c>
      <c r="F116" s="1" t="s">
        <v>674</v>
      </c>
      <c r="G116" s="1">
        <v>15.5</v>
      </c>
      <c r="H116" s="1" t="s">
        <v>60</v>
      </c>
      <c r="I116" s="1">
        <v>-120.0</v>
      </c>
      <c r="J116" s="1">
        <v>-0.0950088245409089</v>
      </c>
      <c r="K116" s="1" t="s">
        <v>61</v>
      </c>
      <c r="L116" s="1" t="s">
        <v>61</v>
      </c>
      <c r="M116" s="1" t="s">
        <v>62</v>
      </c>
      <c r="N116" s="1">
        <v>-112.0</v>
      </c>
      <c r="O116" s="1">
        <v>0.0212449734286791</v>
      </c>
      <c r="P116" s="1" t="s">
        <v>61</v>
      </c>
      <c r="Q116" s="1" t="s">
        <v>61</v>
      </c>
      <c r="R116" s="1">
        <f t="shared" si="1"/>
        <v>0.02124497343</v>
      </c>
      <c r="S116" s="1">
        <f t="shared" si="2"/>
        <v>-112</v>
      </c>
      <c r="T116" s="1">
        <f t="shared" si="3"/>
        <v>1.892857143</v>
      </c>
      <c r="U116" s="1">
        <f t="shared" si="4"/>
        <v>0</v>
      </c>
      <c r="V116" s="3">
        <f t="shared" si="5"/>
        <v>1</v>
      </c>
      <c r="W116" s="3">
        <f t="shared" si="6"/>
        <v>2</v>
      </c>
      <c r="X116" s="3" t="str">
        <f>IFERROR(__xludf.DUMMYFUNCTION("split(B116,"" "")"),"B.")</f>
        <v>B.</v>
      </c>
      <c r="Y116" s="3" t="str">
        <f>IFERROR(__xludf.DUMMYFUNCTION("""COMPUTED_VALUE"""),"Hall")</f>
        <v>Hall</v>
      </c>
      <c r="AA116" s="8">
        <v>10.0</v>
      </c>
      <c r="AB116" s="3">
        <f t="shared" si="7"/>
        <v>0</v>
      </c>
      <c r="AC116" s="3">
        <f t="shared" si="8"/>
        <v>1</v>
      </c>
      <c r="AD116" s="3">
        <f t="shared" si="9"/>
        <v>0.8928571429</v>
      </c>
      <c r="AE116" s="3">
        <f t="shared" si="10"/>
        <v>0.8928571429</v>
      </c>
      <c r="AF116" s="3">
        <f t="shared" si="11"/>
        <v>1.785714286</v>
      </c>
      <c r="AG116" s="3">
        <f t="shared" si="12"/>
        <v>0.3548387097</v>
      </c>
    </row>
    <row r="117">
      <c r="A117" s="1" t="s">
        <v>14</v>
      </c>
      <c r="B117" s="1" t="s">
        <v>330</v>
      </c>
      <c r="C117" s="1" t="s">
        <v>21</v>
      </c>
      <c r="D117" s="1" t="s">
        <v>165</v>
      </c>
      <c r="E117" s="1" t="s">
        <v>105</v>
      </c>
      <c r="F117" s="1" t="s">
        <v>674</v>
      </c>
      <c r="G117" s="1">
        <v>1.5</v>
      </c>
      <c r="H117" s="1" t="s">
        <v>60</v>
      </c>
      <c r="I117" s="1">
        <v>-120.0</v>
      </c>
      <c r="J117" s="1">
        <v>-0.0657090909090908</v>
      </c>
      <c r="K117" s="1" t="s">
        <v>61</v>
      </c>
      <c r="L117" s="1" t="s">
        <v>61</v>
      </c>
      <c r="M117" s="1" t="s">
        <v>62</v>
      </c>
      <c r="N117" s="1">
        <v>-108.0</v>
      </c>
      <c r="O117" s="1">
        <v>0.00101730769230778</v>
      </c>
      <c r="P117" s="1" t="s">
        <v>61</v>
      </c>
      <c r="Q117" s="1" t="s">
        <v>61</v>
      </c>
      <c r="R117" s="1">
        <f t="shared" si="1"/>
        <v>0.001017307692</v>
      </c>
      <c r="S117" s="1">
        <f t="shared" si="2"/>
        <v>-108</v>
      </c>
      <c r="T117" s="1">
        <f t="shared" si="3"/>
        <v>1.925925926</v>
      </c>
      <c r="U117" s="1">
        <f t="shared" si="4"/>
        <v>0</v>
      </c>
      <c r="V117" s="3">
        <f t="shared" si="5"/>
        <v>1</v>
      </c>
      <c r="W117" s="3">
        <f t="shared" si="6"/>
        <v>2</v>
      </c>
      <c r="X117" s="3" t="str">
        <f>IFERROR(__xludf.DUMMYFUNCTION("split(B117,"" "")"),"A.")</f>
        <v>A.</v>
      </c>
      <c r="Y117" s="3" t="str">
        <f>IFERROR(__xludf.DUMMYFUNCTION("""COMPUTED_VALUE"""),"Rodgers")</f>
        <v>Rodgers</v>
      </c>
      <c r="AA117" s="8">
        <v>0.0</v>
      </c>
      <c r="AB117" s="3">
        <f t="shared" si="7"/>
        <v>0</v>
      </c>
      <c r="AC117" s="3">
        <f t="shared" si="8"/>
        <v>1</v>
      </c>
      <c r="AD117" s="3">
        <f t="shared" si="9"/>
        <v>0.9259259259</v>
      </c>
      <c r="AE117" s="3">
        <f t="shared" si="10"/>
        <v>0.9259259259</v>
      </c>
      <c r="AF117" s="3">
        <f t="shared" si="11"/>
        <v>1.851851852</v>
      </c>
      <c r="AG117" s="3">
        <f t="shared" si="12"/>
        <v>1</v>
      </c>
    </row>
    <row r="118">
      <c r="A118" s="1" t="s">
        <v>12</v>
      </c>
      <c r="B118" s="1" t="s">
        <v>479</v>
      </c>
      <c r="C118" s="1" t="s">
        <v>18</v>
      </c>
      <c r="D118" s="1" t="s">
        <v>165</v>
      </c>
      <c r="E118" s="1" t="s">
        <v>105</v>
      </c>
      <c r="F118" s="1" t="s">
        <v>674</v>
      </c>
      <c r="G118" s="1">
        <v>5.5</v>
      </c>
      <c r="H118" s="1" t="s">
        <v>60</v>
      </c>
      <c r="I118" s="1">
        <v>-155.0</v>
      </c>
      <c r="J118" s="1">
        <v>0.0147960784313724</v>
      </c>
      <c r="K118" s="1" t="s">
        <v>61</v>
      </c>
      <c r="L118" s="1" t="s">
        <v>61</v>
      </c>
      <c r="M118" s="1" t="s">
        <v>62</v>
      </c>
      <c r="N118" s="1">
        <v>119.0</v>
      </c>
      <c r="O118" s="1">
        <v>-0.0792666666666666</v>
      </c>
      <c r="P118" s="1" t="s">
        <v>61</v>
      </c>
      <c r="Q118" s="1" t="s">
        <v>61</v>
      </c>
      <c r="R118" s="1">
        <f t="shared" si="1"/>
        <v>0.01479607843</v>
      </c>
      <c r="S118" s="1">
        <f t="shared" si="2"/>
        <v>-155</v>
      </c>
      <c r="T118" s="1">
        <f t="shared" si="3"/>
        <v>1.64516129</v>
      </c>
      <c r="U118" s="1">
        <f t="shared" si="4"/>
        <v>1</v>
      </c>
      <c r="V118" s="3">
        <f t="shared" si="5"/>
        <v>1</v>
      </c>
      <c r="W118" s="3">
        <f t="shared" si="6"/>
        <v>3</v>
      </c>
      <c r="X118" s="3" t="str">
        <f>IFERROR(__xludf.DUMMYFUNCTION("split(B118,"" "")"),"G.")</f>
        <v>G.</v>
      </c>
      <c r="Y118" s="3" t="str">
        <f>IFERROR(__xludf.DUMMYFUNCTION("""COMPUTED_VALUE"""),"Wilson")</f>
        <v>Wilson</v>
      </c>
      <c r="AA118" s="8">
        <v>5.0</v>
      </c>
      <c r="AB118" s="3">
        <f t="shared" si="7"/>
        <v>0</v>
      </c>
      <c r="AC118" s="3">
        <f t="shared" si="8"/>
        <v>0</v>
      </c>
      <c r="AD118" s="3">
        <f t="shared" si="9"/>
        <v>0.6451612903</v>
      </c>
      <c r="AE118" s="3">
        <f t="shared" si="10"/>
        <v>-1</v>
      </c>
      <c r="AF118" s="3">
        <f t="shared" si="11"/>
        <v>-3</v>
      </c>
      <c r="AG118" s="3">
        <f t="shared" si="12"/>
        <v>-0.09090909091</v>
      </c>
    </row>
    <row r="119">
      <c r="A119" s="1" t="s">
        <v>11</v>
      </c>
      <c r="B119" s="1" t="s">
        <v>503</v>
      </c>
      <c r="C119" s="1" t="s">
        <v>20</v>
      </c>
      <c r="D119" s="1" t="s">
        <v>165</v>
      </c>
      <c r="E119" s="1" t="s">
        <v>105</v>
      </c>
      <c r="F119" s="1" t="s">
        <v>674</v>
      </c>
      <c r="G119" s="1">
        <v>6.5</v>
      </c>
      <c r="H119" s="1" t="s">
        <v>60</v>
      </c>
      <c r="I119" s="1">
        <v>-120.0</v>
      </c>
      <c r="J119" s="1">
        <v>0.0539837666403975</v>
      </c>
      <c r="K119" s="1" t="s">
        <v>61</v>
      </c>
      <c r="L119" s="1" t="s">
        <v>61</v>
      </c>
      <c r="M119" s="1" t="s">
        <v>62</v>
      </c>
      <c r="N119" s="1">
        <v>-110.0</v>
      </c>
      <c r="O119" s="1">
        <v>-0.123238435842743</v>
      </c>
      <c r="P119" s="1" t="s">
        <v>61</v>
      </c>
      <c r="Q119" s="1" t="s">
        <v>61</v>
      </c>
      <c r="R119" s="1">
        <f t="shared" si="1"/>
        <v>0.05398376664</v>
      </c>
      <c r="S119" s="1">
        <f t="shared" si="2"/>
        <v>-120</v>
      </c>
      <c r="T119" s="1">
        <f t="shared" si="3"/>
        <v>1.833333333</v>
      </c>
      <c r="U119" s="1">
        <f t="shared" si="4"/>
        <v>1</v>
      </c>
      <c r="V119" s="3">
        <f t="shared" si="5"/>
        <v>2</v>
      </c>
      <c r="W119" s="3">
        <f t="shared" si="6"/>
        <v>3</v>
      </c>
      <c r="X119" s="3" t="str">
        <f>IFERROR(__xludf.DUMMYFUNCTION("split(B119,"" "")"),"J.")</f>
        <v>J.</v>
      </c>
      <c r="Y119" s="3" t="str">
        <f>IFERROR(__xludf.DUMMYFUNCTION("""COMPUTED_VALUE"""),"Ruckert")</f>
        <v>Ruckert</v>
      </c>
      <c r="AA119" s="8">
        <v>17.0</v>
      </c>
      <c r="AB119" s="3">
        <f t="shared" si="7"/>
        <v>1</v>
      </c>
      <c r="AC119" s="3">
        <f t="shared" si="8"/>
        <v>1</v>
      </c>
      <c r="AD119" s="3">
        <f t="shared" si="9"/>
        <v>1.666666667</v>
      </c>
      <c r="AE119" s="3">
        <f t="shared" si="10"/>
        <v>1.666666667</v>
      </c>
      <c r="AF119" s="3">
        <f t="shared" si="11"/>
        <v>2.5</v>
      </c>
      <c r="AG119" s="3">
        <f t="shared" si="12"/>
        <v>1.615384615</v>
      </c>
    </row>
    <row r="120">
      <c r="A120" s="1" t="s">
        <v>9</v>
      </c>
      <c r="B120" s="1" t="s">
        <v>554</v>
      </c>
      <c r="C120" s="1" t="s">
        <v>19</v>
      </c>
      <c r="D120" s="1" t="s">
        <v>165</v>
      </c>
      <c r="E120" s="1" t="s">
        <v>105</v>
      </c>
      <c r="F120" s="1" t="s">
        <v>674</v>
      </c>
      <c r="G120" s="1">
        <v>29.5</v>
      </c>
      <c r="H120" s="1" t="s">
        <v>60</v>
      </c>
      <c r="I120" s="1">
        <v>-116.0</v>
      </c>
      <c r="J120" s="1">
        <v>0.0589071020431967</v>
      </c>
      <c r="K120" s="1" t="s">
        <v>61</v>
      </c>
      <c r="L120" s="1" t="s">
        <v>61</v>
      </c>
      <c r="M120" s="1" t="s">
        <v>62</v>
      </c>
      <c r="N120" s="1">
        <v>-117.0</v>
      </c>
      <c r="O120" s="1">
        <v>-0.135121911651413</v>
      </c>
      <c r="P120" s="1" t="s">
        <v>61</v>
      </c>
      <c r="Q120" s="1" t="s">
        <v>61</v>
      </c>
      <c r="R120" s="1">
        <f t="shared" si="1"/>
        <v>0.05890710204</v>
      </c>
      <c r="S120" s="1">
        <f t="shared" si="2"/>
        <v>-116</v>
      </c>
      <c r="T120" s="1">
        <f t="shared" si="3"/>
        <v>1.862068966</v>
      </c>
      <c r="U120" s="1">
        <f t="shared" si="4"/>
        <v>1</v>
      </c>
      <c r="V120" s="3">
        <f t="shared" si="5"/>
        <v>2</v>
      </c>
      <c r="W120" s="3">
        <f t="shared" si="6"/>
        <v>2</v>
      </c>
      <c r="X120" s="3" t="str">
        <f>IFERROR(__xludf.DUMMYFUNCTION("split(B120,"" "")"),"B.")</f>
        <v>B.</v>
      </c>
      <c r="Y120" s="3" t="str">
        <f>IFERROR(__xludf.DUMMYFUNCTION("""COMPUTED_VALUE"""),"Allen")</f>
        <v>Allen</v>
      </c>
      <c r="AA120" s="8">
        <v>34.0</v>
      </c>
      <c r="AB120" s="3">
        <f t="shared" si="7"/>
        <v>1</v>
      </c>
      <c r="AC120" s="3">
        <f t="shared" si="8"/>
        <v>1</v>
      </c>
      <c r="AD120" s="3">
        <f t="shared" si="9"/>
        <v>1.724137931</v>
      </c>
      <c r="AE120" s="3">
        <f t="shared" si="10"/>
        <v>1.724137931</v>
      </c>
      <c r="AF120" s="3">
        <f t="shared" si="11"/>
        <v>1.724137931</v>
      </c>
      <c r="AG120" s="3">
        <f t="shared" si="12"/>
        <v>0.1525423729</v>
      </c>
    </row>
    <row r="121">
      <c r="A121" s="1" t="s">
        <v>11</v>
      </c>
      <c r="B121" s="1" t="s">
        <v>554</v>
      </c>
      <c r="C121" s="1" t="s">
        <v>19</v>
      </c>
      <c r="D121" s="1" t="s">
        <v>165</v>
      </c>
      <c r="E121" s="1" t="s">
        <v>105</v>
      </c>
      <c r="F121" s="1" t="s">
        <v>674</v>
      </c>
      <c r="G121" s="1">
        <v>4.5</v>
      </c>
      <c r="H121" s="1" t="s">
        <v>60</v>
      </c>
      <c r="I121" s="1">
        <v>-113.0</v>
      </c>
      <c r="J121" s="1">
        <v>0.120736318950951</v>
      </c>
      <c r="K121" s="1" t="s">
        <v>61</v>
      </c>
      <c r="L121" s="1" t="s">
        <v>61</v>
      </c>
      <c r="M121" s="1" t="s">
        <v>62</v>
      </c>
      <c r="N121" s="1">
        <v>-113.0</v>
      </c>
      <c r="O121" s="1">
        <v>-0.181724040414575</v>
      </c>
      <c r="P121" s="1" t="s">
        <v>61</v>
      </c>
      <c r="Q121" s="1" t="s">
        <v>61</v>
      </c>
      <c r="R121" s="1">
        <f t="shared" si="1"/>
        <v>0.120736319</v>
      </c>
      <c r="S121" s="1">
        <f t="shared" si="2"/>
        <v>-113</v>
      </c>
      <c r="T121" s="1">
        <f t="shared" si="3"/>
        <v>1.884955752</v>
      </c>
      <c r="U121" s="1">
        <f t="shared" si="4"/>
        <v>1</v>
      </c>
      <c r="V121" s="3">
        <f t="shared" si="5"/>
        <v>3</v>
      </c>
      <c r="W121" s="3">
        <f t="shared" si="6"/>
        <v>2</v>
      </c>
      <c r="X121" s="3" t="str">
        <f>IFERROR(__xludf.DUMMYFUNCTION("split(B121,"" "")"),"B.")</f>
        <v>B.</v>
      </c>
      <c r="Y121" s="3" t="str">
        <f>IFERROR(__xludf.DUMMYFUNCTION("""COMPUTED_VALUE"""),"Allen")</f>
        <v>Allen</v>
      </c>
      <c r="AA121" s="8">
        <v>7.0</v>
      </c>
      <c r="AB121" s="3">
        <f t="shared" si="7"/>
        <v>1</v>
      </c>
      <c r="AC121" s="3">
        <f t="shared" si="8"/>
        <v>1</v>
      </c>
      <c r="AD121" s="3">
        <f t="shared" si="9"/>
        <v>2.654867257</v>
      </c>
      <c r="AE121" s="3">
        <f t="shared" si="10"/>
        <v>2.654867257</v>
      </c>
      <c r="AF121" s="3">
        <f t="shared" si="11"/>
        <v>1.769911504</v>
      </c>
      <c r="AG121" s="3">
        <f t="shared" si="12"/>
        <v>0.5555555556</v>
      </c>
    </row>
    <row r="122">
      <c r="A122" s="1" t="s">
        <v>12</v>
      </c>
      <c r="B122" s="1" t="s">
        <v>477</v>
      </c>
      <c r="C122" s="1" t="s">
        <v>20</v>
      </c>
      <c r="D122" s="1" t="s">
        <v>147</v>
      </c>
      <c r="E122" s="1" t="s">
        <v>57</v>
      </c>
      <c r="F122" s="1" t="s">
        <v>675</v>
      </c>
      <c r="G122" s="1">
        <v>2.5</v>
      </c>
      <c r="H122" s="1" t="s">
        <v>60</v>
      </c>
      <c r="I122" s="1">
        <v>-102.0</v>
      </c>
      <c r="J122" s="1">
        <v>-0.236847053910891</v>
      </c>
      <c r="K122" s="1" t="s">
        <v>61</v>
      </c>
      <c r="L122" s="1" t="s">
        <v>61</v>
      </c>
      <c r="M122" s="1" t="s">
        <v>62</v>
      </c>
      <c r="N122" s="1">
        <v>-130.0</v>
      </c>
      <c r="O122" s="1">
        <v>0.166678679813043</v>
      </c>
      <c r="P122" s="1" t="s">
        <v>61</v>
      </c>
      <c r="Q122" s="1" t="s">
        <v>61</v>
      </c>
      <c r="R122" s="1">
        <f t="shared" si="1"/>
        <v>0.1666786798</v>
      </c>
      <c r="S122" s="1">
        <f t="shared" si="2"/>
        <v>-130</v>
      </c>
      <c r="T122" s="1">
        <f t="shared" si="3"/>
        <v>1.769230769</v>
      </c>
      <c r="U122" s="1">
        <f t="shared" si="4"/>
        <v>0</v>
      </c>
      <c r="V122" s="3">
        <f t="shared" si="5"/>
        <v>3</v>
      </c>
      <c r="W122" s="3">
        <f t="shared" si="6"/>
        <v>3</v>
      </c>
      <c r="X122" s="3" t="str">
        <f>IFERROR(__xludf.DUMMYFUNCTION("split(B122,"" "")"),"T.")</f>
        <v>T.</v>
      </c>
      <c r="Y122" s="3" t="str">
        <f>IFERROR(__xludf.DUMMYFUNCTION("""COMPUTED_VALUE"""),"Johnson")</f>
        <v>Johnson</v>
      </c>
      <c r="AA122" s="8">
        <v>4.0</v>
      </c>
      <c r="AB122" s="3">
        <f t="shared" si="7"/>
        <v>1</v>
      </c>
      <c r="AC122" s="3">
        <f t="shared" si="8"/>
        <v>0</v>
      </c>
      <c r="AD122" s="3">
        <f t="shared" si="9"/>
        <v>2.307692308</v>
      </c>
      <c r="AE122" s="3">
        <f t="shared" si="10"/>
        <v>-3</v>
      </c>
      <c r="AF122" s="3">
        <f t="shared" si="11"/>
        <v>-3</v>
      </c>
      <c r="AG122" s="3">
        <f t="shared" si="12"/>
        <v>-0.6</v>
      </c>
    </row>
    <row r="123">
      <c r="A123" s="1" t="s">
        <v>8</v>
      </c>
      <c r="B123" s="1" t="s">
        <v>568</v>
      </c>
      <c r="C123" s="1" t="s">
        <v>19</v>
      </c>
      <c r="D123" s="1" t="s">
        <v>147</v>
      </c>
      <c r="E123" s="1" t="s">
        <v>57</v>
      </c>
      <c r="F123" s="1" t="s">
        <v>675</v>
      </c>
      <c r="G123" s="1">
        <v>16.5</v>
      </c>
      <c r="H123" s="1" t="s">
        <v>60</v>
      </c>
      <c r="I123" s="1">
        <v>-127.0</v>
      </c>
      <c r="J123" s="1">
        <v>-0.15301499247577</v>
      </c>
      <c r="K123" s="1" t="s">
        <v>61</v>
      </c>
      <c r="L123" s="1" t="s">
        <v>61</v>
      </c>
      <c r="M123" s="1" t="s">
        <v>62</v>
      </c>
      <c r="N123" s="1">
        <v>-106.0</v>
      </c>
      <c r="O123" s="1">
        <v>0.0789878518908737</v>
      </c>
      <c r="P123" s="1" t="s">
        <v>61</v>
      </c>
      <c r="Q123" s="1" t="s">
        <v>61</v>
      </c>
      <c r="R123" s="1">
        <f t="shared" si="1"/>
        <v>0.07898785189</v>
      </c>
      <c r="S123" s="1">
        <f t="shared" si="2"/>
        <v>-106</v>
      </c>
      <c r="T123" s="1">
        <f t="shared" si="3"/>
        <v>1.943396226</v>
      </c>
      <c r="U123" s="1">
        <f t="shared" si="4"/>
        <v>0</v>
      </c>
      <c r="V123" s="3">
        <f t="shared" si="5"/>
        <v>2</v>
      </c>
      <c r="W123" s="3">
        <f t="shared" si="6"/>
        <v>2</v>
      </c>
      <c r="X123" s="3" t="str">
        <f>IFERROR(__xludf.DUMMYFUNCTION("split(B123,"" "")"),"T.")</f>
        <v>T.</v>
      </c>
      <c r="Y123" s="3" t="str">
        <f>IFERROR(__xludf.DUMMYFUNCTION("""COMPUTED_VALUE"""),"Tracy")</f>
        <v>Tracy</v>
      </c>
      <c r="AA123" s="8">
        <v>18.0</v>
      </c>
      <c r="AB123" s="3">
        <f t="shared" si="7"/>
        <v>1</v>
      </c>
      <c r="AC123" s="3">
        <f t="shared" si="8"/>
        <v>0</v>
      </c>
      <c r="AD123" s="3">
        <f t="shared" si="9"/>
        <v>1.886792453</v>
      </c>
      <c r="AE123" s="3">
        <f t="shared" si="10"/>
        <v>-2</v>
      </c>
      <c r="AF123" s="3">
        <f t="shared" si="11"/>
        <v>-2</v>
      </c>
      <c r="AG123" s="3">
        <f t="shared" si="12"/>
        <v>-0.09090909091</v>
      </c>
    </row>
    <row r="124">
      <c r="A124" s="1" t="s">
        <v>10</v>
      </c>
      <c r="B124" s="1" t="s">
        <v>568</v>
      </c>
      <c r="C124" s="1" t="s">
        <v>19</v>
      </c>
      <c r="D124" s="1" t="s">
        <v>147</v>
      </c>
      <c r="E124" s="1" t="s">
        <v>57</v>
      </c>
      <c r="F124" s="1" t="s">
        <v>675</v>
      </c>
      <c r="G124" s="1">
        <v>73.5</v>
      </c>
      <c r="H124" s="1" t="s">
        <v>60</v>
      </c>
      <c r="I124" s="1">
        <v>-122.0</v>
      </c>
      <c r="J124" s="1">
        <v>-0.137881294170966</v>
      </c>
      <c r="K124" s="1" t="s">
        <v>61</v>
      </c>
      <c r="L124" s="1" t="s">
        <v>61</v>
      </c>
      <c r="M124" s="1" t="s">
        <v>62</v>
      </c>
      <c r="N124" s="1">
        <v>-106.0</v>
      </c>
      <c r="O124" s="1">
        <v>0.0737862880430668</v>
      </c>
      <c r="P124" s="1" t="s">
        <v>61</v>
      </c>
      <c r="Q124" s="1" t="s">
        <v>61</v>
      </c>
      <c r="R124" s="1">
        <f t="shared" si="1"/>
        <v>0.07378628804</v>
      </c>
      <c r="S124" s="1">
        <f t="shared" si="2"/>
        <v>-106</v>
      </c>
      <c r="T124" s="1">
        <f t="shared" si="3"/>
        <v>1.943396226</v>
      </c>
      <c r="U124" s="1">
        <f t="shared" si="4"/>
        <v>0</v>
      </c>
      <c r="V124" s="3">
        <f t="shared" si="5"/>
        <v>2</v>
      </c>
      <c r="W124" s="3">
        <f t="shared" si="6"/>
        <v>2</v>
      </c>
      <c r="X124" s="3" t="str">
        <f>IFERROR(__xludf.DUMMYFUNCTION("split(B124,"" "")"),"T.")</f>
        <v>T.</v>
      </c>
      <c r="Y124" s="3" t="str">
        <f>IFERROR(__xludf.DUMMYFUNCTION("""COMPUTED_VALUE"""),"Tracy")</f>
        <v>Tracy</v>
      </c>
      <c r="AA124" s="8">
        <v>103.0</v>
      </c>
      <c r="AB124" s="3">
        <f t="shared" si="7"/>
        <v>1</v>
      </c>
      <c r="AC124" s="3">
        <f t="shared" si="8"/>
        <v>0</v>
      </c>
      <c r="AD124" s="3">
        <f t="shared" si="9"/>
        <v>1.886792453</v>
      </c>
      <c r="AE124" s="3">
        <f t="shared" si="10"/>
        <v>-2</v>
      </c>
      <c r="AF124" s="3">
        <f t="shared" si="11"/>
        <v>-2</v>
      </c>
      <c r="AG124" s="3">
        <f t="shared" si="12"/>
        <v>-0.4013605442</v>
      </c>
    </row>
    <row r="125">
      <c r="A125" s="1" t="s">
        <v>12</v>
      </c>
      <c r="B125" s="1" t="s">
        <v>568</v>
      </c>
      <c r="C125" s="1" t="s">
        <v>19</v>
      </c>
      <c r="D125" s="1" t="s">
        <v>147</v>
      </c>
      <c r="E125" s="1" t="s">
        <v>57</v>
      </c>
      <c r="F125" s="1" t="s">
        <v>675</v>
      </c>
      <c r="G125" s="1">
        <v>2.5</v>
      </c>
      <c r="H125" s="1" t="s">
        <v>60</v>
      </c>
      <c r="I125" s="1">
        <v>135.0</v>
      </c>
      <c r="J125" s="1">
        <v>-0.138926822119148</v>
      </c>
      <c r="K125" s="1" t="s">
        <v>61</v>
      </c>
      <c r="L125" s="1" t="s">
        <v>61</v>
      </c>
      <c r="M125" s="1" t="s">
        <v>62</v>
      </c>
      <c r="N125" s="1">
        <v>-180.0</v>
      </c>
      <c r="O125" s="1">
        <v>0.0705371580857143</v>
      </c>
      <c r="P125" s="1" t="s">
        <v>61</v>
      </c>
      <c r="Q125" s="1" t="s">
        <v>61</v>
      </c>
      <c r="R125" s="1">
        <f t="shared" si="1"/>
        <v>0.07053715809</v>
      </c>
      <c r="S125" s="1">
        <f t="shared" si="2"/>
        <v>-180</v>
      </c>
      <c r="T125" s="1">
        <f t="shared" si="3"/>
        <v>1.555555556</v>
      </c>
      <c r="U125" s="1">
        <f t="shared" si="4"/>
        <v>0</v>
      </c>
      <c r="V125" s="3">
        <f t="shared" si="5"/>
        <v>2</v>
      </c>
      <c r="W125" s="3">
        <f t="shared" si="6"/>
        <v>3</v>
      </c>
      <c r="X125" s="3" t="str">
        <f>IFERROR(__xludf.DUMMYFUNCTION("split(B125,"" "")"),"T.")</f>
        <v>T.</v>
      </c>
      <c r="Y125" s="3" t="str">
        <f>IFERROR(__xludf.DUMMYFUNCTION("""COMPUTED_VALUE"""),"Tracy")</f>
        <v>Tracy</v>
      </c>
      <c r="AA125" s="8">
        <v>1.0</v>
      </c>
      <c r="AB125" s="3">
        <f t="shared" si="7"/>
        <v>0</v>
      </c>
      <c r="AC125" s="3">
        <f t="shared" si="8"/>
        <v>1</v>
      </c>
      <c r="AD125" s="3">
        <f t="shared" si="9"/>
        <v>1.111111111</v>
      </c>
      <c r="AE125" s="3">
        <f t="shared" si="10"/>
        <v>1.111111111</v>
      </c>
      <c r="AF125" s="3">
        <f t="shared" si="11"/>
        <v>1.666666667</v>
      </c>
      <c r="AG125" s="3">
        <f t="shared" si="12"/>
        <v>0.6</v>
      </c>
    </row>
    <row r="126">
      <c r="A126" s="1" t="s">
        <v>16</v>
      </c>
      <c r="B126" s="1" t="s">
        <v>260</v>
      </c>
      <c r="C126" s="1" t="s">
        <v>21</v>
      </c>
      <c r="D126" s="1" t="s">
        <v>147</v>
      </c>
      <c r="E126" s="1" t="s">
        <v>57</v>
      </c>
      <c r="F126" s="1" t="s">
        <v>675</v>
      </c>
      <c r="G126" s="1">
        <v>28.5</v>
      </c>
      <c r="H126" s="1" t="s">
        <v>60</v>
      </c>
      <c r="I126" s="1">
        <v>-120.0</v>
      </c>
      <c r="J126" s="1">
        <v>-0.132399235272727</v>
      </c>
      <c r="K126" s="1" t="s">
        <v>61</v>
      </c>
      <c r="L126" s="1" t="s">
        <v>61</v>
      </c>
      <c r="M126" s="1" t="s">
        <v>62</v>
      </c>
      <c r="N126" s="1">
        <v>-109.0</v>
      </c>
      <c r="O126" s="1">
        <v>0.0654201752076556</v>
      </c>
      <c r="P126" s="1" t="s">
        <v>61</v>
      </c>
      <c r="Q126" s="1" t="s">
        <v>61</v>
      </c>
      <c r="R126" s="1">
        <f t="shared" si="1"/>
        <v>0.06542017521</v>
      </c>
      <c r="S126" s="1">
        <f t="shared" si="2"/>
        <v>-109</v>
      </c>
      <c r="T126" s="1">
        <f t="shared" si="3"/>
        <v>1.917431193</v>
      </c>
      <c r="U126" s="1">
        <f t="shared" si="4"/>
        <v>0</v>
      </c>
      <c r="V126" s="3">
        <f t="shared" si="5"/>
        <v>2</v>
      </c>
      <c r="W126" s="3">
        <f t="shared" si="6"/>
        <v>2</v>
      </c>
      <c r="X126" s="3" t="str">
        <f>IFERROR(__xludf.DUMMYFUNCTION("split(B126,"" "")"),"D.")</f>
        <v>D.</v>
      </c>
      <c r="Y126" s="3" t="str">
        <f>IFERROR(__xludf.DUMMYFUNCTION("""COMPUTED_VALUE"""),"Jones")</f>
        <v>Jones</v>
      </c>
      <c r="AA126" s="8">
        <v>37.0</v>
      </c>
      <c r="AB126" s="3">
        <f t="shared" si="7"/>
        <v>1</v>
      </c>
      <c r="AC126" s="3">
        <f t="shared" si="8"/>
        <v>0</v>
      </c>
      <c r="AD126" s="3">
        <f t="shared" si="9"/>
        <v>1.834862385</v>
      </c>
      <c r="AE126" s="3">
        <f t="shared" si="10"/>
        <v>-2</v>
      </c>
      <c r="AF126" s="3">
        <f t="shared" si="11"/>
        <v>-2</v>
      </c>
      <c r="AG126" s="3">
        <f t="shared" si="12"/>
        <v>-0.298245614</v>
      </c>
    </row>
    <row r="127">
      <c r="A127" s="1" t="s">
        <v>9</v>
      </c>
      <c r="B127" s="1" t="s">
        <v>568</v>
      </c>
      <c r="C127" s="1" t="s">
        <v>19</v>
      </c>
      <c r="D127" s="1" t="s">
        <v>147</v>
      </c>
      <c r="E127" s="1" t="s">
        <v>57</v>
      </c>
      <c r="F127" s="1" t="s">
        <v>675</v>
      </c>
      <c r="G127" s="1">
        <v>90.5</v>
      </c>
      <c r="H127" s="1" t="s">
        <v>60</v>
      </c>
      <c r="I127" s="1">
        <v>-116.0</v>
      </c>
      <c r="J127" s="1">
        <v>-0.138137551508771</v>
      </c>
      <c r="K127" s="1" t="s">
        <v>61</v>
      </c>
      <c r="L127" s="1" t="s">
        <v>61</v>
      </c>
      <c r="M127" s="1" t="s">
        <v>62</v>
      </c>
      <c r="N127" s="1">
        <v>-116.0</v>
      </c>
      <c r="O127" s="1">
        <v>0.0640459976061749</v>
      </c>
      <c r="P127" s="1" t="s">
        <v>61</v>
      </c>
      <c r="Q127" s="1" t="s">
        <v>61</v>
      </c>
      <c r="R127" s="1">
        <f t="shared" si="1"/>
        <v>0.06404599761</v>
      </c>
      <c r="S127" s="1">
        <f t="shared" si="2"/>
        <v>-116</v>
      </c>
      <c r="T127" s="1">
        <f t="shared" si="3"/>
        <v>1.862068966</v>
      </c>
      <c r="U127" s="1">
        <f t="shared" si="4"/>
        <v>0</v>
      </c>
      <c r="V127" s="3">
        <f t="shared" si="5"/>
        <v>2</v>
      </c>
      <c r="W127" s="3">
        <f t="shared" si="6"/>
        <v>2</v>
      </c>
      <c r="X127" s="3" t="str">
        <f>IFERROR(__xludf.DUMMYFUNCTION("split(B127,"" "")"),"T.")</f>
        <v>T.</v>
      </c>
      <c r="Y127" s="3" t="str">
        <f>IFERROR(__xludf.DUMMYFUNCTION("""COMPUTED_VALUE"""),"Tracy")</f>
        <v>Tracy</v>
      </c>
      <c r="AA127" s="8">
        <v>104.0</v>
      </c>
      <c r="AB127" s="3">
        <f t="shared" si="7"/>
        <v>1</v>
      </c>
      <c r="AC127" s="3">
        <f t="shared" si="8"/>
        <v>0</v>
      </c>
      <c r="AD127" s="3">
        <f t="shared" si="9"/>
        <v>1.724137931</v>
      </c>
      <c r="AE127" s="3">
        <f t="shared" si="10"/>
        <v>-2</v>
      </c>
      <c r="AF127" s="3">
        <f t="shared" si="11"/>
        <v>-2</v>
      </c>
      <c r="AG127" s="3">
        <f t="shared" si="12"/>
        <v>-0.1491712707</v>
      </c>
    </row>
    <row r="128">
      <c r="A128" s="1" t="s">
        <v>8</v>
      </c>
      <c r="B128" s="1" t="s">
        <v>260</v>
      </c>
      <c r="C128" s="1" t="s">
        <v>21</v>
      </c>
      <c r="D128" s="1" t="s">
        <v>147</v>
      </c>
      <c r="E128" s="1" t="s">
        <v>57</v>
      </c>
      <c r="F128" s="1" t="s">
        <v>675</v>
      </c>
      <c r="G128" s="1">
        <v>6.5</v>
      </c>
      <c r="H128" s="1" t="s">
        <v>60</v>
      </c>
      <c r="I128" s="1">
        <v>113.0</v>
      </c>
      <c r="J128" s="1">
        <v>-0.140377019138618</v>
      </c>
      <c r="K128" s="1" t="s">
        <v>61</v>
      </c>
      <c r="L128" s="1" t="s">
        <v>61</v>
      </c>
      <c r="M128" s="1" t="s">
        <v>62</v>
      </c>
      <c r="N128" s="1">
        <v>-155.0</v>
      </c>
      <c r="O128" s="1">
        <v>0.0630639349943252</v>
      </c>
      <c r="P128" s="1" t="s">
        <v>61</v>
      </c>
      <c r="Q128" s="1" t="s">
        <v>61</v>
      </c>
      <c r="R128" s="1">
        <f t="shared" si="1"/>
        <v>0.06306393499</v>
      </c>
      <c r="S128" s="1">
        <f t="shared" si="2"/>
        <v>-155</v>
      </c>
      <c r="T128" s="1">
        <f t="shared" si="3"/>
        <v>1.64516129</v>
      </c>
      <c r="U128" s="1">
        <f t="shared" si="4"/>
        <v>0</v>
      </c>
      <c r="V128" s="3">
        <f t="shared" si="5"/>
        <v>2</v>
      </c>
      <c r="W128" s="3">
        <f t="shared" si="6"/>
        <v>3</v>
      </c>
      <c r="X128" s="3" t="str">
        <f>IFERROR(__xludf.DUMMYFUNCTION("split(B128,"" "")"),"D.")</f>
        <v>D.</v>
      </c>
      <c r="Y128" s="3" t="str">
        <f>IFERROR(__xludf.DUMMYFUNCTION("""COMPUTED_VALUE"""),"Jones")</f>
        <v>Jones</v>
      </c>
      <c r="AA128" s="8">
        <v>7.0</v>
      </c>
      <c r="AB128" s="3">
        <f t="shared" si="7"/>
        <v>1</v>
      </c>
      <c r="AC128" s="3">
        <f t="shared" si="8"/>
        <v>0</v>
      </c>
      <c r="AD128" s="3">
        <f t="shared" si="9"/>
        <v>1.290322581</v>
      </c>
      <c r="AE128" s="3">
        <f t="shared" si="10"/>
        <v>-2</v>
      </c>
      <c r="AF128" s="3">
        <f t="shared" si="11"/>
        <v>-3</v>
      </c>
      <c r="AG128" s="3">
        <f t="shared" si="12"/>
        <v>-0.07692307692</v>
      </c>
    </row>
    <row r="129">
      <c r="A129" s="1" t="s">
        <v>11</v>
      </c>
      <c r="B129" s="1" t="s">
        <v>477</v>
      </c>
      <c r="C129" s="1" t="s">
        <v>20</v>
      </c>
      <c r="D129" s="1" t="s">
        <v>147</v>
      </c>
      <c r="E129" s="1" t="s">
        <v>57</v>
      </c>
      <c r="F129" s="1" t="s">
        <v>675</v>
      </c>
      <c r="G129" s="1">
        <v>24.5</v>
      </c>
      <c r="H129" s="1" t="s">
        <v>60</v>
      </c>
      <c r="I129" s="1">
        <v>-114.0</v>
      </c>
      <c r="J129" s="1">
        <v>-0.124763379470906</v>
      </c>
      <c r="K129" s="1" t="s">
        <v>61</v>
      </c>
      <c r="L129" s="1" t="s">
        <v>61</v>
      </c>
      <c r="M129" s="1" t="s">
        <v>62</v>
      </c>
      <c r="N129" s="1">
        <v>-114.0</v>
      </c>
      <c r="O129" s="1">
        <v>0.0593782525968336</v>
      </c>
      <c r="P129" s="1" t="s">
        <v>61</v>
      </c>
      <c r="Q129" s="1" t="s">
        <v>61</v>
      </c>
      <c r="R129" s="1">
        <f t="shared" si="1"/>
        <v>0.0593782526</v>
      </c>
      <c r="S129" s="1">
        <f t="shared" si="2"/>
        <v>-114</v>
      </c>
      <c r="T129" s="1">
        <f t="shared" si="3"/>
        <v>1.877192982</v>
      </c>
      <c r="U129" s="1">
        <f t="shared" si="4"/>
        <v>0</v>
      </c>
      <c r="V129" s="3">
        <f t="shared" si="5"/>
        <v>2</v>
      </c>
      <c r="W129" s="3">
        <f t="shared" si="6"/>
        <v>2</v>
      </c>
      <c r="X129" s="3" t="str">
        <f>IFERROR(__xludf.DUMMYFUNCTION("split(B129,"" "")"),"T.")</f>
        <v>T.</v>
      </c>
      <c r="Y129" s="3" t="str">
        <f>IFERROR(__xludf.DUMMYFUNCTION("""COMPUTED_VALUE"""),"Johnson")</f>
        <v>Johnson</v>
      </c>
      <c r="AA129" s="8">
        <v>37.0</v>
      </c>
      <c r="AB129" s="3">
        <f t="shared" si="7"/>
        <v>1</v>
      </c>
      <c r="AC129" s="3">
        <f t="shared" si="8"/>
        <v>0</v>
      </c>
      <c r="AD129" s="3">
        <f t="shared" si="9"/>
        <v>1.754385965</v>
      </c>
      <c r="AE129" s="3">
        <f t="shared" si="10"/>
        <v>-2</v>
      </c>
      <c r="AF129" s="3">
        <f t="shared" si="11"/>
        <v>-2</v>
      </c>
      <c r="AG129" s="3">
        <f t="shared" si="12"/>
        <v>-0.5102040816</v>
      </c>
    </row>
    <row r="130">
      <c r="A130" s="1" t="s">
        <v>12</v>
      </c>
      <c r="B130" s="1" t="s">
        <v>354</v>
      </c>
      <c r="C130" s="1" t="s">
        <v>18</v>
      </c>
      <c r="D130" s="1" t="s">
        <v>147</v>
      </c>
      <c r="E130" s="1" t="s">
        <v>57</v>
      </c>
      <c r="F130" s="1" t="s">
        <v>675</v>
      </c>
      <c r="G130" s="1">
        <v>4.5</v>
      </c>
      <c r="H130" s="1" t="s">
        <v>60</v>
      </c>
      <c r="I130" s="1">
        <v>-155.0</v>
      </c>
      <c r="J130" s="1">
        <v>-0.114982352941176</v>
      </c>
      <c r="K130" s="1" t="s">
        <v>61</v>
      </c>
      <c r="L130" s="1" t="s">
        <v>61</v>
      </c>
      <c r="M130" s="1" t="s">
        <v>62</v>
      </c>
      <c r="N130" s="1">
        <v>119.0</v>
      </c>
      <c r="O130" s="1">
        <v>0.0505246575342465</v>
      </c>
      <c r="P130" s="1" t="s">
        <v>61</v>
      </c>
      <c r="Q130" s="1" t="s">
        <v>61</v>
      </c>
      <c r="R130" s="1">
        <f t="shared" si="1"/>
        <v>0.05052465753</v>
      </c>
      <c r="S130" s="1">
        <f t="shared" si="2"/>
        <v>119</v>
      </c>
      <c r="T130" s="1">
        <f t="shared" si="3"/>
        <v>2.19</v>
      </c>
      <c r="U130" s="1">
        <f t="shared" si="4"/>
        <v>0</v>
      </c>
      <c r="V130" s="3">
        <f t="shared" si="5"/>
        <v>2</v>
      </c>
      <c r="W130" s="3">
        <f t="shared" si="6"/>
        <v>1</v>
      </c>
      <c r="X130" s="3" t="str">
        <f>IFERROR(__xludf.DUMMYFUNCTION("split(B130,"" "")"),"W.")</f>
        <v>W.</v>
      </c>
      <c r="Y130" s="3" t="str">
        <f>IFERROR(__xludf.DUMMYFUNCTION("""COMPUTED_VALUE"""),"Robinson")</f>
        <v>Robinson</v>
      </c>
      <c r="AA130" s="8">
        <v>5.0</v>
      </c>
      <c r="AB130" s="3">
        <f t="shared" si="7"/>
        <v>1</v>
      </c>
      <c r="AC130" s="3">
        <f t="shared" si="8"/>
        <v>0</v>
      </c>
      <c r="AD130" s="3">
        <f t="shared" si="9"/>
        <v>2.38</v>
      </c>
      <c r="AE130" s="3">
        <f t="shared" si="10"/>
        <v>-2</v>
      </c>
      <c r="AF130" s="3">
        <f t="shared" si="11"/>
        <v>-1</v>
      </c>
      <c r="AG130" s="3">
        <f t="shared" si="12"/>
        <v>-0.1111111111</v>
      </c>
    </row>
    <row r="131">
      <c r="A131" s="1" t="s">
        <v>11</v>
      </c>
      <c r="B131" s="1" t="s">
        <v>354</v>
      </c>
      <c r="C131" s="1" t="s">
        <v>18</v>
      </c>
      <c r="D131" s="1" t="s">
        <v>147</v>
      </c>
      <c r="E131" s="1" t="s">
        <v>57</v>
      </c>
      <c r="F131" s="1" t="s">
        <v>675</v>
      </c>
      <c r="G131" s="1">
        <v>36.5</v>
      </c>
      <c r="H131" s="1" t="s">
        <v>60</v>
      </c>
      <c r="I131" s="1">
        <v>-116.0</v>
      </c>
      <c r="J131" s="1">
        <v>-0.10460821009912</v>
      </c>
      <c r="K131" s="1" t="s">
        <v>61</v>
      </c>
      <c r="L131" s="1" t="s">
        <v>61</v>
      </c>
      <c r="M131" s="1" t="s">
        <v>62</v>
      </c>
      <c r="N131" s="1">
        <v>-115.0</v>
      </c>
      <c r="O131" s="1">
        <v>0.0327127794857744</v>
      </c>
      <c r="P131" s="1" t="s">
        <v>61</v>
      </c>
      <c r="Q131" s="1" t="s">
        <v>61</v>
      </c>
      <c r="R131" s="1">
        <f t="shared" si="1"/>
        <v>0.03271277949</v>
      </c>
      <c r="S131" s="1">
        <f t="shared" si="2"/>
        <v>-115</v>
      </c>
      <c r="T131" s="1">
        <f t="shared" si="3"/>
        <v>1.869565217</v>
      </c>
      <c r="U131" s="1">
        <f t="shared" si="4"/>
        <v>0</v>
      </c>
      <c r="V131" s="3">
        <f t="shared" si="5"/>
        <v>1</v>
      </c>
      <c r="W131" s="3">
        <f t="shared" si="6"/>
        <v>2</v>
      </c>
      <c r="X131" s="3" t="str">
        <f>IFERROR(__xludf.DUMMYFUNCTION("split(B131,"" "")"),"W.")</f>
        <v>W.</v>
      </c>
      <c r="Y131" s="3" t="str">
        <f>IFERROR(__xludf.DUMMYFUNCTION("""COMPUTED_VALUE"""),"Robinson")</f>
        <v>Robinson</v>
      </c>
      <c r="AA131" s="8">
        <v>51.0</v>
      </c>
      <c r="AB131" s="3">
        <f t="shared" si="7"/>
        <v>1</v>
      </c>
      <c r="AC131" s="3">
        <f t="shared" si="8"/>
        <v>0</v>
      </c>
      <c r="AD131" s="3">
        <f t="shared" si="9"/>
        <v>0.8695652174</v>
      </c>
      <c r="AE131" s="3">
        <f t="shared" si="10"/>
        <v>-1</v>
      </c>
      <c r="AF131" s="3">
        <f t="shared" si="11"/>
        <v>-2</v>
      </c>
      <c r="AG131" s="3">
        <f t="shared" si="12"/>
        <v>-0.397260274</v>
      </c>
    </row>
    <row r="132">
      <c r="A132" s="1" t="s">
        <v>8</v>
      </c>
      <c r="B132" s="1" t="s">
        <v>270</v>
      </c>
      <c r="C132" s="1" t="s">
        <v>19</v>
      </c>
      <c r="D132" s="1" t="s">
        <v>147</v>
      </c>
      <c r="E132" s="1" t="s">
        <v>57</v>
      </c>
      <c r="F132" s="1" t="s">
        <v>675</v>
      </c>
      <c r="G132" s="1">
        <v>5.5</v>
      </c>
      <c r="H132" s="1" t="s">
        <v>60</v>
      </c>
      <c r="I132" s="1">
        <v>-106.0</v>
      </c>
      <c r="J132" s="1">
        <v>-0.109203010569815</v>
      </c>
      <c r="K132" s="1" t="s">
        <v>61</v>
      </c>
      <c r="L132" s="1" t="s">
        <v>61</v>
      </c>
      <c r="M132" s="1" t="s">
        <v>62</v>
      </c>
      <c r="N132" s="1">
        <v>-130.0</v>
      </c>
      <c r="O132" s="1">
        <v>0.0294290705678113</v>
      </c>
      <c r="P132" s="1" t="s">
        <v>61</v>
      </c>
      <c r="Q132" s="1" t="s">
        <v>61</v>
      </c>
      <c r="R132" s="1">
        <f t="shared" si="1"/>
        <v>0.02942907057</v>
      </c>
      <c r="S132" s="1">
        <f t="shared" si="2"/>
        <v>-130</v>
      </c>
      <c r="T132" s="1">
        <f t="shared" si="3"/>
        <v>1.769230769</v>
      </c>
      <c r="U132" s="1">
        <f t="shared" si="4"/>
        <v>0</v>
      </c>
      <c r="V132" s="3">
        <f t="shared" si="5"/>
        <v>1</v>
      </c>
      <c r="W132" s="3">
        <f t="shared" si="6"/>
        <v>3</v>
      </c>
      <c r="X132" s="3" t="str">
        <f>IFERROR(__xludf.DUMMYFUNCTION("split(B132,"" "")"),"D.")</f>
        <v>D.</v>
      </c>
      <c r="Y132" s="3" t="str">
        <f>IFERROR(__xludf.DUMMYFUNCTION("""COMPUTED_VALUE"""),"Singletary")</f>
        <v>Singletary</v>
      </c>
      <c r="AA132" s="8">
        <v>8.0</v>
      </c>
      <c r="AB132" s="3">
        <f t="shared" si="7"/>
        <v>1</v>
      </c>
      <c r="AC132" s="3">
        <f t="shared" si="8"/>
        <v>0</v>
      </c>
      <c r="AD132" s="3">
        <f t="shared" si="9"/>
        <v>0.7692307692</v>
      </c>
      <c r="AE132" s="3">
        <f t="shared" si="10"/>
        <v>-1</v>
      </c>
      <c r="AF132" s="3">
        <f t="shared" si="11"/>
        <v>-3</v>
      </c>
      <c r="AG132" s="3">
        <f t="shared" si="12"/>
        <v>-0.4545454545</v>
      </c>
    </row>
    <row r="133">
      <c r="A133" s="1" t="s">
        <v>9</v>
      </c>
      <c r="B133" s="1" t="s">
        <v>478</v>
      </c>
      <c r="C133" s="1" t="s">
        <v>18</v>
      </c>
      <c r="D133" s="1" t="s">
        <v>147</v>
      </c>
      <c r="E133" s="1" t="s">
        <v>57</v>
      </c>
      <c r="F133" s="1" t="s">
        <v>675</v>
      </c>
      <c r="G133" s="1">
        <v>75.5</v>
      </c>
      <c r="H133" s="1" t="s">
        <v>60</v>
      </c>
      <c r="I133" s="1">
        <v>-125.0</v>
      </c>
      <c r="J133" s="1">
        <v>-0.0948460828306806</v>
      </c>
      <c r="K133" s="1" t="s">
        <v>61</v>
      </c>
      <c r="L133" s="1" t="s">
        <v>61</v>
      </c>
      <c r="M133" s="1" t="s">
        <v>62</v>
      </c>
      <c r="N133" s="1">
        <v>-107.0</v>
      </c>
      <c r="O133" s="1">
        <v>0.0223644659009002</v>
      </c>
      <c r="P133" s="1" t="s">
        <v>61</v>
      </c>
      <c r="Q133" s="1" t="s">
        <v>61</v>
      </c>
      <c r="R133" s="1">
        <f t="shared" si="1"/>
        <v>0.0223644659</v>
      </c>
      <c r="S133" s="1">
        <f t="shared" si="2"/>
        <v>-107</v>
      </c>
      <c r="T133" s="1">
        <f t="shared" si="3"/>
        <v>1.934579439</v>
      </c>
      <c r="U133" s="1">
        <f t="shared" si="4"/>
        <v>0</v>
      </c>
      <c r="V133" s="3">
        <f t="shared" si="5"/>
        <v>1</v>
      </c>
      <c r="W133" s="3">
        <f t="shared" si="6"/>
        <v>2</v>
      </c>
      <c r="X133" s="3" t="str">
        <f>IFERROR(__xludf.DUMMYFUNCTION("split(B133,"" "")"),"M.")</f>
        <v>M.</v>
      </c>
      <c r="Y133" s="3" t="str">
        <f>IFERROR(__xludf.DUMMYFUNCTION("""COMPUTED_VALUE"""),"Nabers")</f>
        <v>Nabers</v>
      </c>
      <c r="AA133" s="8">
        <v>48.0</v>
      </c>
      <c r="AB133" s="3">
        <f t="shared" si="7"/>
        <v>0</v>
      </c>
      <c r="AC133" s="3">
        <f t="shared" si="8"/>
        <v>1</v>
      </c>
      <c r="AD133" s="3">
        <f t="shared" si="9"/>
        <v>0.9345794393</v>
      </c>
      <c r="AE133" s="3">
        <f t="shared" si="10"/>
        <v>0.9345794393</v>
      </c>
      <c r="AF133" s="3">
        <f t="shared" si="11"/>
        <v>1.869158879</v>
      </c>
      <c r="AG133" s="3">
        <f t="shared" si="12"/>
        <v>0.3642384106</v>
      </c>
    </row>
    <row r="134">
      <c r="A134" s="1" t="s">
        <v>12</v>
      </c>
      <c r="B134" s="1" t="s">
        <v>150</v>
      </c>
      <c r="C134" s="1" t="s">
        <v>18</v>
      </c>
      <c r="D134" s="1" t="s">
        <v>147</v>
      </c>
      <c r="E134" s="1" t="s">
        <v>57</v>
      </c>
      <c r="F134" s="1" t="s">
        <v>675</v>
      </c>
      <c r="G134" s="1">
        <v>1.5</v>
      </c>
      <c r="H134" s="1" t="s">
        <v>60</v>
      </c>
      <c r="I134" s="1">
        <v>132.0</v>
      </c>
      <c r="J134" s="1">
        <v>-0.0700237368946551</v>
      </c>
      <c r="K134" s="1" t="s">
        <v>61</v>
      </c>
      <c r="L134" s="1" t="s">
        <v>61</v>
      </c>
      <c r="M134" s="1" t="s">
        <v>62</v>
      </c>
      <c r="N134" s="1">
        <v>-175.0</v>
      </c>
      <c r="O134" s="1">
        <v>0.00262434484636364</v>
      </c>
      <c r="P134" s="1" t="s">
        <v>61</v>
      </c>
      <c r="Q134" s="1" t="s">
        <v>61</v>
      </c>
      <c r="R134" s="1">
        <f t="shared" si="1"/>
        <v>0.002624344846</v>
      </c>
      <c r="S134" s="1">
        <f t="shared" si="2"/>
        <v>-175</v>
      </c>
      <c r="T134" s="1">
        <f t="shared" si="3"/>
        <v>1.571428571</v>
      </c>
      <c r="U134" s="1">
        <f t="shared" si="4"/>
        <v>0</v>
      </c>
      <c r="V134" s="3">
        <f t="shared" si="5"/>
        <v>1</v>
      </c>
      <c r="W134" s="3">
        <f t="shared" si="6"/>
        <v>3</v>
      </c>
      <c r="X134" s="3" t="str">
        <f>IFERROR(__xludf.DUMMYFUNCTION("split(B134,"" "")"),"J.")</f>
        <v>J.</v>
      </c>
      <c r="Y134" s="3" t="str">
        <f>IFERROR(__xludf.DUMMYFUNCTION("""COMPUTED_VALUE"""),"Hyatt")</f>
        <v>Hyatt</v>
      </c>
      <c r="AA134" s="8">
        <v>4.0</v>
      </c>
      <c r="AB134" s="3">
        <f t="shared" si="7"/>
        <v>1</v>
      </c>
      <c r="AC134" s="3">
        <f t="shared" si="8"/>
        <v>0</v>
      </c>
      <c r="AD134" s="3">
        <f t="shared" si="9"/>
        <v>0.5714285714</v>
      </c>
      <c r="AE134" s="3">
        <f t="shared" si="10"/>
        <v>-1</v>
      </c>
      <c r="AF134" s="3">
        <f t="shared" si="11"/>
        <v>-3</v>
      </c>
      <c r="AG134" s="3">
        <f t="shared" si="12"/>
        <v>-1.666666667</v>
      </c>
    </row>
    <row r="135">
      <c r="A135" s="1" t="s">
        <v>14</v>
      </c>
      <c r="B135" s="1" t="s">
        <v>260</v>
      </c>
      <c r="C135" s="1" t="s">
        <v>21</v>
      </c>
      <c r="D135" s="1" t="s">
        <v>147</v>
      </c>
      <c r="E135" s="1" t="s">
        <v>57</v>
      </c>
      <c r="F135" s="1" t="s">
        <v>675</v>
      </c>
      <c r="G135" s="1">
        <v>1.5</v>
      </c>
      <c r="H135" s="1" t="s">
        <v>60</v>
      </c>
      <c r="I135" s="1">
        <v>155.0</v>
      </c>
      <c r="J135" s="1">
        <v>0.00170392156862736</v>
      </c>
      <c r="K135" s="1" t="s">
        <v>61</v>
      </c>
      <c r="L135" s="1" t="s">
        <v>61</v>
      </c>
      <c r="M135" s="1" t="s">
        <v>62</v>
      </c>
      <c r="N135" s="1">
        <v>-203.0</v>
      </c>
      <c r="O135" s="1">
        <v>-0.06383399339934</v>
      </c>
      <c r="P135" s="1" t="s">
        <v>61</v>
      </c>
      <c r="Q135" s="1" t="s">
        <v>61</v>
      </c>
      <c r="R135" s="1">
        <f t="shared" si="1"/>
        <v>0.001703921569</v>
      </c>
      <c r="S135" s="1">
        <f t="shared" si="2"/>
        <v>155</v>
      </c>
      <c r="T135" s="1">
        <f t="shared" si="3"/>
        <v>2.55</v>
      </c>
      <c r="U135" s="1">
        <f t="shared" si="4"/>
        <v>1</v>
      </c>
      <c r="V135" s="3">
        <f t="shared" si="5"/>
        <v>1</v>
      </c>
      <c r="W135" s="3">
        <f t="shared" si="6"/>
        <v>1</v>
      </c>
      <c r="X135" s="3" t="str">
        <f>IFERROR(__xludf.DUMMYFUNCTION("split(B135,"" "")"),"D.")</f>
        <v>D.</v>
      </c>
      <c r="Y135" s="3" t="str">
        <f>IFERROR(__xludf.DUMMYFUNCTION("""COMPUTED_VALUE"""),"Jones")</f>
        <v>Jones</v>
      </c>
      <c r="AA135" s="8">
        <v>0.0</v>
      </c>
      <c r="AB135" s="3">
        <f t="shared" si="7"/>
        <v>0</v>
      </c>
      <c r="AC135" s="3">
        <f t="shared" si="8"/>
        <v>0</v>
      </c>
      <c r="AD135" s="3">
        <f t="shared" si="9"/>
        <v>1.55</v>
      </c>
      <c r="AE135" s="3">
        <f t="shared" si="10"/>
        <v>-1</v>
      </c>
      <c r="AF135" s="3">
        <f t="shared" si="11"/>
        <v>-1</v>
      </c>
      <c r="AG135" s="3">
        <f t="shared" si="12"/>
        <v>-1</v>
      </c>
    </row>
    <row r="136">
      <c r="A136" s="1" t="s">
        <v>15</v>
      </c>
      <c r="B136" s="1" t="s">
        <v>260</v>
      </c>
      <c r="C136" s="1" t="s">
        <v>21</v>
      </c>
      <c r="D136" s="1" t="s">
        <v>147</v>
      </c>
      <c r="E136" s="1" t="s">
        <v>57</v>
      </c>
      <c r="F136" s="1" t="s">
        <v>675</v>
      </c>
      <c r="G136" s="1">
        <v>20.5</v>
      </c>
      <c r="H136" s="1" t="s">
        <v>60</v>
      </c>
      <c r="I136" s="1">
        <v>112.0</v>
      </c>
      <c r="J136" s="1">
        <v>0.00554147987169811</v>
      </c>
      <c r="K136" s="1" t="s">
        <v>61</v>
      </c>
      <c r="L136" s="1" t="s">
        <v>61</v>
      </c>
      <c r="M136" s="1" t="s">
        <v>62</v>
      </c>
      <c r="N136" s="1">
        <v>-148.0</v>
      </c>
      <c r="O136" s="1">
        <v>-0.0739800357306451</v>
      </c>
      <c r="P136" s="1" t="s">
        <v>61</v>
      </c>
      <c r="Q136" s="1" t="s">
        <v>61</v>
      </c>
      <c r="R136" s="1">
        <f t="shared" si="1"/>
        <v>0.005541479872</v>
      </c>
      <c r="S136" s="1">
        <f t="shared" si="2"/>
        <v>112</v>
      </c>
      <c r="T136" s="1">
        <f t="shared" si="3"/>
        <v>2.12</v>
      </c>
      <c r="U136" s="1">
        <f t="shared" si="4"/>
        <v>1</v>
      </c>
      <c r="V136" s="3">
        <f t="shared" si="5"/>
        <v>1</v>
      </c>
      <c r="W136" s="3">
        <f t="shared" si="6"/>
        <v>1</v>
      </c>
      <c r="X136" s="3" t="str">
        <f>IFERROR(__xludf.DUMMYFUNCTION("split(B136,"" "")"),"D.")</f>
        <v>D.</v>
      </c>
      <c r="Y136" s="3" t="str">
        <f>IFERROR(__xludf.DUMMYFUNCTION("""COMPUTED_VALUE"""),"Jones")</f>
        <v>Jones</v>
      </c>
      <c r="AA136" s="8">
        <v>22.0</v>
      </c>
      <c r="AB136" s="3">
        <f t="shared" si="7"/>
        <v>1</v>
      </c>
      <c r="AC136" s="3">
        <f t="shared" si="8"/>
        <v>1</v>
      </c>
      <c r="AD136" s="3">
        <f t="shared" si="9"/>
        <v>1.12</v>
      </c>
      <c r="AE136" s="3">
        <f t="shared" si="10"/>
        <v>1.12</v>
      </c>
      <c r="AF136" s="3">
        <f t="shared" si="11"/>
        <v>1.12</v>
      </c>
      <c r="AG136" s="3">
        <f t="shared" si="12"/>
        <v>0.07317073171</v>
      </c>
    </row>
    <row r="137">
      <c r="A137" s="1" t="s">
        <v>11</v>
      </c>
      <c r="B137" s="1" t="s">
        <v>150</v>
      </c>
      <c r="C137" s="1" t="s">
        <v>18</v>
      </c>
      <c r="D137" s="1" t="s">
        <v>147</v>
      </c>
      <c r="E137" s="1" t="s">
        <v>57</v>
      </c>
      <c r="F137" s="1" t="s">
        <v>675</v>
      </c>
      <c r="G137" s="1">
        <v>12.0</v>
      </c>
      <c r="H137" s="1" t="s">
        <v>60</v>
      </c>
      <c r="I137" s="1">
        <v>-104.0</v>
      </c>
      <c r="J137" s="1">
        <v>0.0563240776653088</v>
      </c>
      <c r="K137" s="1" t="s">
        <v>61</v>
      </c>
      <c r="L137" s="1" t="s">
        <v>61</v>
      </c>
      <c r="M137" s="1" t="s">
        <v>62</v>
      </c>
      <c r="N137" s="1">
        <v>-129.0</v>
      </c>
      <c r="O137" s="1">
        <v>-0.127556490298701</v>
      </c>
      <c r="P137" s="1" t="s">
        <v>61</v>
      </c>
      <c r="Q137" s="1" t="s">
        <v>61</v>
      </c>
      <c r="R137" s="1">
        <f t="shared" si="1"/>
        <v>0.05632407767</v>
      </c>
      <c r="S137" s="1">
        <f t="shared" si="2"/>
        <v>-104</v>
      </c>
      <c r="T137" s="1">
        <f t="shared" si="3"/>
        <v>1.961538462</v>
      </c>
      <c r="U137" s="1">
        <f t="shared" si="4"/>
        <v>1</v>
      </c>
      <c r="V137" s="3">
        <f t="shared" si="5"/>
        <v>2</v>
      </c>
      <c r="W137" s="3">
        <f t="shared" si="6"/>
        <v>2</v>
      </c>
      <c r="X137" s="3" t="str">
        <f>IFERROR(__xludf.DUMMYFUNCTION("split(B137,"" "")"),"J.")</f>
        <v>J.</v>
      </c>
      <c r="Y137" s="3" t="str">
        <f>IFERROR(__xludf.DUMMYFUNCTION("""COMPUTED_VALUE"""),"Hyatt")</f>
        <v>Hyatt</v>
      </c>
      <c r="AA137" s="8">
        <v>39.0</v>
      </c>
      <c r="AB137" s="3">
        <f t="shared" si="7"/>
        <v>1</v>
      </c>
      <c r="AC137" s="3">
        <f t="shared" si="8"/>
        <v>1</v>
      </c>
      <c r="AD137" s="3">
        <f t="shared" si="9"/>
        <v>1.923076923</v>
      </c>
      <c r="AE137" s="3">
        <f t="shared" si="10"/>
        <v>1.923076923</v>
      </c>
      <c r="AF137" s="3">
        <f t="shared" si="11"/>
        <v>1.923076923</v>
      </c>
      <c r="AG137" s="3">
        <f t="shared" si="12"/>
        <v>2.25</v>
      </c>
    </row>
    <row r="138">
      <c r="A138" s="1" t="s">
        <v>12</v>
      </c>
      <c r="B138" s="1" t="s">
        <v>478</v>
      </c>
      <c r="C138" s="1" t="s">
        <v>18</v>
      </c>
      <c r="D138" s="1" t="s">
        <v>147</v>
      </c>
      <c r="E138" s="1" t="s">
        <v>57</v>
      </c>
      <c r="F138" s="1" t="s">
        <v>675</v>
      </c>
      <c r="G138" s="1">
        <v>6.5</v>
      </c>
      <c r="H138" s="1" t="s">
        <v>60</v>
      </c>
      <c r="I138" s="1">
        <v>-129.0</v>
      </c>
      <c r="J138" s="1">
        <v>0.0821812227074236</v>
      </c>
      <c r="K138" s="1" t="s">
        <v>61</v>
      </c>
      <c r="L138" s="1" t="s">
        <v>61</v>
      </c>
      <c r="M138" s="1" t="s">
        <v>62</v>
      </c>
      <c r="N138" s="1">
        <v>-102.0</v>
      </c>
      <c r="O138" s="1">
        <v>-0.150450495049504</v>
      </c>
      <c r="P138" s="1" t="s">
        <v>61</v>
      </c>
      <c r="Q138" s="1" t="s">
        <v>61</v>
      </c>
      <c r="R138" s="1">
        <f t="shared" si="1"/>
        <v>0.08218122271</v>
      </c>
      <c r="S138" s="1">
        <f t="shared" si="2"/>
        <v>-129</v>
      </c>
      <c r="T138" s="1">
        <f t="shared" si="3"/>
        <v>1.775193798</v>
      </c>
      <c r="U138" s="1">
        <f t="shared" si="4"/>
        <v>1</v>
      </c>
      <c r="V138" s="3">
        <f t="shared" si="5"/>
        <v>2</v>
      </c>
      <c r="W138" s="3">
        <f t="shared" si="6"/>
        <v>3</v>
      </c>
      <c r="X138" s="3" t="str">
        <f>IFERROR(__xludf.DUMMYFUNCTION("split(B138,"" "")"),"M.")</f>
        <v>M.</v>
      </c>
      <c r="Y138" s="3" t="str">
        <f>IFERROR(__xludf.DUMMYFUNCTION("""COMPUTED_VALUE"""),"Nabers")</f>
        <v>Nabers</v>
      </c>
      <c r="AA138" s="8">
        <v>6.0</v>
      </c>
      <c r="AB138" s="3">
        <f t="shared" si="7"/>
        <v>0</v>
      </c>
      <c r="AC138" s="3">
        <f t="shared" si="8"/>
        <v>0</v>
      </c>
      <c r="AD138" s="3">
        <f t="shared" si="9"/>
        <v>1.550387597</v>
      </c>
      <c r="AE138" s="3">
        <f t="shared" si="10"/>
        <v>-2</v>
      </c>
      <c r="AF138" s="3">
        <f t="shared" si="11"/>
        <v>-3</v>
      </c>
      <c r="AG138" s="3">
        <f t="shared" si="12"/>
        <v>-0.07692307692</v>
      </c>
    </row>
    <row r="139">
      <c r="A139" s="1" t="s">
        <v>9</v>
      </c>
      <c r="B139" s="1" t="s">
        <v>270</v>
      </c>
      <c r="C139" s="1" t="s">
        <v>19</v>
      </c>
      <c r="D139" s="1" t="s">
        <v>147</v>
      </c>
      <c r="E139" s="1" t="s">
        <v>57</v>
      </c>
      <c r="F139" s="1" t="s">
        <v>675</v>
      </c>
      <c r="G139" s="1">
        <v>27.5</v>
      </c>
      <c r="H139" s="1" t="s">
        <v>60</v>
      </c>
      <c r="I139" s="1">
        <v>-113.0</v>
      </c>
      <c r="J139" s="1">
        <v>0.108724576975507</v>
      </c>
      <c r="K139" s="1" t="s">
        <v>61</v>
      </c>
      <c r="L139" s="1" t="s">
        <v>61</v>
      </c>
      <c r="M139" s="1" t="s">
        <v>62</v>
      </c>
      <c r="N139" s="1">
        <v>-120.0</v>
      </c>
      <c r="O139" s="1">
        <v>-0.184718372158816</v>
      </c>
      <c r="P139" s="1" t="s">
        <v>61</v>
      </c>
      <c r="Q139" s="1" t="s">
        <v>61</v>
      </c>
      <c r="R139" s="1">
        <f t="shared" si="1"/>
        <v>0.108724577</v>
      </c>
      <c r="S139" s="1">
        <f t="shared" si="2"/>
        <v>-113</v>
      </c>
      <c r="T139" s="1">
        <f t="shared" si="3"/>
        <v>1.884955752</v>
      </c>
      <c r="U139" s="1">
        <f t="shared" si="4"/>
        <v>1</v>
      </c>
      <c r="V139" s="3">
        <f t="shared" si="5"/>
        <v>3</v>
      </c>
      <c r="W139" s="3">
        <f t="shared" si="6"/>
        <v>2</v>
      </c>
      <c r="X139" s="3" t="str">
        <f>IFERROR(__xludf.DUMMYFUNCTION("split(B139,"" "")"),"D.")</f>
        <v>D.</v>
      </c>
      <c r="Y139" s="3" t="str">
        <f>IFERROR(__xludf.DUMMYFUNCTION("""COMPUTED_VALUE"""),"Singletary")</f>
        <v>Singletary</v>
      </c>
      <c r="AA139" s="8">
        <v>45.0</v>
      </c>
      <c r="AB139" s="3">
        <f t="shared" si="7"/>
        <v>1</v>
      </c>
      <c r="AC139" s="3">
        <f t="shared" si="8"/>
        <v>1</v>
      </c>
      <c r="AD139" s="3">
        <f t="shared" si="9"/>
        <v>2.654867257</v>
      </c>
      <c r="AE139" s="3">
        <f t="shared" si="10"/>
        <v>2.654867257</v>
      </c>
      <c r="AF139" s="3">
        <f t="shared" si="11"/>
        <v>1.769911504</v>
      </c>
      <c r="AG139" s="3">
        <f t="shared" si="12"/>
        <v>0.6363636364</v>
      </c>
    </row>
    <row r="140">
      <c r="A140" s="1" t="s">
        <v>11</v>
      </c>
      <c r="B140" s="1" t="s">
        <v>270</v>
      </c>
      <c r="C140" s="1" t="s">
        <v>19</v>
      </c>
      <c r="D140" s="1" t="s">
        <v>147</v>
      </c>
      <c r="E140" s="1" t="s">
        <v>57</v>
      </c>
      <c r="F140" s="1" t="s">
        <v>675</v>
      </c>
      <c r="G140" s="1">
        <v>2.5</v>
      </c>
      <c r="H140" s="1" t="s">
        <v>60</v>
      </c>
      <c r="I140" s="1">
        <v>-111.0</v>
      </c>
      <c r="J140" s="1">
        <v>0.150673252960197</v>
      </c>
      <c r="K140" s="1" t="s">
        <v>61</v>
      </c>
      <c r="L140" s="1" t="s">
        <v>61</v>
      </c>
      <c r="M140" s="1" t="s">
        <v>62</v>
      </c>
      <c r="N140" s="1">
        <v>-115.0</v>
      </c>
      <c r="O140" s="1">
        <v>-0.211602696887404</v>
      </c>
      <c r="P140" s="1" t="s">
        <v>61</v>
      </c>
      <c r="Q140" s="1" t="s">
        <v>61</v>
      </c>
      <c r="R140" s="1">
        <f t="shared" si="1"/>
        <v>0.150673253</v>
      </c>
      <c r="S140" s="1">
        <f t="shared" si="2"/>
        <v>-111</v>
      </c>
      <c r="T140" s="1">
        <f t="shared" si="3"/>
        <v>1.900900901</v>
      </c>
      <c r="U140" s="1">
        <f t="shared" si="4"/>
        <v>1</v>
      </c>
      <c r="V140" s="3">
        <f t="shared" si="5"/>
        <v>3</v>
      </c>
      <c r="W140" s="3">
        <f t="shared" si="6"/>
        <v>2</v>
      </c>
      <c r="X140" s="3" t="str">
        <f>IFERROR(__xludf.DUMMYFUNCTION("split(B140,"" "")"),"D.")</f>
        <v>D.</v>
      </c>
      <c r="Y140" s="3" t="str">
        <f>IFERROR(__xludf.DUMMYFUNCTION("""COMPUTED_VALUE"""),"Singletary")</f>
        <v>Singletary</v>
      </c>
      <c r="AA140" s="8">
        <v>5.0</v>
      </c>
      <c r="AB140" s="3">
        <f t="shared" si="7"/>
        <v>1</v>
      </c>
      <c r="AC140" s="3">
        <f t="shared" si="8"/>
        <v>1</v>
      </c>
      <c r="AD140" s="3">
        <f t="shared" si="9"/>
        <v>2.702702703</v>
      </c>
      <c r="AE140" s="3">
        <f t="shared" si="10"/>
        <v>2.702702703</v>
      </c>
      <c r="AF140" s="3">
        <f t="shared" si="11"/>
        <v>1.801801802</v>
      </c>
      <c r="AG140" s="3">
        <f t="shared" si="12"/>
        <v>1</v>
      </c>
    </row>
    <row r="141">
      <c r="A141" s="1" t="s">
        <v>10</v>
      </c>
      <c r="B141" s="1" t="s">
        <v>354</v>
      </c>
      <c r="C141" s="1" t="s">
        <v>18</v>
      </c>
      <c r="D141" s="1" t="s">
        <v>147</v>
      </c>
      <c r="E141" s="1" t="s">
        <v>57</v>
      </c>
      <c r="F141" s="1" t="s">
        <v>675</v>
      </c>
      <c r="G141" s="1">
        <v>0.5</v>
      </c>
      <c r="H141" s="1" t="s">
        <v>60</v>
      </c>
      <c r="I141" s="1">
        <v>245.0</v>
      </c>
      <c r="J141" s="1">
        <v>0.351065423115246</v>
      </c>
      <c r="K141" s="1" t="s">
        <v>61</v>
      </c>
      <c r="L141" s="1" t="s">
        <v>61</v>
      </c>
      <c r="M141" s="1" t="s">
        <v>62</v>
      </c>
      <c r="N141" s="1">
        <v>-340.0</v>
      </c>
      <c r="O141" s="1">
        <v>-0.413623136771404</v>
      </c>
      <c r="P141" s="1" t="s">
        <v>61</v>
      </c>
      <c r="Q141" s="1" t="s">
        <v>61</v>
      </c>
      <c r="R141" s="1">
        <f t="shared" si="1"/>
        <v>0.3510654231</v>
      </c>
      <c r="S141" s="1">
        <f t="shared" si="2"/>
        <v>245</v>
      </c>
      <c r="T141" s="1">
        <f t="shared" si="3"/>
        <v>3.45</v>
      </c>
      <c r="U141" s="1">
        <f t="shared" si="4"/>
        <v>1</v>
      </c>
      <c r="V141" s="3">
        <f t="shared" si="5"/>
        <v>3</v>
      </c>
      <c r="W141" s="3">
        <f t="shared" si="6"/>
        <v>1</v>
      </c>
      <c r="X141" s="3" t="str">
        <f>IFERROR(__xludf.DUMMYFUNCTION("split(B141,"" "")"),"W.")</f>
        <v>W.</v>
      </c>
      <c r="Y141" s="3" t="str">
        <f>IFERROR(__xludf.DUMMYFUNCTION("""COMPUTED_VALUE"""),"Robinson")</f>
        <v>Robinson</v>
      </c>
      <c r="AA141" s="8">
        <v>0.0</v>
      </c>
      <c r="AB141" s="3">
        <f t="shared" si="7"/>
        <v>0</v>
      </c>
      <c r="AC141" s="3">
        <f t="shared" si="8"/>
        <v>0</v>
      </c>
      <c r="AD141" s="3">
        <f t="shared" si="9"/>
        <v>7.35</v>
      </c>
      <c r="AE141" s="3">
        <f t="shared" si="10"/>
        <v>-3</v>
      </c>
      <c r="AF141" s="3">
        <f t="shared" si="11"/>
        <v>-1</v>
      </c>
      <c r="AG141" s="3">
        <f t="shared" si="12"/>
        <v>-1</v>
      </c>
    </row>
    <row r="142">
      <c r="A142" s="1" t="s">
        <v>8</v>
      </c>
      <c r="B142" s="1" t="s">
        <v>441</v>
      </c>
      <c r="C142" s="1" t="s">
        <v>20</v>
      </c>
      <c r="D142" s="1" t="s">
        <v>58</v>
      </c>
      <c r="E142" s="1" t="s">
        <v>109</v>
      </c>
      <c r="F142" s="1" t="s">
        <v>670</v>
      </c>
      <c r="G142" s="1">
        <v>6.5</v>
      </c>
      <c r="H142" s="1" t="s">
        <v>60</v>
      </c>
      <c r="I142" s="1">
        <v>-115.0</v>
      </c>
      <c r="J142" s="1">
        <v>-0.319219650242017</v>
      </c>
      <c r="K142" s="1" t="s">
        <v>61</v>
      </c>
      <c r="L142" s="1" t="s">
        <v>61</v>
      </c>
      <c r="M142" s="1" t="s">
        <v>62</v>
      </c>
      <c r="N142" s="1">
        <v>-115.0</v>
      </c>
      <c r="O142" s="1">
        <v>0.24945759777832</v>
      </c>
      <c r="P142" s="1" t="s">
        <v>61</v>
      </c>
      <c r="Q142" s="1" t="s">
        <v>61</v>
      </c>
      <c r="R142" s="1">
        <f t="shared" si="1"/>
        <v>0.2494575978</v>
      </c>
      <c r="S142" s="1">
        <f t="shared" si="2"/>
        <v>-115</v>
      </c>
      <c r="T142" s="1">
        <f t="shared" si="3"/>
        <v>1.869565217</v>
      </c>
      <c r="U142" s="1">
        <f t="shared" si="4"/>
        <v>0</v>
      </c>
      <c r="V142" s="3">
        <f t="shared" si="5"/>
        <v>3</v>
      </c>
      <c r="W142" s="3">
        <f t="shared" si="6"/>
        <v>2</v>
      </c>
      <c r="X142" s="3" t="str">
        <f>IFERROR(__xludf.DUMMYFUNCTION("split(B142,"" "")"),"T.")</f>
        <v>T.</v>
      </c>
      <c r="Y142" s="3" t="str">
        <f>IFERROR(__xludf.DUMMYFUNCTION("""COMPUTED_VALUE"""),"Hill")</f>
        <v>Hill</v>
      </c>
      <c r="AA142" s="8">
        <v>4.0</v>
      </c>
      <c r="AB142" s="3">
        <f t="shared" si="7"/>
        <v>0</v>
      </c>
      <c r="AC142" s="3">
        <f t="shared" si="8"/>
        <v>1</v>
      </c>
      <c r="AD142" s="3">
        <f t="shared" si="9"/>
        <v>2.608695652</v>
      </c>
      <c r="AE142" s="3">
        <f t="shared" si="10"/>
        <v>2.608695652</v>
      </c>
      <c r="AF142" s="3">
        <f t="shared" si="11"/>
        <v>1.739130435</v>
      </c>
      <c r="AG142" s="3">
        <f t="shared" si="12"/>
        <v>0.3846153846</v>
      </c>
    </row>
    <row r="143">
      <c r="A143" s="1" t="s">
        <v>12</v>
      </c>
      <c r="B143" s="1" t="s">
        <v>193</v>
      </c>
      <c r="C143" s="1" t="s">
        <v>20</v>
      </c>
      <c r="D143" s="1" t="s">
        <v>58</v>
      </c>
      <c r="E143" s="1" t="s">
        <v>109</v>
      </c>
      <c r="F143" s="1" t="s">
        <v>670</v>
      </c>
      <c r="G143" s="1">
        <v>2.5</v>
      </c>
      <c r="H143" s="1" t="s">
        <v>60</v>
      </c>
      <c r="I143" s="1">
        <v>-181.0</v>
      </c>
      <c r="J143" s="1">
        <v>-0.312626971708185</v>
      </c>
      <c r="K143" s="1" t="s">
        <v>61</v>
      </c>
      <c r="L143" s="1" t="s">
        <v>61</v>
      </c>
      <c r="M143" s="1" t="s">
        <v>62</v>
      </c>
      <c r="N143" s="1">
        <v>138.0</v>
      </c>
      <c r="O143" s="1">
        <v>0.248330584243697</v>
      </c>
      <c r="P143" s="1" t="s">
        <v>61</v>
      </c>
      <c r="Q143" s="1" t="s">
        <v>61</v>
      </c>
      <c r="R143" s="1">
        <f t="shared" si="1"/>
        <v>0.2483305842</v>
      </c>
      <c r="S143" s="1">
        <f t="shared" si="2"/>
        <v>138</v>
      </c>
      <c r="T143" s="1">
        <f t="shared" si="3"/>
        <v>2.38</v>
      </c>
      <c r="U143" s="1">
        <f t="shared" si="4"/>
        <v>0</v>
      </c>
      <c r="V143" s="3">
        <f t="shared" si="5"/>
        <v>3</v>
      </c>
      <c r="W143" s="3">
        <f t="shared" si="6"/>
        <v>1</v>
      </c>
      <c r="X143" s="3" t="str">
        <f>IFERROR(__xludf.DUMMYFUNCTION("split(B143,"" "")"),"J.")</f>
        <v>J.</v>
      </c>
      <c r="Y143" s="3" t="str">
        <f>IFERROR(__xludf.DUMMYFUNCTION("""COMPUTED_VALUE"""),"Johnson")</f>
        <v>Johnson</v>
      </c>
      <c r="AA143" s="8">
        <v>2.0</v>
      </c>
      <c r="AB143" s="3">
        <f t="shared" si="7"/>
        <v>0</v>
      </c>
      <c r="AC143" s="3">
        <f t="shared" si="8"/>
        <v>1</v>
      </c>
      <c r="AD143" s="3">
        <f t="shared" si="9"/>
        <v>4.14</v>
      </c>
      <c r="AE143" s="3">
        <f t="shared" si="10"/>
        <v>4.14</v>
      </c>
      <c r="AF143" s="3">
        <f t="shared" si="11"/>
        <v>1.38</v>
      </c>
      <c r="AG143" s="3">
        <f t="shared" si="12"/>
        <v>0.2</v>
      </c>
    </row>
    <row r="144">
      <c r="A144" s="1" t="s">
        <v>12</v>
      </c>
      <c r="B144" s="1" t="s">
        <v>553</v>
      </c>
      <c r="C144" s="1" t="s">
        <v>20</v>
      </c>
      <c r="D144" s="1" t="s">
        <v>58</v>
      </c>
      <c r="E144" s="1" t="s">
        <v>109</v>
      </c>
      <c r="F144" s="1" t="s">
        <v>670</v>
      </c>
      <c r="G144" s="1">
        <v>1.5</v>
      </c>
      <c r="H144" s="1" t="s">
        <v>60</v>
      </c>
      <c r="I144" s="1">
        <v>-147.0</v>
      </c>
      <c r="J144" s="1">
        <v>-0.253035683785425</v>
      </c>
      <c r="K144" s="1" t="s">
        <v>61</v>
      </c>
      <c r="L144" s="1" t="s">
        <v>61</v>
      </c>
      <c r="M144" s="1" t="s">
        <v>62</v>
      </c>
      <c r="N144" s="1">
        <v>112.0</v>
      </c>
      <c r="O144" s="1">
        <v>0.186194876863207</v>
      </c>
      <c r="P144" s="1" t="s">
        <v>61</v>
      </c>
      <c r="Q144" s="1" t="s">
        <v>61</v>
      </c>
      <c r="R144" s="1">
        <f t="shared" si="1"/>
        <v>0.1861948769</v>
      </c>
      <c r="S144" s="1">
        <f t="shared" si="2"/>
        <v>112</v>
      </c>
      <c r="T144" s="1">
        <f t="shared" si="3"/>
        <v>2.12</v>
      </c>
      <c r="U144" s="1">
        <f t="shared" si="4"/>
        <v>0</v>
      </c>
      <c r="V144" s="3">
        <f t="shared" si="5"/>
        <v>3</v>
      </c>
      <c r="W144" s="3">
        <f t="shared" si="6"/>
        <v>1</v>
      </c>
      <c r="X144" s="3" t="str">
        <f>IFERROR(__xludf.DUMMYFUNCTION("split(B144,"" "")"),"F.")</f>
        <v>F.</v>
      </c>
      <c r="Y144" s="3" t="str">
        <f>IFERROR(__xludf.DUMMYFUNCTION("""COMPUTED_VALUE"""),"Moreau")</f>
        <v>Moreau</v>
      </c>
      <c r="AA144" s="8">
        <v>0.0</v>
      </c>
      <c r="AB144" s="3">
        <f t="shared" si="7"/>
        <v>0</v>
      </c>
      <c r="AC144" s="3">
        <f t="shared" si="8"/>
        <v>1</v>
      </c>
      <c r="AD144" s="3">
        <f t="shared" si="9"/>
        <v>3.36</v>
      </c>
      <c r="AE144" s="3">
        <f t="shared" si="10"/>
        <v>3.36</v>
      </c>
      <c r="AF144" s="3">
        <f t="shared" si="11"/>
        <v>1.12</v>
      </c>
      <c r="AG144" s="3">
        <f t="shared" si="12"/>
        <v>1</v>
      </c>
    </row>
    <row r="145">
      <c r="A145" s="1" t="s">
        <v>12</v>
      </c>
      <c r="B145" s="1" t="s">
        <v>598</v>
      </c>
      <c r="C145" s="1" t="s">
        <v>18</v>
      </c>
      <c r="D145" s="1" t="s">
        <v>58</v>
      </c>
      <c r="E145" s="1" t="s">
        <v>109</v>
      </c>
      <c r="F145" s="1" t="s">
        <v>670</v>
      </c>
      <c r="G145" s="1">
        <v>2.5</v>
      </c>
      <c r="H145" s="1" t="s">
        <v>60</v>
      </c>
      <c r="I145" s="1">
        <v>-170.0</v>
      </c>
      <c r="J145" s="1">
        <v>-0.165292592592592</v>
      </c>
      <c r="K145" s="1" t="s">
        <v>61</v>
      </c>
      <c r="L145" s="1" t="s">
        <v>61</v>
      </c>
      <c r="M145" s="1" t="s">
        <v>62</v>
      </c>
      <c r="N145" s="1">
        <v>129.0</v>
      </c>
      <c r="O145" s="1">
        <v>0.0989751091703056</v>
      </c>
      <c r="P145" s="1" t="s">
        <v>61</v>
      </c>
      <c r="Q145" s="1" t="s">
        <v>61</v>
      </c>
      <c r="R145" s="1">
        <f t="shared" si="1"/>
        <v>0.09897510917</v>
      </c>
      <c r="S145" s="1">
        <f t="shared" si="2"/>
        <v>129</v>
      </c>
      <c r="T145" s="1">
        <f t="shared" si="3"/>
        <v>2.29</v>
      </c>
      <c r="U145" s="1">
        <f t="shared" si="4"/>
        <v>0</v>
      </c>
      <c r="V145" s="3">
        <f t="shared" si="5"/>
        <v>2</v>
      </c>
      <c r="W145" s="3">
        <f t="shared" si="6"/>
        <v>1</v>
      </c>
      <c r="X145" s="3" t="str">
        <f>IFERROR(__xludf.DUMMYFUNCTION("split(B145,"" "")"),"M.")</f>
        <v>M.</v>
      </c>
      <c r="Y145" s="3" t="str">
        <f>IFERROR(__xludf.DUMMYFUNCTION("""COMPUTED_VALUE"""),"Tipton")</f>
        <v>Tipton</v>
      </c>
      <c r="AA145" s="8">
        <v>0.0</v>
      </c>
      <c r="AB145" s="3">
        <f t="shared" si="7"/>
        <v>0</v>
      </c>
      <c r="AC145" s="3">
        <f t="shared" si="8"/>
        <v>1</v>
      </c>
      <c r="AD145" s="3">
        <f t="shared" si="9"/>
        <v>2.58</v>
      </c>
      <c r="AE145" s="3">
        <f t="shared" si="10"/>
        <v>2.58</v>
      </c>
      <c r="AF145" s="3">
        <f t="shared" si="11"/>
        <v>1.29</v>
      </c>
      <c r="AG145" s="3">
        <f t="shared" si="12"/>
        <v>1</v>
      </c>
    </row>
    <row r="146">
      <c r="A146" s="1" t="s">
        <v>12</v>
      </c>
      <c r="B146" s="1" t="s">
        <v>441</v>
      </c>
      <c r="C146" s="1" t="s">
        <v>20</v>
      </c>
      <c r="D146" s="1" t="s">
        <v>58</v>
      </c>
      <c r="E146" s="1" t="s">
        <v>109</v>
      </c>
      <c r="F146" s="1" t="s">
        <v>670</v>
      </c>
      <c r="G146" s="1">
        <v>2.5</v>
      </c>
      <c r="H146" s="1" t="s">
        <v>60</v>
      </c>
      <c r="I146" s="1">
        <v>113.0</v>
      </c>
      <c r="J146" s="1">
        <v>-0.149182071912676</v>
      </c>
      <c r="K146" s="1" t="s">
        <v>61</v>
      </c>
      <c r="L146" s="1" t="s">
        <v>61</v>
      </c>
      <c r="M146" s="1" t="s">
        <v>62</v>
      </c>
      <c r="N146" s="1">
        <v>-147.0</v>
      </c>
      <c r="O146" s="1">
        <v>0.084556621176518</v>
      </c>
      <c r="P146" s="1" t="s">
        <v>61</v>
      </c>
      <c r="Q146" s="1" t="s">
        <v>61</v>
      </c>
      <c r="R146" s="1">
        <f t="shared" si="1"/>
        <v>0.08455662118</v>
      </c>
      <c r="S146" s="1">
        <f t="shared" si="2"/>
        <v>-147</v>
      </c>
      <c r="T146" s="1">
        <f t="shared" si="3"/>
        <v>1.680272109</v>
      </c>
      <c r="U146" s="1">
        <f t="shared" si="4"/>
        <v>0</v>
      </c>
      <c r="V146" s="3">
        <f t="shared" si="5"/>
        <v>2</v>
      </c>
      <c r="W146" s="3">
        <f t="shared" si="6"/>
        <v>3</v>
      </c>
      <c r="X146" s="3" t="str">
        <f>IFERROR(__xludf.DUMMYFUNCTION("split(B146,"" "")"),"T.")</f>
        <v>T.</v>
      </c>
      <c r="Y146" s="3" t="str">
        <f>IFERROR(__xludf.DUMMYFUNCTION("""COMPUTED_VALUE"""),"Hill")</f>
        <v>Hill</v>
      </c>
      <c r="AA146" s="8">
        <v>2.0</v>
      </c>
      <c r="AB146" s="3">
        <f t="shared" si="7"/>
        <v>0</v>
      </c>
      <c r="AC146" s="3">
        <f t="shared" si="8"/>
        <v>1</v>
      </c>
      <c r="AD146" s="3">
        <f t="shared" si="9"/>
        <v>1.360544218</v>
      </c>
      <c r="AE146" s="3">
        <f t="shared" si="10"/>
        <v>1.360544218</v>
      </c>
      <c r="AF146" s="3">
        <f t="shared" si="11"/>
        <v>2.040816327</v>
      </c>
      <c r="AG146" s="3">
        <f t="shared" si="12"/>
        <v>0.2</v>
      </c>
    </row>
    <row r="147">
      <c r="A147" s="1" t="s">
        <v>17</v>
      </c>
      <c r="B147" s="1" t="s">
        <v>287</v>
      </c>
      <c r="C147" s="1" t="s">
        <v>21</v>
      </c>
      <c r="D147" s="1" t="s">
        <v>58</v>
      </c>
      <c r="E147" s="1" t="s">
        <v>109</v>
      </c>
      <c r="F147" s="1" t="s">
        <v>670</v>
      </c>
      <c r="G147" s="1">
        <v>0.5</v>
      </c>
      <c r="H147" s="1" t="s">
        <v>60</v>
      </c>
      <c r="I147" s="1">
        <v>-145.0</v>
      </c>
      <c r="J147" s="1">
        <v>-0.148877551020408</v>
      </c>
      <c r="K147" s="1" t="s">
        <v>61</v>
      </c>
      <c r="L147" s="1" t="s">
        <v>61</v>
      </c>
      <c r="M147" s="1" t="s">
        <v>62</v>
      </c>
      <c r="N147" s="1">
        <v>110.0</v>
      </c>
      <c r="O147" s="1">
        <v>0.0808571428571429</v>
      </c>
      <c r="P147" s="1" t="s">
        <v>61</v>
      </c>
      <c r="Q147" s="1" t="s">
        <v>61</v>
      </c>
      <c r="R147" s="1">
        <f t="shared" si="1"/>
        <v>0.08085714286</v>
      </c>
      <c r="S147" s="1">
        <f t="shared" si="2"/>
        <v>110</v>
      </c>
      <c r="T147" s="1">
        <f t="shared" si="3"/>
        <v>2.1</v>
      </c>
      <c r="U147" s="1">
        <f t="shared" si="4"/>
        <v>0</v>
      </c>
      <c r="V147" s="3">
        <f t="shared" si="5"/>
        <v>2</v>
      </c>
      <c r="W147" s="3">
        <f t="shared" si="6"/>
        <v>2</v>
      </c>
      <c r="X147" s="3" t="str">
        <f>IFERROR(__xludf.DUMMYFUNCTION("split(B147,"" "")"),"D.")</f>
        <v>D.</v>
      </c>
      <c r="Y147" s="3" t="str">
        <f>IFERROR(__xludf.DUMMYFUNCTION("""COMPUTED_VALUE"""),"Carr")</f>
        <v>Carr</v>
      </c>
      <c r="AA147" s="8">
        <v>0.0</v>
      </c>
      <c r="AB147" s="3">
        <f t="shared" si="7"/>
        <v>0</v>
      </c>
      <c r="AC147" s="3">
        <f t="shared" si="8"/>
        <v>1</v>
      </c>
      <c r="AD147" s="3">
        <f t="shared" si="9"/>
        <v>2.2</v>
      </c>
      <c r="AE147" s="3">
        <f t="shared" si="10"/>
        <v>2.2</v>
      </c>
      <c r="AF147" s="3">
        <f t="shared" si="11"/>
        <v>2.2</v>
      </c>
      <c r="AG147" s="3">
        <f t="shared" si="12"/>
        <v>1</v>
      </c>
    </row>
    <row r="148">
      <c r="A148" s="1" t="s">
        <v>10</v>
      </c>
      <c r="B148" s="1" t="s">
        <v>441</v>
      </c>
      <c r="C148" s="1" t="s">
        <v>20</v>
      </c>
      <c r="D148" s="1" t="s">
        <v>58</v>
      </c>
      <c r="E148" s="1" t="s">
        <v>109</v>
      </c>
      <c r="F148" s="1" t="s">
        <v>670</v>
      </c>
      <c r="G148" s="1">
        <v>27.5</v>
      </c>
      <c r="H148" s="1" t="s">
        <v>60</v>
      </c>
      <c r="I148" s="1">
        <v>-102.0</v>
      </c>
      <c r="J148" s="1">
        <v>-0.146483355623669</v>
      </c>
      <c r="K148" s="1" t="s">
        <v>61</v>
      </c>
      <c r="L148" s="1" t="s">
        <v>61</v>
      </c>
      <c r="M148" s="1" t="s">
        <v>62</v>
      </c>
      <c r="N148" s="1">
        <v>-133.0</v>
      </c>
      <c r="O148" s="1">
        <v>0.0707071344285628</v>
      </c>
      <c r="P148" s="1" t="s">
        <v>61</v>
      </c>
      <c r="Q148" s="1" t="s">
        <v>61</v>
      </c>
      <c r="R148" s="1">
        <f t="shared" si="1"/>
        <v>0.07070713443</v>
      </c>
      <c r="S148" s="1">
        <f t="shared" si="2"/>
        <v>-133</v>
      </c>
      <c r="T148" s="1">
        <f t="shared" si="3"/>
        <v>1.751879699</v>
      </c>
      <c r="U148" s="1">
        <f t="shared" si="4"/>
        <v>0</v>
      </c>
      <c r="V148" s="3">
        <f t="shared" si="5"/>
        <v>2</v>
      </c>
      <c r="W148" s="3">
        <f t="shared" si="6"/>
        <v>3</v>
      </c>
      <c r="X148" s="3" t="str">
        <f>IFERROR(__xludf.DUMMYFUNCTION("split(B148,"" "")"),"T.")</f>
        <v>T.</v>
      </c>
      <c r="Y148" s="3" t="str">
        <f>IFERROR(__xludf.DUMMYFUNCTION("""COMPUTED_VALUE"""),"Hill")</f>
        <v>Hill</v>
      </c>
      <c r="AA148" s="8">
        <v>14.0</v>
      </c>
      <c r="AB148" s="3">
        <f t="shared" si="7"/>
        <v>0</v>
      </c>
      <c r="AC148" s="3">
        <f t="shared" si="8"/>
        <v>1</v>
      </c>
      <c r="AD148" s="3">
        <f t="shared" si="9"/>
        <v>1.503759398</v>
      </c>
      <c r="AE148" s="3">
        <f t="shared" si="10"/>
        <v>1.503759398</v>
      </c>
      <c r="AF148" s="3">
        <f t="shared" si="11"/>
        <v>2.255639098</v>
      </c>
      <c r="AG148" s="3">
        <f t="shared" si="12"/>
        <v>0.4909090909</v>
      </c>
    </row>
    <row r="149">
      <c r="A149" s="1" t="s">
        <v>11</v>
      </c>
      <c r="B149" s="1" t="s">
        <v>193</v>
      </c>
      <c r="C149" s="1" t="s">
        <v>20</v>
      </c>
      <c r="D149" s="1" t="s">
        <v>58</v>
      </c>
      <c r="E149" s="1" t="s">
        <v>109</v>
      </c>
      <c r="F149" s="1" t="s">
        <v>670</v>
      </c>
      <c r="G149" s="1">
        <v>30.5</v>
      </c>
      <c r="H149" s="1" t="s">
        <v>60</v>
      </c>
      <c r="I149" s="1">
        <v>-117.0</v>
      </c>
      <c r="J149" s="1">
        <v>-0.131037432797603</v>
      </c>
      <c r="K149" s="1" t="s">
        <v>61</v>
      </c>
      <c r="L149" s="1" t="s">
        <v>61</v>
      </c>
      <c r="M149" s="1" t="s">
        <v>62</v>
      </c>
      <c r="N149" s="1">
        <v>-112.0</v>
      </c>
      <c r="O149" s="1">
        <v>0.063648045599668</v>
      </c>
      <c r="P149" s="1" t="s">
        <v>61</v>
      </c>
      <c r="Q149" s="1" t="s">
        <v>61</v>
      </c>
      <c r="R149" s="1">
        <f t="shared" si="1"/>
        <v>0.0636480456</v>
      </c>
      <c r="S149" s="1">
        <f t="shared" si="2"/>
        <v>-112</v>
      </c>
      <c r="T149" s="1">
        <f t="shared" si="3"/>
        <v>1.892857143</v>
      </c>
      <c r="U149" s="1">
        <f t="shared" si="4"/>
        <v>0</v>
      </c>
      <c r="V149" s="3">
        <f t="shared" si="5"/>
        <v>2</v>
      </c>
      <c r="W149" s="3">
        <f t="shared" si="6"/>
        <v>2</v>
      </c>
      <c r="X149" s="3" t="str">
        <f>IFERROR(__xludf.DUMMYFUNCTION("split(B149,"" "")"),"J.")</f>
        <v>J.</v>
      </c>
      <c r="Y149" s="3" t="str">
        <f>IFERROR(__xludf.DUMMYFUNCTION("""COMPUTED_VALUE"""),"Johnson")</f>
        <v>Johnson</v>
      </c>
      <c r="AA149" s="8">
        <v>22.0</v>
      </c>
      <c r="AB149" s="3">
        <f t="shared" si="7"/>
        <v>0</v>
      </c>
      <c r="AC149" s="3">
        <f t="shared" si="8"/>
        <v>1</v>
      </c>
      <c r="AD149" s="3">
        <f t="shared" si="9"/>
        <v>1.785714286</v>
      </c>
      <c r="AE149" s="3">
        <f t="shared" si="10"/>
        <v>1.785714286</v>
      </c>
      <c r="AF149" s="3">
        <f t="shared" si="11"/>
        <v>1.785714286</v>
      </c>
      <c r="AG149" s="3">
        <f t="shared" si="12"/>
        <v>0.2786885246</v>
      </c>
    </row>
    <row r="150">
      <c r="A150" s="1" t="s">
        <v>10</v>
      </c>
      <c r="B150" s="1" t="s">
        <v>282</v>
      </c>
      <c r="C150" s="1" t="s">
        <v>19</v>
      </c>
      <c r="D150" s="1" t="s">
        <v>58</v>
      </c>
      <c r="E150" s="1" t="s">
        <v>109</v>
      </c>
      <c r="F150" s="1" t="s">
        <v>670</v>
      </c>
      <c r="G150" s="1">
        <v>69.5</v>
      </c>
      <c r="H150" s="1" t="s">
        <v>60</v>
      </c>
      <c r="I150" s="1">
        <v>-118.0</v>
      </c>
      <c r="J150" s="1">
        <v>-0.129939376819126</v>
      </c>
      <c r="K150" s="1" t="s">
        <v>61</v>
      </c>
      <c r="L150" s="1" t="s">
        <v>61</v>
      </c>
      <c r="M150" s="1" t="s">
        <v>62</v>
      </c>
      <c r="N150" s="1">
        <v>-112.0</v>
      </c>
      <c r="O150" s="1">
        <v>0.0603445300720206</v>
      </c>
      <c r="P150" s="1" t="s">
        <v>61</v>
      </c>
      <c r="Q150" s="1" t="s">
        <v>61</v>
      </c>
      <c r="R150" s="1">
        <f t="shared" si="1"/>
        <v>0.06034453007</v>
      </c>
      <c r="S150" s="1">
        <f t="shared" si="2"/>
        <v>-112</v>
      </c>
      <c r="T150" s="1">
        <f t="shared" si="3"/>
        <v>1.892857143</v>
      </c>
      <c r="U150" s="1">
        <f t="shared" si="4"/>
        <v>0</v>
      </c>
      <c r="V150" s="3">
        <f t="shared" si="5"/>
        <v>2</v>
      </c>
      <c r="W150" s="3">
        <f t="shared" si="6"/>
        <v>2</v>
      </c>
      <c r="X150" s="3" t="str">
        <f>IFERROR(__xludf.DUMMYFUNCTION("split(B150,"" "")"),"A.")</f>
        <v>A.</v>
      </c>
      <c r="Y150" s="3" t="str">
        <f>IFERROR(__xludf.DUMMYFUNCTION("""COMPUTED_VALUE"""),"Kamara")</f>
        <v>Kamara</v>
      </c>
      <c r="AA150" s="8">
        <v>55.0</v>
      </c>
      <c r="AB150" s="3">
        <f t="shared" si="7"/>
        <v>0</v>
      </c>
      <c r="AC150" s="3">
        <f t="shared" si="8"/>
        <v>1</v>
      </c>
      <c r="AD150" s="3">
        <f t="shared" si="9"/>
        <v>1.785714286</v>
      </c>
      <c r="AE150" s="3">
        <f t="shared" si="10"/>
        <v>1.785714286</v>
      </c>
      <c r="AF150" s="3">
        <f t="shared" si="11"/>
        <v>1.785714286</v>
      </c>
      <c r="AG150" s="3">
        <f t="shared" si="12"/>
        <v>0.2086330935</v>
      </c>
    </row>
    <row r="151">
      <c r="A151" s="1" t="s">
        <v>11</v>
      </c>
      <c r="B151" s="1" t="s">
        <v>282</v>
      </c>
      <c r="C151" s="1" t="s">
        <v>19</v>
      </c>
      <c r="D151" s="1" t="s">
        <v>58</v>
      </c>
      <c r="E151" s="1" t="s">
        <v>109</v>
      </c>
      <c r="F151" s="1" t="s">
        <v>670</v>
      </c>
      <c r="G151" s="1">
        <v>40.5</v>
      </c>
      <c r="H151" s="1" t="s">
        <v>60</v>
      </c>
      <c r="I151" s="1">
        <v>-119.0</v>
      </c>
      <c r="J151" s="1">
        <v>-0.123798410623744</v>
      </c>
      <c r="K151" s="1" t="s">
        <v>61</v>
      </c>
      <c r="L151" s="1" t="s">
        <v>61</v>
      </c>
      <c r="M151" s="1" t="s">
        <v>62</v>
      </c>
      <c r="N151" s="1">
        <v>-110.0</v>
      </c>
      <c r="O151" s="1">
        <v>0.0565679524422382</v>
      </c>
      <c r="P151" s="1" t="s">
        <v>61</v>
      </c>
      <c r="Q151" s="1" t="s">
        <v>61</v>
      </c>
      <c r="R151" s="1">
        <f t="shared" si="1"/>
        <v>0.05656795244</v>
      </c>
      <c r="S151" s="1">
        <f t="shared" si="2"/>
        <v>-110</v>
      </c>
      <c r="T151" s="1">
        <f t="shared" si="3"/>
        <v>1.909090909</v>
      </c>
      <c r="U151" s="1">
        <f t="shared" si="4"/>
        <v>0</v>
      </c>
      <c r="V151" s="3">
        <f t="shared" si="5"/>
        <v>2</v>
      </c>
      <c r="W151" s="3">
        <f t="shared" si="6"/>
        <v>2</v>
      </c>
      <c r="X151" s="3" t="str">
        <f>IFERROR(__xludf.DUMMYFUNCTION("split(B151,"" "")"),"A.")</f>
        <v>A.</v>
      </c>
      <c r="Y151" s="3" t="str">
        <f>IFERROR(__xludf.DUMMYFUNCTION("""COMPUTED_VALUE"""),"Kamara")</f>
        <v>Kamara</v>
      </c>
      <c r="AA151" s="8">
        <v>54.0</v>
      </c>
      <c r="AB151" s="3">
        <f t="shared" si="7"/>
        <v>1</v>
      </c>
      <c r="AC151" s="3">
        <f t="shared" si="8"/>
        <v>0</v>
      </c>
      <c r="AD151" s="3">
        <f t="shared" si="9"/>
        <v>1.818181818</v>
      </c>
      <c r="AE151" s="3">
        <f t="shared" si="10"/>
        <v>-2</v>
      </c>
      <c r="AF151" s="3">
        <f t="shared" si="11"/>
        <v>-2</v>
      </c>
      <c r="AG151" s="3">
        <f t="shared" si="12"/>
        <v>-0.3333333333</v>
      </c>
    </row>
    <row r="152">
      <c r="A152" s="1" t="s">
        <v>8</v>
      </c>
      <c r="B152" s="1" t="s">
        <v>282</v>
      </c>
      <c r="C152" s="1" t="s">
        <v>19</v>
      </c>
      <c r="D152" s="1" t="s">
        <v>58</v>
      </c>
      <c r="E152" s="1" t="s">
        <v>109</v>
      </c>
      <c r="F152" s="1" t="s">
        <v>670</v>
      </c>
      <c r="G152" s="1">
        <v>16.5</v>
      </c>
      <c r="H152" s="1" t="s">
        <v>60</v>
      </c>
      <c r="I152" s="1">
        <v>-135.0</v>
      </c>
      <c r="J152" s="1">
        <v>-0.124967366553191</v>
      </c>
      <c r="K152" s="1" t="s">
        <v>61</v>
      </c>
      <c r="L152" s="1" t="s">
        <v>61</v>
      </c>
      <c r="M152" s="1" t="s">
        <v>62</v>
      </c>
      <c r="N152" s="1">
        <v>102.0</v>
      </c>
      <c r="O152" s="1">
        <v>0.0554496591089108</v>
      </c>
      <c r="P152" s="1" t="s">
        <v>61</v>
      </c>
      <c r="Q152" s="1" t="s">
        <v>61</v>
      </c>
      <c r="R152" s="1">
        <f t="shared" si="1"/>
        <v>0.05544965911</v>
      </c>
      <c r="S152" s="1">
        <f t="shared" si="2"/>
        <v>102</v>
      </c>
      <c r="T152" s="1">
        <f t="shared" si="3"/>
        <v>2.02</v>
      </c>
      <c r="U152" s="1">
        <f t="shared" si="4"/>
        <v>0</v>
      </c>
      <c r="V152" s="3">
        <f t="shared" si="5"/>
        <v>2</v>
      </c>
      <c r="W152" s="3">
        <f t="shared" si="6"/>
        <v>2</v>
      </c>
      <c r="X152" s="3" t="str">
        <f>IFERROR(__xludf.DUMMYFUNCTION("split(B152,"" "")"),"A.")</f>
        <v>A.</v>
      </c>
      <c r="Y152" s="3" t="str">
        <f>IFERROR(__xludf.DUMMYFUNCTION("""COMPUTED_VALUE"""),"Kamara")</f>
        <v>Kamara</v>
      </c>
      <c r="AA152" s="8">
        <v>17.0</v>
      </c>
      <c r="AB152" s="3">
        <f t="shared" si="7"/>
        <v>1</v>
      </c>
      <c r="AC152" s="3">
        <f t="shared" si="8"/>
        <v>0</v>
      </c>
      <c r="AD152" s="3">
        <f t="shared" si="9"/>
        <v>2.04</v>
      </c>
      <c r="AE152" s="3">
        <f t="shared" si="10"/>
        <v>-2</v>
      </c>
      <c r="AF152" s="3">
        <f t="shared" si="11"/>
        <v>-2</v>
      </c>
      <c r="AG152" s="3">
        <f t="shared" si="12"/>
        <v>-0.0303030303</v>
      </c>
    </row>
    <row r="153">
      <c r="A153" s="1" t="s">
        <v>9</v>
      </c>
      <c r="B153" s="1" t="s">
        <v>282</v>
      </c>
      <c r="C153" s="1" t="s">
        <v>19</v>
      </c>
      <c r="D153" s="1" t="s">
        <v>58</v>
      </c>
      <c r="E153" s="1" t="s">
        <v>109</v>
      </c>
      <c r="F153" s="1" t="s">
        <v>670</v>
      </c>
      <c r="G153" s="1">
        <v>114.5</v>
      </c>
      <c r="H153" s="1" t="s">
        <v>60</v>
      </c>
      <c r="I153" s="1">
        <v>-116.0</v>
      </c>
      <c r="J153" s="1">
        <v>-0.106022988077124</v>
      </c>
      <c r="K153" s="1" t="s">
        <v>61</v>
      </c>
      <c r="L153" s="1" t="s">
        <v>61</v>
      </c>
      <c r="M153" s="1" t="s">
        <v>62</v>
      </c>
      <c r="N153" s="1">
        <v>-117.0</v>
      </c>
      <c r="O153" s="1">
        <v>0.0298295162850321</v>
      </c>
      <c r="P153" s="1" t="s">
        <v>61</v>
      </c>
      <c r="Q153" s="1" t="s">
        <v>61</v>
      </c>
      <c r="R153" s="1">
        <f t="shared" si="1"/>
        <v>0.02982951629</v>
      </c>
      <c r="S153" s="1">
        <f t="shared" si="2"/>
        <v>-117</v>
      </c>
      <c r="T153" s="1">
        <f t="shared" si="3"/>
        <v>1.854700855</v>
      </c>
      <c r="U153" s="1">
        <f t="shared" si="4"/>
        <v>0</v>
      </c>
      <c r="V153" s="3">
        <f t="shared" si="5"/>
        <v>1</v>
      </c>
      <c r="W153" s="3">
        <f t="shared" si="6"/>
        <v>2</v>
      </c>
      <c r="X153" s="3" t="str">
        <f>IFERROR(__xludf.DUMMYFUNCTION("split(B153,"" "")"),"A.")</f>
        <v>A.</v>
      </c>
      <c r="Y153" s="3" t="str">
        <f>IFERROR(__xludf.DUMMYFUNCTION("""COMPUTED_VALUE"""),"Kamara")</f>
        <v>Kamara</v>
      </c>
      <c r="AA153" s="8">
        <v>109.0</v>
      </c>
      <c r="AB153" s="3">
        <f t="shared" si="7"/>
        <v>0</v>
      </c>
      <c r="AC153" s="3">
        <f t="shared" si="8"/>
        <v>1</v>
      </c>
      <c r="AD153" s="3">
        <f t="shared" si="9"/>
        <v>0.8547008547</v>
      </c>
      <c r="AE153" s="3">
        <f t="shared" si="10"/>
        <v>0.8547008547</v>
      </c>
      <c r="AF153" s="3">
        <f t="shared" si="11"/>
        <v>1.709401709</v>
      </c>
      <c r="AG153" s="3">
        <f t="shared" si="12"/>
        <v>0.0480349345</v>
      </c>
    </row>
    <row r="154">
      <c r="A154" s="1" t="s">
        <v>11</v>
      </c>
      <c r="B154" s="1" t="s">
        <v>441</v>
      </c>
      <c r="C154" s="1" t="s">
        <v>20</v>
      </c>
      <c r="D154" s="1" t="s">
        <v>58</v>
      </c>
      <c r="E154" s="1" t="s">
        <v>109</v>
      </c>
      <c r="F154" s="1" t="s">
        <v>670</v>
      </c>
      <c r="G154" s="1">
        <v>17.5</v>
      </c>
      <c r="H154" s="1" t="s">
        <v>60</v>
      </c>
      <c r="I154" s="1">
        <v>-136.0</v>
      </c>
      <c r="J154" s="1">
        <v>-0.096661107098017</v>
      </c>
      <c r="K154" s="1" t="s">
        <v>61</v>
      </c>
      <c r="L154" s="1" t="s">
        <v>61</v>
      </c>
      <c r="M154" s="1" t="s">
        <v>62</v>
      </c>
      <c r="N154" s="1">
        <v>103.0</v>
      </c>
      <c r="O154" s="1">
        <v>0.0278262131779902</v>
      </c>
      <c r="P154" s="1" t="s">
        <v>61</v>
      </c>
      <c r="Q154" s="1" t="s">
        <v>61</v>
      </c>
      <c r="R154" s="1">
        <f t="shared" si="1"/>
        <v>0.02782621318</v>
      </c>
      <c r="S154" s="1">
        <f t="shared" si="2"/>
        <v>103</v>
      </c>
      <c r="T154" s="1">
        <f t="shared" si="3"/>
        <v>2.03</v>
      </c>
      <c r="U154" s="1">
        <f t="shared" si="4"/>
        <v>0</v>
      </c>
      <c r="V154" s="3">
        <f t="shared" si="5"/>
        <v>1</v>
      </c>
      <c r="W154" s="3">
        <f t="shared" si="6"/>
        <v>2</v>
      </c>
      <c r="X154" s="3" t="str">
        <f>IFERROR(__xludf.DUMMYFUNCTION("split(B154,"" "")"),"T.")</f>
        <v>T.</v>
      </c>
      <c r="Y154" s="3" t="str">
        <f>IFERROR(__xludf.DUMMYFUNCTION("""COMPUTED_VALUE"""),"Hill")</f>
        <v>Hill</v>
      </c>
      <c r="AA154" s="8">
        <v>36.0</v>
      </c>
      <c r="AB154" s="3">
        <f t="shared" si="7"/>
        <v>1</v>
      </c>
      <c r="AC154" s="3">
        <f t="shared" si="8"/>
        <v>0</v>
      </c>
      <c r="AD154" s="3">
        <f t="shared" si="9"/>
        <v>1.03</v>
      </c>
      <c r="AE154" s="3">
        <f t="shared" si="10"/>
        <v>-1</v>
      </c>
      <c r="AF154" s="3">
        <f t="shared" si="11"/>
        <v>-2</v>
      </c>
      <c r="AG154" s="3">
        <f t="shared" si="12"/>
        <v>-1.057142857</v>
      </c>
    </row>
    <row r="155">
      <c r="A155" s="1" t="s">
        <v>12</v>
      </c>
      <c r="B155" s="1" t="s">
        <v>577</v>
      </c>
      <c r="C155" s="1" t="s">
        <v>18</v>
      </c>
      <c r="D155" s="1" t="s">
        <v>58</v>
      </c>
      <c r="E155" s="1" t="s">
        <v>109</v>
      </c>
      <c r="F155" s="1" t="s">
        <v>670</v>
      </c>
      <c r="G155" s="1">
        <v>2.5</v>
      </c>
      <c r="H155" s="1" t="s">
        <v>60</v>
      </c>
      <c r="I155" s="1">
        <v>121.0</v>
      </c>
      <c r="J155" s="1">
        <v>-0.0935410580610859</v>
      </c>
      <c r="K155" s="1" t="s">
        <v>61</v>
      </c>
      <c r="L155" s="1" t="s">
        <v>61</v>
      </c>
      <c r="M155" s="1" t="s">
        <v>62</v>
      </c>
      <c r="N155" s="1">
        <v>-160.0</v>
      </c>
      <c r="O155" s="1">
        <v>0.0256742470769231</v>
      </c>
      <c r="P155" s="1" t="s">
        <v>61</v>
      </c>
      <c r="Q155" s="1" t="s">
        <v>61</v>
      </c>
      <c r="R155" s="1">
        <f t="shared" si="1"/>
        <v>0.02567424708</v>
      </c>
      <c r="S155" s="1">
        <f t="shared" si="2"/>
        <v>-160</v>
      </c>
      <c r="T155" s="1">
        <f t="shared" si="3"/>
        <v>1.625</v>
      </c>
      <c r="U155" s="1">
        <f t="shared" si="4"/>
        <v>0</v>
      </c>
      <c r="V155" s="3">
        <f t="shared" si="5"/>
        <v>1</v>
      </c>
      <c r="W155" s="3">
        <f t="shared" si="6"/>
        <v>3</v>
      </c>
      <c r="X155" s="3" t="str">
        <f>IFERROR(__xludf.DUMMYFUNCTION("split(B155,"" "")"),"M.")</f>
        <v>M.</v>
      </c>
      <c r="Y155" s="3" t="str">
        <f>IFERROR(__xludf.DUMMYFUNCTION("""COMPUTED_VALUE"""),"Valdes-Scantling")</f>
        <v>Valdes-Scantling</v>
      </c>
      <c r="AA155" s="8">
        <v>3.0</v>
      </c>
      <c r="AB155" s="3">
        <f t="shared" si="7"/>
        <v>1</v>
      </c>
      <c r="AC155" s="3">
        <f t="shared" si="8"/>
        <v>0</v>
      </c>
      <c r="AD155" s="3">
        <f t="shared" si="9"/>
        <v>0.625</v>
      </c>
      <c r="AE155" s="3">
        <f t="shared" si="10"/>
        <v>-1</v>
      </c>
      <c r="AF155" s="3">
        <f t="shared" si="11"/>
        <v>-3</v>
      </c>
      <c r="AG155" s="3">
        <f t="shared" si="12"/>
        <v>-0.2</v>
      </c>
    </row>
    <row r="156">
      <c r="A156" s="1" t="s">
        <v>11</v>
      </c>
      <c r="B156" s="1" t="s">
        <v>553</v>
      </c>
      <c r="C156" s="1" t="s">
        <v>20</v>
      </c>
      <c r="D156" s="1" t="s">
        <v>58</v>
      </c>
      <c r="E156" s="1" t="s">
        <v>109</v>
      </c>
      <c r="F156" s="1" t="s">
        <v>670</v>
      </c>
      <c r="G156" s="1">
        <v>15.5</v>
      </c>
      <c r="H156" s="1" t="s">
        <v>60</v>
      </c>
      <c r="I156" s="1">
        <v>-127.0</v>
      </c>
      <c r="J156" s="1">
        <v>-0.079103620730762</v>
      </c>
      <c r="K156" s="1" t="s">
        <v>61</v>
      </c>
      <c r="L156" s="1" t="s">
        <v>61</v>
      </c>
      <c r="M156" s="1" t="s">
        <v>62</v>
      </c>
      <c r="N156" s="1">
        <v>-104.0</v>
      </c>
      <c r="O156" s="1">
        <v>0.00986485677508974</v>
      </c>
      <c r="P156" s="1" t="s">
        <v>61</v>
      </c>
      <c r="Q156" s="1" t="s">
        <v>61</v>
      </c>
      <c r="R156" s="1">
        <f t="shared" si="1"/>
        <v>0.009864856775</v>
      </c>
      <c r="S156" s="1">
        <f t="shared" si="2"/>
        <v>-104</v>
      </c>
      <c r="T156" s="1">
        <f t="shared" si="3"/>
        <v>1.961538462</v>
      </c>
      <c r="U156" s="1">
        <f t="shared" si="4"/>
        <v>0</v>
      </c>
      <c r="V156" s="3">
        <f t="shared" si="5"/>
        <v>1</v>
      </c>
      <c r="W156" s="3">
        <f t="shared" si="6"/>
        <v>2</v>
      </c>
      <c r="X156" s="3" t="str">
        <f>IFERROR(__xludf.DUMMYFUNCTION("split(B156,"" "")"),"F.")</f>
        <v>F.</v>
      </c>
      <c r="Y156" s="3" t="str">
        <f>IFERROR(__xludf.DUMMYFUNCTION("""COMPUTED_VALUE"""),"Moreau")</f>
        <v>Moreau</v>
      </c>
      <c r="AA156" s="8">
        <v>0.0</v>
      </c>
      <c r="AB156" s="3">
        <f t="shared" si="7"/>
        <v>0</v>
      </c>
      <c r="AC156" s="3">
        <f t="shared" si="8"/>
        <v>1</v>
      </c>
      <c r="AD156" s="3">
        <f t="shared" si="9"/>
        <v>0.9615384615</v>
      </c>
      <c r="AE156" s="3">
        <f t="shared" si="10"/>
        <v>0.9615384615</v>
      </c>
      <c r="AF156" s="3">
        <f t="shared" si="11"/>
        <v>1.923076923</v>
      </c>
      <c r="AG156" s="3">
        <f t="shared" si="12"/>
        <v>1</v>
      </c>
    </row>
    <row r="157">
      <c r="A157" s="1" t="s">
        <v>9</v>
      </c>
      <c r="B157" s="1" t="s">
        <v>441</v>
      </c>
      <c r="C157" s="1" t="s">
        <v>20</v>
      </c>
      <c r="D157" s="1" t="s">
        <v>58</v>
      </c>
      <c r="E157" s="1" t="s">
        <v>109</v>
      </c>
      <c r="F157" s="1" t="s">
        <v>670</v>
      </c>
      <c r="G157" s="1">
        <v>49.5</v>
      </c>
      <c r="H157" s="1" t="s">
        <v>60</v>
      </c>
      <c r="I157" s="1">
        <v>-120.0</v>
      </c>
      <c r="J157" s="1">
        <v>-0.080882242584723</v>
      </c>
      <c r="K157" s="1" t="s">
        <v>61</v>
      </c>
      <c r="L157" s="1" t="s">
        <v>61</v>
      </c>
      <c r="M157" s="1" t="s">
        <v>62</v>
      </c>
      <c r="N157" s="1">
        <v>-112.0</v>
      </c>
      <c r="O157" s="1">
        <v>0.00711407817394238</v>
      </c>
      <c r="P157" s="1" t="s">
        <v>61</v>
      </c>
      <c r="Q157" s="1" t="s">
        <v>61</v>
      </c>
      <c r="R157" s="1">
        <f t="shared" si="1"/>
        <v>0.007114078174</v>
      </c>
      <c r="S157" s="1">
        <f t="shared" si="2"/>
        <v>-112</v>
      </c>
      <c r="T157" s="1">
        <f t="shared" si="3"/>
        <v>1.892857143</v>
      </c>
      <c r="U157" s="1">
        <f t="shared" si="4"/>
        <v>0</v>
      </c>
      <c r="V157" s="3">
        <f t="shared" si="5"/>
        <v>1</v>
      </c>
      <c r="W157" s="3">
        <f t="shared" si="6"/>
        <v>2</v>
      </c>
      <c r="X157" s="3" t="str">
        <f>IFERROR(__xludf.DUMMYFUNCTION("split(B157,"" "")"),"T.")</f>
        <v>T.</v>
      </c>
      <c r="Y157" s="3" t="str">
        <f>IFERROR(__xludf.DUMMYFUNCTION("""COMPUTED_VALUE"""),"Hill")</f>
        <v>Hill</v>
      </c>
      <c r="AA157" s="8">
        <v>50.0</v>
      </c>
      <c r="AB157" s="3">
        <f t="shared" si="7"/>
        <v>1</v>
      </c>
      <c r="AC157" s="3">
        <f t="shared" si="8"/>
        <v>0</v>
      </c>
      <c r="AD157" s="3">
        <f t="shared" si="9"/>
        <v>0.8928571429</v>
      </c>
      <c r="AE157" s="3">
        <f t="shared" si="10"/>
        <v>-1</v>
      </c>
      <c r="AF157" s="3">
        <f t="shared" si="11"/>
        <v>-2</v>
      </c>
      <c r="AG157" s="3">
        <f t="shared" si="12"/>
        <v>-0.0101010101</v>
      </c>
    </row>
    <row r="158">
      <c r="A158" s="1" t="s">
        <v>13</v>
      </c>
      <c r="B158" s="1" t="s">
        <v>287</v>
      </c>
      <c r="C158" s="1" t="s">
        <v>21</v>
      </c>
      <c r="D158" s="1" t="s">
        <v>58</v>
      </c>
      <c r="E158" s="1" t="s">
        <v>109</v>
      </c>
      <c r="F158" s="1" t="s">
        <v>670</v>
      </c>
      <c r="G158" s="1">
        <v>206.5</v>
      </c>
      <c r="H158" s="1" t="s">
        <v>60</v>
      </c>
      <c r="I158" s="1">
        <v>-117.0</v>
      </c>
      <c r="J158" s="1">
        <v>0.0134719027649763</v>
      </c>
      <c r="K158" s="1" t="s">
        <v>61</v>
      </c>
      <c r="L158" s="1" t="s">
        <v>61</v>
      </c>
      <c r="M158" s="1" t="s">
        <v>62</v>
      </c>
      <c r="N158" s="1">
        <v>-112.0</v>
      </c>
      <c r="O158" s="1">
        <v>-0.0809797889056597</v>
      </c>
      <c r="P158" s="1" t="s">
        <v>61</v>
      </c>
      <c r="Q158" s="1" t="s">
        <v>61</v>
      </c>
      <c r="R158" s="1">
        <f t="shared" si="1"/>
        <v>0.01347190276</v>
      </c>
      <c r="S158" s="1">
        <f t="shared" si="2"/>
        <v>-117</v>
      </c>
      <c r="T158" s="1">
        <f t="shared" si="3"/>
        <v>1.854700855</v>
      </c>
      <c r="U158" s="1">
        <f t="shared" si="4"/>
        <v>1</v>
      </c>
      <c r="V158" s="3">
        <f t="shared" si="5"/>
        <v>1</v>
      </c>
      <c r="W158" s="3">
        <f t="shared" si="6"/>
        <v>2</v>
      </c>
      <c r="X158" s="3" t="str">
        <f>IFERROR(__xludf.DUMMYFUNCTION("split(B158,"" "")"),"D.")</f>
        <v>D.</v>
      </c>
      <c r="Y158" s="3" t="str">
        <f>IFERROR(__xludf.DUMMYFUNCTION("""COMPUTED_VALUE"""),"Carr")</f>
        <v>Carr</v>
      </c>
      <c r="AA158" s="8">
        <v>269.0</v>
      </c>
      <c r="AB158" s="3">
        <f t="shared" si="7"/>
        <v>1</v>
      </c>
      <c r="AC158" s="3">
        <f t="shared" si="8"/>
        <v>1</v>
      </c>
      <c r="AD158" s="3">
        <f t="shared" si="9"/>
        <v>0.8547008547</v>
      </c>
      <c r="AE158" s="3">
        <f t="shared" si="10"/>
        <v>0.8547008547</v>
      </c>
      <c r="AF158" s="3">
        <f t="shared" si="11"/>
        <v>1.709401709</v>
      </c>
      <c r="AG158" s="3">
        <f t="shared" si="12"/>
        <v>0.3026634383</v>
      </c>
    </row>
    <row r="159">
      <c r="A159" s="1" t="s">
        <v>10</v>
      </c>
      <c r="B159" s="1" t="s">
        <v>287</v>
      </c>
      <c r="C159" s="1" t="s">
        <v>21</v>
      </c>
      <c r="D159" s="1" t="s">
        <v>58</v>
      </c>
      <c r="E159" s="1" t="s">
        <v>109</v>
      </c>
      <c r="F159" s="1" t="s">
        <v>670</v>
      </c>
      <c r="G159" s="1">
        <v>1.5</v>
      </c>
      <c r="H159" s="1" t="s">
        <v>60</v>
      </c>
      <c r="I159" s="1">
        <v>-130.0</v>
      </c>
      <c r="J159" s="1">
        <v>0.0624074958546295</v>
      </c>
      <c r="K159" s="1" t="s">
        <v>61</v>
      </c>
      <c r="L159" s="1" t="s">
        <v>61</v>
      </c>
      <c r="M159" s="1" t="s">
        <v>62</v>
      </c>
      <c r="N159" s="1">
        <v>-101.0</v>
      </c>
      <c r="O159" s="1">
        <v>-0.13008518053249</v>
      </c>
      <c r="P159" s="1" t="s">
        <v>61</v>
      </c>
      <c r="Q159" s="1" t="s">
        <v>61</v>
      </c>
      <c r="R159" s="1">
        <f t="shared" si="1"/>
        <v>0.06240749585</v>
      </c>
      <c r="S159" s="1">
        <f t="shared" si="2"/>
        <v>-130</v>
      </c>
      <c r="T159" s="1">
        <f t="shared" si="3"/>
        <v>1.769230769</v>
      </c>
      <c r="U159" s="1">
        <f t="shared" si="4"/>
        <v>1</v>
      </c>
      <c r="V159" s="3">
        <f t="shared" si="5"/>
        <v>2</v>
      </c>
      <c r="W159" s="3">
        <f t="shared" si="6"/>
        <v>3</v>
      </c>
      <c r="X159" s="3" t="str">
        <f>IFERROR(__xludf.DUMMYFUNCTION("split(B159,"" "")"),"D.")</f>
        <v>D.</v>
      </c>
      <c r="Y159" s="3" t="str">
        <f>IFERROR(__xludf.DUMMYFUNCTION("""COMPUTED_VALUE"""),"Carr")</f>
        <v>Carr</v>
      </c>
      <c r="AA159" s="8">
        <v>17.0</v>
      </c>
      <c r="AB159" s="3">
        <f t="shared" si="7"/>
        <v>1</v>
      </c>
      <c r="AC159" s="3">
        <f t="shared" si="8"/>
        <v>1</v>
      </c>
      <c r="AD159" s="3">
        <f t="shared" si="9"/>
        <v>1.538461538</v>
      </c>
      <c r="AE159" s="3">
        <f t="shared" si="10"/>
        <v>1.538461538</v>
      </c>
      <c r="AF159" s="3">
        <f t="shared" si="11"/>
        <v>2.307692308</v>
      </c>
      <c r="AG159" s="3">
        <f t="shared" si="12"/>
        <v>10.33333333</v>
      </c>
    </row>
    <row r="160">
      <c r="A160" s="1" t="s">
        <v>9</v>
      </c>
      <c r="B160" s="1" t="s">
        <v>577</v>
      </c>
      <c r="C160" s="1" t="s">
        <v>18</v>
      </c>
      <c r="D160" s="1" t="s">
        <v>58</v>
      </c>
      <c r="E160" s="1" t="s">
        <v>109</v>
      </c>
      <c r="F160" s="1" t="s">
        <v>670</v>
      </c>
      <c r="G160" s="1">
        <v>27.5</v>
      </c>
      <c r="H160" s="1" t="s">
        <v>60</v>
      </c>
      <c r="I160" s="1">
        <v>-115.0</v>
      </c>
      <c r="J160" s="1">
        <v>0.0779813306739022</v>
      </c>
      <c r="K160" s="1" t="s">
        <v>61</v>
      </c>
      <c r="L160" s="1" t="s">
        <v>61</v>
      </c>
      <c r="M160" s="1" t="s">
        <v>62</v>
      </c>
      <c r="N160" s="1">
        <v>-117.0</v>
      </c>
      <c r="O160" s="1">
        <v>-0.15201407249318</v>
      </c>
      <c r="P160" s="1" t="s">
        <v>61</v>
      </c>
      <c r="Q160" s="1" t="s">
        <v>61</v>
      </c>
      <c r="R160" s="1">
        <f t="shared" si="1"/>
        <v>0.07798133067</v>
      </c>
      <c r="S160" s="1">
        <f t="shared" si="2"/>
        <v>-115</v>
      </c>
      <c r="T160" s="1">
        <f t="shared" si="3"/>
        <v>1.869565217</v>
      </c>
      <c r="U160" s="1">
        <f t="shared" si="4"/>
        <v>1</v>
      </c>
      <c r="V160" s="3">
        <f t="shared" si="5"/>
        <v>2</v>
      </c>
      <c r="W160" s="3">
        <f t="shared" si="6"/>
        <v>2</v>
      </c>
      <c r="X160" s="3" t="str">
        <f>IFERROR(__xludf.DUMMYFUNCTION("split(B160,"" "")"),"M.")</f>
        <v>M.</v>
      </c>
      <c r="Y160" s="3" t="str">
        <f>IFERROR(__xludf.DUMMYFUNCTION("""COMPUTED_VALUE"""),"Valdes-Scantling")</f>
        <v>Valdes-Scantling</v>
      </c>
      <c r="AA160" s="8">
        <v>109.0</v>
      </c>
      <c r="AB160" s="3">
        <f t="shared" si="7"/>
        <v>1</v>
      </c>
      <c r="AC160" s="3">
        <f t="shared" si="8"/>
        <v>1</v>
      </c>
      <c r="AD160" s="3">
        <f t="shared" si="9"/>
        <v>1.739130435</v>
      </c>
      <c r="AE160" s="3">
        <f t="shared" si="10"/>
        <v>1.739130435</v>
      </c>
      <c r="AF160" s="3">
        <f t="shared" si="11"/>
        <v>1.739130435</v>
      </c>
      <c r="AG160" s="3">
        <f t="shared" si="12"/>
        <v>2.963636364</v>
      </c>
    </row>
    <row r="161">
      <c r="A161" s="1" t="s">
        <v>14</v>
      </c>
      <c r="B161" s="1" t="s">
        <v>287</v>
      </c>
      <c r="C161" s="1" t="s">
        <v>21</v>
      </c>
      <c r="D161" s="1" t="s">
        <v>58</v>
      </c>
      <c r="E161" s="1" t="s">
        <v>109</v>
      </c>
      <c r="F161" s="1" t="s">
        <v>670</v>
      </c>
      <c r="G161" s="1">
        <v>1.5</v>
      </c>
      <c r="H161" s="1" t="s">
        <v>60</v>
      </c>
      <c r="I161" s="1">
        <v>180.0</v>
      </c>
      <c r="J161" s="1">
        <v>0.0884571428571428</v>
      </c>
      <c r="K161" s="1" t="s">
        <v>61</v>
      </c>
      <c r="L161" s="1" t="s">
        <v>61</v>
      </c>
      <c r="M161" s="1" t="s">
        <v>62</v>
      </c>
      <c r="N161" s="1">
        <v>-242.0</v>
      </c>
      <c r="O161" s="1">
        <v>-0.153202339181286</v>
      </c>
      <c r="P161" s="1" t="s">
        <v>61</v>
      </c>
      <c r="Q161" s="1" t="s">
        <v>61</v>
      </c>
      <c r="R161" s="1">
        <f t="shared" si="1"/>
        <v>0.08845714286</v>
      </c>
      <c r="S161" s="1">
        <f t="shared" si="2"/>
        <v>180</v>
      </c>
      <c r="T161" s="1">
        <f t="shared" si="3"/>
        <v>2.8</v>
      </c>
      <c r="U161" s="1">
        <f t="shared" si="4"/>
        <v>1</v>
      </c>
      <c r="V161" s="3">
        <f t="shared" si="5"/>
        <v>2</v>
      </c>
      <c r="W161" s="3">
        <f t="shared" si="6"/>
        <v>1</v>
      </c>
      <c r="X161" s="3" t="str">
        <f>IFERROR(__xludf.DUMMYFUNCTION("split(B161,"" "")"),"D.")</f>
        <v>D.</v>
      </c>
      <c r="Y161" s="3" t="str">
        <f>IFERROR(__xludf.DUMMYFUNCTION("""COMPUTED_VALUE"""),"Carr")</f>
        <v>Carr</v>
      </c>
      <c r="AA161" s="8">
        <v>2.0</v>
      </c>
      <c r="AB161" s="3">
        <f t="shared" si="7"/>
        <v>1</v>
      </c>
      <c r="AC161" s="3">
        <f t="shared" si="8"/>
        <v>1</v>
      </c>
      <c r="AD161" s="3">
        <f t="shared" si="9"/>
        <v>3.6</v>
      </c>
      <c r="AE161" s="3">
        <f t="shared" si="10"/>
        <v>3.6</v>
      </c>
      <c r="AF161" s="3">
        <f t="shared" si="11"/>
        <v>1.8</v>
      </c>
      <c r="AG161" s="3">
        <f t="shared" si="12"/>
        <v>0.3333333333</v>
      </c>
    </row>
    <row r="162">
      <c r="A162" s="1" t="s">
        <v>9</v>
      </c>
      <c r="B162" s="1" t="s">
        <v>598</v>
      </c>
      <c r="C162" s="1" t="s">
        <v>18</v>
      </c>
      <c r="D162" s="1" t="s">
        <v>58</v>
      </c>
      <c r="E162" s="1" t="s">
        <v>109</v>
      </c>
      <c r="F162" s="1" t="s">
        <v>670</v>
      </c>
      <c r="G162" s="1">
        <v>31.5</v>
      </c>
      <c r="H162" s="1" t="s">
        <v>60</v>
      </c>
      <c r="I162" s="1">
        <v>-115.0</v>
      </c>
      <c r="J162" s="1">
        <v>0.0738633364082298</v>
      </c>
      <c r="K162" s="1" t="s">
        <v>61</v>
      </c>
      <c r="L162" s="1" t="s">
        <v>61</v>
      </c>
      <c r="M162" s="1" t="s">
        <v>62</v>
      </c>
      <c r="N162" s="1">
        <v>-120.0</v>
      </c>
      <c r="O162" s="1">
        <v>-0.154175185424197</v>
      </c>
      <c r="P162" s="1" t="s">
        <v>61</v>
      </c>
      <c r="Q162" s="1" t="s">
        <v>61</v>
      </c>
      <c r="R162" s="1">
        <f t="shared" si="1"/>
        <v>0.07386333641</v>
      </c>
      <c r="S162" s="1">
        <f t="shared" si="2"/>
        <v>-115</v>
      </c>
      <c r="T162" s="1">
        <f t="shared" si="3"/>
        <v>1.869565217</v>
      </c>
      <c r="U162" s="1">
        <f t="shared" si="4"/>
        <v>1</v>
      </c>
      <c r="V162" s="3">
        <f t="shared" si="5"/>
        <v>2</v>
      </c>
      <c r="W162" s="3">
        <f t="shared" si="6"/>
        <v>2</v>
      </c>
      <c r="X162" s="3" t="str">
        <f>IFERROR(__xludf.DUMMYFUNCTION("split(B162,"" "")"),"M.")</f>
        <v>M.</v>
      </c>
      <c r="Y162" s="3" t="str">
        <f>IFERROR(__xludf.DUMMYFUNCTION("""COMPUTED_VALUE"""),"Tipton")</f>
        <v>Tipton</v>
      </c>
      <c r="AA162" s="8">
        <v>0.0</v>
      </c>
      <c r="AB162" s="3">
        <f t="shared" si="7"/>
        <v>0</v>
      </c>
      <c r="AC162" s="3">
        <f t="shared" si="8"/>
        <v>0</v>
      </c>
      <c r="AD162" s="3">
        <f t="shared" si="9"/>
        <v>1.739130435</v>
      </c>
      <c r="AE162" s="3">
        <f t="shared" si="10"/>
        <v>-2</v>
      </c>
      <c r="AF162" s="3">
        <f t="shared" si="11"/>
        <v>-2</v>
      </c>
      <c r="AG162" s="3">
        <f t="shared" si="12"/>
        <v>-1</v>
      </c>
    </row>
    <row r="163">
      <c r="A163" s="1" t="s">
        <v>12</v>
      </c>
      <c r="B163" s="1" t="s">
        <v>476</v>
      </c>
      <c r="C163" s="1" t="s">
        <v>19</v>
      </c>
      <c r="D163" s="1" t="s">
        <v>66</v>
      </c>
      <c r="E163" s="1" t="s">
        <v>99</v>
      </c>
      <c r="F163" s="1" t="s">
        <v>670</v>
      </c>
      <c r="G163" s="1">
        <v>2.5</v>
      </c>
      <c r="H163" s="1" t="s">
        <v>60</v>
      </c>
      <c r="I163" s="1">
        <v>-151.0</v>
      </c>
      <c r="J163" s="1">
        <v>-0.28732851374502</v>
      </c>
      <c r="K163" s="1" t="s">
        <v>61</v>
      </c>
      <c r="L163" s="1" t="s">
        <v>61</v>
      </c>
      <c r="M163" s="1" t="s">
        <v>62</v>
      </c>
      <c r="N163" s="1">
        <v>115.0</v>
      </c>
      <c r="O163" s="1">
        <v>0.220624450930232</v>
      </c>
      <c r="P163" s="1" t="s">
        <v>61</v>
      </c>
      <c r="Q163" s="1" t="s">
        <v>61</v>
      </c>
      <c r="R163" s="1">
        <f t="shared" si="1"/>
        <v>0.2206244509</v>
      </c>
      <c r="S163" s="1">
        <f t="shared" si="2"/>
        <v>115</v>
      </c>
      <c r="T163" s="1">
        <f t="shared" si="3"/>
        <v>2.15</v>
      </c>
      <c r="U163" s="1">
        <f t="shared" si="4"/>
        <v>0</v>
      </c>
      <c r="V163" s="3">
        <f t="shared" si="5"/>
        <v>3</v>
      </c>
      <c r="W163" s="3">
        <f t="shared" si="6"/>
        <v>1</v>
      </c>
      <c r="X163" s="3" t="str">
        <f>IFERROR(__xludf.DUMMYFUNCTION("split(B163,"" "")"),"R.")</f>
        <v>R.</v>
      </c>
      <c r="Y163" s="3" t="str">
        <f>IFERROR(__xludf.DUMMYFUNCTION("""COMPUTED_VALUE"""),"Stevenson")</f>
        <v>Stevenson</v>
      </c>
      <c r="AA163" s="8">
        <v>1.0</v>
      </c>
      <c r="AB163" s="3">
        <f t="shared" si="7"/>
        <v>0</v>
      </c>
      <c r="AC163" s="3">
        <f t="shared" si="8"/>
        <v>1</v>
      </c>
      <c r="AD163" s="3">
        <f t="shared" si="9"/>
        <v>3.45</v>
      </c>
      <c r="AE163" s="3">
        <f t="shared" si="10"/>
        <v>3.45</v>
      </c>
      <c r="AF163" s="3">
        <f t="shared" si="11"/>
        <v>1.15</v>
      </c>
      <c r="AG163" s="3">
        <f t="shared" si="12"/>
        <v>0.6</v>
      </c>
    </row>
    <row r="164">
      <c r="A164" s="1" t="s">
        <v>12</v>
      </c>
      <c r="B164" s="1" t="s">
        <v>628</v>
      </c>
      <c r="C164" s="1" t="s">
        <v>18</v>
      </c>
      <c r="D164" s="1" t="s">
        <v>66</v>
      </c>
      <c r="E164" s="1" t="s">
        <v>99</v>
      </c>
      <c r="F164" s="1" t="s">
        <v>670</v>
      </c>
      <c r="G164" s="1">
        <v>1.5</v>
      </c>
      <c r="H164" s="1" t="s">
        <v>60</v>
      </c>
      <c r="I164" s="1">
        <v>-195.0</v>
      </c>
      <c r="J164" s="1">
        <v>-0.264716045423728</v>
      </c>
      <c r="K164" s="1" t="s">
        <v>61</v>
      </c>
      <c r="L164" s="1" t="s">
        <v>61</v>
      </c>
      <c r="M164" s="1" t="s">
        <v>62</v>
      </c>
      <c r="N164" s="1">
        <v>147.0</v>
      </c>
      <c r="O164" s="1">
        <v>0.198840621052631</v>
      </c>
      <c r="P164" s="1" t="s">
        <v>61</v>
      </c>
      <c r="Q164" s="1" t="s">
        <v>61</v>
      </c>
      <c r="R164" s="1">
        <f t="shared" si="1"/>
        <v>0.1988406211</v>
      </c>
      <c r="S164" s="1">
        <f t="shared" si="2"/>
        <v>147</v>
      </c>
      <c r="T164" s="1">
        <f t="shared" si="3"/>
        <v>2.47</v>
      </c>
      <c r="U164" s="1">
        <f t="shared" si="4"/>
        <v>0</v>
      </c>
      <c r="V164" s="3">
        <f t="shared" si="5"/>
        <v>3</v>
      </c>
      <c r="W164" s="3">
        <f t="shared" si="6"/>
        <v>1</v>
      </c>
      <c r="X164" s="3" t="str">
        <f>IFERROR(__xludf.DUMMYFUNCTION("split(B164,"" "")"),"K.")</f>
        <v>K.</v>
      </c>
      <c r="Y164" s="3" t="str">
        <f>IFERROR(__xludf.DUMMYFUNCTION("""COMPUTED_VALUE"""),"Boutte")</f>
        <v>Boutte</v>
      </c>
      <c r="AA164" s="8">
        <v>4.0</v>
      </c>
      <c r="AB164" s="3">
        <f t="shared" si="7"/>
        <v>1</v>
      </c>
      <c r="AC164" s="3">
        <f t="shared" si="8"/>
        <v>0</v>
      </c>
      <c r="AD164" s="3">
        <f t="shared" si="9"/>
        <v>4.41</v>
      </c>
      <c r="AE164" s="3">
        <f t="shared" si="10"/>
        <v>-3</v>
      </c>
      <c r="AF164" s="3">
        <f t="shared" si="11"/>
        <v>-1</v>
      </c>
      <c r="AG164" s="3">
        <f t="shared" si="12"/>
        <v>-1.666666667</v>
      </c>
    </row>
    <row r="165">
      <c r="A165" s="1" t="s">
        <v>12</v>
      </c>
      <c r="B165" s="1" t="s">
        <v>140</v>
      </c>
      <c r="C165" s="1" t="s">
        <v>20</v>
      </c>
      <c r="D165" s="1" t="s">
        <v>66</v>
      </c>
      <c r="E165" s="1" t="s">
        <v>99</v>
      </c>
      <c r="F165" s="1" t="s">
        <v>670</v>
      </c>
      <c r="G165" s="1">
        <v>3.5</v>
      </c>
      <c r="H165" s="1" t="s">
        <v>60</v>
      </c>
      <c r="I165" s="1">
        <v>-154.0</v>
      </c>
      <c r="J165" s="1">
        <v>-0.219438582677165</v>
      </c>
      <c r="K165" s="1" t="s">
        <v>61</v>
      </c>
      <c r="L165" s="1" t="s">
        <v>61</v>
      </c>
      <c r="M165" s="1" t="s">
        <v>62</v>
      </c>
      <c r="N165" s="1">
        <v>117.0</v>
      </c>
      <c r="O165" s="1">
        <v>0.152316589861751</v>
      </c>
      <c r="P165" s="1" t="s">
        <v>61</v>
      </c>
      <c r="Q165" s="1" t="s">
        <v>61</v>
      </c>
      <c r="R165" s="1">
        <f t="shared" si="1"/>
        <v>0.1523165899</v>
      </c>
      <c r="S165" s="1">
        <f t="shared" si="2"/>
        <v>117</v>
      </c>
      <c r="T165" s="1">
        <f t="shared" si="3"/>
        <v>2.17</v>
      </c>
      <c r="U165" s="1">
        <f t="shared" si="4"/>
        <v>0</v>
      </c>
      <c r="V165" s="3">
        <f t="shared" si="5"/>
        <v>3</v>
      </c>
      <c r="W165" s="3">
        <f t="shared" si="6"/>
        <v>1</v>
      </c>
      <c r="X165" s="3" t="str">
        <f>IFERROR(__xludf.DUMMYFUNCTION("split(B165,"" "")"),"H.")</f>
        <v>H.</v>
      </c>
      <c r="Y165" s="3" t="str">
        <f>IFERROR(__xludf.DUMMYFUNCTION("""COMPUTED_VALUE"""),"Henry")</f>
        <v>Henry</v>
      </c>
      <c r="AA165" s="8">
        <v>1.0</v>
      </c>
      <c r="AB165" s="3">
        <f t="shared" si="7"/>
        <v>0</v>
      </c>
      <c r="AC165" s="3">
        <f t="shared" si="8"/>
        <v>1</v>
      </c>
      <c r="AD165" s="3">
        <f t="shared" si="9"/>
        <v>3.51</v>
      </c>
      <c r="AE165" s="3">
        <f t="shared" si="10"/>
        <v>3.51</v>
      </c>
      <c r="AF165" s="3">
        <f t="shared" si="11"/>
        <v>1.17</v>
      </c>
      <c r="AG165" s="3">
        <f t="shared" si="12"/>
        <v>0.7142857143</v>
      </c>
    </row>
    <row r="166">
      <c r="A166" s="1" t="s">
        <v>8</v>
      </c>
      <c r="B166" s="1" t="s">
        <v>476</v>
      </c>
      <c r="C166" s="1" t="s">
        <v>19</v>
      </c>
      <c r="D166" s="1" t="s">
        <v>66</v>
      </c>
      <c r="E166" s="1" t="s">
        <v>99</v>
      </c>
      <c r="F166" s="1" t="s">
        <v>670</v>
      </c>
      <c r="G166" s="1">
        <v>14.5</v>
      </c>
      <c r="H166" s="1" t="s">
        <v>60</v>
      </c>
      <c r="I166" s="1">
        <v>-107.0</v>
      </c>
      <c r="J166" s="1">
        <v>-0.186106430581642</v>
      </c>
      <c r="K166" s="1" t="s">
        <v>61</v>
      </c>
      <c r="L166" s="1" t="s">
        <v>61</v>
      </c>
      <c r="M166" s="1" t="s">
        <v>62</v>
      </c>
      <c r="N166" s="1">
        <v>-124.0</v>
      </c>
      <c r="O166" s="1">
        <v>0.115626529471857</v>
      </c>
      <c r="P166" s="1" t="s">
        <v>61</v>
      </c>
      <c r="Q166" s="1" t="s">
        <v>61</v>
      </c>
      <c r="R166" s="1">
        <f t="shared" si="1"/>
        <v>0.1156265295</v>
      </c>
      <c r="S166" s="1">
        <f t="shared" si="2"/>
        <v>-124</v>
      </c>
      <c r="T166" s="1">
        <f t="shared" si="3"/>
        <v>1.806451613</v>
      </c>
      <c r="U166" s="1">
        <f t="shared" si="4"/>
        <v>0</v>
      </c>
      <c r="V166" s="3">
        <f t="shared" si="5"/>
        <v>3</v>
      </c>
      <c r="W166" s="3">
        <f t="shared" si="6"/>
        <v>3</v>
      </c>
      <c r="X166" s="3" t="str">
        <f>IFERROR(__xludf.DUMMYFUNCTION("split(B166,"" "")"),"R.")</f>
        <v>R.</v>
      </c>
      <c r="Y166" s="3" t="str">
        <f>IFERROR(__xludf.DUMMYFUNCTION("""COMPUTED_VALUE"""),"Stevenson")</f>
        <v>Stevenson</v>
      </c>
      <c r="AA166" s="8">
        <v>20.0</v>
      </c>
      <c r="AB166" s="3">
        <f t="shared" si="7"/>
        <v>1</v>
      </c>
      <c r="AC166" s="3">
        <f t="shared" si="8"/>
        <v>0</v>
      </c>
      <c r="AD166" s="3">
        <f t="shared" si="9"/>
        <v>2.419354839</v>
      </c>
      <c r="AE166" s="3">
        <f t="shared" si="10"/>
        <v>-3</v>
      </c>
      <c r="AF166" s="3">
        <f t="shared" si="11"/>
        <v>-3</v>
      </c>
      <c r="AG166" s="3">
        <f t="shared" si="12"/>
        <v>-0.3793103448</v>
      </c>
    </row>
    <row r="167">
      <c r="A167" s="1" t="s">
        <v>14</v>
      </c>
      <c r="B167" s="1" t="s">
        <v>621</v>
      </c>
      <c r="C167" s="1" t="s">
        <v>21</v>
      </c>
      <c r="D167" s="1" t="s">
        <v>66</v>
      </c>
      <c r="E167" s="1" t="s">
        <v>99</v>
      </c>
      <c r="F167" s="1" t="s">
        <v>670</v>
      </c>
      <c r="G167" s="1">
        <v>0.5</v>
      </c>
      <c r="H167" s="1" t="s">
        <v>60</v>
      </c>
      <c r="I167" s="1">
        <v>-197.0</v>
      </c>
      <c r="J167" s="1">
        <v>-0.182098221750841</v>
      </c>
      <c r="K167" s="1" t="s">
        <v>61</v>
      </c>
      <c r="L167" s="1" t="s">
        <v>61</v>
      </c>
      <c r="M167" s="1" t="s">
        <v>62</v>
      </c>
      <c r="N167" s="1">
        <v>148.0</v>
      </c>
      <c r="O167" s="1">
        <v>0.115572467177419</v>
      </c>
      <c r="P167" s="1" t="s">
        <v>61</v>
      </c>
      <c r="Q167" s="1" t="s">
        <v>61</v>
      </c>
      <c r="R167" s="1">
        <f t="shared" si="1"/>
        <v>0.1155724672</v>
      </c>
      <c r="S167" s="1">
        <f t="shared" si="2"/>
        <v>148</v>
      </c>
      <c r="T167" s="1">
        <f t="shared" si="3"/>
        <v>2.48</v>
      </c>
      <c r="U167" s="1">
        <f t="shared" si="4"/>
        <v>0</v>
      </c>
      <c r="V167" s="3">
        <f t="shared" si="5"/>
        <v>3</v>
      </c>
      <c r="W167" s="3">
        <f t="shared" si="6"/>
        <v>1</v>
      </c>
      <c r="X167" s="3" t="str">
        <f>IFERROR(__xludf.DUMMYFUNCTION("split(B167,"" "")"),"D.")</f>
        <v>D.</v>
      </c>
      <c r="Y167" s="3" t="str">
        <f>IFERROR(__xludf.DUMMYFUNCTION("""COMPUTED_VALUE"""),"Maye")</f>
        <v>Maye</v>
      </c>
      <c r="AA167" s="8">
        <v>1.0</v>
      </c>
      <c r="AB167" s="3">
        <f t="shared" si="7"/>
        <v>1</v>
      </c>
      <c r="AC167" s="3">
        <f t="shared" si="8"/>
        <v>0</v>
      </c>
      <c r="AD167" s="3">
        <f t="shared" si="9"/>
        <v>4.44</v>
      </c>
      <c r="AE167" s="3">
        <f t="shared" si="10"/>
        <v>-3</v>
      </c>
      <c r="AF167" s="3">
        <f t="shared" si="11"/>
        <v>-1</v>
      </c>
      <c r="AG167" s="3">
        <f t="shared" si="12"/>
        <v>-1</v>
      </c>
    </row>
    <row r="168">
      <c r="A168" s="1" t="s">
        <v>17</v>
      </c>
      <c r="B168" s="1" t="s">
        <v>621</v>
      </c>
      <c r="C168" s="1" t="s">
        <v>21</v>
      </c>
      <c r="D168" s="1" t="s">
        <v>66</v>
      </c>
      <c r="E168" s="1" t="s">
        <v>99</v>
      </c>
      <c r="F168" s="1" t="s">
        <v>670</v>
      </c>
      <c r="G168" s="1">
        <v>0.5</v>
      </c>
      <c r="H168" s="1" t="s">
        <v>60</v>
      </c>
      <c r="I168" s="1">
        <v>-155.0</v>
      </c>
      <c r="J168" s="1">
        <v>-0.155303921568627</v>
      </c>
      <c r="K168" s="1" t="s">
        <v>61</v>
      </c>
      <c r="L168" s="1" t="s">
        <v>61</v>
      </c>
      <c r="M168" s="1" t="s">
        <v>62</v>
      </c>
      <c r="N168" s="1">
        <v>118.0</v>
      </c>
      <c r="O168" s="1">
        <v>0.0887385321100917</v>
      </c>
      <c r="P168" s="1" t="s">
        <v>61</v>
      </c>
      <c r="Q168" s="1" t="s">
        <v>61</v>
      </c>
      <c r="R168" s="1">
        <f t="shared" si="1"/>
        <v>0.08873853211</v>
      </c>
      <c r="S168" s="1">
        <f t="shared" si="2"/>
        <v>118</v>
      </c>
      <c r="T168" s="1">
        <f t="shared" si="3"/>
        <v>2.18</v>
      </c>
      <c r="U168" s="1">
        <f t="shared" si="4"/>
        <v>0</v>
      </c>
      <c r="V168" s="3">
        <f t="shared" si="5"/>
        <v>2</v>
      </c>
      <c r="W168" s="3">
        <f t="shared" si="6"/>
        <v>1</v>
      </c>
      <c r="X168" s="3" t="str">
        <f>IFERROR(__xludf.DUMMYFUNCTION("split(B168,"" "")"),"D.")</f>
        <v>D.</v>
      </c>
      <c r="Y168" s="3" t="str">
        <f>IFERROR(__xludf.DUMMYFUNCTION("""COMPUTED_VALUE"""),"Maye")</f>
        <v>Maye</v>
      </c>
      <c r="AA168" s="8">
        <v>1.0</v>
      </c>
      <c r="AB168" s="3">
        <f t="shared" si="7"/>
        <v>1</v>
      </c>
      <c r="AC168" s="3">
        <f t="shared" si="8"/>
        <v>0</v>
      </c>
      <c r="AD168" s="3">
        <f t="shared" si="9"/>
        <v>2.36</v>
      </c>
      <c r="AE168" s="3">
        <f t="shared" si="10"/>
        <v>-2</v>
      </c>
      <c r="AF168" s="3">
        <f t="shared" si="11"/>
        <v>-1</v>
      </c>
      <c r="AG168" s="3">
        <f t="shared" si="12"/>
        <v>-1</v>
      </c>
    </row>
    <row r="169">
      <c r="A169" s="1" t="s">
        <v>12</v>
      </c>
      <c r="B169" s="1" t="s">
        <v>597</v>
      </c>
      <c r="C169" s="1" t="s">
        <v>18</v>
      </c>
      <c r="D169" s="1" t="s">
        <v>66</v>
      </c>
      <c r="E169" s="1" t="s">
        <v>99</v>
      </c>
      <c r="F169" s="1" t="s">
        <v>670</v>
      </c>
      <c r="G169" s="1">
        <v>2.5</v>
      </c>
      <c r="H169" s="1" t="s">
        <v>60</v>
      </c>
      <c r="I169" s="1">
        <v>131.0</v>
      </c>
      <c r="J169" s="1">
        <v>-0.135351384131168</v>
      </c>
      <c r="K169" s="1" t="s">
        <v>61</v>
      </c>
      <c r="L169" s="1" t="s">
        <v>61</v>
      </c>
      <c r="M169" s="1" t="s">
        <v>62</v>
      </c>
      <c r="N169" s="1">
        <v>-173.0</v>
      </c>
      <c r="O169" s="1">
        <v>0.0687573012340658</v>
      </c>
      <c r="P169" s="1" t="s">
        <v>61</v>
      </c>
      <c r="Q169" s="1" t="s">
        <v>61</v>
      </c>
      <c r="R169" s="1">
        <f t="shared" si="1"/>
        <v>0.06875730123</v>
      </c>
      <c r="S169" s="1">
        <f t="shared" si="2"/>
        <v>-173</v>
      </c>
      <c r="T169" s="1">
        <f t="shared" si="3"/>
        <v>1.578034682</v>
      </c>
      <c r="U169" s="1">
        <f t="shared" si="4"/>
        <v>0</v>
      </c>
      <c r="V169" s="3">
        <f t="shared" si="5"/>
        <v>2</v>
      </c>
      <c r="W169" s="3">
        <f t="shared" si="6"/>
        <v>3</v>
      </c>
      <c r="X169" s="3" t="str">
        <f>IFERROR(__xludf.DUMMYFUNCTION("split(B169,"" "")"),"K.")</f>
        <v>K.</v>
      </c>
      <c r="Y169" s="3" t="str">
        <f>IFERROR(__xludf.DUMMYFUNCTION("""COMPUTED_VALUE"""),"Bourne")</f>
        <v>Bourne</v>
      </c>
      <c r="AA169" s="8">
        <v>0.0</v>
      </c>
      <c r="AB169" s="3">
        <f t="shared" si="7"/>
        <v>0</v>
      </c>
      <c r="AC169" s="3">
        <f t="shared" si="8"/>
        <v>1</v>
      </c>
      <c r="AD169" s="3">
        <f t="shared" si="9"/>
        <v>1.156069364</v>
      </c>
      <c r="AE169" s="3">
        <f t="shared" si="10"/>
        <v>1.156069364</v>
      </c>
      <c r="AF169" s="3">
        <f t="shared" si="11"/>
        <v>1.734104046</v>
      </c>
      <c r="AG169" s="3">
        <f t="shared" si="12"/>
        <v>1</v>
      </c>
    </row>
    <row r="170">
      <c r="A170" s="1" t="s">
        <v>9</v>
      </c>
      <c r="B170" s="1" t="s">
        <v>476</v>
      </c>
      <c r="C170" s="1" t="s">
        <v>19</v>
      </c>
      <c r="D170" s="1" t="s">
        <v>66</v>
      </c>
      <c r="E170" s="1" t="s">
        <v>99</v>
      </c>
      <c r="F170" s="1" t="s">
        <v>670</v>
      </c>
      <c r="G170" s="1">
        <v>76.5</v>
      </c>
      <c r="H170" s="1" t="s">
        <v>60</v>
      </c>
      <c r="I170" s="1">
        <v>-115.0</v>
      </c>
      <c r="J170" s="1">
        <v>-0.139875017035335</v>
      </c>
      <c r="K170" s="1" t="s">
        <v>61</v>
      </c>
      <c r="L170" s="1" t="s">
        <v>61</v>
      </c>
      <c r="M170" s="1" t="s">
        <v>62</v>
      </c>
      <c r="N170" s="1">
        <v>-117.0</v>
      </c>
      <c r="O170" s="1">
        <v>0.0657875600702242</v>
      </c>
      <c r="P170" s="1" t="s">
        <v>61</v>
      </c>
      <c r="Q170" s="1" t="s">
        <v>61</v>
      </c>
      <c r="R170" s="1">
        <f t="shared" si="1"/>
        <v>0.06578756007</v>
      </c>
      <c r="S170" s="1">
        <f t="shared" si="2"/>
        <v>-117</v>
      </c>
      <c r="T170" s="1">
        <f t="shared" si="3"/>
        <v>1.854700855</v>
      </c>
      <c r="U170" s="1">
        <f t="shared" si="4"/>
        <v>0</v>
      </c>
      <c r="V170" s="3">
        <f t="shared" si="5"/>
        <v>2</v>
      </c>
      <c r="W170" s="3">
        <f t="shared" si="6"/>
        <v>2</v>
      </c>
      <c r="X170" s="3" t="str">
        <f>IFERROR(__xludf.DUMMYFUNCTION("split(B170,"" "")"),"R.")</f>
        <v>R.</v>
      </c>
      <c r="Y170" s="3" t="str">
        <f>IFERROR(__xludf.DUMMYFUNCTION("""COMPUTED_VALUE"""),"Stevenson")</f>
        <v>Stevenson</v>
      </c>
      <c r="AA170" s="8">
        <v>77.0</v>
      </c>
      <c r="AB170" s="3">
        <f t="shared" si="7"/>
        <v>1</v>
      </c>
      <c r="AC170" s="3">
        <f t="shared" si="8"/>
        <v>0</v>
      </c>
      <c r="AD170" s="3">
        <f t="shared" si="9"/>
        <v>1.709401709</v>
      </c>
      <c r="AE170" s="3">
        <f t="shared" si="10"/>
        <v>-2</v>
      </c>
      <c r="AF170" s="3">
        <f t="shared" si="11"/>
        <v>-2</v>
      </c>
      <c r="AG170" s="3">
        <f t="shared" si="12"/>
        <v>-0.006535947712</v>
      </c>
    </row>
    <row r="171">
      <c r="A171" s="1" t="s">
        <v>8</v>
      </c>
      <c r="B171" s="1" t="s">
        <v>621</v>
      </c>
      <c r="C171" s="1" t="s">
        <v>21</v>
      </c>
      <c r="D171" s="1" t="s">
        <v>66</v>
      </c>
      <c r="E171" s="1" t="s">
        <v>99</v>
      </c>
      <c r="F171" s="1" t="s">
        <v>670</v>
      </c>
      <c r="G171" s="1">
        <v>5.5</v>
      </c>
      <c r="H171" s="1" t="s">
        <v>60</v>
      </c>
      <c r="I171" s="1">
        <v>107.0</v>
      </c>
      <c r="J171" s="1">
        <v>-0.135983194088154</v>
      </c>
      <c r="K171" s="1" t="s">
        <v>61</v>
      </c>
      <c r="L171" s="1" t="s">
        <v>61</v>
      </c>
      <c r="M171" s="1" t="s">
        <v>62</v>
      </c>
      <c r="N171" s="1">
        <v>-143.0</v>
      </c>
      <c r="O171" s="1">
        <v>0.0644128505904946</v>
      </c>
      <c r="P171" s="1" t="s">
        <v>61</v>
      </c>
      <c r="Q171" s="1" t="s">
        <v>61</v>
      </c>
      <c r="R171" s="1">
        <f t="shared" si="1"/>
        <v>0.06441285059</v>
      </c>
      <c r="S171" s="1">
        <f t="shared" si="2"/>
        <v>-143</v>
      </c>
      <c r="T171" s="1">
        <f t="shared" si="3"/>
        <v>1.699300699</v>
      </c>
      <c r="U171" s="1">
        <f t="shared" si="4"/>
        <v>0</v>
      </c>
      <c r="V171" s="3">
        <f t="shared" si="5"/>
        <v>2</v>
      </c>
      <c r="W171" s="3">
        <f t="shared" si="6"/>
        <v>3</v>
      </c>
      <c r="X171" s="3" t="str">
        <f>IFERROR(__xludf.DUMMYFUNCTION("split(B171,"" "")"),"D.")</f>
        <v>D.</v>
      </c>
      <c r="Y171" s="3" t="str">
        <f>IFERROR(__xludf.DUMMYFUNCTION("""COMPUTED_VALUE"""),"Maye")</f>
        <v>Maye</v>
      </c>
      <c r="AA171" s="8">
        <v>4.0</v>
      </c>
      <c r="AB171" s="3">
        <f t="shared" si="7"/>
        <v>0</v>
      </c>
      <c r="AC171" s="3">
        <f t="shared" si="8"/>
        <v>1</v>
      </c>
      <c r="AD171" s="3">
        <f t="shared" si="9"/>
        <v>1.398601399</v>
      </c>
      <c r="AE171" s="3">
        <f t="shared" si="10"/>
        <v>1.398601399</v>
      </c>
      <c r="AF171" s="3">
        <f t="shared" si="11"/>
        <v>2.097902098</v>
      </c>
      <c r="AG171" s="3">
        <f t="shared" si="12"/>
        <v>0.2727272727</v>
      </c>
    </row>
    <row r="172">
      <c r="A172" s="1" t="s">
        <v>10</v>
      </c>
      <c r="B172" s="1" t="s">
        <v>476</v>
      </c>
      <c r="C172" s="1" t="s">
        <v>19</v>
      </c>
      <c r="D172" s="1" t="s">
        <v>66</v>
      </c>
      <c r="E172" s="1" t="s">
        <v>99</v>
      </c>
      <c r="F172" s="1" t="s">
        <v>670</v>
      </c>
      <c r="G172" s="1">
        <v>56.5</v>
      </c>
      <c r="H172" s="1" t="s">
        <v>60</v>
      </c>
      <c r="I172" s="1">
        <v>-121.0</v>
      </c>
      <c r="J172" s="1">
        <v>-0.130025536404243</v>
      </c>
      <c r="K172" s="1" t="s">
        <v>61</v>
      </c>
      <c r="L172" s="1" t="s">
        <v>61</v>
      </c>
      <c r="M172" s="1" t="s">
        <v>62</v>
      </c>
      <c r="N172" s="1">
        <v>-109.0</v>
      </c>
      <c r="O172" s="1">
        <v>0.0609677468353465</v>
      </c>
      <c r="P172" s="1" t="s">
        <v>61</v>
      </c>
      <c r="Q172" s="1" t="s">
        <v>61</v>
      </c>
      <c r="R172" s="1">
        <f t="shared" si="1"/>
        <v>0.06096774684</v>
      </c>
      <c r="S172" s="1">
        <f t="shared" si="2"/>
        <v>-109</v>
      </c>
      <c r="T172" s="1">
        <f t="shared" si="3"/>
        <v>1.917431193</v>
      </c>
      <c r="U172" s="1">
        <f t="shared" si="4"/>
        <v>0</v>
      </c>
      <c r="V172" s="3">
        <f t="shared" si="5"/>
        <v>2</v>
      </c>
      <c r="W172" s="3">
        <f t="shared" si="6"/>
        <v>2</v>
      </c>
      <c r="X172" s="3" t="str">
        <f>IFERROR(__xludf.DUMMYFUNCTION("split(B172,"" "")"),"R.")</f>
        <v>R.</v>
      </c>
      <c r="Y172" s="3" t="str">
        <f>IFERROR(__xludf.DUMMYFUNCTION("""COMPUTED_VALUE"""),"Stevenson")</f>
        <v>Stevenson</v>
      </c>
      <c r="AA172" s="8">
        <v>74.0</v>
      </c>
      <c r="AB172" s="3">
        <f t="shared" si="7"/>
        <v>1</v>
      </c>
      <c r="AC172" s="3">
        <f t="shared" si="8"/>
        <v>0</v>
      </c>
      <c r="AD172" s="3">
        <f t="shared" si="9"/>
        <v>1.834862385</v>
      </c>
      <c r="AE172" s="3">
        <f t="shared" si="10"/>
        <v>-2</v>
      </c>
      <c r="AF172" s="3">
        <f t="shared" si="11"/>
        <v>-2</v>
      </c>
      <c r="AG172" s="3">
        <f t="shared" si="12"/>
        <v>-0.3097345133</v>
      </c>
    </row>
    <row r="173">
      <c r="A173" s="1" t="s">
        <v>15</v>
      </c>
      <c r="B173" s="1" t="s">
        <v>621</v>
      </c>
      <c r="C173" s="1" t="s">
        <v>21</v>
      </c>
      <c r="D173" s="1" t="s">
        <v>66</v>
      </c>
      <c r="E173" s="1" t="s">
        <v>99</v>
      </c>
      <c r="F173" s="1" t="s">
        <v>670</v>
      </c>
      <c r="G173" s="1">
        <v>18.5</v>
      </c>
      <c r="H173" s="1" t="s">
        <v>60</v>
      </c>
      <c r="I173" s="1">
        <v>-110.0</v>
      </c>
      <c r="J173" s="1">
        <v>-0.124608992190476</v>
      </c>
      <c r="K173" s="1" t="s">
        <v>61</v>
      </c>
      <c r="L173" s="1" t="s">
        <v>61</v>
      </c>
      <c r="M173" s="1" t="s">
        <v>62</v>
      </c>
      <c r="N173" s="1">
        <v>-119.0</v>
      </c>
      <c r="O173" s="1">
        <v>0.0574203979378996</v>
      </c>
      <c r="P173" s="1" t="s">
        <v>61</v>
      </c>
      <c r="Q173" s="1" t="s">
        <v>61</v>
      </c>
      <c r="R173" s="1">
        <f t="shared" si="1"/>
        <v>0.05742039794</v>
      </c>
      <c r="S173" s="1">
        <f t="shared" si="2"/>
        <v>-119</v>
      </c>
      <c r="T173" s="1">
        <f t="shared" si="3"/>
        <v>1.840336134</v>
      </c>
      <c r="U173" s="1">
        <f t="shared" si="4"/>
        <v>0</v>
      </c>
      <c r="V173" s="3">
        <f t="shared" si="5"/>
        <v>2</v>
      </c>
      <c r="W173" s="3">
        <f t="shared" si="6"/>
        <v>3</v>
      </c>
      <c r="X173" s="3" t="str">
        <f>IFERROR(__xludf.DUMMYFUNCTION("split(B173,"" "")"),"D.")</f>
        <v>D.</v>
      </c>
      <c r="Y173" s="3" t="str">
        <f>IFERROR(__xludf.DUMMYFUNCTION("""COMPUTED_VALUE"""),"Maye")</f>
        <v>Maye</v>
      </c>
      <c r="AA173" s="8">
        <v>15.0</v>
      </c>
      <c r="AB173" s="3">
        <f t="shared" si="7"/>
        <v>0</v>
      </c>
      <c r="AC173" s="3">
        <f t="shared" si="8"/>
        <v>1</v>
      </c>
      <c r="AD173" s="3">
        <f t="shared" si="9"/>
        <v>1.680672269</v>
      </c>
      <c r="AE173" s="3">
        <f t="shared" si="10"/>
        <v>1.680672269</v>
      </c>
      <c r="AF173" s="3">
        <f t="shared" si="11"/>
        <v>2.521008403</v>
      </c>
      <c r="AG173" s="3">
        <f t="shared" si="12"/>
        <v>0.1891891892</v>
      </c>
    </row>
    <row r="174">
      <c r="A174" s="1" t="s">
        <v>12</v>
      </c>
      <c r="B174" s="1" t="s">
        <v>383</v>
      </c>
      <c r="C174" s="1" t="s">
        <v>19</v>
      </c>
      <c r="D174" s="1" t="s">
        <v>66</v>
      </c>
      <c r="E174" s="1" t="s">
        <v>99</v>
      </c>
      <c r="F174" s="1" t="s">
        <v>670</v>
      </c>
      <c r="G174" s="1">
        <v>0.5</v>
      </c>
      <c r="H174" s="1" t="s">
        <v>60</v>
      </c>
      <c r="I174" s="1">
        <v>-218.0</v>
      </c>
      <c r="J174" s="1">
        <v>-0.126863671047484</v>
      </c>
      <c r="K174" s="1" t="s">
        <v>61</v>
      </c>
      <c r="L174" s="1" t="s">
        <v>61</v>
      </c>
      <c r="M174" s="1" t="s">
        <v>62</v>
      </c>
      <c r="N174" s="1">
        <v>158.0</v>
      </c>
      <c r="O174" s="1">
        <v>0.0537389433841085</v>
      </c>
      <c r="P174" s="1" t="s">
        <v>61</v>
      </c>
      <c r="Q174" s="1" t="s">
        <v>61</v>
      </c>
      <c r="R174" s="1">
        <f t="shared" si="1"/>
        <v>0.05373894338</v>
      </c>
      <c r="S174" s="1">
        <f t="shared" si="2"/>
        <v>158</v>
      </c>
      <c r="T174" s="1">
        <f t="shared" si="3"/>
        <v>2.58</v>
      </c>
      <c r="U174" s="1">
        <f t="shared" si="4"/>
        <v>0</v>
      </c>
      <c r="V174" s="3">
        <f t="shared" si="5"/>
        <v>2</v>
      </c>
      <c r="W174" s="3">
        <f t="shared" si="6"/>
        <v>1</v>
      </c>
      <c r="X174" s="3" t="str">
        <f>IFERROR(__xludf.DUMMYFUNCTION("split(B174,"" "")"),"A.")</f>
        <v>A.</v>
      </c>
      <c r="Y174" s="3" t="str">
        <f>IFERROR(__xludf.DUMMYFUNCTION("""COMPUTED_VALUE"""),"Gibson")</f>
        <v>Gibson</v>
      </c>
      <c r="AA174" s="8">
        <v>0.0</v>
      </c>
      <c r="AB174" s="3">
        <f t="shared" si="7"/>
        <v>0</v>
      </c>
      <c r="AC174" s="3">
        <f t="shared" si="8"/>
        <v>1</v>
      </c>
      <c r="AD174" s="3">
        <f t="shared" si="9"/>
        <v>3.16</v>
      </c>
      <c r="AE174" s="3">
        <f t="shared" si="10"/>
        <v>3.16</v>
      </c>
      <c r="AF174" s="3">
        <f t="shared" si="11"/>
        <v>1.58</v>
      </c>
      <c r="AG174" s="3">
        <f t="shared" si="12"/>
        <v>1</v>
      </c>
    </row>
    <row r="175">
      <c r="A175" s="1" t="s">
        <v>16</v>
      </c>
      <c r="B175" s="1" t="s">
        <v>621</v>
      </c>
      <c r="C175" s="1" t="s">
        <v>21</v>
      </c>
      <c r="D175" s="1" t="s">
        <v>66</v>
      </c>
      <c r="E175" s="1" t="s">
        <v>99</v>
      </c>
      <c r="F175" s="1" t="s">
        <v>670</v>
      </c>
      <c r="G175" s="1">
        <v>30.5</v>
      </c>
      <c r="H175" s="1" t="s">
        <v>60</v>
      </c>
      <c r="I175" s="1">
        <v>-105.0</v>
      </c>
      <c r="J175" s="1">
        <v>-0.120893286682926</v>
      </c>
      <c r="K175" s="1" t="s">
        <v>61</v>
      </c>
      <c r="L175" s="1" t="s">
        <v>61</v>
      </c>
      <c r="M175" s="1" t="s">
        <v>62</v>
      </c>
      <c r="N175" s="1">
        <v>-126.0</v>
      </c>
      <c r="O175" s="1">
        <v>0.0511757785407077</v>
      </c>
      <c r="P175" s="1" t="s">
        <v>61</v>
      </c>
      <c r="Q175" s="1" t="s">
        <v>61</v>
      </c>
      <c r="R175" s="1">
        <f t="shared" si="1"/>
        <v>0.05117577854</v>
      </c>
      <c r="S175" s="1">
        <f t="shared" si="2"/>
        <v>-126</v>
      </c>
      <c r="T175" s="1">
        <f t="shared" si="3"/>
        <v>1.793650794</v>
      </c>
      <c r="U175" s="1">
        <f t="shared" si="4"/>
        <v>0</v>
      </c>
      <c r="V175" s="3">
        <f t="shared" si="5"/>
        <v>2</v>
      </c>
      <c r="W175" s="3">
        <f t="shared" si="6"/>
        <v>3</v>
      </c>
      <c r="X175" s="3" t="str">
        <f>IFERROR(__xludf.DUMMYFUNCTION("split(B175,"" "")"),"D.")</f>
        <v>D.</v>
      </c>
      <c r="Y175" s="3" t="str">
        <f>IFERROR(__xludf.DUMMYFUNCTION("""COMPUTED_VALUE"""),"Maye")</f>
        <v>Maye</v>
      </c>
      <c r="AA175" s="8">
        <v>25.0</v>
      </c>
      <c r="AB175" s="3">
        <f t="shared" si="7"/>
        <v>0</v>
      </c>
      <c r="AC175" s="3">
        <f t="shared" si="8"/>
        <v>1</v>
      </c>
      <c r="AD175" s="3">
        <f t="shared" si="9"/>
        <v>1.587301587</v>
      </c>
      <c r="AE175" s="3">
        <f t="shared" si="10"/>
        <v>1.587301587</v>
      </c>
      <c r="AF175" s="3">
        <f t="shared" si="11"/>
        <v>2.380952381</v>
      </c>
      <c r="AG175" s="3">
        <f t="shared" si="12"/>
        <v>0.1803278689</v>
      </c>
    </row>
    <row r="176">
      <c r="A176" s="1" t="s">
        <v>11</v>
      </c>
      <c r="B176" s="1" t="s">
        <v>140</v>
      </c>
      <c r="C176" s="1" t="s">
        <v>20</v>
      </c>
      <c r="D176" s="1" t="s">
        <v>66</v>
      </c>
      <c r="E176" s="1" t="s">
        <v>99</v>
      </c>
      <c r="F176" s="1" t="s">
        <v>670</v>
      </c>
      <c r="G176" s="1">
        <v>40.5</v>
      </c>
      <c r="H176" s="1" t="s">
        <v>60</v>
      </c>
      <c r="I176" s="1">
        <v>-116.0</v>
      </c>
      <c r="J176" s="1">
        <v>-0.118398891438426</v>
      </c>
      <c r="K176" s="1" t="s">
        <v>61</v>
      </c>
      <c r="L176" s="1" t="s">
        <v>61</v>
      </c>
      <c r="M176" s="1" t="s">
        <v>62</v>
      </c>
      <c r="N176" s="1">
        <v>-113.0</v>
      </c>
      <c r="O176" s="1">
        <v>0.0508100172642582</v>
      </c>
      <c r="P176" s="1" t="s">
        <v>61</v>
      </c>
      <c r="Q176" s="1" t="s">
        <v>61</v>
      </c>
      <c r="R176" s="1">
        <f t="shared" si="1"/>
        <v>0.05081001726</v>
      </c>
      <c r="S176" s="1">
        <f t="shared" si="2"/>
        <v>-113</v>
      </c>
      <c r="T176" s="1">
        <f t="shared" si="3"/>
        <v>1.884955752</v>
      </c>
      <c r="U176" s="1">
        <f t="shared" si="4"/>
        <v>0</v>
      </c>
      <c r="V176" s="3">
        <f t="shared" si="5"/>
        <v>2</v>
      </c>
      <c r="W176" s="3">
        <f t="shared" si="6"/>
        <v>2</v>
      </c>
      <c r="X176" s="3" t="str">
        <f>IFERROR(__xludf.DUMMYFUNCTION("split(B176,"" "")"),"H.")</f>
        <v>H.</v>
      </c>
      <c r="Y176" s="3" t="str">
        <f>IFERROR(__xludf.DUMMYFUNCTION("""COMPUTED_VALUE"""),"Henry")</f>
        <v>Henry</v>
      </c>
      <c r="AA176" s="8">
        <v>14.0</v>
      </c>
      <c r="AB176" s="3">
        <f t="shared" si="7"/>
        <v>0</v>
      </c>
      <c r="AC176" s="3">
        <f t="shared" si="8"/>
        <v>1</v>
      </c>
      <c r="AD176" s="3">
        <f t="shared" si="9"/>
        <v>1.769911504</v>
      </c>
      <c r="AE176" s="3">
        <f t="shared" si="10"/>
        <v>1.769911504</v>
      </c>
      <c r="AF176" s="3">
        <f t="shared" si="11"/>
        <v>1.769911504</v>
      </c>
      <c r="AG176" s="3">
        <f t="shared" si="12"/>
        <v>0.6543209877</v>
      </c>
    </row>
    <row r="177">
      <c r="A177" s="1" t="s">
        <v>12</v>
      </c>
      <c r="B177" s="1" t="s">
        <v>552</v>
      </c>
      <c r="C177" s="1" t="s">
        <v>20</v>
      </c>
      <c r="D177" s="1" t="s">
        <v>66</v>
      </c>
      <c r="E177" s="1" t="s">
        <v>99</v>
      </c>
      <c r="F177" s="1" t="s">
        <v>670</v>
      </c>
      <c r="G177" s="1">
        <v>1.5</v>
      </c>
      <c r="H177" s="1" t="s">
        <v>60</v>
      </c>
      <c r="I177" s="1">
        <v>109.0</v>
      </c>
      <c r="J177" s="1">
        <v>-0.113962907489425</v>
      </c>
      <c r="K177" s="1" t="s">
        <v>61</v>
      </c>
      <c r="L177" s="1" t="s">
        <v>61</v>
      </c>
      <c r="M177" s="1" t="s">
        <v>62</v>
      </c>
      <c r="N177" s="1">
        <v>-143.0</v>
      </c>
      <c r="O177" s="1">
        <v>0.0470287090322221</v>
      </c>
      <c r="P177" s="1" t="s">
        <v>61</v>
      </c>
      <c r="Q177" s="1" t="s">
        <v>61</v>
      </c>
      <c r="R177" s="1">
        <f t="shared" si="1"/>
        <v>0.04702870903</v>
      </c>
      <c r="S177" s="1">
        <f t="shared" si="2"/>
        <v>-143</v>
      </c>
      <c r="T177" s="1">
        <f t="shared" si="3"/>
        <v>1.699300699</v>
      </c>
      <c r="U177" s="1">
        <f t="shared" si="4"/>
        <v>0</v>
      </c>
      <c r="V177" s="3">
        <f t="shared" si="5"/>
        <v>1</v>
      </c>
      <c r="W177" s="3">
        <f t="shared" si="6"/>
        <v>3</v>
      </c>
      <c r="X177" s="3" t="str">
        <f>IFERROR(__xludf.DUMMYFUNCTION("split(B177,"" "")"),"A.")</f>
        <v>A.</v>
      </c>
      <c r="Y177" s="3" t="str">
        <f>IFERROR(__xludf.DUMMYFUNCTION("""COMPUTED_VALUE"""),"Hooper")</f>
        <v>Hooper</v>
      </c>
      <c r="AA177" s="8">
        <v>3.0</v>
      </c>
      <c r="AB177" s="3">
        <f t="shared" si="7"/>
        <v>1</v>
      </c>
      <c r="AC177" s="3">
        <f t="shared" si="8"/>
        <v>0</v>
      </c>
      <c r="AD177" s="3">
        <f t="shared" si="9"/>
        <v>0.6993006993</v>
      </c>
      <c r="AE177" s="3">
        <f t="shared" si="10"/>
        <v>-1</v>
      </c>
      <c r="AF177" s="3">
        <f t="shared" si="11"/>
        <v>-3</v>
      </c>
      <c r="AG177" s="3">
        <f t="shared" si="12"/>
        <v>-1</v>
      </c>
    </row>
    <row r="178">
      <c r="A178" s="1" t="s">
        <v>12</v>
      </c>
      <c r="B178" s="1" t="s">
        <v>131</v>
      </c>
      <c r="C178" s="1" t="s">
        <v>18</v>
      </c>
      <c r="D178" s="1" t="s">
        <v>66</v>
      </c>
      <c r="E178" s="1" t="s">
        <v>99</v>
      </c>
      <c r="F178" s="1" t="s">
        <v>670</v>
      </c>
      <c r="G178" s="1">
        <v>3.5</v>
      </c>
      <c r="H178" s="1" t="s">
        <v>60</v>
      </c>
      <c r="I178" s="1">
        <v>-106.0</v>
      </c>
      <c r="J178" s="1">
        <v>-0.110760194174757</v>
      </c>
      <c r="K178" s="1" t="s">
        <v>61</v>
      </c>
      <c r="L178" s="1" t="s">
        <v>61</v>
      </c>
      <c r="M178" s="1" t="s">
        <v>62</v>
      </c>
      <c r="N178" s="1">
        <v>-124.0</v>
      </c>
      <c r="O178" s="1">
        <v>0.0426392857142856</v>
      </c>
      <c r="P178" s="1" t="s">
        <v>61</v>
      </c>
      <c r="Q178" s="1" t="s">
        <v>61</v>
      </c>
      <c r="R178" s="1">
        <f t="shared" si="1"/>
        <v>0.04263928571</v>
      </c>
      <c r="S178" s="1">
        <f t="shared" si="2"/>
        <v>-124</v>
      </c>
      <c r="T178" s="1">
        <f t="shared" si="3"/>
        <v>1.806451613</v>
      </c>
      <c r="U178" s="1">
        <f t="shared" si="4"/>
        <v>0</v>
      </c>
      <c r="V178" s="3">
        <f t="shared" si="5"/>
        <v>1</v>
      </c>
      <c r="W178" s="3">
        <f t="shared" si="6"/>
        <v>3</v>
      </c>
      <c r="X178" s="3" t="str">
        <f>IFERROR(__xludf.DUMMYFUNCTION("split(B178,"" "")"),"D.")</f>
        <v>D.</v>
      </c>
      <c r="Y178" s="3" t="str">
        <f>IFERROR(__xludf.DUMMYFUNCTION("""COMPUTED_VALUE"""),"Douglas")</f>
        <v>Douglas</v>
      </c>
      <c r="AA178" s="8">
        <v>4.0</v>
      </c>
      <c r="AB178" s="3">
        <f t="shared" si="7"/>
        <v>1</v>
      </c>
      <c r="AC178" s="3">
        <f t="shared" si="8"/>
        <v>0</v>
      </c>
      <c r="AD178" s="3">
        <f t="shared" si="9"/>
        <v>0.8064516129</v>
      </c>
      <c r="AE178" s="3">
        <f t="shared" si="10"/>
        <v>-1</v>
      </c>
      <c r="AF178" s="3">
        <f t="shared" si="11"/>
        <v>-3</v>
      </c>
      <c r="AG178" s="3">
        <f t="shared" si="12"/>
        <v>-0.1428571429</v>
      </c>
    </row>
    <row r="179">
      <c r="A179" s="1" t="s">
        <v>10</v>
      </c>
      <c r="B179" s="1" t="s">
        <v>621</v>
      </c>
      <c r="C179" s="1" t="s">
        <v>21</v>
      </c>
      <c r="D179" s="1" t="s">
        <v>66</v>
      </c>
      <c r="E179" s="1" t="s">
        <v>99</v>
      </c>
      <c r="F179" s="1" t="s">
        <v>670</v>
      </c>
      <c r="G179" s="1">
        <v>30.5</v>
      </c>
      <c r="H179" s="1" t="s">
        <v>60</v>
      </c>
      <c r="I179" s="1">
        <v>-126.0</v>
      </c>
      <c r="J179" s="1">
        <v>-0.0881854064641334</v>
      </c>
      <c r="K179" s="1" t="s">
        <v>61</v>
      </c>
      <c r="L179" s="1" t="s">
        <v>61</v>
      </c>
      <c r="M179" s="1" t="s">
        <v>62</v>
      </c>
      <c r="N179" s="1">
        <v>-106.0</v>
      </c>
      <c r="O179" s="1">
        <v>0.0161593590900377</v>
      </c>
      <c r="P179" s="1" t="s">
        <v>61</v>
      </c>
      <c r="Q179" s="1" t="s">
        <v>61</v>
      </c>
      <c r="R179" s="1">
        <f t="shared" si="1"/>
        <v>0.01615935909</v>
      </c>
      <c r="S179" s="1">
        <f t="shared" si="2"/>
        <v>-106</v>
      </c>
      <c r="T179" s="1">
        <f t="shared" si="3"/>
        <v>1.943396226</v>
      </c>
      <c r="U179" s="1">
        <f t="shared" si="4"/>
        <v>0</v>
      </c>
      <c r="V179" s="3">
        <f t="shared" si="5"/>
        <v>1</v>
      </c>
      <c r="W179" s="3">
        <f t="shared" si="6"/>
        <v>2</v>
      </c>
      <c r="X179" s="3" t="str">
        <f>IFERROR(__xludf.DUMMYFUNCTION("split(B179,"" "")"),"D.")</f>
        <v>D.</v>
      </c>
      <c r="Y179" s="3" t="str">
        <f>IFERROR(__xludf.DUMMYFUNCTION("""COMPUTED_VALUE"""),"Maye")</f>
        <v>Maye</v>
      </c>
      <c r="AA179" s="8">
        <v>24.0</v>
      </c>
      <c r="AB179" s="3">
        <f t="shared" si="7"/>
        <v>0</v>
      </c>
      <c r="AC179" s="3">
        <f t="shared" si="8"/>
        <v>1</v>
      </c>
      <c r="AD179" s="3">
        <f t="shared" si="9"/>
        <v>0.9433962264</v>
      </c>
      <c r="AE179" s="3">
        <f t="shared" si="10"/>
        <v>0.9433962264</v>
      </c>
      <c r="AF179" s="3">
        <f t="shared" si="11"/>
        <v>1.886792453</v>
      </c>
      <c r="AG179" s="3">
        <f t="shared" si="12"/>
        <v>0.2131147541</v>
      </c>
    </row>
    <row r="180">
      <c r="A180" s="1" t="s">
        <v>11</v>
      </c>
      <c r="B180" s="1" t="s">
        <v>597</v>
      </c>
      <c r="C180" s="1" t="s">
        <v>18</v>
      </c>
      <c r="D180" s="1" t="s">
        <v>66</v>
      </c>
      <c r="E180" s="1" t="s">
        <v>99</v>
      </c>
      <c r="F180" s="1" t="s">
        <v>670</v>
      </c>
      <c r="G180" s="1">
        <v>21.5</v>
      </c>
      <c r="H180" s="1" t="s">
        <v>60</v>
      </c>
      <c r="I180" s="1">
        <v>-113.0</v>
      </c>
      <c r="J180" s="1">
        <v>-0.0824196060037887</v>
      </c>
      <c r="K180" s="1" t="s">
        <v>61</v>
      </c>
      <c r="L180" s="1" t="s">
        <v>61</v>
      </c>
      <c r="M180" s="1" t="s">
        <v>62</v>
      </c>
      <c r="N180" s="1">
        <v>-116.0</v>
      </c>
      <c r="O180" s="1">
        <v>0.0148953715343338</v>
      </c>
      <c r="P180" s="1" t="s">
        <v>61</v>
      </c>
      <c r="Q180" s="1" t="s">
        <v>61</v>
      </c>
      <c r="R180" s="1">
        <f t="shared" si="1"/>
        <v>0.01489537153</v>
      </c>
      <c r="S180" s="1">
        <f t="shared" si="2"/>
        <v>-116</v>
      </c>
      <c r="T180" s="1">
        <f t="shared" si="3"/>
        <v>1.862068966</v>
      </c>
      <c r="U180" s="1">
        <f t="shared" si="4"/>
        <v>0</v>
      </c>
      <c r="V180" s="3">
        <f t="shared" si="5"/>
        <v>1</v>
      </c>
      <c r="W180" s="3">
        <f t="shared" si="6"/>
        <v>2</v>
      </c>
      <c r="X180" s="3" t="str">
        <f>IFERROR(__xludf.DUMMYFUNCTION("split(B180,"" "")"),"K.")</f>
        <v>K.</v>
      </c>
      <c r="Y180" s="3" t="str">
        <f>IFERROR(__xludf.DUMMYFUNCTION("""COMPUTED_VALUE"""),"Bourne")</f>
        <v>Bourne</v>
      </c>
      <c r="AA180" s="8">
        <v>0.0</v>
      </c>
      <c r="AB180" s="3">
        <f t="shared" si="7"/>
        <v>0</v>
      </c>
      <c r="AC180" s="3">
        <f t="shared" si="8"/>
        <v>1</v>
      </c>
      <c r="AD180" s="3">
        <f t="shared" si="9"/>
        <v>0.8620689655</v>
      </c>
      <c r="AE180" s="3">
        <f t="shared" si="10"/>
        <v>0.8620689655</v>
      </c>
      <c r="AF180" s="3">
        <f t="shared" si="11"/>
        <v>1.724137931</v>
      </c>
      <c r="AG180" s="3">
        <f t="shared" si="12"/>
        <v>1</v>
      </c>
    </row>
    <row r="181">
      <c r="A181" s="1" t="s">
        <v>11</v>
      </c>
      <c r="B181" s="1" t="s">
        <v>131</v>
      </c>
      <c r="C181" s="1" t="s">
        <v>18</v>
      </c>
      <c r="D181" s="1" t="s">
        <v>66</v>
      </c>
      <c r="E181" s="1" t="s">
        <v>99</v>
      </c>
      <c r="F181" s="1" t="s">
        <v>670</v>
      </c>
      <c r="G181" s="1">
        <v>31.5</v>
      </c>
      <c r="H181" s="1" t="s">
        <v>60</v>
      </c>
      <c r="I181" s="1">
        <v>-120.0</v>
      </c>
      <c r="J181" s="1">
        <v>-0.0756114940021817</v>
      </c>
      <c r="K181" s="1" t="s">
        <v>61</v>
      </c>
      <c r="L181" s="1" t="s">
        <v>61</v>
      </c>
      <c r="M181" s="1" t="s">
        <v>62</v>
      </c>
      <c r="N181" s="1">
        <v>-109.0</v>
      </c>
      <c r="O181" s="1">
        <v>0.00866184185513496</v>
      </c>
      <c r="P181" s="1" t="s">
        <v>61</v>
      </c>
      <c r="Q181" s="1" t="s">
        <v>61</v>
      </c>
      <c r="R181" s="1">
        <f t="shared" si="1"/>
        <v>0.008661841855</v>
      </c>
      <c r="S181" s="1">
        <f t="shared" si="2"/>
        <v>-109</v>
      </c>
      <c r="T181" s="1">
        <f t="shared" si="3"/>
        <v>1.917431193</v>
      </c>
      <c r="U181" s="1">
        <f t="shared" si="4"/>
        <v>0</v>
      </c>
      <c r="V181" s="3">
        <f t="shared" si="5"/>
        <v>1</v>
      </c>
      <c r="W181" s="3">
        <f t="shared" si="6"/>
        <v>2</v>
      </c>
      <c r="X181" s="3" t="str">
        <f>IFERROR(__xludf.DUMMYFUNCTION("split(B181,"" "")"),"D.")</f>
        <v>D.</v>
      </c>
      <c r="Y181" s="3" t="str">
        <f>IFERROR(__xludf.DUMMYFUNCTION("""COMPUTED_VALUE"""),"Douglas")</f>
        <v>Douglas</v>
      </c>
      <c r="AA181" s="8">
        <v>50.0</v>
      </c>
      <c r="AB181" s="3">
        <f t="shared" si="7"/>
        <v>1</v>
      </c>
      <c r="AC181" s="3">
        <f t="shared" si="8"/>
        <v>0</v>
      </c>
      <c r="AD181" s="3">
        <f t="shared" si="9"/>
        <v>0.9174311927</v>
      </c>
      <c r="AE181" s="3">
        <f t="shared" si="10"/>
        <v>-1</v>
      </c>
      <c r="AF181" s="3">
        <f t="shared" si="11"/>
        <v>-2</v>
      </c>
      <c r="AG181" s="3">
        <f t="shared" si="12"/>
        <v>-0.5873015873</v>
      </c>
    </row>
    <row r="182">
      <c r="A182" s="1" t="s">
        <v>9</v>
      </c>
      <c r="B182" s="1" t="s">
        <v>131</v>
      </c>
      <c r="C182" s="1" t="s">
        <v>18</v>
      </c>
      <c r="D182" s="1" t="s">
        <v>66</v>
      </c>
      <c r="E182" s="1" t="s">
        <v>99</v>
      </c>
      <c r="F182" s="1" t="s">
        <v>670</v>
      </c>
      <c r="G182" s="1">
        <v>33.5</v>
      </c>
      <c r="H182" s="1" t="s">
        <v>60</v>
      </c>
      <c r="I182" s="1">
        <v>-117.0</v>
      </c>
      <c r="J182" s="1">
        <v>0.0418073945890338</v>
      </c>
      <c r="K182" s="1" t="s">
        <v>61</v>
      </c>
      <c r="L182" s="1" t="s">
        <v>61</v>
      </c>
      <c r="M182" s="1" t="s">
        <v>62</v>
      </c>
      <c r="N182" s="1">
        <v>-115.0</v>
      </c>
      <c r="O182" s="1">
        <v>-0.115890210789271</v>
      </c>
      <c r="P182" s="1" t="s">
        <v>61</v>
      </c>
      <c r="Q182" s="1" t="s">
        <v>61</v>
      </c>
      <c r="R182" s="1">
        <f t="shared" si="1"/>
        <v>0.04180739459</v>
      </c>
      <c r="S182" s="1">
        <f t="shared" si="2"/>
        <v>-117</v>
      </c>
      <c r="T182" s="1">
        <f t="shared" si="3"/>
        <v>1.854700855</v>
      </c>
      <c r="U182" s="1">
        <f t="shared" si="4"/>
        <v>1</v>
      </c>
      <c r="V182" s="3">
        <f t="shared" si="5"/>
        <v>1</v>
      </c>
      <c r="W182" s="3">
        <f t="shared" si="6"/>
        <v>2</v>
      </c>
      <c r="X182" s="3" t="str">
        <f>IFERROR(__xludf.DUMMYFUNCTION("split(B182,"" "")"),"D.")</f>
        <v>D.</v>
      </c>
      <c r="Y182" s="3" t="str">
        <f>IFERROR(__xludf.DUMMYFUNCTION("""COMPUTED_VALUE"""),"Douglas")</f>
        <v>Douglas</v>
      </c>
      <c r="AA182" s="8">
        <v>50.0</v>
      </c>
      <c r="AB182" s="3">
        <f t="shared" si="7"/>
        <v>1</v>
      </c>
      <c r="AC182" s="3">
        <f t="shared" si="8"/>
        <v>1</v>
      </c>
      <c r="AD182" s="3">
        <f t="shared" si="9"/>
        <v>0.8547008547</v>
      </c>
      <c r="AE182" s="3">
        <f t="shared" si="10"/>
        <v>0.8547008547</v>
      </c>
      <c r="AF182" s="3">
        <f t="shared" si="11"/>
        <v>1.709401709</v>
      </c>
      <c r="AG182" s="3">
        <f t="shared" si="12"/>
        <v>0.4925373134</v>
      </c>
    </row>
    <row r="183">
      <c r="A183" s="1" t="s">
        <v>9</v>
      </c>
      <c r="B183" s="1" t="s">
        <v>597</v>
      </c>
      <c r="C183" s="1" t="s">
        <v>18</v>
      </c>
      <c r="D183" s="1" t="s">
        <v>66</v>
      </c>
      <c r="E183" s="1" t="s">
        <v>99</v>
      </c>
      <c r="F183" s="1" t="s">
        <v>670</v>
      </c>
      <c r="G183" s="1">
        <v>22.5</v>
      </c>
      <c r="H183" s="1" t="s">
        <v>60</v>
      </c>
      <c r="I183" s="1">
        <v>-119.0</v>
      </c>
      <c r="J183" s="1">
        <v>0.0486005480464926</v>
      </c>
      <c r="K183" s="1" t="s">
        <v>61</v>
      </c>
      <c r="L183" s="1" t="s">
        <v>61</v>
      </c>
      <c r="M183" s="1" t="s">
        <v>62</v>
      </c>
      <c r="N183" s="1">
        <v>-114.0</v>
      </c>
      <c r="O183" s="1">
        <v>-0.12463642441723</v>
      </c>
      <c r="P183" s="1" t="s">
        <v>61</v>
      </c>
      <c r="Q183" s="1" t="s">
        <v>61</v>
      </c>
      <c r="R183" s="1">
        <f t="shared" si="1"/>
        <v>0.04860054805</v>
      </c>
      <c r="S183" s="1">
        <f t="shared" si="2"/>
        <v>-119</v>
      </c>
      <c r="T183" s="1">
        <f t="shared" si="3"/>
        <v>1.840336134</v>
      </c>
      <c r="U183" s="1">
        <f t="shared" si="4"/>
        <v>1</v>
      </c>
      <c r="V183" s="3">
        <f t="shared" si="5"/>
        <v>1</v>
      </c>
      <c r="W183" s="3">
        <f t="shared" si="6"/>
        <v>3</v>
      </c>
      <c r="X183" s="3" t="str">
        <f>IFERROR(__xludf.DUMMYFUNCTION("split(B183,"" "")"),"K.")</f>
        <v>K.</v>
      </c>
      <c r="Y183" s="3" t="str">
        <f>IFERROR(__xludf.DUMMYFUNCTION("""COMPUTED_VALUE"""),"Bourne")</f>
        <v>Bourne</v>
      </c>
      <c r="AA183" s="8">
        <v>0.0</v>
      </c>
      <c r="AB183" s="3">
        <f t="shared" si="7"/>
        <v>0</v>
      </c>
      <c r="AC183" s="3">
        <f t="shared" si="8"/>
        <v>0</v>
      </c>
      <c r="AD183" s="3">
        <f t="shared" si="9"/>
        <v>0.8403361345</v>
      </c>
      <c r="AE183" s="3">
        <f t="shared" si="10"/>
        <v>-1</v>
      </c>
      <c r="AF183" s="3">
        <f t="shared" si="11"/>
        <v>-3</v>
      </c>
      <c r="AG183" s="3">
        <f t="shared" si="12"/>
        <v>-1</v>
      </c>
    </row>
    <row r="184">
      <c r="A184" s="1" t="s">
        <v>9</v>
      </c>
      <c r="B184" s="1" t="s">
        <v>628</v>
      </c>
      <c r="C184" s="1" t="s">
        <v>18</v>
      </c>
      <c r="D184" s="1" t="s">
        <v>66</v>
      </c>
      <c r="E184" s="1" t="s">
        <v>99</v>
      </c>
      <c r="F184" s="1" t="s">
        <v>670</v>
      </c>
      <c r="G184" s="1">
        <v>22.5</v>
      </c>
      <c r="H184" s="1" t="s">
        <v>60</v>
      </c>
      <c r="I184" s="1">
        <v>-121.0</v>
      </c>
      <c r="J184" s="1">
        <v>0.0767872527063862</v>
      </c>
      <c r="K184" s="1" t="s">
        <v>61</v>
      </c>
      <c r="L184" s="1" t="s">
        <v>61</v>
      </c>
      <c r="M184" s="1" t="s">
        <v>62</v>
      </c>
      <c r="N184" s="1">
        <v>-112.0</v>
      </c>
      <c r="O184" s="1">
        <v>-0.15258345655606</v>
      </c>
      <c r="P184" s="1" t="s">
        <v>61</v>
      </c>
      <c r="Q184" s="1" t="s">
        <v>61</v>
      </c>
      <c r="R184" s="1">
        <f t="shared" si="1"/>
        <v>0.07678725271</v>
      </c>
      <c r="S184" s="1">
        <f t="shared" si="2"/>
        <v>-121</v>
      </c>
      <c r="T184" s="1">
        <f t="shared" si="3"/>
        <v>1.826446281</v>
      </c>
      <c r="U184" s="1">
        <f t="shared" si="4"/>
        <v>1</v>
      </c>
      <c r="V184" s="3">
        <f t="shared" si="5"/>
        <v>2</v>
      </c>
      <c r="W184" s="3">
        <f t="shared" si="6"/>
        <v>3</v>
      </c>
      <c r="X184" s="3" t="str">
        <f>IFERROR(__xludf.DUMMYFUNCTION("split(B184,"" "")"),"K.")</f>
        <v>K.</v>
      </c>
      <c r="Y184" s="3" t="str">
        <f>IFERROR(__xludf.DUMMYFUNCTION("""COMPUTED_VALUE"""),"Boutte")</f>
        <v>Boutte</v>
      </c>
      <c r="AA184" s="8">
        <v>47.0</v>
      </c>
      <c r="AB184" s="3">
        <f t="shared" si="7"/>
        <v>1</v>
      </c>
      <c r="AC184" s="3">
        <f t="shared" si="8"/>
        <v>1</v>
      </c>
      <c r="AD184" s="3">
        <f t="shared" si="9"/>
        <v>1.652892562</v>
      </c>
      <c r="AE184" s="3">
        <f t="shared" si="10"/>
        <v>1.652892562</v>
      </c>
      <c r="AF184" s="3">
        <f t="shared" si="11"/>
        <v>2.479338843</v>
      </c>
      <c r="AG184" s="3">
        <f t="shared" si="12"/>
        <v>1.088888889</v>
      </c>
    </row>
    <row r="185">
      <c r="A185" s="1" t="s">
        <v>10</v>
      </c>
      <c r="B185" s="1" t="s">
        <v>383</v>
      </c>
      <c r="C185" s="1" t="s">
        <v>19</v>
      </c>
      <c r="D185" s="1" t="s">
        <v>66</v>
      </c>
      <c r="E185" s="1" t="s">
        <v>99</v>
      </c>
      <c r="F185" s="1" t="s">
        <v>670</v>
      </c>
      <c r="G185" s="1">
        <v>10.5</v>
      </c>
      <c r="H185" s="1" t="s">
        <v>60</v>
      </c>
      <c r="I185" s="1">
        <v>-116.0</v>
      </c>
      <c r="J185" s="1">
        <v>0.0976602163792841</v>
      </c>
      <c r="K185" s="1" t="s">
        <v>61</v>
      </c>
      <c r="L185" s="1" t="s">
        <v>61</v>
      </c>
      <c r="M185" s="1" t="s">
        <v>62</v>
      </c>
      <c r="N185" s="1">
        <v>-114.0</v>
      </c>
      <c r="O185" s="1">
        <v>-0.167346858323527</v>
      </c>
      <c r="P185" s="1" t="s">
        <v>61</v>
      </c>
      <c r="Q185" s="1" t="s">
        <v>61</v>
      </c>
      <c r="R185" s="1">
        <f t="shared" si="1"/>
        <v>0.09766021638</v>
      </c>
      <c r="S185" s="1">
        <f t="shared" si="2"/>
        <v>-116</v>
      </c>
      <c r="T185" s="1">
        <f t="shared" si="3"/>
        <v>1.862068966</v>
      </c>
      <c r="U185" s="1">
        <f t="shared" si="4"/>
        <v>1</v>
      </c>
      <c r="V185" s="3">
        <f t="shared" si="5"/>
        <v>2</v>
      </c>
      <c r="W185" s="3">
        <f t="shared" si="6"/>
        <v>2</v>
      </c>
      <c r="X185" s="3" t="str">
        <f>IFERROR(__xludf.DUMMYFUNCTION("split(B185,"" "")"),"A.")</f>
        <v>A.</v>
      </c>
      <c r="Y185" s="3" t="str">
        <f>IFERROR(__xludf.DUMMYFUNCTION("""COMPUTED_VALUE"""),"Gibson")</f>
        <v>Gibson</v>
      </c>
      <c r="AA185" s="8">
        <v>26.0</v>
      </c>
      <c r="AB185" s="3">
        <f t="shared" si="7"/>
        <v>1</v>
      </c>
      <c r="AC185" s="3">
        <f t="shared" si="8"/>
        <v>1</v>
      </c>
      <c r="AD185" s="3">
        <f t="shared" si="9"/>
        <v>1.724137931</v>
      </c>
      <c r="AE185" s="3">
        <f t="shared" si="10"/>
        <v>1.724137931</v>
      </c>
      <c r="AF185" s="3">
        <f t="shared" si="11"/>
        <v>1.724137931</v>
      </c>
      <c r="AG185" s="3">
        <f t="shared" si="12"/>
        <v>1.476190476</v>
      </c>
    </row>
    <row r="186">
      <c r="A186" s="1" t="s">
        <v>11</v>
      </c>
      <c r="B186" s="1" t="s">
        <v>383</v>
      </c>
      <c r="C186" s="1" t="s">
        <v>19</v>
      </c>
      <c r="D186" s="1" t="s">
        <v>66</v>
      </c>
      <c r="E186" s="1" t="s">
        <v>99</v>
      </c>
      <c r="F186" s="1" t="s">
        <v>670</v>
      </c>
      <c r="G186" s="1">
        <v>3.5</v>
      </c>
      <c r="H186" s="1" t="s">
        <v>60</v>
      </c>
      <c r="I186" s="1">
        <v>-116.0</v>
      </c>
      <c r="J186" s="1">
        <v>0.128350260936307</v>
      </c>
      <c r="K186" s="1" t="s">
        <v>61</v>
      </c>
      <c r="L186" s="1" t="s">
        <v>61</v>
      </c>
      <c r="M186" s="1" t="s">
        <v>62</v>
      </c>
      <c r="N186" s="1">
        <v>-111.0</v>
      </c>
      <c r="O186" s="1">
        <v>-0.191424656692365</v>
      </c>
      <c r="P186" s="1" t="s">
        <v>61</v>
      </c>
      <c r="Q186" s="1" t="s">
        <v>61</v>
      </c>
      <c r="R186" s="1">
        <f t="shared" si="1"/>
        <v>0.1283502609</v>
      </c>
      <c r="S186" s="1">
        <f t="shared" si="2"/>
        <v>-116</v>
      </c>
      <c r="T186" s="1">
        <f t="shared" si="3"/>
        <v>1.862068966</v>
      </c>
      <c r="U186" s="1">
        <f t="shared" si="4"/>
        <v>1</v>
      </c>
      <c r="V186" s="3">
        <f t="shared" si="5"/>
        <v>3</v>
      </c>
      <c r="W186" s="3">
        <f t="shared" si="6"/>
        <v>2</v>
      </c>
      <c r="X186" s="3" t="str">
        <f>IFERROR(__xludf.DUMMYFUNCTION("split(B186,"" "")"),"A.")</f>
        <v>A.</v>
      </c>
      <c r="Y186" s="3" t="str">
        <f>IFERROR(__xludf.DUMMYFUNCTION("""COMPUTED_VALUE"""),"Gibson")</f>
        <v>Gibson</v>
      </c>
      <c r="AA186" s="8">
        <v>0.0</v>
      </c>
      <c r="AB186" s="3">
        <f t="shared" si="7"/>
        <v>0</v>
      </c>
      <c r="AC186" s="3">
        <f t="shared" si="8"/>
        <v>0</v>
      </c>
      <c r="AD186" s="3">
        <f t="shared" si="9"/>
        <v>2.586206897</v>
      </c>
      <c r="AE186" s="3">
        <f t="shared" si="10"/>
        <v>-3</v>
      </c>
      <c r="AF186" s="3">
        <f t="shared" si="11"/>
        <v>-2</v>
      </c>
      <c r="AG186" s="3">
        <f t="shared" si="12"/>
        <v>-1</v>
      </c>
    </row>
    <row r="187">
      <c r="A187" s="1" t="s">
        <v>9</v>
      </c>
      <c r="B187" s="1" t="s">
        <v>383</v>
      </c>
      <c r="C187" s="1" t="s">
        <v>19</v>
      </c>
      <c r="D187" s="1" t="s">
        <v>66</v>
      </c>
      <c r="E187" s="1" t="s">
        <v>99</v>
      </c>
      <c r="F187" s="1" t="s">
        <v>670</v>
      </c>
      <c r="G187" s="1">
        <v>18.5</v>
      </c>
      <c r="H187" s="1" t="s">
        <v>60</v>
      </c>
      <c r="I187" s="1">
        <v>-112.0</v>
      </c>
      <c r="J187" s="1">
        <v>0.203050024105822</v>
      </c>
      <c r="K187" s="1" t="s">
        <v>61</v>
      </c>
      <c r="L187" s="1" t="s">
        <v>61</v>
      </c>
      <c r="M187" s="1" t="s">
        <v>62</v>
      </c>
      <c r="N187" s="1">
        <v>-121.0</v>
      </c>
      <c r="O187" s="1">
        <v>-0.278871566441744</v>
      </c>
      <c r="P187" s="1" t="s">
        <v>61</v>
      </c>
      <c r="Q187" s="1" t="s">
        <v>61</v>
      </c>
      <c r="R187" s="1">
        <f t="shared" si="1"/>
        <v>0.2030500241</v>
      </c>
      <c r="S187" s="1">
        <f t="shared" si="2"/>
        <v>-112</v>
      </c>
      <c r="T187" s="1">
        <f t="shared" si="3"/>
        <v>1.892857143</v>
      </c>
      <c r="U187" s="1">
        <f t="shared" si="4"/>
        <v>1</v>
      </c>
      <c r="V187" s="3">
        <f t="shared" si="5"/>
        <v>3</v>
      </c>
      <c r="W187" s="3">
        <f t="shared" si="6"/>
        <v>2</v>
      </c>
      <c r="X187" s="3" t="str">
        <f>IFERROR(__xludf.DUMMYFUNCTION("split(B187,"" "")"),"A.")</f>
        <v>A.</v>
      </c>
      <c r="Y187" s="3" t="str">
        <f>IFERROR(__xludf.DUMMYFUNCTION("""COMPUTED_VALUE"""),"Gibson")</f>
        <v>Gibson</v>
      </c>
      <c r="AA187" s="8">
        <v>26.0</v>
      </c>
      <c r="AB187" s="3">
        <f t="shared" si="7"/>
        <v>1</v>
      </c>
      <c r="AC187" s="3">
        <f t="shared" si="8"/>
        <v>1</v>
      </c>
      <c r="AD187" s="3">
        <f t="shared" si="9"/>
        <v>2.678571429</v>
      </c>
      <c r="AE187" s="3">
        <f t="shared" si="10"/>
        <v>2.678571429</v>
      </c>
      <c r="AF187" s="3">
        <f t="shared" si="11"/>
        <v>1.785714286</v>
      </c>
      <c r="AG187" s="3">
        <f t="shared" si="12"/>
        <v>0.4054054054</v>
      </c>
    </row>
    <row r="188">
      <c r="A188" s="1" t="s">
        <v>10</v>
      </c>
      <c r="B188" s="1" t="s">
        <v>131</v>
      </c>
      <c r="C188" s="1" t="s">
        <v>18</v>
      </c>
      <c r="D188" s="1" t="s">
        <v>66</v>
      </c>
      <c r="E188" s="1" t="s">
        <v>99</v>
      </c>
      <c r="F188" s="1" t="s">
        <v>670</v>
      </c>
      <c r="G188" s="1">
        <v>0.5</v>
      </c>
      <c r="H188" s="1" t="s">
        <v>60</v>
      </c>
      <c r="I188" s="1">
        <v>377.0</v>
      </c>
      <c r="J188" s="1">
        <v>0.420018501512946</v>
      </c>
      <c r="K188" s="1" t="s">
        <v>61</v>
      </c>
      <c r="L188" s="1" t="s">
        <v>61</v>
      </c>
      <c r="M188" s="1" t="s">
        <v>62</v>
      </c>
      <c r="N188" s="1">
        <v>-613.0</v>
      </c>
      <c r="O188" s="1">
        <v>-0.4893975889834</v>
      </c>
      <c r="P188" s="1" t="s">
        <v>61</v>
      </c>
      <c r="Q188" s="1" t="s">
        <v>61</v>
      </c>
      <c r="R188" s="1">
        <f t="shared" si="1"/>
        <v>0.4200185015</v>
      </c>
      <c r="S188" s="1">
        <f t="shared" si="2"/>
        <v>377</v>
      </c>
      <c r="T188" s="1">
        <f t="shared" si="3"/>
        <v>4.77</v>
      </c>
      <c r="U188" s="1">
        <f t="shared" si="4"/>
        <v>1</v>
      </c>
      <c r="V188" s="3">
        <f t="shared" si="5"/>
        <v>3</v>
      </c>
      <c r="W188" s="3">
        <f t="shared" si="6"/>
        <v>1</v>
      </c>
      <c r="X188" s="3" t="str">
        <f>IFERROR(__xludf.DUMMYFUNCTION("split(B188,"" "")"),"D.")</f>
        <v>D.</v>
      </c>
      <c r="Y188" s="3" t="str">
        <f>IFERROR(__xludf.DUMMYFUNCTION("""COMPUTED_VALUE"""),"Douglas")</f>
        <v>Douglas</v>
      </c>
      <c r="AA188" s="8">
        <v>0.0</v>
      </c>
      <c r="AB188" s="3">
        <f t="shared" si="7"/>
        <v>0</v>
      </c>
      <c r="AC188" s="3">
        <f t="shared" si="8"/>
        <v>0</v>
      </c>
      <c r="AD188" s="3">
        <f t="shared" si="9"/>
        <v>11.31</v>
      </c>
      <c r="AE188" s="3">
        <f t="shared" si="10"/>
        <v>0</v>
      </c>
      <c r="AF188" s="3">
        <f t="shared" si="11"/>
        <v>-1</v>
      </c>
      <c r="AG188" s="3">
        <f t="shared" si="12"/>
        <v>-1</v>
      </c>
    </row>
    <row r="189">
      <c r="A189" s="1" t="s">
        <v>10</v>
      </c>
      <c r="B189" s="1" t="s">
        <v>597</v>
      </c>
      <c r="C189" s="1" t="s">
        <v>18</v>
      </c>
      <c r="D189" s="1" t="s">
        <v>66</v>
      </c>
      <c r="E189" s="1" t="s">
        <v>99</v>
      </c>
      <c r="F189" s="1" t="s">
        <v>670</v>
      </c>
      <c r="G189" s="1">
        <v>0.5</v>
      </c>
      <c r="H189" s="1" t="s">
        <v>60</v>
      </c>
      <c r="I189" s="1">
        <v>465.0</v>
      </c>
      <c r="J189" s="1">
        <v>0.435746192401904</v>
      </c>
      <c r="K189" s="1" t="s">
        <v>61</v>
      </c>
      <c r="L189" s="1" t="s">
        <v>61</v>
      </c>
      <c r="M189" s="1" t="s">
        <v>62</v>
      </c>
      <c r="N189" s="1">
        <v>-791.0</v>
      </c>
      <c r="O189" s="1">
        <v>-0.500467493518933</v>
      </c>
      <c r="P189" s="1" t="s">
        <v>61</v>
      </c>
      <c r="Q189" s="1" t="s">
        <v>61</v>
      </c>
      <c r="R189" s="1">
        <f t="shared" si="1"/>
        <v>0.4357461924</v>
      </c>
      <c r="S189" s="1">
        <f t="shared" si="2"/>
        <v>465</v>
      </c>
      <c r="T189" s="1">
        <f t="shared" si="3"/>
        <v>5.65</v>
      </c>
      <c r="U189" s="1">
        <f t="shared" si="4"/>
        <v>1</v>
      </c>
      <c r="V189" s="3">
        <f t="shared" si="5"/>
        <v>3</v>
      </c>
      <c r="W189" s="3">
        <f t="shared" si="6"/>
        <v>1</v>
      </c>
      <c r="X189" s="3" t="str">
        <f>IFERROR(__xludf.DUMMYFUNCTION("split(B189,"" "")"),"K.")</f>
        <v>K.</v>
      </c>
      <c r="Y189" s="3" t="str">
        <f>IFERROR(__xludf.DUMMYFUNCTION("""COMPUTED_VALUE"""),"Bourne")</f>
        <v>Bourne</v>
      </c>
      <c r="AA189" s="8">
        <v>0.0</v>
      </c>
      <c r="AB189" s="3">
        <f t="shared" si="7"/>
        <v>0</v>
      </c>
      <c r="AC189" s="3">
        <f t="shared" si="8"/>
        <v>0</v>
      </c>
      <c r="AD189" s="3">
        <f t="shared" si="9"/>
        <v>13.95</v>
      </c>
      <c r="AE189" s="3">
        <f t="shared" si="10"/>
        <v>0</v>
      </c>
      <c r="AF189" s="3">
        <f t="shared" si="11"/>
        <v>-1</v>
      </c>
      <c r="AG189" s="3">
        <f t="shared" si="12"/>
        <v>-1</v>
      </c>
    </row>
    <row r="190">
      <c r="A190" s="1" t="s">
        <v>12</v>
      </c>
      <c r="B190" s="1" t="s">
        <v>304</v>
      </c>
      <c r="C190" s="1" t="s">
        <v>19</v>
      </c>
      <c r="D190" s="1" t="s">
        <v>146</v>
      </c>
      <c r="E190" s="1" t="s">
        <v>93</v>
      </c>
      <c r="F190" s="1" t="s">
        <v>670</v>
      </c>
      <c r="G190" s="1">
        <v>2.5</v>
      </c>
      <c r="H190" s="1" t="s">
        <v>60</v>
      </c>
      <c r="I190" s="1">
        <v>-163.0</v>
      </c>
      <c r="J190" s="1">
        <v>-0.269432335247148</v>
      </c>
      <c r="K190" s="1" t="s">
        <v>61</v>
      </c>
      <c r="L190" s="1" t="s">
        <v>61</v>
      </c>
      <c r="M190" s="1" t="s">
        <v>62</v>
      </c>
      <c r="N190" s="1">
        <v>124.0</v>
      </c>
      <c r="O190" s="1">
        <v>0.203225018616071</v>
      </c>
      <c r="P190" s="1" t="s">
        <v>61</v>
      </c>
      <c r="Q190" s="1" t="s">
        <v>61</v>
      </c>
      <c r="R190" s="1">
        <f t="shared" si="1"/>
        <v>0.2032250186</v>
      </c>
      <c r="S190" s="1">
        <f t="shared" si="2"/>
        <v>124</v>
      </c>
      <c r="T190" s="1">
        <f t="shared" si="3"/>
        <v>2.24</v>
      </c>
      <c r="U190" s="1">
        <f t="shared" si="4"/>
        <v>0</v>
      </c>
      <c r="V190" s="3">
        <f t="shared" si="5"/>
        <v>3</v>
      </c>
      <c r="W190" s="3">
        <f t="shared" si="6"/>
        <v>1</v>
      </c>
      <c r="X190" s="3" t="str">
        <f>IFERROR(__xludf.DUMMYFUNCTION("split(B190,"" "")"),"A.")</f>
        <v>A.</v>
      </c>
      <c r="Y190" s="3" t="str">
        <f>IFERROR(__xludf.DUMMYFUNCTION("""COMPUTED_VALUE"""),"Jones")</f>
        <v>Jones</v>
      </c>
      <c r="AA190" s="8">
        <v>2.0</v>
      </c>
      <c r="AB190" s="3">
        <f t="shared" si="7"/>
        <v>0</v>
      </c>
      <c r="AC190" s="3">
        <f t="shared" si="8"/>
        <v>1</v>
      </c>
      <c r="AD190" s="3">
        <f t="shared" si="9"/>
        <v>3.72</v>
      </c>
      <c r="AE190" s="3">
        <f t="shared" si="10"/>
        <v>3.72</v>
      </c>
      <c r="AF190" s="3">
        <f t="shared" si="11"/>
        <v>1.24</v>
      </c>
      <c r="AG190" s="3">
        <f t="shared" si="12"/>
        <v>0.2</v>
      </c>
    </row>
    <row r="191">
      <c r="A191" s="1" t="s">
        <v>8</v>
      </c>
      <c r="B191" s="1" t="s">
        <v>145</v>
      </c>
      <c r="C191" s="1" t="s">
        <v>21</v>
      </c>
      <c r="D191" s="1" t="s">
        <v>146</v>
      </c>
      <c r="E191" s="1" t="s">
        <v>93</v>
      </c>
      <c r="F191" s="1" t="s">
        <v>670</v>
      </c>
      <c r="G191" s="1">
        <v>3.5</v>
      </c>
      <c r="H191" s="1" t="s">
        <v>60</v>
      </c>
      <c r="I191" s="1">
        <v>-135.0</v>
      </c>
      <c r="J191" s="1">
        <v>-0.247663105191747</v>
      </c>
      <c r="K191" s="1" t="s">
        <v>61</v>
      </c>
      <c r="L191" s="1" t="s">
        <v>61</v>
      </c>
      <c r="M191" s="1" t="s">
        <v>62</v>
      </c>
      <c r="N191" s="1">
        <v>101.0</v>
      </c>
      <c r="O191" s="1">
        <v>0.175681739900799</v>
      </c>
      <c r="P191" s="1" t="s">
        <v>61</v>
      </c>
      <c r="Q191" s="1" t="s">
        <v>61</v>
      </c>
      <c r="R191" s="1">
        <f t="shared" si="1"/>
        <v>0.1756817399</v>
      </c>
      <c r="S191" s="1">
        <f t="shared" si="2"/>
        <v>101</v>
      </c>
      <c r="T191" s="1">
        <f t="shared" si="3"/>
        <v>2.01</v>
      </c>
      <c r="U191" s="1">
        <f t="shared" si="4"/>
        <v>0</v>
      </c>
      <c r="V191" s="3">
        <f t="shared" si="5"/>
        <v>3</v>
      </c>
      <c r="W191" s="3">
        <f t="shared" si="6"/>
        <v>2</v>
      </c>
      <c r="X191" s="3" t="str">
        <f>IFERROR(__xludf.DUMMYFUNCTION("split(B191,"" "")"),"S.")</f>
        <v>S.</v>
      </c>
      <c r="Y191" s="3" t="str">
        <f>IFERROR(__xludf.DUMMYFUNCTION("""COMPUTED_VALUE"""),"Darnold")</f>
        <v>Darnold</v>
      </c>
      <c r="AA191" s="8">
        <v>7.0</v>
      </c>
      <c r="AB191" s="3">
        <f t="shared" si="7"/>
        <v>1</v>
      </c>
      <c r="AC191" s="3">
        <f t="shared" si="8"/>
        <v>0</v>
      </c>
      <c r="AD191" s="3">
        <f t="shared" si="9"/>
        <v>3.03</v>
      </c>
      <c r="AE191" s="3">
        <f t="shared" si="10"/>
        <v>-3</v>
      </c>
      <c r="AF191" s="3">
        <f t="shared" si="11"/>
        <v>-2</v>
      </c>
      <c r="AG191" s="3">
        <f t="shared" si="12"/>
        <v>-1</v>
      </c>
    </row>
    <row r="192">
      <c r="A192" s="1" t="s">
        <v>12</v>
      </c>
      <c r="B192" s="1" t="s">
        <v>654</v>
      </c>
      <c r="C192" s="1" t="s">
        <v>20</v>
      </c>
      <c r="D192" s="1" t="s">
        <v>146</v>
      </c>
      <c r="E192" s="1" t="s">
        <v>93</v>
      </c>
      <c r="F192" s="1" t="s">
        <v>670</v>
      </c>
      <c r="G192" s="1">
        <v>3.5</v>
      </c>
      <c r="H192" s="1" t="s">
        <v>60</v>
      </c>
      <c r="I192" s="1">
        <v>-114.0</v>
      </c>
      <c r="J192" s="1">
        <v>-0.154163551401869</v>
      </c>
      <c r="K192" s="1" t="s">
        <v>61</v>
      </c>
      <c r="L192" s="1" t="s">
        <v>61</v>
      </c>
      <c r="M192" s="1" t="s">
        <v>62</v>
      </c>
      <c r="N192" s="1">
        <v>-116.0</v>
      </c>
      <c r="O192" s="1">
        <v>0.0844092592592591</v>
      </c>
      <c r="P192" s="1" t="s">
        <v>61</v>
      </c>
      <c r="Q192" s="1" t="s">
        <v>61</v>
      </c>
      <c r="R192" s="1">
        <f t="shared" si="1"/>
        <v>0.08440925926</v>
      </c>
      <c r="S192" s="1">
        <f t="shared" si="2"/>
        <v>-116</v>
      </c>
      <c r="T192" s="1">
        <f t="shared" si="3"/>
        <v>1.862068966</v>
      </c>
      <c r="U192" s="1">
        <f t="shared" si="4"/>
        <v>0</v>
      </c>
      <c r="V192" s="3">
        <f t="shared" si="5"/>
        <v>2</v>
      </c>
      <c r="W192" s="3">
        <f t="shared" si="6"/>
        <v>2</v>
      </c>
      <c r="X192" s="3" t="str">
        <f>IFERROR(__xludf.DUMMYFUNCTION("split(B192,"" "")"),"T.")</f>
        <v>T.</v>
      </c>
      <c r="Y192" s="3" t="str">
        <f>IFERROR(__xludf.DUMMYFUNCTION("""COMPUTED_VALUE"""),"Hockenson")</f>
        <v>Hockenson</v>
      </c>
      <c r="AA192" s="8">
        <v>8.0</v>
      </c>
      <c r="AB192" s="3">
        <f t="shared" si="7"/>
        <v>1</v>
      </c>
      <c r="AC192" s="3">
        <f t="shared" si="8"/>
        <v>0</v>
      </c>
      <c r="AD192" s="3">
        <f t="shared" si="9"/>
        <v>1.724137931</v>
      </c>
      <c r="AE192" s="3">
        <f t="shared" si="10"/>
        <v>-2</v>
      </c>
      <c r="AF192" s="3">
        <f t="shared" si="11"/>
        <v>-2</v>
      </c>
      <c r="AG192" s="3">
        <f t="shared" si="12"/>
        <v>-1.285714286</v>
      </c>
    </row>
    <row r="193">
      <c r="A193" s="1" t="s">
        <v>12</v>
      </c>
      <c r="B193" s="1" t="s">
        <v>550</v>
      </c>
      <c r="C193" s="1" t="s">
        <v>20</v>
      </c>
      <c r="D193" s="1" t="s">
        <v>146</v>
      </c>
      <c r="E193" s="1" t="s">
        <v>93</v>
      </c>
      <c r="F193" s="1" t="s">
        <v>670</v>
      </c>
      <c r="G193" s="1">
        <v>1.5</v>
      </c>
      <c r="H193" s="1" t="s">
        <v>60</v>
      </c>
      <c r="I193" s="1">
        <v>132.0</v>
      </c>
      <c r="J193" s="1">
        <v>-0.144581659023793</v>
      </c>
      <c r="K193" s="1" t="s">
        <v>61</v>
      </c>
      <c r="L193" s="1" t="s">
        <v>61</v>
      </c>
      <c r="M193" s="1" t="s">
        <v>62</v>
      </c>
      <c r="N193" s="1">
        <v>-173.0</v>
      </c>
      <c r="O193" s="1">
        <v>0.0798529100504761</v>
      </c>
      <c r="P193" s="1" t="s">
        <v>61</v>
      </c>
      <c r="Q193" s="1" t="s">
        <v>61</v>
      </c>
      <c r="R193" s="1">
        <f t="shared" si="1"/>
        <v>0.07985291005</v>
      </c>
      <c r="S193" s="1">
        <f t="shared" si="2"/>
        <v>-173</v>
      </c>
      <c r="T193" s="1">
        <f t="shared" si="3"/>
        <v>1.578034682</v>
      </c>
      <c r="U193" s="1">
        <f t="shared" si="4"/>
        <v>0</v>
      </c>
      <c r="V193" s="3">
        <f t="shared" si="5"/>
        <v>2</v>
      </c>
      <c r="W193" s="3">
        <f t="shared" si="6"/>
        <v>3</v>
      </c>
      <c r="X193" s="3" t="str">
        <f>IFERROR(__xludf.DUMMYFUNCTION("split(B193,"" "")"),"J.")</f>
        <v>J.</v>
      </c>
      <c r="Y193" s="3" t="str">
        <f>IFERROR(__xludf.DUMMYFUNCTION("""COMPUTED_VALUE"""),"Oliver")</f>
        <v>Oliver</v>
      </c>
      <c r="AA193" s="8">
        <v>4.0</v>
      </c>
      <c r="AB193" s="3">
        <f t="shared" si="7"/>
        <v>1</v>
      </c>
      <c r="AC193" s="3">
        <f t="shared" si="8"/>
        <v>0</v>
      </c>
      <c r="AD193" s="3">
        <f t="shared" si="9"/>
        <v>1.156069364</v>
      </c>
      <c r="AE193" s="3">
        <f t="shared" si="10"/>
        <v>-2</v>
      </c>
      <c r="AF193" s="3">
        <f t="shared" si="11"/>
        <v>-3</v>
      </c>
      <c r="AG193" s="3">
        <f t="shared" si="12"/>
        <v>-1.666666667</v>
      </c>
    </row>
    <row r="194">
      <c r="A194" s="1" t="s">
        <v>14</v>
      </c>
      <c r="B194" s="1" t="s">
        <v>145</v>
      </c>
      <c r="C194" s="1" t="s">
        <v>21</v>
      </c>
      <c r="D194" s="1" t="s">
        <v>146</v>
      </c>
      <c r="E194" s="1" t="s">
        <v>93</v>
      </c>
      <c r="F194" s="1" t="s">
        <v>670</v>
      </c>
      <c r="G194" s="1">
        <v>1.5</v>
      </c>
      <c r="H194" s="1" t="s">
        <v>60</v>
      </c>
      <c r="I194" s="1">
        <v>-143.0</v>
      </c>
      <c r="J194" s="1">
        <v>-0.146136213991769</v>
      </c>
      <c r="K194" s="1" t="s">
        <v>61</v>
      </c>
      <c r="L194" s="1" t="s">
        <v>61</v>
      </c>
      <c r="M194" s="1" t="s">
        <v>62</v>
      </c>
      <c r="N194" s="1">
        <v>109.0</v>
      </c>
      <c r="O194" s="1">
        <v>0.0791832535885168</v>
      </c>
      <c r="P194" s="1" t="s">
        <v>61</v>
      </c>
      <c r="Q194" s="1" t="s">
        <v>61</v>
      </c>
      <c r="R194" s="1">
        <f t="shared" si="1"/>
        <v>0.07918325359</v>
      </c>
      <c r="S194" s="1">
        <f t="shared" si="2"/>
        <v>109</v>
      </c>
      <c r="T194" s="1">
        <f t="shared" si="3"/>
        <v>2.09</v>
      </c>
      <c r="U194" s="1">
        <f t="shared" si="4"/>
        <v>0</v>
      </c>
      <c r="V194" s="3">
        <f t="shared" si="5"/>
        <v>2</v>
      </c>
      <c r="W194" s="3">
        <f t="shared" si="6"/>
        <v>2</v>
      </c>
      <c r="X194" s="3" t="str">
        <f>IFERROR(__xludf.DUMMYFUNCTION("split(B194,"" "")"),"S.")</f>
        <v>S.</v>
      </c>
      <c r="Y194" s="3" t="str">
        <f>IFERROR(__xludf.DUMMYFUNCTION("""COMPUTED_VALUE"""),"Darnold")</f>
        <v>Darnold</v>
      </c>
      <c r="AA194" s="8">
        <v>0.0</v>
      </c>
      <c r="AB194" s="3">
        <f t="shared" si="7"/>
        <v>0</v>
      </c>
      <c r="AC194" s="3">
        <f t="shared" si="8"/>
        <v>1</v>
      </c>
      <c r="AD194" s="3">
        <f t="shared" si="9"/>
        <v>2.18</v>
      </c>
      <c r="AE194" s="3">
        <f t="shared" si="10"/>
        <v>2.18</v>
      </c>
      <c r="AF194" s="3">
        <f t="shared" si="11"/>
        <v>2.18</v>
      </c>
      <c r="AG194" s="3">
        <f t="shared" si="12"/>
        <v>1</v>
      </c>
    </row>
    <row r="195">
      <c r="A195" s="1" t="s">
        <v>12</v>
      </c>
      <c r="B195" s="1" t="s">
        <v>549</v>
      </c>
      <c r="C195" s="1" t="s">
        <v>18</v>
      </c>
      <c r="D195" s="1" t="s">
        <v>146</v>
      </c>
      <c r="E195" s="1" t="s">
        <v>93</v>
      </c>
      <c r="F195" s="1" t="s">
        <v>670</v>
      </c>
      <c r="G195" s="1">
        <v>1.5</v>
      </c>
      <c r="H195" s="1" t="s">
        <v>60</v>
      </c>
      <c r="I195" s="1">
        <v>104.0</v>
      </c>
      <c r="J195" s="1">
        <v>-0.14543726331647</v>
      </c>
      <c r="K195" s="1" t="s">
        <v>61</v>
      </c>
      <c r="L195" s="1" t="s">
        <v>61</v>
      </c>
      <c r="M195" s="1" t="s">
        <v>62</v>
      </c>
      <c r="N195" s="1">
        <v>-136.0</v>
      </c>
      <c r="O195" s="1">
        <v>0.0789623302416949</v>
      </c>
      <c r="P195" s="1" t="s">
        <v>61</v>
      </c>
      <c r="Q195" s="1" t="s">
        <v>61</v>
      </c>
      <c r="R195" s="1">
        <f t="shared" si="1"/>
        <v>0.07896233024</v>
      </c>
      <c r="S195" s="1">
        <f t="shared" si="2"/>
        <v>-136</v>
      </c>
      <c r="T195" s="1">
        <f t="shared" si="3"/>
        <v>1.735294118</v>
      </c>
      <c r="U195" s="1">
        <f t="shared" si="4"/>
        <v>0</v>
      </c>
      <c r="V195" s="3">
        <f t="shared" si="5"/>
        <v>2</v>
      </c>
      <c r="W195" s="3">
        <f t="shared" si="6"/>
        <v>3</v>
      </c>
      <c r="X195" s="3" t="str">
        <f>IFERROR(__xludf.DUMMYFUNCTION("split(B195,"" "")"),"J.")</f>
        <v>J.</v>
      </c>
      <c r="Y195" s="3" t="str">
        <f>IFERROR(__xludf.DUMMYFUNCTION("""COMPUTED_VALUE"""),"Nailor")</f>
        <v>Nailor</v>
      </c>
      <c r="AA195" s="8">
        <v>1.0</v>
      </c>
      <c r="AB195" s="3">
        <f t="shared" si="7"/>
        <v>0</v>
      </c>
      <c r="AC195" s="3">
        <f t="shared" si="8"/>
        <v>1</v>
      </c>
      <c r="AD195" s="3">
        <f t="shared" si="9"/>
        <v>1.470588235</v>
      </c>
      <c r="AE195" s="3">
        <f t="shared" si="10"/>
        <v>1.470588235</v>
      </c>
      <c r="AF195" s="3">
        <f t="shared" si="11"/>
        <v>2.205882353</v>
      </c>
      <c r="AG195" s="3">
        <f t="shared" si="12"/>
        <v>0.3333333333</v>
      </c>
    </row>
    <row r="196">
      <c r="A196" s="1" t="s">
        <v>11</v>
      </c>
      <c r="B196" s="1" t="s">
        <v>654</v>
      </c>
      <c r="C196" s="1" t="s">
        <v>20</v>
      </c>
      <c r="D196" s="1" t="s">
        <v>146</v>
      </c>
      <c r="E196" s="1" t="s">
        <v>93</v>
      </c>
      <c r="F196" s="1" t="s">
        <v>670</v>
      </c>
      <c r="G196" s="1">
        <v>36.5</v>
      </c>
      <c r="H196" s="1" t="s">
        <v>60</v>
      </c>
      <c r="I196" s="1">
        <v>-112.0</v>
      </c>
      <c r="J196" s="1">
        <v>-0.0980237792026887</v>
      </c>
      <c r="K196" s="1" t="s">
        <v>61</v>
      </c>
      <c r="L196" s="1" t="s">
        <v>61</v>
      </c>
      <c r="M196" s="1" t="s">
        <v>62</v>
      </c>
      <c r="N196" s="1">
        <v>-112.0</v>
      </c>
      <c r="O196" s="1">
        <v>0.0414456257150114</v>
      </c>
      <c r="P196" s="1" t="s">
        <v>61</v>
      </c>
      <c r="Q196" s="1" t="s">
        <v>61</v>
      </c>
      <c r="R196" s="1">
        <f t="shared" si="1"/>
        <v>0.04144562572</v>
      </c>
      <c r="S196" s="1">
        <f t="shared" si="2"/>
        <v>-112</v>
      </c>
      <c r="T196" s="1">
        <f t="shared" si="3"/>
        <v>1.892857143</v>
      </c>
      <c r="U196" s="1">
        <f t="shared" si="4"/>
        <v>0</v>
      </c>
      <c r="V196" s="3">
        <f t="shared" si="5"/>
        <v>1</v>
      </c>
      <c r="W196" s="3">
        <f t="shared" si="6"/>
        <v>2</v>
      </c>
      <c r="X196" s="3" t="str">
        <f>IFERROR(__xludf.DUMMYFUNCTION("split(B196,"" "")"),"T.")</f>
        <v>T.</v>
      </c>
      <c r="Y196" s="3" t="str">
        <f>IFERROR(__xludf.DUMMYFUNCTION("""COMPUTED_VALUE"""),"Hockenson")</f>
        <v>Hockenson</v>
      </c>
      <c r="AA196" s="8">
        <v>72.0</v>
      </c>
      <c r="AB196" s="3">
        <f t="shared" si="7"/>
        <v>1</v>
      </c>
      <c r="AC196" s="3">
        <f t="shared" si="8"/>
        <v>0</v>
      </c>
      <c r="AD196" s="3">
        <f t="shared" si="9"/>
        <v>0.8928571429</v>
      </c>
      <c r="AE196" s="3">
        <f t="shared" si="10"/>
        <v>-1</v>
      </c>
      <c r="AF196" s="3">
        <f t="shared" si="11"/>
        <v>-2</v>
      </c>
      <c r="AG196" s="3">
        <f t="shared" si="12"/>
        <v>-0.9726027397</v>
      </c>
    </row>
    <row r="197">
      <c r="A197" s="1" t="s">
        <v>10</v>
      </c>
      <c r="B197" s="1" t="s">
        <v>538</v>
      </c>
      <c r="C197" s="1" t="s">
        <v>19</v>
      </c>
      <c r="D197" s="1" t="s">
        <v>146</v>
      </c>
      <c r="E197" s="1" t="s">
        <v>93</v>
      </c>
      <c r="F197" s="1" t="s">
        <v>670</v>
      </c>
      <c r="G197" s="1">
        <v>18.5</v>
      </c>
      <c r="H197" s="1" t="s">
        <v>60</v>
      </c>
      <c r="I197" s="1">
        <v>-114.0</v>
      </c>
      <c r="J197" s="1">
        <v>-0.107234986225495</v>
      </c>
      <c r="K197" s="1" t="s">
        <v>61</v>
      </c>
      <c r="L197" s="1" t="s">
        <v>61</v>
      </c>
      <c r="M197" s="1" t="s">
        <v>62</v>
      </c>
      <c r="N197" s="1">
        <v>-115.0</v>
      </c>
      <c r="O197" s="1">
        <v>0.0396879540004394</v>
      </c>
      <c r="P197" s="1" t="s">
        <v>61</v>
      </c>
      <c r="Q197" s="1" t="s">
        <v>61</v>
      </c>
      <c r="R197" s="1">
        <f t="shared" si="1"/>
        <v>0.039687954</v>
      </c>
      <c r="S197" s="1">
        <f t="shared" si="2"/>
        <v>-115</v>
      </c>
      <c r="T197" s="1">
        <f t="shared" si="3"/>
        <v>1.869565217</v>
      </c>
      <c r="U197" s="1">
        <f t="shared" si="4"/>
        <v>0</v>
      </c>
      <c r="V197" s="3">
        <f t="shared" si="5"/>
        <v>1</v>
      </c>
      <c r="W197" s="3">
        <f t="shared" si="6"/>
        <v>2</v>
      </c>
      <c r="X197" s="3" t="str">
        <f>IFERROR(__xludf.DUMMYFUNCTION("split(B197,"" "")"),"C.")</f>
        <v>C.</v>
      </c>
      <c r="Y197" s="3" t="str">
        <f>IFERROR(__xludf.DUMMYFUNCTION("""COMPUTED_VALUE"""),"Akers")</f>
        <v>Akers</v>
      </c>
      <c r="AA197" s="8">
        <v>38.0</v>
      </c>
      <c r="AB197" s="3">
        <f t="shared" si="7"/>
        <v>1</v>
      </c>
      <c r="AC197" s="3">
        <f t="shared" si="8"/>
        <v>0</v>
      </c>
      <c r="AD197" s="3">
        <f t="shared" si="9"/>
        <v>0.8695652174</v>
      </c>
      <c r="AE197" s="3">
        <f t="shared" si="10"/>
        <v>-1</v>
      </c>
      <c r="AF197" s="3">
        <f t="shared" si="11"/>
        <v>-2</v>
      </c>
      <c r="AG197" s="3">
        <f t="shared" si="12"/>
        <v>-1.054054054</v>
      </c>
    </row>
    <row r="198">
      <c r="A198" s="1" t="s">
        <v>11</v>
      </c>
      <c r="B198" s="1" t="s">
        <v>304</v>
      </c>
      <c r="C198" s="1" t="s">
        <v>19</v>
      </c>
      <c r="D198" s="1" t="s">
        <v>146</v>
      </c>
      <c r="E198" s="1" t="s">
        <v>93</v>
      </c>
      <c r="F198" s="1" t="s">
        <v>670</v>
      </c>
      <c r="G198" s="1">
        <v>22.5</v>
      </c>
      <c r="H198" s="1" t="s">
        <v>60</v>
      </c>
      <c r="I198" s="1">
        <v>-118.0</v>
      </c>
      <c r="J198" s="1">
        <v>-0.10464092993911</v>
      </c>
      <c r="K198" s="1" t="s">
        <v>61</v>
      </c>
      <c r="L198" s="1" t="s">
        <v>61</v>
      </c>
      <c r="M198" s="1" t="s">
        <v>62</v>
      </c>
      <c r="N198" s="1">
        <v>-110.0</v>
      </c>
      <c r="O198" s="1">
        <v>0.0395692142828505</v>
      </c>
      <c r="P198" s="1" t="s">
        <v>61</v>
      </c>
      <c r="Q198" s="1" t="s">
        <v>61</v>
      </c>
      <c r="R198" s="1">
        <f t="shared" si="1"/>
        <v>0.03956921428</v>
      </c>
      <c r="S198" s="1">
        <f t="shared" si="2"/>
        <v>-110</v>
      </c>
      <c r="T198" s="1">
        <f t="shared" si="3"/>
        <v>1.909090909</v>
      </c>
      <c r="U198" s="1">
        <f t="shared" si="4"/>
        <v>0</v>
      </c>
      <c r="V198" s="3">
        <f t="shared" si="5"/>
        <v>1</v>
      </c>
      <c r="W198" s="3">
        <f t="shared" si="6"/>
        <v>2</v>
      </c>
      <c r="X198" s="3" t="str">
        <f>IFERROR(__xludf.DUMMYFUNCTION("split(B198,"" "")"),"A.")</f>
        <v>A.</v>
      </c>
      <c r="Y198" s="3" t="str">
        <f>IFERROR(__xludf.DUMMYFUNCTION("""COMPUTED_VALUE"""),"Jones")</f>
        <v>Jones</v>
      </c>
      <c r="AA198" s="8">
        <v>13.0</v>
      </c>
      <c r="AB198" s="3">
        <f t="shared" si="7"/>
        <v>0</v>
      </c>
      <c r="AC198" s="3">
        <f t="shared" si="8"/>
        <v>1</v>
      </c>
      <c r="AD198" s="3">
        <f t="shared" si="9"/>
        <v>0.9090909091</v>
      </c>
      <c r="AE198" s="3">
        <f t="shared" si="10"/>
        <v>0.9090909091</v>
      </c>
      <c r="AF198" s="3">
        <f t="shared" si="11"/>
        <v>1.818181818</v>
      </c>
      <c r="AG198" s="3">
        <f t="shared" si="12"/>
        <v>0.4222222222</v>
      </c>
    </row>
    <row r="199">
      <c r="A199" s="1" t="s">
        <v>9</v>
      </c>
      <c r="B199" s="1" t="s">
        <v>304</v>
      </c>
      <c r="C199" s="1" t="s">
        <v>19</v>
      </c>
      <c r="D199" s="1" t="s">
        <v>146</v>
      </c>
      <c r="E199" s="1" t="s">
        <v>93</v>
      </c>
      <c r="F199" s="1" t="s">
        <v>670</v>
      </c>
      <c r="G199" s="1">
        <v>98.5</v>
      </c>
      <c r="H199" s="1" t="s">
        <v>60</v>
      </c>
      <c r="I199" s="1">
        <v>-116.0</v>
      </c>
      <c r="J199" s="1">
        <v>-0.10955393785308</v>
      </c>
      <c r="K199" s="1" t="s">
        <v>61</v>
      </c>
      <c r="L199" s="1" t="s">
        <v>61</v>
      </c>
      <c r="M199" s="1" t="s">
        <v>62</v>
      </c>
      <c r="N199" s="1">
        <v>-116.0</v>
      </c>
      <c r="O199" s="1">
        <v>0.0355461416215727</v>
      </c>
      <c r="P199" s="1" t="s">
        <v>61</v>
      </c>
      <c r="Q199" s="1" t="s">
        <v>61</v>
      </c>
      <c r="R199" s="1">
        <f t="shared" si="1"/>
        <v>0.03554614162</v>
      </c>
      <c r="S199" s="1">
        <f t="shared" si="2"/>
        <v>-116</v>
      </c>
      <c r="T199" s="1">
        <f t="shared" si="3"/>
        <v>1.862068966</v>
      </c>
      <c r="U199" s="1">
        <f t="shared" si="4"/>
        <v>0</v>
      </c>
      <c r="V199" s="3">
        <f t="shared" si="5"/>
        <v>1</v>
      </c>
      <c r="W199" s="3">
        <f t="shared" si="6"/>
        <v>2</v>
      </c>
      <c r="X199" s="3" t="str">
        <f>IFERROR(__xludf.DUMMYFUNCTION("split(B199,"" "")"),"A.")</f>
        <v>A.</v>
      </c>
      <c r="Y199" s="3" t="str">
        <f>IFERROR(__xludf.DUMMYFUNCTION("""COMPUTED_VALUE"""),"Jones")</f>
        <v>Jones</v>
      </c>
      <c r="AA199" s="8">
        <v>101.0</v>
      </c>
      <c r="AB199" s="3">
        <f t="shared" si="7"/>
        <v>1</v>
      </c>
      <c r="AC199" s="3">
        <f t="shared" si="8"/>
        <v>0</v>
      </c>
      <c r="AD199" s="3">
        <f t="shared" si="9"/>
        <v>0.8620689655</v>
      </c>
      <c r="AE199" s="3">
        <f t="shared" si="10"/>
        <v>-1</v>
      </c>
      <c r="AF199" s="3">
        <f t="shared" si="11"/>
        <v>-2</v>
      </c>
      <c r="AG199" s="3">
        <f t="shared" si="12"/>
        <v>-0.02538071066</v>
      </c>
    </row>
    <row r="200">
      <c r="A200" s="1" t="s">
        <v>9</v>
      </c>
      <c r="B200" s="1" t="s">
        <v>379</v>
      </c>
      <c r="C200" s="1" t="s">
        <v>18</v>
      </c>
      <c r="D200" s="1" t="s">
        <v>146</v>
      </c>
      <c r="E200" s="1" t="s">
        <v>93</v>
      </c>
      <c r="F200" s="1" t="s">
        <v>670</v>
      </c>
      <c r="G200" s="1">
        <v>92.5</v>
      </c>
      <c r="H200" s="1" t="s">
        <v>60</v>
      </c>
      <c r="I200" s="1">
        <v>-117.0</v>
      </c>
      <c r="J200" s="1">
        <v>-0.108688426283907</v>
      </c>
      <c r="K200" s="1" t="s">
        <v>61</v>
      </c>
      <c r="L200" s="1" t="s">
        <v>61</v>
      </c>
      <c r="M200" s="1" t="s">
        <v>62</v>
      </c>
      <c r="N200" s="1">
        <v>-118.0</v>
      </c>
      <c r="O200" s="1">
        <v>0.0282706564779233</v>
      </c>
      <c r="P200" s="1" t="s">
        <v>61</v>
      </c>
      <c r="Q200" s="1" t="s">
        <v>61</v>
      </c>
      <c r="R200" s="1">
        <f t="shared" si="1"/>
        <v>0.02827065648</v>
      </c>
      <c r="S200" s="1">
        <f t="shared" si="2"/>
        <v>-118</v>
      </c>
      <c r="T200" s="1">
        <f t="shared" si="3"/>
        <v>1.847457627</v>
      </c>
      <c r="U200" s="1">
        <f t="shared" si="4"/>
        <v>0</v>
      </c>
      <c r="V200" s="3">
        <f t="shared" si="5"/>
        <v>1</v>
      </c>
      <c r="W200" s="3">
        <f t="shared" si="6"/>
        <v>3</v>
      </c>
      <c r="X200" s="3" t="str">
        <f>IFERROR(__xludf.DUMMYFUNCTION("split(B200,"" "")"),"J.")</f>
        <v>J.</v>
      </c>
      <c r="Y200" s="3" t="str">
        <f>IFERROR(__xludf.DUMMYFUNCTION("""COMPUTED_VALUE"""),"Jefferson")</f>
        <v>Jefferson</v>
      </c>
      <c r="AA200" s="8">
        <v>48.0</v>
      </c>
      <c r="AB200" s="3">
        <f t="shared" si="7"/>
        <v>0</v>
      </c>
      <c r="AC200" s="3">
        <f t="shared" si="8"/>
        <v>1</v>
      </c>
      <c r="AD200" s="3">
        <f t="shared" si="9"/>
        <v>0.8474576271</v>
      </c>
      <c r="AE200" s="3">
        <f t="shared" si="10"/>
        <v>0.8474576271</v>
      </c>
      <c r="AF200" s="3">
        <f t="shared" si="11"/>
        <v>2.542372881</v>
      </c>
      <c r="AG200" s="3">
        <f t="shared" si="12"/>
        <v>0.4810810811</v>
      </c>
    </row>
    <row r="201">
      <c r="A201" s="1" t="s">
        <v>10</v>
      </c>
      <c r="B201" s="1" t="s">
        <v>145</v>
      </c>
      <c r="C201" s="1" t="s">
        <v>21</v>
      </c>
      <c r="D201" s="1" t="s">
        <v>146</v>
      </c>
      <c r="E201" s="1" t="s">
        <v>93</v>
      </c>
      <c r="F201" s="1" t="s">
        <v>670</v>
      </c>
      <c r="G201" s="1">
        <v>12.5</v>
      </c>
      <c r="H201" s="1" t="s">
        <v>60</v>
      </c>
      <c r="I201" s="1">
        <v>-111.0</v>
      </c>
      <c r="J201" s="1">
        <v>-0.0921010274745378</v>
      </c>
      <c r="K201" s="1" t="s">
        <v>61</v>
      </c>
      <c r="L201" s="1" t="s">
        <v>61</v>
      </c>
      <c r="M201" s="1" t="s">
        <v>62</v>
      </c>
      <c r="N201" s="1">
        <v>-118.0</v>
      </c>
      <c r="O201" s="1">
        <v>0.0247694120211486</v>
      </c>
      <c r="P201" s="1" t="s">
        <v>61</v>
      </c>
      <c r="Q201" s="1" t="s">
        <v>61</v>
      </c>
      <c r="R201" s="1">
        <f t="shared" si="1"/>
        <v>0.02476941202</v>
      </c>
      <c r="S201" s="1">
        <f t="shared" si="2"/>
        <v>-118</v>
      </c>
      <c r="T201" s="1">
        <f t="shared" si="3"/>
        <v>1.847457627</v>
      </c>
      <c r="U201" s="1">
        <f t="shared" si="4"/>
        <v>0</v>
      </c>
      <c r="V201" s="3">
        <f t="shared" si="5"/>
        <v>1</v>
      </c>
      <c r="W201" s="3">
        <f t="shared" si="6"/>
        <v>3</v>
      </c>
      <c r="X201" s="3" t="str">
        <f>IFERROR(__xludf.DUMMYFUNCTION("split(B201,"" "")"),"S.")</f>
        <v>S.</v>
      </c>
      <c r="Y201" s="3" t="str">
        <f>IFERROR(__xludf.DUMMYFUNCTION("""COMPUTED_VALUE"""),"Darnold")</f>
        <v>Darnold</v>
      </c>
      <c r="AA201" s="8">
        <v>28.0</v>
      </c>
      <c r="AB201" s="3">
        <f t="shared" si="7"/>
        <v>1</v>
      </c>
      <c r="AC201" s="3">
        <f t="shared" si="8"/>
        <v>0</v>
      </c>
      <c r="AD201" s="3">
        <f t="shared" si="9"/>
        <v>0.8474576271</v>
      </c>
      <c r="AE201" s="3">
        <f t="shared" si="10"/>
        <v>-1</v>
      </c>
      <c r="AF201" s="3">
        <f t="shared" si="11"/>
        <v>-3</v>
      </c>
      <c r="AG201" s="3">
        <f t="shared" si="12"/>
        <v>-1.24</v>
      </c>
    </row>
    <row r="202">
      <c r="A202" s="1" t="s">
        <v>10</v>
      </c>
      <c r="B202" s="1" t="s">
        <v>304</v>
      </c>
      <c r="C202" s="1" t="s">
        <v>19</v>
      </c>
      <c r="D202" s="1" t="s">
        <v>146</v>
      </c>
      <c r="E202" s="1" t="s">
        <v>93</v>
      </c>
      <c r="F202" s="1" t="s">
        <v>670</v>
      </c>
      <c r="G202" s="1">
        <v>71.5</v>
      </c>
      <c r="H202" s="1" t="s">
        <v>60</v>
      </c>
      <c r="I202" s="1">
        <v>-115.0</v>
      </c>
      <c r="J202" s="1">
        <v>-0.0934550015105383</v>
      </c>
      <c r="K202" s="1" t="s">
        <v>61</v>
      </c>
      <c r="L202" s="1" t="s">
        <v>61</v>
      </c>
      <c r="M202" s="1" t="s">
        <v>62</v>
      </c>
      <c r="N202" s="1">
        <v>-115.0</v>
      </c>
      <c r="O202" s="1">
        <v>0.0236510549165892</v>
      </c>
      <c r="P202" s="1" t="s">
        <v>61</v>
      </c>
      <c r="Q202" s="1" t="s">
        <v>61</v>
      </c>
      <c r="R202" s="1">
        <f t="shared" si="1"/>
        <v>0.02365105492</v>
      </c>
      <c r="S202" s="1">
        <f t="shared" si="2"/>
        <v>-115</v>
      </c>
      <c r="T202" s="1">
        <f t="shared" si="3"/>
        <v>1.869565217</v>
      </c>
      <c r="U202" s="1">
        <f t="shared" si="4"/>
        <v>0</v>
      </c>
      <c r="V202" s="3">
        <f t="shared" si="5"/>
        <v>1</v>
      </c>
      <c r="W202" s="3">
        <f t="shared" si="6"/>
        <v>2</v>
      </c>
      <c r="X202" s="3" t="str">
        <f>IFERROR(__xludf.DUMMYFUNCTION("split(B202,"" "")"),"A.")</f>
        <v>A.</v>
      </c>
      <c r="Y202" s="3" t="str">
        <f>IFERROR(__xludf.DUMMYFUNCTION("""COMPUTED_VALUE"""),"Jones")</f>
        <v>Jones</v>
      </c>
      <c r="AA202" s="8">
        <v>88.0</v>
      </c>
      <c r="AB202" s="3">
        <f t="shared" si="7"/>
        <v>1</v>
      </c>
      <c r="AC202" s="3">
        <f t="shared" si="8"/>
        <v>0</v>
      </c>
      <c r="AD202" s="3">
        <f t="shared" si="9"/>
        <v>0.8695652174</v>
      </c>
      <c r="AE202" s="3">
        <f t="shared" si="10"/>
        <v>-1</v>
      </c>
      <c r="AF202" s="3">
        <f t="shared" si="11"/>
        <v>-2</v>
      </c>
      <c r="AG202" s="3">
        <f t="shared" si="12"/>
        <v>-0.2307692308</v>
      </c>
    </row>
    <row r="203">
      <c r="A203" s="1" t="s">
        <v>17</v>
      </c>
      <c r="B203" s="1" t="s">
        <v>145</v>
      </c>
      <c r="C203" s="1" t="s">
        <v>21</v>
      </c>
      <c r="D203" s="1" t="s">
        <v>146</v>
      </c>
      <c r="E203" s="1" t="s">
        <v>93</v>
      </c>
      <c r="F203" s="1" t="s">
        <v>670</v>
      </c>
      <c r="G203" s="1">
        <v>0.5</v>
      </c>
      <c r="H203" s="1" t="s">
        <v>60</v>
      </c>
      <c r="I203" s="1">
        <v>-116.0</v>
      </c>
      <c r="J203" s="1">
        <v>-0.0801370370370371</v>
      </c>
      <c r="K203" s="1" t="s">
        <v>61</v>
      </c>
      <c r="L203" s="1" t="s">
        <v>61</v>
      </c>
      <c r="M203" s="1" t="s">
        <v>62</v>
      </c>
      <c r="N203" s="1">
        <v>-113.0</v>
      </c>
      <c r="O203" s="1">
        <v>0.0125835680751174</v>
      </c>
      <c r="P203" s="1" t="s">
        <v>61</v>
      </c>
      <c r="Q203" s="1" t="s">
        <v>61</v>
      </c>
      <c r="R203" s="1">
        <f t="shared" si="1"/>
        <v>0.01258356808</v>
      </c>
      <c r="S203" s="1">
        <f t="shared" si="2"/>
        <v>-113</v>
      </c>
      <c r="T203" s="1">
        <f t="shared" si="3"/>
        <v>1.884955752</v>
      </c>
      <c r="U203" s="1">
        <f t="shared" si="4"/>
        <v>0</v>
      </c>
      <c r="V203" s="3">
        <f t="shared" si="5"/>
        <v>1</v>
      </c>
      <c r="W203" s="3">
        <f t="shared" si="6"/>
        <v>2</v>
      </c>
      <c r="X203" s="3" t="str">
        <f>IFERROR(__xludf.DUMMYFUNCTION("split(B203,"" "")"),"S.")</f>
        <v>S.</v>
      </c>
      <c r="Y203" s="3" t="str">
        <f>IFERROR(__xludf.DUMMYFUNCTION("""COMPUTED_VALUE"""),"Darnold")</f>
        <v>Darnold</v>
      </c>
      <c r="AA203" s="8">
        <v>3.0</v>
      </c>
      <c r="AB203" s="3">
        <f t="shared" si="7"/>
        <v>1</v>
      </c>
      <c r="AC203" s="3">
        <f t="shared" si="8"/>
        <v>0</v>
      </c>
      <c r="AD203" s="3">
        <f t="shared" si="9"/>
        <v>0.8849557522</v>
      </c>
      <c r="AE203" s="3">
        <f t="shared" si="10"/>
        <v>-1</v>
      </c>
      <c r="AF203" s="3">
        <f t="shared" si="11"/>
        <v>-2</v>
      </c>
      <c r="AG203" s="3">
        <f t="shared" si="12"/>
        <v>-5</v>
      </c>
    </row>
    <row r="204">
      <c r="A204" s="1" t="s">
        <v>9</v>
      </c>
      <c r="B204" s="1" t="s">
        <v>175</v>
      </c>
      <c r="C204" s="1" t="s">
        <v>18</v>
      </c>
      <c r="D204" s="1" t="s">
        <v>146</v>
      </c>
      <c r="E204" s="1" t="s">
        <v>93</v>
      </c>
      <c r="F204" s="1" t="s">
        <v>670</v>
      </c>
      <c r="G204" s="1">
        <v>41.5</v>
      </c>
      <c r="H204" s="1" t="s">
        <v>60</v>
      </c>
      <c r="I204" s="1">
        <v>-116.0</v>
      </c>
      <c r="J204" s="1">
        <v>0.0120747068721924</v>
      </c>
      <c r="K204" s="1" t="s">
        <v>61</v>
      </c>
      <c r="L204" s="1" t="s">
        <v>61</v>
      </c>
      <c r="M204" s="1" t="s">
        <v>62</v>
      </c>
      <c r="N204" s="1">
        <v>-116.0</v>
      </c>
      <c r="O204" s="1">
        <v>-0.0860866599717433</v>
      </c>
      <c r="P204" s="1" t="s">
        <v>61</v>
      </c>
      <c r="Q204" s="1" t="s">
        <v>61</v>
      </c>
      <c r="R204" s="1">
        <f t="shared" si="1"/>
        <v>0.01207470687</v>
      </c>
      <c r="S204" s="1">
        <f t="shared" si="2"/>
        <v>-116</v>
      </c>
      <c r="T204" s="1">
        <f t="shared" si="3"/>
        <v>1.862068966</v>
      </c>
      <c r="U204" s="1">
        <f t="shared" si="4"/>
        <v>1</v>
      </c>
      <c r="V204" s="3">
        <f t="shared" si="5"/>
        <v>1</v>
      </c>
      <c r="W204" s="3">
        <f t="shared" si="6"/>
        <v>2</v>
      </c>
      <c r="X204" s="3" t="str">
        <f>IFERROR(__xludf.DUMMYFUNCTION("split(B204,"" "")"),"J.")</f>
        <v>J.</v>
      </c>
      <c r="Y204" s="3" t="str">
        <f>IFERROR(__xludf.DUMMYFUNCTION("""COMPUTED_VALUE"""),"Addison")</f>
        <v>Addison</v>
      </c>
      <c r="AA204" s="8">
        <v>29.0</v>
      </c>
      <c r="AB204" s="3">
        <f t="shared" si="7"/>
        <v>0</v>
      </c>
      <c r="AC204" s="3">
        <f t="shared" si="8"/>
        <v>0</v>
      </c>
      <c r="AD204" s="3">
        <f t="shared" si="9"/>
        <v>0.8620689655</v>
      </c>
      <c r="AE204" s="3">
        <f t="shared" si="10"/>
        <v>-1</v>
      </c>
      <c r="AF204" s="3">
        <f t="shared" si="11"/>
        <v>-2</v>
      </c>
      <c r="AG204" s="3">
        <f t="shared" si="12"/>
        <v>-0.3012048193</v>
      </c>
    </row>
    <row r="205">
      <c r="A205" s="1" t="s">
        <v>12</v>
      </c>
      <c r="B205" s="1" t="s">
        <v>379</v>
      </c>
      <c r="C205" s="1" t="s">
        <v>18</v>
      </c>
      <c r="D205" s="1" t="s">
        <v>146</v>
      </c>
      <c r="E205" s="1" t="s">
        <v>93</v>
      </c>
      <c r="F205" s="1" t="s">
        <v>670</v>
      </c>
      <c r="G205" s="1">
        <v>6.5</v>
      </c>
      <c r="H205" s="1" t="s">
        <v>60</v>
      </c>
      <c r="I205" s="1">
        <v>-115.0</v>
      </c>
      <c r="J205" s="1">
        <v>0.0981162790697673</v>
      </c>
      <c r="K205" s="1" t="s">
        <v>61</v>
      </c>
      <c r="L205" s="1" t="s">
        <v>61</v>
      </c>
      <c r="M205" s="1" t="s">
        <v>62</v>
      </c>
      <c r="N205" s="1">
        <v>-114.0</v>
      </c>
      <c r="O205" s="1">
        <v>-0.165710280373831</v>
      </c>
      <c r="P205" s="1" t="s">
        <v>61</v>
      </c>
      <c r="Q205" s="1" t="s">
        <v>61</v>
      </c>
      <c r="R205" s="1">
        <f t="shared" si="1"/>
        <v>0.09811627907</v>
      </c>
      <c r="S205" s="1">
        <f t="shared" si="2"/>
        <v>-115</v>
      </c>
      <c r="T205" s="1">
        <f t="shared" si="3"/>
        <v>1.869565217</v>
      </c>
      <c r="U205" s="1">
        <f t="shared" si="4"/>
        <v>1</v>
      </c>
      <c r="V205" s="3">
        <f t="shared" si="5"/>
        <v>2</v>
      </c>
      <c r="W205" s="3">
        <f t="shared" si="6"/>
        <v>2</v>
      </c>
      <c r="X205" s="3" t="str">
        <f>IFERROR(__xludf.DUMMYFUNCTION("split(B205,"" "")"),"J.")</f>
        <v>J.</v>
      </c>
      <c r="Y205" s="3" t="str">
        <f>IFERROR(__xludf.DUMMYFUNCTION("""COMPUTED_VALUE"""),"Jefferson")</f>
        <v>Jefferson</v>
      </c>
      <c r="AA205" s="8">
        <v>5.0</v>
      </c>
      <c r="AB205" s="3">
        <f t="shared" si="7"/>
        <v>0</v>
      </c>
      <c r="AC205" s="3">
        <f t="shared" si="8"/>
        <v>0</v>
      </c>
      <c r="AD205" s="3">
        <f t="shared" si="9"/>
        <v>1.739130435</v>
      </c>
      <c r="AE205" s="3">
        <f t="shared" si="10"/>
        <v>-2</v>
      </c>
      <c r="AF205" s="3">
        <f t="shared" si="11"/>
        <v>-2</v>
      </c>
      <c r="AG205" s="3">
        <f t="shared" si="12"/>
        <v>-0.2307692308</v>
      </c>
    </row>
    <row r="206">
      <c r="A206" s="1" t="s">
        <v>9</v>
      </c>
      <c r="B206" s="1" t="s">
        <v>549</v>
      </c>
      <c r="C206" s="1" t="s">
        <v>18</v>
      </c>
      <c r="D206" s="1" t="s">
        <v>146</v>
      </c>
      <c r="E206" s="1" t="s">
        <v>93</v>
      </c>
      <c r="F206" s="1" t="s">
        <v>670</v>
      </c>
      <c r="G206" s="1">
        <v>16.5</v>
      </c>
      <c r="H206" s="1" t="s">
        <v>60</v>
      </c>
      <c r="I206" s="1">
        <v>-115.0</v>
      </c>
      <c r="J206" s="1">
        <v>0.141745767957535</v>
      </c>
      <c r="K206" s="1" t="s">
        <v>61</v>
      </c>
      <c r="L206" s="1" t="s">
        <v>61</v>
      </c>
      <c r="M206" s="1" t="s">
        <v>62</v>
      </c>
      <c r="N206" s="1">
        <v>-118.0</v>
      </c>
      <c r="O206" s="1">
        <v>-0.217869593260673</v>
      </c>
      <c r="P206" s="1" t="s">
        <v>61</v>
      </c>
      <c r="Q206" s="1" t="s">
        <v>61</v>
      </c>
      <c r="R206" s="1">
        <f t="shared" si="1"/>
        <v>0.141745768</v>
      </c>
      <c r="S206" s="1">
        <f t="shared" si="2"/>
        <v>-115</v>
      </c>
      <c r="T206" s="1">
        <f t="shared" si="3"/>
        <v>1.869565217</v>
      </c>
      <c r="U206" s="1">
        <f t="shared" si="4"/>
        <v>1</v>
      </c>
      <c r="V206" s="3">
        <f t="shared" si="5"/>
        <v>3</v>
      </c>
      <c r="W206" s="3">
        <f t="shared" si="6"/>
        <v>2</v>
      </c>
      <c r="X206" s="3" t="str">
        <f>IFERROR(__xludf.DUMMYFUNCTION("split(B206,"" "")"),"J.")</f>
        <v>J.</v>
      </c>
      <c r="Y206" s="3" t="str">
        <f>IFERROR(__xludf.DUMMYFUNCTION("""COMPUTED_VALUE"""),"Nailor")</f>
        <v>Nailor</v>
      </c>
      <c r="AA206" s="8">
        <v>4.0</v>
      </c>
      <c r="AB206" s="3">
        <f t="shared" si="7"/>
        <v>0</v>
      </c>
      <c r="AC206" s="3">
        <f t="shared" si="8"/>
        <v>0</v>
      </c>
      <c r="AD206" s="3">
        <f t="shared" si="9"/>
        <v>2.608695652</v>
      </c>
      <c r="AE206" s="3">
        <f t="shared" si="10"/>
        <v>-3</v>
      </c>
      <c r="AF206" s="3">
        <f t="shared" si="11"/>
        <v>-2</v>
      </c>
      <c r="AG206" s="3">
        <f t="shared" si="12"/>
        <v>-0.7575757576</v>
      </c>
    </row>
    <row r="207">
      <c r="A207" s="1" t="s">
        <v>8</v>
      </c>
      <c r="B207" s="1" t="s">
        <v>280</v>
      </c>
      <c r="C207" s="1" t="s">
        <v>19</v>
      </c>
      <c r="D207" s="1" t="s">
        <v>94</v>
      </c>
      <c r="E207" s="1" t="s">
        <v>196</v>
      </c>
      <c r="F207" s="1" t="s">
        <v>676</v>
      </c>
      <c r="G207" s="1">
        <v>7.5</v>
      </c>
      <c r="H207" s="1" t="s">
        <v>60</v>
      </c>
      <c r="I207" s="1">
        <v>-131.0</v>
      </c>
      <c r="J207" s="1">
        <v>-0.208136335614771</v>
      </c>
      <c r="K207" s="1" t="s">
        <v>61</v>
      </c>
      <c r="L207" s="1" t="s">
        <v>61</v>
      </c>
      <c r="M207" s="1" t="s">
        <v>62</v>
      </c>
      <c r="N207" s="1">
        <v>-102.0</v>
      </c>
      <c r="O207" s="1">
        <v>0.13609239305719</v>
      </c>
      <c r="P207" s="1" t="s">
        <v>61</v>
      </c>
      <c r="Q207" s="1" t="s">
        <v>61</v>
      </c>
      <c r="R207" s="1">
        <f t="shared" si="1"/>
        <v>0.1360923931</v>
      </c>
      <c r="S207" s="1">
        <f t="shared" si="2"/>
        <v>-102</v>
      </c>
      <c r="T207" s="1">
        <f t="shared" si="3"/>
        <v>1.980392157</v>
      </c>
      <c r="U207" s="1">
        <f t="shared" si="4"/>
        <v>0</v>
      </c>
      <c r="V207" s="3">
        <f t="shared" si="5"/>
        <v>3</v>
      </c>
      <c r="W207" s="3">
        <f t="shared" si="6"/>
        <v>2</v>
      </c>
      <c r="X207" s="3" t="str">
        <f>IFERROR(__xludf.DUMMYFUNCTION("split(B207,"" "")"),"R.")</f>
        <v>R.</v>
      </c>
      <c r="Y207" s="3" t="str">
        <f>IFERROR(__xludf.DUMMYFUNCTION("""COMPUTED_VALUE"""),"Mostert")</f>
        <v>Mostert</v>
      </c>
      <c r="AA207" s="8">
        <v>0.0</v>
      </c>
      <c r="AB207" s="3">
        <f t="shared" si="7"/>
        <v>0</v>
      </c>
      <c r="AC207" s="3">
        <f t="shared" si="8"/>
        <v>1</v>
      </c>
      <c r="AD207" s="3">
        <f t="shared" si="9"/>
        <v>2.941176471</v>
      </c>
      <c r="AE207" s="3">
        <f t="shared" si="10"/>
        <v>2.941176471</v>
      </c>
      <c r="AF207" s="3">
        <f t="shared" si="11"/>
        <v>1.960784314</v>
      </c>
      <c r="AG207" s="3">
        <f t="shared" si="12"/>
        <v>1</v>
      </c>
    </row>
    <row r="208">
      <c r="A208" s="1" t="s">
        <v>12</v>
      </c>
      <c r="B208" s="1" t="s">
        <v>220</v>
      </c>
      <c r="C208" s="1" t="s">
        <v>20</v>
      </c>
      <c r="D208" s="1" t="s">
        <v>94</v>
      </c>
      <c r="E208" s="1" t="s">
        <v>196</v>
      </c>
      <c r="F208" s="1" t="s">
        <v>676</v>
      </c>
      <c r="G208" s="1">
        <v>3.5</v>
      </c>
      <c r="H208" s="1" t="s">
        <v>60</v>
      </c>
      <c r="I208" s="1">
        <v>-137.0</v>
      </c>
      <c r="J208" s="1">
        <v>-0.193901265822784</v>
      </c>
      <c r="K208" s="1" t="s">
        <v>61</v>
      </c>
      <c r="L208" s="1" t="s">
        <v>61</v>
      </c>
      <c r="M208" s="1" t="s">
        <v>62</v>
      </c>
      <c r="N208" s="1">
        <v>104.0</v>
      </c>
      <c r="O208" s="1">
        <v>0.12565294117647</v>
      </c>
      <c r="P208" s="1" t="s">
        <v>61</v>
      </c>
      <c r="Q208" s="1" t="s">
        <v>61</v>
      </c>
      <c r="R208" s="1">
        <f t="shared" si="1"/>
        <v>0.1256529412</v>
      </c>
      <c r="S208" s="1">
        <f t="shared" si="2"/>
        <v>104</v>
      </c>
      <c r="T208" s="1">
        <f t="shared" si="3"/>
        <v>2.04</v>
      </c>
      <c r="U208" s="1">
        <f t="shared" si="4"/>
        <v>0</v>
      </c>
      <c r="V208" s="3">
        <f t="shared" si="5"/>
        <v>3</v>
      </c>
      <c r="W208" s="3">
        <f t="shared" si="6"/>
        <v>2</v>
      </c>
      <c r="X208" s="3" t="str">
        <f>IFERROR(__xludf.DUMMYFUNCTION("split(B208,"" "")"),"J.")</f>
        <v>J.</v>
      </c>
      <c r="Y208" s="3" t="str">
        <f>IFERROR(__xludf.DUMMYFUNCTION("""COMPUTED_VALUE"""),"Smith")</f>
        <v>Smith</v>
      </c>
      <c r="AA208" s="8">
        <v>3.0</v>
      </c>
      <c r="AB208" s="3">
        <f t="shared" si="7"/>
        <v>0</v>
      </c>
      <c r="AC208" s="3">
        <f t="shared" si="8"/>
        <v>1</v>
      </c>
      <c r="AD208" s="3">
        <f t="shared" si="9"/>
        <v>3.12</v>
      </c>
      <c r="AE208" s="3">
        <f t="shared" si="10"/>
        <v>3.12</v>
      </c>
      <c r="AF208" s="3">
        <f t="shared" si="11"/>
        <v>2.08</v>
      </c>
      <c r="AG208" s="3">
        <f t="shared" si="12"/>
        <v>0.1428571429</v>
      </c>
    </row>
    <row r="209">
      <c r="A209" s="1" t="s">
        <v>11</v>
      </c>
      <c r="B209" s="1" t="s">
        <v>280</v>
      </c>
      <c r="C209" s="1" t="s">
        <v>19</v>
      </c>
      <c r="D209" s="1" t="s">
        <v>94</v>
      </c>
      <c r="E209" s="1" t="s">
        <v>196</v>
      </c>
      <c r="F209" s="1" t="s">
        <v>676</v>
      </c>
      <c r="G209" s="1">
        <v>6.5</v>
      </c>
      <c r="H209" s="1" t="s">
        <v>60</v>
      </c>
      <c r="I209" s="1">
        <v>-109.0</v>
      </c>
      <c r="J209" s="1">
        <v>0.0918669184304197</v>
      </c>
      <c r="K209" s="1" t="s">
        <v>61</v>
      </c>
      <c r="L209" s="1" t="s">
        <v>61</v>
      </c>
      <c r="M209" s="1" t="s">
        <v>62</v>
      </c>
      <c r="N209" s="1">
        <v>-118.0</v>
      </c>
      <c r="O209" s="1">
        <v>-0.15462964873078</v>
      </c>
      <c r="P209" s="1" t="s">
        <v>61</v>
      </c>
      <c r="Q209" s="1" t="s">
        <v>61</v>
      </c>
      <c r="R209" s="1">
        <f t="shared" si="1"/>
        <v>0.09186691843</v>
      </c>
      <c r="S209" s="1">
        <f t="shared" si="2"/>
        <v>-109</v>
      </c>
      <c r="T209" s="1">
        <f t="shared" si="3"/>
        <v>1.917431193</v>
      </c>
      <c r="U209" s="1">
        <f t="shared" si="4"/>
        <v>1</v>
      </c>
      <c r="V209" s="3">
        <f t="shared" si="5"/>
        <v>2</v>
      </c>
      <c r="W209" s="3">
        <f t="shared" si="6"/>
        <v>2</v>
      </c>
      <c r="X209" s="3" t="str">
        <f>IFERROR(__xludf.DUMMYFUNCTION("split(B209,"" "")"),"R.")</f>
        <v>R.</v>
      </c>
      <c r="Y209" s="3" t="str">
        <f>IFERROR(__xludf.DUMMYFUNCTION("""COMPUTED_VALUE"""),"Mostert")</f>
        <v>Mostert</v>
      </c>
      <c r="AA209" s="8">
        <v>34.0</v>
      </c>
      <c r="AB209" s="3">
        <f t="shared" si="7"/>
        <v>1</v>
      </c>
      <c r="AC209" s="3">
        <f t="shared" si="8"/>
        <v>1</v>
      </c>
      <c r="AD209" s="3">
        <f t="shared" si="9"/>
        <v>1.834862385</v>
      </c>
      <c r="AE209" s="3">
        <f t="shared" si="10"/>
        <v>1.834862385</v>
      </c>
      <c r="AF209" s="3">
        <f t="shared" si="11"/>
        <v>1.834862385</v>
      </c>
      <c r="AG209" s="3">
        <f t="shared" si="12"/>
        <v>4.230769231</v>
      </c>
    </row>
    <row r="210">
      <c r="A210" s="1" t="s">
        <v>10</v>
      </c>
      <c r="B210" s="1" t="s">
        <v>635</v>
      </c>
      <c r="C210" s="1" t="s">
        <v>19</v>
      </c>
      <c r="D210" s="1" t="s">
        <v>94</v>
      </c>
      <c r="E210" s="1" t="s">
        <v>196</v>
      </c>
      <c r="F210" s="1" t="s">
        <v>676</v>
      </c>
      <c r="G210" s="1">
        <v>14.5</v>
      </c>
      <c r="H210" s="1" t="s">
        <v>60</v>
      </c>
      <c r="I210" s="1">
        <v>-120.0</v>
      </c>
      <c r="J210" s="1">
        <v>-0.154114306280751</v>
      </c>
      <c r="K210" s="1" t="s">
        <v>61</v>
      </c>
      <c r="L210" s="1" t="s">
        <v>61</v>
      </c>
      <c r="M210" s="1" t="s">
        <v>62</v>
      </c>
      <c r="N210" s="1">
        <v>-109.0</v>
      </c>
      <c r="O210" s="1">
        <v>0.0871079935221258</v>
      </c>
      <c r="P210" s="1" t="s">
        <v>61</v>
      </c>
      <c r="Q210" s="1" t="s">
        <v>61</v>
      </c>
      <c r="R210" s="1">
        <f t="shared" si="1"/>
        <v>0.08710799352</v>
      </c>
      <c r="S210" s="1">
        <f t="shared" si="2"/>
        <v>-109</v>
      </c>
      <c r="T210" s="1">
        <f t="shared" si="3"/>
        <v>1.917431193</v>
      </c>
      <c r="U210" s="1">
        <f t="shared" si="4"/>
        <v>0</v>
      </c>
      <c r="V210" s="3">
        <f t="shared" si="5"/>
        <v>2</v>
      </c>
      <c r="W210" s="3">
        <f t="shared" si="6"/>
        <v>2</v>
      </c>
      <c r="X210" s="3" t="str">
        <f>IFERROR(__xludf.DUMMYFUNCTION("split(B210,"" "")"),"J.")</f>
        <v>J.</v>
      </c>
      <c r="Y210" s="3" t="str">
        <f>IFERROR(__xludf.DUMMYFUNCTION("""COMPUTED_VALUE"""),"Wright")</f>
        <v>Wright</v>
      </c>
      <c r="AA210" s="8">
        <v>3.0</v>
      </c>
      <c r="AB210" s="3">
        <f t="shared" si="7"/>
        <v>0</v>
      </c>
      <c r="AC210" s="3">
        <f t="shared" si="8"/>
        <v>1</v>
      </c>
      <c r="AD210" s="3">
        <f t="shared" si="9"/>
        <v>1.834862385</v>
      </c>
      <c r="AE210" s="3">
        <f t="shared" si="10"/>
        <v>1.834862385</v>
      </c>
      <c r="AF210" s="3">
        <f t="shared" si="11"/>
        <v>1.834862385</v>
      </c>
      <c r="AG210" s="3">
        <f t="shared" si="12"/>
        <v>0.7931034483</v>
      </c>
    </row>
    <row r="211">
      <c r="A211" s="1" t="s">
        <v>12</v>
      </c>
      <c r="B211" s="1" t="s">
        <v>441</v>
      </c>
      <c r="C211" s="1" t="s">
        <v>18</v>
      </c>
      <c r="D211" s="1" t="s">
        <v>94</v>
      </c>
      <c r="E211" s="1" t="s">
        <v>196</v>
      </c>
      <c r="F211" s="1" t="s">
        <v>676</v>
      </c>
      <c r="G211" s="1">
        <v>5.5</v>
      </c>
      <c r="H211" s="1" t="s">
        <v>60</v>
      </c>
      <c r="I211" s="1">
        <v>103.0</v>
      </c>
      <c r="J211" s="1">
        <v>0.0856891625615764</v>
      </c>
      <c r="K211" s="1" t="s">
        <v>61</v>
      </c>
      <c r="L211" s="1" t="s">
        <v>61</v>
      </c>
      <c r="M211" s="1" t="s">
        <v>62</v>
      </c>
      <c r="N211" s="1">
        <v>-136.0</v>
      </c>
      <c r="O211" s="1">
        <v>-0.154571186440677</v>
      </c>
      <c r="P211" s="1" t="s">
        <v>61</v>
      </c>
      <c r="Q211" s="1" t="s">
        <v>61</v>
      </c>
      <c r="R211" s="1">
        <f t="shared" si="1"/>
        <v>0.08568916256</v>
      </c>
      <c r="S211" s="1">
        <f t="shared" si="2"/>
        <v>103</v>
      </c>
      <c r="T211" s="1">
        <f t="shared" si="3"/>
        <v>2.03</v>
      </c>
      <c r="U211" s="1">
        <f t="shared" si="4"/>
        <v>1</v>
      </c>
      <c r="V211" s="3">
        <f t="shared" si="5"/>
        <v>2</v>
      </c>
      <c r="W211" s="3">
        <f t="shared" si="6"/>
        <v>2</v>
      </c>
      <c r="X211" s="3" t="str">
        <f>IFERROR(__xludf.DUMMYFUNCTION("split(B211,"" "")"),"T.")</f>
        <v>T.</v>
      </c>
      <c r="Y211" s="3" t="str">
        <f>IFERROR(__xludf.DUMMYFUNCTION("""COMPUTED_VALUE"""),"Hill")</f>
        <v>Hill</v>
      </c>
      <c r="AA211" s="8">
        <v>3.0</v>
      </c>
      <c r="AB211" s="3">
        <f t="shared" si="7"/>
        <v>0</v>
      </c>
      <c r="AC211" s="3">
        <f t="shared" si="8"/>
        <v>0</v>
      </c>
      <c r="AD211" s="3">
        <f t="shared" si="9"/>
        <v>2.06</v>
      </c>
      <c r="AE211" s="3">
        <f t="shared" si="10"/>
        <v>-2</v>
      </c>
      <c r="AF211" s="3">
        <f t="shared" si="11"/>
        <v>-2</v>
      </c>
      <c r="AG211" s="3">
        <f t="shared" si="12"/>
        <v>-0.4545454545</v>
      </c>
    </row>
    <row r="212">
      <c r="A212" s="1" t="s">
        <v>8</v>
      </c>
      <c r="B212" s="1" t="s">
        <v>289</v>
      </c>
      <c r="C212" s="1" t="s">
        <v>19</v>
      </c>
      <c r="D212" s="1" t="s">
        <v>94</v>
      </c>
      <c r="E212" s="1" t="s">
        <v>196</v>
      </c>
      <c r="F212" s="1" t="s">
        <v>676</v>
      </c>
      <c r="G212" s="1">
        <v>12.5</v>
      </c>
      <c r="H212" s="1" t="s">
        <v>60</v>
      </c>
      <c r="I212" s="1">
        <v>-118.0</v>
      </c>
      <c r="J212" s="1">
        <v>-0.138229620570183</v>
      </c>
      <c r="K212" s="1" t="s">
        <v>61</v>
      </c>
      <c r="L212" s="1" t="s">
        <v>61</v>
      </c>
      <c r="M212" s="1" t="s">
        <v>62</v>
      </c>
      <c r="N212" s="1">
        <v>-114.0</v>
      </c>
      <c r="O212" s="1">
        <v>0.064242230393</v>
      </c>
      <c r="P212" s="1" t="s">
        <v>61</v>
      </c>
      <c r="Q212" s="1" t="s">
        <v>61</v>
      </c>
      <c r="R212" s="1">
        <f t="shared" si="1"/>
        <v>0.06424223039</v>
      </c>
      <c r="S212" s="1">
        <f t="shared" si="2"/>
        <v>-114</v>
      </c>
      <c r="T212" s="1">
        <f t="shared" si="3"/>
        <v>1.877192982</v>
      </c>
      <c r="U212" s="1">
        <f t="shared" si="4"/>
        <v>0</v>
      </c>
      <c r="V212" s="3">
        <f t="shared" si="5"/>
        <v>2</v>
      </c>
      <c r="W212" s="3">
        <f t="shared" si="6"/>
        <v>2</v>
      </c>
      <c r="X212" s="3" t="str">
        <f>IFERROR(__xludf.DUMMYFUNCTION("split(B212,"" "")"),"D.")</f>
        <v>D.</v>
      </c>
      <c r="Y212" s="3" t="str">
        <f>IFERROR(__xludf.DUMMYFUNCTION("""COMPUTED_VALUE"""),"Achane")</f>
        <v>Achane</v>
      </c>
      <c r="AA212" s="8">
        <v>12.0</v>
      </c>
      <c r="AB212" s="3">
        <f t="shared" si="7"/>
        <v>0</v>
      </c>
      <c r="AC212" s="3">
        <f t="shared" si="8"/>
        <v>1</v>
      </c>
      <c r="AD212" s="3">
        <f t="shared" si="9"/>
        <v>1.754385965</v>
      </c>
      <c r="AE212" s="3">
        <f t="shared" si="10"/>
        <v>1.754385965</v>
      </c>
      <c r="AF212" s="3">
        <f t="shared" si="11"/>
        <v>1.754385965</v>
      </c>
      <c r="AG212" s="3">
        <f t="shared" si="12"/>
        <v>0.04</v>
      </c>
    </row>
    <row r="213">
      <c r="A213" s="1" t="s">
        <v>11</v>
      </c>
      <c r="B213" s="1" t="s">
        <v>289</v>
      </c>
      <c r="C213" s="1" t="s">
        <v>19</v>
      </c>
      <c r="D213" s="1" t="s">
        <v>94</v>
      </c>
      <c r="E213" s="1" t="s">
        <v>196</v>
      </c>
      <c r="F213" s="1" t="s">
        <v>676</v>
      </c>
      <c r="G213" s="1">
        <v>42.5</v>
      </c>
      <c r="H213" s="1" t="s">
        <v>60</v>
      </c>
      <c r="I213" s="1">
        <v>-114.0</v>
      </c>
      <c r="J213" s="1">
        <v>-0.118494394354205</v>
      </c>
      <c r="K213" s="1" t="s">
        <v>61</v>
      </c>
      <c r="L213" s="1" t="s">
        <v>61</v>
      </c>
      <c r="M213" s="1" t="s">
        <v>62</v>
      </c>
      <c r="N213" s="1">
        <v>-110.0</v>
      </c>
      <c r="O213" s="1">
        <v>0.0619843729059047</v>
      </c>
      <c r="P213" s="1" t="s">
        <v>61</v>
      </c>
      <c r="Q213" s="1" t="s">
        <v>61</v>
      </c>
      <c r="R213" s="1">
        <f t="shared" si="1"/>
        <v>0.06198437291</v>
      </c>
      <c r="S213" s="1">
        <f t="shared" si="2"/>
        <v>-110</v>
      </c>
      <c r="T213" s="1">
        <f t="shared" si="3"/>
        <v>1.909090909</v>
      </c>
      <c r="U213" s="1">
        <f t="shared" si="4"/>
        <v>0</v>
      </c>
      <c r="V213" s="3">
        <f t="shared" si="5"/>
        <v>2</v>
      </c>
      <c r="W213" s="3">
        <f t="shared" si="6"/>
        <v>2</v>
      </c>
      <c r="X213" s="3" t="str">
        <f>IFERROR(__xludf.DUMMYFUNCTION("split(B213,"" "")"),"D.")</f>
        <v>D.</v>
      </c>
      <c r="Y213" s="3" t="str">
        <f>IFERROR(__xludf.DUMMYFUNCTION("""COMPUTED_VALUE"""),"Achane")</f>
        <v>Achane</v>
      </c>
      <c r="AA213" s="8">
        <v>15.0</v>
      </c>
      <c r="AB213" s="3">
        <f t="shared" si="7"/>
        <v>0</v>
      </c>
      <c r="AC213" s="3">
        <f t="shared" si="8"/>
        <v>1</v>
      </c>
      <c r="AD213" s="3">
        <f t="shared" si="9"/>
        <v>1.818181818</v>
      </c>
      <c r="AE213" s="3">
        <f t="shared" si="10"/>
        <v>1.818181818</v>
      </c>
      <c r="AF213" s="3">
        <f t="shared" si="11"/>
        <v>1.818181818</v>
      </c>
      <c r="AG213" s="3">
        <f t="shared" si="12"/>
        <v>0.6470588235</v>
      </c>
    </row>
    <row r="214">
      <c r="A214" s="1" t="s">
        <v>15</v>
      </c>
      <c r="B214" s="1" t="s">
        <v>316</v>
      </c>
      <c r="C214" s="1" t="s">
        <v>21</v>
      </c>
      <c r="D214" s="1" t="s">
        <v>94</v>
      </c>
      <c r="E214" s="1" t="s">
        <v>196</v>
      </c>
      <c r="F214" s="1" t="s">
        <v>676</v>
      </c>
      <c r="G214" s="1">
        <v>22.5</v>
      </c>
      <c r="H214" s="1" t="s">
        <v>60</v>
      </c>
      <c r="I214" s="1">
        <v>-104.0</v>
      </c>
      <c r="J214" s="1">
        <v>0.0552980392156862</v>
      </c>
      <c r="K214" s="1" t="s">
        <v>61</v>
      </c>
      <c r="L214" s="1" t="s">
        <v>61</v>
      </c>
      <c r="M214" s="1" t="s">
        <v>62</v>
      </c>
      <c r="N214" s="1">
        <v>-126.0</v>
      </c>
      <c r="O214" s="1">
        <v>-0.122610619469026</v>
      </c>
      <c r="P214" s="1" t="s">
        <v>61</v>
      </c>
      <c r="Q214" s="1" t="s">
        <v>61</v>
      </c>
      <c r="R214" s="1">
        <f t="shared" si="1"/>
        <v>0.05529803922</v>
      </c>
      <c r="S214" s="1">
        <f t="shared" si="2"/>
        <v>-104</v>
      </c>
      <c r="T214" s="1">
        <f t="shared" si="3"/>
        <v>1.961538462</v>
      </c>
      <c r="U214" s="1">
        <f t="shared" si="4"/>
        <v>1</v>
      </c>
      <c r="V214" s="3">
        <f t="shared" si="5"/>
        <v>2</v>
      </c>
      <c r="W214" s="3">
        <f t="shared" si="6"/>
        <v>2</v>
      </c>
      <c r="X214" s="3" t="str">
        <f>IFERROR(__xludf.DUMMYFUNCTION("split(B214,"" "")"),"T.")</f>
        <v>T.</v>
      </c>
      <c r="Y214" s="3" t="str">
        <f>IFERROR(__xludf.DUMMYFUNCTION("""COMPUTED_VALUE"""),"Tagovailoa")</f>
        <v>Tagovailoa</v>
      </c>
      <c r="AA214" s="8">
        <v>20.0</v>
      </c>
      <c r="AB214" s="3">
        <f t="shared" si="7"/>
        <v>0</v>
      </c>
      <c r="AC214" s="3">
        <f t="shared" si="8"/>
        <v>0</v>
      </c>
      <c r="AD214" s="3">
        <f t="shared" si="9"/>
        <v>1.923076923</v>
      </c>
      <c r="AE214" s="3">
        <f t="shared" si="10"/>
        <v>-2</v>
      </c>
      <c r="AF214" s="3">
        <f t="shared" si="11"/>
        <v>-2</v>
      </c>
      <c r="AG214" s="3">
        <f t="shared" si="12"/>
        <v>-0.1111111111</v>
      </c>
    </row>
    <row r="215">
      <c r="A215" s="1" t="s">
        <v>10</v>
      </c>
      <c r="B215" s="1" t="s">
        <v>316</v>
      </c>
      <c r="C215" s="1" t="s">
        <v>21</v>
      </c>
      <c r="D215" s="1" t="s">
        <v>94</v>
      </c>
      <c r="E215" s="1" t="s">
        <v>196</v>
      </c>
      <c r="F215" s="1" t="s">
        <v>676</v>
      </c>
      <c r="G215" s="1">
        <v>5.5</v>
      </c>
      <c r="H215" s="1" t="s">
        <v>60</v>
      </c>
      <c r="I215" s="1">
        <v>-110.0</v>
      </c>
      <c r="J215" s="1">
        <v>0.0329581343083054</v>
      </c>
      <c r="K215" s="1" t="s">
        <v>61</v>
      </c>
      <c r="L215" s="1" t="s">
        <v>61</v>
      </c>
      <c r="M215" s="1" t="s">
        <v>62</v>
      </c>
      <c r="N215" s="1">
        <v>-119.0</v>
      </c>
      <c r="O215" s="1">
        <v>-0.100113871066874</v>
      </c>
      <c r="P215" s="1" t="s">
        <v>61</v>
      </c>
      <c r="Q215" s="1" t="s">
        <v>61</v>
      </c>
      <c r="R215" s="1">
        <f t="shared" si="1"/>
        <v>0.03295813431</v>
      </c>
      <c r="S215" s="1">
        <f t="shared" si="2"/>
        <v>-110</v>
      </c>
      <c r="T215" s="1">
        <f t="shared" si="3"/>
        <v>1.909090909</v>
      </c>
      <c r="U215" s="1">
        <f t="shared" si="4"/>
        <v>1</v>
      </c>
      <c r="V215" s="3">
        <f t="shared" si="5"/>
        <v>1</v>
      </c>
      <c r="W215" s="3">
        <f t="shared" si="6"/>
        <v>2</v>
      </c>
      <c r="X215" s="3" t="str">
        <f>IFERROR(__xludf.DUMMYFUNCTION("split(B215,"" "")"),"T.")</f>
        <v>T.</v>
      </c>
      <c r="Y215" s="3" t="str">
        <f>IFERROR(__xludf.DUMMYFUNCTION("""COMPUTED_VALUE"""),"Tagovailoa")</f>
        <v>Tagovailoa</v>
      </c>
      <c r="AA215" s="8">
        <v>-1.0</v>
      </c>
      <c r="AB215" s="3">
        <f t="shared" si="7"/>
        <v>0</v>
      </c>
      <c r="AC215" s="3">
        <f t="shared" si="8"/>
        <v>0</v>
      </c>
      <c r="AD215" s="3">
        <f t="shared" si="9"/>
        <v>0.9090909091</v>
      </c>
      <c r="AE215" s="3">
        <f t="shared" si="10"/>
        <v>-1</v>
      </c>
      <c r="AF215" s="3">
        <f t="shared" si="11"/>
        <v>-2</v>
      </c>
      <c r="AG215" s="3">
        <f t="shared" si="12"/>
        <v>-1.181818182</v>
      </c>
    </row>
    <row r="216">
      <c r="A216" s="1" t="s">
        <v>11</v>
      </c>
      <c r="B216" s="1" t="s">
        <v>220</v>
      </c>
      <c r="C216" s="1" t="s">
        <v>20</v>
      </c>
      <c r="D216" s="1" t="s">
        <v>94</v>
      </c>
      <c r="E216" s="1" t="s">
        <v>196</v>
      </c>
      <c r="F216" s="1" t="s">
        <v>676</v>
      </c>
      <c r="G216" s="1">
        <v>36.5</v>
      </c>
      <c r="H216" s="1" t="s">
        <v>60</v>
      </c>
      <c r="I216" s="1">
        <v>-112.0</v>
      </c>
      <c r="J216" s="1">
        <v>-0.0929169340449057</v>
      </c>
      <c r="K216" s="1" t="s">
        <v>61</v>
      </c>
      <c r="L216" s="1" t="s">
        <v>61</v>
      </c>
      <c r="M216" s="1" t="s">
        <v>62</v>
      </c>
      <c r="N216" s="1">
        <v>-117.0</v>
      </c>
      <c r="O216" s="1">
        <v>0.0254884934452461</v>
      </c>
      <c r="P216" s="1" t="s">
        <v>61</v>
      </c>
      <c r="Q216" s="1" t="s">
        <v>61</v>
      </c>
      <c r="R216" s="1">
        <f t="shared" si="1"/>
        <v>0.02548849345</v>
      </c>
      <c r="S216" s="1">
        <f t="shared" si="2"/>
        <v>-117</v>
      </c>
      <c r="T216" s="1">
        <f t="shared" si="3"/>
        <v>1.854700855</v>
      </c>
      <c r="U216" s="1">
        <f t="shared" si="4"/>
        <v>0</v>
      </c>
      <c r="V216" s="3">
        <f t="shared" si="5"/>
        <v>1</v>
      </c>
      <c r="W216" s="3">
        <f t="shared" si="6"/>
        <v>2</v>
      </c>
      <c r="X216" s="3" t="str">
        <f>IFERROR(__xludf.DUMMYFUNCTION("split(B216,"" "")"),"J.")</f>
        <v>J.</v>
      </c>
      <c r="Y216" s="3" t="str">
        <f>IFERROR(__xludf.DUMMYFUNCTION("""COMPUTED_VALUE"""),"Smith")</f>
        <v>Smith</v>
      </c>
      <c r="AA216" s="8">
        <v>45.0</v>
      </c>
      <c r="AB216" s="3">
        <f t="shared" si="7"/>
        <v>1</v>
      </c>
      <c r="AC216" s="3">
        <f t="shared" si="8"/>
        <v>0</v>
      </c>
      <c r="AD216" s="3">
        <f t="shared" si="9"/>
        <v>0.8547008547</v>
      </c>
      <c r="AE216" s="3">
        <f t="shared" si="10"/>
        <v>-1</v>
      </c>
      <c r="AF216" s="3">
        <f t="shared" si="11"/>
        <v>-2</v>
      </c>
      <c r="AG216" s="3">
        <f t="shared" si="12"/>
        <v>-0.2328767123</v>
      </c>
    </row>
    <row r="217">
      <c r="A217" s="1" t="s">
        <v>9</v>
      </c>
      <c r="B217" s="1" t="s">
        <v>289</v>
      </c>
      <c r="C217" s="1" t="s">
        <v>19</v>
      </c>
      <c r="D217" s="1" t="s">
        <v>94</v>
      </c>
      <c r="E217" s="1" t="s">
        <v>196</v>
      </c>
      <c r="F217" s="1" t="s">
        <v>676</v>
      </c>
      <c r="G217" s="1">
        <v>102.5</v>
      </c>
      <c r="H217" s="1" t="s">
        <v>60</v>
      </c>
      <c r="I217" s="1">
        <v>-117.0</v>
      </c>
      <c r="J217" s="1">
        <v>-0.0990310366713851</v>
      </c>
      <c r="K217" s="1" t="s">
        <v>61</v>
      </c>
      <c r="L217" s="1" t="s">
        <v>61</v>
      </c>
      <c r="M217" s="1" t="s">
        <v>62</v>
      </c>
      <c r="N217" s="1">
        <v>-115.0</v>
      </c>
      <c r="O217" s="1">
        <v>0.024954143363252</v>
      </c>
      <c r="P217" s="1" t="s">
        <v>61</v>
      </c>
      <c r="Q217" s="1" t="s">
        <v>61</v>
      </c>
      <c r="R217" s="1">
        <f t="shared" si="1"/>
        <v>0.02495414336</v>
      </c>
      <c r="S217" s="1">
        <f t="shared" si="2"/>
        <v>-115</v>
      </c>
      <c r="T217" s="1">
        <f t="shared" si="3"/>
        <v>1.869565217</v>
      </c>
      <c r="U217" s="1">
        <f t="shared" si="4"/>
        <v>0</v>
      </c>
      <c r="V217" s="3">
        <f t="shared" si="5"/>
        <v>1</v>
      </c>
      <c r="W217" s="3">
        <f t="shared" si="6"/>
        <v>2</v>
      </c>
      <c r="X217" s="3" t="str">
        <f>IFERROR(__xludf.DUMMYFUNCTION("split(B217,"" "")"),"D.")</f>
        <v>D.</v>
      </c>
      <c r="Y217" s="3" t="str">
        <f>IFERROR(__xludf.DUMMYFUNCTION("""COMPUTED_VALUE"""),"Achane")</f>
        <v>Achane</v>
      </c>
      <c r="AA217" s="8">
        <v>52.0</v>
      </c>
      <c r="AB217" s="3">
        <f t="shared" si="7"/>
        <v>0</v>
      </c>
      <c r="AC217" s="3">
        <f t="shared" si="8"/>
        <v>1</v>
      </c>
      <c r="AD217" s="3">
        <f t="shared" si="9"/>
        <v>0.8695652174</v>
      </c>
      <c r="AE217" s="3">
        <f t="shared" si="10"/>
        <v>0.8695652174</v>
      </c>
      <c r="AF217" s="3">
        <f t="shared" si="11"/>
        <v>1.739130435</v>
      </c>
      <c r="AG217" s="3">
        <f t="shared" si="12"/>
        <v>0.4926829268</v>
      </c>
    </row>
    <row r="218">
      <c r="A218" s="1" t="s">
        <v>9</v>
      </c>
      <c r="B218" s="1" t="s">
        <v>280</v>
      </c>
      <c r="C218" s="1" t="s">
        <v>19</v>
      </c>
      <c r="D218" s="1" t="s">
        <v>94</v>
      </c>
      <c r="E218" s="1" t="s">
        <v>196</v>
      </c>
      <c r="F218" s="1" t="s">
        <v>676</v>
      </c>
      <c r="G218" s="1">
        <v>39.5</v>
      </c>
      <c r="H218" s="1" t="s">
        <v>60</v>
      </c>
      <c r="I218" s="1">
        <v>-114.0</v>
      </c>
      <c r="J218" s="1">
        <v>0.0248053154382732</v>
      </c>
      <c r="K218" s="1" t="s">
        <v>61</v>
      </c>
      <c r="L218" s="1" t="s">
        <v>61</v>
      </c>
      <c r="M218" s="1" t="s">
        <v>62</v>
      </c>
      <c r="N218" s="1">
        <v>-117.0</v>
      </c>
      <c r="O218" s="1">
        <v>-0.096719266725506</v>
      </c>
      <c r="P218" s="1" t="s">
        <v>61</v>
      </c>
      <c r="Q218" s="1" t="s">
        <v>61</v>
      </c>
      <c r="R218" s="1">
        <f t="shared" si="1"/>
        <v>0.02480531544</v>
      </c>
      <c r="S218" s="1">
        <f t="shared" si="2"/>
        <v>-114</v>
      </c>
      <c r="T218" s="1">
        <f t="shared" si="3"/>
        <v>1.877192982</v>
      </c>
      <c r="U218" s="1">
        <f t="shared" si="4"/>
        <v>1</v>
      </c>
      <c r="V218" s="3">
        <f t="shared" si="5"/>
        <v>1</v>
      </c>
      <c r="W218" s="3">
        <f t="shared" si="6"/>
        <v>2</v>
      </c>
      <c r="X218" s="3" t="str">
        <f>IFERROR(__xludf.DUMMYFUNCTION("split(B218,"" "")"),"R.")</f>
        <v>R.</v>
      </c>
      <c r="Y218" s="3" t="str">
        <f>IFERROR(__xludf.DUMMYFUNCTION("""COMPUTED_VALUE"""),"Mostert")</f>
        <v>Mostert</v>
      </c>
      <c r="AA218" s="8">
        <v>34.0</v>
      </c>
      <c r="AB218" s="3">
        <f t="shared" si="7"/>
        <v>0</v>
      </c>
      <c r="AC218" s="3">
        <f t="shared" si="8"/>
        <v>0</v>
      </c>
      <c r="AD218" s="3">
        <f t="shared" si="9"/>
        <v>0.8771929825</v>
      </c>
      <c r="AE218" s="3">
        <f t="shared" si="10"/>
        <v>-1</v>
      </c>
      <c r="AF218" s="3">
        <f t="shared" si="11"/>
        <v>-2</v>
      </c>
      <c r="AG218" s="3">
        <f t="shared" si="12"/>
        <v>-0.1392405063</v>
      </c>
    </row>
    <row r="219">
      <c r="A219" s="1" t="s">
        <v>17</v>
      </c>
      <c r="B219" s="1" t="s">
        <v>316</v>
      </c>
      <c r="C219" s="1" t="s">
        <v>21</v>
      </c>
      <c r="D219" s="1" t="s">
        <v>94</v>
      </c>
      <c r="E219" s="1" t="s">
        <v>196</v>
      </c>
      <c r="F219" s="1" t="s">
        <v>676</v>
      </c>
      <c r="G219" s="1">
        <v>0.5</v>
      </c>
      <c r="H219" s="1" t="s">
        <v>60</v>
      </c>
      <c r="I219" s="1">
        <v>-120.0</v>
      </c>
      <c r="J219" s="1">
        <v>-0.0895545454545454</v>
      </c>
      <c r="K219" s="1" t="s">
        <v>61</v>
      </c>
      <c r="L219" s="1" t="s">
        <v>61</v>
      </c>
      <c r="M219" s="1" t="s">
        <v>62</v>
      </c>
      <c r="N219" s="1">
        <v>-109.0</v>
      </c>
      <c r="O219" s="1">
        <v>0.0225688995215311</v>
      </c>
      <c r="P219" s="1" t="s">
        <v>61</v>
      </c>
      <c r="Q219" s="1" t="s">
        <v>61</v>
      </c>
      <c r="R219" s="1">
        <f t="shared" si="1"/>
        <v>0.02256889952</v>
      </c>
      <c r="S219" s="1">
        <f t="shared" si="2"/>
        <v>-109</v>
      </c>
      <c r="T219" s="1">
        <f t="shared" si="3"/>
        <v>1.917431193</v>
      </c>
      <c r="U219" s="1">
        <f t="shared" si="4"/>
        <v>0</v>
      </c>
      <c r="V219" s="3">
        <f t="shared" si="5"/>
        <v>1</v>
      </c>
      <c r="W219" s="3">
        <f t="shared" si="6"/>
        <v>2</v>
      </c>
      <c r="X219" s="3" t="str">
        <f>IFERROR(__xludf.DUMMYFUNCTION("split(B219,"" "")"),"T.")</f>
        <v>T.</v>
      </c>
      <c r="Y219" s="3" t="str">
        <f>IFERROR(__xludf.DUMMYFUNCTION("""COMPUTED_VALUE"""),"Tagovailoa")</f>
        <v>Tagovailoa</v>
      </c>
      <c r="AA219" s="8">
        <v>1.0</v>
      </c>
      <c r="AB219" s="3">
        <f t="shared" si="7"/>
        <v>1</v>
      </c>
      <c r="AC219" s="3">
        <f t="shared" si="8"/>
        <v>0</v>
      </c>
      <c r="AD219" s="3">
        <f t="shared" si="9"/>
        <v>0.9174311927</v>
      </c>
      <c r="AE219" s="3">
        <f t="shared" si="10"/>
        <v>-1</v>
      </c>
      <c r="AF219" s="3">
        <f t="shared" si="11"/>
        <v>-2</v>
      </c>
      <c r="AG219" s="3">
        <f t="shared" si="12"/>
        <v>-1</v>
      </c>
    </row>
    <row r="220">
      <c r="A220" s="1" t="s">
        <v>12</v>
      </c>
      <c r="B220" s="1" t="s">
        <v>475</v>
      </c>
      <c r="C220" s="1" t="s">
        <v>18</v>
      </c>
      <c r="D220" s="1" t="s">
        <v>94</v>
      </c>
      <c r="E220" s="1" t="s">
        <v>196</v>
      </c>
      <c r="F220" s="1" t="s">
        <v>676</v>
      </c>
      <c r="G220" s="1">
        <v>3.5</v>
      </c>
      <c r="H220" s="1" t="s">
        <v>60</v>
      </c>
      <c r="I220" s="1">
        <v>-125.0</v>
      </c>
      <c r="J220" s="1">
        <v>-0.0830555555555555</v>
      </c>
      <c r="K220" s="1" t="s">
        <v>61</v>
      </c>
      <c r="L220" s="1" t="s">
        <v>61</v>
      </c>
      <c r="M220" s="1" t="s">
        <v>62</v>
      </c>
      <c r="N220" s="1">
        <v>-105.0</v>
      </c>
      <c r="O220" s="1">
        <v>0.0153048780487804</v>
      </c>
      <c r="P220" s="1" t="s">
        <v>61</v>
      </c>
      <c r="Q220" s="1" t="s">
        <v>61</v>
      </c>
      <c r="R220" s="1">
        <f t="shared" si="1"/>
        <v>0.01530487805</v>
      </c>
      <c r="S220" s="1">
        <f t="shared" si="2"/>
        <v>-105</v>
      </c>
      <c r="T220" s="1">
        <f t="shared" si="3"/>
        <v>1.952380952</v>
      </c>
      <c r="U220" s="1">
        <f t="shared" si="4"/>
        <v>0</v>
      </c>
      <c r="V220" s="3">
        <f t="shared" si="5"/>
        <v>1</v>
      </c>
      <c r="W220" s="3">
        <f t="shared" si="6"/>
        <v>2</v>
      </c>
      <c r="X220" s="3" t="str">
        <f>IFERROR(__xludf.DUMMYFUNCTION("split(B220,"" "")"),"J.")</f>
        <v>J.</v>
      </c>
      <c r="Y220" s="3" t="str">
        <f>IFERROR(__xludf.DUMMYFUNCTION("""COMPUTED_VALUE"""),"Waddle")</f>
        <v>Waddle</v>
      </c>
      <c r="AA220" s="8">
        <v>3.0</v>
      </c>
      <c r="AB220" s="3">
        <f t="shared" si="7"/>
        <v>0</v>
      </c>
      <c r="AC220" s="3">
        <f t="shared" si="8"/>
        <v>1</v>
      </c>
      <c r="AD220" s="3">
        <f t="shared" si="9"/>
        <v>0.9523809524</v>
      </c>
      <c r="AE220" s="3">
        <f t="shared" si="10"/>
        <v>0.9523809524</v>
      </c>
      <c r="AF220" s="3">
        <f t="shared" si="11"/>
        <v>1.904761905</v>
      </c>
      <c r="AG220" s="3">
        <f t="shared" si="12"/>
        <v>0.1428571429</v>
      </c>
    </row>
    <row r="221">
      <c r="A221" s="1" t="s">
        <v>10</v>
      </c>
      <c r="B221" s="1" t="s">
        <v>289</v>
      </c>
      <c r="C221" s="1" t="s">
        <v>19</v>
      </c>
      <c r="D221" s="1" t="s">
        <v>94</v>
      </c>
      <c r="E221" s="1" t="s">
        <v>196</v>
      </c>
      <c r="F221" s="1" t="s">
        <v>676</v>
      </c>
      <c r="G221" s="1">
        <v>54.5</v>
      </c>
      <c r="H221" s="1" t="s">
        <v>60</v>
      </c>
      <c r="I221" s="1">
        <v>-114.0</v>
      </c>
      <c r="J221" s="1">
        <v>-0.070451761985964</v>
      </c>
      <c r="K221" s="1" t="s">
        <v>61</v>
      </c>
      <c r="L221" s="1" t="s">
        <v>61</v>
      </c>
      <c r="M221" s="1" t="s">
        <v>62</v>
      </c>
      <c r="N221" s="1">
        <v>-110.0</v>
      </c>
      <c r="O221" s="1">
        <v>0.0139477317652949</v>
      </c>
      <c r="P221" s="1" t="s">
        <v>61</v>
      </c>
      <c r="Q221" s="1" t="s">
        <v>61</v>
      </c>
      <c r="R221" s="1">
        <f t="shared" si="1"/>
        <v>0.01394773177</v>
      </c>
      <c r="S221" s="1">
        <f t="shared" si="2"/>
        <v>-110</v>
      </c>
      <c r="T221" s="1">
        <f t="shared" si="3"/>
        <v>1.909090909</v>
      </c>
      <c r="U221" s="1">
        <f t="shared" si="4"/>
        <v>0</v>
      </c>
      <c r="V221" s="3">
        <f t="shared" si="5"/>
        <v>1</v>
      </c>
      <c r="W221" s="3">
        <f t="shared" si="6"/>
        <v>2</v>
      </c>
      <c r="X221" s="3" t="str">
        <f>IFERROR(__xludf.DUMMYFUNCTION("split(B221,"" "")"),"D.")</f>
        <v>D.</v>
      </c>
      <c r="Y221" s="3" t="str">
        <f>IFERROR(__xludf.DUMMYFUNCTION("""COMPUTED_VALUE"""),"Achane")</f>
        <v>Achane</v>
      </c>
      <c r="AA221" s="8">
        <v>37.0</v>
      </c>
      <c r="AB221" s="3">
        <f t="shared" si="7"/>
        <v>0</v>
      </c>
      <c r="AC221" s="3">
        <f t="shared" si="8"/>
        <v>1</v>
      </c>
      <c r="AD221" s="3">
        <f t="shared" si="9"/>
        <v>0.9090909091</v>
      </c>
      <c r="AE221" s="3">
        <f t="shared" si="10"/>
        <v>0.9090909091</v>
      </c>
      <c r="AF221" s="3">
        <f t="shared" si="11"/>
        <v>1.818181818</v>
      </c>
      <c r="AG221" s="3">
        <f t="shared" si="12"/>
        <v>0.3211009174</v>
      </c>
    </row>
    <row r="222">
      <c r="A222" s="1" t="s">
        <v>8</v>
      </c>
      <c r="B222" s="1" t="s">
        <v>316</v>
      </c>
      <c r="C222" s="1" t="s">
        <v>21</v>
      </c>
      <c r="D222" s="1" t="s">
        <v>94</v>
      </c>
      <c r="E222" s="1" t="s">
        <v>196</v>
      </c>
      <c r="F222" s="1" t="s">
        <v>676</v>
      </c>
      <c r="G222" s="1">
        <v>2.5</v>
      </c>
      <c r="H222" s="1" t="s">
        <v>60</v>
      </c>
      <c r="I222" s="1">
        <v>118.0</v>
      </c>
      <c r="J222" s="1">
        <v>-0.0831582836453788</v>
      </c>
      <c r="K222" s="1" t="s">
        <v>61</v>
      </c>
      <c r="L222" s="1" t="s">
        <v>61</v>
      </c>
      <c r="M222" s="1" t="s">
        <v>62</v>
      </c>
      <c r="N222" s="1">
        <v>-157.0</v>
      </c>
      <c r="O222" s="1">
        <v>0.0135532353771261</v>
      </c>
      <c r="P222" s="1" t="s">
        <v>61</v>
      </c>
      <c r="Q222" s="1" t="s">
        <v>61</v>
      </c>
      <c r="R222" s="1">
        <f t="shared" si="1"/>
        <v>0.01355323538</v>
      </c>
      <c r="S222" s="1">
        <f t="shared" si="2"/>
        <v>-157</v>
      </c>
      <c r="T222" s="1">
        <f t="shared" si="3"/>
        <v>1.636942675</v>
      </c>
      <c r="U222" s="1">
        <f t="shared" si="4"/>
        <v>0</v>
      </c>
      <c r="V222" s="3">
        <f t="shared" si="5"/>
        <v>1</v>
      </c>
      <c r="W222" s="3">
        <f t="shared" si="6"/>
        <v>3</v>
      </c>
      <c r="X222" s="3" t="str">
        <f>IFERROR(__xludf.DUMMYFUNCTION("split(B222,"" "")"),"T.")</f>
        <v>T.</v>
      </c>
      <c r="Y222" s="3" t="str">
        <f>IFERROR(__xludf.DUMMYFUNCTION("""COMPUTED_VALUE"""),"Tagovailoa")</f>
        <v>Tagovailoa</v>
      </c>
      <c r="AA222" s="8">
        <v>1.0</v>
      </c>
      <c r="AB222" s="3">
        <f t="shared" si="7"/>
        <v>0</v>
      </c>
      <c r="AC222" s="3">
        <f t="shared" si="8"/>
        <v>1</v>
      </c>
      <c r="AD222" s="3">
        <f t="shared" si="9"/>
        <v>0.6369426752</v>
      </c>
      <c r="AE222" s="3">
        <f t="shared" si="10"/>
        <v>0.6369426752</v>
      </c>
      <c r="AF222" s="3">
        <f t="shared" si="11"/>
        <v>1.910828025</v>
      </c>
      <c r="AG222" s="3">
        <f t="shared" si="12"/>
        <v>0.6</v>
      </c>
    </row>
    <row r="223">
      <c r="A223" s="1" t="s">
        <v>14</v>
      </c>
      <c r="B223" s="1" t="s">
        <v>316</v>
      </c>
      <c r="C223" s="1" t="s">
        <v>21</v>
      </c>
      <c r="D223" s="1" t="s">
        <v>94</v>
      </c>
      <c r="E223" s="1" t="s">
        <v>196</v>
      </c>
      <c r="F223" s="1" t="s">
        <v>676</v>
      </c>
      <c r="G223" s="1">
        <v>1.5</v>
      </c>
      <c r="H223" s="1" t="s">
        <v>60</v>
      </c>
      <c r="I223" s="1">
        <v>-114.0</v>
      </c>
      <c r="J223" s="1">
        <v>-0.0746037383177569</v>
      </c>
      <c r="K223" s="1" t="s">
        <v>61</v>
      </c>
      <c r="L223" s="1" t="s">
        <v>61</v>
      </c>
      <c r="M223" s="1" t="s">
        <v>62</v>
      </c>
      <c r="N223" s="1">
        <v>-114.0</v>
      </c>
      <c r="O223" s="1">
        <v>0.00919626168224307</v>
      </c>
      <c r="P223" s="1" t="s">
        <v>61</v>
      </c>
      <c r="Q223" s="1" t="s">
        <v>61</v>
      </c>
      <c r="R223" s="1">
        <f t="shared" si="1"/>
        <v>0.009196261682</v>
      </c>
      <c r="S223" s="1">
        <f t="shared" si="2"/>
        <v>-114</v>
      </c>
      <c r="T223" s="1">
        <f t="shared" si="3"/>
        <v>1.877192982</v>
      </c>
      <c r="U223" s="1">
        <f t="shared" si="4"/>
        <v>0</v>
      </c>
      <c r="V223" s="3">
        <f t="shared" si="5"/>
        <v>1</v>
      </c>
      <c r="W223" s="3">
        <f t="shared" si="6"/>
        <v>2</v>
      </c>
      <c r="X223" s="3" t="str">
        <f>IFERROR(__xludf.DUMMYFUNCTION("split(B223,"" "")"),"T.")</f>
        <v>T.</v>
      </c>
      <c r="Y223" s="3" t="str">
        <f>IFERROR(__xludf.DUMMYFUNCTION("""COMPUTED_VALUE"""),"Tagovailoa")</f>
        <v>Tagovailoa</v>
      </c>
      <c r="AA223" s="8">
        <v>1.0</v>
      </c>
      <c r="AB223" s="3">
        <f t="shared" si="7"/>
        <v>0</v>
      </c>
      <c r="AC223" s="3">
        <f t="shared" si="8"/>
        <v>1</v>
      </c>
      <c r="AD223" s="3">
        <f t="shared" si="9"/>
        <v>0.8771929825</v>
      </c>
      <c r="AE223" s="3">
        <f t="shared" si="10"/>
        <v>0.8771929825</v>
      </c>
      <c r="AF223" s="3">
        <f t="shared" si="11"/>
        <v>1.754385965</v>
      </c>
      <c r="AG223" s="3">
        <f t="shared" si="12"/>
        <v>0.3333333333</v>
      </c>
    </row>
    <row r="224">
      <c r="A224" s="1" t="s">
        <v>12</v>
      </c>
      <c r="B224" s="1" t="s">
        <v>289</v>
      </c>
      <c r="C224" s="1" t="s">
        <v>19</v>
      </c>
      <c r="D224" s="1" t="s">
        <v>94</v>
      </c>
      <c r="E224" s="1" t="s">
        <v>196</v>
      </c>
      <c r="F224" s="1" t="s">
        <v>676</v>
      </c>
      <c r="G224" s="1">
        <v>5.5</v>
      </c>
      <c r="H224" s="1" t="s">
        <v>60</v>
      </c>
      <c r="I224" s="1">
        <v>104.0</v>
      </c>
      <c r="J224" s="1">
        <v>0.00705490196078423</v>
      </c>
      <c r="K224" s="1" t="s">
        <v>61</v>
      </c>
      <c r="L224" s="1" t="s">
        <v>61</v>
      </c>
      <c r="M224" s="1" t="s">
        <v>62</v>
      </c>
      <c r="N224" s="1">
        <v>-136.0</v>
      </c>
      <c r="O224" s="1">
        <v>-0.0735288135593221</v>
      </c>
      <c r="P224" s="1" t="s">
        <v>61</v>
      </c>
      <c r="Q224" s="1" t="s">
        <v>61</v>
      </c>
      <c r="R224" s="1">
        <f t="shared" si="1"/>
        <v>0.007054901961</v>
      </c>
      <c r="S224" s="1">
        <f t="shared" si="2"/>
        <v>104</v>
      </c>
      <c r="T224" s="1">
        <f t="shared" si="3"/>
        <v>2.04</v>
      </c>
      <c r="U224" s="1">
        <f t="shared" si="4"/>
        <v>1</v>
      </c>
      <c r="V224" s="3">
        <f t="shared" si="5"/>
        <v>1</v>
      </c>
      <c r="W224" s="3">
        <f t="shared" si="6"/>
        <v>2</v>
      </c>
      <c r="X224" s="3" t="str">
        <f>IFERROR(__xludf.DUMMYFUNCTION("split(B224,"" "")"),"D.")</f>
        <v>D.</v>
      </c>
      <c r="Y224" s="3" t="str">
        <f>IFERROR(__xludf.DUMMYFUNCTION("""COMPUTED_VALUE"""),"Achane")</f>
        <v>Achane</v>
      </c>
      <c r="AA224" s="8">
        <v>5.0</v>
      </c>
      <c r="AB224" s="3">
        <f t="shared" si="7"/>
        <v>0</v>
      </c>
      <c r="AC224" s="3">
        <f t="shared" si="8"/>
        <v>0</v>
      </c>
      <c r="AD224" s="3">
        <f t="shared" si="9"/>
        <v>1.04</v>
      </c>
      <c r="AE224" s="3">
        <f t="shared" si="10"/>
        <v>-1</v>
      </c>
      <c r="AF224" s="3">
        <f t="shared" si="11"/>
        <v>-2</v>
      </c>
      <c r="AG224" s="3">
        <f t="shared" si="12"/>
        <v>-0.09090909091</v>
      </c>
    </row>
    <row r="225">
      <c r="A225" s="1" t="s">
        <v>12</v>
      </c>
      <c r="B225" s="1" t="s">
        <v>471</v>
      </c>
      <c r="C225" s="1" t="s">
        <v>20</v>
      </c>
      <c r="D225" s="1" t="s">
        <v>135</v>
      </c>
      <c r="E225" s="1" t="s">
        <v>100</v>
      </c>
      <c r="F225" s="1" t="s">
        <v>671</v>
      </c>
      <c r="G225" s="1">
        <v>2.5</v>
      </c>
      <c r="H225" s="1" t="s">
        <v>60</v>
      </c>
      <c r="I225" s="1">
        <v>-155.0</v>
      </c>
      <c r="J225" s="1">
        <v>-0.274041845058823</v>
      </c>
      <c r="K225" s="1" t="s">
        <v>61</v>
      </c>
      <c r="L225" s="1" t="s">
        <v>61</v>
      </c>
      <c r="M225" s="1" t="s">
        <v>62</v>
      </c>
      <c r="N225" s="1">
        <v>118.0</v>
      </c>
      <c r="O225" s="1">
        <v>0.207482892155963</v>
      </c>
      <c r="P225" s="1" t="s">
        <v>61</v>
      </c>
      <c r="Q225" s="1" t="s">
        <v>61</v>
      </c>
      <c r="R225" s="1">
        <f t="shared" si="1"/>
        <v>0.2074828922</v>
      </c>
      <c r="S225" s="1">
        <f t="shared" si="2"/>
        <v>118</v>
      </c>
      <c r="T225" s="1">
        <f t="shared" si="3"/>
        <v>2.18</v>
      </c>
      <c r="U225" s="1">
        <f t="shared" si="4"/>
        <v>0</v>
      </c>
      <c r="V225" s="3">
        <f t="shared" si="5"/>
        <v>3</v>
      </c>
      <c r="W225" s="3">
        <f t="shared" si="6"/>
        <v>1</v>
      </c>
      <c r="X225" s="3" t="str">
        <f>IFERROR(__xludf.DUMMYFUNCTION("split(B225,"" "")"),"W.")</f>
        <v>W.</v>
      </c>
      <c r="Y225" s="3" t="str">
        <f>IFERROR(__xludf.DUMMYFUNCTION("""COMPUTED_VALUE"""),"Dissly")</f>
        <v>Dissly</v>
      </c>
      <c r="AA225" s="8">
        <v>5.0</v>
      </c>
      <c r="AB225" s="3">
        <f t="shared" si="7"/>
        <v>1</v>
      </c>
      <c r="AC225" s="3">
        <f t="shared" si="8"/>
        <v>0</v>
      </c>
      <c r="AD225" s="3">
        <f t="shared" si="9"/>
        <v>3.54</v>
      </c>
      <c r="AE225" s="3">
        <f t="shared" si="10"/>
        <v>-3</v>
      </c>
      <c r="AF225" s="3">
        <f t="shared" si="11"/>
        <v>-1</v>
      </c>
      <c r="AG225" s="3">
        <f t="shared" si="12"/>
        <v>-1</v>
      </c>
    </row>
    <row r="226">
      <c r="A226" s="1" t="s">
        <v>8</v>
      </c>
      <c r="B226" s="1" t="s">
        <v>405</v>
      </c>
      <c r="C226" s="1" t="s">
        <v>21</v>
      </c>
      <c r="D226" s="1" t="s">
        <v>135</v>
      </c>
      <c r="E226" s="1" t="s">
        <v>100</v>
      </c>
      <c r="F226" s="1" t="s">
        <v>671</v>
      </c>
      <c r="G226" s="1">
        <v>2.5</v>
      </c>
      <c r="H226" s="1" t="s">
        <v>60</v>
      </c>
      <c r="I226" s="1">
        <v>-172.0</v>
      </c>
      <c r="J226" s="1">
        <v>-0.237820936812794</v>
      </c>
      <c r="K226" s="1" t="s">
        <v>61</v>
      </c>
      <c r="L226" s="1" t="s">
        <v>61</v>
      </c>
      <c r="M226" s="1" t="s">
        <v>62</v>
      </c>
      <c r="N226" s="1">
        <v>127.0</v>
      </c>
      <c r="O226" s="1">
        <v>0.164952840586255</v>
      </c>
      <c r="P226" s="1" t="s">
        <v>61</v>
      </c>
      <c r="Q226" s="1" t="s">
        <v>61</v>
      </c>
      <c r="R226" s="1">
        <f t="shared" si="1"/>
        <v>0.1649528406</v>
      </c>
      <c r="S226" s="1">
        <f t="shared" si="2"/>
        <v>127</v>
      </c>
      <c r="T226" s="1">
        <f t="shared" si="3"/>
        <v>2.27</v>
      </c>
      <c r="U226" s="1">
        <f t="shared" si="4"/>
        <v>0</v>
      </c>
      <c r="V226" s="3">
        <f t="shared" si="5"/>
        <v>3</v>
      </c>
      <c r="W226" s="3">
        <f t="shared" si="6"/>
        <v>1</v>
      </c>
      <c r="X226" s="3" t="str">
        <f>IFERROR(__xludf.DUMMYFUNCTION("split(B226,"" "")"),"J.")</f>
        <v>J.</v>
      </c>
      <c r="Y226" s="3" t="str">
        <f>IFERROR(__xludf.DUMMYFUNCTION("""COMPUTED_VALUE"""),"Herbert")</f>
        <v>Herbert</v>
      </c>
      <c r="AA226" s="8">
        <v>9.0</v>
      </c>
      <c r="AB226" s="3">
        <f t="shared" si="7"/>
        <v>1</v>
      </c>
      <c r="AC226" s="3">
        <f t="shared" si="8"/>
        <v>0</v>
      </c>
      <c r="AD226" s="3">
        <f t="shared" si="9"/>
        <v>3.81</v>
      </c>
      <c r="AE226" s="3">
        <f t="shared" si="10"/>
        <v>-3</v>
      </c>
      <c r="AF226" s="3">
        <f t="shared" si="11"/>
        <v>-1</v>
      </c>
      <c r="AG226" s="3">
        <f t="shared" si="12"/>
        <v>-2.6</v>
      </c>
    </row>
    <row r="227">
      <c r="A227" s="1" t="s">
        <v>12</v>
      </c>
      <c r="B227" s="1" t="s">
        <v>381</v>
      </c>
      <c r="C227" s="1" t="s">
        <v>18</v>
      </c>
      <c r="D227" s="1" t="s">
        <v>135</v>
      </c>
      <c r="E227" s="1" t="s">
        <v>100</v>
      </c>
      <c r="F227" s="1" t="s">
        <v>671</v>
      </c>
      <c r="G227" s="1">
        <v>2.5</v>
      </c>
      <c r="H227" s="1" t="s">
        <v>60</v>
      </c>
      <c r="I227" s="1">
        <v>100.0</v>
      </c>
      <c r="J227" s="1">
        <v>-0.161298258349999</v>
      </c>
      <c r="K227" s="1" t="s">
        <v>61</v>
      </c>
      <c r="L227" s="1" t="s">
        <v>61</v>
      </c>
      <c r="M227" s="1" t="s">
        <v>62</v>
      </c>
      <c r="N227" s="1">
        <v>-132.0</v>
      </c>
      <c r="O227" s="1">
        <v>0.0923325008810345</v>
      </c>
      <c r="P227" s="1" t="s">
        <v>61</v>
      </c>
      <c r="Q227" s="1" t="s">
        <v>61</v>
      </c>
      <c r="R227" s="1">
        <f t="shared" si="1"/>
        <v>0.09233250088</v>
      </c>
      <c r="S227" s="1">
        <f t="shared" si="2"/>
        <v>-132</v>
      </c>
      <c r="T227" s="1">
        <f t="shared" si="3"/>
        <v>1.757575758</v>
      </c>
      <c r="U227" s="1">
        <f t="shared" si="4"/>
        <v>0</v>
      </c>
      <c r="V227" s="3">
        <f t="shared" si="5"/>
        <v>2</v>
      </c>
      <c r="W227" s="3">
        <f t="shared" si="6"/>
        <v>3</v>
      </c>
      <c r="X227" s="3" t="str">
        <f>IFERROR(__xludf.DUMMYFUNCTION("split(B227,"" "")"),"J.")</f>
        <v>J.</v>
      </c>
      <c r="Y227" s="3" t="str">
        <f>IFERROR(__xludf.DUMMYFUNCTION("""COMPUTED_VALUE"""),"Palmer")</f>
        <v>Palmer</v>
      </c>
      <c r="AA227" s="8">
        <v>1.0</v>
      </c>
      <c r="AB227" s="3">
        <f t="shared" si="7"/>
        <v>0</v>
      </c>
      <c r="AC227" s="3">
        <f t="shared" si="8"/>
        <v>1</v>
      </c>
      <c r="AD227" s="3">
        <f t="shared" si="9"/>
        <v>1.515151515</v>
      </c>
      <c r="AE227" s="3">
        <f t="shared" si="10"/>
        <v>1.515151515</v>
      </c>
      <c r="AF227" s="3">
        <f t="shared" si="11"/>
        <v>2.272727273</v>
      </c>
      <c r="AG227" s="3">
        <f t="shared" si="12"/>
        <v>0.6</v>
      </c>
    </row>
    <row r="228">
      <c r="A228" s="1" t="s">
        <v>12</v>
      </c>
      <c r="B228" s="1" t="s">
        <v>485</v>
      </c>
      <c r="C228" s="1" t="s">
        <v>19</v>
      </c>
      <c r="D228" s="1" t="s">
        <v>135</v>
      </c>
      <c r="E228" s="1" t="s">
        <v>100</v>
      </c>
      <c r="F228" s="1" t="s">
        <v>671</v>
      </c>
      <c r="G228" s="1">
        <v>2.5</v>
      </c>
      <c r="H228" s="1" t="s">
        <v>60</v>
      </c>
      <c r="I228" s="1">
        <v>-109.0</v>
      </c>
      <c r="J228" s="1">
        <v>-0.147628665358851</v>
      </c>
      <c r="K228" s="1" t="s">
        <v>61</v>
      </c>
      <c r="L228" s="1" t="s">
        <v>61</v>
      </c>
      <c r="M228" s="1" t="s">
        <v>62</v>
      </c>
      <c r="N228" s="1">
        <v>-121.0</v>
      </c>
      <c r="O228" s="1">
        <v>0.0785859012787328</v>
      </c>
      <c r="P228" s="1" t="s">
        <v>61</v>
      </c>
      <c r="Q228" s="1" t="s">
        <v>61</v>
      </c>
      <c r="R228" s="1">
        <f t="shared" si="1"/>
        <v>0.07858590128</v>
      </c>
      <c r="S228" s="1">
        <f t="shared" si="2"/>
        <v>-121</v>
      </c>
      <c r="T228" s="1">
        <f t="shared" si="3"/>
        <v>1.826446281</v>
      </c>
      <c r="U228" s="1">
        <f t="shared" si="4"/>
        <v>0</v>
      </c>
      <c r="V228" s="3">
        <f t="shared" si="5"/>
        <v>2</v>
      </c>
      <c r="W228" s="3">
        <f t="shared" si="6"/>
        <v>3</v>
      </c>
      <c r="X228" s="3" t="str">
        <f>IFERROR(__xludf.DUMMYFUNCTION("split(B228,"" "")"),"J.")</f>
        <v>J.</v>
      </c>
      <c r="Y228" s="3" t="str">
        <f>IFERROR(__xludf.DUMMYFUNCTION("""COMPUTED_VALUE"""),"Dobbins")</f>
        <v>Dobbins</v>
      </c>
      <c r="AA228" s="8">
        <v>3.0</v>
      </c>
      <c r="AB228" s="3">
        <f t="shared" si="7"/>
        <v>1</v>
      </c>
      <c r="AC228" s="3">
        <f t="shared" si="8"/>
        <v>0</v>
      </c>
      <c r="AD228" s="3">
        <f t="shared" si="9"/>
        <v>1.652892562</v>
      </c>
      <c r="AE228" s="3">
        <f t="shared" si="10"/>
        <v>-2</v>
      </c>
      <c r="AF228" s="3">
        <f t="shared" si="11"/>
        <v>-3</v>
      </c>
      <c r="AG228" s="3">
        <f t="shared" si="12"/>
        <v>-0.2</v>
      </c>
    </row>
    <row r="229">
      <c r="A229" s="1" t="s">
        <v>12</v>
      </c>
      <c r="B229" s="1" t="s">
        <v>506</v>
      </c>
      <c r="C229" s="1" t="s">
        <v>18</v>
      </c>
      <c r="D229" s="1" t="s">
        <v>135</v>
      </c>
      <c r="E229" s="1" t="s">
        <v>100</v>
      </c>
      <c r="F229" s="1" t="s">
        <v>671</v>
      </c>
      <c r="G229" s="1">
        <v>3.5</v>
      </c>
      <c r="H229" s="1" t="s">
        <v>60</v>
      </c>
      <c r="I229" s="1">
        <v>122.0</v>
      </c>
      <c r="J229" s="1">
        <v>-0.11615045045045</v>
      </c>
      <c r="K229" s="1" t="s">
        <v>61</v>
      </c>
      <c r="L229" s="1" t="s">
        <v>61</v>
      </c>
      <c r="M229" s="1" t="s">
        <v>62</v>
      </c>
      <c r="N229" s="1">
        <v>-160.0</v>
      </c>
      <c r="O229" s="1">
        <v>0.0503153846153845</v>
      </c>
      <c r="P229" s="1" t="s">
        <v>61</v>
      </c>
      <c r="Q229" s="1" t="s">
        <v>61</v>
      </c>
      <c r="R229" s="1">
        <f t="shared" si="1"/>
        <v>0.05031538462</v>
      </c>
      <c r="S229" s="1">
        <f t="shared" si="2"/>
        <v>-160</v>
      </c>
      <c r="T229" s="1">
        <f t="shared" si="3"/>
        <v>1.625</v>
      </c>
      <c r="U229" s="1">
        <f t="shared" si="4"/>
        <v>0</v>
      </c>
      <c r="V229" s="3">
        <f t="shared" si="5"/>
        <v>2</v>
      </c>
      <c r="W229" s="3">
        <f t="shared" si="6"/>
        <v>3</v>
      </c>
      <c r="X229" s="3" t="str">
        <f>IFERROR(__xludf.DUMMYFUNCTION("split(B229,"" "")"),"Q.")</f>
        <v>Q.</v>
      </c>
      <c r="Y229" s="3" t="str">
        <f>IFERROR(__xludf.DUMMYFUNCTION("""COMPUTED_VALUE"""),"Johnston")</f>
        <v>Johnston</v>
      </c>
      <c r="AA229" s="8">
        <v>2.0</v>
      </c>
      <c r="AB229" s="3">
        <f t="shared" si="7"/>
        <v>0</v>
      </c>
      <c r="AC229" s="3">
        <f t="shared" si="8"/>
        <v>1</v>
      </c>
      <c r="AD229" s="3">
        <f t="shared" si="9"/>
        <v>1.25</v>
      </c>
      <c r="AE229" s="3">
        <f t="shared" si="10"/>
        <v>1.25</v>
      </c>
      <c r="AF229" s="3">
        <f t="shared" si="11"/>
        <v>1.875</v>
      </c>
      <c r="AG229" s="3">
        <f t="shared" si="12"/>
        <v>0.4285714286</v>
      </c>
    </row>
    <row r="230">
      <c r="A230" s="1" t="s">
        <v>11</v>
      </c>
      <c r="B230" s="1" t="s">
        <v>506</v>
      </c>
      <c r="C230" s="1" t="s">
        <v>18</v>
      </c>
      <c r="D230" s="1" t="s">
        <v>135</v>
      </c>
      <c r="E230" s="1" t="s">
        <v>100</v>
      </c>
      <c r="F230" s="1" t="s">
        <v>671</v>
      </c>
      <c r="G230" s="1">
        <v>40.5</v>
      </c>
      <c r="H230" s="1" t="s">
        <v>60</v>
      </c>
      <c r="I230" s="1">
        <v>-112.0</v>
      </c>
      <c r="J230" s="1">
        <v>-0.105641678504245</v>
      </c>
      <c r="K230" s="1" t="s">
        <v>61</v>
      </c>
      <c r="L230" s="1" t="s">
        <v>61</v>
      </c>
      <c r="M230" s="1" t="s">
        <v>62</v>
      </c>
      <c r="N230" s="1">
        <v>-113.0</v>
      </c>
      <c r="O230" s="1">
        <v>0.0468277962685306</v>
      </c>
      <c r="P230" s="1" t="s">
        <v>61</v>
      </c>
      <c r="Q230" s="1" t="s">
        <v>61</v>
      </c>
      <c r="R230" s="1">
        <f t="shared" si="1"/>
        <v>0.04682779627</v>
      </c>
      <c r="S230" s="1">
        <f t="shared" si="2"/>
        <v>-113</v>
      </c>
      <c r="T230" s="1">
        <f t="shared" si="3"/>
        <v>1.884955752</v>
      </c>
      <c r="U230" s="1">
        <f t="shared" si="4"/>
        <v>0</v>
      </c>
      <c r="V230" s="3">
        <f t="shared" si="5"/>
        <v>1</v>
      </c>
      <c r="W230" s="3">
        <f t="shared" si="6"/>
        <v>2</v>
      </c>
      <c r="X230" s="3" t="str">
        <f>IFERROR(__xludf.DUMMYFUNCTION("split(B230,"" "")"),"Q.")</f>
        <v>Q.</v>
      </c>
      <c r="Y230" s="3" t="str">
        <f>IFERROR(__xludf.DUMMYFUNCTION("""COMPUTED_VALUE"""),"Johnston")</f>
        <v>Johnston</v>
      </c>
      <c r="AA230" s="8">
        <v>24.0</v>
      </c>
      <c r="AB230" s="3">
        <f t="shared" si="7"/>
        <v>0</v>
      </c>
      <c r="AC230" s="3">
        <f t="shared" si="8"/>
        <v>1</v>
      </c>
      <c r="AD230" s="3">
        <f t="shared" si="9"/>
        <v>0.8849557522</v>
      </c>
      <c r="AE230" s="3">
        <f t="shared" si="10"/>
        <v>0.8849557522</v>
      </c>
      <c r="AF230" s="3">
        <f t="shared" si="11"/>
        <v>1.769911504</v>
      </c>
      <c r="AG230" s="3">
        <f t="shared" si="12"/>
        <v>0.4074074074</v>
      </c>
    </row>
    <row r="231">
      <c r="A231" s="1" t="s">
        <v>8</v>
      </c>
      <c r="B231" s="1" t="s">
        <v>485</v>
      </c>
      <c r="C231" s="1" t="s">
        <v>19</v>
      </c>
      <c r="D231" s="1" t="s">
        <v>135</v>
      </c>
      <c r="E231" s="1" t="s">
        <v>100</v>
      </c>
      <c r="F231" s="1" t="s">
        <v>671</v>
      </c>
      <c r="G231" s="1">
        <v>15.5</v>
      </c>
      <c r="H231" s="1" t="s">
        <v>60</v>
      </c>
      <c r="I231" s="1">
        <v>-119.0</v>
      </c>
      <c r="J231" s="1">
        <v>-0.111833125515981</v>
      </c>
      <c r="K231" s="1" t="s">
        <v>61</v>
      </c>
      <c r="L231" s="1" t="s">
        <v>61</v>
      </c>
      <c r="M231" s="1" t="s">
        <v>62</v>
      </c>
      <c r="N231" s="1">
        <v>-112.0</v>
      </c>
      <c r="O231" s="1">
        <v>0.0401450425781131</v>
      </c>
      <c r="P231" s="1" t="s">
        <v>61</v>
      </c>
      <c r="Q231" s="1" t="s">
        <v>61</v>
      </c>
      <c r="R231" s="1">
        <f t="shared" si="1"/>
        <v>0.04014504258</v>
      </c>
      <c r="S231" s="1">
        <f t="shared" si="2"/>
        <v>-112</v>
      </c>
      <c r="T231" s="1">
        <f t="shared" si="3"/>
        <v>1.892857143</v>
      </c>
      <c r="U231" s="1">
        <f t="shared" si="4"/>
        <v>0</v>
      </c>
      <c r="V231" s="3">
        <f t="shared" si="5"/>
        <v>1</v>
      </c>
      <c r="W231" s="3">
        <f t="shared" si="6"/>
        <v>2</v>
      </c>
      <c r="X231" s="3" t="str">
        <f>IFERROR(__xludf.DUMMYFUNCTION("split(B231,"" "")"),"J.")</f>
        <v>J.</v>
      </c>
      <c r="Y231" s="3" t="str">
        <f>IFERROR(__xludf.DUMMYFUNCTION("""COMPUTED_VALUE"""),"Dobbins")</f>
        <v>Dobbins</v>
      </c>
      <c r="AA231" s="8">
        <v>15.0</v>
      </c>
      <c r="AB231" s="3">
        <f t="shared" si="7"/>
        <v>0</v>
      </c>
      <c r="AC231" s="3">
        <f t="shared" si="8"/>
        <v>1</v>
      </c>
      <c r="AD231" s="3">
        <f t="shared" si="9"/>
        <v>0.8928571429</v>
      </c>
      <c r="AE231" s="3">
        <f t="shared" si="10"/>
        <v>0.8928571429</v>
      </c>
      <c r="AF231" s="3">
        <f t="shared" si="11"/>
        <v>1.785714286</v>
      </c>
      <c r="AG231" s="3">
        <f t="shared" si="12"/>
        <v>0.03225806452</v>
      </c>
    </row>
    <row r="232">
      <c r="A232" s="1" t="s">
        <v>11</v>
      </c>
      <c r="B232" s="1" t="s">
        <v>471</v>
      </c>
      <c r="C232" s="1" t="s">
        <v>20</v>
      </c>
      <c r="D232" s="1" t="s">
        <v>135</v>
      </c>
      <c r="E232" s="1" t="s">
        <v>100</v>
      </c>
      <c r="F232" s="1" t="s">
        <v>671</v>
      </c>
      <c r="G232" s="1">
        <v>24.5</v>
      </c>
      <c r="H232" s="1" t="s">
        <v>60</v>
      </c>
      <c r="I232" s="1">
        <v>-113.0</v>
      </c>
      <c r="J232" s="1">
        <v>-0.0972331190771926</v>
      </c>
      <c r="K232" s="1" t="s">
        <v>61</v>
      </c>
      <c r="L232" s="1" t="s">
        <v>61</v>
      </c>
      <c r="M232" s="1" t="s">
        <v>62</v>
      </c>
      <c r="N232" s="1">
        <v>-113.0</v>
      </c>
      <c r="O232" s="1">
        <v>0.0362284245572276</v>
      </c>
      <c r="P232" s="1" t="s">
        <v>61</v>
      </c>
      <c r="Q232" s="1" t="s">
        <v>61</v>
      </c>
      <c r="R232" s="1">
        <f t="shared" si="1"/>
        <v>0.03622842456</v>
      </c>
      <c r="S232" s="1">
        <f t="shared" si="2"/>
        <v>-113</v>
      </c>
      <c r="T232" s="1">
        <f t="shared" si="3"/>
        <v>1.884955752</v>
      </c>
      <c r="U232" s="1">
        <f t="shared" si="4"/>
        <v>0</v>
      </c>
      <c r="V232" s="3">
        <f t="shared" si="5"/>
        <v>1</v>
      </c>
      <c r="W232" s="3">
        <f t="shared" si="6"/>
        <v>2</v>
      </c>
      <c r="X232" s="3" t="str">
        <f>IFERROR(__xludf.DUMMYFUNCTION("split(B232,"" "")"),"W.")</f>
        <v>W.</v>
      </c>
      <c r="Y232" s="3" t="str">
        <f>IFERROR(__xludf.DUMMYFUNCTION("""COMPUTED_VALUE"""),"Dissly")</f>
        <v>Dissly</v>
      </c>
      <c r="AA232" s="8">
        <v>30.0</v>
      </c>
      <c r="AB232" s="3">
        <f t="shared" si="7"/>
        <v>1</v>
      </c>
      <c r="AC232" s="3">
        <f t="shared" si="8"/>
        <v>0</v>
      </c>
      <c r="AD232" s="3">
        <f t="shared" si="9"/>
        <v>0.8849557522</v>
      </c>
      <c r="AE232" s="3">
        <f t="shared" si="10"/>
        <v>-1</v>
      </c>
      <c r="AF232" s="3">
        <f t="shared" si="11"/>
        <v>-2</v>
      </c>
      <c r="AG232" s="3">
        <f t="shared" si="12"/>
        <v>-0.2244897959</v>
      </c>
    </row>
    <row r="233">
      <c r="A233" s="1" t="s">
        <v>16</v>
      </c>
      <c r="B233" s="1" t="s">
        <v>405</v>
      </c>
      <c r="C233" s="1" t="s">
        <v>21</v>
      </c>
      <c r="D233" s="1" t="s">
        <v>135</v>
      </c>
      <c r="E233" s="1" t="s">
        <v>100</v>
      </c>
      <c r="F233" s="1" t="s">
        <v>671</v>
      </c>
      <c r="G233" s="1">
        <v>31.5</v>
      </c>
      <c r="H233" s="1" t="s">
        <v>60</v>
      </c>
      <c r="I233" s="1">
        <v>-105.0</v>
      </c>
      <c r="J233" s="1">
        <v>-0.0962913531219511</v>
      </c>
      <c r="K233" s="1" t="s">
        <v>61</v>
      </c>
      <c r="L233" s="1" t="s">
        <v>61</v>
      </c>
      <c r="M233" s="1" t="s">
        <v>62</v>
      </c>
      <c r="N233" s="1">
        <v>-126.0</v>
      </c>
      <c r="O233" s="1">
        <v>0.0265735686345132</v>
      </c>
      <c r="P233" s="1" t="s">
        <v>61</v>
      </c>
      <c r="Q233" s="1" t="s">
        <v>61</v>
      </c>
      <c r="R233" s="1">
        <f t="shared" si="1"/>
        <v>0.02657356863</v>
      </c>
      <c r="S233" s="1">
        <f t="shared" si="2"/>
        <v>-126</v>
      </c>
      <c r="T233" s="1">
        <f t="shared" si="3"/>
        <v>1.793650794</v>
      </c>
      <c r="U233" s="1">
        <f t="shared" si="4"/>
        <v>0</v>
      </c>
      <c r="V233" s="3">
        <f t="shared" si="5"/>
        <v>1</v>
      </c>
      <c r="W233" s="3">
        <f t="shared" si="6"/>
        <v>3</v>
      </c>
      <c r="X233" s="3" t="str">
        <f>IFERROR(__xludf.DUMMYFUNCTION("split(B233,"" "")"),"J.")</f>
        <v>J.</v>
      </c>
      <c r="Y233" s="3" t="str">
        <f>IFERROR(__xludf.DUMMYFUNCTION("""COMPUTED_VALUE"""),"Herbert")</f>
        <v>Herbert</v>
      </c>
      <c r="AA233" s="8">
        <v>18.0</v>
      </c>
      <c r="AB233" s="3">
        <f t="shared" si="7"/>
        <v>0</v>
      </c>
      <c r="AC233" s="3">
        <f t="shared" si="8"/>
        <v>1</v>
      </c>
      <c r="AD233" s="3">
        <f t="shared" si="9"/>
        <v>0.7936507937</v>
      </c>
      <c r="AE233" s="3">
        <f t="shared" si="10"/>
        <v>0.7936507937</v>
      </c>
      <c r="AF233" s="3">
        <f t="shared" si="11"/>
        <v>2.380952381</v>
      </c>
      <c r="AG233" s="3">
        <f t="shared" si="12"/>
        <v>0.4285714286</v>
      </c>
    </row>
    <row r="234">
      <c r="A234" s="1" t="s">
        <v>9</v>
      </c>
      <c r="B234" s="1" t="s">
        <v>485</v>
      </c>
      <c r="C234" s="1" t="s">
        <v>19</v>
      </c>
      <c r="D234" s="1" t="s">
        <v>135</v>
      </c>
      <c r="E234" s="1" t="s">
        <v>100</v>
      </c>
      <c r="F234" s="1" t="s">
        <v>671</v>
      </c>
      <c r="G234" s="1">
        <v>78.5</v>
      </c>
      <c r="H234" s="1" t="s">
        <v>60</v>
      </c>
      <c r="I234" s="1">
        <v>-111.0</v>
      </c>
      <c r="J234" s="1">
        <v>-0.0833509653319812</v>
      </c>
      <c r="K234" s="1" t="s">
        <v>61</v>
      </c>
      <c r="L234" s="1" t="s">
        <v>61</v>
      </c>
      <c r="M234" s="1" t="s">
        <v>62</v>
      </c>
      <c r="N234" s="1">
        <v>-120.0</v>
      </c>
      <c r="O234" s="1">
        <v>0.0118126564638983</v>
      </c>
      <c r="P234" s="1" t="s">
        <v>61</v>
      </c>
      <c r="Q234" s="1" t="s">
        <v>61</v>
      </c>
      <c r="R234" s="1">
        <f t="shared" si="1"/>
        <v>0.01181265646</v>
      </c>
      <c r="S234" s="1">
        <f t="shared" si="2"/>
        <v>-120</v>
      </c>
      <c r="T234" s="1">
        <f t="shared" si="3"/>
        <v>1.833333333</v>
      </c>
      <c r="U234" s="1">
        <f t="shared" si="4"/>
        <v>0</v>
      </c>
      <c r="V234" s="3">
        <f t="shared" si="5"/>
        <v>1</v>
      </c>
      <c r="W234" s="3">
        <f t="shared" si="6"/>
        <v>3</v>
      </c>
      <c r="X234" s="3" t="str">
        <f>IFERROR(__xludf.DUMMYFUNCTION("split(B234,"" "")"),"J.")</f>
        <v>J.</v>
      </c>
      <c r="Y234" s="3" t="str">
        <f>IFERROR(__xludf.DUMMYFUNCTION("""COMPUTED_VALUE"""),"Dobbins")</f>
        <v>Dobbins</v>
      </c>
      <c r="AA234" s="8">
        <v>55.0</v>
      </c>
      <c r="AB234" s="3">
        <f t="shared" si="7"/>
        <v>0</v>
      </c>
      <c r="AC234" s="3">
        <f t="shared" si="8"/>
        <v>1</v>
      </c>
      <c r="AD234" s="3">
        <f t="shared" si="9"/>
        <v>0.8333333333</v>
      </c>
      <c r="AE234" s="3">
        <f t="shared" si="10"/>
        <v>0.8333333333</v>
      </c>
      <c r="AF234" s="3">
        <f t="shared" si="11"/>
        <v>2.5</v>
      </c>
      <c r="AG234" s="3">
        <f t="shared" si="12"/>
        <v>0.2993630573</v>
      </c>
    </row>
    <row r="235">
      <c r="A235" s="1" t="s">
        <v>10</v>
      </c>
      <c r="B235" s="1" t="s">
        <v>485</v>
      </c>
      <c r="C235" s="1" t="s">
        <v>19</v>
      </c>
      <c r="D235" s="1" t="s">
        <v>135</v>
      </c>
      <c r="E235" s="1" t="s">
        <v>100</v>
      </c>
      <c r="F235" s="1" t="s">
        <v>671</v>
      </c>
      <c r="G235" s="1">
        <v>62.5</v>
      </c>
      <c r="H235" s="1" t="s">
        <v>60</v>
      </c>
      <c r="I235" s="1">
        <v>-105.0</v>
      </c>
      <c r="J235" s="1">
        <v>-0.0700912535407579</v>
      </c>
      <c r="K235" s="1" t="s">
        <v>61</v>
      </c>
      <c r="L235" s="1" t="s">
        <v>61</v>
      </c>
      <c r="M235" s="1" t="s">
        <v>62</v>
      </c>
      <c r="N235" s="1">
        <v>-121.0</v>
      </c>
      <c r="O235" s="1">
        <v>0.01038387673658</v>
      </c>
      <c r="P235" s="1" t="s">
        <v>61</v>
      </c>
      <c r="Q235" s="1" t="s">
        <v>61</v>
      </c>
      <c r="R235" s="1">
        <f t="shared" si="1"/>
        <v>0.01038387674</v>
      </c>
      <c r="S235" s="1">
        <f t="shared" si="2"/>
        <v>-121</v>
      </c>
      <c r="T235" s="1">
        <f t="shared" si="3"/>
        <v>1.826446281</v>
      </c>
      <c r="U235" s="1">
        <f t="shared" si="4"/>
        <v>0</v>
      </c>
      <c r="V235" s="3">
        <f t="shared" si="5"/>
        <v>1</v>
      </c>
      <c r="W235" s="3">
        <f t="shared" si="6"/>
        <v>3</v>
      </c>
      <c r="X235" s="3" t="str">
        <f>IFERROR(__xludf.DUMMYFUNCTION("split(B235,"" "")"),"J.")</f>
        <v>J.</v>
      </c>
      <c r="Y235" s="3" t="str">
        <f>IFERROR(__xludf.DUMMYFUNCTION("""COMPUTED_VALUE"""),"Dobbins")</f>
        <v>Dobbins</v>
      </c>
      <c r="AA235" s="8">
        <v>50.0</v>
      </c>
      <c r="AB235" s="3">
        <f t="shared" si="7"/>
        <v>0</v>
      </c>
      <c r="AC235" s="3">
        <f t="shared" si="8"/>
        <v>1</v>
      </c>
      <c r="AD235" s="3">
        <f t="shared" si="9"/>
        <v>0.826446281</v>
      </c>
      <c r="AE235" s="3">
        <f t="shared" si="10"/>
        <v>0.826446281</v>
      </c>
      <c r="AF235" s="3">
        <f t="shared" si="11"/>
        <v>2.479338843</v>
      </c>
      <c r="AG235" s="3">
        <f t="shared" si="12"/>
        <v>0.2</v>
      </c>
    </row>
    <row r="236">
      <c r="A236" s="1" t="s">
        <v>11</v>
      </c>
      <c r="B236" s="1" t="s">
        <v>381</v>
      </c>
      <c r="C236" s="1" t="s">
        <v>18</v>
      </c>
      <c r="D236" s="1" t="s">
        <v>135</v>
      </c>
      <c r="E236" s="1" t="s">
        <v>100</v>
      </c>
      <c r="F236" s="1" t="s">
        <v>671</v>
      </c>
      <c r="G236" s="1">
        <v>27.5</v>
      </c>
      <c r="H236" s="1" t="s">
        <v>60</v>
      </c>
      <c r="I236" s="1">
        <v>-109.0</v>
      </c>
      <c r="J236" s="1">
        <v>-0.0708342364051675</v>
      </c>
      <c r="K236" s="1" t="s">
        <v>61</v>
      </c>
      <c r="L236" s="1" t="s">
        <v>61</v>
      </c>
      <c r="M236" s="1" t="s">
        <v>62</v>
      </c>
      <c r="N236" s="1">
        <v>-118.0</v>
      </c>
      <c r="O236" s="1">
        <v>0.00805852927634143</v>
      </c>
      <c r="P236" s="1" t="s">
        <v>61</v>
      </c>
      <c r="Q236" s="1" t="s">
        <v>61</v>
      </c>
      <c r="R236" s="1">
        <f t="shared" si="1"/>
        <v>0.008058529276</v>
      </c>
      <c r="S236" s="1">
        <f t="shared" si="2"/>
        <v>-118</v>
      </c>
      <c r="T236" s="1">
        <f t="shared" si="3"/>
        <v>1.847457627</v>
      </c>
      <c r="U236" s="1">
        <f t="shared" si="4"/>
        <v>0</v>
      </c>
      <c r="V236" s="3">
        <f t="shared" si="5"/>
        <v>1</v>
      </c>
      <c r="W236" s="3">
        <f t="shared" si="6"/>
        <v>3</v>
      </c>
      <c r="X236" s="3" t="str">
        <f>IFERROR(__xludf.DUMMYFUNCTION("split(B236,"" "")"),"J.")</f>
        <v>J.</v>
      </c>
      <c r="Y236" s="3" t="str">
        <f>IFERROR(__xludf.DUMMYFUNCTION("""COMPUTED_VALUE"""),"Palmer")</f>
        <v>Palmer</v>
      </c>
      <c r="AA236" s="8">
        <v>36.0</v>
      </c>
      <c r="AB236" s="3">
        <f t="shared" si="7"/>
        <v>1</v>
      </c>
      <c r="AC236" s="3">
        <f t="shared" si="8"/>
        <v>0</v>
      </c>
      <c r="AD236" s="3">
        <f t="shared" si="9"/>
        <v>0.8474576271</v>
      </c>
      <c r="AE236" s="3">
        <f t="shared" si="10"/>
        <v>-1</v>
      </c>
      <c r="AF236" s="3">
        <f t="shared" si="11"/>
        <v>-3</v>
      </c>
      <c r="AG236" s="3">
        <f t="shared" si="12"/>
        <v>-0.3090909091</v>
      </c>
    </row>
    <row r="237">
      <c r="A237" s="1" t="s">
        <v>13</v>
      </c>
      <c r="B237" s="1" t="s">
        <v>405</v>
      </c>
      <c r="C237" s="1" t="s">
        <v>21</v>
      </c>
      <c r="D237" s="1" t="s">
        <v>135</v>
      </c>
      <c r="E237" s="1" t="s">
        <v>100</v>
      </c>
      <c r="F237" s="1" t="s">
        <v>671</v>
      </c>
      <c r="G237" s="1">
        <v>230.5</v>
      </c>
      <c r="H237" s="1" t="s">
        <v>60</v>
      </c>
      <c r="I237" s="1">
        <v>-110.0</v>
      </c>
      <c r="J237" s="1">
        <v>-0.0621858861904765</v>
      </c>
      <c r="K237" s="1" t="s">
        <v>61</v>
      </c>
      <c r="L237" s="1" t="s">
        <v>61</v>
      </c>
      <c r="M237" s="1" t="s">
        <v>62</v>
      </c>
      <c r="N237" s="1">
        <v>-115.0</v>
      </c>
      <c r="O237" s="1">
        <v>0.00341577448837226</v>
      </c>
      <c r="P237" s="1" t="s">
        <v>61</v>
      </c>
      <c r="Q237" s="1" t="s">
        <v>61</v>
      </c>
      <c r="R237" s="1">
        <f t="shared" si="1"/>
        <v>0.003415774488</v>
      </c>
      <c r="S237" s="1">
        <f t="shared" si="2"/>
        <v>-115</v>
      </c>
      <c r="T237" s="1">
        <f t="shared" si="3"/>
        <v>1.869565217</v>
      </c>
      <c r="U237" s="1">
        <f t="shared" si="4"/>
        <v>0</v>
      </c>
      <c r="V237" s="3">
        <f t="shared" si="5"/>
        <v>1</v>
      </c>
      <c r="W237" s="3">
        <f t="shared" si="6"/>
        <v>2</v>
      </c>
      <c r="X237" s="3" t="str">
        <f>IFERROR(__xludf.DUMMYFUNCTION("split(B237,"" "")"),"J.")</f>
        <v>J.</v>
      </c>
      <c r="Y237" s="3" t="str">
        <f>IFERROR(__xludf.DUMMYFUNCTION("""COMPUTED_VALUE"""),"Herbert")</f>
        <v>Herbert</v>
      </c>
      <c r="AA237" s="8">
        <v>164.0</v>
      </c>
      <c r="AB237" s="3">
        <f t="shared" si="7"/>
        <v>0</v>
      </c>
      <c r="AC237" s="3">
        <f t="shared" si="8"/>
        <v>1</v>
      </c>
      <c r="AD237" s="3">
        <f t="shared" si="9"/>
        <v>0.8695652174</v>
      </c>
      <c r="AE237" s="3">
        <f t="shared" si="10"/>
        <v>0.8695652174</v>
      </c>
      <c r="AF237" s="3">
        <f t="shared" si="11"/>
        <v>1.739130435</v>
      </c>
      <c r="AG237" s="3">
        <f t="shared" si="12"/>
        <v>0.2885032538</v>
      </c>
    </row>
    <row r="238">
      <c r="A238" s="1" t="s">
        <v>12</v>
      </c>
      <c r="B238" s="1" t="s">
        <v>368</v>
      </c>
      <c r="C238" s="1" t="s">
        <v>19</v>
      </c>
      <c r="D238" s="1" t="s">
        <v>196</v>
      </c>
      <c r="E238" s="1" t="s">
        <v>94</v>
      </c>
      <c r="F238" s="1" t="s">
        <v>676</v>
      </c>
      <c r="G238" s="1">
        <v>2.5</v>
      </c>
      <c r="H238" s="1" t="s">
        <v>60</v>
      </c>
      <c r="I238" s="1">
        <v>-102.0</v>
      </c>
      <c r="J238" s="1">
        <v>-0.178348991930692</v>
      </c>
      <c r="K238" s="1" t="s">
        <v>61</v>
      </c>
      <c r="L238" s="1" t="s">
        <v>61</v>
      </c>
      <c r="M238" s="1" t="s">
        <v>62</v>
      </c>
      <c r="N238" s="1">
        <v>-129.0</v>
      </c>
      <c r="O238" s="1">
        <v>0.11007951230262</v>
      </c>
      <c r="P238" s="1" t="s">
        <v>61</v>
      </c>
      <c r="Q238" s="1" t="s">
        <v>61</v>
      </c>
      <c r="R238" s="1">
        <f t="shared" si="1"/>
        <v>0.1100795123</v>
      </c>
      <c r="S238" s="1">
        <f t="shared" si="2"/>
        <v>-129</v>
      </c>
      <c r="T238" s="1">
        <f t="shared" si="3"/>
        <v>1.775193798</v>
      </c>
      <c r="U238" s="1">
        <f t="shared" si="4"/>
        <v>0</v>
      </c>
      <c r="V238" s="3">
        <f t="shared" si="5"/>
        <v>3</v>
      </c>
      <c r="W238" s="3">
        <f t="shared" si="6"/>
        <v>3</v>
      </c>
      <c r="X238" s="3" t="str">
        <f>IFERROR(__xludf.DUMMYFUNCTION("split(B238,"" "")"),"K.")</f>
        <v>K.</v>
      </c>
      <c r="Y238" s="3" t="str">
        <f>IFERROR(__xludf.DUMMYFUNCTION("""COMPUTED_VALUE"""),"Williams")</f>
        <v>Williams</v>
      </c>
      <c r="AA238" s="8">
        <v>5.0</v>
      </c>
      <c r="AB238" s="3">
        <f t="shared" si="7"/>
        <v>1</v>
      </c>
      <c r="AC238" s="3">
        <f t="shared" si="8"/>
        <v>0</v>
      </c>
      <c r="AD238" s="3">
        <f t="shared" si="9"/>
        <v>2.325581395</v>
      </c>
      <c r="AE238" s="3">
        <f t="shared" si="10"/>
        <v>-3</v>
      </c>
      <c r="AF238" s="3">
        <f t="shared" si="11"/>
        <v>-3</v>
      </c>
      <c r="AG238" s="3">
        <f t="shared" si="12"/>
        <v>-1</v>
      </c>
    </row>
    <row r="239">
      <c r="A239" s="1" t="s">
        <v>12</v>
      </c>
      <c r="B239" s="1" t="s">
        <v>284</v>
      </c>
      <c r="C239" s="1" t="s">
        <v>18</v>
      </c>
      <c r="D239" s="1" t="s">
        <v>196</v>
      </c>
      <c r="E239" s="1" t="s">
        <v>94</v>
      </c>
      <c r="F239" s="1" t="s">
        <v>676</v>
      </c>
      <c r="G239" s="1">
        <v>2.5</v>
      </c>
      <c r="H239" s="1" t="s">
        <v>60</v>
      </c>
      <c r="I239" s="1">
        <v>-103.0</v>
      </c>
      <c r="J239" s="1">
        <v>-0.171736765270935</v>
      </c>
      <c r="K239" s="1" t="s">
        <v>61</v>
      </c>
      <c r="L239" s="1" t="s">
        <v>61</v>
      </c>
      <c r="M239" s="1" t="s">
        <v>62</v>
      </c>
      <c r="N239" s="1">
        <v>-128.0</v>
      </c>
      <c r="O239" s="1">
        <v>0.102950741614035</v>
      </c>
      <c r="P239" s="1" t="s">
        <v>61</v>
      </c>
      <c r="Q239" s="1" t="s">
        <v>61</v>
      </c>
      <c r="R239" s="1">
        <f t="shared" si="1"/>
        <v>0.1029507416</v>
      </c>
      <c r="S239" s="1">
        <f t="shared" si="2"/>
        <v>-128</v>
      </c>
      <c r="T239" s="1">
        <f t="shared" si="3"/>
        <v>1.78125</v>
      </c>
      <c r="U239" s="1">
        <f t="shared" si="4"/>
        <v>0</v>
      </c>
      <c r="V239" s="3">
        <f t="shared" si="5"/>
        <v>3</v>
      </c>
      <c r="W239" s="3">
        <f t="shared" si="6"/>
        <v>3</v>
      </c>
      <c r="X239" s="3" t="str">
        <f>IFERROR(__xludf.DUMMYFUNCTION("split(B239,"" "")"),"D.")</f>
        <v>D.</v>
      </c>
      <c r="Y239" s="3" t="str">
        <f>IFERROR(__xludf.DUMMYFUNCTION("""COMPUTED_VALUE"""),"Robinson")</f>
        <v>Robinson</v>
      </c>
      <c r="AA239" s="8">
        <v>1.0</v>
      </c>
      <c r="AB239" s="3">
        <f t="shared" si="7"/>
        <v>0</v>
      </c>
      <c r="AC239" s="3">
        <f t="shared" si="8"/>
        <v>1</v>
      </c>
      <c r="AD239" s="3">
        <f t="shared" si="9"/>
        <v>2.34375</v>
      </c>
      <c r="AE239" s="3">
        <f t="shared" si="10"/>
        <v>2.34375</v>
      </c>
      <c r="AF239" s="3">
        <f t="shared" si="11"/>
        <v>2.34375</v>
      </c>
      <c r="AG239" s="3">
        <f t="shared" si="12"/>
        <v>0.6</v>
      </c>
    </row>
    <row r="240">
      <c r="A240" s="1" t="s">
        <v>8</v>
      </c>
      <c r="B240" s="1" t="s">
        <v>247</v>
      </c>
      <c r="C240" s="1" t="s">
        <v>21</v>
      </c>
      <c r="D240" s="1" t="s">
        <v>196</v>
      </c>
      <c r="E240" s="1" t="s">
        <v>94</v>
      </c>
      <c r="F240" s="1" t="s">
        <v>676</v>
      </c>
      <c r="G240" s="1">
        <v>1.5</v>
      </c>
      <c r="H240" s="1" t="s">
        <v>60</v>
      </c>
      <c r="I240" s="1">
        <v>167.0</v>
      </c>
      <c r="J240" s="1">
        <v>0.0955273538110526</v>
      </c>
      <c r="K240" s="1" t="s">
        <v>61</v>
      </c>
      <c r="L240" s="1" t="s">
        <v>61</v>
      </c>
      <c r="M240" s="1" t="s">
        <v>62</v>
      </c>
      <c r="N240" s="1">
        <v>-227.0</v>
      </c>
      <c r="O240" s="1">
        <v>-0.164244307479245</v>
      </c>
      <c r="P240" s="1" t="s">
        <v>61</v>
      </c>
      <c r="Q240" s="1" t="s">
        <v>61</v>
      </c>
      <c r="R240" s="1">
        <f t="shared" si="1"/>
        <v>0.09552735381</v>
      </c>
      <c r="S240" s="1">
        <f t="shared" si="2"/>
        <v>167</v>
      </c>
      <c r="T240" s="1">
        <f t="shared" si="3"/>
        <v>2.67</v>
      </c>
      <c r="U240" s="1">
        <f t="shared" si="4"/>
        <v>1</v>
      </c>
      <c r="V240" s="3">
        <f t="shared" si="5"/>
        <v>2</v>
      </c>
      <c r="W240" s="3">
        <f t="shared" si="6"/>
        <v>1</v>
      </c>
      <c r="X240" s="3" t="str">
        <f>IFERROR(__xludf.DUMMYFUNCTION("split(B240,"" "")"),"M.")</f>
        <v>M.</v>
      </c>
      <c r="Y240" s="3" t="str">
        <f>IFERROR(__xludf.DUMMYFUNCTION("""COMPUTED_VALUE"""),"Stafford")</f>
        <v>Stafford</v>
      </c>
      <c r="AA240" s="8">
        <v>1.0</v>
      </c>
      <c r="AB240" s="3">
        <f t="shared" si="7"/>
        <v>0</v>
      </c>
      <c r="AC240" s="3">
        <f t="shared" si="8"/>
        <v>0</v>
      </c>
      <c r="AD240" s="3">
        <f t="shared" si="9"/>
        <v>3.34</v>
      </c>
      <c r="AE240" s="3">
        <f t="shared" si="10"/>
        <v>-2</v>
      </c>
      <c r="AF240" s="3">
        <f t="shared" si="11"/>
        <v>-1</v>
      </c>
      <c r="AG240" s="3">
        <f t="shared" si="12"/>
        <v>-0.3333333333</v>
      </c>
    </row>
    <row r="241">
      <c r="A241" s="1" t="s">
        <v>14</v>
      </c>
      <c r="B241" s="1" t="s">
        <v>247</v>
      </c>
      <c r="C241" s="1" t="s">
        <v>21</v>
      </c>
      <c r="D241" s="1" t="s">
        <v>196</v>
      </c>
      <c r="E241" s="1" t="s">
        <v>94</v>
      </c>
      <c r="F241" s="1" t="s">
        <v>676</v>
      </c>
      <c r="G241" s="1">
        <v>1.5</v>
      </c>
      <c r="H241" s="1" t="s">
        <v>60</v>
      </c>
      <c r="I241" s="1">
        <v>-146.0</v>
      </c>
      <c r="J241" s="1">
        <v>-0.143395934959349</v>
      </c>
      <c r="K241" s="1" t="s">
        <v>61</v>
      </c>
      <c r="L241" s="1" t="s">
        <v>61</v>
      </c>
      <c r="M241" s="1" t="s">
        <v>62</v>
      </c>
      <c r="N241" s="1">
        <v>114.0</v>
      </c>
      <c r="O241" s="1">
        <v>0.0826102803738317</v>
      </c>
      <c r="P241" s="1" t="s">
        <v>61</v>
      </c>
      <c r="Q241" s="1" t="s">
        <v>61</v>
      </c>
      <c r="R241" s="1">
        <f t="shared" si="1"/>
        <v>0.08261028037</v>
      </c>
      <c r="S241" s="1">
        <f t="shared" si="2"/>
        <v>114</v>
      </c>
      <c r="T241" s="1">
        <f t="shared" si="3"/>
        <v>2.14</v>
      </c>
      <c r="U241" s="1">
        <f t="shared" si="4"/>
        <v>0</v>
      </c>
      <c r="V241" s="3">
        <f t="shared" si="5"/>
        <v>2</v>
      </c>
      <c r="W241" s="3">
        <f t="shared" si="6"/>
        <v>1</v>
      </c>
      <c r="X241" s="3" t="str">
        <f>IFERROR(__xludf.DUMMYFUNCTION("split(B241,"" "")"),"M.")</f>
        <v>M.</v>
      </c>
      <c r="Y241" s="3" t="str">
        <f>IFERROR(__xludf.DUMMYFUNCTION("""COMPUTED_VALUE"""),"Stafford")</f>
        <v>Stafford</v>
      </c>
      <c r="AA241" s="8">
        <v>0.0</v>
      </c>
      <c r="AB241" s="3">
        <f t="shared" si="7"/>
        <v>0</v>
      </c>
      <c r="AC241" s="3">
        <f t="shared" si="8"/>
        <v>1</v>
      </c>
      <c r="AD241" s="3">
        <f t="shared" si="9"/>
        <v>2.28</v>
      </c>
      <c r="AE241" s="3">
        <f t="shared" si="10"/>
        <v>2.28</v>
      </c>
      <c r="AF241" s="3">
        <f t="shared" si="11"/>
        <v>1.14</v>
      </c>
      <c r="AG241" s="3">
        <f t="shared" si="12"/>
        <v>1</v>
      </c>
    </row>
    <row r="242">
      <c r="A242" s="1" t="s">
        <v>10</v>
      </c>
      <c r="B242" s="1" t="s">
        <v>397</v>
      </c>
      <c r="C242" s="1" t="s">
        <v>18</v>
      </c>
      <c r="D242" s="1" t="s">
        <v>196</v>
      </c>
      <c r="E242" s="1" t="s">
        <v>94</v>
      </c>
      <c r="F242" s="1" t="s">
        <v>676</v>
      </c>
      <c r="G242" s="1">
        <v>1.5</v>
      </c>
      <c r="H242" s="1" t="s">
        <v>60</v>
      </c>
      <c r="I242" s="1">
        <v>-116.0</v>
      </c>
      <c r="J242" s="1">
        <v>0.0517422749181093</v>
      </c>
      <c r="K242" s="1" t="s">
        <v>61</v>
      </c>
      <c r="L242" s="1" t="s">
        <v>61</v>
      </c>
      <c r="M242" s="1" t="s">
        <v>62</v>
      </c>
      <c r="N242" s="1">
        <v>-112.0</v>
      </c>
      <c r="O242" s="1">
        <v>-0.117050183869676</v>
      </c>
      <c r="P242" s="1" t="s">
        <v>61</v>
      </c>
      <c r="Q242" s="1" t="s">
        <v>61</v>
      </c>
      <c r="R242" s="1">
        <f t="shared" si="1"/>
        <v>0.05174227492</v>
      </c>
      <c r="S242" s="1">
        <f t="shared" si="2"/>
        <v>-116</v>
      </c>
      <c r="T242" s="1">
        <f t="shared" si="3"/>
        <v>1.862068966</v>
      </c>
      <c r="U242" s="1">
        <f t="shared" si="4"/>
        <v>1</v>
      </c>
      <c r="V242" s="3">
        <f t="shared" si="5"/>
        <v>2</v>
      </c>
      <c r="W242" s="3">
        <f t="shared" si="6"/>
        <v>2</v>
      </c>
      <c r="X242" s="3" t="str">
        <f>IFERROR(__xludf.DUMMYFUNCTION("split(B242,"" "")"),"P.")</f>
        <v>P.</v>
      </c>
      <c r="Y242" s="3" t="str">
        <f>IFERROR(__xludf.DUMMYFUNCTION("""COMPUTED_VALUE"""),"Nacua")</f>
        <v>Nacua</v>
      </c>
      <c r="AA242" s="8">
        <v>0.0</v>
      </c>
      <c r="AB242" s="3">
        <f t="shared" si="7"/>
        <v>0</v>
      </c>
      <c r="AC242" s="3">
        <f t="shared" si="8"/>
        <v>0</v>
      </c>
      <c r="AD242" s="3">
        <f t="shared" si="9"/>
        <v>1.724137931</v>
      </c>
      <c r="AE242" s="3">
        <f t="shared" si="10"/>
        <v>-2</v>
      </c>
      <c r="AF242" s="3">
        <f t="shared" si="11"/>
        <v>-2</v>
      </c>
      <c r="AG242" s="3">
        <f t="shared" si="12"/>
        <v>-1</v>
      </c>
    </row>
    <row r="243">
      <c r="A243" s="1" t="s">
        <v>11</v>
      </c>
      <c r="B243" s="1" t="s">
        <v>543</v>
      </c>
      <c r="C243" s="1" t="s">
        <v>18</v>
      </c>
      <c r="D243" s="1" t="s">
        <v>196</v>
      </c>
      <c r="E243" s="1" t="s">
        <v>94</v>
      </c>
      <c r="F243" s="1" t="s">
        <v>676</v>
      </c>
      <c r="G243" s="1">
        <v>8.5</v>
      </c>
      <c r="H243" s="1" t="s">
        <v>60</v>
      </c>
      <c r="I243" s="1">
        <v>-112.0</v>
      </c>
      <c r="J243" s="1">
        <v>0.0401387145746812</v>
      </c>
      <c r="K243" s="1" t="s">
        <v>61</v>
      </c>
      <c r="L243" s="1" t="s">
        <v>61</v>
      </c>
      <c r="M243" s="1" t="s">
        <v>62</v>
      </c>
      <c r="N243" s="1">
        <v>-113.0</v>
      </c>
      <c r="O243" s="1">
        <v>-0.0989246876221155</v>
      </c>
      <c r="P243" s="1" t="s">
        <v>61</v>
      </c>
      <c r="Q243" s="1" t="s">
        <v>61</v>
      </c>
      <c r="R243" s="1">
        <f t="shared" si="1"/>
        <v>0.04013871457</v>
      </c>
      <c r="S243" s="1">
        <f t="shared" si="2"/>
        <v>-112</v>
      </c>
      <c r="T243" s="1">
        <f t="shared" si="3"/>
        <v>1.892857143</v>
      </c>
      <c r="U243" s="1">
        <f t="shared" si="4"/>
        <v>1</v>
      </c>
      <c r="V243" s="3">
        <f t="shared" si="5"/>
        <v>1</v>
      </c>
      <c r="W243" s="3">
        <f t="shared" si="6"/>
        <v>2</v>
      </c>
      <c r="X243" s="3" t="str">
        <f>IFERROR(__xludf.DUMMYFUNCTION("split(B243,"" "")"),"T.")</f>
        <v>T.</v>
      </c>
      <c r="Y243" s="3" t="str">
        <f>IFERROR(__xludf.DUMMYFUNCTION("""COMPUTED_VALUE"""),"Atwell")</f>
        <v>Atwell</v>
      </c>
      <c r="AA243" s="8">
        <v>6.0</v>
      </c>
      <c r="AB243" s="3">
        <f t="shared" si="7"/>
        <v>0</v>
      </c>
      <c r="AC243" s="3">
        <f t="shared" si="8"/>
        <v>0</v>
      </c>
      <c r="AD243" s="3">
        <f t="shared" si="9"/>
        <v>0.8928571429</v>
      </c>
      <c r="AE243" s="3">
        <f t="shared" si="10"/>
        <v>-1</v>
      </c>
      <c r="AF243" s="3">
        <f t="shared" si="11"/>
        <v>-2</v>
      </c>
      <c r="AG243" s="3">
        <f t="shared" si="12"/>
        <v>-0.2941176471</v>
      </c>
    </row>
    <row r="244">
      <c r="A244" s="1" t="s">
        <v>12</v>
      </c>
      <c r="B244" s="1" t="s">
        <v>397</v>
      </c>
      <c r="C244" s="1" t="s">
        <v>18</v>
      </c>
      <c r="D244" s="1" t="s">
        <v>196</v>
      </c>
      <c r="E244" s="1" t="s">
        <v>94</v>
      </c>
      <c r="F244" s="1" t="s">
        <v>676</v>
      </c>
      <c r="G244" s="1">
        <v>5.5</v>
      </c>
      <c r="H244" s="1" t="s">
        <v>60</v>
      </c>
      <c r="I244" s="1">
        <v>-124.0</v>
      </c>
      <c r="J244" s="1">
        <v>0.039917857142857</v>
      </c>
      <c r="K244" s="1" t="s">
        <v>61</v>
      </c>
      <c r="L244" s="1" t="s">
        <v>61</v>
      </c>
      <c r="M244" s="1" t="s">
        <v>62</v>
      </c>
      <c r="N244" s="1">
        <v>-105.0</v>
      </c>
      <c r="O244" s="1">
        <v>-0.105697560975609</v>
      </c>
      <c r="P244" s="1" t="s">
        <v>61</v>
      </c>
      <c r="Q244" s="1" t="s">
        <v>61</v>
      </c>
      <c r="R244" s="1">
        <f t="shared" si="1"/>
        <v>0.03991785714</v>
      </c>
      <c r="S244" s="1">
        <f t="shared" si="2"/>
        <v>-124</v>
      </c>
      <c r="T244" s="1">
        <f t="shared" si="3"/>
        <v>1.806451613</v>
      </c>
      <c r="U244" s="1">
        <f t="shared" si="4"/>
        <v>1</v>
      </c>
      <c r="V244" s="3">
        <f t="shared" si="5"/>
        <v>1</v>
      </c>
      <c r="W244" s="3">
        <f t="shared" si="6"/>
        <v>3</v>
      </c>
      <c r="X244" s="3" t="str">
        <f>IFERROR(__xludf.DUMMYFUNCTION("split(B244,"" "")"),"P.")</f>
        <v>P.</v>
      </c>
      <c r="Y244" s="3" t="str">
        <f>IFERROR(__xludf.DUMMYFUNCTION("""COMPUTED_VALUE"""),"Nacua")</f>
        <v>Nacua</v>
      </c>
      <c r="AA244" s="8">
        <v>9.0</v>
      </c>
      <c r="AB244" s="3">
        <f t="shared" si="7"/>
        <v>1</v>
      </c>
      <c r="AC244" s="3">
        <f t="shared" si="8"/>
        <v>1</v>
      </c>
      <c r="AD244" s="3">
        <f t="shared" si="9"/>
        <v>0.8064516129</v>
      </c>
      <c r="AE244" s="3">
        <f t="shared" si="10"/>
        <v>0.8064516129</v>
      </c>
      <c r="AF244" s="3">
        <f t="shared" si="11"/>
        <v>2.419354839</v>
      </c>
      <c r="AG244" s="3">
        <f t="shared" si="12"/>
        <v>0.6363636364</v>
      </c>
    </row>
    <row r="245">
      <c r="A245" s="1" t="s">
        <v>12</v>
      </c>
      <c r="B245" s="1" t="s">
        <v>470</v>
      </c>
      <c r="C245" s="1" t="s">
        <v>20</v>
      </c>
      <c r="D245" s="1" t="s">
        <v>196</v>
      </c>
      <c r="E245" s="1" t="s">
        <v>94</v>
      </c>
      <c r="F245" s="1" t="s">
        <v>676</v>
      </c>
      <c r="G245" s="1">
        <v>2.5</v>
      </c>
      <c r="H245" s="1" t="s">
        <v>60</v>
      </c>
      <c r="I245" s="1">
        <v>148.0</v>
      </c>
      <c r="J245" s="1">
        <v>-0.0953786047354839</v>
      </c>
      <c r="K245" s="1" t="s">
        <v>61</v>
      </c>
      <c r="L245" s="1" t="s">
        <v>61</v>
      </c>
      <c r="M245" s="1" t="s">
        <v>62</v>
      </c>
      <c r="N245" s="1">
        <v>-194.0</v>
      </c>
      <c r="O245" s="1">
        <v>0.032294434432653</v>
      </c>
      <c r="P245" s="1" t="s">
        <v>61</v>
      </c>
      <c r="Q245" s="1" t="s">
        <v>61</v>
      </c>
      <c r="R245" s="1">
        <f t="shared" si="1"/>
        <v>0.03229443443</v>
      </c>
      <c r="S245" s="1">
        <f t="shared" si="2"/>
        <v>-194</v>
      </c>
      <c r="T245" s="1">
        <f t="shared" si="3"/>
        <v>1.515463918</v>
      </c>
      <c r="U245" s="1">
        <f t="shared" si="4"/>
        <v>0</v>
      </c>
      <c r="V245" s="3">
        <f t="shared" si="5"/>
        <v>1</v>
      </c>
      <c r="W245" s="3">
        <f t="shared" si="6"/>
        <v>3</v>
      </c>
      <c r="X245" s="3" t="str">
        <f>IFERROR(__xludf.DUMMYFUNCTION("split(B245,"" "")"),"C.")</f>
        <v>C.</v>
      </c>
      <c r="Y245" s="3" t="str">
        <f>IFERROR(__xludf.DUMMYFUNCTION("""COMPUTED_VALUE"""),"Parkinson")</f>
        <v>Parkinson</v>
      </c>
      <c r="AA245" s="8">
        <v>0.0</v>
      </c>
      <c r="AB245" s="3">
        <f t="shared" si="7"/>
        <v>0</v>
      </c>
      <c r="AC245" s="3">
        <f t="shared" si="8"/>
        <v>1</v>
      </c>
      <c r="AD245" s="3">
        <f t="shared" si="9"/>
        <v>0.5154639175</v>
      </c>
      <c r="AE245" s="3">
        <f t="shared" si="10"/>
        <v>0.5154639175</v>
      </c>
      <c r="AF245" s="3">
        <f t="shared" si="11"/>
        <v>1.546391753</v>
      </c>
      <c r="AG245" s="3">
        <f t="shared" si="12"/>
        <v>1</v>
      </c>
    </row>
    <row r="246">
      <c r="A246" s="1" t="s">
        <v>11</v>
      </c>
      <c r="B246" s="1" t="s">
        <v>284</v>
      </c>
      <c r="C246" s="1" t="s">
        <v>18</v>
      </c>
      <c r="D246" s="1" t="s">
        <v>196</v>
      </c>
      <c r="E246" s="1" t="s">
        <v>94</v>
      </c>
      <c r="F246" s="1" t="s">
        <v>676</v>
      </c>
      <c r="G246" s="1">
        <v>31.5</v>
      </c>
      <c r="H246" s="1" t="s">
        <v>60</v>
      </c>
      <c r="I246" s="1">
        <v>-111.0</v>
      </c>
      <c r="J246" s="1">
        <v>-0.0947673394262559</v>
      </c>
      <c r="K246" s="1" t="s">
        <v>61</v>
      </c>
      <c r="L246" s="1" t="s">
        <v>61</v>
      </c>
      <c r="M246" s="1" t="s">
        <v>62</v>
      </c>
      <c r="N246" s="1">
        <v>-117.0</v>
      </c>
      <c r="O246" s="1">
        <v>0.0295847335022386</v>
      </c>
      <c r="P246" s="1" t="s">
        <v>61</v>
      </c>
      <c r="Q246" s="1" t="s">
        <v>61</v>
      </c>
      <c r="R246" s="1">
        <f t="shared" si="1"/>
        <v>0.0295847335</v>
      </c>
      <c r="S246" s="1">
        <f t="shared" si="2"/>
        <v>-117</v>
      </c>
      <c r="T246" s="1">
        <f t="shared" si="3"/>
        <v>1.854700855</v>
      </c>
      <c r="U246" s="1">
        <f t="shared" si="4"/>
        <v>0</v>
      </c>
      <c r="V246" s="3">
        <f t="shared" si="5"/>
        <v>1</v>
      </c>
      <c r="W246" s="3">
        <f t="shared" si="6"/>
        <v>2</v>
      </c>
      <c r="X246" s="3" t="str">
        <f>IFERROR(__xludf.DUMMYFUNCTION("split(B246,"" "")"),"D.")</f>
        <v>D.</v>
      </c>
      <c r="Y246" s="3" t="str">
        <f>IFERROR(__xludf.DUMMYFUNCTION("""COMPUTED_VALUE"""),"Robinson")</f>
        <v>Robinson</v>
      </c>
      <c r="AA246" s="8">
        <v>23.0</v>
      </c>
      <c r="AB246" s="3">
        <f t="shared" si="7"/>
        <v>0</v>
      </c>
      <c r="AC246" s="3">
        <f t="shared" si="8"/>
        <v>1</v>
      </c>
      <c r="AD246" s="3">
        <f t="shared" si="9"/>
        <v>0.8547008547</v>
      </c>
      <c r="AE246" s="3">
        <f t="shared" si="10"/>
        <v>0.8547008547</v>
      </c>
      <c r="AF246" s="3">
        <f t="shared" si="11"/>
        <v>1.709401709</v>
      </c>
      <c r="AG246" s="3">
        <f t="shared" si="12"/>
        <v>0.2698412698</v>
      </c>
    </row>
    <row r="247">
      <c r="A247" s="1" t="s">
        <v>10</v>
      </c>
      <c r="B247" s="1" t="s">
        <v>368</v>
      </c>
      <c r="C247" s="1" t="s">
        <v>19</v>
      </c>
      <c r="D247" s="1" t="s">
        <v>196</v>
      </c>
      <c r="E247" s="1" t="s">
        <v>94</v>
      </c>
      <c r="F247" s="1" t="s">
        <v>676</v>
      </c>
      <c r="G247" s="1">
        <v>86.5</v>
      </c>
      <c r="H247" s="1" t="s">
        <v>60</v>
      </c>
      <c r="I247" s="1">
        <v>-113.0</v>
      </c>
      <c r="J247" s="1">
        <v>-0.0840495160144648</v>
      </c>
      <c r="K247" s="1" t="s">
        <v>61</v>
      </c>
      <c r="L247" s="1" t="s">
        <v>61</v>
      </c>
      <c r="M247" s="1" t="s">
        <v>62</v>
      </c>
      <c r="N247" s="1">
        <v>-111.0</v>
      </c>
      <c r="O247" s="1">
        <v>0.02742048717903</v>
      </c>
      <c r="P247" s="1" t="s">
        <v>61</v>
      </c>
      <c r="Q247" s="1" t="s">
        <v>61</v>
      </c>
      <c r="R247" s="1">
        <f t="shared" si="1"/>
        <v>0.02742048718</v>
      </c>
      <c r="S247" s="1">
        <f t="shared" si="2"/>
        <v>-111</v>
      </c>
      <c r="T247" s="1">
        <f t="shared" si="3"/>
        <v>1.900900901</v>
      </c>
      <c r="U247" s="1">
        <f t="shared" si="4"/>
        <v>0</v>
      </c>
      <c r="V247" s="3">
        <f t="shared" si="5"/>
        <v>1</v>
      </c>
      <c r="W247" s="3">
        <f t="shared" si="6"/>
        <v>2</v>
      </c>
      <c r="X247" s="3" t="str">
        <f>IFERROR(__xludf.DUMMYFUNCTION("split(B247,"" "")"),"K.")</f>
        <v>K.</v>
      </c>
      <c r="Y247" s="3" t="str">
        <f>IFERROR(__xludf.DUMMYFUNCTION("""COMPUTED_VALUE"""),"Williams")</f>
        <v>Williams</v>
      </c>
      <c r="AA247" s="8">
        <v>62.0</v>
      </c>
      <c r="AB247" s="3">
        <f t="shared" si="7"/>
        <v>0</v>
      </c>
      <c r="AC247" s="3">
        <f t="shared" si="8"/>
        <v>1</v>
      </c>
      <c r="AD247" s="3">
        <f t="shared" si="9"/>
        <v>0.9009009009</v>
      </c>
      <c r="AE247" s="3">
        <f t="shared" si="10"/>
        <v>0.9009009009</v>
      </c>
      <c r="AF247" s="3">
        <f t="shared" si="11"/>
        <v>1.801801802</v>
      </c>
      <c r="AG247" s="3">
        <f t="shared" si="12"/>
        <v>0.2832369942</v>
      </c>
    </row>
    <row r="248">
      <c r="A248" s="1" t="s">
        <v>8</v>
      </c>
      <c r="B248" s="1" t="s">
        <v>368</v>
      </c>
      <c r="C248" s="1" t="s">
        <v>19</v>
      </c>
      <c r="D248" s="1" t="s">
        <v>196</v>
      </c>
      <c r="E248" s="1" t="s">
        <v>94</v>
      </c>
      <c r="F248" s="1" t="s">
        <v>676</v>
      </c>
      <c r="G248" s="1">
        <v>20.5</v>
      </c>
      <c r="H248" s="1" t="s">
        <v>60</v>
      </c>
      <c r="I248" s="1">
        <v>-117.0</v>
      </c>
      <c r="J248" s="1">
        <v>0.0264906473778802</v>
      </c>
      <c r="K248" s="1" t="s">
        <v>61</v>
      </c>
      <c r="L248" s="1" t="s">
        <v>61</v>
      </c>
      <c r="M248" s="1" t="s">
        <v>62</v>
      </c>
      <c r="N248" s="1">
        <v>-115.0</v>
      </c>
      <c r="O248" s="1">
        <v>-0.100522740930232</v>
      </c>
      <c r="P248" s="1" t="s">
        <v>61</v>
      </c>
      <c r="Q248" s="1" t="s">
        <v>61</v>
      </c>
      <c r="R248" s="1">
        <f t="shared" si="1"/>
        <v>0.02649064738</v>
      </c>
      <c r="S248" s="1">
        <f t="shared" si="2"/>
        <v>-117</v>
      </c>
      <c r="T248" s="1">
        <f t="shared" si="3"/>
        <v>1.854700855</v>
      </c>
      <c r="U248" s="1">
        <f t="shared" si="4"/>
        <v>1</v>
      </c>
      <c r="V248" s="3">
        <f t="shared" si="5"/>
        <v>1</v>
      </c>
      <c r="W248" s="3">
        <f t="shared" si="6"/>
        <v>2</v>
      </c>
      <c r="X248" s="3" t="str">
        <f>IFERROR(__xludf.DUMMYFUNCTION("split(B248,"" "")"),"K.")</f>
        <v>K.</v>
      </c>
      <c r="Y248" s="3" t="str">
        <f>IFERROR(__xludf.DUMMYFUNCTION("""COMPUTED_VALUE"""),"Williams")</f>
        <v>Williams</v>
      </c>
      <c r="AA248" s="8">
        <v>15.0</v>
      </c>
      <c r="AB248" s="3">
        <f t="shared" si="7"/>
        <v>0</v>
      </c>
      <c r="AC248" s="3">
        <f t="shared" si="8"/>
        <v>0</v>
      </c>
      <c r="AD248" s="3">
        <f t="shared" si="9"/>
        <v>0.8547008547</v>
      </c>
      <c r="AE248" s="3">
        <f t="shared" si="10"/>
        <v>-1</v>
      </c>
      <c r="AF248" s="3">
        <f t="shared" si="11"/>
        <v>-2</v>
      </c>
      <c r="AG248" s="3">
        <f t="shared" si="12"/>
        <v>-0.2682926829</v>
      </c>
    </row>
    <row r="249">
      <c r="A249" s="1" t="s">
        <v>9</v>
      </c>
      <c r="B249" s="1" t="s">
        <v>368</v>
      </c>
      <c r="C249" s="1" t="s">
        <v>19</v>
      </c>
      <c r="D249" s="1" t="s">
        <v>196</v>
      </c>
      <c r="E249" s="1" t="s">
        <v>94</v>
      </c>
      <c r="F249" s="1" t="s">
        <v>676</v>
      </c>
      <c r="G249" s="1">
        <v>105.5</v>
      </c>
      <c r="H249" s="1" t="s">
        <v>60</v>
      </c>
      <c r="I249" s="1">
        <v>-116.0</v>
      </c>
      <c r="J249" s="1">
        <v>-0.0926737744489541</v>
      </c>
      <c r="K249" s="1" t="s">
        <v>61</v>
      </c>
      <c r="L249" s="1" t="s">
        <v>61</v>
      </c>
      <c r="M249" s="1" t="s">
        <v>62</v>
      </c>
      <c r="N249" s="1">
        <v>-116.0</v>
      </c>
      <c r="O249" s="1">
        <v>0.0186213895287868</v>
      </c>
      <c r="P249" s="1" t="s">
        <v>61</v>
      </c>
      <c r="Q249" s="1" t="s">
        <v>61</v>
      </c>
      <c r="R249" s="1">
        <f t="shared" si="1"/>
        <v>0.01862138953</v>
      </c>
      <c r="S249" s="1">
        <f t="shared" si="2"/>
        <v>-116</v>
      </c>
      <c r="T249" s="1">
        <f t="shared" si="3"/>
        <v>1.862068966</v>
      </c>
      <c r="U249" s="1">
        <f t="shared" si="4"/>
        <v>0</v>
      </c>
      <c r="V249" s="3">
        <f t="shared" si="5"/>
        <v>1</v>
      </c>
      <c r="W249" s="3">
        <f t="shared" si="6"/>
        <v>2</v>
      </c>
      <c r="X249" s="3" t="str">
        <f>IFERROR(__xludf.DUMMYFUNCTION("split(B249,"" "")"),"K.")</f>
        <v>K.</v>
      </c>
      <c r="Y249" s="3" t="str">
        <f>IFERROR(__xludf.DUMMYFUNCTION("""COMPUTED_VALUE"""),"Williams")</f>
        <v>Williams</v>
      </c>
      <c r="AA249" s="8">
        <v>82.0</v>
      </c>
      <c r="AB249" s="3">
        <f t="shared" si="7"/>
        <v>0</v>
      </c>
      <c r="AC249" s="3">
        <f t="shared" si="8"/>
        <v>1</v>
      </c>
      <c r="AD249" s="3">
        <f t="shared" si="9"/>
        <v>0.8620689655</v>
      </c>
      <c r="AE249" s="3">
        <f t="shared" si="10"/>
        <v>0.8620689655</v>
      </c>
      <c r="AF249" s="3">
        <f t="shared" si="11"/>
        <v>1.724137931</v>
      </c>
      <c r="AG249" s="3">
        <f t="shared" si="12"/>
        <v>0.2227488152</v>
      </c>
    </row>
    <row r="250">
      <c r="A250" s="1" t="s">
        <v>11</v>
      </c>
      <c r="B250" s="1" t="s">
        <v>477</v>
      </c>
      <c r="C250" s="1" t="s">
        <v>18</v>
      </c>
      <c r="D250" s="1" t="s">
        <v>196</v>
      </c>
      <c r="E250" s="1" t="s">
        <v>94</v>
      </c>
      <c r="F250" s="1" t="s">
        <v>676</v>
      </c>
      <c r="G250" s="1">
        <v>9.5</v>
      </c>
      <c r="H250" s="1" t="s">
        <v>60</v>
      </c>
      <c r="I250" s="1">
        <v>-109.0</v>
      </c>
      <c r="J250" s="1">
        <v>0.00860082609557155</v>
      </c>
      <c r="K250" s="1" t="s">
        <v>61</v>
      </c>
      <c r="L250" s="1" t="s">
        <v>61</v>
      </c>
      <c r="M250" s="1" t="s">
        <v>62</v>
      </c>
      <c r="N250" s="1">
        <v>-117.0</v>
      </c>
      <c r="O250" s="1">
        <v>-0.0693064838947009</v>
      </c>
      <c r="P250" s="1" t="s">
        <v>61</v>
      </c>
      <c r="Q250" s="1" t="s">
        <v>61</v>
      </c>
      <c r="R250" s="1">
        <f t="shared" si="1"/>
        <v>0.008600826096</v>
      </c>
      <c r="S250" s="1">
        <f t="shared" si="2"/>
        <v>-109</v>
      </c>
      <c r="T250" s="1">
        <f t="shared" si="3"/>
        <v>1.917431193</v>
      </c>
      <c r="U250" s="1">
        <f t="shared" si="4"/>
        <v>1</v>
      </c>
      <c r="V250" s="3">
        <f t="shared" si="5"/>
        <v>1</v>
      </c>
      <c r="W250" s="3">
        <f t="shared" si="6"/>
        <v>2</v>
      </c>
      <c r="X250" s="3" t="str">
        <f>IFERROR(__xludf.DUMMYFUNCTION("split(B250,"" "")"),"T.")</f>
        <v>T.</v>
      </c>
      <c r="Y250" s="3" t="str">
        <f>IFERROR(__xludf.DUMMYFUNCTION("""COMPUTED_VALUE"""),"Johnson")</f>
        <v>Johnson</v>
      </c>
      <c r="AA250" s="8">
        <v>25.0</v>
      </c>
      <c r="AB250" s="3">
        <f t="shared" si="7"/>
        <v>1</v>
      </c>
      <c r="AC250" s="3">
        <f t="shared" si="8"/>
        <v>1</v>
      </c>
      <c r="AD250" s="3">
        <f t="shared" si="9"/>
        <v>0.9174311927</v>
      </c>
      <c r="AE250" s="3">
        <f t="shared" si="10"/>
        <v>0.9174311927</v>
      </c>
      <c r="AF250" s="3">
        <f t="shared" si="11"/>
        <v>1.834862385</v>
      </c>
      <c r="AG250" s="3">
        <f t="shared" si="12"/>
        <v>1.631578947</v>
      </c>
    </row>
    <row r="251">
      <c r="A251" s="1" t="s">
        <v>9</v>
      </c>
      <c r="B251" s="1" t="s">
        <v>397</v>
      </c>
      <c r="C251" s="1" t="s">
        <v>18</v>
      </c>
      <c r="D251" s="1" t="s">
        <v>196</v>
      </c>
      <c r="E251" s="1" t="s">
        <v>94</v>
      </c>
      <c r="F251" s="1" t="s">
        <v>676</v>
      </c>
      <c r="G251" s="1">
        <v>74.5</v>
      </c>
      <c r="H251" s="1" t="s">
        <v>60</v>
      </c>
      <c r="I251" s="1">
        <v>-115.0</v>
      </c>
      <c r="J251" s="1">
        <v>-0.0764246083600339</v>
      </c>
      <c r="K251" s="1" t="s">
        <v>61</v>
      </c>
      <c r="L251" s="1" t="s">
        <v>61</v>
      </c>
      <c r="M251" s="1" t="s">
        <v>62</v>
      </c>
      <c r="N251" s="1">
        <v>-115.0</v>
      </c>
      <c r="O251" s="1">
        <v>0.00663329961403869</v>
      </c>
      <c r="P251" s="1" t="s">
        <v>61</v>
      </c>
      <c r="Q251" s="1" t="s">
        <v>61</v>
      </c>
      <c r="R251" s="1">
        <f t="shared" si="1"/>
        <v>0.006633299614</v>
      </c>
      <c r="S251" s="1">
        <f t="shared" si="2"/>
        <v>-115</v>
      </c>
      <c r="T251" s="1">
        <f t="shared" si="3"/>
        <v>1.869565217</v>
      </c>
      <c r="U251" s="1">
        <f t="shared" si="4"/>
        <v>0</v>
      </c>
      <c r="V251" s="3">
        <f t="shared" si="5"/>
        <v>1</v>
      </c>
      <c r="W251" s="3">
        <f t="shared" si="6"/>
        <v>2</v>
      </c>
      <c r="X251" s="3" t="str">
        <f>IFERROR(__xludf.DUMMYFUNCTION("split(B251,"" "")"),"P.")</f>
        <v>P.</v>
      </c>
      <c r="Y251" s="3" t="str">
        <f>IFERROR(__xludf.DUMMYFUNCTION("""COMPUTED_VALUE"""),"Nacua")</f>
        <v>Nacua</v>
      </c>
      <c r="AA251" s="8">
        <v>98.0</v>
      </c>
      <c r="AB251" s="3">
        <f t="shared" si="7"/>
        <v>1</v>
      </c>
      <c r="AC251" s="3">
        <f t="shared" si="8"/>
        <v>0</v>
      </c>
      <c r="AD251" s="3">
        <f t="shared" si="9"/>
        <v>0.8695652174</v>
      </c>
      <c r="AE251" s="3">
        <f t="shared" si="10"/>
        <v>-1</v>
      </c>
      <c r="AF251" s="3">
        <f t="shared" si="11"/>
        <v>-2</v>
      </c>
      <c r="AG251" s="3">
        <f t="shared" si="12"/>
        <v>-0.3154362416</v>
      </c>
    </row>
    <row r="252">
      <c r="A252" s="1" t="s">
        <v>17</v>
      </c>
      <c r="B252" s="1" t="s">
        <v>247</v>
      </c>
      <c r="C252" s="1" t="s">
        <v>21</v>
      </c>
      <c r="D252" s="1" t="s">
        <v>196</v>
      </c>
      <c r="E252" s="1" t="s">
        <v>94</v>
      </c>
      <c r="F252" s="1" t="s">
        <v>676</v>
      </c>
      <c r="G252" s="1">
        <v>0.5</v>
      </c>
      <c r="H252" s="1" t="s">
        <v>60</v>
      </c>
      <c r="I252" s="1">
        <v>-107.0</v>
      </c>
      <c r="J252" s="1">
        <v>-0.0695082125603864</v>
      </c>
      <c r="K252" s="1" t="s">
        <v>61</v>
      </c>
      <c r="L252" s="1" t="s">
        <v>61</v>
      </c>
      <c r="M252" s="1" t="s">
        <v>62</v>
      </c>
      <c r="N252" s="1">
        <v>-122.0</v>
      </c>
      <c r="O252" s="1">
        <v>0.00305045045045049</v>
      </c>
      <c r="P252" s="1" t="s">
        <v>61</v>
      </c>
      <c r="Q252" s="1" t="s">
        <v>61</v>
      </c>
      <c r="R252" s="1">
        <f t="shared" si="1"/>
        <v>0.00305045045</v>
      </c>
      <c r="S252" s="1">
        <f t="shared" si="2"/>
        <v>-122</v>
      </c>
      <c r="T252" s="1">
        <f t="shared" si="3"/>
        <v>1.819672131</v>
      </c>
      <c r="U252" s="1">
        <f t="shared" si="4"/>
        <v>0</v>
      </c>
      <c r="V252" s="3">
        <f t="shared" si="5"/>
        <v>1</v>
      </c>
      <c r="W252" s="3">
        <f t="shared" si="6"/>
        <v>3</v>
      </c>
      <c r="X252" s="3" t="str">
        <f>IFERROR(__xludf.DUMMYFUNCTION("split(B252,"" "")"),"M.")</f>
        <v>M.</v>
      </c>
      <c r="Y252" s="3" t="str">
        <f>IFERROR(__xludf.DUMMYFUNCTION("""COMPUTED_VALUE"""),"Stafford")</f>
        <v>Stafford</v>
      </c>
      <c r="AA252" s="8">
        <v>1.0</v>
      </c>
      <c r="AB252" s="3">
        <f t="shared" si="7"/>
        <v>1</v>
      </c>
      <c r="AC252" s="3">
        <f t="shared" si="8"/>
        <v>0</v>
      </c>
      <c r="AD252" s="3">
        <f t="shared" si="9"/>
        <v>0.8196721311</v>
      </c>
      <c r="AE252" s="3">
        <f t="shared" si="10"/>
        <v>-1</v>
      </c>
      <c r="AF252" s="3">
        <f t="shared" si="11"/>
        <v>-3</v>
      </c>
      <c r="AG252" s="3">
        <f t="shared" si="12"/>
        <v>-1</v>
      </c>
    </row>
    <row r="253">
      <c r="A253" s="1" t="s">
        <v>9</v>
      </c>
      <c r="B253" s="1" t="s">
        <v>284</v>
      </c>
      <c r="C253" s="1" t="s">
        <v>18</v>
      </c>
      <c r="D253" s="1" t="s">
        <v>196</v>
      </c>
      <c r="E253" s="1" t="s">
        <v>94</v>
      </c>
      <c r="F253" s="1" t="s">
        <v>676</v>
      </c>
      <c r="G253" s="1">
        <v>31.5</v>
      </c>
      <c r="H253" s="1" t="s">
        <v>60</v>
      </c>
      <c r="I253" s="1">
        <v>-117.0</v>
      </c>
      <c r="J253" s="1">
        <v>0.0018384421908868</v>
      </c>
      <c r="K253" s="1" t="s">
        <v>61</v>
      </c>
      <c r="L253" s="1" t="s">
        <v>61</v>
      </c>
      <c r="M253" s="1" t="s">
        <v>62</v>
      </c>
      <c r="N253" s="1">
        <v>-115.0</v>
      </c>
      <c r="O253" s="1">
        <v>-0.0758941081336549</v>
      </c>
      <c r="P253" s="1" t="s">
        <v>61</v>
      </c>
      <c r="Q253" s="1" t="s">
        <v>61</v>
      </c>
      <c r="R253" s="1">
        <f t="shared" si="1"/>
        <v>0.001838442191</v>
      </c>
      <c r="S253" s="1">
        <f t="shared" si="2"/>
        <v>-117</v>
      </c>
      <c r="T253" s="1">
        <f t="shared" si="3"/>
        <v>1.854700855</v>
      </c>
      <c r="U253" s="1">
        <f t="shared" si="4"/>
        <v>1</v>
      </c>
      <c r="V253" s="3">
        <f t="shared" si="5"/>
        <v>1</v>
      </c>
      <c r="W253" s="3">
        <f t="shared" si="6"/>
        <v>2</v>
      </c>
      <c r="X253" s="3" t="str">
        <f>IFERROR(__xludf.DUMMYFUNCTION("split(B253,"" "")"),"D.")</f>
        <v>D.</v>
      </c>
      <c r="Y253" s="3" t="str">
        <f>IFERROR(__xludf.DUMMYFUNCTION("""COMPUTED_VALUE"""),"Robinson")</f>
        <v>Robinson</v>
      </c>
      <c r="AA253" s="8">
        <v>23.0</v>
      </c>
      <c r="AB253" s="3">
        <f t="shared" si="7"/>
        <v>0</v>
      </c>
      <c r="AC253" s="3">
        <f t="shared" si="8"/>
        <v>0</v>
      </c>
      <c r="AD253" s="3">
        <f t="shared" si="9"/>
        <v>0.8547008547</v>
      </c>
      <c r="AE253" s="3">
        <f t="shared" si="10"/>
        <v>-1</v>
      </c>
      <c r="AF253" s="3">
        <f t="shared" si="11"/>
        <v>-2</v>
      </c>
      <c r="AG253" s="3">
        <f t="shared" si="12"/>
        <v>-0.2698412698</v>
      </c>
    </row>
    <row r="254">
      <c r="A254" s="1" t="s">
        <v>8</v>
      </c>
      <c r="B254" s="1" t="s">
        <v>75</v>
      </c>
      <c r="C254" s="1" t="s">
        <v>21</v>
      </c>
      <c r="D254" s="1" t="s">
        <v>76</v>
      </c>
      <c r="E254" s="1" t="s">
        <v>83</v>
      </c>
      <c r="F254" s="1" t="s">
        <v>670</v>
      </c>
      <c r="G254" s="1">
        <v>3.5</v>
      </c>
      <c r="H254" s="1" t="s">
        <v>60</v>
      </c>
      <c r="I254" s="1">
        <v>-165.0</v>
      </c>
      <c r="J254" s="1">
        <v>-0.249662265285275</v>
      </c>
      <c r="K254" s="1" t="s">
        <v>61</v>
      </c>
      <c r="L254" s="1" t="s">
        <v>61</v>
      </c>
      <c r="M254" s="1" t="s">
        <v>62</v>
      </c>
      <c r="N254" s="1">
        <v>122.0</v>
      </c>
      <c r="O254" s="1">
        <v>0.176554956308999</v>
      </c>
      <c r="P254" s="1" t="s">
        <v>61</v>
      </c>
      <c r="Q254" s="1" t="s">
        <v>61</v>
      </c>
      <c r="R254" s="1">
        <f t="shared" si="1"/>
        <v>0.1765549563</v>
      </c>
      <c r="S254" s="1">
        <f t="shared" si="2"/>
        <v>122</v>
      </c>
      <c r="T254" s="1">
        <f t="shared" si="3"/>
        <v>2.22</v>
      </c>
      <c r="U254" s="1">
        <f t="shared" si="4"/>
        <v>0</v>
      </c>
      <c r="V254" s="3">
        <f t="shared" si="5"/>
        <v>3</v>
      </c>
      <c r="W254" s="3">
        <f t="shared" si="6"/>
        <v>1</v>
      </c>
      <c r="X254" s="3" t="str">
        <f>IFERROR(__xludf.DUMMYFUNCTION("split(B254,"" "")"),"P.")</f>
        <v>P.</v>
      </c>
      <c r="Y254" s="3" t="str">
        <f>IFERROR(__xludf.DUMMYFUNCTION("""COMPUTED_VALUE"""),"Mahomes")</f>
        <v>Mahomes</v>
      </c>
      <c r="AA254" s="8">
        <v>3.0</v>
      </c>
      <c r="AB254" s="3">
        <f t="shared" si="7"/>
        <v>0</v>
      </c>
      <c r="AC254" s="3">
        <f t="shared" si="8"/>
        <v>1</v>
      </c>
      <c r="AD254" s="3">
        <f t="shared" si="9"/>
        <v>3.66</v>
      </c>
      <c r="AE254" s="3">
        <f t="shared" si="10"/>
        <v>3.66</v>
      </c>
      <c r="AF254" s="3">
        <f t="shared" si="11"/>
        <v>1.22</v>
      </c>
      <c r="AG254" s="3">
        <f t="shared" si="12"/>
        <v>0.1428571429</v>
      </c>
    </row>
    <row r="255">
      <c r="A255" s="1" t="s">
        <v>12</v>
      </c>
      <c r="B255" s="1" t="s">
        <v>295</v>
      </c>
      <c r="C255" s="1" t="s">
        <v>18</v>
      </c>
      <c r="D255" s="1" t="s">
        <v>76</v>
      </c>
      <c r="E255" s="1" t="s">
        <v>83</v>
      </c>
      <c r="F255" s="1" t="s">
        <v>670</v>
      </c>
      <c r="G255" s="1">
        <v>2.5</v>
      </c>
      <c r="H255" s="1" t="s">
        <v>60</v>
      </c>
      <c r="I255" s="1">
        <v>-149.0</v>
      </c>
      <c r="J255" s="1">
        <v>-0.196831026827309</v>
      </c>
      <c r="K255" s="1" t="s">
        <v>61</v>
      </c>
      <c r="L255" s="1" t="s">
        <v>61</v>
      </c>
      <c r="M255" s="1" t="s">
        <v>62</v>
      </c>
      <c r="N255" s="1">
        <v>113.0</v>
      </c>
      <c r="O255" s="1">
        <v>0.128960214460093</v>
      </c>
      <c r="P255" s="1" t="s">
        <v>61</v>
      </c>
      <c r="Q255" s="1" t="s">
        <v>61</v>
      </c>
      <c r="R255" s="1">
        <f t="shared" si="1"/>
        <v>0.1289602145</v>
      </c>
      <c r="S255" s="1">
        <f t="shared" si="2"/>
        <v>113</v>
      </c>
      <c r="T255" s="1">
        <f t="shared" si="3"/>
        <v>2.13</v>
      </c>
      <c r="U255" s="1">
        <f t="shared" si="4"/>
        <v>0</v>
      </c>
      <c r="V255" s="3">
        <f t="shared" si="5"/>
        <v>3</v>
      </c>
      <c r="W255" s="3">
        <f t="shared" si="6"/>
        <v>1</v>
      </c>
      <c r="X255" s="3" t="str">
        <f>IFERROR(__xludf.DUMMYFUNCTION("split(B255,"" "")"),"X.")</f>
        <v>X.</v>
      </c>
      <c r="Y255" s="3" t="str">
        <f>IFERROR(__xludf.DUMMYFUNCTION("""COMPUTED_VALUE"""),"Worthy")</f>
        <v>Worthy</v>
      </c>
      <c r="AA255" s="8">
        <v>1.0</v>
      </c>
      <c r="AB255" s="3">
        <f t="shared" si="7"/>
        <v>0</v>
      </c>
      <c r="AC255" s="3">
        <f t="shared" si="8"/>
        <v>1</v>
      </c>
      <c r="AD255" s="3">
        <f t="shared" si="9"/>
        <v>3.39</v>
      </c>
      <c r="AE255" s="3">
        <f t="shared" si="10"/>
        <v>3.39</v>
      </c>
      <c r="AF255" s="3">
        <f t="shared" si="11"/>
        <v>1.13</v>
      </c>
      <c r="AG255" s="3">
        <f t="shared" si="12"/>
        <v>0.6</v>
      </c>
    </row>
    <row r="256">
      <c r="A256" s="1" t="s">
        <v>12</v>
      </c>
      <c r="B256" s="1" t="s">
        <v>468</v>
      </c>
      <c r="C256" s="1" t="s">
        <v>20</v>
      </c>
      <c r="D256" s="1" t="s">
        <v>76</v>
      </c>
      <c r="E256" s="1" t="s">
        <v>83</v>
      </c>
      <c r="F256" s="1" t="s">
        <v>670</v>
      </c>
      <c r="G256" s="1">
        <v>1.5</v>
      </c>
      <c r="H256" s="1" t="s">
        <v>60</v>
      </c>
      <c r="I256" s="1">
        <v>-129.0</v>
      </c>
      <c r="J256" s="1">
        <v>-0.163417559292576</v>
      </c>
      <c r="K256" s="1" t="s">
        <v>61</v>
      </c>
      <c r="L256" s="1" t="s">
        <v>61</v>
      </c>
      <c r="M256" s="1" t="s">
        <v>62</v>
      </c>
      <c r="N256" s="1">
        <v>-101.0</v>
      </c>
      <c r="O256" s="1">
        <v>0.097611036262587</v>
      </c>
      <c r="P256" s="1" t="s">
        <v>61</v>
      </c>
      <c r="Q256" s="1" t="s">
        <v>61</v>
      </c>
      <c r="R256" s="1">
        <f t="shared" si="1"/>
        <v>0.09761103626</v>
      </c>
      <c r="S256" s="1">
        <f t="shared" si="2"/>
        <v>-101</v>
      </c>
      <c r="T256" s="1">
        <f t="shared" si="3"/>
        <v>1.99009901</v>
      </c>
      <c r="U256" s="1">
        <f t="shared" si="4"/>
        <v>0</v>
      </c>
      <c r="V256" s="3">
        <f t="shared" si="5"/>
        <v>2</v>
      </c>
      <c r="W256" s="3">
        <f t="shared" si="6"/>
        <v>2</v>
      </c>
      <c r="X256" s="3" t="str">
        <f>IFERROR(__xludf.DUMMYFUNCTION("split(B256,"" "")"),"N.")</f>
        <v>N.</v>
      </c>
      <c r="Y256" s="3" t="str">
        <f>IFERROR(__xludf.DUMMYFUNCTION("""COMPUTED_VALUE"""),"Gray")</f>
        <v>Gray</v>
      </c>
      <c r="AA256" s="8">
        <v>2.0</v>
      </c>
      <c r="AB256" s="3">
        <f t="shared" si="7"/>
        <v>1</v>
      </c>
      <c r="AC256" s="3">
        <f t="shared" si="8"/>
        <v>0</v>
      </c>
      <c r="AD256" s="3">
        <f t="shared" si="9"/>
        <v>1.98019802</v>
      </c>
      <c r="AE256" s="3">
        <f t="shared" si="10"/>
        <v>-2</v>
      </c>
      <c r="AF256" s="3">
        <f t="shared" si="11"/>
        <v>-2</v>
      </c>
      <c r="AG256" s="3">
        <f t="shared" si="12"/>
        <v>-0.3333333333</v>
      </c>
    </row>
    <row r="257">
      <c r="A257" s="1" t="s">
        <v>10</v>
      </c>
      <c r="B257" s="1" t="s">
        <v>591</v>
      </c>
      <c r="C257" s="1" t="s">
        <v>19</v>
      </c>
      <c r="D257" s="1" t="s">
        <v>76</v>
      </c>
      <c r="E257" s="1" t="s">
        <v>83</v>
      </c>
      <c r="F257" s="1" t="s">
        <v>670</v>
      </c>
      <c r="G257" s="1">
        <v>75.5</v>
      </c>
      <c r="H257" s="1" t="s">
        <v>60</v>
      </c>
      <c r="I257" s="1">
        <v>-115.0</v>
      </c>
      <c r="J257" s="1">
        <v>-0.142419545749593</v>
      </c>
      <c r="K257" s="1" t="s">
        <v>61</v>
      </c>
      <c r="L257" s="1" t="s">
        <v>61</v>
      </c>
      <c r="M257" s="1" t="s">
        <v>62</v>
      </c>
      <c r="N257" s="1">
        <v>-113.0</v>
      </c>
      <c r="O257" s="1">
        <v>0.0770373996186982</v>
      </c>
      <c r="P257" s="1" t="s">
        <v>61</v>
      </c>
      <c r="Q257" s="1" t="s">
        <v>61</v>
      </c>
      <c r="R257" s="1">
        <f t="shared" si="1"/>
        <v>0.07703739962</v>
      </c>
      <c r="S257" s="1">
        <f t="shared" si="2"/>
        <v>-113</v>
      </c>
      <c r="T257" s="1">
        <f t="shared" si="3"/>
        <v>1.884955752</v>
      </c>
      <c r="U257" s="1">
        <f t="shared" si="4"/>
        <v>0</v>
      </c>
      <c r="V257" s="3">
        <f t="shared" si="5"/>
        <v>2</v>
      </c>
      <c r="W257" s="3">
        <f t="shared" si="6"/>
        <v>2</v>
      </c>
      <c r="X257" s="3" t="str">
        <f>IFERROR(__xludf.DUMMYFUNCTION("split(B257,"" "")"),"K.")</f>
        <v>K.</v>
      </c>
      <c r="Y257" s="3" t="str">
        <f>IFERROR(__xludf.DUMMYFUNCTION("""COMPUTED_VALUE"""),"Hunt")</f>
        <v>Hunt</v>
      </c>
      <c r="AA257" s="8">
        <v>35.0</v>
      </c>
      <c r="AB257" s="3">
        <f t="shared" si="7"/>
        <v>0</v>
      </c>
      <c r="AC257" s="3">
        <f t="shared" si="8"/>
        <v>1</v>
      </c>
      <c r="AD257" s="3">
        <f t="shared" si="9"/>
        <v>1.769911504</v>
      </c>
      <c r="AE257" s="3">
        <f t="shared" si="10"/>
        <v>1.769911504</v>
      </c>
      <c r="AF257" s="3">
        <f t="shared" si="11"/>
        <v>1.769911504</v>
      </c>
      <c r="AG257" s="3">
        <f t="shared" si="12"/>
        <v>0.5364238411</v>
      </c>
    </row>
    <row r="258">
      <c r="A258" s="1" t="s">
        <v>9</v>
      </c>
      <c r="B258" s="1" t="s">
        <v>591</v>
      </c>
      <c r="C258" s="1" t="s">
        <v>19</v>
      </c>
      <c r="D258" s="1" t="s">
        <v>76</v>
      </c>
      <c r="E258" s="1" t="s">
        <v>83</v>
      </c>
      <c r="F258" s="1" t="s">
        <v>670</v>
      </c>
      <c r="G258" s="1">
        <v>87.5</v>
      </c>
      <c r="H258" s="1" t="s">
        <v>60</v>
      </c>
      <c r="I258" s="1">
        <v>-116.0</v>
      </c>
      <c r="J258" s="1">
        <v>-0.129666121641307</v>
      </c>
      <c r="K258" s="1" t="s">
        <v>61</v>
      </c>
      <c r="L258" s="1" t="s">
        <v>61</v>
      </c>
      <c r="M258" s="1" t="s">
        <v>62</v>
      </c>
      <c r="N258" s="1">
        <v>-116.0</v>
      </c>
      <c r="O258" s="1">
        <v>0.0556127011039168</v>
      </c>
      <c r="P258" s="1" t="s">
        <v>61</v>
      </c>
      <c r="Q258" s="1" t="s">
        <v>61</v>
      </c>
      <c r="R258" s="1">
        <f t="shared" si="1"/>
        <v>0.0556127011</v>
      </c>
      <c r="S258" s="1">
        <f t="shared" si="2"/>
        <v>-116</v>
      </c>
      <c r="T258" s="1">
        <f t="shared" si="3"/>
        <v>1.862068966</v>
      </c>
      <c r="U258" s="1">
        <f t="shared" si="4"/>
        <v>0</v>
      </c>
      <c r="V258" s="3">
        <f t="shared" si="5"/>
        <v>2</v>
      </c>
      <c r="W258" s="3">
        <f t="shared" si="6"/>
        <v>2</v>
      </c>
      <c r="X258" s="3" t="str">
        <f>IFERROR(__xludf.DUMMYFUNCTION("split(B258,"" "")"),"K.")</f>
        <v>K.</v>
      </c>
      <c r="Y258" s="3" t="str">
        <f>IFERROR(__xludf.DUMMYFUNCTION("""COMPUTED_VALUE"""),"Hunt")</f>
        <v>Hunt</v>
      </c>
      <c r="AA258" s="8">
        <v>100.0</v>
      </c>
      <c r="AB258" s="3">
        <f t="shared" si="7"/>
        <v>1</v>
      </c>
      <c r="AC258" s="3">
        <f t="shared" si="8"/>
        <v>0</v>
      </c>
      <c r="AD258" s="3">
        <f t="shared" si="9"/>
        <v>1.724137931</v>
      </c>
      <c r="AE258" s="3">
        <f t="shared" si="10"/>
        <v>-2</v>
      </c>
      <c r="AF258" s="3">
        <f t="shared" si="11"/>
        <v>-2</v>
      </c>
      <c r="AG258" s="3">
        <f t="shared" si="12"/>
        <v>-0.1428571429</v>
      </c>
    </row>
    <row r="259">
      <c r="A259" s="1" t="s">
        <v>12</v>
      </c>
      <c r="B259" s="1" t="s">
        <v>591</v>
      </c>
      <c r="C259" s="1" t="s">
        <v>19</v>
      </c>
      <c r="D259" s="1" t="s">
        <v>76</v>
      </c>
      <c r="E259" s="1" t="s">
        <v>83</v>
      </c>
      <c r="F259" s="1" t="s">
        <v>670</v>
      </c>
      <c r="G259" s="1">
        <v>1.5</v>
      </c>
      <c r="H259" s="1" t="s">
        <v>60</v>
      </c>
      <c r="I259" s="1">
        <v>-109.0</v>
      </c>
      <c r="J259" s="1">
        <v>-0.110377407124401</v>
      </c>
      <c r="K259" s="1" t="s">
        <v>61</v>
      </c>
      <c r="L259" s="1" t="s">
        <v>61</v>
      </c>
      <c r="M259" s="1" t="s">
        <v>62</v>
      </c>
      <c r="N259" s="1">
        <v>-120.0</v>
      </c>
      <c r="O259" s="1">
        <v>0.0433982441218181</v>
      </c>
      <c r="P259" s="1" t="s">
        <v>61</v>
      </c>
      <c r="Q259" s="1" t="s">
        <v>61</v>
      </c>
      <c r="R259" s="1">
        <f t="shared" si="1"/>
        <v>0.04339824412</v>
      </c>
      <c r="S259" s="1">
        <f t="shared" si="2"/>
        <v>-120</v>
      </c>
      <c r="T259" s="1">
        <f t="shared" si="3"/>
        <v>1.833333333</v>
      </c>
      <c r="U259" s="1">
        <f t="shared" si="4"/>
        <v>0</v>
      </c>
      <c r="V259" s="3">
        <f t="shared" si="5"/>
        <v>1</v>
      </c>
      <c r="W259" s="3">
        <f t="shared" si="6"/>
        <v>3</v>
      </c>
      <c r="X259" s="3" t="str">
        <f>IFERROR(__xludf.DUMMYFUNCTION("split(B259,"" "")"),"K.")</f>
        <v>K.</v>
      </c>
      <c r="Y259" s="3" t="str">
        <f>IFERROR(__xludf.DUMMYFUNCTION("""COMPUTED_VALUE"""),"Hunt")</f>
        <v>Hunt</v>
      </c>
      <c r="AA259" s="8">
        <v>7.0</v>
      </c>
      <c r="AB259" s="3">
        <f t="shared" si="7"/>
        <v>1</v>
      </c>
      <c r="AC259" s="3">
        <f t="shared" si="8"/>
        <v>0</v>
      </c>
      <c r="AD259" s="3">
        <f t="shared" si="9"/>
        <v>0.8333333333</v>
      </c>
      <c r="AE259" s="3">
        <f t="shared" si="10"/>
        <v>-1</v>
      </c>
      <c r="AF259" s="3">
        <f t="shared" si="11"/>
        <v>-3</v>
      </c>
      <c r="AG259" s="3">
        <f t="shared" si="12"/>
        <v>-3.666666667</v>
      </c>
    </row>
    <row r="260">
      <c r="A260" s="1" t="s">
        <v>12</v>
      </c>
      <c r="B260" s="1" t="s">
        <v>237</v>
      </c>
      <c r="C260" s="1" t="s">
        <v>18</v>
      </c>
      <c r="D260" s="1" t="s">
        <v>76</v>
      </c>
      <c r="E260" s="1" t="s">
        <v>83</v>
      </c>
      <c r="F260" s="1" t="s">
        <v>670</v>
      </c>
      <c r="G260" s="1">
        <v>1.5</v>
      </c>
      <c r="H260" s="1" t="s">
        <v>60</v>
      </c>
      <c r="I260" s="1">
        <v>100.0</v>
      </c>
      <c r="J260" s="1">
        <v>-0.103348660079999</v>
      </c>
      <c r="K260" s="1" t="s">
        <v>61</v>
      </c>
      <c r="L260" s="1" t="s">
        <v>61</v>
      </c>
      <c r="M260" s="1" t="s">
        <v>62</v>
      </c>
      <c r="N260" s="1">
        <v>-132.0</v>
      </c>
      <c r="O260" s="1">
        <v>0.034389854573793</v>
      </c>
      <c r="P260" s="1" t="s">
        <v>61</v>
      </c>
      <c r="Q260" s="1" t="s">
        <v>61</v>
      </c>
      <c r="R260" s="1">
        <f t="shared" si="1"/>
        <v>0.03438985457</v>
      </c>
      <c r="S260" s="1">
        <f t="shared" si="2"/>
        <v>-132</v>
      </c>
      <c r="T260" s="1">
        <f t="shared" si="3"/>
        <v>1.757575758</v>
      </c>
      <c r="U260" s="1">
        <f t="shared" si="4"/>
        <v>0</v>
      </c>
      <c r="V260" s="3">
        <f t="shared" si="5"/>
        <v>1</v>
      </c>
      <c r="W260" s="3">
        <f t="shared" si="6"/>
        <v>3</v>
      </c>
      <c r="X260" s="3" t="str">
        <f>IFERROR(__xludf.DUMMYFUNCTION("split(B260,"" "")"),"J.")</f>
        <v>J.</v>
      </c>
      <c r="Y260" s="3" t="str">
        <f>IFERROR(__xludf.DUMMYFUNCTION("""COMPUTED_VALUE"""),"Watson")</f>
        <v>Watson</v>
      </c>
      <c r="AA260" s="8">
        <v>2.0</v>
      </c>
      <c r="AB260" s="3">
        <f t="shared" si="7"/>
        <v>1</v>
      </c>
      <c r="AC260" s="3">
        <f t="shared" si="8"/>
        <v>0</v>
      </c>
      <c r="AD260" s="3">
        <f t="shared" si="9"/>
        <v>0.7575757576</v>
      </c>
      <c r="AE260" s="3">
        <f t="shared" si="10"/>
        <v>-1</v>
      </c>
      <c r="AF260" s="3">
        <f t="shared" si="11"/>
        <v>-3</v>
      </c>
      <c r="AG260" s="3">
        <f t="shared" si="12"/>
        <v>-0.3333333333</v>
      </c>
    </row>
    <row r="261">
      <c r="A261" s="1" t="s">
        <v>10</v>
      </c>
      <c r="B261" s="1" t="s">
        <v>75</v>
      </c>
      <c r="C261" s="1" t="s">
        <v>21</v>
      </c>
      <c r="D261" s="1" t="s">
        <v>76</v>
      </c>
      <c r="E261" s="1" t="s">
        <v>83</v>
      </c>
      <c r="F261" s="1" t="s">
        <v>670</v>
      </c>
      <c r="G261" s="1">
        <v>16.5</v>
      </c>
      <c r="H261" s="1" t="s">
        <v>60</v>
      </c>
      <c r="I261" s="1">
        <v>-114.0</v>
      </c>
      <c r="J261" s="1">
        <v>-0.0967357268851636</v>
      </c>
      <c r="K261" s="1" t="s">
        <v>61</v>
      </c>
      <c r="L261" s="1" t="s">
        <v>61</v>
      </c>
      <c r="M261" s="1" t="s">
        <v>62</v>
      </c>
      <c r="N261" s="1">
        <v>-113.0</v>
      </c>
      <c r="O261" s="1">
        <v>0.0335259881472783</v>
      </c>
      <c r="P261" s="1" t="s">
        <v>61</v>
      </c>
      <c r="Q261" s="1" t="s">
        <v>61</v>
      </c>
      <c r="R261" s="1">
        <f t="shared" si="1"/>
        <v>0.03352598815</v>
      </c>
      <c r="S261" s="1">
        <f t="shared" si="2"/>
        <v>-113</v>
      </c>
      <c r="T261" s="1">
        <f t="shared" si="3"/>
        <v>1.884955752</v>
      </c>
      <c r="U261" s="1">
        <f t="shared" si="4"/>
        <v>0</v>
      </c>
      <c r="V261" s="3">
        <f t="shared" si="5"/>
        <v>1</v>
      </c>
      <c r="W261" s="3">
        <f t="shared" si="6"/>
        <v>2</v>
      </c>
      <c r="X261" s="3" t="str">
        <f>IFERROR(__xludf.DUMMYFUNCTION("split(B261,"" "")"),"P.")</f>
        <v>P.</v>
      </c>
      <c r="Y261" s="3" t="str">
        <f>IFERROR(__xludf.DUMMYFUNCTION("""COMPUTED_VALUE"""),"Mahomes")</f>
        <v>Mahomes</v>
      </c>
      <c r="AA261" s="8">
        <v>19.0</v>
      </c>
      <c r="AB261" s="3">
        <f t="shared" si="7"/>
        <v>1</v>
      </c>
      <c r="AC261" s="3">
        <f t="shared" si="8"/>
        <v>0</v>
      </c>
      <c r="AD261" s="3">
        <f t="shared" si="9"/>
        <v>0.8849557522</v>
      </c>
      <c r="AE261" s="3">
        <f t="shared" si="10"/>
        <v>-1</v>
      </c>
      <c r="AF261" s="3">
        <f t="shared" si="11"/>
        <v>-2</v>
      </c>
      <c r="AG261" s="3">
        <f t="shared" si="12"/>
        <v>-0.1515151515</v>
      </c>
    </row>
    <row r="262">
      <c r="A262" s="1" t="s">
        <v>10</v>
      </c>
      <c r="B262" s="1" t="s">
        <v>542</v>
      </c>
      <c r="C262" s="1" t="s">
        <v>19</v>
      </c>
      <c r="D262" s="1" t="s">
        <v>76</v>
      </c>
      <c r="E262" s="1" t="s">
        <v>83</v>
      </c>
      <c r="F262" s="1" t="s">
        <v>670</v>
      </c>
      <c r="G262" s="1">
        <v>11.5</v>
      </c>
      <c r="H262" s="1" t="s">
        <v>60</v>
      </c>
      <c r="I262" s="1">
        <v>-118.0</v>
      </c>
      <c r="J262" s="1">
        <v>-0.0912657737522575</v>
      </c>
      <c r="K262" s="1" t="s">
        <v>61</v>
      </c>
      <c r="L262" s="1" t="s">
        <v>61</v>
      </c>
      <c r="M262" s="1" t="s">
        <v>62</v>
      </c>
      <c r="N262" s="1">
        <v>-112.0</v>
      </c>
      <c r="O262" s="1">
        <v>0.0216918269780719</v>
      </c>
      <c r="P262" s="1" t="s">
        <v>61</v>
      </c>
      <c r="Q262" s="1" t="s">
        <v>61</v>
      </c>
      <c r="R262" s="1">
        <f t="shared" si="1"/>
        <v>0.02169182698</v>
      </c>
      <c r="S262" s="1">
        <f t="shared" si="2"/>
        <v>-112</v>
      </c>
      <c r="T262" s="1">
        <f t="shared" si="3"/>
        <v>1.892857143</v>
      </c>
      <c r="U262" s="1">
        <f t="shared" si="4"/>
        <v>0</v>
      </c>
      <c r="V262" s="3">
        <f t="shared" si="5"/>
        <v>1</v>
      </c>
      <c r="W262" s="3">
        <f t="shared" si="6"/>
        <v>2</v>
      </c>
      <c r="X262" s="3" t="str">
        <f>IFERROR(__xludf.DUMMYFUNCTION("split(B262,"" "")"),"C.")</f>
        <v>C.</v>
      </c>
      <c r="Y262" s="3" t="str">
        <f>IFERROR(__xludf.DUMMYFUNCTION("""COMPUTED_VALUE"""),"Steele")</f>
        <v>Steele</v>
      </c>
      <c r="AA262" s="8">
        <v>3.0</v>
      </c>
      <c r="AB262" s="3">
        <f t="shared" si="7"/>
        <v>0</v>
      </c>
      <c r="AC262" s="3">
        <f t="shared" si="8"/>
        <v>1</v>
      </c>
      <c r="AD262" s="3">
        <f t="shared" si="9"/>
        <v>0.8928571429</v>
      </c>
      <c r="AE262" s="3">
        <f t="shared" si="10"/>
        <v>0.8928571429</v>
      </c>
      <c r="AF262" s="3">
        <f t="shared" si="11"/>
        <v>1.785714286</v>
      </c>
      <c r="AG262" s="3">
        <f t="shared" si="12"/>
        <v>0.7391304348</v>
      </c>
    </row>
    <row r="263">
      <c r="A263" s="1" t="s">
        <v>11</v>
      </c>
      <c r="B263" s="1" t="s">
        <v>406</v>
      </c>
      <c r="C263" s="1" t="s">
        <v>18</v>
      </c>
      <c r="D263" s="1" t="s">
        <v>76</v>
      </c>
      <c r="E263" s="1" t="s">
        <v>83</v>
      </c>
      <c r="F263" s="1" t="s">
        <v>670</v>
      </c>
      <c r="G263" s="1">
        <v>50.5</v>
      </c>
      <c r="H263" s="1" t="s">
        <v>60</v>
      </c>
      <c r="I263" s="1">
        <v>-119.0</v>
      </c>
      <c r="J263" s="1">
        <v>-0.0883338041660227</v>
      </c>
      <c r="K263" s="1" t="s">
        <v>61</v>
      </c>
      <c r="L263" s="1" t="s">
        <v>61</v>
      </c>
      <c r="M263" s="1" t="s">
        <v>62</v>
      </c>
      <c r="N263" s="1">
        <v>-111.0</v>
      </c>
      <c r="O263" s="1">
        <v>0.0188811858450331</v>
      </c>
      <c r="P263" s="1" t="s">
        <v>61</v>
      </c>
      <c r="Q263" s="1" t="s">
        <v>61</v>
      </c>
      <c r="R263" s="1">
        <f t="shared" si="1"/>
        <v>0.01888118585</v>
      </c>
      <c r="S263" s="1">
        <f t="shared" si="2"/>
        <v>-111</v>
      </c>
      <c r="T263" s="1">
        <f t="shared" si="3"/>
        <v>1.900900901</v>
      </c>
      <c r="U263" s="1">
        <f t="shared" si="4"/>
        <v>0</v>
      </c>
      <c r="V263" s="3">
        <f t="shared" si="5"/>
        <v>1</v>
      </c>
      <c r="W263" s="3">
        <f t="shared" si="6"/>
        <v>2</v>
      </c>
      <c r="X263" s="3" t="str">
        <f>IFERROR(__xludf.DUMMYFUNCTION("split(B263,"" "")"),"D.")</f>
        <v>D.</v>
      </c>
      <c r="Y263" s="3" t="str">
        <f>IFERROR(__xludf.DUMMYFUNCTION("""COMPUTED_VALUE"""),"Hopkins")</f>
        <v>Hopkins</v>
      </c>
      <c r="AA263" s="8">
        <v>56.0</v>
      </c>
      <c r="AB263" s="3">
        <f t="shared" si="7"/>
        <v>1</v>
      </c>
      <c r="AC263" s="3">
        <f t="shared" si="8"/>
        <v>0</v>
      </c>
      <c r="AD263" s="3">
        <f t="shared" si="9"/>
        <v>0.9009009009</v>
      </c>
      <c r="AE263" s="3">
        <f t="shared" si="10"/>
        <v>-1</v>
      </c>
      <c r="AF263" s="3">
        <f t="shared" si="11"/>
        <v>-2</v>
      </c>
      <c r="AG263" s="3">
        <f t="shared" si="12"/>
        <v>-0.1089108911</v>
      </c>
    </row>
    <row r="264">
      <c r="A264" s="1" t="s">
        <v>9</v>
      </c>
      <c r="B264" s="1" t="s">
        <v>295</v>
      </c>
      <c r="C264" s="1" t="s">
        <v>18</v>
      </c>
      <c r="D264" s="1" t="s">
        <v>76</v>
      </c>
      <c r="E264" s="1" t="s">
        <v>83</v>
      </c>
      <c r="F264" s="1" t="s">
        <v>670</v>
      </c>
      <c r="G264" s="1">
        <v>40.5</v>
      </c>
      <c r="H264" s="1" t="s">
        <v>60</v>
      </c>
      <c r="I264" s="1">
        <v>-115.0</v>
      </c>
      <c r="J264" s="1">
        <v>3.06451143192609E-4</v>
      </c>
      <c r="K264" s="1" t="s">
        <v>61</v>
      </c>
      <c r="L264" s="1" t="s">
        <v>61</v>
      </c>
      <c r="M264" s="1" t="s">
        <v>62</v>
      </c>
      <c r="N264" s="1">
        <v>-117.0</v>
      </c>
      <c r="O264" s="1">
        <v>-0.0743431925579267</v>
      </c>
      <c r="P264" s="1" t="s">
        <v>61</v>
      </c>
      <c r="Q264" s="1" t="s">
        <v>61</v>
      </c>
      <c r="R264" s="1">
        <f t="shared" si="1"/>
        <v>0.0003064511432</v>
      </c>
      <c r="S264" s="1">
        <f t="shared" si="2"/>
        <v>-115</v>
      </c>
      <c r="T264" s="1">
        <f t="shared" si="3"/>
        <v>1.869565217</v>
      </c>
      <c r="U264" s="1">
        <f t="shared" si="4"/>
        <v>1</v>
      </c>
      <c r="V264" s="3">
        <f t="shared" si="5"/>
        <v>1</v>
      </c>
      <c r="W264" s="3">
        <f t="shared" si="6"/>
        <v>2</v>
      </c>
      <c r="X264" s="3" t="str">
        <f>IFERROR(__xludf.DUMMYFUNCTION("split(B264,"" "")"),"X.")</f>
        <v>X.</v>
      </c>
      <c r="Y264" s="3" t="str">
        <f>IFERROR(__xludf.DUMMYFUNCTION("""COMPUTED_VALUE"""),"Worthy")</f>
        <v>Worthy</v>
      </c>
      <c r="AA264" s="8">
        <v>11.0</v>
      </c>
      <c r="AB264" s="3">
        <f t="shared" si="7"/>
        <v>0</v>
      </c>
      <c r="AC264" s="3">
        <f t="shared" si="8"/>
        <v>0</v>
      </c>
      <c r="AD264" s="3">
        <f t="shared" si="9"/>
        <v>0.8695652174</v>
      </c>
      <c r="AE264" s="3">
        <f t="shared" si="10"/>
        <v>-1</v>
      </c>
      <c r="AF264" s="3">
        <f t="shared" si="11"/>
        <v>-2</v>
      </c>
      <c r="AG264" s="3">
        <f t="shared" si="12"/>
        <v>-0.7283950617</v>
      </c>
    </row>
    <row r="265">
      <c r="A265" s="1" t="s">
        <v>11</v>
      </c>
      <c r="B265" s="1" t="s">
        <v>237</v>
      </c>
      <c r="C265" s="1" t="s">
        <v>18</v>
      </c>
      <c r="D265" s="1" t="s">
        <v>76</v>
      </c>
      <c r="E265" s="1" t="s">
        <v>83</v>
      </c>
      <c r="F265" s="1" t="s">
        <v>670</v>
      </c>
      <c r="G265" s="1">
        <v>15.5</v>
      </c>
      <c r="H265" s="1" t="s">
        <v>60</v>
      </c>
      <c r="I265" s="1">
        <v>-115.0</v>
      </c>
      <c r="J265" s="1">
        <v>0.01554063350673</v>
      </c>
      <c r="K265" s="1" t="s">
        <v>61</v>
      </c>
      <c r="L265" s="1" t="s">
        <v>61</v>
      </c>
      <c r="M265" s="1" t="s">
        <v>62</v>
      </c>
      <c r="N265" s="1">
        <v>-114.0</v>
      </c>
      <c r="O265" s="1">
        <v>-0.0831672395911193</v>
      </c>
      <c r="P265" s="1" t="s">
        <v>61</v>
      </c>
      <c r="Q265" s="1" t="s">
        <v>61</v>
      </c>
      <c r="R265" s="1">
        <f t="shared" si="1"/>
        <v>0.01554063351</v>
      </c>
      <c r="S265" s="1">
        <f t="shared" si="2"/>
        <v>-115</v>
      </c>
      <c r="T265" s="1">
        <f t="shared" si="3"/>
        <v>1.869565217</v>
      </c>
      <c r="U265" s="1">
        <f t="shared" si="4"/>
        <v>1</v>
      </c>
      <c r="V265" s="3">
        <f t="shared" si="5"/>
        <v>1</v>
      </c>
      <c r="W265" s="3">
        <f t="shared" si="6"/>
        <v>2</v>
      </c>
      <c r="X265" s="3" t="str">
        <f>IFERROR(__xludf.DUMMYFUNCTION("split(B265,"" "")"),"J.")</f>
        <v>J.</v>
      </c>
      <c r="Y265" s="3" t="str">
        <f>IFERROR(__xludf.DUMMYFUNCTION("""COMPUTED_VALUE"""),"Watson")</f>
        <v>Watson</v>
      </c>
      <c r="AA265" s="8">
        <v>6.0</v>
      </c>
      <c r="AB265" s="3">
        <f t="shared" si="7"/>
        <v>0</v>
      </c>
      <c r="AC265" s="3">
        <f t="shared" si="8"/>
        <v>0</v>
      </c>
      <c r="AD265" s="3">
        <f t="shared" si="9"/>
        <v>0.8695652174</v>
      </c>
      <c r="AE265" s="3">
        <f t="shared" si="10"/>
        <v>-1</v>
      </c>
      <c r="AF265" s="3">
        <f t="shared" si="11"/>
        <v>-2</v>
      </c>
      <c r="AG265" s="3">
        <f t="shared" si="12"/>
        <v>-0.6129032258</v>
      </c>
    </row>
    <row r="266">
      <c r="A266" s="1" t="s">
        <v>11</v>
      </c>
      <c r="B266" s="1" t="s">
        <v>424</v>
      </c>
      <c r="C266" s="1" t="s">
        <v>19</v>
      </c>
      <c r="D266" s="1" t="s">
        <v>76</v>
      </c>
      <c r="E266" s="1" t="s">
        <v>83</v>
      </c>
      <c r="F266" s="1" t="s">
        <v>670</v>
      </c>
      <c r="G266" s="1">
        <v>7.5</v>
      </c>
      <c r="H266" s="1" t="s">
        <v>60</v>
      </c>
      <c r="I266" s="1">
        <v>-130.0</v>
      </c>
      <c r="J266" s="1">
        <v>0.0279417800128558</v>
      </c>
      <c r="K266" s="1" t="s">
        <v>61</v>
      </c>
      <c r="L266" s="1" t="s">
        <v>61</v>
      </c>
      <c r="M266" s="1" t="s">
        <v>62</v>
      </c>
      <c r="N266" s="1">
        <v>101.0</v>
      </c>
      <c r="O266" s="1">
        <v>-0.090694574144064</v>
      </c>
      <c r="P266" s="1" t="s">
        <v>61</v>
      </c>
      <c r="Q266" s="1" t="s">
        <v>61</v>
      </c>
      <c r="R266" s="1">
        <f t="shared" si="1"/>
        <v>0.02794178001</v>
      </c>
      <c r="S266" s="1">
        <f t="shared" si="2"/>
        <v>-130</v>
      </c>
      <c r="T266" s="1">
        <f t="shared" si="3"/>
        <v>1.769230769</v>
      </c>
      <c r="U266" s="1">
        <f t="shared" si="4"/>
        <v>1</v>
      </c>
      <c r="V266" s="3">
        <f t="shared" si="5"/>
        <v>1</v>
      </c>
      <c r="W266" s="3">
        <f t="shared" si="6"/>
        <v>3</v>
      </c>
      <c r="X266" s="3" t="str">
        <f>IFERROR(__xludf.DUMMYFUNCTION("split(B266,"" "")"),"S.")</f>
        <v>S.</v>
      </c>
      <c r="Y266" s="3" t="str">
        <f>IFERROR(__xludf.DUMMYFUNCTION("""COMPUTED_VALUE"""),"Perine")</f>
        <v>Perine</v>
      </c>
      <c r="AA266" s="8">
        <v>37.0</v>
      </c>
      <c r="AB266" s="3">
        <f t="shared" si="7"/>
        <v>1</v>
      </c>
      <c r="AC266" s="3">
        <f t="shared" si="8"/>
        <v>1</v>
      </c>
      <c r="AD266" s="3">
        <f t="shared" si="9"/>
        <v>0.7692307692</v>
      </c>
      <c r="AE266" s="3">
        <f t="shared" si="10"/>
        <v>0.7692307692</v>
      </c>
      <c r="AF266" s="3">
        <f t="shared" si="11"/>
        <v>2.307692308</v>
      </c>
      <c r="AG266" s="3">
        <f t="shared" si="12"/>
        <v>3.933333333</v>
      </c>
    </row>
    <row r="267">
      <c r="A267" s="1" t="s">
        <v>10</v>
      </c>
      <c r="B267" s="1" t="s">
        <v>295</v>
      </c>
      <c r="C267" s="1" t="s">
        <v>18</v>
      </c>
      <c r="D267" s="1" t="s">
        <v>76</v>
      </c>
      <c r="E267" s="1" t="s">
        <v>83</v>
      </c>
      <c r="F267" s="1" t="s">
        <v>670</v>
      </c>
      <c r="G267" s="1">
        <v>2.5</v>
      </c>
      <c r="H267" s="1" t="s">
        <v>60</v>
      </c>
      <c r="I267" s="1">
        <v>-117.0</v>
      </c>
      <c r="J267" s="1">
        <v>0.0466354053551074</v>
      </c>
      <c r="K267" s="1" t="s">
        <v>61</v>
      </c>
      <c r="L267" s="1" t="s">
        <v>61</v>
      </c>
      <c r="M267" s="1" t="s">
        <v>62</v>
      </c>
      <c r="N267" s="1">
        <v>-111.0</v>
      </c>
      <c r="O267" s="1">
        <v>-0.111858943544477</v>
      </c>
      <c r="P267" s="1" t="s">
        <v>61</v>
      </c>
      <c r="Q267" s="1" t="s">
        <v>61</v>
      </c>
      <c r="R267" s="1">
        <f t="shared" si="1"/>
        <v>0.04663540536</v>
      </c>
      <c r="S267" s="1">
        <f t="shared" si="2"/>
        <v>-117</v>
      </c>
      <c r="T267" s="1">
        <f t="shared" si="3"/>
        <v>1.854700855</v>
      </c>
      <c r="U267" s="1">
        <f t="shared" si="4"/>
        <v>1</v>
      </c>
      <c r="V267" s="3">
        <f t="shared" si="5"/>
        <v>1</v>
      </c>
      <c r="W267" s="3">
        <f t="shared" si="6"/>
        <v>2</v>
      </c>
      <c r="X267" s="3" t="str">
        <f>IFERROR(__xludf.DUMMYFUNCTION("split(B267,"" "")"),"X.")</f>
        <v>X.</v>
      </c>
      <c r="Y267" s="3" t="str">
        <f>IFERROR(__xludf.DUMMYFUNCTION("""COMPUTED_VALUE"""),"Worthy")</f>
        <v>Worthy</v>
      </c>
      <c r="AA267" s="8">
        <v>0.0</v>
      </c>
      <c r="AB267" s="3">
        <f t="shared" si="7"/>
        <v>0</v>
      </c>
      <c r="AC267" s="3">
        <f t="shared" si="8"/>
        <v>0</v>
      </c>
      <c r="AD267" s="3">
        <f t="shared" si="9"/>
        <v>0.8547008547</v>
      </c>
      <c r="AE267" s="3">
        <f t="shared" si="10"/>
        <v>-1</v>
      </c>
      <c r="AF267" s="3">
        <f t="shared" si="11"/>
        <v>-2</v>
      </c>
      <c r="AG267" s="3">
        <f t="shared" si="12"/>
        <v>-1</v>
      </c>
    </row>
    <row r="268">
      <c r="A268" s="1" t="s">
        <v>11</v>
      </c>
      <c r="B268" s="1" t="s">
        <v>484</v>
      </c>
      <c r="C268" s="1" t="s">
        <v>18</v>
      </c>
      <c r="D268" s="1" t="s">
        <v>76</v>
      </c>
      <c r="E268" s="1" t="s">
        <v>83</v>
      </c>
      <c r="F268" s="1" t="s">
        <v>670</v>
      </c>
      <c r="G268" s="1">
        <v>9.5</v>
      </c>
      <c r="H268" s="1" t="s">
        <v>60</v>
      </c>
      <c r="I268" s="1">
        <v>-109.0</v>
      </c>
      <c r="J268" s="1">
        <v>0.0572716590735161</v>
      </c>
      <c r="K268" s="1" t="s">
        <v>61</v>
      </c>
      <c r="L268" s="1" t="s">
        <v>61</v>
      </c>
      <c r="M268" s="1" t="s">
        <v>62</v>
      </c>
      <c r="N268" s="1">
        <v>-118.0</v>
      </c>
      <c r="O268" s="1">
        <v>-0.120048140186745</v>
      </c>
      <c r="P268" s="1" t="s">
        <v>61</v>
      </c>
      <c r="Q268" s="1" t="s">
        <v>61</v>
      </c>
      <c r="R268" s="1">
        <f t="shared" si="1"/>
        <v>0.05727165907</v>
      </c>
      <c r="S268" s="1">
        <f t="shared" si="2"/>
        <v>-109</v>
      </c>
      <c r="T268" s="1">
        <f t="shared" si="3"/>
        <v>1.917431193</v>
      </c>
      <c r="U268" s="1">
        <f t="shared" si="4"/>
        <v>1</v>
      </c>
      <c r="V268" s="3">
        <f t="shared" si="5"/>
        <v>2</v>
      </c>
      <c r="W268" s="3">
        <f t="shared" si="6"/>
        <v>2</v>
      </c>
      <c r="X268" s="3" t="str">
        <f>IFERROR(__xludf.DUMMYFUNCTION("split(B268,"" "")"),"M.")</f>
        <v>M.</v>
      </c>
      <c r="Y268" s="3" t="str">
        <f>IFERROR(__xludf.DUMMYFUNCTION("""COMPUTED_VALUE"""),"Hardman")</f>
        <v>Hardman</v>
      </c>
      <c r="Z268" s="3" t="str">
        <f>IFERROR(__xludf.DUMMYFUNCTION("""COMPUTED_VALUE"""),"Jr.")</f>
        <v>Jr.</v>
      </c>
      <c r="AA268" s="8">
        <v>3.0</v>
      </c>
      <c r="AB268" s="3">
        <f t="shared" si="7"/>
        <v>0</v>
      </c>
      <c r="AC268" s="3">
        <f t="shared" si="8"/>
        <v>0</v>
      </c>
      <c r="AD268" s="3">
        <f t="shared" si="9"/>
        <v>1.834862385</v>
      </c>
      <c r="AE268" s="3">
        <f t="shared" si="10"/>
        <v>-2</v>
      </c>
      <c r="AF268" s="3">
        <f t="shared" si="11"/>
        <v>-2</v>
      </c>
      <c r="AG268" s="3">
        <f t="shared" si="12"/>
        <v>-0.6842105263</v>
      </c>
    </row>
    <row r="269">
      <c r="A269" s="1" t="s">
        <v>11</v>
      </c>
      <c r="B269" s="1" t="s">
        <v>591</v>
      </c>
      <c r="C269" s="1" t="s">
        <v>19</v>
      </c>
      <c r="D269" s="1" t="s">
        <v>76</v>
      </c>
      <c r="E269" s="1" t="s">
        <v>83</v>
      </c>
      <c r="F269" s="1" t="s">
        <v>670</v>
      </c>
      <c r="G269" s="1">
        <v>8.5</v>
      </c>
      <c r="H269" s="1" t="s">
        <v>60</v>
      </c>
      <c r="I269" s="1">
        <v>-112.0</v>
      </c>
      <c r="J269" s="1">
        <v>0.0598967775815725</v>
      </c>
      <c r="K269" s="1" t="s">
        <v>61</v>
      </c>
      <c r="L269" s="1" t="s">
        <v>61</v>
      </c>
      <c r="M269" s="1" t="s">
        <v>62</v>
      </c>
      <c r="N269" s="1">
        <v>-116.0</v>
      </c>
      <c r="O269" s="1">
        <v>-0.125207812698427</v>
      </c>
      <c r="P269" s="1" t="s">
        <v>61</v>
      </c>
      <c r="Q269" s="1" t="s">
        <v>61</v>
      </c>
      <c r="R269" s="1">
        <f t="shared" si="1"/>
        <v>0.05989677758</v>
      </c>
      <c r="S269" s="1">
        <f t="shared" si="2"/>
        <v>-112</v>
      </c>
      <c r="T269" s="1">
        <f t="shared" si="3"/>
        <v>1.892857143</v>
      </c>
      <c r="U269" s="1">
        <f t="shared" si="4"/>
        <v>1</v>
      </c>
      <c r="V269" s="3">
        <f t="shared" si="5"/>
        <v>2</v>
      </c>
      <c r="W269" s="3">
        <f t="shared" si="6"/>
        <v>2</v>
      </c>
      <c r="X269" s="3" t="str">
        <f>IFERROR(__xludf.DUMMYFUNCTION("split(B269,"" "")"),"K.")</f>
        <v>K.</v>
      </c>
      <c r="Y269" s="3" t="str">
        <f>IFERROR(__xludf.DUMMYFUNCTION("""COMPUTED_VALUE"""),"Hunt")</f>
        <v>Hunt</v>
      </c>
      <c r="AA269" s="8">
        <v>65.0</v>
      </c>
      <c r="AB269" s="3">
        <f t="shared" si="7"/>
        <v>1</v>
      </c>
      <c r="AC269" s="3">
        <f t="shared" si="8"/>
        <v>1</v>
      </c>
      <c r="AD269" s="3">
        <f t="shared" si="9"/>
        <v>1.785714286</v>
      </c>
      <c r="AE269" s="3">
        <f t="shared" si="10"/>
        <v>1.785714286</v>
      </c>
      <c r="AF269" s="3">
        <f t="shared" si="11"/>
        <v>1.785714286</v>
      </c>
      <c r="AG269" s="3">
        <f t="shared" si="12"/>
        <v>6.647058824</v>
      </c>
    </row>
    <row r="270">
      <c r="A270" s="1" t="s">
        <v>16</v>
      </c>
      <c r="B270" s="1" t="s">
        <v>75</v>
      </c>
      <c r="C270" s="1" t="s">
        <v>21</v>
      </c>
      <c r="D270" s="1" t="s">
        <v>76</v>
      </c>
      <c r="E270" s="1" t="s">
        <v>83</v>
      </c>
      <c r="F270" s="1" t="s">
        <v>670</v>
      </c>
      <c r="G270" s="1">
        <v>31.5</v>
      </c>
      <c r="H270" s="1" t="s">
        <v>60</v>
      </c>
      <c r="I270" s="1">
        <v>-106.0</v>
      </c>
      <c r="J270" s="1">
        <v>0.0585893941689321</v>
      </c>
      <c r="K270" s="1" t="s">
        <v>61</v>
      </c>
      <c r="L270" s="1" t="s">
        <v>61</v>
      </c>
      <c r="M270" s="1" t="s">
        <v>62</v>
      </c>
      <c r="N270" s="1">
        <v>-124.0</v>
      </c>
      <c r="O270" s="1">
        <v>-0.126703736517857</v>
      </c>
      <c r="P270" s="1" t="s">
        <v>61</v>
      </c>
      <c r="Q270" s="1" t="s">
        <v>61</v>
      </c>
      <c r="R270" s="1">
        <f t="shared" si="1"/>
        <v>0.05858939417</v>
      </c>
      <c r="S270" s="1">
        <f t="shared" si="2"/>
        <v>-106</v>
      </c>
      <c r="T270" s="1">
        <f t="shared" si="3"/>
        <v>1.943396226</v>
      </c>
      <c r="U270" s="1">
        <f t="shared" si="4"/>
        <v>1</v>
      </c>
      <c r="V270" s="3">
        <f t="shared" si="5"/>
        <v>2</v>
      </c>
      <c r="W270" s="3">
        <f t="shared" si="6"/>
        <v>2</v>
      </c>
      <c r="X270" s="3" t="str">
        <f>IFERROR(__xludf.DUMMYFUNCTION("split(B270,"" "")"),"P.")</f>
        <v>P.</v>
      </c>
      <c r="Y270" s="3" t="str">
        <f>IFERROR(__xludf.DUMMYFUNCTION("""COMPUTED_VALUE"""),"Mahomes")</f>
        <v>Mahomes</v>
      </c>
      <c r="AA270" s="8">
        <v>42.0</v>
      </c>
      <c r="AB270" s="3">
        <f t="shared" si="7"/>
        <v>1</v>
      </c>
      <c r="AC270" s="3">
        <f t="shared" si="8"/>
        <v>1</v>
      </c>
      <c r="AD270" s="3">
        <f t="shared" si="9"/>
        <v>1.886792453</v>
      </c>
      <c r="AE270" s="3">
        <f t="shared" si="10"/>
        <v>1.886792453</v>
      </c>
      <c r="AF270" s="3">
        <f t="shared" si="11"/>
        <v>1.886792453</v>
      </c>
      <c r="AG270" s="3">
        <f t="shared" si="12"/>
        <v>0.3333333333</v>
      </c>
    </row>
    <row r="271">
      <c r="A271" s="1" t="s">
        <v>15</v>
      </c>
      <c r="B271" s="1" t="s">
        <v>75</v>
      </c>
      <c r="C271" s="1" t="s">
        <v>21</v>
      </c>
      <c r="D271" s="1" t="s">
        <v>76</v>
      </c>
      <c r="E271" s="1" t="s">
        <v>83</v>
      </c>
      <c r="F271" s="1" t="s">
        <v>670</v>
      </c>
      <c r="G271" s="1">
        <v>21.5</v>
      </c>
      <c r="H271" s="1" t="s">
        <v>60</v>
      </c>
      <c r="I271" s="1">
        <v>-104.0</v>
      </c>
      <c r="J271" s="1">
        <v>0.127996078431372</v>
      </c>
      <c r="K271" s="1" t="s">
        <v>61</v>
      </c>
      <c r="L271" s="1" t="s">
        <v>61</v>
      </c>
      <c r="M271" s="1" t="s">
        <v>62</v>
      </c>
      <c r="N271" s="1">
        <v>-126.0</v>
      </c>
      <c r="O271" s="1">
        <v>-0.195322123893805</v>
      </c>
      <c r="P271" s="1" t="s">
        <v>61</v>
      </c>
      <c r="Q271" s="1" t="s">
        <v>61</v>
      </c>
      <c r="R271" s="1">
        <f t="shared" si="1"/>
        <v>0.1279960784</v>
      </c>
      <c r="S271" s="1">
        <f t="shared" si="2"/>
        <v>-104</v>
      </c>
      <c r="T271" s="1">
        <f t="shared" si="3"/>
        <v>1.961538462</v>
      </c>
      <c r="U271" s="1">
        <f t="shared" si="4"/>
        <v>1</v>
      </c>
      <c r="V271" s="3">
        <f t="shared" si="5"/>
        <v>3</v>
      </c>
      <c r="W271" s="3">
        <f t="shared" si="6"/>
        <v>2</v>
      </c>
      <c r="X271" s="3" t="str">
        <f>IFERROR(__xludf.DUMMYFUNCTION("split(B271,"" "")"),"P.")</f>
        <v>P.</v>
      </c>
      <c r="Y271" s="3" t="str">
        <f>IFERROR(__xludf.DUMMYFUNCTION("""COMPUTED_VALUE"""),"Mahomes")</f>
        <v>Mahomes</v>
      </c>
      <c r="AA271" s="8">
        <v>28.0</v>
      </c>
      <c r="AB271" s="3">
        <f t="shared" si="7"/>
        <v>1</v>
      </c>
      <c r="AC271" s="3">
        <f t="shared" si="8"/>
        <v>1</v>
      </c>
      <c r="AD271" s="3">
        <f t="shared" si="9"/>
        <v>2.884615385</v>
      </c>
      <c r="AE271" s="3">
        <f t="shared" si="10"/>
        <v>2.884615385</v>
      </c>
      <c r="AF271" s="3">
        <f t="shared" si="11"/>
        <v>1.923076923</v>
      </c>
      <c r="AG271" s="3">
        <f t="shared" si="12"/>
        <v>0.3023255814</v>
      </c>
    </row>
    <row r="272">
      <c r="A272" s="1" t="s">
        <v>9</v>
      </c>
      <c r="B272" s="1" t="s">
        <v>237</v>
      </c>
      <c r="C272" s="1" t="s">
        <v>18</v>
      </c>
      <c r="D272" s="1" t="s">
        <v>76</v>
      </c>
      <c r="E272" s="1" t="s">
        <v>83</v>
      </c>
      <c r="F272" s="1" t="s">
        <v>670</v>
      </c>
      <c r="G272" s="1">
        <v>15.5</v>
      </c>
      <c r="H272" s="1" t="s">
        <v>60</v>
      </c>
      <c r="I272" s="1">
        <v>-119.0</v>
      </c>
      <c r="J272" s="1">
        <v>0.170140438832022</v>
      </c>
      <c r="K272" s="1" t="s">
        <v>61</v>
      </c>
      <c r="L272" s="1" t="s">
        <v>61</v>
      </c>
      <c r="M272" s="1" t="s">
        <v>62</v>
      </c>
      <c r="N272" s="1">
        <v>-114.0</v>
      </c>
      <c r="O272" s="1">
        <v>-0.246182962424311</v>
      </c>
      <c r="P272" s="1" t="s">
        <v>61</v>
      </c>
      <c r="Q272" s="1" t="s">
        <v>61</v>
      </c>
      <c r="R272" s="1">
        <f t="shared" si="1"/>
        <v>0.1701404388</v>
      </c>
      <c r="S272" s="1">
        <f t="shared" si="2"/>
        <v>-119</v>
      </c>
      <c r="T272" s="1">
        <f t="shared" si="3"/>
        <v>1.840336134</v>
      </c>
      <c r="U272" s="1">
        <f t="shared" si="4"/>
        <v>1</v>
      </c>
      <c r="V272" s="3">
        <f t="shared" si="5"/>
        <v>3</v>
      </c>
      <c r="W272" s="3">
        <f t="shared" si="6"/>
        <v>3</v>
      </c>
      <c r="X272" s="3" t="str">
        <f>IFERROR(__xludf.DUMMYFUNCTION("split(B272,"" "")"),"J.")</f>
        <v>J.</v>
      </c>
      <c r="Y272" s="3" t="str">
        <f>IFERROR(__xludf.DUMMYFUNCTION("""COMPUTED_VALUE"""),"Watson")</f>
        <v>Watson</v>
      </c>
      <c r="AA272" s="8">
        <v>6.0</v>
      </c>
      <c r="AB272" s="3">
        <f t="shared" si="7"/>
        <v>0</v>
      </c>
      <c r="AC272" s="3">
        <f t="shared" si="8"/>
        <v>0</v>
      </c>
      <c r="AD272" s="3">
        <f t="shared" si="9"/>
        <v>2.521008403</v>
      </c>
      <c r="AE272" s="3">
        <f t="shared" si="10"/>
        <v>-3</v>
      </c>
      <c r="AF272" s="3">
        <f t="shared" si="11"/>
        <v>-3</v>
      </c>
      <c r="AG272" s="3">
        <f t="shared" si="12"/>
        <v>-0.6129032258</v>
      </c>
    </row>
    <row r="273">
      <c r="A273" s="1" t="s">
        <v>12</v>
      </c>
      <c r="B273" s="1" t="s">
        <v>326</v>
      </c>
      <c r="C273" s="1" t="s">
        <v>20</v>
      </c>
      <c r="D273" s="1" t="s">
        <v>76</v>
      </c>
      <c r="E273" s="1" t="s">
        <v>83</v>
      </c>
      <c r="F273" s="1" t="s">
        <v>670</v>
      </c>
      <c r="G273" s="1">
        <v>6.5</v>
      </c>
      <c r="H273" s="1" t="s">
        <v>60</v>
      </c>
      <c r="I273" s="1">
        <v>117.0</v>
      </c>
      <c r="J273" s="1">
        <v>0.221362672811059</v>
      </c>
      <c r="K273" s="1" t="s">
        <v>61</v>
      </c>
      <c r="L273" s="1" t="s">
        <v>61</v>
      </c>
      <c r="M273" s="1" t="s">
        <v>62</v>
      </c>
      <c r="N273" s="1">
        <v>-156.0</v>
      </c>
      <c r="O273" s="1">
        <v>-0.291553125</v>
      </c>
      <c r="P273" s="1" t="s">
        <v>61</v>
      </c>
      <c r="Q273" s="1" t="s">
        <v>61</v>
      </c>
      <c r="R273" s="1">
        <f t="shared" si="1"/>
        <v>0.2213626728</v>
      </c>
      <c r="S273" s="1">
        <f t="shared" si="2"/>
        <v>117</v>
      </c>
      <c r="T273" s="1">
        <f t="shared" si="3"/>
        <v>2.17</v>
      </c>
      <c r="U273" s="1">
        <f t="shared" si="4"/>
        <v>1</v>
      </c>
      <c r="V273" s="3">
        <f t="shared" si="5"/>
        <v>3</v>
      </c>
      <c r="W273" s="3">
        <f t="shared" si="6"/>
        <v>1</v>
      </c>
      <c r="X273" s="3" t="str">
        <f>IFERROR(__xludf.DUMMYFUNCTION("split(B273,"" "")"),"T.")</f>
        <v>T.</v>
      </c>
      <c r="Y273" s="3" t="str">
        <f>IFERROR(__xludf.DUMMYFUNCTION("""COMPUTED_VALUE"""),"Kelce")</f>
        <v>Kelce</v>
      </c>
      <c r="AA273" s="8">
        <v>8.0</v>
      </c>
      <c r="AB273" s="3">
        <f t="shared" si="7"/>
        <v>1</v>
      </c>
      <c r="AC273" s="3">
        <f t="shared" si="8"/>
        <v>1</v>
      </c>
      <c r="AD273" s="3">
        <f t="shared" si="9"/>
        <v>3.51</v>
      </c>
      <c r="AE273" s="3">
        <f t="shared" si="10"/>
        <v>3.51</v>
      </c>
      <c r="AF273" s="3">
        <f t="shared" si="11"/>
        <v>1.17</v>
      </c>
      <c r="AG273" s="3">
        <f t="shared" si="12"/>
        <v>0.2307692308</v>
      </c>
    </row>
    <row r="274">
      <c r="A274" s="1" t="s">
        <v>10</v>
      </c>
      <c r="B274" s="1" t="s">
        <v>326</v>
      </c>
      <c r="C274" s="1" t="s">
        <v>20</v>
      </c>
      <c r="D274" s="1" t="s">
        <v>76</v>
      </c>
      <c r="E274" s="1" t="s">
        <v>83</v>
      </c>
      <c r="F274" s="1" t="s">
        <v>670</v>
      </c>
      <c r="G274" s="1">
        <v>0.5</v>
      </c>
      <c r="H274" s="1" t="s">
        <v>60</v>
      </c>
      <c r="I274" s="1">
        <v>811.0</v>
      </c>
      <c r="J274" s="1">
        <v>0.502930069878164</v>
      </c>
      <c r="K274" s="1" t="s">
        <v>61</v>
      </c>
      <c r="L274" s="1" t="s">
        <v>61</v>
      </c>
      <c r="M274" s="1" t="s">
        <v>62</v>
      </c>
      <c r="N274" s="1">
        <v>-2039.0</v>
      </c>
      <c r="O274" s="1">
        <v>-0.565913309670108</v>
      </c>
      <c r="P274" s="1" t="s">
        <v>61</v>
      </c>
      <c r="Q274" s="1" t="s">
        <v>61</v>
      </c>
      <c r="R274" s="1">
        <f t="shared" si="1"/>
        <v>0.5029300699</v>
      </c>
      <c r="S274" s="1">
        <f t="shared" si="2"/>
        <v>811</v>
      </c>
      <c r="T274" s="1">
        <f t="shared" si="3"/>
        <v>9.11</v>
      </c>
      <c r="U274" s="1">
        <f t="shared" si="4"/>
        <v>1</v>
      </c>
      <c r="V274" s="3">
        <f t="shared" si="5"/>
        <v>3</v>
      </c>
      <c r="W274" s="3">
        <f t="shared" si="6"/>
        <v>1</v>
      </c>
      <c r="X274" s="3" t="str">
        <f>IFERROR(__xludf.DUMMYFUNCTION("split(B274,"" "")"),"T.")</f>
        <v>T.</v>
      </c>
      <c r="Y274" s="3" t="str">
        <f>IFERROR(__xludf.DUMMYFUNCTION("""COMPUTED_VALUE"""),"Kelce")</f>
        <v>Kelce</v>
      </c>
      <c r="AA274" s="8">
        <v>0.0</v>
      </c>
      <c r="AB274" s="3">
        <f t="shared" si="7"/>
        <v>0</v>
      </c>
      <c r="AC274" s="3">
        <f t="shared" si="8"/>
        <v>0</v>
      </c>
      <c r="AD274" s="3">
        <f t="shared" si="9"/>
        <v>24.33</v>
      </c>
      <c r="AE274" s="3">
        <f t="shared" si="10"/>
        <v>0</v>
      </c>
      <c r="AF274" s="3">
        <f t="shared" si="11"/>
        <v>-1</v>
      </c>
      <c r="AG274" s="3">
        <f t="shared" si="12"/>
        <v>-1</v>
      </c>
    </row>
    <row r="275">
      <c r="A275" s="1" t="s">
        <v>8</v>
      </c>
      <c r="B275" s="1" t="s">
        <v>677</v>
      </c>
      <c r="C275" s="1" t="s">
        <v>21</v>
      </c>
      <c r="D275" s="1" t="s">
        <v>93</v>
      </c>
      <c r="E275" s="1" t="s">
        <v>146</v>
      </c>
      <c r="F275" s="1" t="s">
        <v>670</v>
      </c>
      <c r="G275" s="1">
        <v>2.5</v>
      </c>
      <c r="H275" s="1" t="s">
        <v>60</v>
      </c>
      <c r="I275" s="1">
        <v>-136.0</v>
      </c>
      <c r="J275" s="1">
        <v>-0.236650212348269</v>
      </c>
      <c r="K275" s="1" t="s">
        <v>61</v>
      </c>
      <c r="L275" s="1" t="s">
        <v>61</v>
      </c>
      <c r="M275" s="1" t="s">
        <v>62</v>
      </c>
      <c r="N275" s="1">
        <v>102.0</v>
      </c>
      <c r="O275" s="1">
        <v>0.165342822347482</v>
      </c>
      <c r="P275" s="1" t="s">
        <v>61</v>
      </c>
      <c r="Q275" s="1" t="s">
        <v>61</v>
      </c>
      <c r="R275" s="1">
        <f t="shared" si="1"/>
        <v>0.1653428223</v>
      </c>
      <c r="S275" s="1">
        <f t="shared" si="2"/>
        <v>102</v>
      </c>
      <c r="T275" s="1">
        <f t="shared" si="3"/>
        <v>2.02</v>
      </c>
      <c r="U275" s="1">
        <f t="shared" si="4"/>
        <v>0</v>
      </c>
      <c r="V275" s="3">
        <f t="shared" si="5"/>
        <v>3</v>
      </c>
      <c r="W275" s="3">
        <f t="shared" si="6"/>
        <v>2</v>
      </c>
      <c r="X275" s="3" t="str">
        <f>IFERROR(__xludf.DUMMYFUNCTION("split(B275,"" "")"),"M.")</f>
        <v>M.</v>
      </c>
      <c r="Y275" s="3" t="str">
        <f>IFERROR(__xludf.DUMMYFUNCTION("""COMPUTED_VALUE"""),"Jones")</f>
        <v>Jones</v>
      </c>
      <c r="AA275" s="8">
        <v>17.0</v>
      </c>
      <c r="AB275" s="3">
        <f t="shared" si="7"/>
        <v>1</v>
      </c>
      <c r="AC275" s="3">
        <f t="shared" si="8"/>
        <v>0</v>
      </c>
      <c r="AD275" s="3">
        <f t="shared" si="9"/>
        <v>3.06</v>
      </c>
      <c r="AE275" s="3">
        <f t="shared" si="10"/>
        <v>-3</v>
      </c>
      <c r="AF275" s="3">
        <f t="shared" si="11"/>
        <v>-2</v>
      </c>
      <c r="AG275" s="3">
        <f t="shared" si="12"/>
        <v>-5.8</v>
      </c>
    </row>
    <row r="276">
      <c r="A276" s="1" t="s">
        <v>8</v>
      </c>
      <c r="B276" s="1" t="s">
        <v>92</v>
      </c>
      <c r="C276" s="1" t="s">
        <v>19</v>
      </c>
      <c r="D276" s="1" t="s">
        <v>93</v>
      </c>
      <c r="E276" s="1" t="s">
        <v>146</v>
      </c>
      <c r="F276" s="1" t="s">
        <v>670</v>
      </c>
      <c r="G276" s="1">
        <v>7.5</v>
      </c>
      <c r="H276" s="1" t="s">
        <v>60</v>
      </c>
      <c r="I276" s="1">
        <v>-117.0</v>
      </c>
      <c r="J276" s="1">
        <v>-0.190464296193831</v>
      </c>
      <c r="K276" s="1" t="s">
        <v>61</v>
      </c>
      <c r="L276" s="1" t="s">
        <v>61</v>
      </c>
      <c r="M276" s="1" t="s">
        <v>62</v>
      </c>
      <c r="N276" s="1">
        <v>-115.0</v>
      </c>
      <c r="O276" s="1">
        <v>0.116409070303119</v>
      </c>
      <c r="P276" s="1" t="s">
        <v>61</v>
      </c>
      <c r="Q276" s="1" t="s">
        <v>61</v>
      </c>
      <c r="R276" s="1">
        <f t="shared" si="1"/>
        <v>0.1164090703</v>
      </c>
      <c r="S276" s="1">
        <f t="shared" si="2"/>
        <v>-115</v>
      </c>
      <c r="T276" s="1">
        <f t="shared" si="3"/>
        <v>1.869565217</v>
      </c>
      <c r="U276" s="1">
        <f t="shared" si="4"/>
        <v>0</v>
      </c>
      <c r="V276" s="3">
        <f t="shared" si="5"/>
        <v>3</v>
      </c>
      <c r="W276" s="3">
        <f t="shared" si="6"/>
        <v>2</v>
      </c>
      <c r="X276" s="3" t="str">
        <f>IFERROR(__xludf.DUMMYFUNCTION("split(B276,"" "")"),"T.")</f>
        <v>T.</v>
      </c>
      <c r="Y276" s="3" t="str">
        <f>IFERROR(__xludf.DUMMYFUNCTION("""COMPUTED_VALUE"""),"Etienne")</f>
        <v>Etienne</v>
      </c>
      <c r="Z276" s="3" t="str">
        <f>IFERROR(__xludf.DUMMYFUNCTION("""COMPUTED_VALUE"""),"Jr.")</f>
        <v>Jr.</v>
      </c>
      <c r="AA276" s="8">
        <v>11.0</v>
      </c>
      <c r="AB276" s="3">
        <f t="shared" si="7"/>
        <v>1</v>
      </c>
      <c r="AC276" s="3">
        <f t="shared" si="8"/>
        <v>0</v>
      </c>
      <c r="AD276" s="3">
        <f t="shared" si="9"/>
        <v>2.608695652</v>
      </c>
      <c r="AE276" s="3">
        <f t="shared" si="10"/>
        <v>-3</v>
      </c>
      <c r="AF276" s="3">
        <f t="shared" si="11"/>
        <v>-2</v>
      </c>
      <c r="AG276" s="3">
        <f t="shared" si="12"/>
        <v>-0.4666666667</v>
      </c>
    </row>
    <row r="277">
      <c r="A277" s="1" t="s">
        <v>17</v>
      </c>
      <c r="B277" s="1" t="s">
        <v>677</v>
      </c>
      <c r="C277" s="1" t="s">
        <v>21</v>
      </c>
      <c r="D277" s="1" t="s">
        <v>93</v>
      </c>
      <c r="E277" s="1" t="s">
        <v>146</v>
      </c>
      <c r="F277" s="1" t="s">
        <v>670</v>
      </c>
      <c r="G277" s="1">
        <v>0.5</v>
      </c>
      <c r="H277" s="1" t="s">
        <v>60</v>
      </c>
      <c r="I277" s="1">
        <v>-174.0</v>
      </c>
      <c r="J277" s="1">
        <v>-0.173936496350365</v>
      </c>
      <c r="K277" s="1" t="s">
        <v>61</v>
      </c>
      <c r="L277" s="1" t="s">
        <v>61</v>
      </c>
      <c r="M277" s="1" t="s">
        <v>62</v>
      </c>
      <c r="N277" s="1">
        <v>131.0</v>
      </c>
      <c r="O277" s="1">
        <v>0.105999567099567</v>
      </c>
      <c r="P277" s="1" t="s">
        <v>61</v>
      </c>
      <c r="Q277" s="1" t="s">
        <v>61</v>
      </c>
      <c r="R277" s="1">
        <f t="shared" si="1"/>
        <v>0.1059995671</v>
      </c>
      <c r="S277" s="1">
        <f t="shared" si="2"/>
        <v>131</v>
      </c>
      <c r="T277" s="1">
        <f t="shared" si="3"/>
        <v>2.31</v>
      </c>
      <c r="U277" s="1">
        <f t="shared" si="4"/>
        <v>0</v>
      </c>
      <c r="V277" s="3">
        <f t="shared" si="5"/>
        <v>3</v>
      </c>
      <c r="W277" s="3">
        <f t="shared" si="6"/>
        <v>1</v>
      </c>
      <c r="X277" s="3" t="str">
        <f>IFERROR(__xludf.DUMMYFUNCTION("split(B277,"" "")"),"M.")</f>
        <v>M.</v>
      </c>
      <c r="Y277" s="3" t="str">
        <f>IFERROR(__xludf.DUMMYFUNCTION("""COMPUTED_VALUE"""),"Jones")</f>
        <v>Jones</v>
      </c>
      <c r="AA277" s="8">
        <v>0.0</v>
      </c>
      <c r="AB277" s="3">
        <f t="shared" si="7"/>
        <v>0</v>
      </c>
      <c r="AC277" s="3">
        <f t="shared" si="8"/>
        <v>1</v>
      </c>
      <c r="AD277" s="3">
        <f t="shared" si="9"/>
        <v>3.93</v>
      </c>
      <c r="AE277" s="3">
        <f t="shared" si="10"/>
        <v>3.93</v>
      </c>
      <c r="AF277" s="3">
        <f t="shared" si="11"/>
        <v>1.31</v>
      </c>
      <c r="AG277" s="3">
        <f t="shared" si="12"/>
        <v>1</v>
      </c>
    </row>
    <row r="278">
      <c r="A278" s="1" t="s">
        <v>12</v>
      </c>
      <c r="B278" s="1" t="s">
        <v>467</v>
      </c>
      <c r="C278" s="1" t="s">
        <v>18</v>
      </c>
      <c r="D278" s="1" t="s">
        <v>93</v>
      </c>
      <c r="E278" s="1" t="s">
        <v>146</v>
      </c>
      <c r="F278" s="1" t="s">
        <v>670</v>
      </c>
      <c r="G278" s="1">
        <v>2.5</v>
      </c>
      <c r="H278" s="1" t="s">
        <v>60</v>
      </c>
      <c r="I278" s="1">
        <v>-103.0</v>
      </c>
      <c r="J278" s="1">
        <v>-0.143688390344827</v>
      </c>
      <c r="K278" s="1" t="s">
        <v>61</v>
      </c>
      <c r="L278" s="1" t="s">
        <v>61</v>
      </c>
      <c r="M278" s="1" t="s">
        <v>62</v>
      </c>
      <c r="N278" s="1">
        <v>-129.0</v>
      </c>
      <c r="O278" s="1">
        <v>0.072965985937118</v>
      </c>
      <c r="P278" s="1" t="s">
        <v>61</v>
      </c>
      <c r="Q278" s="1" t="s">
        <v>61</v>
      </c>
      <c r="R278" s="1">
        <f t="shared" si="1"/>
        <v>0.07296598594</v>
      </c>
      <c r="S278" s="1">
        <f t="shared" si="2"/>
        <v>-129</v>
      </c>
      <c r="T278" s="1">
        <f t="shared" si="3"/>
        <v>1.775193798</v>
      </c>
      <c r="U278" s="1">
        <f t="shared" si="4"/>
        <v>0</v>
      </c>
      <c r="V278" s="3">
        <f t="shared" si="5"/>
        <v>2</v>
      </c>
      <c r="W278" s="3">
        <f t="shared" si="6"/>
        <v>3</v>
      </c>
      <c r="X278" s="3" t="str">
        <f>IFERROR(__xludf.DUMMYFUNCTION("split(B278,"" "")"),"G.")</f>
        <v>G.</v>
      </c>
      <c r="Y278" s="3" t="str">
        <f>IFERROR(__xludf.DUMMYFUNCTION("""COMPUTED_VALUE"""),"Davis")</f>
        <v>Davis</v>
      </c>
      <c r="AA278" s="8">
        <v>1.0</v>
      </c>
      <c r="AB278" s="3">
        <f t="shared" si="7"/>
        <v>0</v>
      </c>
      <c r="AC278" s="3">
        <f t="shared" si="8"/>
        <v>1</v>
      </c>
      <c r="AD278" s="3">
        <f t="shared" si="9"/>
        <v>1.550387597</v>
      </c>
      <c r="AE278" s="3">
        <f t="shared" si="10"/>
        <v>1.550387597</v>
      </c>
      <c r="AF278" s="3">
        <f t="shared" si="11"/>
        <v>2.325581395</v>
      </c>
      <c r="AG278" s="3">
        <f t="shared" si="12"/>
        <v>0.6</v>
      </c>
    </row>
    <row r="279">
      <c r="A279" s="1" t="s">
        <v>12</v>
      </c>
      <c r="B279" s="1" t="s">
        <v>92</v>
      </c>
      <c r="C279" s="1" t="s">
        <v>19</v>
      </c>
      <c r="D279" s="1" t="s">
        <v>93</v>
      </c>
      <c r="E279" s="1" t="s">
        <v>146</v>
      </c>
      <c r="F279" s="1" t="s">
        <v>670</v>
      </c>
      <c r="G279" s="1">
        <v>2.5</v>
      </c>
      <c r="H279" s="1" t="s">
        <v>60</v>
      </c>
      <c r="I279" s="1">
        <v>123.0</v>
      </c>
      <c r="J279" s="1">
        <v>-0.132668353011659</v>
      </c>
      <c r="K279" s="1" t="s">
        <v>61</v>
      </c>
      <c r="L279" s="1" t="s">
        <v>61</v>
      </c>
      <c r="M279" s="1" t="s">
        <v>62</v>
      </c>
      <c r="N279" s="1">
        <v>-163.0</v>
      </c>
      <c r="O279" s="1">
        <v>0.0644583128882129</v>
      </c>
      <c r="P279" s="1" t="s">
        <v>61</v>
      </c>
      <c r="Q279" s="1" t="s">
        <v>61</v>
      </c>
      <c r="R279" s="1">
        <f t="shared" si="1"/>
        <v>0.06445831289</v>
      </c>
      <c r="S279" s="1">
        <f t="shared" si="2"/>
        <v>-163</v>
      </c>
      <c r="T279" s="1">
        <f t="shared" si="3"/>
        <v>1.613496933</v>
      </c>
      <c r="U279" s="1">
        <f t="shared" si="4"/>
        <v>0</v>
      </c>
      <c r="V279" s="3">
        <f t="shared" si="5"/>
        <v>2</v>
      </c>
      <c r="W279" s="3">
        <f t="shared" si="6"/>
        <v>3</v>
      </c>
      <c r="X279" s="3" t="str">
        <f>IFERROR(__xludf.DUMMYFUNCTION("split(B279,"" "")"),"T.")</f>
        <v>T.</v>
      </c>
      <c r="Y279" s="3" t="str">
        <f>IFERROR(__xludf.DUMMYFUNCTION("""COMPUTED_VALUE"""),"Etienne")</f>
        <v>Etienne</v>
      </c>
      <c r="Z279" s="3" t="str">
        <f>IFERROR(__xludf.DUMMYFUNCTION("""COMPUTED_VALUE"""),"Jr.")</f>
        <v>Jr.</v>
      </c>
      <c r="AA279" s="8">
        <v>1.0</v>
      </c>
      <c r="AB279" s="3">
        <f t="shared" si="7"/>
        <v>0</v>
      </c>
      <c r="AC279" s="3">
        <f t="shared" si="8"/>
        <v>1</v>
      </c>
      <c r="AD279" s="3">
        <f t="shared" si="9"/>
        <v>1.226993865</v>
      </c>
      <c r="AE279" s="3">
        <f t="shared" si="10"/>
        <v>1.226993865</v>
      </c>
      <c r="AF279" s="3">
        <f t="shared" si="11"/>
        <v>1.840490798</v>
      </c>
      <c r="AG279" s="3">
        <f t="shared" si="12"/>
        <v>0.6</v>
      </c>
    </row>
    <row r="280">
      <c r="A280" s="1" t="s">
        <v>8</v>
      </c>
      <c r="B280" s="1" t="s">
        <v>588</v>
      </c>
      <c r="C280" s="1" t="s">
        <v>19</v>
      </c>
      <c r="D280" s="1" t="s">
        <v>93</v>
      </c>
      <c r="E280" s="1" t="s">
        <v>146</v>
      </c>
      <c r="F280" s="1" t="s">
        <v>670</v>
      </c>
      <c r="G280" s="1">
        <v>10.5</v>
      </c>
      <c r="H280" s="1" t="s">
        <v>60</v>
      </c>
      <c r="I280" s="1">
        <v>-107.0</v>
      </c>
      <c r="J280" s="1">
        <v>-0.129163218657449</v>
      </c>
      <c r="K280" s="1" t="s">
        <v>61</v>
      </c>
      <c r="L280" s="1" t="s">
        <v>61</v>
      </c>
      <c r="M280" s="1" t="s">
        <v>62</v>
      </c>
      <c r="N280" s="1">
        <v>-126.0</v>
      </c>
      <c r="O280" s="1">
        <v>0.05471054287715</v>
      </c>
      <c r="P280" s="1" t="s">
        <v>61</v>
      </c>
      <c r="Q280" s="1" t="s">
        <v>61</v>
      </c>
      <c r="R280" s="1">
        <f t="shared" si="1"/>
        <v>0.05471054288</v>
      </c>
      <c r="S280" s="1">
        <f t="shared" si="2"/>
        <v>-126</v>
      </c>
      <c r="T280" s="1">
        <f t="shared" si="3"/>
        <v>1.793650794</v>
      </c>
      <c r="U280" s="1">
        <f t="shared" si="4"/>
        <v>0</v>
      </c>
      <c r="V280" s="3">
        <f t="shared" si="5"/>
        <v>2</v>
      </c>
      <c r="W280" s="3">
        <f t="shared" si="6"/>
        <v>3</v>
      </c>
      <c r="X280" s="3" t="str">
        <f>IFERROR(__xludf.DUMMYFUNCTION("split(B280,"" "")"),"T.")</f>
        <v>T.</v>
      </c>
      <c r="Y280" s="3" t="str">
        <f>IFERROR(__xludf.DUMMYFUNCTION("""COMPUTED_VALUE"""),"Bigsby")</f>
        <v>Bigsby</v>
      </c>
      <c r="AA280" s="8">
        <v>2.0</v>
      </c>
      <c r="AB280" s="3">
        <f t="shared" si="7"/>
        <v>0</v>
      </c>
      <c r="AC280" s="3">
        <f t="shared" si="8"/>
        <v>1</v>
      </c>
      <c r="AD280" s="3">
        <f t="shared" si="9"/>
        <v>1.587301587</v>
      </c>
      <c r="AE280" s="3">
        <f t="shared" si="10"/>
        <v>1.587301587</v>
      </c>
      <c r="AF280" s="3">
        <f t="shared" si="11"/>
        <v>2.380952381</v>
      </c>
      <c r="AG280" s="3">
        <f t="shared" si="12"/>
        <v>0.8095238095</v>
      </c>
    </row>
    <row r="281">
      <c r="A281" s="1" t="s">
        <v>11</v>
      </c>
      <c r="B281" s="1" t="s">
        <v>363</v>
      </c>
      <c r="C281" s="1" t="s">
        <v>20</v>
      </c>
      <c r="D281" s="1" t="s">
        <v>93</v>
      </c>
      <c r="E281" s="1" t="s">
        <v>146</v>
      </c>
      <c r="F281" s="1" t="s">
        <v>670</v>
      </c>
      <c r="G281" s="1">
        <v>48.5</v>
      </c>
      <c r="H281" s="1" t="s">
        <v>60</v>
      </c>
      <c r="I281" s="1">
        <v>-117.0</v>
      </c>
      <c r="J281" s="1">
        <v>-0.119265252939354</v>
      </c>
      <c r="K281" s="1" t="s">
        <v>61</v>
      </c>
      <c r="L281" s="1" t="s">
        <v>61</v>
      </c>
      <c r="M281" s="1" t="s">
        <v>62</v>
      </c>
      <c r="N281" s="1">
        <v>-112.0</v>
      </c>
      <c r="O281" s="1">
        <v>0.0518059042932831</v>
      </c>
      <c r="P281" s="1" t="s">
        <v>61</v>
      </c>
      <c r="Q281" s="1" t="s">
        <v>61</v>
      </c>
      <c r="R281" s="1">
        <f t="shared" si="1"/>
        <v>0.05180590429</v>
      </c>
      <c r="S281" s="1">
        <f t="shared" si="2"/>
        <v>-112</v>
      </c>
      <c r="T281" s="1">
        <f t="shared" si="3"/>
        <v>1.892857143</v>
      </c>
      <c r="U281" s="1">
        <f t="shared" si="4"/>
        <v>0</v>
      </c>
      <c r="V281" s="3">
        <f t="shared" si="5"/>
        <v>2</v>
      </c>
      <c r="W281" s="3">
        <f t="shared" si="6"/>
        <v>2</v>
      </c>
      <c r="X281" s="3" t="str">
        <f>IFERROR(__xludf.DUMMYFUNCTION("split(B281,"" "")"),"E.")</f>
        <v>E.</v>
      </c>
      <c r="Y281" s="3" t="str">
        <f>IFERROR(__xludf.DUMMYFUNCTION("""COMPUTED_VALUE"""),"Engram")</f>
        <v>Engram</v>
      </c>
      <c r="AA281" s="8">
        <v>40.0</v>
      </c>
      <c r="AB281" s="3">
        <f t="shared" si="7"/>
        <v>0</v>
      </c>
      <c r="AC281" s="3">
        <f t="shared" si="8"/>
        <v>1</v>
      </c>
      <c r="AD281" s="3">
        <f t="shared" si="9"/>
        <v>1.785714286</v>
      </c>
      <c r="AE281" s="3">
        <f t="shared" si="10"/>
        <v>1.785714286</v>
      </c>
      <c r="AF281" s="3">
        <f t="shared" si="11"/>
        <v>1.785714286</v>
      </c>
      <c r="AG281" s="3">
        <f t="shared" si="12"/>
        <v>0.175257732</v>
      </c>
    </row>
    <row r="282">
      <c r="A282" s="1" t="s">
        <v>12</v>
      </c>
      <c r="B282" s="1" t="s">
        <v>678</v>
      </c>
      <c r="C282" s="1" t="s">
        <v>18</v>
      </c>
      <c r="D282" s="1" t="s">
        <v>93</v>
      </c>
      <c r="E282" s="1" t="s">
        <v>146</v>
      </c>
      <c r="F282" s="1" t="s">
        <v>670</v>
      </c>
      <c r="G282" s="1">
        <v>2.5</v>
      </c>
      <c r="H282" s="1" t="s">
        <v>60</v>
      </c>
      <c r="I282" s="1">
        <v>105.0</v>
      </c>
      <c r="J282" s="1">
        <v>-0.1177999369</v>
      </c>
      <c r="K282" s="1" t="s">
        <v>61</v>
      </c>
      <c r="L282" s="1" t="s">
        <v>61</v>
      </c>
      <c r="M282" s="1" t="s">
        <v>62</v>
      </c>
      <c r="N282" s="1">
        <v>-138.0</v>
      </c>
      <c r="O282" s="1">
        <v>0.0501492683033614</v>
      </c>
      <c r="P282" s="1" t="s">
        <v>61</v>
      </c>
      <c r="Q282" s="1" t="s">
        <v>61</v>
      </c>
      <c r="R282" s="1">
        <f t="shared" si="1"/>
        <v>0.0501492683</v>
      </c>
      <c r="S282" s="1">
        <f t="shared" si="2"/>
        <v>-138</v>
      </c>
      <c r="T282" s="1">
        <f t="shared" si="3"/>
        <v>1.724637681</v>
      </c>
      <c r="U282" s="1">
        <f t="shared" si="4"/>
        <v>0</v>
      </c>
      <c r="V282" s="3">
        <f t="shared" si="5"/>
        <v>2</v>
      </c>
      <c r="W282" s="3">
        <f t="shared" si="6"/>
        <v>3</v>
      </c>
      <c r="X282" s="3" t="str">
        <f>IFERROR(__xludf.DUMMYFUNCTION("split(B282,"" "")"),"P.")</f>
        <v>P.</v>
      </c>
      <c r="Y282" s="3" t="str">
        <f>IFERROR(__xludf.DUMMYFUNCTION("""COMPUTED_VALUE"""),"Washington")</f>
        <v>Washington</v>
      </c>
      <c r="AA282" s="8">
        <v>0.0</v>
      </c>
      <c r="AB282" s="3">
        <f t="shared" si="7"/>
        <v>0</v>
      </c>
      <c r="AC282" s="3">
        <f t="shared" si="8"/>
        <v>1</v>
      </c>
      <c r="AD282" s="3">
        <f t="shared" si="9"/>
        <v>1.449275362</v>
      </c>
      <c r="AE282" s="3">
        <f t="shared" si="10"/>
        <v>1.449275362</v>
      </c>
      <c r="AF282" s="3">
        <f t="shared" si="11"/>
        <v>2.173913043</v>
      </c>
      <c r="AG282" s="3">
        <f t="shared" si="12"/>
        <v>1</v>
      </c>
    </row>
    <row r="283">
      <c r="A283" s="1" t="s">
        <v>9</v>
      </c>
      <c r="B283" s="1" t="s">
        <v>466</v>
      </c>
      <c r="C283" s="1" t="s">
        <v>18</v>
      </c>
      <c r="D283" s="1" t="s">
        <v>93</v>
      </c>
      <c r="E283" s="1" t="s">
        <v>146</v>
      </c>
      <c r="F283" s="1" t="s">
        <v>670</v>
      </c>
      <c r="G283" s="1">
        <v>50.5</v>
      </c>
      <c r="H283" s="1" t="s">
        <v>60</v>
      </c>
      <c r="I283" s="1">
        <v>-117.0</v>
      </c>
      <c r="J283" s="1">
        <v>0.00652546753378813</v>
      </c>
      <c r="K283" s="1" t="s">
        <v>61</v>
      </c>
      <c r="L283" s="1" t="s">
        <v>61</v>
      </c>
      <c r="M283" s="1" t="s">
        <v>62</v>
      </c>
      <c r="N283" s="1">
        <v>-115.0</v>
      </c>
      <c r="O283" s="1">
        <v>-0.0806272577816596</v>
      </c>
      <c r="P283" s="1" t="s">
        <v>61</v>
      </c>
      <c r="Q283" s="1" t="s">
        <v>61</v>
      </c>
      <c r="R283" s="1">
        <f t="shared" si="1"/>
        <v>0.006525467534</v>
      </c>
      <c r="S283" s="1">
        <f t="shared" si="2"/>
        <v>-117</v>
      </c>
      <c r="T283" s="1">
        <f t="shared" si="3"/>
        <v>1.854700855</v>
      </c>
      <c r="U283" s="1">
        <f t="shared" si="4"/>
        <v>1</v>
      </c>
      <c r="V283" s="3">
        <f t="shared" si="5"/>
        <v>1</v>
      </c>
      <c r="W283" s="3">
        <f t="shared" si="6"/>
        <v>2</v>
      </c>
      <c r="X283" s="3" t="str">
        <f>IFERROR(__xludf.DUMMYFUNCTION("split(B283,"" "")"),"B.")</f>
        <v>B.</v>
      </c>
      <c r="Y283" s="3" t="str">
        <f>IFERROR(__xludf.DUMMYFUNCTION("""COMPUTED_VALUE"""),"Thomas")</f>
        <v>Thomas</v>
      </c>
      <c r="Z283" s="3" t="str">
        <f>IFERROR(__xludf.DUMMYFUNCTION("""COMPUTED_VALUE"""),"Jr.")</f>
        <v>Jr.</v>
      </c>
      <c r="AA283" s="8">
        <v>12.0</v>
      </c>
      <c r="AB283" s="3">
        <f t="shared" si="7"/>
        <v>0</v>
      </c>
      <c r="AC283" s="3">
        <f t="shared" si="8"/>
        <v>0</v>
      </c>
      <c r="AD283" s="3">
        <f t="shared" si="9"/>
        <v>0.8547008547</v>
      </c>
      <c r="AE283" s="3">
        <f t="shared" si="10"/>
        <v>-1</v>
      </c>
      <c r="AF283" s="3">
        <f t="shared" si="11"/>
        <v>-2</v>
      </c>
      <c r="AG283" s="3">
        <f t="shared" si="12"/>
        <v>-0.7623762376</v>
      </c>
    </row>
    <row r="284">
      <c r="A284" s="1" t="s">
        <v>12</v>
      </c>
      <c r="B284" s="1" t="s">
        <v>466</v>
      </c>
      <c r="C284" s="1" t="s">
        <v>18</v>
      </c>
      <c r="D284" s="1" t="s">
        <v>93</v>
      </c>
      <c r="E284" s="1" t="s">
        <v>146</v>
      </c>
      <c r="F284" s="1" t="s">
        <v>670</v>
      </c>
      <c r="G284" s="1">
        <v>4.5</v>
      </c>
      <c r="H284" s="1" t="s">
        <v>60</v>
      </c>
      <c r="I284" s="1">
        <v>116.0</v>
      </c>
      <c r="J284" s="1">
        <v>0.0172833333333334</v>
      </c>
      <c r="K284" s="1" t="s">
        <v>61</v>
      </c>
      <c r="L284" s="1" t="s">
        <v>61</v>
      </c>
      <c r="M284" s="1" t="s">
        <v>62</v>
      </c>
      <c r="N284" s="1">
        <v>-152.0</v>
      </c>
      <c r="O284" s="1">
        <v>-0.0834142857142856</v>
      </c>
      <c r="P284" s="1" t="s">
        <v>61</v>
      </c>
      <c r="Q284" s="1" t="s">
        <v>61</v>
      </c>
      <c r="R284" s="1">
        <f t="shared" si="1"/>
        <v>0.01728333333</v>
      </c>
      <c r="S284" s="1">
        <f t="shared" si="2"/>
        <v>116</v>
      </c>
      <c r="T284" s="1">
        <f t="shared" si="3"/>
        <v>2.16</v>
      </c>
      <c r="U284" s="1">
        <f t="shared" si="4"/>
        <v>1</v>
      </c>
      <c r="V284" s="3">
        <f t="shared" si="5"/>
        <v>1</v>
      </c>
      <c r="W284" s="3">
        <f t="shared" si="6"/>
        <v>1</v>
      </c>
      <c r="X284" s="3" t="str">
        <f>IFERROR(__xludf.DUMMYFUNCTION("split(B284,"" "")"),"B.")</f>
        <v>B.</v>
      </c>
      <c r="Y284" s="3" t="str">
        <f>IFERROR(__xludf.DUMMYFUNCTION("""COMPUTED_VALUE"""),"Thomas")</f>
        <v>Thomas</v>
      </c>
      <c r="Z284" s="3" t="str">
        <f>IFERROR(__xludf.DUMMYFUNCTION("""COMPUTED_VALUE"""),"Jr.")</f>
        <v>Jr.</v>
      </c>
      <c r="AA284" s="8">
        <v>2.0</v>
      </c>
      <c r="AB284" s="3">
        <f t="shared" si="7"/>
        <v>0</v>
      </c>
      <c r="AC284" s="3">
        <f t="shared" si="8"/>
        <v>0</v>
      </c>
      <c r="AD284" s="3">
        <f t="shared" si="9"/>
        <v>1.16</v>
      </c>
      <c r="AE284" s="3">
        <f t="shared" si="10"/>
        <v>-1</v>
      </c>
      <c r="AF284" s="3">
        <f t="shared" si="11"/>
        <v>-1</v>
      </c>
      <c r="AG284" s="3">
        <f t="shared" si="12"/>
        <v>-0.5555555556</v>
      </c>
    </row>
    <row r="285">
      <c r="A285" s="1" t="s">
        <v>14</v>
      </c>
      <c r="B285" s="1" t="s">
        <v>677</v>
      </c>
      <c r="C285" s="1" t="s">
        <v>21</v>
      </c>
      <c r="D285" s="1" t="s">
        <v>93</v>
      </c>
      <c r="E285" s="1" t="s">
        <v>146</v>
      </c>
      <c r="F285" s="1" t="s">
        <v>670</v>
      </c>
      <c r="G285" s="1">
        <v>1.5</v>
      </c>
      <c r="H285" s="1" t="s">
        <v>60</v>
      </c>
      <c r="I285" s="1">
        <v>198.0</v>
      </c>
      <c r="J285" s="1">
        <v>0.0515295302013422</v>
      </c>
      <c r="K285" s="1" t="s">
        <v>61</v>
      </c>
      <c r="L285" s="1" t="s">
        <v>61</v>
      </c>
      <c r="M285" s="1" t="s">
        <v>62</v>
      </c>
      <c r="N285" s="1">
        <v>-269.0</v>
      </c>
      <c r="O285" s="1">
        <v>-0.116097289972899</v>
      </c>
      <c r="P285" s="1" t="s">
        <v>61</v>
      </c>
      <c r="Q285" s="1" t="s">
        <v>61</v>
      </c>
      <c r="R285" s="1">
        <f t="shared" si="1"/>
        <v>0.0515295302</v>
      </c>
      <c r="S285" s="1">
        <f t="shared" si="2"/>
        <v>198</v>
      </c>
      <c r="T285" s="1">
        <f t="shared" si="3"/>
        <v>2.98</v>
      </c>
      <c r="U285" s="1">
        <f t="shared" si="4"/>
        <v>1</v>
      </c>
      <c r="V285" s="3">
        <f t="shared" si="5"/>
        <v>2</v>
      </c>
      <c r="W285" s="3">
        <f t="shared" si="6"/>
        <v>1</v>
      </c>
      <c r="X285" s="3" t="str">
        <f>IFERROR(__xludf.DUMMYFUNCTION("split(B285,"" "")"),"M.")</f>
        <v>M.</v>
      </c>
      <c r="Y285" s="3" t="str">
        <f>IFERROR(__xludf.DUMMYFUNCTION("""COMPUTED_VALUE"""),"Jones")</f>
        <v>Jones</v>
      </c>
      <c r="AA285" s="8">
        <v>0.0</v>
      </c>
      <c r="AB285" s="3">
        <f t="shared" si="7"/>
        <v>0</v>
      </c>
      <c r="AC285" s="3">
        <f t="shared" si="8"/>
        <v>0</v>
      </c>
      <c r="AD285" s="3">
        <f t="shared" si="9"/>
        <v>3.96</v>
      </c>
      <c r="AE285" s="3">
        <f t="shared" si="10"/>
        <v>-2</v>
      </c>
      <c r="AF285" s="3">
        <f t="shared" si="11"/>
        <v>-1</v>
      </c>
      <c r="AG285" s="3">
        <f t="shared" si="12"/>
        <v>-1</v>
      </c>
    </row>
    <row r="286">
      <c r="A286" s="1" t="s">
        <v>9</v>
      </c>
      <c r="B286" s="1" t="s">
        <v>467</v>
      </c>
      <c r="C286" s="1" t="s">
        <v>18</v>
      </c>
      <c r="D286" s="1" t="s">
        <v>93</v>
      </c>
      <c r="E286" s="1" t="s">
        <v>146</v>
      </c>
      <c r="F286" s="1" t="s">
        <v>670</v>
      </c>
      <c r="G286" s="1">
        <v>27.5</v>
      </c>
      <c r="H286" s="1" t="s">
        <v>60</v>
      </c>
      <c r="I286" s="1">
        <v>-115.0</v>
      </c>
      <c r="J286" s="1">
        <v>0.060366337046058</v>
      </c>
      <c r="K286" s="1" t="s">
        <v>61</v>
      </c>
      <c r="L286" s="1" t="s">
        <v>61</v>
      </c>
      <c r="M286" s="1" t="s">
        <v>62</v>
      </c>
      <c r="N286" s="1">
        <v>-117.0</v>
      </c>
      <c r="O286" s="1">
        <v>-0.134428534949013</v>
      </c>
      <c r="P286" s="1" t="s">
        <v>61</v>
      </c>
      <c r="Q286" s="1" t="s">
        <v>61</v>
      </c>
      <c r="R286" s="1">
        <f t="shared" si="1"/>
        <v>0.06036633705</v>
      </c>
      <c r="S286" s="1">
        <f t="shared" si="2"/>
        <v>-115</v>
      </c>
      <c r="T286" s="1">
        <f t="shared" si="3"/>
        <v>1.869565217</v>
      </c>
      <c r="U286" s="1">
        <f t="shared" si="4"/>
        <v>1</v>
      </c>
      <c r="V286" s="3">
        <f t="shared" si="5"/>
        <v>2</v>
      </c>
      <c r="W286" s="3">
        <f t="shared" si="6"/>
        <v>2</v>
      </c>
      <c r="X286" s="3" t="str">
        <f>IFERROR(__xludf.DUMMYFUNCTION("split(B286,"" "")"),"G.")</f>
        <v>G.</v>
      </c>
      <c r="Y286" s="3" t="str">
        <f>IFERROR(__xludf.DUMMYFUNCTION("""COMPUTED_VALUE"""),"Davis")</f>
        <v>Davis</v>
      </c>
      <c r="AA286" s="8">
        <v>19.0</v>
      </c>
      <c r="AB286" s="3">
        <f t="shared" si="7"/>
        <v>0</v>
      </c>
      <c r="AC286" s="3">
        <f t="shared" si="8"/>
        <v>0</v>
      </c>
      <c r="AD286" s="3">
        <f t="shared" si="9"/>
        <v>1.739130435</v>
      </c>
      <c r="AE286" s="3">
        <f t="shared" si="10"/>
        <v>-2</v>
      </c>
      <c r="AF286" s="3">
        <f t="shared" si="11"/>
        <v>-2</v>
      </c>
      <c r="AG286" s="3">
        <f t="shared" si="12"/>
        <v>-0.3090909091</v>
      </c>
    </row>
    <row r="287">
      <c r="A287" s="1" t="s">
        <v>9</v>
      </c>
      <c r="B287" s="1" t="s">
        <v>678</v>
      </c>
      <c r="C287" s="1" t="s">
        <v>18</v>
      </c>
      <c r="D287" s="1" t="s">
        <v>93</v>
      </c>
      <c r="E287" s="1" t="s">
        <v>146</v>
      </c>
      <c r="F287" s="1" t="s">
        <v>670</v>
      </c>
      <c r="G287" s="1">
        <v>22.5</v>
      </c>
      <c r="H287" s="1" t="s">
        <v>60</v>
      </c>
      <c r="I287" s="1">
        <v>-120.0</v>
      </c>
      <c r="J287" s="1">
        <v>0.0743327506314698</v>
      </c>
      <c r="K287" s="1" t="s">
        <v>61</v>
      </c>
      <c r="L287" s="1" t="s">
        <v>61</v>
      </c>
      <c r="M287" s="1" t="s">
        <v>62</v>
      </c>
      <c r="N287" s="1">
        <v>-113.0</v>
      </c>
      <c r="O287" s="1">
        <v>-0.150301604727621</v>
      </c>
      <c r="P287" s="1" t="s">
        <v>61</v>
      </c>
      <c r="Q287" s="1" t="s">
        <v>61</v>
      </c>
      <c r="R287" s="1">
        <f t="shared" si="1"/>
        <v>0.07433275063</v>
      </c>
      <c r="S287" s="1">
        <f t="shared" si="2"/>
        <v>-120</v>
      </c>
      <c r="T287" s="1">
        <f t="shared" si="3"/>
        <v>1.833333333</v>
      </c>
      <c r="U287" s="1">
        <f t="shared" si="4"/>
        <v>1</v>
      </c>
      <c r="V287" s="3">
        <f t="shared" si="5"/>
        <v>2</v>
      </c>
      <c r="W287" s="3">
        <f t="shared" si="6"/>
        <v>3</v>
      </c>
      <c r="X287" s="3" t="str">
        <f>IFERROR(__xludf.DUMMYFUNCTION("split(B287,"" "")"),"P.")</f>
        <v>P.</v>
      </c>
      <c r="Y287" s="3" t="str">
        <f>IFERROR(__xludf.DUMMYFUNCTION("""COMPUTED_VALUE"""),"Washington")</f>
        <v>Washington</v>
      </c>
      <c r="AA287" s="8">
        <v>0.0</v>
      </c>
      <c r="AB287" s="3">
        <f t="shared" si="7"/>
        <v>0</v>
      </c>
      <c r="AC287" s="3">
        <f t="shared" si="8"/>
        <v>0</v>
      </c>
      <c r="AD287" s="3">
        <f t="shared" si="9"/>
        <v>1.666666667</v>
      </c>
      <c r="AE287" s="3">
        <f t="shared" si="10"/>
        <v>-2</v>
      </c>
      <c r="AF287" s="3">
        <f t="shared" si="11"/>
        <v>-3</v>
      </c>
      <c r="AG287" s="3">
        <f t="shared" si="12"/>
        <v>-1</v>
      </c>
    </row>
    <row r="288">
      <c r="A288" s="1" t="s">
        <v>10</v>
      </c>
      <c r="B288" s="1" t="s">
        <v>466</v>
      </c>
      <c r="C288" s="1" t="s">
        <v>18</v>
      </c>
      <c r="D288" s="1" t="s">
        <v>93</v>
      </c>
      <c r="E288" s="1" t="s">
        <v>146</v>
      </c>
      <c r="F288" s="1" t="s">
        <v>670</v>
      </c>
      <c r="G288" s="1">
        <v>0.5</v>
      </c>
      <c r="H288" s="1" t="s">
        <v>60</v>
      </c>
      <c r="I288" s="1">
        <v>233.0</v>
      </c>
      <c r="J288" s="1">
        <v>0.312506361191828</v>
      </c>
      <c r="K288" s="1" t="s">
        <v>61</v>
      </c>
      <c r="L288" s="1" t="s">
        <v>61</v>
      </c>
      <c r="M288" s="1" t="s">
        <v>62</v>
      </c>
      <c r="N288" s="1">
        <v>-312.0</v>
      </c>
      <c r="O288" s="1">
        <v>-0.370055845060067</v>
      </c>
      <c r="P288" s="1" t="s">
        <v>61</v>
      </c>
      <c r="Q288" s="1" t="s">
        <v>61</v>
      </c>
      <c r="R288" s="1">
        <f t="shared" si="1"/>
        <v>0.3125063612</v>
      </c>
      <c r="S288" s="1">
        <f t="shared" si="2"/>
        <v>233</v>
      </c>
      <c r="T288" s="1">
        <f t="shared" si="3"/>
        <v>3.33</v>
      </c>
      <c r="U288" s="1">
        <f t="shared" si="4"/>
        <v>1</v>
      </c>
      <c r="V288" s="3">
        <f t="shared" si="5"/>
        <v>3</v>
      </c>
      <c r="W288" s="3">
        <f t="shared" si="6"/>
        <v>1</v>
      </c>
      <c r="X288" s="3" t="str">
        <f>IFERROR(__xludf.DUMMYFUNCTION("split(B288,"" "")"),"B.")</f>
        <v>B.</v>
      </c>
      <c r="Y288" s="3" t="str">
        <f>IFERROR(__xludf.DUMMYFUNCTION("""COMPUTED_VALUE"""),"Thomas")</f>
        <v>Thomas</v>
      </c>
      <c r="Z288" s="3" t="str">
        <f>IFERROR(__xludf.DUMMYFUNCTION("""COMPUTED_VALUE"""),"Jr.")</f>
        <v>Jr.</v>
      </c>
      <c r="AA288" s="8">
        <v>0.0</v>
      </c>
      <c r="AB288" s="3">
        <f t="shared" si="7"/>
        <v>0</v>
      </c>
      <c r="AC288" s="3">
        <f t="shared" si="8"/>
        <v>0</v>
      </c>
      <c r="AD288" s="3">
        <f t="shared" si="9"/>
        <v>6.99</v>
      </c>
      <c r="AE288" s="3">
        <f t="shared" si="10"/>
        <v>-3</v>
      </c>
      <c r="AF288" s="3">
        <f t="shared" si="11"/>
        <v>-1</v>
      </c>
      <c r="AG288" s="3">
        <f t="shared" si="12"/>
        <v>-1</v>
      </c>
    </row>
    <row r="289">
      <c r="A289" s="1" t="s">
        <v>12</v>
      </c>
      <c r="B289" s="1" t="s">
        <v>125</v>
      </c>
      <c r="C289" s="1" t="s">
        <v>18</v>
      </c>
      <c r="D289" s="1" t="s">
        <v>71</v>
      </c>
      <c r="E289" s="1" t="s">
        <v>104</v>
      </c>
      <c r="F289" s="1" t="s">
        <v>670</v>
      </c>
      <c r="G289" s="1">
        <v>2.5</v>
      </c>
      <c r="H289" s="1" t="s">
        <v>60</v>
      </c>
      <c r="I289" s="1">
        <v>-146.0</v>
      </c>
      <c r="J289" s="1">
        <v>-0.226134654308943</v>
      </c>
      <c r="K289" s="1" t="s">
        <v>61</v>
      </c>
      <c r="L289" s="1" t="s">
        <v>61</v>
      </c>
      <c r="M289" s="1" t="s">
        <v>62</v>
      </c>
      <c r="N289" s="1">
        <v>111.0</v>
      </c>
      <c r="O289" s="1">
        <v>0.158711492701421</v>
      </c>
      <c r="P289" s="1" t="s">
        <v>61</v>
      </c>
      <c r="Q289" s="1" t="s">
        <v>61</v>
      </c>
      <c r="R289" s="1">
        <f t="shared" si="1"/>
        <v>0.1587114927</v>
      </c>
      <c r="S289" s="1">
        <f t="shared" si="2"/>
        <v>111</v>
      </c>
      <c r="T289" s="1">
        <f t="shared" si="3"/>
        <v>2.11</v>
      </c>
      <c r="U289" s="1">
        <f t="shared" si="4"/>
        <v>0</v>
      </c>
      <c r="V289" s="3">
        <f t="shared" si="5"/>
        <v>3</v>
      </c>
      <c r="W289" s="3">
        <f t="shared" si="6"/>
        <v>1</v>
      </c>
      <c r="X289" s="3" t="str">
        <f>IFERROR(__xludf.DUMMYFUNCTION("split(B289,"" "")"),"A.")</f>
        <v>A.</v>
      </c>
      <c r="Y289" s="3" t="str">
        <f>IFERROR(__xludf.DUMMYFUNCTION("""COMPUTED_VALUE"""),"Mitchell")</f>
        <v>Mitchell</v>
      </c>
      <c r="AA289" s="8">
        <v>6.0</v>
      </c>
      <c r="AB289" s="3">
        <f t="shared" si="7"/>
        <v>1</v>
      </c>
      <c r="AC289" s="3">
        <f t="shared" si="8"/>
        <v>0</v>
      </c>
      <c r="AD289" s="3">
        <f t="shared" si="9"/>
        <v>3.33</v>
      </c>
      <c r="AE289" s="3">
        <f t="shared" si="10"/>
        <v>-3</v>
      </c>
      <c r="AF289" s="3">
        <f t="shared" si="11"/>
        <v>-1</v>
      </c>
      <c r="AG289" s="3">
        <f t="shared" si="12"/>
        <v>-1.4</v>
      </c>
    </row>
    <row r="290">
      <c r="A290" s="1" t="s">
        <v>17</v>
      </c>
      <c r="B290" s="1" t="s">
        <v>586</v>
      </c>
      <c r="C290" s="1" t="s">
        <v>21</v>
      </c>
      <c r="D290" s="1" t="s">
        <v>71</v>
      </c>
      <c r="E290" s="1" t="s">
        <v>104</v>
      </c>
      <c r="F290" s="1" t="s">
        <v>670</v>
      </c>
      <c r="G290" s="1">
        <v>0.5</v>
      </c>
      <c r="H290" s="1" t="s">
        <v>60</v>
      </c>
      <c r="I290" s="1">
        <v>-157.0</v>
      </c>
      <c r="J290" s="1">
        <v>-0.150494941634241</v>
      </c>
      <c r="K290" s="1" t="s">
        <v>61</v>
      </c>
      <c r="L290" s="1" t="s">
        <v>61</v>
      </c>
      <c r="M290" s="1" t="s">
        <v>62</v>
      </c>
      <c r="N290" s="1">
        <v>121.0</v>
      </c>
      <c r="O290" s="1">
        <v>0.0871113122171945</v>
      </c>
      <c r="P290" s="1" t="s">
        <v>61</v>
      </c>
      <c r="Q290" s="1" t="s">
        <v>61</v>
      </c>
      <c r="R290" s="1">
        <f t="shared" si="1"/>
        <v>0.08711131222</v>
      </c>
      <c r="S290" s="1">
        <f t="shared" si="2"/>
        <v>121</v>
      </c>
      <c r="T290" s="1">
        <f t="shared" si="3"/>
        <v>2.21</v>
      </c>
      <c r="U290" s="1">
        <f t="shared" si="4"/>
        <v>0</v>
      </c>
      <c r="V290" s="3">
        <f t="shared" si="5"/>
        <v>2</v>
      </c>
      <c r="W290" s="3">
        <f t="shared" si="6"/>
        <v>1</v>
      </c>
      <c r="X290" s="3" t="str">
        <f>IFERROR(__xludf.DUMMYFUNCTION("split(B290,"" "")"),"J.")</f>
        <v>J.</v>
      </c>
      <c r="Y290" s="3" t="str">
        <f>IFERROR(__xludf.DUMMYFUNCTION("""COMPUTED_VALUE"""),"Flacco")</f>
        <v>Flacco</v>
      </c>
      <c r="AA290" s="8">
        <v>3.0</v>
      </c>
      <c r="AB290" s="3">
        <f t="shared" si="7"/>
        <v>1</v>
      </c>
      <c r="AC290" s="3">
        <f t="shared" si="8"/>
        <v>0</v>
      </c>
      <c r="AD290" s="3">
        <f t="shared" si="9"/>
        <v>2.42</v>
      </c>
      <c r="AE290" s="3">
        <f t="shared" si="10"/>
        <v>-2</v>
      </c>
      <c r="AF290" s="3">
        <f t="shared" si="11"/>
        <v>-1</v>
      </c>
      <c r="AG290" s="3">
        <f t="shared" si="12"/>
        <v>-5</v>
      </c>
    </row>
    <row r="291">
      <c r="A291" s="1" t="s">
        <v>12</v>
      </c>
      <c r="B291" s="1" t="s">
        <v>217</v>
      </c>
      <c r="C291" s="1" t="s">
        <v>18</v>
      </c>
      <c r="D291" s="1" t="s">
        <v>71</v>
      </c>
      <c r="E291" s="1" t="s">
        <v>104</v>
      </c>
      <c r="F291" s="1" t="s">
        <v>670</v>
      </c>
      <c r="G291" s="1">
        <v>2.5</v>
      </c>
      <c r="H291" s="1" t="s">
        <v>60</v>
      </c>
      <c r="I291" s="1">
        <v>-151.0</v>
      </c>
      <c r="J291" s="1">
        <v>-0.138993625498007</v>
      </c>
      <c r="K291" s="1" t="s">
        <v>61</v>
      </c>
      <c r="L291" s="1" t="s">
        <v>61</v>
      </c>
      <c r="M291" s="1" t="s">
        <v>62</v>
      </c>
      <c r="N291" s="1">
        <v>115.0</v>
      </c>
      <c r="O291" s="1">
        <v>0.0722837209302326</v>
      </c>
      <c r="P291" s="1" t="s">
        <v>61</v>
      </c>
      <c r="Q291" s="1" t="s">
        <v>61</v>
      </c>
      <c r="R291" s="1">
        <f t="shared" si="1"/>
        <v>0.07228372093</v>
      </c>
      <c r="S291" s="1">
        <f t="shared" si="2"/>
        <v>115</v>
      </c>
      <c r="T291" s="1">
        <f t="shared" si="3"/>
        <v>2.15</v>
      </c>
      <c r="U291" s="1">
        <f t="shared" si="4"/>
        <v>0</v>
      </c>
      <c r="V291" s="3">
        <f t="shared" si="5"/>
        <v>2</v>
      </c>
      <c r="W291" s="3">
        <f t="shared" si="6"/>
        <v>1</v>
      </c>
      <c r="X291" s="3" t="str">
        <f>IFERROR(__xludf.DUMMYFUNCTION("split(B291,"" "")"),"A.")</f>
        <v>A.</v>
      </c>
      <c r="Y291" s="3" t="str">
        <f>IFERROR(__xludf.DUMMYFUNCTION("""COMPUTED_VALUE"""),"Pierce")</f>
        <v>Pierce</v>
      </c>
      <c r="AA291" s="8">
        <v>4.0</v>
      </c>
      <c r="AB291" s="3">
        <f t="shared" si="7"/>
        <v>1</v>
      </c>
      <c r="AC291" s="3">
        <f t="shared" si="8"/>
        <v>0</v>
      </c>
      <c r="AD291" s="3">
        <f t="shared" si="9"/>
        <v>2.3</v>
      </c>
      <c r="AE291" s="3">
        <f t="shared" si="10"/>
        <v>-2</v>
      </c>
      <c r="AF291" s="3">
        <f t="shared" si="11"/>
        <v>-1</v>
      </c>
      <c r="AG291" s="3">
        <f t="shared" si="12"/>
        <v>-0.6</v>
      </c>
    </row>
    <row r="292">
      <c r="A292" s="1" t="s">
        <v>12</v>
      </c>
      <c r="B292" s="1" t="s">
        <v>585</v>
      </c>
      <c r="C292" s="1" t="s">
        <v>20</v>
      </c>
      <c r="D292" s="1" t="s">
        <v>71</v>
      </c>
      <c r="E292" s="1" t="s">
        <v>104</v>
      </c>
      <c r="F292" s="1" t="s">
        <v>670</v>
      </c>
      <c r="G292" s="1">
        <v>1.5</v>
      </c>
      <c r="H292" s="1" t="s">
        <v>60</v>
      </c>
      <c r="I292" s="1">
        <v>141.0</v>
      </c>
      <c r="J292" s="1">
        <v>-0.111283347122614</v>
      </c>
      <c r="K292" s="1" t="s">
        <v>61</v>
      </c>
      <c r="L292" s="1" t="s">
        <v>61</v>
      </c>
      <c r="M292" s="1" t="s">
        <v>62</v>
      </c>
      <c r="N292" s="1">
        <v>-186.0</v>
      </c>
      <c r="O292" s="1">
        <v>0.0460010246024474</v>
      </c>
      <c r="P292" s="1" t="s">
        <v>61</v>
      </c>
      <c r="Q292" s="1" t="s">
        <v>61</v>
      </c>
      <c r="R292" s="1">
        <f t="shared" si="1"/>
        <v>0.0460010246</v>
      </c>
      <c r="S292" s="1">
        <f t="shared" si="2"/>
        <v>-186</v>
      </c>
      <c r="T292" s="1">
        <f t="shared" si="3"/>
        <v>1.537634409</v>
      </c>
      <c r="U292" s="1">
        <f t="shared" si="4"/>
        <v>0</v>
      </c>
      <c r="V292" s="3">
        <f t="shared" si="5"/>
        <v>1</v>
      </c>
      <c r="W292" s="3">
        <f t="shared" si="6"/>
        <v>3</v>
      </c>
      <c r="X292" s="3" t="str">
        <f>IFERROR(__xludf.DUMMYFUNCTION("split(B292,"" "")"),"M.")</f>
        <v>M.</v>
      </c>
      <c r="Y292" s="3" t="str">
        <f>IFERROR(__xludf.DUMMYFUNCTION("""COMPUTED_VALUE"""),"Alie-Cox")</f>
        <v>Alie-Cox</v>
      </c>
      <c r="AA292" s="8">
        <v>0.0</v>
      </c>
      <c r="AB292" s="3">
        <f t="shared" si="7"/>
        <v>0</v>
      </c>
      <c r="AC292" s="3">
        <f t="shared" si="8"/>
        <v>1</v>
      </c>
      <c r="AD292" s="3">
        <f t="shared" si="9"/>
        <v>0.5376344086</v>
      </c>
      <c r="AE292" s="3">
        <f t="shared" si="10"/>
        <v>0.5376344086</v>
      </c>
      <c r="AF292" s="3">
        <f t="shared" si="11"/>
        <v>1.612903226</v>
      </c>
      <c r="AG292" s="3">
        <f t="shared" si="12"/>
        <v>1</v>
      </c>
    </row>
    <row r="293">
      <c r="A293" s="1" t="s">
        <v>11</v>
      </c>
      <c r="B293" s="1" t="s">
        <v>539</v>
      </c>
      <c r="C293" s="1" t="s">
        <v>18</v>
      </c>
      <c r="D293" s="1" t="s">
        <v>71</v>
      </c>
      <c r="E293" s="1" t="s">
        <v>104</v>
      </c>
      <c r="F293" s="1" t="s">
        <v>670</v>
      </c>
      <c r="G293" s="1">
        <v>67.5</v>
      </c>
      <c r="H293" s="1" t="s">
        <v>60</v>
      </c>
      <c r="I293" s="1">
        <v>-117.0</v>
      </c>
      <c r="J293" s="1">
        <v>-0.109103151369846</v>
      </c>
      <c r="K293" s="1" t="s">
        <v>61</v>
      </c>
      <c r="L293" s="1" t="s">
        <v>61</v>
      </c>
      <c r="M293" s="1" t="s">
        <v>62</v>
      </c>
      <c r="N293" s="1">
        <v>-111.0</v>
      </c>
      <c r="O293" s="1">
        <v>0.0438136782578586</v>
      </c>
      <c r="P293" s="1" t="s">
        <v>61</v>
      </c>
      <c r="Q293" s="1" t="s">
        <v>61</v>
      </c>
      <c r="R293" s="1">
        <f t="shared" si="1"/>
        <v>0.04381367826</v>
      </c>
      <c r="S293" s="1">
        <f t="shared" si="2"/>
        <v>-111</v>
      </c>
      <c r="T293" s="1">
        <f t="shared" si="3"/>
        <v>1.900900901</v>
      </c>
      <c r="U293" s="1">
        <f t="shared" si="4"/>
        <v>0</v>
      </c>
      <c r="V293" s="3">
        <f t="shared" si="5"/>
        <v>1</v>
      </c>
      <c r="W293" s="3">
        <f t="shared" si="6"/>
        <v>2</v>
      </c>
      <c r="X293" s="3" t="str">
        <f>IFERROR(__xludf.DUMMYFUNCTION("split(B293,"" "")"),"J.")</f>
        <v>J.</v>
      </c>
      <c r="Y293" s="3" t="str">
        <f>IFERROR(__xludf.DUMMYFUNCTION("""COMPUTED_VALUE"""),"Downs")</f>
        <v>Downs</v>
      </c>
      <c r="AA293" s="8">
        <v>72.0</v>
      </c>
      <c r="AB293" s="3">
        <f t="shared" si="7"/>
        <v>1</v>
      </c>
      <c r="AC293" s="3">
        <f t="shared" si="8"/>
        <v>0</v>
      </c>
      <c r="AD293" s="3">
        <f t="shared" si="9"/>
        <v>0.9009009009</v>
      </c>
      <c r="AE293" s="3">
        <f t="shared" si="10"/>
        <v>-1</v>
      </c>
      <c r="AF293" s="3">
        <f t="shared" si="11"/>
        <v>-2</v>
      </c>
      <c r="AG293" s="3">
        <f t="shared" si="12"/>
        <v>-0.06666666667</v>
      </c>
    </row>
    <row r="294">
      <c r="A294" s="1" t="s">
        <v>12</v>
      </c>
      <c r="B294" s="1" t="s">
        <v>444</v>
      </c>
      <c r="C294" s="1" t="s">
        <v>19</v>
      </c>
      <c r="D294" s="1" t="s">
        <v>71</v>
      </c>
      <c r="E294" s="1" t="s">
        <v>104</v>
      </c>
      <c r="F294" s="1" t="s">
        <v>670</v>
      </c>
      <c r="G294" s="1">
        <v>3.5</v>
      </c>
      <c r="H294" s="1" t="s">
        <v>60</v>
      </c>
      <c r="I294" s="1">
        <v>129.0</v>
      </c>
      <c r="J294" s="1">
        <v>-0.0972812227074235</v>
      </c>
      <c r="K294" s="1" t="s">
        <v>61</v>
      </c>
      <c r="L294" s="1" t="s">
        <v>61</v>
      </c>
      <c r="M294" s="1" t="s">
        <v>62</v>
      </c>
      <c r="N294" s="1">
        <v>-169.0</v>
      </c>
      <c r="O294" s="1">
        <v>0.0323472118959108</v>
      </c>
      <c r="P294" s="1" t="s">
        <v>61</v>
      </c>
      <c r="Q294" s="1" t="s">
        <v>61</v>
      </c>
      <c r="R294" s="1">
        <f t="shared" si="1"/>
        <v>0.0323472119</v>
      </c>
      <c r="S294" s="1">
        <f t="shared" si="2"/>
        <v>-169</v>
      </c>
      <c r="T294" s="1">
        <f t="shared" si="3"/>
        <v>1.591715976</v>
      </c>
      <c r="U294" s="1">
        <f t="shared" si="4"/>
        <v>0</v>
      </c>
      <c r="V294" s="3">
        <f t="shared" si="5"/>
        <v>1</v>
      </c>
      <c r="W294" s="3">
        <f t="shared" si="6"/>
        <v>3</v>
      </c>
      <c r="X294" s="3" t="str">
        <f>IFERROR(__xludf.DUMMYFUNCTION("split(B294,"" "")"),"J.")</f>
        <v>J.</v>
      </c>
      <c r="Y294" s="3" t="str">
        <f>IFERROR(__xludf.DUMMYFUNCTION("""COMPUTED_VALUE"""),"Taylor")</f>
        <v>Taylor</v>
      </c>
      <c r="AA294" s="8">
        <v>2.0</v>
      </c>
      <c r="AB294" s="3">
        <f t="shared" si="7"/>
        <v>0</v>
      </c>
      <c r="AC294" s="3">
        <f t="shared" si="8"/>
        <v>1</v>
      </c>
      <c r="AD294" s="3">
        <f t="shared" si="9"/>
        <v>0.5917159763</v>
      </c>
      <c r="AE294" s="3">
        <f t="shared" si="10"/>
        <v>0.5917159763</v>
      </c>
      <c r="AF294" s="3">
        <f t="shared" si="11"/>
        <v>1.775147929</v>
      </c>
      <c r="AG294" s="3">
        <f t="shared" si="12"/>
        <v>0.4285714286</v>
      </c>
    </row>
    <row r="295">
      <c r="A295" s="1" t="s">
        <v>11</v>
      </c>
      <c r="B295" s="1" t="s">
        <v>125</v>
      </c>
      <c r="C295" s="1" t="s">
        <v>18</v>
      </c>
      <c r="D295" s="1" t="s">
        <v>71</v>
      </c>
      <c r="E295" s="1" t="s">
        <v>104</v>
      </c>
      <c r="F295" s="1" t="s">
        <v>670</v>
      </c>
      <c r="G295" s="1">
        <v>32.5</v>
      </c>
      <c r="H295" s="1" t="s">
        <v>60</v>
      </c>
      <c r="I295" s="1">
        <v>-121.0</v>
      </c>
      <c r="J295" s="1">
        <v>-0.0991826572228508</v>
      </c>
      <c r="K295" s="1" t="s">
        <v>61</v>
      </c>
      <c r="L295" s="1" t="s">
        <v>61</v>
      </c>
      <c r="M295" s="1" t="s">
        <v>62</v>
      </c>
      <c r="N295" s="1">
        <v>-109.0</v>
      </c>
      <c r="O295" s="1">
        <v>0.0301505238346867</v>
      </c>
      <c r="P295" s="1" t="s">
        <v>61</v>
      </c>
      <c r="Q295" s="1" t="s">
        <v>61</v>
      </c>
      <c r="R295" s="1">
        <f t="shared" si="1"/>
        <v>0.03015052383</v>
      </c>
      <c r="S295" s="1">
        <f t="shared" si="2"/>
        <v>-109</v>
      </c>
      <c r="T295" s="1">
        <f t="shared" si="3"/>
        <v>1.917431193</v>
      </c>
      <c r="U295" s="1">
        <f t="shared" si="4"/>
        <v>0</v>
      </c>
      <c r="V295" s="3">
        <f t="shared" si="5"/>
        <v>1</v>
      </c>
      <c r="W295" s="3">
        <f t="shared" si="6"/>
        <v>2</v>
      </c>
      <c r="X295" s="3" t="str">
        <f>IFERROR(__xludf.DUMMYFUNCTION("split(B295,"" "")"),"A.")</f>
        <v>A.</v>
      </c>
      <c r="Y295" s="3" t="str">
        <f>IFERROR(__xludf.DUMMYFUNCTION("""COMPUTED_VALUE"""),"Mitchell")</f>
        <v>Mitchell</v>
      </c>
      <c r="AA295" s="8">
        <v>71.0</v>
      </c>
      <c r="AB295" s="3">
        <f t="shared" si="7"/>
        <v>1</v>
      </c>
      <c r="AC295" s="3">
        <f t="shared" si="8"/>
        <v>0</v>
      </c>
      <c r="AD295" s="3">
        <f t="shared" si="9"/>
        <v>0.9174311927</v>
      </c>
      <c r="AE295" s="3">
        <f t="shared" si="10"/>
        <v>-1</v>
      </c>
      <c r="AF295" s="3">
        <f t="shared" si="11"/>
        <v>-2</v>
      </c>
      <c r="AG295" s="3">
        <f t="shared" si="12"/>
        <v>-1.184615385</v>
      </c>
    </row>
    <row r="296">
      <c r="A296" s="1" t="s">
        <v>9</v>
      </c>
      <c r="B296" s="1" t="s">
        <v>539</v>
      </c>
      <c r="C296" s="1" t="s">
        <v>18</v>
      </c>
      <c r="D296" s="1" t="s">
        <v>71</v>
      </c>
      <c r="E296" s="1" t="s">
        <v>104</v>
      </c>
      <c r="F296" s="1" t="s">
        <v>670</v>
      </c>
      <c r="G296" s="1">
        <v>65.5</v>
      </c>
      <c r="H296" s="1" t="s">
        <v>60</v>
      </c>
      <c r="I296" s="1">
        <v>-117.0</v>
      </c>
      <c r="J296" s="1">
        <v>-0.0937440980861168</v>
      </c>
      <c r="K296" s="1" t="s">
        <v>61</v>
      </c>
      <c r="L296" s="1" t="s">
        <v>61</v>
      </c>
      <c r="M296" s="1" t="s">
        <v>62</v>
      </c>
      <c r="N296" s="1">
        <v>-115.0</v>
      </c>
      <c r="O296" s="1">
        <v>0.019701696173909</v>
      </c>
      <c r="P296" s="1" t="s">
        <v>61</v>
      </c>
      <c r="Q296" s="1" t="s">
        <v>61</v>
      </c>
      <c r="R296" s="1">
        <f t="shared" si="1"/>
        <v>0.01970169617</v>
      </c>
      <c r="S296" s="1">
        <f t="shared" si="2"/>
        <v>-115</v>
      </c>
      <c r="T296" s="1">
        <f t="shared" si="3"/>
        <v>1.869565217</v>
      </c>
      <c r="U296" s="1">
        <f t="shared" si="4"/>
        <v>0</v>
      </c>
      <c r="V296" s="3">
        <f t="shared" si="5"/>
        <v>1</v>
      </c>
      <c r="W296" s="3">
        <f t="shared" si="6"/>
        <v>2</v>
      </c>
      <c r="X296" s="3" t="str">
        <f>IFERROR(__xludf.DUMMYFUNCTION("split(B296,"" "")"),"J.")</f>
        <v>J.</v>
      </c>
      <c r="Y296" s="3" t="str">
        <f>IFERROR(__xludf.DUMMYFUNCTION("""COMPUTED_VALUE"""),"Downs")</f>
        <v>Downs</v>
      </c>
      <c r="AA296" s="8">
        <v>72.0</v>
      </c>
      <c r="AB296" s="3">
        <f t="shared" si="7"/>
        <v>1</v>
      </c>
      <c r="AC296" s="3">
        <f t="shared" si="8"/>
        <v>0</v>
      </c>
      <c r="AD296" s="3">
        <f t="shared" si="9"/>
        <v>0.8695652174</v>
      </c>
      <c r="AE296" s="3">
        <f t="shared" si="10"/>
        <v>-1</v>
      </c>
      <c r="AF296" s="3">
        <f t="shared" si="11"/>
        <v>-2</v>
      </c>
      <c r="AG296" s="3">
        <f t="shared" si="12"/>
        <v>-0.09923664122</v>
      </c>
    </row>
    <row r="297">
      <c r="A297" s="1" t="s">
        <v>11</v>
      </c>
      <c r="B297" s="1" t="s">
        <v>444</v>
      </c>
      <c r="C297" s="1" t="s">
        <v>19</v>
      </c>
      <c r="D297" s="1" t="s">
        <v>71</v>
      </c>
      <c r="E297" s="1" t="s">
        <v>104</v>
      </c>
      <c r="F297" s="1" t="s">
        <v>670</v>
      </c>
      <c r="G297" s="1">
        <v>20.5</v>
      </c>
      <c r="H297" s="1" t="s">
        <v>60</v>
      </c>
      <c r="I297" s="1">
        <v>-111.0</v>
      </c>
      <c r="J297" s="1">
        <v>-0.0842640464639478</v>
      </c>
      <c r="K297" s="1" t="s">
        <v>61</v>
      </c>
      <c r="L297" s="1" t="s">
        <v>61</v>
      </c>
      <c r="M297" s="1" t="s">
        <v>62</v>
      </c>
      <c r="N297" s="1">
        <v>-118.0</v>
      </c>
      <c r="O297" s="1">
        <v>0.0169271756357511</v>
      </c>
      <c r="P297" s="1" t="s">
        <v>61</v>
      </c>
      <c r="Q297" s="1" t="s">
        <v>61</v>
      </c>
      <c r="R297" s="1">
        <f t="shared" si="1"/>
        <v>0.01692717564</v>
      </c>
      <c r="S297" s="1">
        <f t="shared" si="2"/>
        <v>-118</v>
      </c>
      <c r="T297" s="1">
        <f t="shared" si="3"/>
        <v>1.847457627</v>
      </c>
      <c r="U297" s="1">
        <f t="shared" si="4"/>
        <v>0</v>
      </c>
      <c r="V297" s="3">
        <f t="shared" si="5"/>
        <v>1</v>
      </c>
      <c r="W297" s="3">
        <f t="shared" si="6"/>
        <v>3</v>
      </c>
      <c r="X297" s="3" t="str">
        <f>IFERROR(__xludf.DUMMYFUNCTION("split(B297,"" "")"),"J.")</f>
        <v>J.</v>
      </c>
      <c r="Y297" s="3" t="str">
        <f>IFERROR(__xludf.DUMMYFUNCTION("""COMPUTED_VALUE"""),"Taylor")</f>
        <v>Taylor</v>
      </c>
      <c r="AA297" s="8">
        <v>8.0</v>
      </c>
      <c r="AB297" s="3">
        <f t="shared" si="7"/>
        <v>0</v>
      </c>
      <c r="AC297" s="3">
        <f t="shared" si="8"/>
        <v>1</v>
      </c>
      <c r="AD297" s="3">
        <f t="shared" si="9"/>
        <v>0.8474576271</v>
      </c>
      <c r="AE297" s="3">
        <f t="shared" si="10"/>
        <v>0.8474576271</v>
      </c>
      <c r="AF297" s="3">
        <f t="shared" si="11"/>
        <v>2.542372881</v>
      </c>
      <c r="AG297" s="3">
        <f t="shared" si="12"/>
        <v>0.6097560976</v>
      </c>
    </row>
    <row r="298">
      <c r="A298" s="1" t="s">
        <v>9</v>
      </c>
      <c r="B298" s="1" t="s">
        <v>444</v>
      </c>
      <c r="C298" s="1" t="s">
        <v>19</v>
      </c>
      <c r="D298" s="1" t="s">
        <v>71</v>
      </c>
      <c r="E298" s="1" t="s">
        <v>104</v>
      </c>
      <c r="F298" s="1" t="s">
        <v>670</v>
      </c>
      <c r="G298" s="1">
        <v>101.5</v>
      </c>
      <c r="H298" s="1" t="s">
        <v>60</v>
      </c>
      <c r="I298" s="1">
        <v>-116.0</v>
      </c>
      <c r="J298" s="1">
        <v>-0.0840577895252847</v>
      </c>
      <c r="K298" s="1" t="s">
        <v>61</v>
      </c>
      <c r="L298" s="1" t="s">
        <v>61</v>
      </c>
      <c r="M298" s="1" t="s">
        <v>62</v>
      </c>
      <c r="N298" s="1">
        <v>-116.0</v>
      </c>
      <c r="O298" s="1">
        <v>0.00993880285733017</v>
      </c>
      <c r="P298" s="1" t="s">
        <v>61</v>
      </c>
      <c r="Q298" s="1" t="s">
        <v>61</v>
      </c>
      <c r="R298" s="1">
        <f t="shared" si="1"/>
        <v>0.009938802857</v>
      </c>
      <c r="S298" s="1">
        <f t="shared" si="2"/>
        <v>-116</v>
      </c>
      <c r="T298" s="1">
        <f t="shared" si="3"/>
        <v>1.862068966</v>
      </c>
      <c r="U298" s="1">
        <f t="shared" si="4"/>
        <v>0</v>
      </c>
      <c r="V298" s="3">
        <f t="shared" si="5"/>
        <v>1</v>
      </c>
      <c r="W298" s="3">
        <f t="shared" si="6"/>
        <v>2</v>
      </c>
      <c r="X298" s="3" t="str">
        <f>IFERROR(__xludf.DUMMYFUNCTION("split(B298,"" "")"),"J.")</f>
        <v>J.</v>
      </c>
      <c r="Y298" s="3" t="str">
        <f>IFERROR(__xludf.DUMMYFUNCTION("""COMPUTED_VALUE"""),"Taylor")</f>
        <v>Taylor</v>
      </c>
      <c r="AA298" s="8">
        <v>122.0</v>
      </c>
      <c r="AB298" s="3">
        <f t="shared" si="7"/>
        <v>1</v>
      </c>
      <c r="AC298" s="3">
        <f t="shared" si="8"/>
        <v>0</v>
      </c>
      <c r="AD298" s="3">
        <f t="shared" si="9"/>
        <v>0.8620689655</v>
      </c>
      <c r="AE298" s="3">
        <f t="shared" si="10"/>
        <v>-1</v>
      </c>
      <c r="AF298" s="3">
        <f t="shared" si="11"/>
        <v>-2</v>
      </c>
      <c r="AG298" s="3">
        <f t="shared" si="12"/>
        <v>-0.2019704433</v>
      </c>
    </row>
    <row r="299">
      <c r="A299" s="1" t="s">
        <v>16</v>
      </c>
      <c r="B299" s="1" t="s">
        <v>586</v>
      </c>
      <c r="C299" s="1" t="s">
        <v>21</v>
      </c>
      <c r="D299" s="1" t="s">
        <v>71</v>
      </c>
      <c r="E299" s="1" t="s">
        <v>104</v>
      </c>
      <c r="F299" s="1" t="s">
        <v>670</v>
      </c>
      <c r="G299" s="1">
        <v>33.5</v>
      </c>
      <c r="H299" s="1" t="s">
        <v>60</v>
      </c>
      <c r="I299" s="1">
        <v>-126.0</v>
      </c>
      <c r="J299" s="1">
        <v>-0.0654352032628317</v>
      </c>
      <c r="K299" s="1" t="s">
        <v>61</v>
      </c>
      <c r="L299" s="1" t="s">
        <v>61</v>
      </c>
      <c r="M299" s="1" t="s">
        <v>62</v>
      </c>
      <c r="N299" s="1">
        <v>-102.0</v>
      </c>
      <c r="O299" s="1">
        <v>0.00294991331683169</v>
      </c>
      <c r="P299" s="1" t="s">
        <v>61</v>
      </c>
      <c r="Q299" s="1" t="s">
        <v>61</v>
      </c>
      <c r="R299" s="1">
        <f t="shared" si="1"/>
        <v>0.002949913317</v>
      </c>
      <c r="S299" s="1">
        <f t="shared" si="2"/>
        <v>-102</v>
      </c>
      <c r="T299" s="1">
        <f t="shared" si="3"/>
        <v>1.980392157</v>
      </c>
      <c r="U299" s="1">
        <f t="shared" si="4"/>
        <v>0</v>
      </c>
      <c r="V299" s="3">
        <f t="shared" si="5"/>
        <v>1</v>
      </c>
      <c r="W299" s="3">
        <f t="shared" si="6"/>
        <v>2</v>
      </c>
      <c r="X299" s="3" t="str">
        <f>IFERROR(__xludf.DUMMYFUNCTION("split(B299,"" "")"),"J.")</f>
        <v>J.</v>
      </c>
      <c r="Y299" s="3" t="str">
        <f>IFERROR(__xludf.DUMMYFUNCTION("""COMPUTED_VALUE"""),"Flacco")</f>
        <v>Flacco</v>
      </c>
      <c r="AA299" s="8">
        <v>35.0</v>
      </c>
      <c r="AB299" s="3">
        <f t="shared" si="7"/>
        <v>1</v>
      </c>
      <c r="AC299" s="3">
        <f t="shared" si="8"/>
        <v>0</v>
      </c>
      <c r="AD299" s="3">
        <f t="shared" si="9"/>
        <v>0.9803921569</v>
      </c>
      <c r="AE299" s="3">
        <f t="shared" si="10"/>
        <v>-1</v>
      </c>
      <c r="AF299" s="3">
        <f t="shared" si="11"/>
        <v>-2</v>
      </c>
      <c r="AG299" s="3">
        <f t="shared" si="12"/>
        <v>-0.0447761194</v>
      </c>
    </row>
    <row r="300">
      <c r="A300" s="1" t="s">
        <v>9</v>
      </c>
      <c r="B300" s="1" t="s">
        <v>125</v>
      </c>
      <c r="C300" s="1" t="s">
        <v>18</v>
      </c>
      <c r="D300" s="1" t="s">
        <v>71</v>
      </c>
      <c r="E300" s="1" t="s">
        <v>104</v>
      </c>
      <c r="F300" s="1" t="s">
        <v>670</v>
      </c>
      <c r="G300" s="1">
        <v>34.5</v>
      </c>
      <c r="H300" s="1" t="s">
        <v>60</v>
      </c>
      <c r="I300" s="1">
        <v>-117.0</v>
      </c>
      <c r="J300" s="1">
        <v>0.00836909415808451</v>
      </c>
      <c r="K300" s="1" t="s">
        <v>61</v>
      </c>
      <c r="L300" s="1" t="s">
        <v>61</v>
      </c>
      <c r="M300" s="1" t="s">
        <v>62</v>
      </c>
      <c r="N300" s="1">
        <v>-115.0</v>
      </c>
      <c r="O300" s="1">
        <v>-0.0824457555681396</v>
      </c>
      <c r="P300" s="1" t="s">
        <v>61</v>
      </c>
      <c r="Q300" s="1" t="s">
        <v>61</v>
      </c>
      <c r="R300" s="1">
        <f t="shared" si="1"/>
        <v>0.008369094158</v>
      </c>
      <c r="S300" s="1">
        <f t="shared" si="2"/>
        <v>-117</v>
      </c>
      <c r="T300" s="1">
        <f t="shared" si="3"/>
        <v>1.854700855</v>
      </c>
      <c r="U300" s="1">
        <f t="shared" si="4"/>
        <v>1</v>
      </c>
      <c r="V300" s="3">
        <f t="shared" si="5"/>
        <v>1</v>
      </c>
      <c r="W300" s="3">
        <f t="shared" si="6"/>
        <v>2</v>
      </c>
      <c r="X300" s="3" t="str">
        <f>IFERROR(__xludf.DUMMYFUNCTION("split(B300,"" "")"),"A.")</f>
        <v>A.</v>
      </c>
      <c r="Y300" s="3" t="str">
        <f>IFERROR(__xludf.DUMMYFUNCTION("""COMPUTED_VALUE"""),"Mitchell")</f>
        <v>Mitchell</v>
      </c>
      <c r="AA300" s="8">
        <v>71.0</v>
      </c>
      <c r="AB300" s="3">
        <f t="shared" si="7"/>
        <v>1</v>
      </c>
      <c r="AC300" s="3">
        <f t="shared" si="8"/>
        <v>1</v>
      </c>
      <c r="AD300" s="3">
        <f t="shared" si="9"/>
        <v>0.8547008547</v>
      </c>
      <c r="AE300" s="3">
        <f t="shared" si="10"/>
        <v>0.8547008547</v>
      </c>
      <c r="AF300" s="3">
        <f t="shared" si="11"/>
        <v>1.709401709</v>
      </c>
      <c r="AG300" s="3">
        <f t="shared" si="12"/>
        <v>1.057971014</v>
      </c>
    </row>
    <row r="301">
      <c r="A301" s="1" t="s">
        <v>11</v>
      </c>
      <c r="B301" s="1" t="s">
        <v>585</v>
      </c>
      <c r="C301" s="1" t="s">
        <v>20</v>
      </c>
      <c r="D301" s="1" t="s">
        <v>71</v>
      </c>
      <c r="E301" s="1" t="s">
        <v>104</v>
      </c>
      <c r="F301" s="1" t="s">
        <v>670</v>
      </c>
      <c r="G301" s="1">
        <v>10.5</v>
      </c>
      <c r="H301" s="1" t="s">
        <v>60</v>
      </c>
      <c r="I301" s="1">
        <v>100.0</v>
      </c>
      <c r="J301" s="1">
        <v>0.0202260201085558</v>
      </c>
      <c r="K301" s="1" t="s">
        <v>61</v>
      </c>
      <c r="L301" s="1" t="s">
        <v>61</v>
      </c>
      <c r="M301" s="1" t="s">
        <v>62</v>
      </c>
      <c r="N301" s="1">
        <v>-132.0</v>
      </c>
      <c r="O301" s="1">
        <v>-0.0891675401235291</v>
      </c>
      <c r="P301" s="1" t="s">
        <v>61</v>
      </c>
      <c r="Q301" s="1" t="s">
        <v>61</v>
      </c>
      <c r="R301" s="1">
        <f t="shared" si="1"/>
        <v>0.02022602011</v>
      </c>
      <c r="S301" s="1">
        <f t="shared" si="2"/>
        <v>100</v>
      </c>
      <c r="T301" s="1">
        <f t="shared" si="3"/>
        <v>2</v>
      </c>
      <c r="U301" s="1">
        <f t="shared" si="4"/>
        <v>1</v>
      </c>
      <c r="V301" s="3">
        <f t="shared" si="5"/>
        <v>1</v>
      </c>
      <c r="W301" s="3">
        <f t="shared" si="6"/>
        <v>2</v>
      </c>
      <c r="X301" s="3" t="str">
        <f>IFERROR(__xludf.DUMMYFUNCTION("split(B301,"" "")"),"M.")</f>
        <v>M.</v>
      </c>
      <c r="Y301" s="3" t="str">
        <f>IFERROR(__xludf.DUMMYFUNCTION("""COMPUTED_VALUE"""),"Alie-Cox")</f>
        <v>Alie-Cox</v>
      </c>
      <c r="AA301" s="8">
        <v>0.0</v>
      </c>
      <c r="AB301" s="3">
        <f t="shared" si="7"/>
        <v>0</v>
      </c>
      <c r="AC301" s="3">
        <f t="shared" si="8"/>
        <v>0</v>
      </c>
      <c r="AD301" s="3">
        <f t="shared" si="9"/>
        <v>1</v>
      </c>
      <c r="AE301" s="3">
        <f t="shared" si="10"/>
        <v>-1</v>
      </c>
      <c r="AF301" s="3">
        <f t="shared" si="11"/>
        <v>-2</v>
      </c>
      <c r="AG301" s="3">
        <f t="shared" si="12"/>
        <v>-1</v>
      </c>
    </row>
    <row r="302">
      <c r="A302" s="1" t="s">
        <v>11</v>
      </c>
      <c r="B302" s="1" t="s">
        <v>70</v>
      </c>
      <c r="C302" s="1" t="s">
        <v>20</v>
      </c>
      <c r="D302" s="1" t="s">
        <v>71</v>
      </c>
      <c r="E302" s="1" t="s">
        <v>104</v>
      </c>
      <c r="F302" s="1" t="s">
        <v>670</v>
      </c>
      <c r="G302" s="1">
        <v>7.5</v>
      </c>
      <c r="H302" s="1" t="s">
        <v>60</v>
      </c>
      <c r="I302" s="1">
        <v>-122.0</v>
      </c>
      <c r="J302" s="1">
        <v>0.0369687766912626</v>
      </c>
      <c r="K302" s="1" t="s">
        <v>61</v>
      </c>
      <c r="L302" s="1" t="s">
        <v>61</v>
      </c>
      <c r="M302" s="1" t="s">
        <v>62</v>
      </c>
      <c r="N302" s="1">
        <v>-106.0</v>
      </c>
      <c r="O302" s="1">
        <v>-0.101041342383436</v>
      </c>
      <c r="P302" s="1" t="s">
        <v>61</v>
      </c>
      <c r="Q302" s="1" t="s">
        <v>61</v>
      </c>
      <c r="R302" s="1">
        <f t="shared" si="1"/>
        <v>0.03696877669</v>
      </c>
      <c r="S302" s="1">
        <f t="shared" si="2"/>
        <v>-122</v>
      </c>
      <c r="T302" s="1">
        <f t="shared" si="3"/>
        <v>1.819672131</v>
      </c>
      <c r="U302" s="1">
        <f t="shared" si="4"/>
        <v>1</v>
      </c>
      <c r="V302" s="3">
        <f t="shared" si="5"/>
        <v>1</v>
      </c>
      <c r="W302" s="3">
        <f t="shared" si="6"/>
        <v>3</v>
      </c>
      <c r="X302" s="3" t="str">
        <f>IFERROR(__xludf.DUMMYFUNCTION("split(B302,"" "")"),"K.")</f>
        <v>K.</v>
      </c>
      <c r="Y302" s="3" t="str">
        <f>IFERROR(__xludf.DUMMYFUNCTION("""COMPUTED_VALUE"""),"Granson")</f>
        <v>Granson</v>
      </c>
      <c r="AA302" s="8">
        <v>15.0</v>
      </c>
      <c r="AB302" s="3">
        <f t="shared" si="7"/>
        <v>1</v>
      </c>
      <c r="AC302" s="3">
        <f t="shared" si="8"/>
        <v>1</v>
      </c>
      <c r="AD302" s="3">
        <f t="shared" si="9"/>
        <v>0.8196721311</v>
      </c>
      <c r="AE302" s="3">
        <f t="shared" si="10"/>
        <v>0.8196721311</v>
      </c>
      <c r="AF302" s="3">
        <f t="shared" si="11"/>
        <v>2.459016393</v>
      </c>
      <c r="AG302" s="3">
        <f t="shared" si="12"/>
        <v>1</v>
      </c>
    </row>
    <row r="303">
      <c r="A303" s="1" t="s">
        <v>11</v>
      </c>
      <c r="B303" s="1" t="s">
        <v>679</v>
      </c>
      <c r="C303" s="1" t="s">
        <v>18</v>
      </c>
      <c r="D303" s="1" t="s">
        <v>71</v>
      </c>
      <c r="E303" s="1" t="s">
        <v>104</v>
      </c>
      <c r="F303" s="1" t="s">
        <v>670</v>
      </c>
      <c r="G303" s="1">
        <v>8.5</v>
      </c>
      <c r="H303" s="1" t="s">
        <v>60</v>
      </c>
      <c r="I303" s="1">
        <v>-118.0</v>
      </c>
      <c r="J303" s="1">
        <v>0.0571106662680089</v>
      </c>
      <c r="K303" s="1" t="s">
        <v>61</v>
      </c>
      <c r="L303" s="1" t="s">
        <v>61</v>
      </c>
      <c r="M303" s="1" t="s">
        <v>62</v>
      </c>
      <c r="N303" s="1">
        <v>-108.0</v>
      </c>
      <c r="O303" s="1">
        <v>-0.117611996471827</v>
      </c>
      <c r="P303" s="1" t="s">
        <v>61</v>
      </c>
      <c r="Q303" s="1" t="s">
        <v>61</v>
      </c>
      <c r="R303" s="1">
        <f t="shared" si="1"/>
        <v>0.05711066627</v>
      </c>
      <c r="S303" s="1">
        <f t="shared" si="2"/>
        <v>-118</v>
      </c>
      <c r="T303" s="1">
        <f t="shared" si="3"/>
        <v>1.847457627</v>
      </c>
      <c r="U303" s="1">
        <f t="shared" si="4"/>
        <v>1</v>
      </c>
      <c r="V303" s="3">
        <f t="shared" si="5"/>
        <v>2</v>
      </c>
      <c r="W303" s="3">
        <f t="shared" si="6"/>
        <v>3</v>
      </c>
      <c r="X303" s="3" t="str">
        <f>IFERROR(__xludf.DUMMYFUNCTION("split(B303,"" "")"),"A.")</f>
        <v>A.</v>
      </c>
      <c r="Y303" s="3" t="str">
        <f>IFERROR(__xludf.DUMMYFUNCTION("""COMPUTED_VALUE"""),"Dulin")</f>
        <v>Dulin</v>
      </c>
      <c r="AA303" s="8">
        <v>0.0</v>
      </c>
      <c r="AB303" s="3">
        <f t="shared" si="7"/>
        <v>0</v>
      </c>
      <c r="AC303" s="3">
        <f t="shared" si="8"/>
        <v>0</v>
      </c>
      <c r="AD303" s="3">
        <f t="shared" si="9"/>
        <v>1.694915254</v>
      </c>
      <c r="AE303" s="3">
        <f t="shared" si="10"/>
        <v>-2</v>
      </c>
      <c r="AF303" s="3">
        <f t="shared" si="11"/>
        <v>-3</v>
      </c>
      <c r="AG303" s="3">
        <f t="shared" si="12"/>
        <v>-1</v>
      </c>
    </row>
    <row r="304">
      <c r="A304" s="1" t="s">
        <v>9</v>
      </c>
      <c r="B304" s="1" t="s">
        <v>217</v>
      </c>
      <c r="C304" s="1" t="s">
        <v>18</v>
      </c>
      <c r="D304" s="1" t="s">
        <v>71</v>
      </c>
      <c r="E304" s="1" t="s">
        <v>104</v>
      </c>
      <c r="F304" s="1" t="s">
        <v>670</v>
      </c>
      <c r="G304" s="1">
        <v>34.5</v>
      </c>
      <c r="H304" s="1" t="s">
        <v>60</v>
      </c>
      <c r="I304" s="1">
        <v>-119.0</v>
      </c>
      <c r="J304" s="1">
        <v>0.0699493574604598</v>
      </c>
      <c r="K304" s="1" t="s">
        <v>61</v>
      </c>
      <c r="L304" s="1" t="s">
        <v>61</v>
      </c>
      <c r="M304" s="1" t="s">
        <v>62</v>
      </c>
      <c r="N304" s="1">
        <v>-114.0</v>
      </c>
      <c r="O304" s="1">
        <v>-0.145960040110179</v>
      </c>
      <c r="P304" s="1" t="s">
        <v>61</v>
      </c>
      <c r="Q304" s="1" t="s">
        <v>61</v>
      </c>
      <c r="R304" s="1">
        <f t="shared" si="1"/>
        <v>0.06994935746</v>
      </c>
      <c r="S304" s="1">
        <f t="shared" si="2"/>
        <v>-119</v>
      </c>
      <c r="T304" s="1">
        <f t="shared" si="3"/>
        <v>1.840336134</v>
      </c>
      <c r="U304" s="1">
        <f t="shared" si="4"/>
        <v>1</v>
      </c>
      <c r="V304" s="3">
        <f t="shared" si="5"/>
        <v>2</v>
      </c>
      <c r="W304" s="3">
        <f t="shared" si="6"/>
        <v>3</v>
      </c>
      <c r="X304" s="3" t="str">
        <f>IFERROR(__xludf.DUMMYFUNCTION("split(B304,"" "")"),"A.")</f>
        <v>A.</v>
      </c>
      <c r="Y304" s="3" t="str">
        <f>IFERROR(__xludf.DUMMYFUNCTION("""COMPUTED_VALUE"""),"Pierce")</f>
        <v>Pierce</v>
      </c>
      <c r="AA304" s="8">
        <v>81.0</v>
      </c>
      <c r="AB304" s="3">
        <f t="shared" si="7"/>
        <v>1</v>
      </c>
      <c r="AC304" s="3">
        <f t="shared" si="8"/>
        <v>1</v>
      </c>
      <c r="AD304" s="3">
        <f t="shared" si="9"/>
        <v>1.680672269</v>
      </c>
      <c r="AE304" s="3">
        <f t="shared" si="10"/>
        <v>1.680672269</v>
      </c>
      <c r="AF304" s="3">
        <f t="shared" si="11"/>
        <v>2.521008403</v>
      </c>
      <c r="AG304" s="3">
        <f t="shared" si="12"/>
        <v>1.347826087</v>
      </c>
    </row>
    <row r="305">
      <c r="A305" s="1" t="s">
        <v>12</v>
      </c>
      <c r="B305" s="1" t="s">
        <v>539</v>
      </c>
      <c r="C305" s="1" t="s">
        <v>18</v>
      </c>
      <c r="D305" s="1" t="s">
        <v>71</v>
      </c>
      <c r="E305" s="1" t="s">
        <v>104</v>
      </c>
      <c r="F305" s="1" t="s">
        <v>670</v>
      </c>
      <c r="G305" s="1">
        <v>6.5</v>
      </c>
      <c r="H305" s="1" t="s">
        <v>60</v>
      </c>
      <c r="I305" s="1">
        <v>105.0</v>
      </c>
      <c r="J305" s="1">
        <v>0.0940951219512194</v>
      </c>
      <c r="K305" s="1" t="s">
        <v>61</v>
      </c>
      <c r="L305" s="1" t="s">
        <v>61</v>
      </c>
      <c r="M305" s="1" t="s">
        <v>62</v>
      </c>
      <c r="N305" s="1">
        <v>-137.0</v>
      </c>
      <c r="O305" s="1">
        <v>-0.159959071729957</v>
      </c>
      <c r="P305" s="1" t="s">
        <v>61</v>
      </c>
      <c r="Q305" s="1" t="s">
        <v>61</v>
      </c>
      <c r="R305" s="1">
        <f t="shared" si="1"/>
        <v>0.09409512195</v>
      </c>
      <c r="S305" s="1">
        <f t="shared" si="2"/>
        <v>105</v>
      </c>
      <c r="T305" s="1">
        <f t="shared" si="3"/>
        <v>2.05</v>
      </c>
      <c r="U305" s="1">
        <f t="shared" si="4"/>
        <v>1</v>
      </c>
      <c r="V305" s="3">
        <f t="shared" si="5"/>
        <v>2</v>
      </c>
      <c r="W305" s="3">
        <f t="shared" si="6"/>
        <v>2</v>
      </c>
      <c r="X305" s="3" t="str">
        <f>IFERROR(__xludf.DUMMYFUNCTION("split(B305,"" "")"),"J.")</f>
        <v>J.</v>
      </c>
      <c r="Y305" s="3" t="str">
        <f>IFERROR(__xludf.DUMMYFUNCTION("""COMPUTED_VALUE"""),"Downs")</f>
        <v>Downs</v>
      </c>
      <c r="AA305" s="8">
        <v>7.0</v>
      </c>
      <c r="AB305" s="3">
        <f t="shared" si="7"/>
        <v>1</v>
      </c>
      <c r="AC305" s="3">
        <f t="shared" si="8"/>
        <v>1</v>
      </c>
      <c r="AD305" s="3">
        <f t="shared" si="9"/>
        <v>2.1</v>
      </c>
      <c r="AE305" s="3">
        <f t="shared" si="10"/>
        <v>2.1</v>
      </c>
      <c r="AF305" s="3">
        <f t="shared" si="11"/>
        <v>2.1</v>
      </c>
      <c r="AG305" s="3">
        <f t="shared" si="12"/>
        <v>0.07692307692</v>
      </c>
    </row>
    <row r="306">
      <c r="A306" s="1" t="s">
        <v>11</v>
      </c>
      <c r="B306" s="1" t="s">
        <v>540</v>
      </c>
      <c r="C306" s="1" t="s">
        <v>19</v>
      </c>
      <c r="D306" s="1" t="s">
        <v>71</v>
      </c>
      <c r="E306" s="1" t="s">
        <v>104</v>
      </c>
      <c r="F306" s="1" t="s">
        <v>670</v>
      </c>
      <c r="G306" s="1">
        <v>4.5</v>
      </c>
      <c r="H306" s="1" t="s">
        <v>60</v>
      </c>
      <c r="I306" s="1">
        <v>-108.0</v>
      </c>
      <c r="J306" s="1">
        <v>0.108005068472643</v>
      </c>
      <c r="K306" s="1" t="s">
        <v>61</v>
      </c>
      <c r="L306" s="1" t="s">
        <v>61</v>
      </c>
      <c r="M306" s="1" t="s">
        <v>62</v>
      </c>
      <c r="N306" s="1">
        <v>-118.0</v>
      </c>
      <c r="O306" s="1">
        <v>-0.168512165164796</v>
      </c>
      <c r="P306" s="1" t="s">
        <v>61</v>
      </c>
      <c r="Q306" s="1" t="s">
        <v>61</v>
      </c>
      <c r="R306" s="1">
        <f t="shared" si="1"/>
        <v>0.1080050685</v>
      </c>
      <c r="S306" s="1">
        <f t="shared" si="2"/>
        <v>-108</v>
      </c>
      <c r="T306" s="1">
        <f t="shared" si="3"/>
        <v>1.925925926</v>
      </c>
      <c r="U306" s="1">
        <f t="shared" si="4"/>
        <v>1</v>
      </c>
      <c r="V306" s="3">
        <f t="shared" si="5"/>
        <v>3</v>
      </c>
      <c r="W306" s="3">
        <f t="shared" si="6"/>
        <v>2</v>
      </c>
      <c r="X306" s="3" t="str">
        <f>IFERROR(__xludf.DUMMYFUNCTION("split(B306,"" "")"),"T.")</f>
        <v>T.</v>
      </c>
      <c r="Y306" s="3" t="str">
        <f>IFERROR(__xludf.DUMMYFUNCTION("""COMPUTED_VALUE"""),"Sermon")</f>
        <v>Sermon</v>
      </c>
      <c r="AA306" s="8">
        <v>4.0</v>
      </c>
      <c r="AB306" s="3">
        <f t="shared" si="7"/>
        <v>0</v>
      </c>
      <c r="AC306" s="3">
        <f t="shared" si="8"/>
        <v>0</v>
      </c>
      <c r="AD306" s="3">
        <f t="shared" si="9"/>
        <v>2.777777778</v>
      </c>
      <c r="AE306" s="3">
        <f t="shared" si="10"/>
        <v>-3</v>
      </c>
      <c r="AF306" s="3">
        <f t="shared" si="11"/>
        <v>-2</v>
      </c>
      <c r="AG306" s="3">
        <f t="shared" si="12"/>
        <v>-0.1111111111</v>
      </c>
    </row>
    <row r="307">
      <c r="A307" s="1" t="s">
        <v>9</v>
      </c>
      <c r="B307" s="1" t="s">
        <v>540</v>
      </c>
      <c r="C307" s="1" t="s">
        <v>19</v>
      </c>
      <c r="D307" s="1" t="s">
        <v>71</v>
      </c>
      <c r="E307" s="1" t="s">
        <v>104</v>
      </c>
      <c r="F307" s="1" t="s">
        <v>670</v>
      </c>
      <c r="G307" s="1">
        <v>16.5</v>
      </c>
      <c r="H307" s="1" t="s">
        <v>60</v>
      </c>
      <c r="I307" s="1">
        <v>-120.0</v>
      </c>
      <c r="J307" s="1">
        <v>0.128124686106672</v>
      </c>
      <c r="K307" s="1" t="s">
        <v>61</v>
      </c>
      <c r="L307" s="1" t="s">
        <v>61</v>
      </c>
      <c r="M307" s="1" t="s">
        <v>62</v>
      </c>
      <c r="N307" s="1">
        <v>-113.0</v>
      </c>
      <c r="O307" s="1">
        <v>-0.204058765099149</v>
      </c>
      <c r="P307" s="1" t="s">
        <v>61</v>
      </c>
      <c r="Q307" s="1" t="s">
        <v>61</v>
      </c>
      <c r="R307" s="1">
        <f t="shared" si="1"/>
        <v>0.1281246861</v>
      </c>
      <c r="S307" s="1">
        <f t="shared" si="2"/>
        <v>-120</v>
      </c>
      <c r="T307" s="1">
        <f t="shared" si="3"/>
        <v>1.833333333</v>
      </c>
      <c r="U307" s="1">
        <f t="shared" si="4"/>
        <v>1</v>
      </c>
      <c r="V307" s="3">
        <f t="shared" si="5"/>
        <v>3</v>
      </c>
      <c r="W307" s="3">
        <f t="shared" si="6"/>
        <v>3</v>
      </c>
      <c r="X307" s="3" t="str">
        <f>IFERROR(__xludf.DUMMYFUNCTION("split(B307,"" "")"),"T.")</f>
        <v>T.</v>
      </c>
      <c r="Y307" s="3" t="str">
        <f>IFERROR(__xludf.DUMMYFUNCTION("""COMPUTED_VALUE"""),"Sermon")</f>
        <v>Sermon</v>
      </c>
      <c r="AA307" s="8">
        <v>4.0</v>
      </c>
      <c r="AB307" s="3">
        <f t="shared" si="7"/>
        <v>0</v>
      </c>
      <c r="AC307" s="3">
        <f t="shared" si="8"/>
        <v>0</v>
      </c>
      <c r="AD307" s="3">
        <f t="shared" si="9"/>
        <v>2.5</v>
      </c>
      <c r="AE307" s="3">
        <f t="shared" si="10"/>
        <v>-3</v>
      </c>
      <c r="AF307" s="3">
        <f t="shared" si="11"/>
        <v>-3</v>
      </c>
      <c r="AG307" s="3">
        <f t="shared" si="12"/>
        <v>-0.7575757576</v>
      </c>
    </row>
    <row r="308">
      <c r="A308" s="1" t="s">
        <v>9</v>
      </c>
      <c r="B308" s="1" t="s">
        <v>679</v>
      </c>
      <c r="C308" s="1" t="s">
        <v>18</v>
      </c>
      <c r="D308" s="1" t="s">
        <v>71</v>
      </c>
      <c r="E308" s="1" t="s">
        <v>104</v>
      </c>
      <c r="F308" s="1" t="s">
        <v>670</v>
      </c>
      <c r="G308" s="1">
        <v>12.5</v>
      </c>
      <c r="H308" s="1" t="s">
        <v>60</v>
      </c>
      <c r="I308" s="1">
        <v>-117.0</v>
      </c>
      <c r="J308" s="1">
        <v>0.161631117900869</v>
      </c>
      <c r="K308" s="1" t="s">
        <v>61</v>
      </c>
      <c r="L308" s="1" t="s">
        <v>61</v>
      </c>
      <c r="M308" s="1" t="s">
        <v>62</v>
      </c>
      <c r="N308" s="1">
        <v>-118.0</v>
      </c>
      <c r="O308" s="1">
        <v>-0.242086312154571</v>
      </c>
      <c r="P308" s="1" t="s">
        <v>61</v>
      </c>
      <c r="Q308" s="1" t="s">
        <v>61</v>
      </c>
      <c r="R308" s="1">
        <f t="shared" si="1"/>
        <v>0.1616311179</v>
      </c>
      <c r="S308" s="1">
        <f t="shared" si="2"/>
        <v>-117</v>
      </c>
      <c r="T308" s="1">
        <f t="shared" si="3"/>
        <v>1.854700855</v>
      </c>
      <c r="U308" s="1">
        <f t="shared" si="4"/>
        <v>1</v>
      </c>
      <c r="V308" s="3">
        <f t="shared" si="5"/>
        <v>3</v>
      </c>
      <c r="W308" s="3">
        <f t="shared" si="6"/>
        <v>2</v>
      </c>
      <c r="X308" s="3" t="str">
        <f>IFERROR(__xludf.DUMMYFUNCTION("split(B308,"" "")"),"A.")</f>
        <v>A.</v>
      </c>
      <c r="Y308" s="3" t="str">
        <f>IFERROR(__xludf.DUMMYFUNCTION("""COMPUTED_VALUE"""),"Dulin")</f>
        <v>Dulin</v>
      </c>
      <c r="AA308" s="8">
        <v>7.0</v>
      </c>
      <c r="AB308" s="3">
        <f t="shared" si="7"/>
        <v>0</v>
      </c>
      <c r="AC308" s="3">
        <f t="shared" si="8"/>
        <v>0</v>
      </c>
      <c r="AD308" s="3">
        <f t="shared" si="9"/>
        <v>2.564102564</v>
      </c>
      <c r="AE308" s="3">
        <f t="shared" si="10"/>
        <v>-3</v>
      </c>
      <c r="AF308" s="3">
        <f t="shared" si="11"/>
        <v>-2</v>
      </c>
      <c r="AG308" s="3">
        <f t="shared" si="12"/>
        <v>-0.44</v>
      </c>
    </row>
    <row r="309">
      <c r="A309" s="1" t="s">
        <v>12</v>
      </c>
      <c r="B309" s="1" t="s">
        <v>619</v>
      </c>
      <c r="C309" s="1" t="s">
        <v>18</v>
      </c>
      <c r="D309" s="1" t="s">
        <v>72</v>
      </c>
      <c r="E309" s="1" t="s">
        <v>197</v>
      </c>
      <c r="F309" s="1" t="s">
        <v>680</v>
      </c>
      <c r="G309" s="1">
        <v>1.5</v>
      </c>
      <c r="H309" s="1" t="s">
        <v>60</v>
      </c>
      <c r="I309" s="1">
        <v>-177.0</v>
      </c>
      <c r="J309" s="1">
        <v>-0.311578005277978</v>
      </c>
      <c r="K309" s="1" t="s">
        <v>61</v>
      </c>
      <c r="L309" s="1" t="s">
        <v>61</v>
      </c>
      <c r="M309" s="1" t="s">
        <v>62</v>
      </c>
      <c r="N309" s="1">
        <v>130.0</v>
      </c>
      <c r="O309" s="1">
        <v>0.237803945486956</v>
      </c>
      <c r="P309" s="1" t="s">
        <v>61</v>
      </c>
      <c r="Q309" s="1" t="s">
        <v>61</v>
      </c>
      <c r="R309" s="1">
        <f t="shared" si="1"/>
        <v>0.2378039455</v>
      </c>
      <c r="S309" s="1">
        <f t="shared" si="2"/>
        <v>130</v>
      </c>
      <c r="T309" s="1">
        <f t="shared" si="3"/>
        <v>2.3</v>
      </c>
      <c r="U309" s="1">
        <f t="shared" si="4"/>
        <v>0</v>
      </c>
      <c r="V309" s="3">
        <f t="shared" si="5"/>
        <v>3</v>
      </c>
      <c r="W309" s="3">
        <f t="shared" si="6"/>
        <v>1</v>
      </c>
      <c r="X309" s="3" t="str">
        <f>IFERROR(__xludf.DUMMYFUNCTION("split(B309,"" "")"),"X.")</f>
        <v>X.</v>
      </c>
      <c r="Y309" s="3" t="str">
        <f>IFERROR(__xludf.DUMMYFUNCTION("""COMPUTED_VALUE"""),"Hutchinson")</f>
        <v>Hutchinson</v>
      </c>
      <c r="AA309" s="8">
        <v>2.0</v>
      </c>
      <c r="AB309" s="3">
        <f t="shared" si="7"/>
        <v>1</v>
      </c>
      <c r="AC309" s="3">
        <f t="shared" si="8"/>
        <v>0</v>
      </c>
      <c r="AD309" s="3">
        <f t="shared" si="9"/>
        <v>3.9</v>
      </c>
      <c r="AE309" s="3">
        <f t="shared" si="10"/>
        <v>-3</v>
      </c>
      <c r="AF309" s="3">
        <f t="shared" si="11"/>
        <v>-1</v>
      </c>
      <c r="AG309" s="3">
        <f t="shared" si="12"/>
        <v>-0.3333333333</v>
      </c>
    </row>
    <row r="310">
      <c r="A310" s="1" t="s">
        <v>12</v>
      </c>
      <c r="B310" s="1" t="s">
        <v>634</v>
      </c>
      <c r="C310" s="1" t="s">
        <v>18</v>
      </c>
      <c r="D310" s="1" t="s">
        <v>72</v>
      </c>
      <c r="E310" s="1" t="s">
        <v>197</v>
      </c>
      <c r="F310" s="1" t="s">
        <v>680</v>
      </c>
      <c r="G310" s="1">
        <v>1.5</v>
      </c>
      <c r="H310" s="1" t="s">
        <v>60</v>
      </c>
      <c r="I310" s="1">
        <v>-192.0</v>
      </c>
      <c r="J310" s="1">
        <v>-0.306862812181506</v>
      </c>
      <c r="K310" s="1" t="s">
        <v>61</v>
      </c>
      <c r="L310" s="1" t="s">
        <v>61</v>
      </c>
      <c r="M310" s="1" t="s">
        <v>62</v>
      </c>
      <c r="N310" s="1">
        <v>140.0</v>
      </c>
      <c r="O310" s="1">
        <v>0.232668088154166</v>
      </c>
      <c r="P310" s="1" t="s">
        <v>61</v>
      </c>
      <c r="Q310" s="1" t="s">
        <v>61</v>
      </c>
      <c r="R310" s="1">
        <f t="shared" si="1"/>
        <v>0.2326680882</v>
      </c>
      <c r="S310" s="1">
        <f t="shared" si="2"/>
        <v>140</v>
      </c>
      <c r="T310" s="1">
        <f t="shared" si="3"/>
        <v>2.4</v>
      </c>
      <c r="U310" s="1">
        <f t="shared" si="4"/>
        <v>0</v>
      </c>
      <c r="V310" s="3">
        <f t="shared" si="5"/>
        <v>3</v>
      </c>
      <c r="W310" s="3">
        <f t="shared" si="6"/>
        <v>1</v>
      </c>
      <c r="X310" s="3" t="str">
        <f>IFERROR(__xludf.DUMMYFUNCTION("split(B310,"" "")"),"J.")</f>
        <v>J.</v>
      </c>
      <c r="Y310" s="3" t="str">
        <f>IFERROR(__xludf.DUMMYFUNCTION("""COMPUTED_VALUE"""),"Metchie")</f>
        <v>Metchie</v>
      </c>
      <c r="Z310" s="3" t="str">
        <f>IFERROR(__xludf.DUMMYFUNCTION("""COMPUTED_VALUE"""),"III")</f>
        <v>III</v>
      </c>
      <c r="AA310" s="8">
        <v>5.0</v>
      </c>
      <c r="AB310" s="3">
        <f t="shared" si="7"/>
        <v>1</v>
      </c>
      <c r="AC310" s="3">
        <f t="shared" si="8"/>
        <v>0</v>
      </c>
      <c r="AD310" s="3">
        <f t="shared" si="9"/>
        <v>4.2</v>
      </c>
      <c r="AE310" s="3">
        <f t="shared" si="10"/>
        <v>-3</v>
      </c>
      <c r="AF310" s="3">
        <f t="shared" si="11"/>
        <v>-1</v>
      </c>
      <c r="AG310" s="3">
        <f t="shared" si="12"/>
        <v>-2.333333333</v>
      </c>
    </row>
    <row r="311">
      <c r="A311" s="1" t="s">
        <v>12</v>
      </c>
      <c r="B311" s="1" t="s">
        <v>359</v>
      </c>
      <c r="C311" s="1" t="s">
        <v>19</v>
      </c>
      <c r="D311" s="1" t="s">
        <v>72</v>
      </c>
      <c r="E311" s="1" t="s">
        <v>197</v>
      </c>
      <c r="F311" s="1" t="s">
        <v>680</v>
      </c>
      <c r="G311" s="1">
        <v>2.5</v>
      </c>
      <c r="H311" s="1" t="s">
        <v>60</v>
      </c>
      <c r="I311" s="1">
        <v>-155.0</v>
      </c>
      <c r="J311" s="1">
        <v>-0.276141877215686</v>
      </c>
      <c r="K311" s="1" t="s">
        <v>61</v>
      </c>
      <c r="L311" s="1" t="s">
        <v>61</v>
      </c>
      <c r="M311" s="1" t="s">
        <v>62</v>
      </c>
      <c r="N311" s="1">
        <v>118.0</v>
      </c>
      <c r="O311" s="1">
        <v>0.209582929770642</v>
      </c>
      <c r="P311" s="1" t="s">
        <v>61</v>
      </c>
      <c r="Q311" s="1" t="s">
        <v>61</v>
      </c>
      <c r="R311" s="1">
        <f t="shared" si="1"/>
        <v>0.2095829298</v>
      </c>
      <c r="S311" s="1">
        <f t="shared" si="2"/>
        <v>118</v>
      </c>
      <c r="T311" s="1">
        <f t="shared" si="3"/>
        <v>2.18</v>
      </c>
      <c r="U311" s="1">
        <f t="shared" si="4"/>
        <v>0</v>
      </c>
      <c r="V311" s="3">
        <f t="shared" si="5"/>
        <v>3</v>
      </c>
      <c r="W311" s="3">
        <f t="shared" si="6"/>
        <v>1</v>
      </c>
      <c r="X311" s="3" t="str">
        <f>IFERROR(__xludf.DUMMYFUNCTION("split(B311,"" "")"),"J.")</f>
        <v>J.</v>
      </c>
      <c r="Y311" s="3" t="str">
        <f>IFERROR(__xludf.DUMMYFUNCTION("""COMPUTED_VALUE"""),"Mixon")</f>
        <v>Mixon</v>
      </c>
      <c r="AA311" s="8">
        <v>2.0</v>
      </c>
      <c r="AB311" s="3">
        <f t="shared" si="7"/>
        <v>0</v>
      </c>
      <c r="AC311" s="3">
        <f t="shared" si="8"/>
        <v>1</v>
      </c>
      <c r="AD311" s="3">
        <f t="shared" si="9"/>
        <v>3.54</v>
      </c>
      <c r="AE311" s="3">
        <f t="shared" si="10"/>
        <v>3.54</v>
      </c>
      <c r="AF311" s="3">
        <f t="shared" si="11"/>
        <v>1.18</v>
      </c>
      <c r="AG311" s="3">
        <f t="shared" si="12"/>
        <v>0.2</v>
      </c>
    </row>
    <row r="312">
      <c r="A312" s="1" t="s">
        <v>12</v>
      </c>
      <c r="B312" s="1" t="s">
        <v>664</v>
      </c>
      <c r="C312" s="1" t="s">
        <v>18</v>
      </c>
      <c r="D312" s="1" t="s">
        <v>72</v>
      </c>
      <c r="E312" s="1" t="s">
        <v>197</v>
      </c>
      <c r="F312" s="1" t="s">
        <v>680</v>
      </c>
      <c r="G312" s="1">
        <v>2.5</v>
      </c>
      <c r="H312" s="1" t="s">
        <v>60</v>
      </c>
      <c r="I312" s="1">
        <v>102.0</v>
      </c>
      <c r="J312" s="1">
        <v>-0.203544743671287</v>
      </c>
      <c r="K312" s="1" t="s">
        <v>61</v>
      </c>
      <c r="L312" s="1" t="s">
        <v>61</v>
      </c>
      <c r="M312" s="1" t="s">
        <v>62</v>
      </c>
      <c r="N312" s="1">
        <v>-134.0</v>
      </c>
      <c r="O312" s="1">
        <v>0.135845027723076</v>
      </c>
      <c r="P312" s="1" t="s">
        <v>61</v>
      </c>
      <c r="Q312" s="1" t="s">
        <v>61</v>
      </c>
      <c r="R312" s="1">
        <f t="shared" si="1"/>
        <v>0.1358450277</v>
      </c>
      <c r="S312" s="1">
        <f t="shared" si="2"/>
        <v>-134</v>
      </c>
      <c r="T312" s="1">
        <f t="shared" si="3"/>
        <v>1.746268657</v>
      </c>
      <c r="U312" s="1">
        <f t="shared" si="4"/>
        <v>0</v>
      </c>
      <c r="V312" s="3">
        <f t="shared" si="5"/>
        <v>3</v>
      </c>
      <c r="W312" s="3">
        <f t="shared" si="6"/>
        <v>3</v>
      </c>
      <c r="X312" s="3" t="str">
        <f>IFERROR(__xludf.DUMMYFUNCTION("split(B312,"" "")"),"R.")</f>
        <v>R.</v>
      </c>
      <c r="Y312" s="3" t="str">
        <f>IFERROR(__xludf.DUMMYFUNCTION("""COMPUTED_VALUE"""),"Woods")</f>
        <v>Woods</v>
      </c>
      <c r="AA312" s="8">
        <v>1.0</v>
      </c>
      <c r="AB312" s="3">
        <f t="shared" si="7"/>
        <v>0</v>
      </c>
      <c r="AC312" s="3">
        <f t="shared" si="8"/>
        <v>1</v>
      </c>
      <c r="AD312" s="3">
        <f t="shared" si="9"/>
        <v>2.23880597</v>
      </c>
      <c r="AE312" s="3">
        <f t="shared" si="10"/>
        <v>2.23880597</v>
      </c>
      <c r="AF312" s="3">
        <f t="shared" si="11"/>
        <v>2.23880597</v>
      </c>
      <c r="AG312" s="3">
        <f t="shared" si="12"/>
        <v>0.6</v>
      </c>
    </row>
    <row r="313">
      <c r="A313" s="1" t="s">
        <v>8</v>
      </c>
      <c r="B313" s="1" t="s">
        <v>369</v>
      </c>
      <c r="C313" s="1" t="s">
        <v>21</v>
      </c>
      <c r="D313" s="1" t="s">
        <v>72</v>
      </c>
      <c r="E313" s="1" t="s">
        <v>197</v>
      </c>
      <c r="F313" s="1" t="s">
        <v>680</v>
      </c>
      <c r="G313" s="1">
        <v>3.5</v>
      </c>
      <c r="H313" s="1" t="s">
        <v>60</v>
      </c>
      <c r="I313" s="1">
        <v>100.0</v>
      </c>
      <c r="J313" s="1">
        <v>-0.180544700435529</v>
      </c>
      <c r="K313" s="1" t="s">
        <v>61</v>
      </c>
      <c r="L313" s="1" t="s">
        <v>61</v>
      </c>
      <c r="M313" s="1" t="s">
        <v>62</v>
      </c>
      <c r="N313" s="1">
        <v>-135.0</v>
      </c>
      <c r="O313" s="1">
        <v>0.106068379223799</v>
      </c>
      <c r="P313" s="1" t="s">
        <v>61</v>
      </c>
      <c r="Q313" s="1" t="s">
        <v>61</v>
      </c>
      <c r="R313" s="1">
        <f t="shared" si="1"/>
        <v>0.1060683792</v>
      </c>
      <c r="S313" s="1">
        <f t="shared" si="2"/>
        <v>-135</v>
      </c>
      <c r="T313" s="1">
        <f t="shared" si="3"/>
        <v>1.740740741</v>
      </c>
      <c r="U313" s="1">
        <f t="shared" si="4"/>
        <v>0</v>
      </c>
      <c r="V313" s="3">
        <f t="shared" si="5"/>
        <v>3</v>
      </c>
      <c r="W313" s="3">
        <f t="shared" si="6"/>
        <v>3</v>
      </c>
      <c r="X313" s="3" t="str">
        <f>IFERROR(__xludf.DUMMYFUNCTION("split(B313,"" "")"),"C.")</f>
        <v>C.</v>
      </c>
      <c r="Y313" s="3" t="str">
        <f>IFERROR(__xludf.DUMMYFUNCTION("""COMPUTED_VALUE"""),"Stroud")</f>
        <v>Stroud</v>
      </c>
      <c r="AA313" s="8">
        <v>1.0</v>
      </c>
      <c r="AB313" s="3">
        <f t="shared" si="7"/>
        <v>0</v>
      </c>
      <c r="AC313" s="3">
        <f t="shared" si="8"/>
        <v>1</v>
      </c>
      <c r="AD313" s="3">
        <f t="shared" si="9"/>
        <v>2.222222222</v>
      </c>
      <c r="AE313" s="3">
        <f t="shared" si="10"/>
        <v>2.222222222</v>
      </c>
      <c r="AF313" s="3">
        <f t="shared" si="11"/>
        <v>2.222222222</v>
      </c>
      <c r="AG313" s="3">
        <f t="shared" si="12"/>
        <v>0.7142857143</v>
      </c>
    </row>
    <row r="314">
      <c r="A314" s="1" t="s">
        <v>11</v>
      </c>
      <c r="B314" s="1" t="s">
        <v>664</v>
      </c>
      <c r="C314" s="1" t="s">
        <v>18</v>
      </c>
      <c r="D314" s="1" t="s">
        <v>72</v>
      </c>
      <c r="E314" s="1" t="s">
        <v>197</v>
      </c>
      <c r="F314" s="1" t="s">
        <v>680</v>
      </c>
      <c r="G314" s="1">
        <v>24.5</v>
      </c>
      <c r="H314" s="1" t="s">
        <v>60</v>
      </c>
      <c r="I314" s="1">
        <v>-124.0</v>
      </c>
      <c r="J314" s="1">
        <v>-0.132202431920214</v>
      </c>
      <c r="K314" s="1" t="s">
        <v>61</v>
      </c>
      <c r="L314" s="1" t="s">
        <v>61</v>
      </c>
      <c r="M314" s="1" t="s">
        <v>62</v>
      </c>
      <c r="N314" s="1">
        <v>-105.0</v>
      </c>
      <c r="O314" s="1">
        <v>0.066499375549436</v>
      </c>
      <c r="P314" s="1" t="s">
        <v>61</v>
      </c>
      <c r="Q314" s="1" t="s">
        <v>61</v>
      </c>
      <c r="R314" s="1">
        <f t="shared" si="1"/>
        <v>0.06649937555</v>
      </c>
      <c r="S314" s="1">
        <f t="shared" si="2"/>
        <v>-105</v>
      </c>
      <c r="T314" s="1">
        <f t="shared" si="3"/>
        <v>1.952380952</v>
      </c>
      <c r="U314" s="1">
        <f t="shared" si="4"/>
        <v>0</v>
      </c>
      <c r="V314" s="3">
        <f t="shared" si="5"/>
        <v>2</v>
      </c>
      <c r="W314" s="3">
        <f t="shared" si="6"/>
        <v>2</v>
      </c>
      <c r="X314" s="3" t="str">
        <f>IFERROR(__xludf.DUMMYFUNCTION("split(B314,"" "")"),"R.")</f>
        <v>R.</v>
      </c>
      <c r="Y314" s="3" t="str">
        <f>IFERROR(__xludf.DUMMYFUNCTION("""COMPUTED_VALUE"""),"Woods")</f>
        <v>Woods</v>
      </c>
      <c r="AA314" s="8">
        <v>1.0</v>
      </c>
      <c r="AB314" s="3">
        <f t="shared" si="7"/>
        <v>0</v>
      </c>
      <c r="AC314" s="3">
        <f t="shared" si="8"/>
        <v>1</v>
      </c>
      <c r="AD314" s="3">
        <f t="shared" si="9"/>
        <v>1.904761905</v>
      </c>
      <c r="AE314" s="3">
        <f t="shared" si="10"/>
        <v>1.904761905</v>
      </c>
      <c r="AF314" s="3">
        <f t="shared" si="11"/>
        <v>1.904761905</v>
      </c>
      <c r="AG314" s="3">
        <f t="shared" si="12"/>
        <v>0.9591836735</v>
      </c>
    </row>
    <row r="315">
      <c r="A315" s="1" t="s">
        <v>10</v>
      </c>
      <c r="B315" s="1" t="s">
        <v>369</v>
      </c>
      <c r="C315" s="1" t="s">
        <v>21</v>
      </c>
      <c r="D315" s="1" t="s">
        <v>72</v>
      </c>
      <c r="E315" s="1" t="s">
        <v>197</v>
      </c>
      <c r="F315" s="1" t="s">
        <v>680</v>
      </c>
      <c r="G315" s="1">
        <v>15.5</v>
      </c>
      <c r="H315" s="1" t="s">
        <v>60</v>
      </c>
      <c r="I315" s="1">
        <v>-120.0</v>
      </c>
      <c r="J315" s="1">
        <v>-0.121693609266701</v>
      </c>
      <c r="K315" s="1" t="s">
        <v>61</v>
      </c>
      <c r="L315" s="1" t="s">
        <v>61</v>
      </c>
      <c r="M315" s="1" t="s">
        <v>62</v>
      </c>
      <c r="N315" s="1">
        <v>-109.0</v>
      </c>
      <c r="O315" s="1">
        <v>0.0547137201060048</v>
      </c>
      <c r="P315" s="1" t="s">
        <v>61</v>
      </c>
      <c r="Q315" s="1" t="s">
        <v>61</v>
      </c>
      <c r="R315" s="1">
        <f t="shared" si="1"/>
        <v>0.05471372011</v>
      </c>
      <c r="S315" s="1">
        <f t="shared" si="2"/>
        <v>-109</v>
      </c>
      <c r="T315" s="1">
        <f t="shared" si="3"/>
        <v>1.917431193</v>
      </c>
      <c r="U315" s="1">
        <f t="shared" si="4"/>
        <v>0</v>
      </c>
      <c r="V315" s="3">
        <f t="shared" si="5"/>
        <v>2</v>
      </c>
      <c r="W315" s="3">
        <f t="shared" si="6"/>
        <v>2</v>
      </c>
      <c r="X315" s="3" t="str">
        <f>IFERROR(__xludf.DUMMYFUNCTION("split(B315,"" "")"),"C.")</f>
        <v>C.</v>
      </c>
      <c r="Y315" s="3" t="str">
        <f>IFERROR(__xludf.DUMMYFUNCTION("""COMPUTED_VALUE"""),"Stroud")</f>
        <v>Stroud</v>
      </c>
      <c r="AA315" s="8">
        <v>5.0</v>
      </c>
      <c r="AB315" s="3">
        <f t="shared" si="7"/>
        <v>0</v>
      </c>
      <c r="AC315" s="3">
        <f t="shared" si="8"/>
        <v>1</v>
      </c>
      <c r="AD315" s="3">
        <f t="shared" si="9"/>
        <v>1.834862385</v>
      </c>
      <c r="AE315" s="3">
        <f t="shared" si="10"/>
        <v>1.834862385</v>
      </c>
      <c r="AF315" s="3">
        <f t="shared" si="11"/>
        <v>1.834862385</v>
      </c>
      <c r="AG315" s="3">
        <f t="shared" si="12"/>
        <v>0.6774193548</v>
      </c>
    </row>
    <row r="316">
      <c r="A316" s="1" t="s">
        <v>12</v>
      </c>
      <c r="B316" s="1" t="s">
        <v>410</v>
      </c>
      <c r="C316" s="1" t="s">
        <v>20</v>
      </c>
      <c r="D316" s="1" t="s">
        <v>72</v>
      </c>
      <c r="E316" s="1" t="s">
        <v>197</v>
      </c>
      <c r="F316" s="1" t="s">
        <v>680</v>
      </c>
      <c r="G316" s="1">
        <v>4.5</v>
      </c>
      <c r="H316" s="1" t="s">
        <v>60</v>
      </c>
      <c r="I316" s="1">
        <v>102.0</v>
      </c>
      <c r="J316" s="1">
        <v>-0.109749504950495</v>
      </c>
      <c r="K316" s="1" t="s">
        <v>61</v>
      </c>
      <c r="L316" s="1" t="s">
        <v>61</v>
      </c>
      <c r="M316" s="1" t="s">
        <v>62</v>
      </c>
      <c r="N316" s="1">
        <v>-135.0</v>
      </c>
      <c r="O316" s="1">
        <v>0.0402319148936169</v>
      </c>
      <c r="P316" s="1" t="s">
        <v>61</v>
      </c>
      <c r="Q316" s="1" t="s">
        <v>61</v>
      </c>
      <c r="R316" s="1">
        <f t="shared" si="1"/>
        <v>0.04023191489</v>
      </c>
      <c r="S316" s="1">
        <f t="shared" si="2"/>
        <v>-135</v>
      </c>
      <c r="T316" s="1">
        <f t="shared" si="3"/>
        <v>1.740740741</v>
      </c>
      <c r="U316" s="1">
        <f t="shared" si="4"/>
        <v>0</v>
      </c>
      <c r="V316" s="3">
        <f t="shared" si="5"/>
        <v>1</v>
      </c>
      <c r="W316" s="3">
        <f t="shared" si="6"/>
        <v>3</v>
      </c>
      <c r="X316" s="3" t="str">
        <f>IFERROR(__xludf.DUMMYFUNCTION("split(B316,"" "")"),"D.")</f>
        <v>D.</v>
      </c>
      <c r="Y316" s="3" t="str">
        <f>IFERROR(__xludf.DUMMYFUNCTION("""COMPUTED_VALUE"""),"Schultz")</f>
        <v>Schultz</v>
      </c>
      <c r="AA316" s="8">
        <v>3.0</v>
      </c>
      <c r="AB316" s="3">
        <f t="shared" si="7"/>
        <v>0</v>
      </c>
      <c r="AC316" s="3">
        <f t="shared" si="8"/>
        <v>1</v>
      </c>
      <c r="AD316" s="3">
        <f t="shared" si="9"/>
        <v>0.7407407407</v>
      </c>
      <c r="AE316" s="3">
        <f t="shared" si="10"/>
        <v>0.7407407407</v>
      </c>
      <c r="AF316" s="3">
        <f t="shared" si="11"/>
        <v>2.222222222</v>
      </c>
      <c r="AG316" s="3">
        <f t="shared" si="12"/>
        <v>0.3333333333</v>
      </c>
    </row>
    <row r="317">
      <c r="A317" s="1" t="s">
        <v>11</v>
      </c>
      <c r="B317" s="1" t="s">
        <v>410</v>
      </c>
      <c r="C317" s="1" t="s">
        <v>20</v>
      </c>
      <c r="D317" s="1" t="s">
        <v>72</v>
      </c>
      <c r="E317" s="1" t="s">
        <v>197</v>
      </c>
      <c r="F317" s="1" t="s">
        <v>680</v>
      </c>
      <c r="G317" s="1">
        <v>39.5</v>
      </c>
      <c r="H317" s="1" t="s">
        <v>60</v>
      </c>
      <c r="I317" s="1">
        <v>-112.0</v>
      </c>
      <c r="J317" s="1">
        <v>-0.100142724472264</v>
      </c>
      <c r="K317" s="1" t="s">
        <v>61</v>
      </c>
      <c r="L317" s="1" t="s">
        <v>61</v>
      </c>
      <c r="M317" s="1" t="s">
        <v>62</v>
      </c>
      <c r="N317" s="1">
        <v>-115.0</v>
      </c>
      <c r="O317" s="1">
        <v>0.0369619408942232</v>
      </c>
      <c r="P317" s="1" t="s">
        <v>61</v>
      </c>
      <c r="Q317" s="1" t="s">
        <v>61</v>
      </c>
      <c r="R317" s="1">
        <f t="shared" si="1"/>
        <v>0.03696194089</v>
      </c>
      <c r="S317" s="1">
        <f t="shared" si="2"/>
        <v>-115</v>
      </c>
      <c r="T317" s="1">
        <f t="shared" si="3"/>
        <v>1.869565217</v>
      </c>
      <c r="U317" s="1">
        <f t="shared" si="4"/>
        <v>0</v>
      </c>
      <c r="V317" s="3">
        <f t="shared" si="5"/>
        <v>1</v>
      </c>
      <c r="W317" s="3">
        <f t="shared" si="6"/>
        <v>2</v>
      </c>
      <c r="X317" s="3" t="str">
        <f>IFERROR(__xludf.DUMMYFUNCTION("split(B317,"" "")"),"D.")</f>
        <v>D.</v>
      </c>
      <c r="Y317" s="3" t="str">
        <f>IFERROR(__xludf.DUMMYFUNCTION("""COMPUTED_VALUE"""),"Schultz")</f>
        <v>Schultz</v>
      </c>
      <c r="AA317" s="8">
        <v>66.0</v>
      </c>
      <c r="AB317" s="3">
        <f t="shared" si="7"/>
        <v>1</v>
      </c>
      <c r="AC317" s="3">
        <f t="shared" si="8"/>
        <v>0</v>
      </c>
      <c r="AD317" s="3">
        <f t="shared" si="9"/>
        <v>0.8695652174</v>
      </c>
      <c r="AE317" s="3">
        <f t="shared" si="10"/>
        <v>-1</v>
      </c>
      <c r="AF317" s="3">
        <f t="shared" si="11"/>
        <v>-2</v>
      </c>
      <c r="AG317" s="3">
        <f t="shared" si="12"/>
        <v>-0.6708860759</v>
      </c>
    </row>
    <row r="318">
      <c r="A318" s="1" t="s">
        <v>11</v>
      </c>
      <c r="B318" s="1" t="s">
        <v>634</v>
      </c>
      <c r="C318" s="1" t="s">
        <v>18</v>
      </c>
      <c r="D318" s="1" t="s">
        <v>72</v>
      </c>
      <c r="E318" s="1" t="s">
        <v>197</v>
      </c>
      <c r="F318" s="1" t="s">
        <v>680</v>
      </c>
      <c r="G318" s="1">
        <v>20.5</v>
      </c>
      <c r="H318" s="1" t="s">
        <v>60</v>
      </c>
      <c r="I318" s="1">
        <v>-118.0</v>
      </c>
      <c r="J318" s="1">
        <v>-0.103629994036596</v>
      </c>
      <c r="K318" s="1" t="s">
        <v>61</v>
      </c>
      <c r="L318" s="1" t="s">
        <v>61</v>
      </c>
      <c r="M318" s="1" t="s">
        <v>62</v>
      </c>
      <c r="N318" s="1">
        <v>-111.0</v>
      </c>
      <c r="O318" s="1">
        <v>0.036285933445382</v>
      </c>
      <c r="P318" s="1" t="s">
        <v>61</v>
      </c>
      <c r="Q318" s="1" t="s">
        <v>61</v>
      </c>
      <c r="R318" s="1">
        <f t="shared" si="1"/>
        <v>0.03628593345</v>
      </c>
      <c r="S318" s="1">
        <f t="shared" si="2"/>
        <v>-111</v>
      </c>
      <c r="T318" s="1">
        <f t="shared" si="3"/>
        <v>1.900900901</v>
      </c>
      <c r="U318" s="1">
        <f t="shared" si="4"/>
        <v>0</v>
      </c>
      <c r="V318" s="3">
        <f t="shared" si="5"/>
        <v>1</v>
      </c>
      <c r="W318" s="3">
        <f t="shared" si="6"/>
        <v>2</v>
      </c>
      <c r="X318" s="3" t="str">
        <f>IFERROR(__xludf.DUMMYFUNCTION("split(B318,"" "")"),"J.")</f>
        <v>J.</v>
      </c>
      <c r="Y318" s="3" t="str">
        <f>IFERROR(__xludf.DUMMYFUNCTION("""COMPUTED_VALUE"""),"Metchie")</f>
        <v>Metchie</v>
      </c>
      <c r="Z318" s="3" t="str">
        <f>IFERROR(__xludf.DUMMYFUNCTION("""COMPUTED_VALUE"""),"III")</f>
        <v>III</v>
      </c>
      <c r="AA318" s="8">
        <v>74.0</v>
      </c>
      <c r="AB318" s="3">
        <f t="shared" si="7"/>
        <v>1</v>
      </c>
      <c r="AC318" s="3">
        <f t="shared" si="8"/>
        <v>0</v>
      </c>
      <c r="AD318" s="3">
        <f t="shared" si="9"/>
        <v>0.9009009009</v>
      </c>
      <c r="AE318" s="3">
        <f t="shared" si="10"/>
        <v>-1</v>
      </c>
      <c r="AF318" s="3">
        <f t="shared" si="11"/>
        <v>-2</v>
      </c>
      <c r="AG318" s="3">
        <f t="shared" si="12"/>
        <v>-2.609756098</v>
      </c>
    </row>
    <row r="319">
      <c r="A319" s="1" t="s">
        <v>17</v>
      </c>
      <c r="B319" s="1" t="s">
        <v>369</v>
      </c>
      <c r="C319" s="1" t="s">
        <v>21</v>
      </c>
      <c r="D319" s="1" t="s">
        <v>72</v>
      </c>
      <c r="E319" s="1" t="s">
        <v>197</v>
      </c>
      <c r="F319" s="1" t="s">
        <v>680</v>
      </c>
      <c r="G319" s="1">
        <v>0.5</v>
      </c>
      <c r="H319" s="1" t="s">
        <v>60</v>
      </c>
      <c r="I319" s="1">
        <v>-118.0</v>
      </c>
      <c r="J319" s="1">
        <v>-0.0967844036697247</v>
      </c>
      <c r="K319" s="1" t="s">
        <v>61</v>
      </c>
      <c r="L319" s="1" t="s">
        <v>61</v>
      </c>
      <c r="M319" s="1" t="s">
        <v>62</v>
      </c>
      <c r="N319" s="1">
        <v>-110.0</v>
      </c>
      <c r="O319" s="1">
        <v>0.0316904761904761</v>
      </c>
      <c r="P319" s="1" t="s">
        <v>61</v>
      </c>
      <c r="Q319" s="1" t="s">
        <v>61</v>
      </c>
      <c r="R319" s="1">
        <f t="shared" si="1"/>
        <v>0.03169047619</v>
      </c>
      <c r="S319" s="1">
        <f t="shared" si="2"/>
        <v>-110</v>
      </c>
      <c r="T319" s="1">
        <f t="shared" si="3"/>
        <v>1.909090909</v>
      </c>
      <c r="U319" s="1">
        <f t="shared" si="4"/>
        <v>0</v>
      </c>
      <c r="V319" s="3">
        <f t="shared" si="5"/>
        <v>1</v>
      </c>
      <c r="W319" s="3">
        <f t="shared" si="6"/>
        <v>2</v>
      </c>
      <c r="X319" s="3" t="str">
        <f>IFERROR(__xludf.DUMMYFUNCTION("split(B319,"" "")"),"C.")</f>
        <v>C.</v>
      </c>
      <c r="Y319" s="3" t="str">
        <f>IFERROR(__xludf.DUMMYFUNCTION("""COMPUTED_VALUE"""),"Stroud")</f>
        <v>Stroud</v>
      </c>
      <c r="AA319" s="8">
        <v>2.0</v>
      </c>
      <c r="AB319" s="3">
        <f t="shared" si="7"/>
        <v>1</v>
      </c>
      <c r="AC319" s="3">
        <f t="shared" si="8"/>
        <v>0</v>
      </c>
      <c r="AD319" s="3">
        <f t="shared" si="9"/>
        <v>0.9090909091</v>
      </c>
      <c r="AE319" s="3">
        <f t="shared" si="10"/>
        <v>-1</v>
      </c>
      <c r="AF319" s="3">
        <f t="shared" si="11"/>
        <v>-2</v>
      </c>
      <c r="AG319" s="3">
        <f t="shared" si="12"/>
        <v>-3</v>
      </c>
    </row>
    <row r="320">
      <c r="A320" s="1" t="s">
        <v>9</v>
      </c>
      <c r="B320" s="1" t="s">
        <v>359</v>
      </c>
      <c r="C320" s="1" t="s">
        <v>19</v>
      </c>
      <c r="D320" s="1" t="s">
        <v>72</v>
      </c>
      <c r="E320" s="1" t="s">
        <v>197</v>
      </c>
      <c r="F320" s="1" t="s">
        <v>680</v>
      </c>
      <c r="G320" s="1">
        <v>99.5</v>
      </c>
      <c r="H320" s="1" t="s">
        <v>60</v>
      </c>
      <c r="I320" s="1">
        <v>-116.0</v>
      </c>
      <c r="J320" s="1">
        <v>-0.101107007935719</v>
      </c>
      <c r="K320" s="1" t="s">
        <v>61</v>
      </c>
      <c r="L320" s="1" t="s">
        <v>61</v>
      </c>
      <c r="M320" s="1" t="s">
        <v>62</v>
      </c>
      <c r="N320" s="1">
        <v>-115.0</v>
      </c>
      <c r="O320" s="1">
        <v>0.0292433966536405</v>
      </c>
      <c r="P320" s="1" t="s">
        <v>61</v>
      </c>
      <c r="Q320" s="1" t="s">
        <v>61</v>
      </c>
      <c r="R320" s="1">
        <f t="shared" si="1"/>
        <v>0.02924339665</v>
      </c>
      <c r="S320" s="1">
        <f t="shared" si="2"/>
        <v>-115</v>
      </c>
      <c r="T320" s="1">
        <f t="shared" si="3"/>
        <v>1.869565217</v>
      </c>
      <c r="U320" s="1">
        <f t="shared" si="4"/>
        <v>0</v>
      </c>
      <c r="V320" s="3">
        <f t="shared" si="5"/>
        <v>1</v>
      </c>
      <c r="W320" s="3">
        <f t="shared" si="6"/>
        <v>2</v>
      </c>
      <c r="X320" s="3" t="str">
        <f>IFERROR(__xludf.DUMMYFUNCTION("split(B320,"" "")"),"J.")</f>
        <v>J.</v>
      </c>
      <c r="Y320" s="3" t="str">
        <f>IFERROR(__xludf.DUMMYFUNCTION("""COMPUTED_VALUE"""),"Mixon")</f>
        <v>Mixon</v>
      </c>
      <c r="AA320" s="8">
        <v>90.0</v>
      </c>
      <c r="AB320" s="3">
        <f t="shared" si="7"/>
        <v>0</v>
      </c>
      <c r="AC320" s="3">
        <f t="shared" si="8"/>
        <v>1</v>
      </c>
      <c r="AD320" s="3">
        <f t="shared" si="9"/>
        <v>0.8695652174</v>
      </c>
      <c r="AE320" s="3">
        <f t="shared" si="10"/>
        <v>0.8695652174</v>
      </c>
      <c r="AF320" s="3">
        <f t="shared" si="11"/>
        <v>1.739130435</v>
      </c>
      <c r="AG320" s="3">
        <f t="shared" si="12"/>
        <v>0.09547738693</v>
      </c>
    </row>
    <row r="321">
      <c r="A321" s="1" t="s">
        <v>11</v>
      </c>
      <c r="B321" s="1" t="s">
        <v>619</v>
      </c>
      <c r="C321" s="1" t="s">
        <v>18</v>
      </c>
      <c r="D321" s="1" t="s">
        <v>72</v>
      </c>
      <c r="E321" s="1" t="s">
        <v>197</v>
      </c>
      <c r="F321" s="1" t="s">
        <v>680</v>
      </c>
      <c r="G321" s="1">
        <v>19.5</v>
      </c>
      <c r="H321" s="1" t="s">
        <v>60</v>
      </c>
      <c r="I321" s="1">
        <v>-118.0</v>
      </c>
      <c r="J321" s="1">
        <v>-0.103403613392587</v>
      </c>
      <c r="K321" s="1" t="s">
        <v>61</v>
      </c>
      <c r="L321" s="1" t="s">
        <v>61</v>
      </c>
      <c r="M321" s="1" t="s">
        <v>62</v>
      </c>
      <c r="N321" s="1">
        <v>-115.0</v>
      </c>
      <c r="O321" s="1">
        <v>0.0272552831512631</v>
      </c>
      <c r="P321" s="1" t="s">
        <v>61</v>
      </c>
      <c r="Q321" s="1" t="s">
        <v>61</v>
      </c>
      <c r="R321" s="1">
        <f t="shared" si="1"/>
        <v>0.02725528315</v>
      </c>
      <c r="S321" s="1">
        <f t="shared" si="2"/>
        <v>-115</v>
      </c>
      <c r="T321" s="1">
        <f t="shared" si="3"/>
        <v>1.869565217</v>
      </c>
      <c r="U321" s="1">
        <f t="shared" si="4"/>
        <v>0</v>
      </c>
      <c r="V321" s="3">
        <f t="shared" si="5"/>
        <v>1</v>
      </c>
      <c r="W321" s="3">
        <f t="shared" si="6"/>
        <v>2</v>
      </c>
      <c r="X321" s="3" t="str">
        <f>IFERROR(__xludf.DUMMYFUNCTION("split(B321,"" "")"),"X.")</f>
        <v>X.</v>
      </c>
      <c r="Y321" s="3" t="str">
        <f>IFERROR(__xludf.DUMMYFUNCTION("""COMPUTED_VALUE"""),"Hutchinson")</f>
        <v>Hutchinson</v>
      </c>
      <c r="AA321" s="8">
        <v>6.0</v>
      </c>
      <c r="AB321" s="3">
        <f t="shared" si="7"/>
        <v>0</v>
      </c>
      <c r="AC321" s="3">
        <f t="shared" si="8"/>
        <v>1</v>
      </c>
      <c r="AD321" s="3">
        <f t="shared" si="9"/>
        <v>0.8695652174</v>
      </c>
      <c r="AE321" s="3">
        <f t="shared" si="10"/>
        <v>0.8695652174</v>
      </c>
      <c r="AF321" s="3">
        <f t="shared" si="11"/>
        <v>1.739130435</v>
      </c>
      <c r="AG321" s="3">
        <f t="shared" si="12"/>
        <v>0.6923076923</v>
      </c>
    </row>
    <row r="322">
      <c r="A322" s="1" t="s">
        <v>11</v>
      </c>
      <c r="B322" s="1" t="s">
        <v>359</v>
      </c>
      <c r="C322" s="1" t="s">
        <v>19</v>
      </c>
      <c r="D322" s="1" t="s">
        <v>72</v>
      </c>
      <c r="E322" s="1" t="s">
        <v>197</v>
      </c>
      <c r="F322" s="1" t="s">
        <v>680</v>
      </c>
      <c r="G322" s="1">
        <v>18.5</v>
      </c>
      <c r="H322" s="1" t="s">
        <v>60</v>
      </c>
      <c r="I322" s="1">
        <v>-117.0</v>
      </c>
      <c r="J322" s="1">
        <v>-0.0860216167451288</v>
      </c>
      <c r="K322" s="1" t="s">
        <v>61</v>
      </c>
      <c r="L322" s="1" t="s">
        <v>61</v>
      </c>
      <c r="M322" s="1" t="s">
        <v>62</v>
      </c>
      <c r="N322" s="1">
        <v>-110.0</v>
      </c>
      <c r="O322" s="1">
        <v>0.0230895710336298</v>
      </c>
      <c r="P322" s="1" t="s">
        <v>61</v>
      </c>
      <c r="Q322" s="1" t="s">
        <v>61</v>
      </c>
      <c r="R322" s="1">
        <f t="shared" si="1"/>
        <v>0.02308957103</v>
      </c>
      <c r="S322" s="1">
        <f t="shared" si="2"/>
        <v>-110</v>
      </c>
      <c r="T322" s="1">
        <f t="shared" si="3"/>
        <v>1.909090909</v>
      </c>
      <c r="U322" s="1">
        <f t="shared" si="4"/>
        <v>0</v>
      </c>
      <c r="V322" s="3">
        <f t="shared" si="5"/>
        <v>1</v>
      </c>
      <c r="W322" s="3">
        <f t="shared" si="6"/>
        <v>2</v>
      </c>
      <c r="X322" s="3" t="str">
        <f>IFERROR(__xludf.DUMMYFUNCTION("split(B322,"" "")"),"J.")</f>
        <v>J.</v>
      </c>
      <c r="Y322" s="3" t="str">
        <f>IFERROR(__xludf.DUMMYFUNCTION("""COMPUTED_VALUE"""),"Mixon")</f>
        <v>Mixon</v>
      </c>
      <c r="AA322" s="8">
        <v>44.0</v>
      </c>
      <c r="AB322" s="3">
        <f t="shared" si="7"/>
        <v>1</v>
      </c>
      <c r="AC322" s="3">
        <f t="shared" si="8"/>
        <v>0</v>
      </c>
      <c r="AD322" s="3">
        <f t="shared" si="9"/>
        <v>0.9090909091</v>
      </c>
      <c r="AE322" s="3">
        <f t="shared" si="10"/>
        <v>-1</v>
      </c>
      <c r="AF322" s="3">
        <f t="shared" si="11"/>
        <v>-2</v>
      </c>
      <c r="AG322" s="3">
        <f t="shared" si="12"/>
        <v>-1.378378378</v>
      </c>
    </row>
    <row r="323">
      <c r="A323" s="1" t="s">
        <v>11</v>
      </c>
      <c r="B323" s="1" t="s">
        <v>129</v>
      </c>
      <c r="C323" s="1" t="s">
        <v>18</v>
      </c>
      <c r="D323" s="1" t="s">
        <v>72</v>
      </c>
      <c r="E323" s="1" t="s">
        <v>197</v>
      </c>
      <c r="F323" s="1" t="s">
        <v>680</v>
      </c>
      <c r="G323" s="1">
        <v>70.5</v>
      </c>
      <c r="H323" s="1" t="s">
        <v>60</v>
      </c>
      <c r="I323" s="1">
        <v>-110.0</v>
      </c>
      <c r="J323" s="1">
        <v>-0.0814899813961619</v>
      </c>
      <c r="K323" s="1" t="s">
        <v>61</v>
      </c>
      <c r="L323" s="1" t="s">
        <v>61</v>
      </c>
      <c r="M323" s="1" t="s">
        <v>62</v>
      </c>
      <c r="N323" s="1">
        <v>-115.0</v>
      </c>
      <c r="O323" s="1">
        <v>0.0228433039705795</v>
      </c>
      <c r="P323" s="1" t="s">
        <v>61</v>
      </c>
      <c r="Q323" s="1" t="s">
        <v>61</v>
      </c>
      <c r="R323" s="1">
        <f t="shared" si="1"/>
        <v>0.02284330397</v>
      </c>
      <c r="S323" s="1">
        <f t="shared" si="2"/>
        <v>-115</v>
      </c>
      <c r="T323" s="1">
        <f t="shared" si="3"/>
        <v>1.869565217</v>
      </c>
      <c r="U323" s="1">
        <f t="shared" si="4"/>
        <v>0</v>
      </c>
      <c r="V323" s="3">
        <f t="shared" si="5"/>
        <v>1</v>
      </c>
      <c r="W323" s="3">
        <f t="shared" si="6"/>
        <v>2</v>
      </c>
      <c r="X323" s="3" t="str">
        <f>IFERROR(__xludf.DUMMYFUNCTION("split(B323,"" "")"),"T.")</f>
        <v>T.</v>
      </c>
      <c r="Y323" s="3" t="str">
        <f>IFERROR(__xludf.DUMMYFUNCTION("""COMPUTED_VALUE"""),"Dell")</f>
        <v>Dell</v>
      </c>
      <c r="AA323" s="8">
        <v>39.0</v>
      </c>
      <c r="AB323" s="3">
        <f t="shared" si="7"/>
        <v>0</v>
      </c>
      <c r="AC323" s="3">
        <f t="shared" si="8"/>
        <v>1</v>
      </c>
      <c r="AD323" s="3">
        <f t="shared" si="9"/>
        <v>0.8695652174</v>
      </c>
      <c r="AE323" s="3">
        <f t="shared" si="10"/>
        <v>0.8695652174</v>
      </c>
      <c r="AF323" s="3">
        <f t="shared" si="11"/>
        <v>1.739130435</v>
      </c>
      <c r="AG323" s="3">
        <f t="shared" si="12"/>
        <v>0.4468085106</v>
      </c>
    </row>
    <row r="324">
      <c r="A324" s="1" t="s">
        <v>9</v>
      </c>
      <c r="B324" s="1" t="s">
        <v>129</v>
      </c>
      <c r="C324" s="1" t="s">
        <v>18</v>
      </c>
      <c r="D324" s="1" t="s">
        <v>72</v>
      </c>
      <c r="E324" s="1" t="s">
        <v>197</v>
      </c>
      <c r="F324" s="1" t="s">
        <v>680</v>
      </c>
      <c r="G324" s="1">
        <v>66.5</v>
      </c>
      <c r="H324" s="1" t="s">
        <v>60</v>
      </c>
      <c r="I324" s="1">
        <v>-129.0</v>
      </c>
      <c r="J324" s="1">
        <v>-0.0960423483174164</v>
      </c>
      <c r="K324" s="1" t="s">
        <v>61</v>
      </c>
      <c r="L324" s="1" t="s">
        <v>61</v>
      </c>
      <c r="M324" s="1" t="s">
        <v>62</v>
      </c>
      <c r="N324" s="1">
        <v>-108.0</v>
      </c>
      <c r="O324" s="1">
        <v>0.013553969162805</v>
      </c>
      <c r="P324" s="1" t="s">
        <v>61</v>
      </c>
      <c r="Q324" s="1" t="s">
        <v>61</v>
      </c>
      <c r="R324" s="1">
        <f t="shared" si="1"/>
        <v>0.01355396916</v>
      </c>
      <c r="S324" s="1">
        <f t="shared" si="2"/>
        <v>-108</v>
      </c>
      <c r="T324" s="1">
        <f t="shared" si="3"/>
        <v>1.925925926</v>
      </c>
      <c r="U324" s="1">
        <f t="shared" si="4"/>
        <v>0</v>
      </c>
      <c r="V324" s="3">
        <f t="shared" si="5"/>
        <v>1</v>
      </c>
      <c r="W324" s="3">
        <f t="shared" si="6"/>
        <v>2</v>
      </c>
      <c r="X324" s="3" t="str">
        <f>IFERROR(__xludf.DUMMYFUNCTION("split(B324,"" "")"),"T.")</f>
        <v>T.</v>
      </c>
      <c r="Y324" s="3" t="str">
        <f>IFERROR(__xludf.DUMMYFUNCTION("""COMPUTED_VALUE"""),"Dell")</f>
        <v>Dell</v>
      </c>
      <c r="AA324" s="8">
        <v>33.0</v>
      </c>
      <c r="AB324" s="3">
        <f t="shared" si="7"/>
        <v>0</v>
      </c>
      <c r="AC324" s="3">
        <f t="shared" si="8"/>
        <v>1</v>
      </c>
      <c r="AD324" s="3">
        <f t="shared" si="9"/>
        <v>0.9259259259</v>
      </c>
      <c r="AE324" s="3">
        <f t="shared" si="10"/>
        <v>0.9259259259</v>
      </c>
      <c r="AF324" s="3">
        <f t="shared" si="11"/>
        <v>1.851851852</v>
      </c>
      <c r="AG324" s="3">
        <f t="shared" si="12"/>
        <v>0.5037593985</v>
      </c>
    </row>
    <row r="325">
      <c r="A325" s="1" t="s">
        <v>10</v>
      </c>
      <c r="B325" s="1" t="s">
        <v>359</v>
      </c>
      <c r="C325" s="1" t="s">
        <v>19</v>
      </c>
      <c r="D325" s="1" t="s">
        <v>72</v>
      </c>
      <c r="E325" s="1" t="s">
        <v>197</v>
      </c>
      <c r="F325" s="1" t="s">
        <v>680</v>
      </c>
      <c r="G325" s="1">
        <v>75.5</v>
      </c>
      <c r="H325" s="1" t="s">
        <v>60</v>
      </c>
      <c r="I325" s="1">
        <v>-116.0</v>
      </c>
      <c r="J325" s="1">
        <v>-0.0744091841930351</v>
      </c>
      <c r="K325" s="1" t="s">
        <v>61</v>
      </c>
      <c r="L325" s="1" t="s">
        <v>61</v>
      </c>
      <c r="M325" s="1" t="s">
        <v>62</v>
      </c>
      <c r="N325" s="1">
        <v>-112.0</v>
      </c>
      <c r="O325" s="1">
        <v>0.00912180272188578</v>
      </c>
      <c r="P325" s="1" t="s">
        <v>61</v>
      </c>
      <c r="Q325" s="1" t="s">
        <v>61</v>
      </c>
      <c r="R325" s="1">
        <f t="shared" si="1"/>
        <v>0.009121802722</v>
      </c>
      <c r="S325" s="1">
        <f t="shared" si="2"/>
        <v>-112</v>
      </c>
      <c r="T325" s="1">
        <f t="shared" si="3"/>
        <v>1.892857143</v>
      </c>
      <c r="U325" s="1">
        <f t="shared" si="4"/>
        <v>0</v>
      </c>
      <c r="V325" s="3">
        <f t="shared" si="5"/>
        <v>1</v>
      </c>
      <c r="W325" s="3">
        <f t="shared" si="6"/>
        <v>2</v>
      </c>
      <c r="X325" s="3" t="str">
        <f>IFERROR(__xludf.DUMMYFUNCTION("split(B325,"" "")"),"J.")</f>
        <v>J.</v>
      </c>
      <c r="Y325" s="3" t="str">
        <f>IFERROR(__xludf.DUMMYFUNCTION("""COMPUTED_VALUE"""),"Mixon")</f>
        <v>Mixon</v>
      </c>
      <c r="AA325" s="8">
        <v>46.0</v>
      </c>
      <c r="AB325" s="3">
        <f t="shared" si="7"/>
        <v>0</v>
      </c>
      <c r="AC325" s="3">
        <f t="shared" si="8"/>
        <v>1</v>
      </c>
      <c r="AD325" s="3">
        <f t="shared" si="9"/>
        <v>0.8928571429</v>
      </c>
      <c r="AE325" s="3">
        <f t="shared" si="10"/>
        <v>0.8928571429</v>
      </c>
      <c r="AF325" s="3">
        <f t="shared" si="11"/>
        <v>1.785714286</v>
      </c>
      <c r="AG325" s="3">
        <f t="shared" si="12"/>
        <v>0.3907284768</v>
      </c>
    </row>
    <row r="326">
      <c r="A326" s="1" t="s">
        <v>13</v>
      </c>
      <c r="B326" s="1" t="s">
        <v>369</v>
      </c>
      <c r="C326" s="1" t="s">
        <v>21</v>
      </c>
      <c r="D326" s="1" t="s">
        <v>72</v>
      </c>
      <c r="E326" s="1" t="s">
        <v>197</v>
      </c>
      <c r="F326" s="1" t="s">
        <v>680</v>
      </c>
      <c r="G326" s="1">
        <v>233.5</v>
      </c>
      <c r="H326" s="1" t="s">
        <v>60</v>
      </c>
      <c r="I326" s="1">
        <v>-115.0</v>
      </c>
      <c r="J326" s="1">
        <v>0.00736744186046467</v>
      </c>
      <c r="K326" s="1" t="s">
        <v>61</v>
      </c>
      <c r="L326" s="1" t="s">
        <v>61</v>
      </c>
      <c r="M326" s="1" t="s">
        <v>62</v>
      </c>
      <c r="N326" s="1">
        <v>-117.0</v>
      </c>
      <c r="O326" s="1">
        <v>-0.0815253456221196</v>
      </c>
      <c r="P326" s="1" t="s">
        <v>61</v>
      </c>
      <c r="Q326" s="1" t="s">
        <v>61</v>
      </c>
      <c r="R326" s="1">
        <f t="shared" si="1"/>
        <v>0.00736744186</v>
      </c>
      <c r="S326" s="1">
        <f t="shared" si="2"/>
        <v>-115</v>
      </c>
      <c r="T326" s="1">
        <f t="shared" si="3"/>
        <v>1.869565217</v>
      </c>
      <c r="U326" s="1">
        <f t="shared" si="4"/>
        <v>1</v>
      </c>
      <c r="V326" s="3">
        <f t="shared" si="5"/>
        <v>1</v>
      </c>
      <c r="W326" s="3">
        <f t="shared" si="6"/>
        <v>2</v>
      </c>
      <c r="X326" s="3" t="str">
        <f>IFERROR(__xludf.DUMMYFUNCTION("split(B326,"" "")"),"C.")</f>
        <v>C.</v>
      </c>
      <c r="Y326" s="3" t="str">
        <f>IFERROR(__xludf.DUMMYFUNCTION("""COMPUTED_VALUE"""),"Stroud")</f>
        <v>Stroud</v>
      </c>
      <c r="AA326" s="8">
        <v>232.0</v>
      </c>
      <c r="AB326" s="3">
        <f t="shared" si="7"/>
        <v>0</v>
      </c>
      <c r="AC326" s="3">
        <f t="shared" si="8"/>
        <v>0</v>
      </c>
      <c r="AD326" s="3">
        <f t="shared" si="9"/>
        <v>0.8695652174</v>
      </c>
      <c r="AE326" s="3">
        <f t="shared" si="10"/>
        <v>-1</v>
      </c>
      <c r="AF326" s="3">
        <f t="shared" si="11"/>
        <v>-2</v>
      </c>
      <c r="AG326" s="3">
        <f t="shared" si="12"/>
        <v>-0.006423982869</v>
      </c>
    </row>
    <row r="327">
      <c r="A327" s="1" t="s">
        <v>8</v>
      </c>
      <c r="B327" s="1" t="s">
        <v>359</v>
      </c>
      <c r="C327" s="1" t="s">
        <v>19</v>
      </c>
      <c r="D327" s="1" t="s">
        <v>72</v>
      </c>
      <c r="E327" s="1" t="s">
        <v>197</v>
      </c>
      <c r="F327" s="1" t="s">
        <v>680</v>
      </c>
      <c r="G327" s="1">
        <v>18.5</v>
      </c>
      <c r="H327" s="1" t="s">
        <v>60</v>
      </c>
      <c r="I327" s="1">
        <v>-128.0</v>
      </c>
      <c r="J327" s="1">
        <v>0.0119929896982456</v>
      </c>
      <c r="K327" s="1" t="s">
        <v>61</v>
      </c>
      <c r="L327" s="1" t="s">
        <v>61</v>
      </c>
      <c r="M327" s="1" t="s">
        <v>62</v>
      </c>
      <c r="N327" s="1">
        <v>-105.0</v>
      </c>
      <c r="O327" s="1">
        <v>-0.0855920794634146</v>
      </c>
      <c r="P327" s="1" t="s">
        <v>61</v>
      </c>
      <c r="Q327" s="1" t="s">
        <v>61</v>
      </c>
      <c r="R327" s="1">
        <f t="shared" si="1"/>
        <v>0.0119929897</v>
      </c>
      <c r="S327" s="1">
        <f t="shared" si="2"/>
        <v>-128</v>
      </c>
      <c r="T327" s="1">
        <f t="shared" si="3"/>
        <v>1.78125</v>
      </c>
      <c r="U327" s="1">
        <f t="shared" si="4"/>
        <v>1</v>
      </c>
      <c r="V327" s="3">
        <f t="shared" si="5"/>
        <v>1</v>
      </c>
      <c r="W327" s="3">
        <f t="shared" si="6"/>
        <v>3</v>
      </c>
      <c r="X327" s="3" t="str">
        <f>IFERROR(__xludf.DUMMYFUNCTION("split(B327,"" "")"),"J.")</f>
        <v>J.</v>
      </c>
      <c r="Y327" s="3" t="str">
        <f>IFERROR(__xludf.DUMMYFUNCTION("""COMPUTED_VALUE"""),"Mixon")</f>
        <v>Mixon</v>
      </c>
      <c r="AA327" s="8">
        <v>25.0</v>
      </c>
      <c r="AB327" s="3">
        <f t="shared" si="7"/>
        <v>1</v>
      </c>
      <c r="AC327" s="3">
        <f t="shared" si="8"/>
        <v>1</v>
      </c>
      <c r="AD327" s="3">
        <f t="shared" si="9"/>
        <v>0.78125</v>
      </c>
      <c r="AE327" s="3">
        <f t="shared" si="10"/>
        <v>0.78125</v>
      </c>
      <c r="AF327" s="3">
        <f t="shared" si="11"/>
        <v>2.34375</v>
      </c>
      <c r="AG327" s="3">
        <f t="shared" si="12"/>
        <v>0.3513513514</v>
      </c>
    </row>
    <row r="328">
      <c r="A328" s="1" t="s">
        <v>9</v>
      </c>
      <c r="B328" s="1" t="s">
        <v>664</v>
      </c>
      <c r="C328" s="1" t="s">
        <v>18</v>
      </c>
      <c r="D328" s="1" t="s">
        <v>72</v>
      </c>
      <c r="E328" s="1" t="s">
        <v>197</v>
      </c>
      <c r="F328" s="1" t="s">
        <v>680</v>
      </c>
      <c r="G328" s="1">
        <v>22.5</v>
      </c>
      <c r="H328" s="1" t="s">
        <v>60</v>
      </c>
      <c r="I328" s="1">
        <v>-113.0</v>
      </c>
      <c r="J328" s="1">
        <v>0.0524377666538777</v>
      </c>
      <c r="K328" s="1" t="s">
        <v>61</v>
      </c>
      <c r="L328" s="1" t="s">
        <v>61</v>
      </c>
      <c r="M328" s="1" t="s">
        <v>62</v>
      </c>
      <c r="N328" s="1">
        <v>-120.0</v>
      </c>
      <c r="O328" s="1">
        <v>-0.128385150712414</v>
      </c>
      <c r="P328" s="1" t="s">
        <v>61</v>
      </c>
      <c r="Q328" s="1" t="s">
        <v>61</v>
      </c>
      <c r="R328" s="1">
        <f t="shared" si="1"/>
        <v>0.05243776665</v>
      </c>
      <c r="S328" s="1">
        <f t="shared" si="2"/>
        <v>-113</v>
      </c>
      <c r="T328" s="1">
        <f t="shared" si="3"/>
        <v>1.884955752</v>
      </c>
      <c r="U328" s="1">
        <f t="shared" si="4"/>
        <v>1</v>
      </c>
      <c r="V328" s="3">
        <f t="shared" si="5"/>
        <v>2</v>
      </c>
      <c r="W328" s="3">
        <f t="shared" si="6"/>
        <v>2</v>
      </c>
      <c r="X328" s="3" t="str">
        <f>IFERROR(__xludf.DUMMYFUNCTION("split(B328,"" "")"),"R.")</f>
        <v>R.</v>
      </c>
      <c r="Y328" s="3" t="str">
        <f>IFERROR(__xludf.DUMMYFUNCTION("""COMPUTED_VALUE"""),"Woods")</f>
        <v>Woods</v>
      </c>
      <c r="AA328" s="8">
        <v>1.0</v>
      </c>
      <c r="AB328" s="3">
        <f t="shared" si="7"/>
        <v>0</v>
      </c>
      <c r="AC328" s="3">
        <f t="shared" si="8"/>
        <v>0</v>
      </c>
      <c r="AD328" s="3">
        <f t="shared" si="9"/>
        <v>1.769911504</v>
      </c>
      <c r="AE328" s="3">
        <f t="shared" si="10"/>
        <v>-2</v>
      </c>
      <c r="AF328" s="3">
        <f t="shared" si="11"/>
        <v>-2</v>
      </c>
      <c r="AG328" s="3">
        <f t="shared" si="12"/>
        <v>-0.9555555556</v>
      </c>
    </row>
    <row r="329">
      <c r="A329" s="1" t="s">
        <v>15</v>
      </c>
      <c r="B329" s="1" t="s">
        <v>369</v>
      </c>
      <c r="C329" s="1" t="s">
        <v>21</v>
      </c>
      <c r="D329" s="1" t="s">
        <v>72</v>
      </c>
      <c r="E329" s="1" t="s">
        <v>197</v>
      </c>
      <c r="F329" s="1" t="s">
        <v>680</v>
      </c>
      <c r="G329" s="1">
        <v>21.5</v>
      </c>
      <c r="H329" s="1" t="s">
        <v>60</v>
      </c>
      <c r="I329" s="1">
        <v>-107.0</v>
      </c>
      <c r="J329" s="1">
        <v>0.0634367149758453</v>
      </c>
      <c r="K329" s="1" t="s">
        <v>61</v>
      </c>
      <c r="L329" s="1" t="s">
        <v>61</v>
      </c>
      <c r="M329" s="1" t="s">
        <v>62</v>
      </c>
      <c r="N329" s="1">
        <v>-123.0</v>
      </c>
      <c r="O329" s="1">
        <v>-0.131934977578475</v>
      </c>
      <c r="P329" s="1" t="s">
        <v>61</v>
      </c>
      <c r="Q329" s="1" t="s">
        <v>61</v>
      </c>
      <c r="R329" s="1">
        <f t="shared" si="1"/>
        <v>0.06343671498</v>
      </c>
      <c r="S329" s="1">
        <f t="shared" si="2"/>
        <v>-107</v>
      </c>
      <c r="T329" s="1">
        <f t="shared" si="3"/>
        <v>1.934579439</v>
      </c>
      <c r="U329" s="1">
        <f t="shared" si="4"/>
        <v>1</v>
      </c>
      <c r="V329" s="3">
        <f t="shared" si="5"/>
        <v>2</v>
      </c>
      <c r="W329" s="3">
        <f t="shared" si="6"/>
        <v>2</v>
      </c>
      <c r="X329" s="3" t="str">
        <f>IFERROR(__xludf.DUMMYFUNCTION("split(B329,"" "")"),"C.")</f>
        <v>C.</v>
      </c>
      <c r="Y329" s="3" t="str">
        <f>IFERROR(__xludf.DUMMYFUNCTION("""COMPUTED_VALUE"""),"Stroud")</f>
        <v>Stroud</v>
      </c>
      <c r="AA329" s="8">
        <v>19.0</v>
      </c>
      <c r="AB329" s="3">
        <f t="shared" si="7"/>
        <v>0</v>
      </c>
      <c r="AC329" s="3">
        <f t="shared" si="8"/>
        <v>0</v>
      </c>
      <c r="AD329" s="3">
        <f t="shared" si="9"/>
        <v>1.869158879</v>
      </c>
      <c r="AE329" s="3">
        <f t="shared" si="10"/>
        <v>-2</v>
      </c>
      <c r="AF329" s="3">
        <f t="shared" si="11"/>
        <v>-2</v>
      </c>
      <c r="AG329" s="3">
        <f t="shared" si="12"/>
        <v>-0.1162790698</v>
      </c>
    </row>
    <row r="330">
      <c r="A330" s="1" t="s">
        <v>9</v>
      </c>
      <c r="B330" s="1" t="s">
        <v>634</v>
      </c>
      <c r="C330" s="1" t="s">
        <v>18</v>
      </c>
      <c r="D330" s="1" t="s">
        <v>72</v>
      </c>
      <c r="E330" s="1" t="s">
        <v>197</v>
      </c>
      <c r="F330" s="1" t="s">
        <v>680</v>
      </c>
      <c r="G330" s="1">
        <v>20.5</v>
      </c>
      <c r="H330" s="1" t="s">
        <v>60</v>
      </c>
      <c r="I330" s="1">
        <v>-116.0</v>
      </c>
      <c r="J330" s="1">
        <v>0.0750822328467977</v>
      </c>
      <c r="K330" s="1" t="s">
        <v>61</v>
      </c>
      <c r="L330" s="1" t="s">
        <v>61</v>
      </c>
      <c r="M330" s="1" t="s">
        <v>62</v>
      </c>
      <c r="N330" s="1">
        <v>-116.0</v>
      </c>
      <c r="O330" s="1">
        <v>-0.149111390102285</v>
      </c>
      <c r="P330" s="1" t="s">
        <v>61</v>
      </c>
      <c r="Q330" s="1" t="s">
        <v>61</v>
      </c>
      <c r="R330" s="1">
        <f t="shared" si="1"/>
        <v>0.07508223285</v>
      </c>
      <c r="S330" s="1">
        <f t="shared" si="2"/>
        <v>-116</v>
      </c>
      <c r="T330" s="1">
        <f t="shared" si="3"/>
        <v>1.862068966</v>
      </c>
      <c r="U330" s="1">
        <f t="shared" si="4"/>
        <v>1</v>
      </c>
      <c r="V330" s="3">
        <f t="shared" si="5"/>
        <v>2</v>
      </c>
      <c r="W330" s="3">
        <f t="shared" si="6"/>
        <v>2</v>
      </c>
      <c r="X330" s="3" t="str">
        <f>IFERROR(__xludf.DUMMYFUNCTION("split(B330,"" "")"),"J.")</f>
        <v>J.</v>
      </c>
      <c r="Y330" s="3" t="str">
        <f>IFERROR(__xludf.DUMMYFUNCTION("""COMPUTED_VALUE"""),"Metchie")</f>
        <v>Metchie</v>
      </c>
      <c r="Z330" s="3" t="str">
        <f>IFERROR(__xludf.DUMMYFUNCTION("""COMPUTED_VALUE"""),"III")</f>
        <v>III</v>
      </c>
      <c r="AA330" s="8">
        <v>74.0</v>
      </c>
      <c r="AB330" s="3">
        <f t="shared" si="7"/>
        <v>1</v>
      </c>
      <c r="AC330" s="3">
        <f t="shared" si="8"/>
        <v>1</v>
      </c>
      <c r="AD330" s="3">
        <f t="shared" si="9"/>
        <v>1.724137931</v>
      </c>
      <c r="AE330" s="3">
        <f t="shared" si="10"/>
        <v>1.724137931</v>
      </c>
      <c r="AF330" s="3">
        <f t="shared" si="11"/>
        <v>1.724137931</v>
      </c>
      <c r="AG330" s="3">
        <f t="shared" si="12"/>
        <v>2.609756098</v>
      </c>
    </row>
    <row r="331">
      <c r="A331" s="1" t="s">
        <v>9</v>
      </c>
      <c r="B331" s="1" t="s">
        <v>619</v>
      </c>
      <c r="C331" s="1" t="s">
        <v>18</v>
      </c>
      <c r="D331" s="1" t="s">
        <v>72</v>
      </c>
      <c r="E331" s="1" t="s">
        <v>197</v>
      </c>
      <c r="F331" s="1" t="s">
        <v>680</v>
      </c>
      <c r="G331" s="1">
        <v>19.5</v>
      </c>
      <c r="H331" s="1" t="s">
        <v>60</v>
      </c>
      <c r="I331" s="1">
        <v>-119.0</v>
      </c>
      <c r="J331" s="1">
        <v>0.0803832239435415</v>
      </c>
      <c r="K331" s="1" t="s">
        <v>61</v>
      </c>
      <c r="L331" s="1" t="s">
        <v>61</v>
      </c>
      <c r="M331" s="1" t="s">
        <v>62</v>
      </c>
      <c r="N331" s="1">
        <v>-114.0</v>
      </c>
      <c r="O331" s="1">
        <v>-0.156449540606283</v>
      </c>
      <c r="P331" s="1" t="s">
        <v>61</v>
      </c>
      <c r="Q331" s="1" t="s">
        <v>61</v>
      </c>
      <c r="R331" s="1">
        <f t="shared" si="1"/>
        <v>0.08038322394</v>
      </c>
      <c r="S331" s="1">
        <f t="shared" si="2"/>
        <v>-119</v>
      </c>
      <c r="T331" s="1">
        <f t="shared" si="3"/>
        <v>1.840336134</v>
      </c>
      <c r="U331" s="1">
        <f t="shared" si="4"/>
        <v>1</v>
      </c>
      <c r="V331" s="3">
        <f t="shared" si="5"/>
        <v>2</v>
      </c>
      <c r="W331" s="3">
        <f t="shared" si="6"/>
        <v>3</v>
      </c>
      <c r="X331" s="3" t="str">
        <f>IFERROR(__xludf.DUMMYFUNCTION("split(B331,"" "")"),"X.")</f>
        <v>X.</v>
      </c>
      <c r="Y331" s="3" t="str">
        <f>IFERROR(__xludf.DUMMYFUNCTION("""COMPUTED_VALUE"""),"Hutchinson")</f>
        <v>Hutchinson</v>
      </c>
      <c r="AA331" s="8">
        <v>6.0</v>
      </c>
      <c r="AB331" s="3">
        <f t="shared" si="7"/>
        <v>0</v>
      </c>
      <c r="AC331" s="3">
        <f t="shared" si="8"/>
        <v>0</v>
      </c>
      <c r="AD331" s="3">
        <f t="shared" si="9"/>
        <v>1.680672269</v>
      </c>
      <c r="AE331" s="3">
        <f t="shared" si="10"/>
        <v>-2</v>
      </c>
      <c r="AF331" s="3">
        <f t="shared" si="11"/>
        <v>-3</v>
      </c>
      <c r="AG331" s="3">
        <f t="shared" si="12"/>
        <v>-0.6923076923</v>
      </c>
    </row>
    <row r="332">
      <c r="A332" s="1" t="s">
        <v>12</v>
      </c>
      <c r="B332" s="1" t="s">
        <v>446</v>
      </c>
      <c r="C332" s="1" t="s">
        <v>19</v>
      </c>
      <c r="D332" s="1" t="s">
        <v>197</v>
      </c>
      <c r="E332" s="1" t="s">
        <v>72</v>
      </c>
      <c r="F332" s="1" t="s">
        <v>680</v>
      </c>
      <c r="G332" s="1">
        <v>1.5</v>
      </c>
      <c r="H332" s="1" t="s">
        <v>60</v>
      </c>
      <c r="I332" s="1">
        <v>-147.0</v>
      </c>
      <c r="J332" s="1">
        <v>-0.239875059963562</v>
      </c>
      <c r="K332" s="1" t="s">
        <v>61</v>
      </c>
      <c r="L332" s="1" t="s">
        <v>61</v>
      </c>
      <c r="M332" s="1" t="s">
        <v>62</v>
      </c>
      <c r="N332" s="1">
        <v>113.0</v>
      </c>
      <c r="O332" s="1">
        <v>0.175255116483568</v>
      </c>
      <c r="P332" s="1" t="s">
        <v>61</v>
      </c>
      <c r="Q332" s="1" t="s">
        <v>61</v>
      </c>
      <c r="R332" s="1">
        <f t="shared" si="1"/>
        <v>0.1752551165</v>
      </c>
      <c r="S332" s="1">
        <f t="shared" si="2"/>
        <v>113</v>
      </c>
      <c r="T332" s="1">
        <f t="shared" si="3"/>
        <v>2.13</v>
      </c>
      <c r="U332" s="1">
        <f t="shared" si="4"/>
        <v>0</v>
      </c>
      <c r="V332" s="3">
        <f t="shared" si="5"/>
        <v>3</v>
      </c>
      <c r="W332" s="3">
        <f t="shared" si="6"/>
        <v>1</v>
      </c>
      <c r="X332" s="3" t="str">
        <f>IFERROR(__xludf.DUMMYFUNCTION("split(B332,"" "")"),"D.")</f>
        <v>D.</v>
      </c>
      <c r="Y332" s="3" t="str">
        <f>IFERROR(__xludf.DUMMYFUNCTION("""COMPUTED_VALUE"""),"Montgomery")</f>
        <v>Montgomery</v>
      </c>
      <c r="AA332" s="8">
        <v>1.0</v>
      </c>
      <c r="AB332" s="3">
        <f t="shared" si="7"/>
        <v>0</v>
      </c>
      <c r="AC332" s="3">
        <f t="shared" si="8"/>
        <v>1</v>
      </c>
      <c r="AD332" s="3">
        <f t="shared" si="9"/>
        <v>3.39</v>
      </c>
      <c r="AE332" s="3">
        <f t="shared" si="10"/>
        <v>3.39</v>
      </c>
      <c r="AF332" s="3">
        <f t="shared" si="11"/>
        <v>1.13</v>
      </c>
      <c r="AG332" s="3">
        <f t="shared" si="12"/>
        <v>0.3333333333</v>
      </c>
    </row>
    <row r="333">
      <c r="A333" s="1" t="s">
        <v>12</v>
      </c>
      <c r="B333" s="1" t="s">
        <v>534</v>
      </c>
      <c r="C333" s="1" t="s">
        <v>18</v>
      </c>
      <c r="D333" s="1" t="s">
        <v>197</v>
      </c>
      <c r="E333" s="1" t="s">
        <v>72</v>
      </c>
      <c r="F333" s="1" t="s">
        <v>680</v>
      </c>
      <c r="G333" s="1">
        <v>1.5</v>
      </c>
      <c r="H333" s="1" t="s">
        <v>60</v>
      </c>
      <c r="I333" s="1">
        <v>-116.0</v>
      </c>
      <c r="J333" s="1">
        <v>-0.219070781935185</v>
      </c>
      <c r="K333" s="1" t="s">
        <v>61</v>
      </c>
      <c r="L333" s="1" t="s">
        <v>61</v>
      </c>
      <c r="M333" s="1" t="s">
        <v>62</v>
      </c>
      <c r="N333" s="1">
        <v>-113.0</v>
      </c>
      <c r="O333" s="1">
        <v>0.151522236876713</v>
      </c>
      <c r="P333" s="1" t="s">
        <v>61</v>
      </c>
      <c r="Q333" s="1" t="s">
        <v>61</v>
      </c>
      <c r="R333" s="1">
        <f t="shared" si="1"/>
        <v>0.1515222369</v>
      </c>
      <c r="S333" s="1">
        <f t="shared" si="2"/>
        <v>-113</v>
      </c>
      <c r="T333" s="1">
        <f t="shared" si="3"/>
        <v>1.884955752</v>
      </c>
      <c r="U333" s="1">
        <f t="shared" si="4"/>
        <v>0</v>
      </c>
      <c r="V333" s="3">
        <f t="shared" si="5"/>
        <v>3</v>
      </c>
      <c r="W333" s="3">
        <f t="shared" si="6"/>
        <v>2</v>
      </c>
      <c r="X333" s="3" t="str">
        <f>IFERROR(__xludf.DUMMYFUNCTION("split(B333,"" "")"),"T.")</f>
        <v>T.</v>
      </c>
      <c r="Y333" s="3" t="str">
        <f>IFERROR(__xludf.DUMMYFUNCTION("""COMPUTED_VALUE"""),"Patrick")</f>
        <v>Patrick</v>
      </c>
      <c r="AA333" s="8">
        <v>0.0</v>
      </c>
      <c r="AB333" s="3">
        <f t="shared" si="7"/>
        <v>0</v>
      </c>
      <c r="AC333" s="3">
        <f t="shared" si="8"/>
        <v>1</v>
      </c>
      <c r="AD333" s="3">
        <f t="shared" si="9"/>
        <v>2.654867257</v>
      </c>
      <c r="AE333" s="3">
        <f t="shared" si="10"/>
        <v>2.654867257</v>
      </c>
      <c r="AF333" s="3">
        <f t="shared" si="11"/>
        <v>1.769911504</v>
      </c>
      <c r="AG333" s="3">
        <f t="shared" si="12"/>
        <v>1</v>
      </c>
    </row>
    <row r="334">
      <c r="A334" s="1" t="s">
        <v>8</v>
      </c>
      <c r="B334" s="1" t="s">
        <v>393</v>
      </c>
      <c r="C334" s="1" t="s">
        <v>19</v>
      </c>
      <c r="D334" s="1" t="s">
        <v>197</v>
      </c>
      <c r="E334" s="1" t="s">
        <v>72</v>
      </c>
      <c r="F334" s="1" t="s">
        <v>680</v>
      </c>
      <c r="G334" s="1">
        <v>12.5</v>
      </c>
      <c r="H334" s="1" t="s">
        <v>60</v>
      </c>
      <c r="I334" s="1">
        <v>-122.0</v>
      </c>
      <c r="J334" s="1">
        <v>-0.177639205251081</v>
      </c>
      <c r="K334" s="1" t="s">
        <v>61</v>
      </c>
      <c r="L334" s="1" t="s">
        <v>61</v>
      </c>
      <c r="M334" s="1" t="s">
        <v>62</v>
      </c>
      <c r="N334" s="1">
        <v>-110.0</v>
      </c>
      <c r="O334" s="1">
        <v>0.1042947329634</v>
      </c>
      <c r="P334" s="1" t="s">
        <v>61</v>
      </c>
      <c r="Q334" s="1" t="s">
        <v>61</v>
      </c>
      <c r="R334" s="1">
        <f t="shared" si="1"/>
        <v>0.104294733</v>
      </c>
      <c r="S334" s="1">
        <f t="shared" si="2"/>
        <v>-110</v>
      </c>
      <c r="T334" s="1">
        <f t="shared" si="3"/>
        <v>1.909090909</v>
      </c>
      <c r="U334" s="1">
        <f t="shared" si="4"/>
        <v>0</v>
      </c>
      <c r="V334" s="3">
        <f t="shared" si="5"/>
        <v>3</v>
      </c>
      <c r="W334" s="3">
        <f t="shared" si="6"/>
        <v>2</v>
      </c>
      <c r="X334" s="3" t="str">
        <f>IFERROR(__xludf.DUMMYFUNCTION("split(B334,"" "")"),"J.")</f>
        <v>J.</v>
      </c>
      <c r="Y334" s="3" t="str">
        <f>IFERROR(__xludf.DUMMYFUNCTION("""COMPUTED_VALUE"""),"Gibbs")</f>
        <v>Gibbs</v>
      </c>
      <c r="AA334" s="8">
        <v>19.0</v>
      </c>
      <c r="AB334" s="3">
        <f t="shared" si="7"/>
        <v>1</v>
      </c>
      <c r="AC334" s="3">
        <f t="shared" si="8"/>
        <v>0</v>
      </c>
      <c r="AD334" s="3">
        <f t="shared" si="9"/>
        <v>2.727272727</v>
      </c>
      <c r="AE334" s="3">
        <f t="shared" si="10"/>
        <v>-3</v>
      </c>
      <c r="AF334" s="3">
        <f t="shared" si="11"/>
        <v>-2</v>
      </c>
      <c r="AG334" s="3">
        <f t="shared" si="12"/>
        <v>-0.52</v>
      </c>
    </row>
    <row r="335">
      <c r="A335" s="1" t="s">
        <v>12</v>
      </c>
      <c r="B335" s="1" t="s">
        <v>393</v>
      </c>
      <c r="C335" s="1" t="s">
        <v>19</v>
      </c>
      <c r="D335" s="1" t="s">
        <v>197</v>
      </c>
      <c r="E335" s="1" t="s">
        <v>72</v>
      </c>
      <c r="F335" s="1" t="s">
        <v>680</v>
      </c>
      <c r="G335" s="1">
        <v>2.5</v>
      </c>
      <c r="H335" s="1" t="s">
        <v>60</v>
      </c>
      <c r="I335" s="1">
        <v>-126.0</v>
      </c>
      <c r="J335" s="1">
        <v>-0.14607458579646</v>
      </c>
      <c r="K335" s="1" t="s">
        <v>61</v>
      </c>
      <c r="L335" s="1" t="s">
        <v>61</v>
      </c>
      <c r="M335" s="1" t="s">
        <v>62</v>
      </c>
      <c r="N335" s="1">
        <v>-105.0</v>
      </c>
      <c r="O335" s="1">
        <v>0.076349849802439</v>
      </c>
      <c r="P335" s="1" t="s">
        <v>61</v>
      </c>
      <c r="Q335" s="1" t="s">
        <v>61</v>
      </c>
      <c r="R335" s="1">
        <f t="shared" si="1"/>
        <v>0.0763498498</v>
      </c>
      <c r="S335" s="1">
        <f t="shared" si="2"/>
        <v>-105</v>
      </c>
      <c r="T335" s="1">
        <f t="shared" si="3"/>
        <v>1.952380952</v>
      </c>
      <c r="U335" s="1">
        <f t="shared" si="4"/>
        <v>0</v>
      </c>
      <c r="V335" s="3">
        <f t="shared" si="5"/>
        <v>2</v>
      </c>
      <c r="W335" s="3">
        <f t="shared" si="6"/>
        <v>2</v>
      </c>
      <c r="X335" s="3" t="str">
        <f>IFERROR(__xludf.DUMMYFUNCTION("split(B335,"" "")"),"J.")</f>
        <v>J.</v>
      </c>
      <c r="Y335" s="3" t="str">
        <f>IFERROR(__xludf.DUMMYFUNCTION("""COMPUTED_VALUE"""),"Gibbs")</f>
        <v>Gibbs</v>
      </c>
      <c r="AA335" s="8">
        <v>2.0</v>
      </c>
      <c r="AB335" s="3">
        <f t="shared" si="7"/>
        <v>0</v>
      </c>
      <c r="AC335" s="3">
        <f t="shared" si="8"/>
        <v>1</v>
      </c>
      <c r="AD335" s="3">
        <f t="shared" si="9"/>
        <v>1.904761905</v>
      </c>
      <c r="AE335" s="3">
        <f t="shared" si="10"/>
        <v>1.904761905</v>
      </c>
      <c r="AF335" s="3">
        <f t="shared" si="11"/>
        <v>1.904761905</v>
      </c>
      <c r="AG335" s="3">
        <f t="shared" si="12"/>
        <v>0.2</v>
      </c>
    </row>
    <row r="336">
      <c r="A336" s="1" t="s">
        <v>10</v>
      </c>
      <c r="B336" s="1" t="s">
        <v>393</v>
      </c>
      <c r="C336" s="1" t="s">
        <v>19</v>
      </c>
      <c r="D336" s="1" t="s">
        <v>197</v>
      </c>
      <c r="E336" s="1" t="s">
        <v>72</v>
      </c>
      <c r="F336" s="1" t="s">
        <v>680</v>
      </c>
      <c r="G336" s="1">
        <v>64.5</v>
      </c>
      <c r="H336" s="1" t="s">
        <v>60</v>
      </c>
      <c r="I336" s="1">
        <v>-112.0</v>
      </c>
      <c r="J336" s="1">
        <v>-0.123294433849449</v>
      </c>
      <c r="K336" s="1" t="s">
        <v>61</v>
      </c>
      <c r="L336" s="1" t="s">
        <v>61</v>
      </c>
      <c r="M336" s="1" t="s">
        <v>62</v>
      </c>
      <c r="N336" s="1">
        <v>-113.0</v>
      </c>
      <c r="O336" s="1">
        <v>0.0644746568821232</v>
      </c>
      <c r="P336" s="1" t="s">
        <v>61</v>
      </c>
      <c r="Q336" s="1" t="s">
        <v>61</v>
      </c>
      <c r="R336" s="1">
        <f t="shared" si="1"/>
        <v>0.06447465688</v>
      </c>
      <c r="S336" s="1">
        <f t="shared" si="2"/>
        <v>-113</v>
      </c>
      <c r="T336" s="1">
        <f t="shared" si="3"/>
        <v>1.884955752</v>
      </c>
      <c r="U336" s="1">
        <f t="shared" si="4"/>
        <v>0</v>
      </c>
      <c r="V336" s="3">
        <f t="shared" si="5"/>
        <v>2</v>
      </c>
      <c r="W336" s="3">
        <f t="shared" si="6"/>
        <v>2</v>
      </c>
      <c r="X336" s="3" t="str">
        <f>IFERROR(__xludf.DUMMYFUNCTION("split(B336,"" "")"),"J.")</f>
        <v>J.</v>
      </c>
      <c r="Y336" s="3" t="str">
        <f>IFERROR(__xludf.DUMMYFUNCTION("""COMPUTED_VALUE"""),"Gibbs")</f>
        <v>Gibbs</v>
      </c>
      <c r="AA336" s="8">
        <v>71.0</v>
      </c>
      <c r="AB336" s="3">
        <f t="shared" si="7"/>
        <v>1</v>
      </c>
      <c r="AC336" s="3">
        <f t="shared" si="8"/>
        <v>0</v>
      </c>
      <c r="AD336" s="3">
        <f t="shared" si="9"/>
        <v>1.769911504</v>
      </c>
      <c r="AE336" s="3">
        <f t="shared" si="10"/>
        <v>-2</v>
      </c>
      <c r="AF336" s="3">
        <f t="shared" si="11"/>
        <v>-2</v>
      </c>
      <c r="AG336" s="3">
        <f t="shared" si="12"/>
        <v>-0.1007751938</v>
      </c>
    </row>
    <row r="337">
      <c r="A337" s="1" t="s">
        <v>8</v>
      </c>
      <c r="B337" s="1" t="s">
        <v>446</v>
      </c>
      <c r="C337" s="1" t="s">
        <v>19</v>
      </c>
      <c r="D337" s="1" t="s">
        <v>197</v>
      </c>
      <c r="E337" s="1" t="s">
        <v>72</v>
      </c>
      <c r="F337" s="1" t="s">
        <v>680</v>
      </c>
      <c r="G337" s="1">
        <v>14.5</v>
      </c>
      <c r="H337" s="1" t="s">
        <v>60</v>
      </c>
      <c r="I337" s="1">
        <v>107.0</v>
      </c>
      <c r="J337" s="1">
        <v>-0.112947114433159</v>
      </c>
      <c r="K337" s="1" t="s">
        <v>61</v>
      </c>
      <c r="L337" s="1" t="s">
        <v>61</v>
      </c>
      <c r="M337" s="1" t="s">
        <v>62</v>
      </c>
      <c r="N337" s="1">
        <v>-140.0</v>
      </c>
      <c r="O337" s="1">
        <v>0.0465548043719999</v>
      </c>
      <c r="P337" s="1" t="s">
        <v>61</v>
      </c>
      <c r="Q337" s="1" t="s">
        <v>61</v>
      </c>
      <c r="R337" s="1">
        <f t="shared" si="1"/>
        <v>0.04655480437</v>
      </c>
      <c r="S337" s="1">
        <f t="shared" si="2"/>
        <v>-140</v>
      </c>
      <c r="T337" s="1">
        <f t="shared" si="3"/>
        <v>1.714285714</v>
      </c>
      <c r="U337" s="1">
        <f t="shared" si="4"/>
        <v>0</v>
      </c>
      <c r="V337" s="3">
        <f t="shared" si="5"/>
        <v>1</v>
      </c>
      <c r="W337" s="3">
        <f t="shared" si="6"/>
        <v>3</v>
      </c>
      <c r="X337" s="3" t="str">
        <f>IFERROR(__xludf.DUMMYFUNCTION("split(B337,"" "")"),"D.")</f>
        <v>D.</v>
      </c>
      <c r="Y337" s="3" t="str">
        <f>IFERROR(__xludf.DUMMYFUNCTION("""COMPUTED_VALUE"""),"Montgomery")</f>
        <v>Montgomery</v>
      </c>
      <c r="AA337" s="8">
        <v>12.0</v>
      </c>
      <c r="AB337" s="3">
        <f t="shared" si="7"/>
        <v>0</v>
      </c>
      <c r="AC337" s="3">
        <f t="shared" si="8"/>
        <v>1</v>
      </c>
      <c r="AD337" s="3">
        <f t="shared" si="9"/>
        <v>0.7142857143</v>
      </c>
      <c r="AE337" s="3">
        <f t="shared" si="10"/>
        <v>0.7142857143</v>
      </c>
      <c r="AF337" s="3">
        <f t="shared" si="11"/>
        <v>2.142857143</v>
      </c>
      <c r="AG337" s="3">
        <f t="shared" si="12"/>
        <v>0.1724137931</v>
      </c>
    </row>
    <row r="338">
      <c r="A338" s="1" t="s">
        <v>9</v>
      </c>
      <c r="B338" s="1" t="s">
        <v>393</v>
      </c>
      <c r="C338" s="1" t="s">
        <v>19</v>
      </c>
      <c r="D338" s="1" t="s">
        <v>197</v>
      </c>
      <c r="E338" s="1" t="s">
        <v>72</v>
      </c>
      <c r="F338" s="1" t="s">
        <v>680</v>
      </c>
      <c r="G338" s="1">
        <v>85.5</v>
      </c>
      <c r="H338" s="1" t="s">
        <v>60</v>
      </c>
      <c r="I338" s="1">
        <v>-115.0</v>
      </c>
      <c r="J338" s="1">
        <v>-0.116795189599311</v>
      </c>
      <c r="K338" s="1" t="s">
        <v>61</v>
      </c>
      <c r="L338" s="1" t="s">
        <v>61</v>
      </c>
      <c r="M338" s="1" t="s">
        <v>62</v>
      </c>
      <c r="N338" s="1">
        <v>-117.0</v>
      </c>
      <c r="O338" s="1">
        <v>0.0426950227820595</v>
      </c>
      <c r="P338" s="1" t="s">
        <v>61</v>
      </c>
      <c r="Q338" s="1" t="s">
        <v>61</v>
      </c>
      <c r="R338" s="1">
        <f t="shared" si="1"/>
        <v>0.04269502278</v>
      </c>
      <c r="S338" s="1">
        <f t="shared" si="2"/>
        <v>-117</v>
      </c>
      <c r="T338" s="1">
        <f t="shared" si="3"/>
        <v>1.854700855</v>
      </c>
      <c r="U338" s="1">
        <f t="shared" si="4"/>
        <v>0</v>
      </c>
      <c r="V338" s="3">
        <f t="shared" si="5"/>
        <v>1</v>
      </c>
      <c r="W338" s="3">
        <f t="shared" si="6"/>
        <v>2</v>
      </c>
      <c r="X338" s="3" t="str">
        <f>IFERROR(__xludf.DUMMYFUNCTION("split(B338,"" "")"),"J.")</f>
        <v>J.</v>
      </c>
      <c r="Y338" s="3" t="str">
        <f>IFERROR(__xludf.DUMMYFUNCTION("""COMPUTED_VALUE"""),"Gibbs")</f>
        <v>Gibbs</v>
      </c>
      <c r="AA338" s="8">
        <v>108.0</v>
      </c>
      <c r="AB338" s="3">
        <f t="shared" si="7"/>
        <v>1</v>
      </c>
      <c r="AC338" s="3">
        <f t="shared" si="8"/>
        <v>0</v>
      </c>
      <c r="AD338" s="3">
        <f t="shared" si="9"/>
        <v>0.8547008547</v>
      </c>
      <c r="AE338" s="3">
        <f t="shared" si="10"/>
        <v>-1</v>
      </c>
      <c r="AF338" s="3">
        <f t="shared" si="11"/>
        <v>-2</v>
      </c>
      <c r="AG338" s="3">
        <f t="shared" si="12"/>
        <v>-0.2631578947</v>
      </c>
    </row>
    <row r="339">
      <c r="A339" s="1" t="s">
        <v>14</v>
      </c>
      <c r="B339" s="1" t="s">
        <v>241</v>
      </c>
      <c r="C339" s="1" t="s">
        <v>21</v>
      </c>
      <c r="D339" s="1" t="s">
        <v>197</v>
      </c>
      <c r="E339" s="1" t="s">
        <v>72</v>
      </c>
      <c r="F339" s="1" t="s">
        <v>680</v>
      </c>
      <c r="G339" s="1">
        <v>1.5</v>
      </c>
      <c r="H339" s="1" t="s">
        <v>60</v>
      </c>
      <c r="I339" s="1">
        <v>-128.0</v>
      </c>
      <c r="J339" s="1">
        <v>-0.109803508771929</v>
      </c>
      <c r="K339" s="1" t="s">
        <v>61</v>
      </c>
      <c r="L339" s="1" t="s">
        <v>61</v>
      </c>
      <c r="M339" s="1" t="s">
        <v>62</v>
      </c>
      <c r="N339" s="1">
        <v>-103.0</v>
      </c>
      <c r="O339" s="1">
        <v>0.0410108374384236</v>
      </c>
      <c r="P339" s="1" t="s">
        <v>61</v>
      </c>
      <c r="Q339" s="1" t="s">
        <v>61</v>
      </c>
      <c r="R339" s="1">
        <f t="shared" si="1"/>
        <v>0.04101083744</v>
      </c>
      <c r="S339" s="1">
        <f t="shared" si="2"/>
        <v>-103</v>
      </c>
      <c r="T339" s="1">
        <f t="shared" si="3"/>
        <v>1.970873786</v>
      </c>
      <c r="U339" s="1">
        <f t="shared" si="4"/>
        <v>0</v>
      </c>
      <c r="V339" s="3">
        <f t="shared" si="5"/>
        <v>1</v>
      </c>
      <c r="W339" s="3">
        <f t="shared" si="6"/>
        <v>2</v>
      </c>
      <c r="X339" s="3" t="str">
        <f>IFERROR(__xludf.DUMMYFUNCTION("split(B339,"" "")"),"J.")</f>
        <v>J.</v>
      </c>
      <c r="Y339" s="3" t="str">
        <f>IFERROR(__xludf.DUMMYFUNCTION("""COMPUTED_VALUE"""),"Goff")</f>
        <v>Goff</v>
      </c>
      <c r="AA339" s="8">
        <v>2.0</v>
      </c>
      <c r="AB339" s="3">
        <f t="shared" si="7"/>
        <v>1</v>
      </c>
      <c r="AC339" s="3">
        <f t="shared" si="8"/>
        <v>0</v>
      </c>
      <c r="AD339" s="3">
        <f t="shared" si="9"/>
        <v>0.9708737864</v>
      </c>
      <c r="AE339" s="3">
        <f t="shared" si="10"/>
        <v>-1</v>
      </c>
      <c r="AF339" s="3">
        <f t="shared" si="11"/>
        <v>-2</v>
      </c>
      <c r="AG339" s="3">
        <f t="shared" si="12"/>
        <v>-0.3333333333</v>
      </c>
    </row>
    <row r="340">
      <c r="A340" s="1" t="s">
        <v>8</v>
      </c>
      <c r="B340" s="1" t="s">
        <v>241</v>
      </c>
      <c r="C340" s="1" t="s">
        <v>21</v>
      </c>
      <c r="D340" s="1" t="s">
        <v>197</v>
      </c>
      <c r="E340" s="1" t="s">
        <v>72</v>
      </c>
      <c r="F340" s="1" t="s">
        <v>680</v>
      </c>
      <c r="G340" s="1">
        <v>1.5</v>
      </c>
      <c r="H340" s="1" t="s">
        <v>60</v>
      </c>
      <c r="I340" s="1">
        <v>-155.0</v>
      </c>
      <c r="J340" s="1">
        <v>-0.105373490786756</v>
      </c>
      <c r="K340" s="1" t="s">
        <v>61</v>
      </c>
      <c r="L340" s="1" t="s">
        <v>61</v>
      </c>
      <c r="M340" s="1" t="s">
        <v>62</v>
      </c>
      <c r="N340" s="1">
        <v>117.0</v>
      </c>
      <c r="O340" s="1">
        <v>0.0367061758093224</v>
      </c>
      <c r="P340" s="1" t="s">
        <v>61</v>
      </c>
      <c r="Q340" s="1" t="s">
        <v>61</v>
      </c>
      <c r="R340" s="1">
        <f t="shared" si="1"/>
        <v>0.03670617581</v>
      </c>
      <c r="S340" s="1">
        <f t="shared" si="2"/>
        <v>117</v>
      </c>
      <c r="T340" s="1">
        <f t="shared" si="3"/>
        <v>2.17</v>
      </c>
      <c r="U340" s="1">
        <f t="shared" si="4"/>
        <v>0</v>
      </c>
      <c r="V340" s="3">
        <f t="shared" si="5"/>
        <v>1</v>
      </c>
      <c r="W340" s="3">
        <f t="shared" si="6"/>
        <v>1</v>
      </c>
      <c r="X340" s="3" t="str">
        <f>IFERROR(__xludf.DUMMYFUNCTION("split(B340,"" "")"),"J.")</f>
        <v>J.</v>
      </c>
      <c r="Y340" s="3" t="str">
        <f>IFERROR(__xludf.DUMMYFUNCTION("""COMPUTED_VALUE"""),"Goff")</f>
        <v>Goff</v>
      </c>
      <c r="AA340" s="8">
        <v>1.0</v>
      </c>
      <c r="AB340" s="3">
        <f t="shared" si="7"/>
        <v>0</v>
      </c>
      <c r="AC340" s="3">
        <f t="shared" si="8"/>
        <v>1</v>
      </c>
      <c r="AD340" s="3">
        <f t="shared" si="9"/>
        <v>1.17</v>
      </c>
      <c r="AE340" s="3">
        <f t="shared" si="10"/>
        <v>1.17</v>
      </c>
      <c r="AF340" s="3">
        <f t="shared" si="11"/>
        <v>1.17</v>
      </c>
      <c r="AG340" s="3">
        <f t="shared" si="12"/>
        <v>0.3333333333</v>
      </c>
    </row>
    <row r="341">
      <c r="A341" s="1" t="s">
        <v>9</v>
      </c>
      <c r="B341" s="1" t="s">
        <v>446</v>
      </c>
      <c r="C341" s="1" t="s">
        <v>19</v>
      </c>
      <c r="D341" s="1" t="s">
        <v>197</v>
      </c>
      <c r="E341" s="1" t="s">
        <v>72</v>
      </c>
      <c r="F341" s="1" t="s">
        <v>680</v>
      </c>
      <c r="G341" s="1">
        <v>71.5</v>
      </c>
      <c r="H341" s="1" t="s">
        <v>60</v>
      </c>
      <c r="I341" s="1">
        <v>-117.0</v>
      </c>
      <c r="J341" s="1">
        <v>-0.105440175937489</v>
      </c>
      <c r="K341" s="1" t="s">
        <v>61</v>
      </c>
      <c r="L341" s="1" t="s">
        <v>61</v>
      </c>
      <c r="M341" s="1" t="s">
        <v>62</v>
      </c>
      <c r="N341" s="1">
        <v>-115.0</v>
      </c>
      <c r="O341" s="1">
        <v>0.031381073977677</v>
      </c>
      <c r="P341" s="1" t="s">
        <v>61</v>
      </c>
      <c r="Q341" s="1" t="s">
        <v>61</v>
      </c>
      <c r="R341" s="1">
        <f t="shared" si="1"/>
        <v>0.03138107398</v>
      </c>
      <c r="S341" s="1">
        <f t="shared" si="2"/>
        <v>-115</v>
      </c>
      <c r="T341" s="1">
        <f t="shared" si="3"/>
        <v>1.869565217</v>
      </c>
      <c r="U341" s="1">
        <f t="shared" si="4"/>
        <v>0</v>
      </c>
      <c r="V341" s="3">
        <f t="shared" si="5"/>
        <v>1</v>
      </c>
      <c r="W341" s="3">
        <f t="shared" si="6"/>
        <v>2</v>
      </c>
      <c r="X341" s="3" t="str">
        <f>IFERROR(__xludf.DUMMYFUNCTION("split(B341,"" "")"),"D.")</f>
        <v>D.</v>
      </c>
      <c r="Y341" s="3" t="str">
        <f>IFERROR(__xludf.DUMMYFUNCTION("""COMPUTED_VALUE"""),"Montgomery")</f>
        <v>Montgomery</v>
      </c>
      <c r="AA341" s="8">
        <v>56.0</v>
      </c>
      <c r="AB341" s="3">
        <f t="shared" si="7"/>
        <v>0</v>
      </c>
      <c r="AC341" s="3">
        <f t="shared" si="8"/>
        <v>1</v>
      </c>
      <c r="AD341" s="3">
        <f t="shared" si="9"/>
        <v>0.8695652174</v>
      </c>
      <c r="AE341" s="3">
        <f t="shared" si="10"/>
        <v>0.8695652174</v>
      </c>
      <c r="AF341" s="3">
        <f t="shared" si="11"/>
        <v>1.739130435</v>
      </c>
      <c r="AG341" s="3">
        <f t="shared" si="12"/>
        <v>0.2167832168</v>
      </c>
    </row>
    <row r="342">
      <c r="A342" s="1" t="s">
        <v>10</v>
      </c>
      <c r="B342" s="1" t="s">
        <v>446</v>
      </c>
      <c r="C342" s="1" t="s">
        <v>19</v>
      </c>
      <c r="D342" s="1" t="s">
        <v>197</v>
      </c>
      <c r="E342" s="1" t="s">
        <v>72</v>
      </c>
      <c r="F342" s="1" t="s">
        <v>680</v>
      </c>
      <c r="G342" s="1">
        <v>57.5</v>
      </c>
      <c r="H342" s="1" t="s">
        <v>60</v>
      </c>
      <c r="I342" s="1">
        <v>-121.0</v>
      </c>
      <c r="J342" s="1">
        <v>-0.104328017435393</v>
      </c>
      <c r="K342" s="1" t="s">
        <v>61</v>
      </c>
      <c r="L342" s="1" t="s">
        <v>61</v>
      </c>
      <c r="M342" s="1" t="s">
        <v>62</v>
      </c>
      <c r="N342" s="1">
        <v>-111.0</v>
      </c>
      <c r="O342" s="1">
        <v>0.0308003438051238</v>
      </c>
      <c r="P342" s="1" t="s">
        <v>61</v>
      </c>
      <c r="Q342" s="1" t="s">
        <v>61</v>
      </c>
      <c r="R342" s="1">
        <f t="shared" si="1"/>
        <v>0.03080034381</v>
      </c>
      <c r="S342" s="1">
        <f t="shared" si="2"/>
        <v>-111</v>
      </c>
      <c r="T342" s="1">
        <f t="shared" si="3"/>
        <v>1.900900901</v>
      </c>
      <c r="U342" s="1">
        <f t="shared" si="4"/>
        <v>0</v>
      </c>
      <c r="V342" s="3">
        <f t="shared" si="5"/>
        <v>1</v>
      </c>
      <c r="W342" s="3">
        <f t="shared" si="6"/>
        <v>2</v>
      </c>
      <c r="X342" s="3" t="str">
        <f>IFERROR(__xludf.DUMMYFUNCTION("split(B342,"" "")"),"D.")</f>
        <v>D.</v>
      </c>
      <c r="Y342" s="3" t="str">
        <f>IFERROR(__xludf.DUMMYFUNCTION("""COMPUTED_VALUE"""),"Montgomery")</f>
        <v>Montgomery</v>
      </c>
      <c r="AA342" s="8">
        <v>32.0</v>
      </c>
      <c r="AB342" s="3">
        <f t="shared" si="7"/>
        <v>0</v>
      </c>
      <c r="AC342" s="3">
        <f t="shared" si="8"/>
        <v>1</v>
      </c>
      <c r="AD342" s="3">
        <f t="shared" si="9"/>
        <v>0.9009009009</v>
      </c>
      <c r="AE342" s="3">
        <f t="shared" si="10"/>
        <v>0.9009009009</v>
      </c>
      <c r="AF342" s="3">
        <f t="shared" si="11"/>
        <v>1.801801802</v>
      </c>
      <c r="AG342" s="3">
        <f t="shared" si="12"/>
        <v>0.4434782609</v>
      </c>
    </row>
    <row r="343">
      <c r="A343" s="1" t="s">
        <v>12</v>
      </c>
      <c r="B343" s="1" t="s">
        <v>127</v>
      </c>
      <c r="C343" s="1" t="s">
        <v>18</v>
      </c>
      <c r="D343" s="1" t="s">
        <v>197</v>
      </c>
      <c r="E343" s="1" t="s">
        <v>72</v>
      </c>
      <c r="F343" s="1" t="s">
        <v>680</v>
      </c>
      <c r="G343" s="1">
        <v>2.5</v>
      </c>
      <c r="H343" s="1" t="s">
        <v>60</v>
      </c>
      <c r="I343" s="1">
        <v>-111.0</v>
      </c>
      <c r="J343" s="1">
        <v>-0.0974621886729857</v>
      </c>
      <c r="K343" s="1" t="s">
        <v>61</v>
      </c>
      <c r="L343" s="1" t="s">
        <v>61</v>
      </c>
      <c r="M343" s="1" t="s">
        <v>62</v>
      </c>
      <c r="N343" s="1">
        <v>-119.0</v>
      </c>
      <c r="O343" s="1">
        <v>0.0280162326662101</v>
      </c>
      <c r="P343" s="1" t="s">
        <v>61</v>
      </c>
      <c r="Q343" s="1" t="s">
        <v>61</v>
      </c>
      <c r="R343" s="1">
        <f t="shared" si="1"/>
        <v>0.02801623267</v>
      </c>
      <c r="S343" s="1">
        <f t="shared" si="2"/>
        <v>-119</v>
      </c>
      <c r="T343" s="1">
        <f t="shared" si="3"/>
        <v>1.840336134</v>
      </c>
      <c r="U343" s="1">
        <f t="shared" si="4"/>
        <v>0</v>
      </c>
      <c r="V343" s="3">
        <f t="shared" si="5"/>
        <v>1</v>
      </c>
      <c r="W343" s="3">
        <f t="shared" si="6"/>
        <v>3</v>
      </c>
      <c r="X343" s="3" t="str">
        <f>IFERROR(__xludf.DUMMYFUNCTION("split(B343,"" "")"),"J.")</f>
        <v>J.</v>
      </c>
      <c r="Y343" s="3" t="str">
        <f>IFERROR(__xludf.DUMMYFUNCTION("""COMPUTED_VALUE"""),"Williams")</f>
        <v>Williams</v>
      </c>
      <c r="AA343" s="8">
        <v>3.0</v>
      </c>
      <c r="AB343" s="3">
        <f t="shared" si="7"/>
        <v>1</v>
      </c>
      <c r="AC343" s="3">
        <f t="shared" si="8"/>
        <v>0</v>
      </c>
      <c r="AD343" s="3">
        <f t="shared" si="9"/>
        <v>0.8403361345</v>
      </c>
      <c r="AE343" s="3">
        <f t="shared" si="10"/>
        <v>-1</v>
      </c>
      <c r="AF343" s="3">
        <f t="shared" si="11"/>
        <v>-3</v>
      </c>
      <c r="AG343" s="3">
        <f t="shared" si="12"/>
        <v>-0.2</v>
      </c>
    </row>
    <row r="344">
      <c r="A344" s="1" t="s">
        <v>11</v>
      </c>
      <c r="B344" s="1" t="s">
        <v>534</v>
      </c>
      <c r="C344" s="1" t="s">
        <v>18</v>
      </c>
      <c r="D344" s="1" t="s">
        <v>197</v>
      </c>
      <c r="E344" s="1" t="s">
        <v>72</v>
      </c>
      <c r="F344" s="1" t="s">
        <v>680</v>
      </c>
      <c r="G344" s="1">
        <v>16.5</v>
      </c>
      <c r="H344" s="1" t="s">
        <v>60</v>
      </c>
      <c r="I344" s="1">
        <v>-111.0</v>
      </c>
      <c r="J344" s="1">
        <v>-0.0699731985602131</v>
      </c>
      <c r="K344" s="1" t="s">
        <v>61</v>
      </c>
      <c r="L344" s="1" t="s">
        <v>61</v>
      </c>
      <c r="M344" s="1" t="s">
        <v>62</v>
      </c>
      <c r="N344" s="1">
        <v>-118.0</v>
      </c>
      <c r="O344" s="1">
        <v>0.00263762833725633</v>
      </c>
      <c r="P344" s="1" t="s">
        <v>61</v>
      </c>
      <c r="Q344" s="1" t="s">
        <v>61</v>
      </c>
      <c r="R344" s="1">
        <f t="shared" si="1"/>
        <v>0.002637628337</v>
      </c>
      <c r="S344" s="1">
        <f t="shared" si="2"/>
        <v>-118</v>
      </c>
      <c r="T344" s="1">
        <f t="shared" si="3"/>
        <v>1.847457627</v>
      </c>
      <c r="U344" s="1">
        <f t="shared" si="4"/>
        <v>0</v>
      </c>
      <c r="V344" s="3">
        <f t="shared" si="5"/>
        <v>1</v>
      </c>
      <c r="W344" s="3">
        <f t="shared" si="6"/>
        <v>3</v>
      </c>
      <c r="X344" s="3" t="str">
        <f>IFERROR(__xludf.DUMMYFUNCTION("split(B344,"" "")"),"T.")</f>
        <v>T.</v>
      </c>
      <c r="Y344" s="3" t="str">
        <f>IFERROR(__xludf.DUMMYFUNCTION("""COMPUTED_VALUE"""),"Patrick")</f>
        <v>Patrick</v>
      </c>
      <c r="AA344" s="8">
        <v>0.0</v>
      </c>
      <c r="AB344" s="3">
        <f t="shared" si="7"/>
        <v>0</v>
      </c>
      <c r="AC344" s="3">
        <f t="shared" si="8"/>
        <v>1</v>
      </c>
      <c r="AD344" s="3">
        <f t="shared" si="9"/>
        <v>0.8474576271</v>
      </c>
      <c r="AE344" s="3">
        <f t="shared" si="10"/>
        <v>0.8474576271</v>
      </c>
      <c r="AF344" s="3">
        <f t="shared" si="11"/>
        <v>2.542372881</v>
      </c>
      <c r="AG344" s="3">
        <f t="shared" si="12"/>
        <v>1</v>
      </c>
    </row>
    <row r="345">
      <c r="A345" s="1" t="s">
        <v>11</v>
      </c>
      <c r="B345" s="1" t="s">
        <v>272</v>
      </c>
      <c r="C345" s="1" t="s">
        <v>18</v>
      </c>
      <c r="D345" s="1" t="s">
        <v>197</v>
      </c>
      <c r="E345" s="1" t="s">
        <v>72</v>
      </c>
      <c r="F345" s="1" t="s">
        <v>680</v>
      </c>
      <c r="G345" s="1">
        <v>9.5</v>
      </c>
      <c r="H345" s="1" t="s">
        <v>60</v>
      </c>
      <c r="I345" s="1">
        <v>-114.0</v>
      </c>
      <c r="J345" s="1">
        <v>0.0129716285488256</v>
      </c>
      <c r="K345" s="1" t="s">
        <v>61</v>
      </c>
      <c r="L345" s="1" t="s">
        <v>61</v>
      </c>
      <c r="M345" s="1" t="s">
        <v>62</v>
      </c>
      <c r="N345" s="1">
        <v>-111.0</v>
      </c>
      <c r="O345" s="1">
        <v>-0.0717459841018389</v>
      </c>
      <c r="P345" s="1" t="s">
        <v>61</v>
      </c>
      <c r="Q345" s="1" t="s">
        <v>61</v>
      </c>
      <c r="R345" s="1">
        <f t="shared" si="1"/>
        <v>0.01297162855</v>
      </c>
      <c r="S345" s="1">
        <f t="shared" si="2"/>
        <v>-114</v>
      </c>
      <c r="T345" s="1">
        <f t="shared" si="3"/>
        <v>1.877192982</v>
      </c>
      <c r="U345" s="1">
        <f t="shared" si="4"/>
        <v>1</v>
      </c>
      <c r="V345" s="3">
        <f t="shared" si="5"/>
        <v>1</v>
      </c>
      <c r="W345" s="3">
        <f t="shared" si="6"/>
        <v>2</v>
      </c>
      <c r="X345" s="3" t="str">
        <f>IFERROR(__xludf.DUMMYFUNCTION("split(B345,"" "")"),"K.")</f>
        <v>K.</v>
      </c>
      <c r="Y345" s="3" t="str">
        <f>IFERROR(__xludf.DUMMYFUNCTION("""COMPUTED_VALUE"""),"Raymond")</f>
        <v>Raymond</v>
      </c>
      <c r="AA345" s="8">
        <v>0.0</v>
      </c>
      <c r="AB345" s="3">
        <f t="shared" si="7"/>
        <v>0</v>
      </c>
      <c r="AC345" s="3">
        <f t="shared" si="8"/>
        <v>0</v>
      </c>
      <c r="AD345" s="3">
        <f t="shared" si="9"/>
        <v>0.8771929825</v>
      </c>
      <c r="AE345" s="3">
        <f t="shared" si="10"/>
        <v>-1</v>
      </c>
      <c r="AF345" s="3">
        <f t="shared" si="11"/>
        <v>-2</v>
      </c>
      <c r="AG345" s="3">
        <f t="shared" si="12"/>
        <v>-1</v>
      </c>
    </row>
    <row r="346">
      <c r="A346" s="1" t="s">
        <v>11</v>
      </c>
      <c r="B346" s="1" t="s">
        <v>446</v>
      </c>
      <c r="C346" s="1" t="s">
        <v>19</v>
      </c>
      <c r="D346" s="1" t="s">
        <v>197</v>
      </c>
      <c r="E346" s="1" t="s">
        <v>72</v>
      </c>
      <c r="F346" s="1" t="s">
        <v>680</v>
      </c>
      <c r="G346" s="1">
        <v>9.5</v>
      </c>
      <c r="H346" s="1" t="s">
        <v>60</v>
      </c>
      <c r="I346" s="1">
        <v>-116.0</v>
      </c>
      <c r="J346" s="1">
        <v>0.00854499769490524</v>
      </c>
      <c r="K346" s="1" t="s">
        <v>61</v>
      </c>
      <c r="L346" s="1" t="s">
        <v>61</v>
      </c>
      <c r="M346" s="1" t="s">
        <v>62</v>
      </c>
      <c r="N346" s="1">
        <v>-113.0</v>
      </c>
      <c r="O346" s="1">
        <v>-0.0760958452458802</v>
      </c>
      <c r="P346" s="1" t="s">
        <v>61</v>
      </c>
      <c r="Q346" s="1" t="s">
        <v>61</v>
      </c>
      <c r="R346" s="1">
        <f t="shared" si="1"/>
        <v>0.008544997695</v>
      </c>
      <c r="S346" s="1">
        <f t="shared" si="2"/>
        <v>-116</v>
      </c>
      <c r="T346" s="1">
        <f t="shared" si="3"/>
        <v>1.862068966</v>
      </c>
      <c r="U346" s="1">
        <f t="shared" si="4"/>
        <v>1</v>
      </c>
      <c r="V346" s="3">
        <f t="shared" si="5"/>
        <v>1</v>
      </c>
      <c r="W346" s="3">
        <f t="shared" si="6"/>
        <v>2</v>
      </c>
      <c r="X346" s="3" t="str">
        <f>IFERROR(__xludf.DUMMYFUNCTION("split(B346,"" "")"),"D.")</f>
        <v>D.</v>
      </c>
      <c r="Y346" s="3" t="str">
        <f>IFERROR(__xludf.DUMMYFUNCTION("""COMPUTED_VALUE"""),"Montgomery")</f>
        <v>Montgomery</v>
      </c>
      <c r="AA346" s="8">
        <v>24.0</v>
      </c>
      <c r="AB346" s="3">
        <f t="shared" si="7"/>
        <v>1</v>
      </c>
      <c r="AC346" s="3">
        <f t="shared" si="8"/>
        <v>1</v>
      </c>
      <c r="AD346" s="3">
        <f t="shared" si="9"/>
        <v>0.8620689655</v>
      </c>
      <c r="AE346" s="3">
        <f t="shared" si="10"/>
        <v>0.8620689655</v>
      </c>
      <c r="AF346" s="3">
        <f t="shared" si="11"/>
        <v>1.724137931</v>
      </c>
      <c r="AG346" s="3">
        <f t="shared" si="12"/>
        <v>1.526315789</v>
      </c>
    </row>
    <row r="347">
      <c r="A347" s="1" t="s">
        <v>9</v>
      </c>
      <c r="B347" s="1" t="s">
        <v>127</v>
      </c>
      <c r="C347" s="1" t="s">
        <v>18</v>
      </c>
      <c r="D347" s="1" t="s">
        <v>197</v>
      </c>
      <c r="E347" s="1" t="s">
        <v>72</v>
      </c>
      <c r="F347" s="1" t="s">
        <v>680</v>
      </c>
      <c r="G347" s="1">
        <v>44.5</v>
      </c>
      <c r="H347" s="1" t="s">
        <v>60</v>
      </c>
      <c r="I347" s="1">
        <v>-120.0</v>
      </c>
      <c r="J347" s="1">
        <v>0.00264287820119357</v>
      </c>
      <c r="K347" s="1" t="s">
        <v>61</v>
      </c>
      <c r="L347" s="1" t="s">
        <v>61</v>
      </c>
      <c r="M347" s="1" t="s">
        <v>62</v>
      </c>
      <c r="N347" s="1">
        <v>-115.0</v>
      </c>
      <c r="O347" s="1">
        <v>-0.0829276659762882</v>
      </c>
      <c r="P347" s="1" t="s">
        <v>61</v>
      </c>
      <c r="Q347" s="1" t="s">
        <v>61</v>
      </c>
      <c r="R347" s="1">
        <f t="shared" si="1"/>
        <v>0.002642878201</v>
      </c>
      <c r="S347" s="1">
        <f t="shared" si="2"/>
        <v>-120</v>
      </c>
      <c r="T347" s="1">
        <f t="shared" si="3"/>
        <v>1.833333333</v>
      </c>
      <c r="U347" s="1">
        <f t="shared" si="4"/>
        <v>1</v>
      </c>
      <c r="V347" s="3">
        <f t="shared" si="5"/>
        <v>1</v>
      </c>
      <c r="W347" s="3">
        <f t="shared" si="6"/>
        <v>3</v>
      </c>
      <c r="X347" s="3" t="str">
        <f>IFERROR(__xludf.DUMMYFUNCTION("split(B347,"" "")"),"J.")</f>
        <v>J.</v>
      </c>
      <c r="Y347" s="3" t="str">
        <f>IFERROR(__xludf.DUMMYFUNCTION("""COMPUTED_VALUE"""),"Williams")</f>
        <v>Williams</v>
      </c>
      <c r="AA347" s="8">
        <v>53.0</v>
      </c>
      <c r="AB347" s="3">
        <f t="shared" si="7"/>
        <v>1</v>
      </c>
      <c r="AC347" s="3">
        <f t="shared" si="8"/>
        <v>1</v>
      </c>
      <c r="AD347" s="3">
        <f t="shared" si="9"/>
        <v>0.8333333333</v>
      </c>
      <c r="AE347" s="3">
        <f t="shared" si="10"/>
        <v>0.8333333333</v>
      </c>
      <c r="AF347" s="3">
        <f t="shared" si="11"/>
        <v>2.5</v>
      </c>
      <c r="AG347" s="3">
        <f t="shared" si="12"/>
        <v>0.191011236</v>
      </c>
    </row>
    <row r="348">
      <c r="A348" s="1" t="s">
        <v>10</v>
      </c>
      <c r="B348" s="1" t="s">
        <v>127</v>
      </c>
      <c r="C348" s="1" t="s">
        <v>18</v>
      </c>
      <c r="D348" s="1" t="s">
        <v>197</v>
      </c>
      <c r="E348" s="1" t="s">
        <v>72</v>
      </c>
      <c r="F348" s="1" t="s">
        <v>680</v>
      </c>
      <c r="G348" s="1">
        <v>1.5</v>
      </c>
      <c r="H348" s="1" t="s">
        <v>60</v>
      </c>
      <c r="I348" s="1">
        <v>-113.0</v>
      </c>
      <c r="J348" s="1">
        <v>0.058259784849632</v>
      </c>
      <c r="K348" s="1" t="s">
        <v>61</v>
      </c>
      <c r="L348" s="1" t="s">
        <v>61</v>
      </c>
      <c r="M348" s="1" t="s">
        <v>62</v>
      </c>
      <c r="N348" s="1">
        <v>-115.0</v>
      </c>
      <c r="O348" s="1">
        <v>-0.12362889376282</v>
      </c>
      <c r="P348" s="1" t="s">
        <v>61</v>
      </c>
      <c r="Q348" s="1" t="s">
        <v>61</v>
      </c>
      <c r="R348" s="1">
        <f t="shared" si="1"/>
        <v>0.05825978485</v>
      </c>
      <c r="S348" s="1">
        <f t="shared" si="2"/>
        <v>-113</v>
      </c>
      <c r="T348" s="1">
        <f t="shared" si="3"/>
        <v>1.884955752</v>
      </c>
      <c r="U348" s="1">
        <f t="shared" si="4"/>
        <v>1</v>
      </c>
      <c r="V348" s="3">
        <f t="shared" si="5"/>
        <v>2</v>
      </c>
      <c r="W348" s="3">
        <f t="shared" si="6"/>
        <v>2</v>
      </c>
      <c r="X348" s="3" t="str">
        <f>IFERROR(__xludf.DUMMYFUNCTION("split(B348,"" "")"),"J.")</f>
        <v>J.</v>
      </c>
      <c r="Y348" s="3" t="str">
        <f>IFERROR(__xludf.DUMMYFUNCTION("""COMPUTED_VALUE"""),"Williams")</f>
        <v>Williams</v>
      </c>
      <c r="AA348" s="8">
        <v>0.0</v>
      </c>
      <c r="AB348" s="3">
        <f t="shared" si="7"/>
        <v>0</v>
      </c>
      <c r="AC348" s="3">
        <f t="shared" si="8"/>
        <v>0</v>
      </c>
      <c r="AD348" s="3">
        <f t="shared" si="9"/>
        <v>1.769911504</v>
      </c>
      <c r="AE348" s="3">
        <f t="shared" si="10"/>
        <v>-2</v>
      </c>
      <c r="AF348" s="3">
        <f t="shared" si="11"/>
        <v>-2</v>
      </c>
      <c r="AG348" s="3">
        <f t="shared" si="12"/>
        <v>-1</v>
      </c>
    </row>
    <row r="349">
      <c r="A349" s="1" t="s">
        <v>15</v>
      </c>
      <c r="B349" s="1" t="s">
        <v>241</v>
      </c>
      <c r="C349" s="1" t="s">
        <v>21</v>
      </c>
      <c r="D349" s="1" t="s">
        <v>197</v>
      </c>
      <c r="E349" s="1" t="s">
        <v>72</v>
      </c>
      <c r="F349" s="1" t="s">
        <v>680</v>
      </c>
      <c r="G349" s="1">
        <v>21.5</v>
      </c>
      <c r="H349" s="1" t="s">
        <v>60</v>
      </c>
      <c r="I349" s="1">
        <v>-104.0</v>
      </c>
      <c r="J349" s="1">
        <v>0.0643960784313726</v>
      </c>
      <c r="K349" s="1" t="s">
        <v>61</v>
      </c>
      <c r="L349" s="1" t="s">
        <v>61</v>
      </c>
      <c r="M349" s="1" t="s">
        <v>62</v>
      </c>
      <c r="N349" s="1">
        <v>-126.0</v>
      </c>
      <c r="O349" s="1">
        <v>-0.131722123893805</v>
      </c>
      <c r="P349" s="1" t="s">
        <v>61</v>
      </c>
      <c r="Q349" s="1" t="s">
        <v>61</v>
      </c>
      <c r="R349" s="1">
        <f t="shared" si="1"/>
        <v>0.06439607843</v>
      </c>
      <c r="S349" s="1">
        <f t="shared" si="2"/>
        <v>-104</v>
      </c>
      <c r="T349" s="1">
        <f t="shared" si="3"/>
        <v>1.961538462</v>
      </c>
      <c r="U349" s="1">
        <f t="shared" si="4"/>
        <v>1</v>
      </c>
      <c r="V349" s="3">
        <f t="shared" si="5"/>
        <v>2</v>
      </c>
      <c r="W349" s="3">
        <f t="shared" si="6"/>
        <v>2</v>
      </c>
      <c r="X349" s="3" t="str">
        <f>IFERROR(__xludf.DUMMYFUNCTION("split(B349,"" "")"),"J.")</f>
        <v>J.</v>
      </c>
      <c r="Y349" s="3" t="str">
        <f>IFERROR(__xludf.DUMMYFUNCTION("""COMPUTED_VALUE"""),"Goff")</f>
        <v>Goff</v>
      </c>
      <c r="AA349" s="8">
        <v>15.0</v>
      </c>
      <c r="AB349" s="3">
        <f t="shared" si="7"/>
        <v>0</v>
      </c>
      <c r="AC349" s="3">
        <f t="shared" si="8"/>
        <v>0</v>
      </c>
      <c r="AD349" s="3">
        <f t="shared" si="9"/>
        <v>1.923076923</v>
      </c>
      <c r="AE349" s="3">
        <f t="shared" si="10"/>
        <v>-2</v>
      </c>
      <c r="AF349" s="3">
        <f t="shared" si="11"/>
        <v>-2</v>
      </c>
      <c r="AG349" s="3">
        <f t="shared" si="12"/>
        <v>-0.3023255814</v>
      </c>
    </row>
    <row r="350">
      <c r="A350" s="1" t="s">
        <v>10</v>
      </c>
      <c r="B350" s="1" t="s">
        <v>241</v>
      </c>
      <c r="C350" s="1" t="s">
        <v>21</v>
      </c>
      <c r="D350" s="1" t="s">
        <v>197</v>
      </c>
      <c r="E350" s="1" t="s">
        <v>72</v>
      </c>
      <c r="F350" s="1" t="s">
        <v>680</v>
      </c>
      <c r="G350" s="1">
        <v>1.5</v>
      </c>
      <c r="H350" s="1" t="s">
        <v>60</v>
      </c>
      <c r="I350" s="1">
        <v>-109.0</v>
      </c>
      <c r="J350" s="1">
        <v>0.104471197260172</v>
      </c>
      <c r="K350" s="1" t="s">
        <v>61</v>
      </c>
      <c r="L350" s="1" t="s">
        <v>61</v>
      </c>
      <c r="M350" s="1" t="s">
        <v>62</v>
      </c>
      <c r="N350" s="1">
        <v>-120.0</v>
      </c>
      <c r="O350" s="1">
        <v>-0.171443164876596</v>
      </c>
      <c r="P350" s="1" t="s">
        <v>61</v>
      </c>
      <c r="Q350" s="1" t="s">
        <v>61</v>
      </c>
      <c r="R350" s="1">
        <f t="shared" si="1"/>
        <v>0.1044711973</v>
      </c>
      <c r="S350" s="1">
        <f t="shared" si="2"/>
        <v>-109</v>
      </c>
      <c r="T350" s="1">
        <f t="shared" si="3"/>
        <v>1.917431193</v>
      </c>
      <c r="U350" s="1">
        <f t="shared" si="4"/>
        <v>1</v>
      </c>
      <c r="V350" s="3">
        <f t="shared" si="5"/>
        <v>3</v>
      </c>
      <c r="W350" s="3">
        <f t="shared" si="6"/>
        <v>2</v>
      </c>
      <c r="X350" s="3" t="str">
        <f>IFERROR(__xludf.DUMMYFUNCTION("split(B350,"" "")"),"J.")</f>
        <v>J.</v>
      </c>
      <c r="Y350" s="3" t="str">
        <f>IFERROR(__xludf.DUMMYFUNCTION("""COMPUTED_VALUE"""),"Goff")</f>
        <v>Goff</v>
      </c>
      <c r="AA350" s="8">
        <v>2.0</v>
      </c>
      <c r="AB350" s="3">
        <f t="shared" si="7"/>
        <v>1</v>
      </c>
      <c r="AC350" s="3">
        <f t="shared" si="8"/>
        <v>1</v>
      </c>
      <c r="AD350" s="3">
        <f t="shared" si="9"/>
        <v>2.752293578</v>
      </c>
      <c r="AE350" s="3">
        <f t="shared" si="10"/>
        <v>2.752293578</v>
      </c>
      <c r="AF350" s="3">
        <f t="shared" si="11"/>
        <v>1.834862385</v>
      </c>
      <c r="AG350" s="3">
        <f t="shared" si="12"/>
        <v>0.3333333333</v>
      </c>
    </row>
    <row r="351">
      <c r="A351" s="1" t="s">
        <v>9</v>
      </c>
      <c r="B351" s="1" t="s">
        <v>534</v>
      </c>
      <c r="C351" s="1" t="s">
        <v>18</v>
      </c>
      <c r="D351" s="1" t="s">
        <v>197</v>
      </c>
      <c r="E351" s="1" t="s">
        <v>72</v>
      </c>
      <c r="F351" s="1" t="s">
        <v>680</v>
      </c>
      <c r="G351" s="1">
        <v>16.5</v>
      </c>
      <c r="H351" s="1" t="s">
        <v>60</v>
      </c>
      <c r="I351" s="1">
        <v>-117.0</v>
      </c>
      <c r="J351" s="1">
        <v>0.122979346297116</v>
      </c>
      <c r="K351" s="1" t="s">
        <v>61</v>
      </c>
      <c r="L351" s="1" t="s">
        <v>61</v>
      </c>
      <c r="M351" s="1" t="s">
        <v>62</v>
      </c>
      <c r="N351" s="1">
        <v>-115.0</v>
      </c>
      <c r="O351" s="1">
        <v>-0.197041585434629</v>
      </c>
      <c r="P351" s="1" t="s">
        <v>61</v>
      </c>
      <c r="Q351" s="1" t="s">
        <v>61</v>
      </c>
      <c r="R351" s="1">
        <f t="shared" si="1"/>
        <v>0.1229793463</v>
      </c>
      <c r="S351" s="1">
        <f t="shared" si="2"/>
        <v>-117</v>
      </c>
      <c r="T351" s="1">
        <f t="shared" si="3"/>
        <v>1.854700855</v>
      </c>
      <c r="U351" s="1">
        <f t="shared" si="4"/>
        <v>1</v>
      </c>
      <c r="V351" s="3">
        <f t="shared" si="5"/>
        <v>3</v>
      </c>
      <c r="W351" s="3">
        <f t="shared" si="6"/>
        <v>2</v>
      </c>
      <c r="X351" s="3" t="str">
        <f>IFERROR(__xludf.DUMMYFUNCTION("split(B351,"" "")"),"T.")</f>
        <v>T.</v>
      </c>
      <c r="Y351" s="3" t="str">
        <f>IFERROR(__xludf.DUMMYFUNCTION("""COMPUTED_VALUE"""),"Patrick")</f>
        <v>Patrick</v>
      </c>
      <c r="AA351" s="8">
        <v>0.0</v>
      </c>
      <c r="AB351" s="3">
        <f t="shared" si="7"/>
        <v>0</v>
      </c>
      <c r="AC351" s="3">
        <f t="shared" si="8"/>
        <v>0</v>
      </c>
      <c r="AD351" s="3">
        <f t="shared" si="9"/>
        <v>2.564102564</v>
      </c>
      <c r="AE351" s="3">
        <f t="shared" si="10"/>
        <v>-3</v>
      </c>
      <c r="AF351" s="3">
        <f t="shared" si="11"/>
        <v>-2</v>
      </c>
      <c r="AG351" s="3">
        <f t="shared" si="12"/>
        <v>-1</v>
      </c>
    </row>
    <row r="352">
      <c r="A352" s="1" t="s">
        <v>11</v>
      </c>
      <c r="B352" s="1" t="s">
        <v>617</v>
      </c>
      <c r="C352" s="1" t="s">
        <v>20</v>
      </c>
      <c r="D352" s="1" t="s">
        <v>197</v>
      </c>
      <c r="E352" s="1" t="s">
        <v>72</v>
      </c>
      <c r="F352" s="1" t="s">
        <v>680</v>
      </c>
      <c r="G352" s="1">
        <v>2.5</v>
      </c>
      <c r="H352" s="1" t="s">
        <v>60</v>
      </c>
      <c r="I352" s="1">
        <v>-118.0</v>
      </c>
      <c r="J352" s="1">
        <v>0.132920449958343</v>
      </c>
      <c r="K352" s="1" t="s">
        <v>61</v>
      </c>
      <c r="L352" s="1" t="s">
        <v>61</v>
      </c>
      <c r="M352" s="1" t="s">
        <v>62</v>
      </c>
      <c r="N352" s="1">
        <v>-115.0</v>
      </c>
      <c r="O352" s="1">
        <v>-0.209039566532821</v>
      </c>
      <c r="P352" s="1" t="s">
        <v>61</v>
      </c>
      <c r="Q352" s="1" t="s">
        <v>61</v>
      </c>
      <c r="R352" s="1">
        <f t="shared" si="1"/>
        <v>0.13292045</v>
      </c>
      <c r="S352" s="1">
        <f t="shared" si="2"/>
        <v>-118</v>
      </c>
      <c r="T352" s="1">
        <f t="shared" si="3"/>
        <v>1.847457627</v>
      </c>
      <c r="U352" s="1">
        <f t="shared" si="4"/>
        <v>1</v>
      </c>
      <c r="V352" s="3">
        <f t="shared" si="5"/>
        <v>3</v>
      </c>
      <c r="W352" s="3">
        <f t="shared" si="6"/>
        <v>3</v>
      </c>
      <c r="X352" s="3" t="str">
        <f>IFERROR(__xludf.DUMMYFUNCTION("split(B352,"" "")"),"B.")</f>
        <v>B.</v>
      </c>
      <c r="Y352" s="3" t="str">
        <f>IFERROR(__xludf.DUMMYFUNCTION("""COMPUTED_VALUE"""),"Wright")</f>
        <v>Wright</v>
      </c>
      <c r="AA352" s="8">
        <v>0.0</v>
      </c>
      <c r="AB352" s="3">
        <f t="shared" si="7"/>
        <v>0</v>
      </c>
      <c r="AC352" s="3">
        <f t="shared" si="8"/>
        <v>0</v>
      </c>
      <c r="AD352" s="3">
        <f t="shared" si="9"/>
        <v>2.542372881</v>
      </c>
      <c r="AE352" s="3">
        <f t="shared" si="10"/>
        <v>-3</v>
      </c>
      <c r="AF352" s="3">
        <f t="shared" si="11"/>
        <v>-3</v>
      </c>
      <c r="AG352" s="3">
        <f t="shared" si="12"/>
        <v>-1</v>
      </c>
    </row>
    <row r="353">
      <c r="A353" s="1" t="s">
        <v>12</v>
      </c>
      <c r="B353" s="1" t="s">
        <v>385</v>
      </c>
      <c r="C353" s="1" t="s">
        <v>18</v>
      </c>
      <c r="D353" s="1" t="s">
        <v>197</v>
      </c>
      <c r="E353" s="1" t="s">
        <v>72</v>
      </c>
      <c r="F353" s="1" t="s">
        <v>680</v>
      </c>
      <c r="G353" s="1">
        <v>6.5</v>
      </c>
      <c r="H353" s="1" t="s">
        <v>60</v>
      </c>
      <c r="I353" s="1">
        <v>108.0</v>
      </c>
      <c r="J353" s="1">
        <v>0.191878846153846</v>
      </c>
      <c r="K353" s="1" t="s">
        <v>61</v>
      </c>
      <c r="L353" s="1" t="s">
        <v>61</v>
      </c>
      <c r="M353" s="1" t="s">
        <v>62</v>
      </c>
      <c r="N353" s="1">
        <v>-142.0</v>
      </c>
      <c r="O353" s="1">
        <v>-0.259418181818181</v>
      </c>
      <c r="P353" s="1" t="s">
        <v>61</v>
      </c>
      <c r="Q353" s="1" t="s">
        <v>61</v>
      </c>
      <c r="R353" s="1">
        <f t="shared" si="1"/>
        <v>0.1918788462</v>
      </c>
      <c r="S353" s="1">
        <f t="shared" si="2"/>
        <v>108</v>
      </c>
      <c r="T353" s="1">
        <f t="shared" si="3"/>
        <v>2.08</v>
      </c>
      <c r="U353" s="1">
        <f t="shared" si="4"/>
        <v>1</v>
      </c>
      <c r="V353" s="3">
        <f t="shared" si="5"/>
        <v>3</v>
      </c>
      <c r="W353" s="3">
        <f t="shared" si="6"/>
        <v>2</v>
      </c>
      <c r="X353" s="3" t="str">
        <f>IFERROR(__xludf.DUMMYFUNCTION("split(B353,"" "")"),"A.")</f>
        <v>A.</v>
      </c>
      <c r="Y353" s="3" t="str">
        <f>IFERROR(__xludf.DUMMYFUNCTION("""COMPUTED_VALUE"""),"St.")</f>
        <v>St.</v>
      </c>
      <c r="Z353" s="3" t="str">
        <f>IFERROR(__xludf.DUMMYFUNCTION("""COMPUTED_VALUE"""),"Brown")</f>
        <v>Brown</v>
      </c>
      <c r="AA353" s="8">
        <v>6.0</v>
      </c>
      <c r="AB353" s="3">
        <f t="shared" si="7"/>
        <v>0</v>
      </c>
      <c r="AC353" s="3">
        <f t="shared" si="8"/>
        <v>0</v>
      </c>
      <c r="AD353" s="3">
        <f t="shared" si="9"/>
        <v>3.24</v>
      </c>
      <c r="AE353" s="3">
        <f t="shared" si="10"/>
        <v>-3</v>
      </c>
      <c r="AF353" s="3">
        <f t="shared" si="11"/>
        <v>-2</v>
      </c>
      <c r="AG353" s="3">
        <f t="shared" si="12"/>
        <v>-0.07692307692</v>
      </c>
    </row>
    <row r="354">
      <c r="A354" s="1" t="s">
        <v>8</v>
      </c>
      <c r="B354" s="1" t="s">
        <v>465</v>
      </c>
      <c r="C354" s="1" t="s">
        <v>19</v>
      </c>
      <c r="D354" s="1" t="s">
        <v>83</v>
      </c>
      <c r="E354" s="1" t="s">
        <v>76</v>
      </c>
      <c r="F354" s="1" t="s">
        <v>670</v>
      </c>
      <c r="G354" s="1">
        <v>3.5</v>
      </c>
      <c r="H354" s="1" t="s">
        <v>60</v>
      </c>
      <c r="I354" s="1">
        <v>-155.0</v>
      </c>
      <c r="J354" s="1">
        <v>-0.248596994179204</v>
      </c>
      <c r="K354" s="1" t="s">
        <v>61</v>
      </c>
      <c r="L354" s="1" t="s">
        <v>61</v>
      </c>
      <c r="M354" s="1" t="s">
        <v>62</v>
      </c>
      <c r="N354" s="1">
        <v>115.0</v>
      </c>
      <c r="O354" s="1">
        <v>0.175628993096265</v>
      </c>
      <c r="P354" s="1" t="s">
        <v>61</v>
      </c>
      <c r="Q354" s="1" t="s">
        <v>61</v>
      </c>
      <c r="R354" s="1">
        <f t="shared" si="1"/>
        <v>0.1756289931</v>
      </c>
      <c r="S354" s="1">
        <f t="shared" si="2"/>
        <v>115</v>
      </c>
      <c r="T354" s="1">
        <f t="shared" si="3"/>
        <v>2.15</v>
      </c>
      <c r="U354" s="1">
        <f t="shared" si="4"/>
        <v>0</v>
      </c>
      <c r="V354" s="3">
        <f t="shared" si="5"/>
        <v>3</v>
      </c>
      <c r="W354" s="3">
        <f t="shared" si="6"/>
        <v>1</v>
      </c>
      <c r="X354" s="3" t="str">
        <f>IFERROR(__xludf.DUMMYFUNCTION("split(B354,"" "")"),"J.")</f>
        <v>J.</v>
      </c>
      <c r="Y354" s="3" t="str">
        <f>IFERROR(__xludf.DUMMYFUNCTION("""COMPUTED_VALUE"""),"McLaughlin")</f>
        <v>McLaughlin</v>
      </c>
      <c r="AA354" s="8">
        <v>2.0</v>
      </c>
      <c r="AB354" s="3">
        <f t="shared" si="7"/>
        <v>0</v>
      </c>
      <c r="AC354" s="3">
        <f t="shared" si="8"/>
        <v>1</v>
      </c>
      <c r="AD354" s="3">
        <f t="shared" si="9"/>
        <v>3.45</v>
      </c>
      <c r="AE354" s="3">
        <f t="shared" si="10"/>
        <v>3.45</v>
      </c>
      <c r="AF354" s="3">
        <f t="shared" si="11"/>
        <v>1.15</v>
      </c>
      <c r="AG354" s="3">
        <f t="shared" si="12"/>
        <v>0.4285714286</v>
      </c>
    </row>
    <row r="355">
      <c r="A355" s="1" t="s">
        <v>12</v>
      </c>
      <c r="B355" s="1" t="s">
        <v>652</v>
      </c>
      <c r="C355" s="1" t="s">
        <v>18</v>
      </c>
      <c r="D355" s="1" t="s">
        <v>83</v>
      </c>
      <c r="E355" s="1" t="s">
        <v>76</v>
      </c>
      <c r="F355" s="1" t="s">
        <v>670</v>
      </c>
      <c r="G355" s="1">
        <v>1.5</v>
      </c>
      <c r="H355" s="1" t="s">
        <v>60</v>
      </c>
      <c r="I355" s="1">
        <v>-156.0</v>
      </c>
      <c r="J355" s="1">
        <v>-0.233413266171875</v>
      </c>
      <c r="K355" s="1" t="s">
        <v>61</v>
      </c>
      <c r="L355" s="1" t="s">
        <v>61</v>
      </c>
      <c r="M355" s="1" t="s">
        <v>62</v>
      </c>
      <c r="N355" s="1">
        <v>119.0</v>
      </c>
      <c r="O355" s="1">
        <v>0.167423726666666</v>
      </c>
      <c r="P355" s="1" t="s">
        <v>61</v>
      </c>
      <c r="Q355" s="1" t="s">
        <v>61</v>
      </c>
      <c r="R355" s="1">
        <f t="shared" si="1"/>
        <v>0.1674237267</v>
      </c>
      <c r="S355" s="1">
        <f t="shared" si="2"/>
        <v>119</v>
      </c>
      <c r="T355" s="1">
        <f t="shared" si="3"/>
        <v>2.19</v>
      </c>
      <c r="U355" s="1">
        <f t="shared" si="4"/>
        <v>0</v>
      </c>
      <c r="V355" s="3">
        <f t="shared" si="5"/>
        <v>3</v>
      </c>
      <c r="W355" s="3">
        <f t="shared" si="6"/>
        <v>1</v>
      </c>
      <c r="X355" s="3" t="str">
        <f>IFERROR(__xludf.DUMMYFUNCTION("split(B355,"" "")"),"T.")</f>
        <v>T.</v>
      </c>
      <c r="Y355" s="3" t="str">
        <f>IFERROR(__xludf.DUMMYFUNCTION("""COMPUTED_VALUE"""),"Franklin")</f>
        <v>Franklin</v>
      </c>
      <c r="AA355" s="8">
        <v>1.0</v>
      </c>
      <c r="AB355" s="3">
        <f t="shared" si="7"/>
        <v>0</v>
      </c>
      <c r="AC355" s="3">
        <f t="shared" si="8"/>
        <v>1</v>
      </c>
      <c r="AD355" s="3">
        <f t="shared" si="9"/>
        <v>3.57</v>
      </c>
      <c r="AE355" s="3">
        <f t="shared" si="10"/>
        <v>3.57</v>
      </c>
      <c r="AF355" s="3">
        <f t="shared" si="11"/>
        <v>1.19</v>
      </c>
      <c r="AG355" s="3">
        <f t="shared" si="12"/>
        <v>0.3333333333</v>
      </c>
    </row>
    <row r="356">
      <c r="A356" s="1" t="s">
        <v>14</v>
      </c>
      <c r="B356" s="1" t="s">
        <v>464</v>
      </c>
      <c r="C356" s="1" t="s">
        <v>21</v>
      </c>
      <c r="D356" s="1" t="s">
        <v>83</v>
      </c>
      <c r="E356" s="1" t="s">
        <v>76</v>
      </c>
      <c r="F356" s="1" t="s">
        <v>670</v>
      </c>
      <c r="G356" s="1">
        <v>0.5</v>
      </c>
      <c r="H356" s="1" t="s">
        <v>60</v>
      </c>
      <c r="I356" s="1">
        <v>-201.0</v>
      </c>
      <c r="J356" s="1">
        <v>-0.175205575182724</v>
      </c>
      <c r="K356" s="1" t="s">
        <v>61</v>
      </c>
      <c r="L356" s="1" t="s">
        <v>61</v>
      </c>
      <c r="M356" s="1" t="s">
        <v>62</v>
      </c>
      <c r="N356" s="1">
        <v>151.0</v>
      </c>
      <c r="O356" s="1">
        <v>0.109031386972111</v>
      </c>
      <c r="P356" s="1" t="s">
        <v>61</v>
      </c>
      <c r="Q356" s="1" t="s">
        <v>61</v>
      </c>
      <c r="R356" s="1">
        <f t="shared" si="1"/>
        <v>0.109031387</v>
      </c>
      <c r="S356" s="1">
        <f t="shared" si="2"/>
        <v>151</v>
      </c>
      <c r="T356" s="1">
        <f t="shared" si="3"/>
        <v>2.51</v>
      </c>
      <c r="U356" s="1">
        <f t="shared" si="4"/>
        <v>0</v>
      </c>
      <c r="V356" s="3">
        <f t="shared" si="5"/>
        <v>3</v>
      </c>
      <c r="W356" s="3">
        <f t="shared" si="6"/>
        <v>1</v>
      </c>
      <c r="X356" s="3" t="str">
        <f>IFERROR(__xludf.DUMMYFUNCTION("split(B356,"" "")"),"B.")</f>
        <v>B.</v>
      </c>
      <c r="Y356" s="3" t="str">
        <f>IFERROR(__xludf.DUMMYFUNCTION("""COMPUTED_VALUE"""),"Nix")</f>
        <v>Nix</v>
      </c>
      <c r="AA356" s="8">
        <v>2.0</v>
      </c>
      <c r="AB356" s="3">
        <f t="shared" si="7"/>
        <v>1</v>
      </c>
      <c r="AC356" s="3">
        <f t="shared" si="8"/>
        <v>0</v>
      </c>
      <c r="AD356" s="3">
        <f t="shared" si="9"/>
        <v>4.53</v>
      </c>
      <c r="AE356" s="3">
        <f t="shared" si="10"/>
        <v>-3</v>
      </c>
      <c r="AF356" s="3">
        <f t="shared" si="11"/>
        <v>-1</v>
      </c>
      <c r="AG356" s="3">
        <f t="shared" si="12"/>
        <v>-3</v>
      </c>
    </row>
    <row r="357">
      <c r="A357" s="1" t="s">
        <v>17</v>
      </c>
      <c r="B357" s="1" t="s">
        <v>464</v>
      </c>
      <c r="C357" s="1" t="s">
        <v>21</v>
      </c>
      <c r="D357" s="1" t="s">
        <v>83</v>
      </c>
      <c r="E357" s="1" t="s">
        <v>76</v>
      </c>
      <c r="F357" s="1" t="s">
        <v>670</v>
      </c>
      <c r="G357" s="1">
        <v>0.5</v>
      </c>
      <c r="H357" s="1" t="s">
        <v>60</v>
      </c>
      <c r="I357" s="1">
        <v>-156.0</v>
      </c>
      <c r="J357" s="1">
        <v>-0.169274999999999</v>
      </c>
      <c r="K357" s="1" t="s">
        <v>61</v>
      </c>
      <c r="L357" s="1" t="s">
        <v>61</v>
      </c>
      <c r="M357" s="1" t="s">
        <v>62</v>
      </c>
      <c r="N357" s="1">
        <v>118.0</v>
      </c>
      <c r="O357" s="1">
        <v>0.101184403669724</v>
      </c>
      <c r="P357" s="1" t="s">
        <v>61</v>
      </c>
      <c r="Q357" s="1" t="s">
        <v>61</v>
      </c>
      <c r="R357" s="1">
        <f t="shared" si="1"/>
        <v>0.1011844037</v>
      </c>
      <c r="S357" s="1">
        <f t="shared" si="2"/>
        <v>118</v>
      </c>
      <c r="T357" s="1">
        <f t="shared" si="3"/>
        <v>2.18</v>
      </c>
      <c r="U357" s="1">
        <f t="shared" si="4"/>
        <v>0</v>
      </c>
      <c r="V357" s="3">
        <f t="shared" si="5"/>
        <v>3</v>
      </c>
      <c r="W357" s="3">
        <f t="shared" si="6"/>
        <v>1</v>
      </c>
      <c r="X357" s="3" t="str">
        <f>IFERROR(__xludf.DUMMYFUNCTION("split(B357,"" "")"),"B.")</f>
        <v>B.</v>
      </c>
      <c r="Y357" s="3" t="str">
        <f>IFERROR(__xludf.DUMMYFUNCTION("""COMPUTED_VALUE"""),"Nix")</f>
        <v>Nix</v>
      </c>
      <c r="AA357" s="8">
        <v>0.0</v>
      </c>
      <c r="AB357" s="3">
        <f t="shared" si="7"/>
        <v>0</v>
      </c>
      <c r="AC357" s="3">
        <f t="shared" si="8"/>
        <v>1</v>
      </c>
      <c r="AD357" s="3">
        <f t="shared" si="9"/>
        <v>3.54</v>
      </c>
      <c r="AE357" s="3">
        <f t="shared" si="10"/>
        <v>3.54</v>
      </c>
      <c r="AF357" s="3">
        <f t="shared" si="11"/>
        <v>1.18</v>
      </c>
      <c r="AG357" s="3">
        <f t="shared" si="12"/>
        <v>1</v>
      </c>
    </row>
    <row r="358">
      <c r="A358" s="1" t="s">
        <v>8</v>
      </c>
      <c r="B358" s="1" t="s">
        <v>464</v>
      </c>
      <c r="C358" s="1" t="s">
        <v>21</v>
      </c>
      <c r="D358" s="1" t="s">
        <v>83</v>
      </c>
      <c r="E358" s="1" t="s">
        <v>76</v>
      </c>
      <c r="F358" s="1" t="s">
        <v>670</v>
      </c>
      <c r="G358" s="1">
        <v>6.5</v>
      </c>
      <c r="H358" s="1" t="s">
        <v>60</v>
      </c>
      <c r="I358" s="1">
        <v>108.0</v>
      </c>
      <c r="J358" s="1">
        <v>-0.167862950921194</v>
      </c>
      <c r="K358" s="1" t="s">
        <v>61</v>
      </c>
      <c r="L358" s="1" t="s">
        <v>61</v>
      </c>
      <c r="M358" s="1" t="s">
        <v>62</v>
      </c>
      <c r="N358" s="1">
        <v>-147.0</v>
      </c>
      <c r="O358" s="1">
        <v>0.0919657215237081</v>
      </c>
      <c r="P358" s="1" t="s">
        <v>61</v>
      </c>
      <c r="Q358" s="1" t="s">
        <v>61</v>
      </c>
      <c r="R358" s="1">
        <f t="shared" si="1"/>
        <v>0.09196572152</v>
      </c>
      <c r="S358" s="1">
        <f t="shared" si="2"/>
        <v>-147</v>
      </c>
      <c r="T358" s="1">
        <f t="shared" si="3"/>
        <v>1.680272109</v>
      </c>
      <c r="U358" s="1">
        <f t="shared" si="4"/>
        <v>0</v>
      </c>
      <c r="V358" s="3">
        <f t="shared" si="5"/>
        <v>2</v>
      </c>
      <c r="W358" s="3">
        <f t="shared" si="6"/>
        <v>3</v>
      </c>
      <c r="X358" s="3" t="str">
        <f>IFERROR(__xludf.DUMMYFUNCTION("split(B358,"" "")"),"B.")</f>
        <v>B.</v>
      </c>
      <c r="Y358" s="3" t="str">
        <f>IFERROR(__xludf.DUMMYFUNCTION("""COMPUTED_VALUE"""),"Nix")</f>
        <v>Nix</v>
      </c>
      <c r="AA358" s="8">
        <v>3.0</v>
      </c>
      <c r="AB358" s="3">
        <f t="shared" si="7"/>
        <v>0</v>
      </c>
      <c r="AC358" s="3">
        <f t="shared" si="8"/>
        <v>1</v>
      </c>
      <c r="AD358" s="3">
        <f t="shared" si="9"/>
        <v>1.360544218</v>
      </c>
      <c r="AE358" s="3">
        <f t="shared" si="10"/>
        <v>1.360544218</v>
      </c>
      <c r="AF358" s="3">
        <f t="shared" si="11"/>
        <v>2.040816327</v>
      </c>
      <c r="AG358" s="3">
        <f t="shared" si="12"/>
        <v>0.5384615385</v>
      </c>
    </row>
    <row r="359">
      <c r="A359" s="1" t="s">
        <v>12</v>
      </c>
      <c r="B359" s="1" t="s">
        <v>532</v>
      </c>
      <c r="C359" s="1" t="s">
        <v>18</v>
      </c>
      <c r="D359" s="1" t="s">
        <v>83</v>
      </c>
      <c r="E359" s="1" t="s">
        <v>76</v>
      </c>
      <c r="F359" s="1" t="s">
        <v>670</v>
      </c>
      <c r="G359" s="1">
        <v>2.5</v>
      </c>
      <c r="H359" s="1" t="s">
        <v>60</v>
      </c>
      <c r="I359" s="1">
        <v>134.0</v>
      </c>
      <c r="J359" s="1">
        <v>-0.137787903809401</v>
      </c>
      <c r="K359" s="1" t="s">
        <v>61</v>
      </c>
      <c r="L359" s="1" t="s">
        <v>61</v>
      </c>
      <c r="M359" s="1" t="s">
        <v>62</v>
      </c>
      <c r="N359" s="1">
        <v>-176.0</v>
      </c>
      <c r="O359" s="1">
        <v>0.0727492167014492</v>
      </c>
      <c r="P359" s="1" t="s">
        <v>61</v>
      </c>
      <c r="Q359" s="1" t="s">
        <v>61</v>
      </c>
      <c r="R359" s="1">
        <f t="shared" si="1"/>
        <v>0.0727492167</v>
      </c>
      <c r="S359" s="1">
        <f t="shared" si="2"/>
        <v>-176</v>
      </c>
      <c r="T359" s="1">
        <f t="shared" si="3"/>
        <v>1.568181818</v>
      </c>
      <c r="U359" s="1">
        <f t="shared" si="4"/>
        <v>0</v>
      </c>
      <c r="V359" s="3">
        <f t="shared" si="5"/>
        <v>2</v>
      </c>
      <c r="W359" s="3">
        <f t="shared" si="6"/>
        <v>3</v>
      </c>
      <c r="X359" s="3" t="str">
        <f>IFERROR(__xludf.DUMMYFUNCTION("split(B359,"" "")"),"L.")</f>
        <v>L.</v>
      </c>
      <c r="Y359" s="3" t="str">
        <f>IFERROR(__xludf.DUMMYFUNCTION("""COMPUTED_VALUE"""),"Humphrey")</f>
        <v>Humphrey</v>
      </c>
      <c r="AA359" s="8">
        <v>2.0</v>
      </c>
      <c r="AB359" s="3">
        <f t="shared" si="7"/>
        <v>0</v>
      </c>
      <c r="AC359" s="3">
        <f t="shared" si="8"/>
        <v>1</v>
      </c>
      <c r="AD359" s="3">
        <f t="shared" si="9"/>
        <v>1.136363636</v>
      </c>
      <c r="AE359" s="3">
        <f t="shared" si="10"/>
        <v>1.136363636</v>
      </c>
      <c r="AF359" s="3">
        <f t="shared" si="11"/>
        <v>1.704545455</v>
      </c>
      <c r="AG359" s="3">
        <f t="shared" si="12"/>
        <v>0.2</v>
      </c>
    </row>
    <row r="360">
      <c r="A360" s="1" t="s">
        <v>12</v>
      </c>
      <c r="B360" s="1" t="s">
        <v>533</v>
      </c>
      <c r="C360" s="1" t="s">
        <v>18</v>
      </c>
      <c r="D360" s="1" t="s">
        <v>83</v>
      </c>
      <c r="E360" s="1" t="s">
        <v>76</v>
      </c>
      <c r="F360" s="1" t="s">
        <v>670</v>
      </c>
      <c r="G360" s="1">
        <v>2.5</v>
      </c>
      <c r="H360" s="1" t="s">
        <v>60</v>
      </c>
      <c r="I360" s="1">
        <v>118.0</v>
      </c>
      <c r="J360" s="1">
        <v>-0.123659660920183</v>
      </c>
      <c r="K360" s="1" t="s">
        <v>61</v>
      </c>
      <c r="L360" s="1" t="s">
        <v>61</v>
      </c>
      <c r="M360" s="1" t="s">
        <v>62</v>
      </c>
      <c r="N360" s="1">
        <v>-155.0</v>
      </c>
      <c r="O360" s="1">
        <v>0.0570940492686274</v>
      </c>
      <c r="P360" s="1" t="s">
        <v>61</v>
      </c>
      <c r="Q360" s="1" t="s">
        <v>61</v>
      </c>
      <c r="R360" s="1">
        <f t="shared" si="1"/>
        <v>0.05709404927</v>
      </c>
      <c r="S360" s="1">
        <f t="shared" si="2"/>
        <v>-155</v>
      </c>
      <c r="T360" s="1">
        <f t="shared" si="3"/>
        <v>1.64516129</v>
      </c>
      <c r="U360" s="1">
        <f t="shared" si="4"/>
        <v>0</v>
      </c>
      <c r="V360" s="3">
        <f t="shared" si="5"/>
        <v>2</v>
      </c>
      <c r="W360" s="3">
        <f t="shared" si="6"/>
        <v>3</v>
      </c>
      <c r="X360" s="3" t="str">
        <f>IFERROR(__xludf.DUMMYFUNCTION("split(B360,"" "")"),"D.")</f>
        <v>D.</v>
      </c>
      <c r="Y360" s="3" t="str">
        <f>IFERROR(__xludf.DUMMYFUNCTION("""COMPUTED_VALUE"""),"Vele")</f>
        <v>Vele</v>
      </c>
      <c r="AA360" s="8">
        <v>4.0</v>
      </c>
      <c r="AB360" s="3">
        <f t="shared" si="7"/>
        <v>1</v>
      </c>
      <c r="AC360" s="3">
        <f t="shared" si="8"/>
        <v>0</v>
      </c>
      <c r="AD360" s="3">
        <f t="shared" si="9"/>
        <v>1.290322581</v>
      </c>
      <c r="AE360" s="3">
        <f t="shared" si="10"/>
        <v>-2</v>
      </c>
      <c r="AF360" s="3">
        <f t="shared" si="11"/>
        <v>-3</v>
      </c>
      <c r="AG360" s="3">
        <f t="shared" si="12"/>
        <v>-0.6</v>
      </c>
    </row>
    <row r="361">
      <c r="A361" s="1" t="s">
        <v>12</v>
      </c>
      <c r="B361" s="1" t="s">
        <v>127</v>
      </c>
      <c r="C361" s="1" t="s">
        <v>19</v>
      </c>
      <c r="D361" s="1" t="s">
        <v>83</v>
      </c>
      <c r="E361" s="1" t="s">
        <v>76</v>
      </c>
      <c r="F361" s="1" t="s">
        <v>670</v>
      </c>
      <c r="G361" s="1">
        <v>3.5</v>
      </c>
      <c r="H361" s="1" t="s">
        <v>60</v>
      </c>
      <c r="I361" s="1">
        <v>126.0</v>
      </c>
      <c r="J361" s="1">
        <v>-0.115266371681415</v>
      </c>
      <c r="K361" s="1" t="s">
        <v>61</v>
      </c>
      <c r="L361" s="1" t="s">
        <v>61</v>
      </c>
      <c r="M361" s="1" t="s">
        <v>62</v>
      </c>
      <c r="N361" s="1">
        <v>-166.0</v>
      </c>
      <c r="O361" s="1">
        <v>0.0487150375939848</v>
      </c>
      <c r="P361" s="1" t="s">
        <v>61</v>
      </c>
      <c r="Q361" s="1" t="s">
        <v>61</v>
      </c>
      <c r="R361" s="1">
        <f t="shared" si="1"/>
        <v>0.04871503759</v>
      </c>
      <c r="S361" s="1">
        <f t="shared" si="2"/>
        <v>-166</v>
      </c>
      <c r="T361" s="1">
        <f t="shared" si="3"/>
        <v>1.602409639</v>
      </c>
      <c r="U361" s="1">
        <f t="shared" si="4"/>
        <v>0</v>
      </c>
      <c r="V361" s="3">
        <f t="shared" si="5"/>
        <v>1</v>
      </c>
      <c r="W361" s="3">
        <f t="shared" si="6"/>
        <v>3</v>
      </c>
      <c r="X361" s="3" t="str">
        <f>IFERROR(__xludf.DUMMYFUNCTION("split(B361,"" "")"),"J.")</f>
        <v>J.</v>
      </c>
      <c r="Y361" s="3" t="str">
        <f>IFERROR(__xludf.DUMMYFUNCTION("""COMPUTED_VALUE"""),"Williams")</f>
        <v>Williams</v>
      </c>
      <c r="AA361" s="8">
        <v>2.0</v>
      </c>
      <c r="AB361" s="3">
        <f t="shared" si="7"/>
        <v>0</v>
      </c>
      <c r="AC361" s="3">
        <f t="shared" si="8"/>
        <v>1</v>
      </c>
      <c r="AD361" s="3">
        <f t="shared" si="9"/>
        <v>0.6024096386</v>
      </c>
      <c r="AE361" s="3">
        <f t="shared" si="10"/>
        <v>0.6024096386</v>
      </c>
      <c r="AF361" s="3">
        <f t="shared" si="11"/>
        <v>1.807228916</v>
      </c>
      <c r="AG361" s="3">
        <f t="shared" si="12"/>
        <v>0.4285714286</v>
      </c>
    </row>
    <row r="362">
      <c r="A362" s="1" t="s">
        <v>8</v>
      </c>
      <c r="B362" s="1" t="s">
        <v>127</v>
      </c>
      <c r="C362" s="1" t="s">
        <v>19</v>
      </c>
      <c r="D362" s="1" t="s">
        <v>83</v>
      </c>
      <c r="E362" s="1" t="s">
        <v>76</v>
      </c>
      <c r="F362" s="1" t="s">
        <v>670</v>
      </c>
      <c r="G362" s="1">
        <v>10.5</v>
      </c>
      <c r="H362" s="1" t="s">
        <v>60</v>
      </c>
      <c r="I362" s="1">
        <v>107.0</v>
      </c>
      <c r="J362" s="1">
        <v>-0.106795109213594</v>
      </c>
      <c r="K362" s="1" t="s">
        <v>61</v>
      </c>
      <c r="L362" s="1" t="s">
        <v>61</v>
      </c>
      <c r="M362" s="1" t="s">
        <v>62</v>
      </c>
      <c r="N362" s="1">
        <v>-143.0</v>
      </c>
      <c r="O362" s="1">
        <v>0.0352402610604052</v>
      </c>
      <c r="P362" s="1" t="s">
        <v>61</v>
      </c>
      <c r="Q362" s="1" t="s">
        <v>61</v>
      </c>
      <c r="R362" s="1">
        <f t="shared" si="1"/>
        <v>0.03524026106</v>
      </c>
      <c r="S362" s="1">
        <f t="shared" si="2"/>
        <v>-143</v>
      </c>
      <c r="T362" s="1">
        <f t="shared" si="3"/>
        <v>1.699300699</v>
      </c>
      <c r="U362" s="1">
        <f t="shared" si="4"/>
        <v>0</v>
      </c>
      <c r="V362" s="3">
        <f t="shared" si="5"/>
        <v>1</v>
      </c>
      <c r="W362" s="3">
        <f t="shared" si="6"/>
        <v>3</v>
      </c>
      <c r="X362" s="3" t="str">
        <f>IFERROR(__xludf.DUMMYFUNCTION("split(B362,"" "")"),"J.")</f>
        <v>J.</v>
      </c>
      <c r="Y362" s="3" t="str">
        <f>IFERROR(__xludf.DUMMYFUNCTION("""COMPUTED_VALUE"""),"Williams")</f>
        <v>Williams</v>
      </c>
      <c r="AA362" s="8">
        <v>1.0</v>
      </c>
      <c r="AB362" s="3">
        <f t="shared" si="7"/>
        <v>0</v>
      </c>
      <c r="AC362" s="3">
        <f t="shared" si="8"/>
        <v>1</v>
      </c>
      <c r="AD362" s="3">
        <f t="shared" si="9"/>
        <v>0.6993006993</v>
      </c>
      <c r="AE362" s="3">
        <f t="shared" si="10"/>
        <v>0.6993006993</v>
      </c>
      <c r="AF362" s="3">
        <f t="shared" si="11"/>
        <v>2.097902098</v>
      </c>
      <c r="AG362" s="3">
        <f t="shared" si="12"/>
        <v>0.9047619048</v>
      </c>
    </row>
    <row r="363">
      <c r="A363" s="1" t="s">
        <v>11</v>
      </c>
      <c r="B363" s="1" t="s">
        <v>532</v>
      </c>
      <c r="C363" s="1" t="s">
        <v>18</v>
      </c>
      <c r="D363" s="1" t="s">
        <v>83</v>
      </c>
      <c r="E363" s="1" t="s">
        <v>76</v>
      </c>
      <c r="F363" s="1" t="s">
        <v>670</v>
      </c>
      <c r="G363" s="1">
        <v>21.5</v>
      </c>
      <c r="H363" s="1" t="s">
        <v>60</v>
      </c>
      <c r="I363" s="1">
        <v>-114.0</v>
      </c>
      <c r="J363" s="1">
        <v>-0.0985626807337196</v>
      </c>
      <c r="K363" s="1" t="s">
        <v>61</v>
      </c>
      <c r="L363" s="1" t="s">
        <v>61</v>
      </c>
      <c r="M363" s="1" t="s">
        <v>62</v>
      </c>
      <c r="N363" s="1">
        <v>-115.0</v>
      </c>
      <c r="O363" s="1">
        <v>0.0309762592026436</v>
      </c>
      <c r="P363" s="1" t="s">
        <v>61</v>
      </c>
      <c r="Q363" s="1" t="s">
        <v>61</v>
      </c>
      <c r="R363" s="1">
        <f t="shared" si="1"/>
        <v>0.0309762592</v>
      </c>
      <c r="S363" s="1">
        <f t="shared" si="2"/>
        <v>-115</v>
      </c>
      <c r="T363" s="1">
        <f t="shared" si="3"/>
        <v>1.869565217</v>
      </c>
      <c r="U363" s="1">
        <f t="shared" si="4"/>
        <v>0</v>
      </c>
      <c r="V363" s="3">
        <f t="shared" si="5"/>
        <v>1</v>
      </c>
      <c r="W363" s="3">
        <f t="shared" si="6"/>
        <v>2</v>
      </c>
      <c r="X363" s="3" t="str">
        <f>IFERROR(__xludf.DUMMYFUNCTION("split(B363,"" "")"),"L.")</f>
        <v>L.</v>
      </c>
      <c r="Y363" s="3" t="str">
        <f>IFERROR(__xludf.DUMMYFUNCTION("""COMPUTED_VALUE"""),"Humphrey")</f>
        <v>Humphrey</v>
      </c>
      <c r="AA363" s="8">
        <v>23.0</v>
      </c>
      <c r="AB363" s="3">
        <f t="shared" si="7"/>
        <v>1</v>
      </c>
      <c r="AC363" s="3">
        <f t="shared" si="8"/>
        <v>0</v>
      </c>
      <c r="AD363" s="3">
        <f t="shared" si="9"/>
        <v>0.8695652174</v>
      </c>
      <c r="AE363" s="3">
        <f t="shared" si="10"/>
        <v>-1</v>
      </c>
      <c r="AF363" s="3">
        <f t="shared" si="11"/>
        <v>-2</v>
      </c>
      <c r="AG363" s="3">
        <f t="shared" si="12"/>
        <v>-0.06976744186</v>
      </c>
    </row>
    <row r="364">
      <c r="A364" s="1" t="s">
        <v>10</v>
      </c>
      <c r="B364" s="1" t="s">
        <v>464</v>
      </c>
      <c r="C364" s="1" t="s">
        <v>21</v>
      </c>
      <c r="D364" s="1" t="s">
        <v>83</v>
      </c>
      <c r="E364" s="1" t="s">
        <v>76</v>
      </c>
      <c r="F364" s="1" t="s">
        <v>670</v>
      </c>
      <c r="G364" s="1">
        <v>27.5</v>
      </c>
      <c r="H364" s="1" t="s">
        <v>60</v>
      </c>
      <c r="I364" s="1">
        <v>-119.0</v>
      </c>
      <c r="J364" s="1">
        <v>-0.094415049914557</v>
      </c>
      <c r="K364" s="1" t="s">
        <v>61</v>
      </c>
      <c r="L364" s="1" t="s">
        <v>61</v>
      </c>
      <c r="M364" s="1" t="s">
        <v>62</v>
      </c>
      <c r="N364" s="1">
        <v>-111.0</v>
      </c>
      <c r="O364" s="1">
        <v>0.0249903956574867</v>
      </c>
      <c r="P364" s="1" t="s">
        <v>61</v>
      </c>
      <c r="Q364" s="1" t="s">
        <v>61</v>
      </c>
      <c r="R364" s="1">
        <f t="shared" si="1"/>
        <v>0.02499039566</v>
      </c>
      <c r="S364" s="1">
        <f t="shared" si="2"/>
        <v>-111</v>
      </c>
      <c r="T364" s="1">
        <f t="shared" si="3"/>
        <v>1.900900901</v>
      </c>
      <c r="U364" s="1">
        <f t="shared" si="4"/>
        <v>0</v>
      </c>
      <c r="V364" s="3">
        <f t="shared" si="5"/>
        <v>1</v>
      </c>
      <c r="W364" s="3">
        <f t="shared" si="6"/>
        <v>2</v>
      </c>
      <c r="X364" s="3" t="str">
        <f>IFERROR(__xludf.DUMMYFUNCTION("split(B364,"" "")"),"B.")</f>
        <v>B.</v>
      </c>
      <c r="Y364" s="3" t="str">
        <f>IFERROR(__xludf.DUMMYFUNCTION("""COMPUTED_VALUE"""),"Nix")</f>
        <v>Nix</v>
      </c>
      <c r="AA364" s="8">
        <v>-5.0</v>
      </c>
      <c r="AB364" s="3">
        <f t="shared" si="7"/>
        <v>0</v>
      </c>
      <c r="AC364" s="3">
        <f t="shared" si="8"/>
        <v>1</v>
      </c>
      <c r="AD364" s="3">
        <f t="shared" si="9"/>
        <v>0.9009009009</v>
      </c>
      <c r="AE364" s="3">
        <f t="shared" si="10"/>
        <v>0.9009009009</v>
      </c>
      <c r="AF364" s="3">
        <f t="shared" si="11"/>
        <v>1.801801802</v>
      </c>
      <c r="AG364" s="3">
        <f t="shared" si="12"/>
        <v>1.181818182</v>
      </c>
    </row>
    <row r="365">
      <c r="A365" s="1" t="s">
        <v>12</v>
      </c>
      <c r="B365" s="1" t="s">
        <v>401</v>
      </c>
      <c r="C365" s="1" t="s">
        <v>18</v>
      </c>
      <c r="D365" s="1" t="s">
        <v>83</v>
      </c>
      <c r="E365" s="1" t="s">
        <v>76</v>
      </c>
      <c r="F365" s="1" t="s">
        <v>670</v>
      </c>
      <c r="G365" s="1">
        <v>3.5</v>
      </c>
      <c r="H365" s="1" t="s">
        <v>60</v>
      </c>
      <c r="I365" s="1">
        <v>-134.0</v>
      </c>
      <c r="J365" s="1">
        <v>-0.0838495726495727</v>
      </c>
      <c r="K365" s="1" t="s">
        <v>61</v>
      </c>
      <c r="L365" s="1" t="s">
        <v>61</v>
      </c>
      <c r="M365" s="1" t="s">
        <v>62</v>
      </c>
      <c r="N365" s="1">
        <v>104.0</v>
      </c>
      <c r="O365" s="1">
        <v>0.0210039215686275</v>
      </c>
      <c r="P365" s="1" t="s">
        <v>61</v>
      </c>
      <c r="Q365" s="1" t="s">
        <v>61</v>
      </c>
      <c r="R365" s="1">
        <f t="shared" si="1"/>
        <v>0.02100392157</v>
      </c>
      <c r="S365" s="1">
        <f t="shared" si="2"/>
        <v>104</v>
      </c>
      <c r="T365" s="1">
        <f t="shared" si="3"/>
        <v>2.04</v>
      </c>
      <c r="U365" s="1">
        <f t="shared" si="4"/>
        <v>0</v>
      </c>
      <c r="V365" s="3">
        <f t="shared" si="5"/>
        <v>1</v>
      </c>
      <c r="W365" s="3">
        <f t="shared" si="6"/>
        <v>2</v>
      </c>
      <c r="X365" s="3" t="str">
        <f>IFERROR(__xludf.DUMMYFUNCTION("split(B365,"" "")"),"C.")</f>
        <v>C.</v>
      </c>
      <c r="Y365" s="3" t="str">
        <f>IFERROR(__xludf.DUMMYFUNCTION("""COMPUTED_VALUE"""),"Sutton")</f>
        <v>Sutton</v>
      </c>
      <c r="AA365" s="8">
        <v>6.0</v>
      </c>
      <c r="AB365" s="3">
        <f t="shared" si="7"/>
        <v>1</v>
      </c>
      <c r="AC365" s="3">
        <f t="shared" si="8"/>
        <v>0</v>
      </c>
      <c r="AD365" s="3">
        <f t="shared" si="9"/>
        <v>1.04</v>
      </c>
      <c r="AE365" s="3">
        <f t="shared" si="10"/>
        <v>-1</v>
      </c>
      <c r="AF365" s="3">
        <f t="shared" si="11"/>
        <v>-2</v>
      </c>
      <c r="AG365" s="3">
        <f t="shared" si="12"/>
        <v>-0.7142857143</v>
      </c>
    </row>
    <row r="366">
      <c r="A366" s="1" t="s">
        <v>11</v>
      </c>
      <c r="B366" s="1" t="s">
        <v>127</v>
      </c>
      <c r="C366" s="1" t="s">
        <v>19</v>
      </c>
      <c r="D366" s="1" t="s">
        <v>83</v>
      </c>
      <c r="E366" s="1" t="s">
        <v>76</v>
      </c>
      <c r="F366" s="1" t="s">
        <v>670</v>
      </c>
      <c r="G366" s="1">
        <v>20.5</v>
      </c>
      <c r="H366" s="1" t="s">
        <v>60</v>
      </c>
      <c r="I366" s="1">
        <v>-111.0</v>
      </c>
      <c r="J366" s="1">
        <v>-0.0889563735220331</v>
      </c>
      <c r="K366" s="1" t="s">
        <v>61</v>
      </c>
      <c r="L366" s="1" t="s">
        <v>61</v>
      </c>
      <c r="M366" s="1" t="s">
        <v>62</v>
      </c>
      <c r="N366" s="1">
        <v>-119.0</v>
      </c>
      <c r="O366" s="1">
        <v>0.0195242183910837</v>
      </c>
      <c r="P366" s="1" t="s">
        <v>61</v>
      </c>
      <c r="Q366" s="1" t="s">
        <v>61</v>
      </c>
      <c r="R366" s="1">
        <f t="shared" si="1"/>
        <v>0.01952421839</v>
      </c>
      <c r="S366" s="1">
        <f t="shared" si="2"/>
        <v>-119</v>
      </c>
      <c r="T366" s="1">
        <f t="shared" si="3"/>
        <v>1.840336134</v>
      </c>
      <c r="U366" s="1">
        <f t="shared" si="4"/>
        <v>0</v>
      </c>
      <c r="V366" s="3">
        <f t="shared" si="5"/>
        <v>1</v>
      </c>
      <c r="W366" s="3">
        <f t="shared" si="6"/>
        <v>3</v>
      </c>
      <c r="X366" s="3" t="str">
        <f>IFERROR(__xludf.DUMMYFUNCTION("split(B366,"" "")"),"J.")</f>
        <v>J.</v>
      </c>
      <c r="Y366" s="3" t="str">
        <f>IFERROR(__xludf.DUMMYFUNCTION("""COMPUTED_VALUE"""),"Williams")</f>
        <v>Williams</v>
      </c>
      <c r="AA366" s="8">
        <v>6.0</v>
      </c>
      <c r="AB366" s="3">
        <f t="shared" si="7"/>
        <v>0</v>
      </c>
      <c r="AC366" s="3">
        <f t="shared" si="8"/>
        <v>1</v>
      </c>
      <c r="AD366" s="3">
        <f t="shared" si="9"/>
        <v>0.8403361345</v>
      </c>
      <c r="AE366" s="3">
        <f t="shared" si="10"/>
        <v>0.8403361345</v>
      </c>
      <c r="AF366" s="3">
        <f t="shared" si="11"/>
        <v>2.521008403</v>
      </c>
      <c r="AG366" s="3">
        <f t="shared" si="12"/>
        <v>0.7073170732</v>
      </c>
    </row>
    <row r="367">
      <c r="A367" s="1" t="s">
        <v>11</v>
      </c>
      <c r="B367" s="1" t="s">
        <v>533</v>
      </c>
      <c r="C367" s="1" t="s">
        <v>18</v>
      </c>
      <c r="D367" s="1" t="s">
        <v>83</v>
      </c>
      <c r="E367" s="1" t="s">
        <v>76</v>
      </c>
      <c r="F367" s="1" t="s">
        <v>670</v>
      </c>
      <c r="G367" s="1">
        <v>22.5</v>
      </c>
      <c r="H367" s="1" t="s">
        <v>60</v>
      </c>
      <c r="I367" s="1">
        <v>-116.0</v>
      </c>
      <c r="J367" s="1">
        <v>-0.0811275992507222</v>
      </c>
      <c r="K367" s="1" t="s">
        <v>61</v>
      </c>
      <c r="L367" s="1" t="s">
        <v>61</v>
      </c>
      <c r="M367" s="1" t="s">
        <v>62</v>
      </c>
      <c r="N367" s="1">
        <v>-113.0</v>
      </c>
      <c r="O367" s="1">
        <v>0.0135581616202643</v>
      </c>
      <c r="P367" s="1" t="s">
        <v>61</v>
      </c>
      <c r="Q367" s="1" t="s">
        <v>61</v>
      </c>
      <c r="R367" s="1">
        <f t="shared" si="1"/>
        <v>0.01355816162</v>
      </c>
      <c r="S367" s="1">
        <f t="shared" si="2"/>
        <v>-113</v>
      </c>
      <c r="T367" s="1">
        <f t="shared" si="3"/>
        <v>1.884955752</v>
      </c>
      <c r="U367" s="1">
        <f t="shared" si="4"/>
        <v>0</v>
      </c>
      <c r="V367" s="3">
        <f t="shared" si="5"/>
        <v>1</v>
      </c>
      <c r="W367" s="3">
        <f t="shared" si="6"/>
        <v>2</v>
      </c>
      <c r="X367" s="3" t="str">
        <f>IFERROR(__xludf.DUMMYFUNCTION("split(B367,"" "")"),"D.")</f>
        <v>D.</v>
      </c>
      <c r="Y367" s="3" t="str">
        <f>IFERROR(__xludf.DUMMYFUNCTION("""COMPUTED_VALUE"""),"Vele")</f>
        <v>Vele</v>
      </c>
      <c r="AA367" s="8">
        <v>39.0</v>
      </c>
      <c r="AB367" s="3">
        <f t="shared" si="7"/>
        <v>1</v>
      </c>
      <c r="AC367" s="3">
        <f t="shared" si="8"/>
        <v>0</v>
      </c>
      <c r="AD367" s="3">
        <f t="shared" si="9"/>
        <v>0.8849557522</v>
      </c>
      <c r="AE367" s="3">
        <f t="shared" si="10"/>
        <v>-1</v>
      </c>
      <c r="AF367" s="3">
        <f t="shared" si="11"/>
        <v>-2</v>
      </c>
      <c r="AG367" s="3">
        <f t="shared" si="12"/>
        <v>-0.7333333333</v>
      </c>
    </row>
    <row r="368">
      <c r="A368" s="1" t="s">
        <v>10</v>
      </c>
      <c r="B368" s="1" t="s">
        <v>127</v>
      </c>
      <c r="C368" s="1" t="s">
        <v>19</v>
      </c>
      <c r="D368" s="1" t="s">
        <v>83</v>
      </c>
      <c r="E368" s="1" t="s">
        <v>76</v>
      </c>
      <c r="F368" s="1" t="s">
        <v>670</v>
      </c>
      <c r="G368" s="1">
        <v>35.5</v>
      </c>
      <c r="H368" s="1" t="s">
        <v>60</v>
      </c>
      <c r="I368" s="1">
        <v>-113.0</v>
      </c>
      <c r="J368" s="1">
        <v>-0.0675760386654022</v>
      </c>
      <c r="K368" s="1" t="s">
        <v>61</v>
      </c>
      <c r="L368" s="1" t="s">
        <v>61</v>
      </c>
      <c r="M368" s="1" t="s">
        <v>62</v>
      </c>
      <c r="N368" s="1">
        <v>-116.0</v>
      </c>
      <c r="O368" s="1">
        <v>5.89468492573352E-5</v>
      </c>
      <c r="P368" s="1" t="s">
        <v>61</v>
      </c>
      <c r="Q368" s="1" t="s">
        <v>61</v>
      </c>
      <c r="R368" s="1">
        <f t="shared" si="1"/>
        <v>0.00005894684926</v>
      </c>
      <c r="S368" s="1">
        <f t="shared" si="2"/>
        <v>-116</v>
      </c>
      <c r="T368" s="1">
        <f t="shared" si="3"/>
        <v>1.862068966</v>
      </c>
      <c r="U368" s="1">
        <f t="shared" si="4"/>
        <v>0</v>
      </c>
      <c r="V368" s="3">
        <f t="shared" si="5"/>
        <v>1</v>
      </c>
      <c r="W368" s="3">
        <f t="shared" si="6"/>
        <v>2</v>
      </c>
      <c r="X368" s="3" t="str">
        <f>IFERROR(__xludf.DUMMYFUNCTION("split(B368,"" "")"),"J.")</f>
        <v>J.</v>
      </c>
      <c r="Y368" s="3" t="str">
        <f>IFERROR(__xludf.DUMMYFUNCTION("""COMPUTED_VALUE"""),"Williams")</f>
        <v>Williams</v>
      </c>
      <c r="AA368" s="8">
        <v>1.0</v>
      </c>
      <c r="AB368" s="3">
        <f t="shared" si="7"/>
        <v>0</v>
      </c>
      <c r="AC368" s="3">
        <f t="shared" si="8"/>
        <v>1</v>
      </c>
      <c r="AD368" s="3">
        <f t="shared" si="9"/>
        <v>0.8620689655</v>
      </c>
      <c r="AE368" s="3">
        <f t="shared" si="10"/>
        <v>0.8620689655</v>
      </c>
      <c r="AF368" s="3">
        <f t="shared" si="11"/>
        <v>1.724137931</v>
      </c>
      <c r="AG368" s="3">
        <f t="shared" si="12"/>
        <v>0.9718309859</v>
      </c>
    </row>
    <row r="369">
      <c r="A369" s="1" t="s">
        <v>11</v>
      </c>
      <c r="B369" s="1" t="s">
        <v>616</v>
      </c>
      <c r="C369" s="1" t="s">
        <v>20</v>
      </c>
      <c r="D369" s="1" t="s">
        <v>83</v>
      </c>
      <c r="E369" s="1" t="s">
        <v>76</v>
      </c>
      <c r="F369" s="1" t="s">
        <v>670</v>
      </c>
      <c r="G369" s="1">
        <v>9.5</v>
      </c>
      <c r="H369" s="1" t="s">
        <v>60</v>
      </c>
      <c r="I369" s="1">
        <v>-119.0</v>
      </c>
      <c r="J369" s="1">
        <v>0.00111123287857528</v>
      </c>
      <c r="K369" s="1" t="s">
        <v>61</v>
      </c>
      <c r="L369" s="1" t="s">
        <v>61</v>
      </c>
      <c r="M369" s="1" t="s">
        <v>62</v>
      </c>
      <c r="N369" s="1">
        <v>-109.0</v>
      </c>
      <c r="O369" s="1">
        <v>-0.0660057244040415</v>
      </c>
      <c r="P369" s="1" t="s">
        <v>61</v>
      </c>
      <c r="Q369" s="1" t="s">
        <v>61</v>
      </c>
      <c r="R369" s="1">
        <f t="shared" si="1"/>
        <v>0.001111232879</v>
      </c>
      <c r="S369" s="1">
        <f t="shared" si="2"/>
        <v>-119</v>
      </c>
      <c r="T369" s="1">
        <f t="shared" si="3"/>
        <v>1.840336134</v>
      </c>
      <c r="U369" s="1">
        <f t="shared" si="4"/>
        <v>1</v>
      </c>
      <c r="V369" s="3">
        <f t="shared" si="5"/>
        <v>1</v>
      </c>
      <c r="W369" s="3">
        <f t="shared" si="6"/>
        <v>3</v>
      </c>
      <c r="X369" s="3" t="str">
        <f>IFERROR(__xludf.DUMMYFUNCTION("split(B369,"" "")"),"A.")</f>
        <v>A.</v>
      </c>
      <c r="Y369" s="3" t="str">
        <f>IFERROR(__xludf.DUMMYFUNCTION("""COMPUTED_VALUE"""),"Trautman")</f>
        <v>Trautman</v>
      </c>
      <c r="AA369" s="8">
        <v>34.0</v>
      </c>
      <c r="AB369" s="3">
        <f t="shared" si="7"/>
        <v>1</v>
      </c>
      <c r="AC369" s="3">
        <f t="shared" si="8"/>
        <v>1</v>
      </c>
      <c r="AD369" s="3">
        <f t="shared" si="9"/>
        <v>0.8403361345</v>
      </c>
      <c r="AE369" s="3">
        <f t="shared" si="10"/>
        <v>0.8403361345</v>
      </c>
      <c r="AF369" s="3">
        <f t="shared" si="11"/>
        <v>2.521008403</v>
      </c>
      <c r="AG369" s="3">
        <f t="shared" si="12"/>
        <v>2.578947368</v>
      </c>
    </row>
    <row r="370">
      <c r="A370" s="1" t="s">
        <v>9</v>
      </c>
      <c r="B370" s="1" t="s">
        <v>401</v>
      </c>
      <c r="C370" s="1" t="s">
        <v>18</v>
      </c>
      <c r="D370" s="1" t="s">
        <v>83</v>
      </c>
      <c r="E370" s="1" t="s">
        <v>76</v>
      </c>
      <c r="F370" s="1" t="s">
        <v>670</v>
      </c>
      <c r="G370" s="1">
        <v>46.5</v>
      </c>
      <c r="H370" s="1" t="s">
        <v>60</v>
      </c>
      <c r="I370" s="1">
        <v>-110.0</v>
      </c>
      <c r="J370" s="1">
        <v>0.0193624634562343</v>
      </c>
      <c r="K370" s="1" t="s">
        <v>61</v>
      </c>
      <c r="L370" s="1" t="s">
        <v>61</v>
      </c>
      <c r="M370" s="1" t="s">
        <v>62</v>
      </c>
      <c r="N370" s="1">
        <v>-120.0</v>
      </c>
      <c r="O370" s="1">
        <v>-0.0886224581407775</v>
      </c>
      <c r="P370" s="1" t="s">
        <v>61</v>
      </c>
      <c r="Q370" s="1" t="s">
        <v>61</v>
      </c>
      <c r="R370" s="1">
        <f t="shared" si="1"/>
        <v>0.01936246346</v>
      </c>
      <c r="S370" s="1">
        <f t="shared" si="2"/>
        <v>-110</v>
      </c>
      <c r="T370" s="1">
        <f t="shared" si="3"/>
        <v>1.909090909</v>
      </c>
      <c r="U370" s="1">
        <f t="shared" si="4"/>
        <v>1</v>
      </c>
      <c r="V370" s="3">
        <f t="shared" si="5"/>
        <v>1</v>
      </c>
      <c r="W370" s="3">
        <f t="shared" si="6"/>
        <v>2</v>
      </c>
      <c r="X370" s="3" t="str">
        <f>IFERROR(__xludf.DUMMYFUNCTION("split(B370,"" "")"),"C.")</f>
        <v>C.</v>
      </c>
      <c r="Y370" s="3" t="str">
        <f>IFERROR(__xludf.DUMMYFUNCTION("""COMPUTED_VALUE"""),"Sutton")</f>
        <v>Sutton</v>
      </c>
      <c r="AA370" s="8">
        <v>70.0</v>
      </c>
      <c r="AB370" s="3">
        <f t="shared" si="7"/>
        <v>1</v>
      </c>
      <c r="AC370" s="3">
        <f t="shared" si="8"/>
        <v>1</v>
      </c>
      <c r="AD370" s="3">
        <f t="shared" si="9"/>
        <v>0.9090909091</v>
      </c>
      <c r="AE370" s="3">
        <f t="shared" si="10"/>
        <v>0.9090909091</v>
      </c>
      <c r="AF370" s="3">
        <f t="shared" si="11"/>
        <v>1.818181818</v>
      </c>
      <c r="AG370" s="3">
        <f t="shared" si="12"/>
        <v>0.5053763441</v>
      </c>
    </row>
    <row r="371">
      <c r="A371" s="1" t="s">
        <v>15</v>
      </c>
      <c r="B371" s="1" t="s">
        <v>464</v>
      </c>
      <c r="C371" s="1" t="s">
        <v>21</v>
      </c>
      <c r="D371" s="1" t="s">
        <v>83</v>
      </c>
      <c r="E371" s="1" t="s">
        <v>76</v>
      </c>
      <c r="F371" s="1" t="s">
        <v>670</v>
      </c>
      <c r="G371" s="1">
        <v>19.5</v>
      </c>
      <c r="H371" s="1" t="s">
        <v>60</v>
      </c>
      <c r="I371" s="1">
        <v>-106.0</v>
      </c>
      <c r="J371" s="1">
        <v>0.0225947184951456</v>
      </c>
      <c r="K371" s="1" t="s">
        <v>61</v>
      </c>
      <c r="L371" s="1" t="s">
        <v>61</v>
      </c>
      <c r="M371" s="1" t="s">
        <v>62</v>
      </c>
      <c r="N371" s="1">
        <v>-123.0</v>
      </c>
      <c r="O371" s="1">
        <v>-0.0887079631044843</v>
      </c>
      <c r="P371" s="1" t="s">
        <v>61</v>
      </c>
      <c r="Q371" s="1" t="s">
        <v>61</v>
      </c>
      <c r="R371" s="1">
        <f t="shared" si="1"/>
        <v>0.0225947185</v>
      </c>
      <c r="S371" s="1">
        <f t="shared" si="2"/>
        <v>-106</v>
      </c>
      <c r="T371" s="1">
        <f t="shared" si="3"/>
        <v>1.943396226</v>
      </c>
      <c r="U371" s="1">
        <f t="shared" si="4"/>
        <v>1</v>
      </c>
      <c r="V371" s="3">
        <f t="shared" si="5"/>
        <v>1</v>
      </c>
      <c r="W371" s="3">
        <f t="shared" si="6"/>
        <v>2</v>
      </c>
      <c r="X371" s="3" t="str">
        <f>IFERROR(__xludf.DUMMYFUNCTION("split(B371,"" "")"),"B.")</f>
        <v>B.</v>
      </c>
      <c r="Y371" s="3" t="str">
        <f>IFERROR(__xludf.DUMMYFUNCTION("""COMPUTED_VALUE"""),"Nix")</f>
        <v>Nix</v>
      </c>
      <c r="AA371" s="8">
        <v>22.0</v>
      </c>
      <c r="AB371" s="3">
        <f t="shared" si="7"/>
        <v>1</v>
      </c>
      <c r="AC371" s="3">
        <f t="shared" si="8"/>
        <v>1</v>
      </c>
      <c r="AD371" s="3">
        <f t="shared" si="9"/>
        <v>0.9433962264</v>
      </c>
      <c r="AE371" s="3">
        <f t="shared" si="10"/>
        <v>0.9433962264</v>
      </c>
      <c r="AF371" s="3">
        <f t="shared" si="11"/>
        <v>1.886792453</v>
      </c>
      <c r="AG371" s="3">
        <f t="shared" si="12"/>
        <v>0.1282051282</v>
      </c>
    </row>
    <row r="372">
      <c r="A372" s="1" t="s">
        <v>9</v>
      </c>
      <c r="B372" s="1" t="s">
        <v>532</v>
      </c>
      <c r="C372" s="1" t="s">
        <v>18</v>
      </c>
      <c r="D372" s="1" t="s">
        <v>83</v>
      </c>
      <c r="E372" s="1" t="s">
        <v>76</v>
      </c>
      <c r="F372" s="1" t="s">
        <v>670</v>
      </c>
      <c r="G372" s="1">
        <v>21.5</v>
      </c>
      <c r="H372" s="1" t="s">
        <v>60</v>
      </c>
      <c r="I372" s="1">
        <v>-118.0</v>
      </c>
      <c r="J372" s="1">
        <v>0.0469820894027347</v>
      </c>
      <c r="K372" s="1" t="s">
        <v>61</v>
      </c>
      <c r="L372" s="1" t="s">
        <v>61</v>
      </c>
      <c r="M372" s="1" t="s">
        <v>62</v>
      </c>
      <c r="N372" s="1">
        <v>-115.0</v>
      </c>
      <c r="O372" s="1">
        <v>-0.123111440991933</v>
      </c>
      <c r="P372" s="1" t="s">
        <v>61</v>
      </c>
      <c r="Q372" s="1" t="s">
        <v>61</v>
      </c>
      <c r="R372" s="1">
        <f t="shared" si="1"/>
        <v>0.0469820894</v>
      </c>
      <c r="S372" s="1">
        <f t="shared" si="2"/>
        <v>-118</v>
      </c>
      <c r="T372" s="1">
        <f t="shared" si="3"/>
        <v>1.847457627</v>
      </c>
      <c r="U372" s="1">
        <f t="shared" si="4"/>
        <v>1</v>
      </c>
      <c r="V372" s="3">
        <f t="shared" si="5"/>
        <v>1</v>
      </c>
      <c r="W372" s="3">
        <f t="shared" si="6"/>
        <v>3</v>
      </c>
      <c r="X372" s="3" t="str">
        <f>IFERROR(__xludf.DUMMYFUNCTION("split(B372,"" "")"),"L.")</f>
        <v>L.</v>
      </c>
      <c r="Y372" s="3" t="str">
        <f>IFERROR(__xludf.DUMMYFUNCTION("""COMPUTED_VALUE"""),"Humphrey")</f>
        <v>Humphrey</v>
      </c>
      <c r="AA372" s="8">
        <v>23.0</v>
      </c>
      <c r="AB372" s="3">
        <f t="shared" si="7"/>
        <v>1</v>
      </c>
      <c r="AC372" s="3">
        <f t="shared" si="8"/>
        <v>1</v>
      </c>
      <c r="AD372" s="3">
        <f t="shared" si="9"/>
        <v>0.8474576271</v>
      </c>
      <c r="AE372" s="3">
        <f t="shared" si="10"/>
        <v>0.8474576271</v>
      </c>
      <c r="AF372" s="3">
        <f t="shared" si="11"/>
        <v>2.542372881</v>
      </c>
      <c r="AG372" s="3">
        <f t="shared" si="12"/>
        <v>0.06976744186</v>
      </c>
    </row>
    <row r="373">
      <c r="A373" s="1" t="s">
        <v>9</v>
      </c>
      <c r="B373" s="1" t="s">
        <v>533</v>
      </c>
      <c r="C373" s="1" t="s">
        <v>18</v>
      </c>
      <c r="D373" s="1" t="s">
        <v>83</v>
      </c>
      <c r="E373" s="1" t="s">
        <v>76</v>
      </c>
      <c r="F373" s="1" t="s">
        <v>670</v>
      </c>
      <c r="G373" s="1">
        <v>23.5</v>
      </c>
      <c r="H373" s="1" t="s">
        <v>60</v>
      </c>
      <c r="I373" s="1">
        <v>-114.0</v>
      </c>
      <c r="J373" s="1">
        <v>0.066156953194555</v>
      </c>
      <c r="K373" s="1" t="s">
        <v>61</v>
      </c>
      <c r="L373" s="1" t="s">
        <v>61</v>
      </c>
      <c r="M373" s="1" t="s">
        <v>62</v>
      </c>
      <c r="N373" s="1">
        <v>-119.0</v>
      </c>
      <c r="O373" s="1">
        <v>-0.142175761189613</v>
      </c>
      <c r="P373" s="1" t="s">
        <v>61</v>
      </c>
      <c r="Q373" s="1" t="s">
        <v>61</v>
      </c>
      <c r="R373" s="1">
        <f t="shared" si="1"/>
        <v>0.06615695319</v>
      </c>
      <c r="S373" s="1">
        <f t="shared" si="2"/>
        <v>-114</v>
      </c>
      <c r="T373" s="1">
        <f t="shared" si="3"/>
        <v>1.877192982</v>
      </c>
      <c r="U373" s="1">
        <f t="shared" si="4"/>
        <v>1</v>
      </c>
      <c r="V373" s="3">
        <f t="shared" si="5"/>
        <v>2</v>
      </c>
      <c r="W373" s="3">
        <f t="shared" si="6"/>
        <v>2</v>
      </c>
      <c r="X373" s="3" t="str">
        <f>IFERROR(__xludf.DUMMYFUNCTION("split(B373,"" "")"),"D.")</f>
        <v>D.</v>
      </c>
      <c r="Y373" s="3" t="str">
        <f>IFERROR(__xludf.DUMMYFUNCTION("""COMPUTED_VALUE"""),"Vele")</f>
        <v>Vele</v>
      </c>
      <c r="AA373" s="8">
        <v>39.0</v>
      </c>
      <c r="AB373" s="3">
        <f t="shared" si="7"/>
        <v>1</v>
      </c>
      <c r="AC373" s="3">
        <f t="shared" si="8"/>
        <v>1</v>
      </c>
      <c r="AD373" s="3">
        <f t="shared" si="9"/>
        <v>1.754385965</v>
      </c>
      <c r="AE373" s="3">
        <f t="shared" si="10"/>
        <v>1.754385965</v>
      </c>
      <c r="AF373" s="3">
        <f t="shared" si="11"/>
        <v>1.754385965</v>
      </c>
      <c r="AG373" s="3">
        <f t="shared" si="12"/>
        <v>0.6595744681</v>
      </c>
    </row>
    <row r="374">
      <c r="A374" s="1" t="s">
        <v>11</v>
      </c>
      <c r="B374" s="1" t="s">
        <v>465</v>
      </c>
      <c r="C374" s="1" t="s">
        <v>19</v>
      </c>
      <c r="D374" s="1" t="s">
        <v>83</v>
      </c>
      <c r="E374" s="1" t="s">
        <v>76</v>
      </c>
      <c r="F374" s="1" t="s">
        <v>670</v>
      </c>
      <c r="G374" s="1">
        <v>6.5</v>
      </c>
      <c r="H374" s="1" t="s">
        <v>60</v>
      </c>
      <c r="I374" s="1">
        <v>-113.0</v>
      </c>
      <c r="J374" s="1">
        <v>0.097327549970556</v>
      </c>
      <c r="K374" s="1" t="s">
        <v>61</v>
      </c>
      <c r="L374" s="1" t="s">
        <v>61</v>
      </c>
      <c r="M374" s="1" t="s">
        <v>62</v>
      </c>
      <c r="N374" s="1">
        <v>-114.0</v>
      </c>
      <c r="O374" s="1">
        <v>-0.160519783569394</v>
      </c>
      <c r="P374" s="1" t="s">
        <v>61</v>
      </c>
      <c r="Q374" s="1" t="s">
        <v>61</v>
      </c>
      <c r="R374" s="1">
        <f t="shared" si="1"/>
        <v>0.09732754997</v>
      </c>
      <c r="S374" s="1">
        <f t="shared" si="2"/>
        <v>-113</v>
      </c>
      <c r="T374" s="1">
        <f t="shared" si="3"/>
        <v>1.884955752</v>
      </c>
      <c r="U374" s="1">
        <f t="shared" si="4"/>
        <v>1</v>
      </c>
      <c r="V374" s="3">
        <f t="shared" si="5"/>
        <v>2</v>
      </c>
      <c r="W374" s="3">
        <f t="shared" si="6"/>
        <v>2</v>
      </c>
      <c r="X374" s="3" t="str">
        <f>IFERROR(__xludf.DUMMYFUNCTION("split(B374,"" "")"),"J.")</f>
        <v>J.</v>
      </c>
      <c r="Y374" s="3" t="str">
        <f>IFERROR(__xludf.DUMMYFUNCTION("""COMPUTED_VALUE"""),"McLaughlin")</f>
        <v>McLaughlin</v>
      </c>
      <c r="AA374" s="8">
        <v>0.0</v>
      </c>
      <c r="AB374" s="3">
        <f t="shared" si="7"/>
        <v>0</v>
      </c>
      <c r="AC374" s="3">
        <f t="shared" si="8"/>
        <v>0</v>
      </c>
      <c r="AD374" s="3">
        <f t="shared" si="9"/>
        <v>1.769911504</v>
      </c>
      <c r="AE374" s="3">
        <f t="shared" si="10"/>
        <v>-2</v>
      </c>
      <c r="AF374" s="3">
        <f t="shared" si="11"/>
        <v>-2</v>
      </c>
      <c r="AG374" s="3">
        <f t="shared" si="12"/>
        <v>-1</v>
      </c>
    </row>
    <row r="375">
      <c r="A375" s="1" t="s">
        <v>9</v>
      </c>
      <c r="B375" s="1" t="s">
        <v>465</v>
      </c>
      <c r="C375" s="1" t="s">
        <v>19</v>
      </c>
      <c r="D375" s="1" t="s">
        <v>83</v>
      </c>
      <c r="E375" s="1" t="s">
        <v>76</v>
      </c>
      <c r="F375" s="1" t="s">
        <v>670</v>
      </c>
      <c r="G375" s="1">
        <v>23.5</v>
      </c>
      <c r="H375" s="1" t="s">
        <v>60</v>
      </c>
      <c r="I375" s="1">
        <v>-117.0</v>
      </c>
      <c r="J375" s="1">
        <v>0.105017301097791</v>
      </c>
      <c r="K375" s="1" t="s">
        <v>61</v>
      </c>
      <c r="L375" s="1" t="s">
        <v>61</v>
      </c>
      <c r="M375" s="1" t="s">
        <v>62</v>
      </c>
      <c r="N375" s="1">
        <v>-115.0</v>
      </c>
      <c r="O375" s="1">
        <v>-0.179005290646297</v>
      </c>
      <c r="P375" s="1" t="s">
        <v>61</v>
      </c>
      <c r="Q375" s="1" t="s">
        <v>61</v>
      </c>
      <c r="R375" s="1">
        <f t="shared" si="1"/>
        <v>0.1050173011</v>
      </c>
      <c r="S375" s="1">
        <f t="shared" si="2"/>
        <v>-117</v>
      </c>
      <c r="T375" s="1">
        <f t="shared" si="3"/>
        <v>1.854700855</v>
      </c>
      <c r="U375" s="1">
        <f t="shared" si="4"/>
        <v>1</v>
      </c>
      <c r="V375" s="3">
        <f t="shared" si="5"/>
        <v>3</v>
      </c>
      <c r="W375" s="3">
        <f t="shared" si="6"/>
        <v>2</v>
      </c>
      <c r="X375" s="3" t="str">
        <f>IFERROR(__xludf.DUMMYFUNCTION("split(B375,"" "")"),"J.")</f>
        <v>J.</v>
      </c>
      <c r="Y375" s="3" t="str">
        <f>IFERROR(__xludf.DUMMYFUNCTION("""COMPUTED_VALUE"""),"McLaughlin")</f>
        <v>McLaughlin</v>
      </c>
      <c r="AA375" s="8">
        <v>12.0</v>
      </c>
      <c r="AB375" s="3">
        <f t="shared" si="7"/>
        <v>0</v>
      </c>
      <c r="AC375" s="3">
        <f t="shared" si="8"/>
        <v>0</v>
      </c>
      <c r="AD375" s="3">
        <f t="shared" si="9"/>
        <v>2.564102564</v>
      </c>
      <c r="AE375" s="3">
        <f t="shared" si="10"/>
        <v>-3</v>
      </c>
      <c r="AF375" s="3">
        <f t="shared" si="11"/>
        <v>-2</v>
      </c>
      <c r="AG375" s="3">
        <f t="shared" si="12"/>
        <v>-0.4893617021</v>
      </c>
    </row>
    <row r="376">
      <c r="A376" s="1" t="s">
        <v>12</v>
      </c>
      <c r="B376" s="1" t="s">
        <v>571</v>
      </c>
      <c r="C376" s="1" t="s">
        <v>18</v>
      </c>
      <c r="D376" s="1" t="s">
        <v>88</v>
      </c>
      <c r="E376" s="1" t="s">
        <v>156</v>
      </c>
      <c r="F376" s="1" t="s">
        <v>674</v>
      </c>
      <c r="G376" s="1">
        <v>1.5</v>
      </c>
      <c r="H376" s="1" t="s">
        <v>60</v>
      </c>
      <c r="I376" s="1">
        <v>-174.0</v>
      </c>
      <c r="J376" s="1">
        <v>-0.276629822978102</v>
      </c>
      <c r="K376" s="1" t="s">
        <v>61</v>
      </c>
      <c r="L376" s="1" t="s">
        <v>61</v>
      </c>
      <c r="M376" s="1" t="s">
        <v>62</v>
      </c>
      <c r="N376" s="1">
        <v>129.0</v>
      </c>
      <c r="O376" s="1">
        <v>0.204910792558951</v>
      </c>
      <c r="P376" s="1" t="s">
        <v>61</v>
      </c>
      <c r="Q376" s="1" t="s">
        <v>61</v>
      </c>
      <c r="R376" s="1">
        <f t="shared" si="1"/>
        <v>0.2049107926</v>
      </c>
      <c r="S376" s="1">
        <f t="shared" si="2"/>
        <v>129</v>
      </c>
      <c r="T376" s="1">
        <f t="shared" si="3"/>
        <v>2.29</v>
      </c>
      <c r="U376" s="1">
        <f t="shared" si="4"/>
        <v>0</v>
      </c>
      <c r="V376" s="3">
        <f t="shared" si="5"/>
        <v>3</v>
      </c>
      <c r="W376" s="3">
        <f t="shared" si="6"/>
        <v>1</v>
      </c>
      <c r="X376" s="3" t="str">
        <f>IFERROR(__xludf.DUMMYFUNCTION("split(B376,"" "")"),"K.")</f>
        <v>K.</v>
      </c>
      <c r="Y376" s="3" t="str">
        <f>IFERROR(__xludf.DUMMYFUNCTION("""COMPUTED_VALUE"""),"Turpin")</f>
        <v>Turpin</v>
      </c>
      <c r="AA376" s="8">
        <v>0.0</v>
      </c>
      <c r="AB376" s="3">
        <f t="shared" si="7"/>
        <v>0</v>
      </c>
      <c r="AC376" s="3">
        <f t="shared" si="8"/>
        <v>1</v>
      </c>
      <c r="AD376" s="3">
        <f t="shared" si="9"/>
        <v>3.87</v>
      </c>
      <c r="AE376" s="3">
        <f t="shared" si="10"/>
        <v>3.87</v>
      </c>
      <c r="AF376" s="3">
        <f t="shared" si="11"/>
        <v>1.29</v>
      </c>
      <c r="AG376" s="3">
        <f t="shared" si="12"/>
        <v>1</v>
      </c>
    </row>
    <row r="377">
      <c r="A377" s="1" t="s">
        <v>14</v>
      </c>
      <c r="B377" s="1" t="s">
        <v>681</v>
      </c>
      <c r="C377" s="1" t="s">
        <v>21</v>
      </c>
      <c r="D377" s="1" t="s">
        <v>88</v>
      </c>
      <c r="E377" s="1" t="s">
        <v>156</v>
      </c>
      <c r="F377" s="1" t="s">
        <v>674</v>
      </c>
      <c r="G377" s="1">
        <v>0.5</v>
      </c>
      <c r="H377" s="1" t="s">
        <v>60</v>
      </c>
      <c r="I377" s="1">
        <v>-261.0</v>
      </c>
      <c r="J377" s="1">
        <v>-0.22149000301939</v>
      </c>
      <c r="K377" s="1" t="s">
        <v>61</v>
      </c>
      <c r="L377" s="1" t="s">
        <v>61</v>
      </c>
      <c r="M377" s="1" t="s">
        <v>62</v>
      </c>
      <c r="N377" s="1">
        <v>197.0</v>
      </c>
      <c r="O377" s="1">
        <v>0.161797613097643</v>
      </c>
      <c r="P377" s="1" t="s">
        <v>61</v>
      </c>
      <c r="Q377" s="1" t="s">
        <v>61</v>
      </c>
      <c r="R377" s="1">
        <f t="shared" si="1"/>
        <v>0.1617976131</v>
      </c>
      <c r="S377" s="1">
        <f t="shared" si="2"/>
        <v>197</v>
      </c>
      <c r="T377" s="1">
        <f t="shared" si="3"/>
        <v>2.97</v>
      </c>
      <c r="U377" s="1">
        <f t="shared" si="4"/>
        <v>0</v>
      </c>
      <c r="V377" s="3">
        <f t="shared" si="5"/>
        <v>3</v>
      </c>
      <c r="W377" s="3">
        <f t="shared" si="6"/>
        <v>1</v>
      </c>
      <c r="X377" s="3" t="str">
        <f>IFERROR(__xludf.DUMMYFUNCTION("split(B377,"" "")"),"C.")</f>
        <v>C.</v>
      </c>
      <c r="Y377" s="3" t="str">
        <f>IFERROR(__xludf.DUMMYFUNCTION("""COMPUTED_VALUE"""),"Rush")</f>
        <v>Rush</v>
      </c>
      <c r="AA377" s="8">
        <v>0.0</v>
      </c>
      <c r="AB377" s="3">
        <f t="shared" si="7"/>
        <v>0</v>
      </c>
      <c r="AC377" s="3">
        <f t="shared" si="8"/>
        <v>1</v>
      </c>
      <c r="AD377" s="3">
        <f t="shared" si="9"/>
        <v>5.91</v>
      </c>
      <c r="AE377" s="3">
        <f t="shared" si="10"/>
        <v>5.91</v>
      </c>
      <c r="AF377" s="3">
        <f t="shared" si="11"/>
        <v>1.97</v>
      </c>
      <c r="AG377" s="3">
        <f t="shared" si="12"/>
        <v>1</v>
      </c>
    </row>
    <row r="378">
      <c r="A378" s="1" t="s">
        <v>12</v>
      </c>
      <c r="B378" s="1" t="s">
        <v>152</v>
      </c>
      <c r="C378" s="1" t="s">
        <v>19</v>
      </c>
      <c r="D378" s="1" t="s">
        <v>88</v>
      </c>
      <c r="E378" s="1" t="s">
        <v>156</v>
      </c>
      <c r="F378" s="1" t="s">
        <v>674</v>
      </c>
      <c r="G378" s="1">
        <v>2.5</v>
      </c>
      <c r="H378" s="1" t="s">
        <v>60</v>
      </c>
      <c r="I378" s="1">
        <v>-112.0</v>
      </c>
      <c r="J378" s="1">
        <v>-0.202747642075471</v>
      </c>
      <c r="K378" s="1" t="s">
        <v>61</v>
      </c>
      <c r="L378" s="1" t="s">
        <v>61</v>
      </c>
      <c r="M378" s="1" t="s">
        <v>62</v>
      </c>
      <c r="N378" s="1">
        <v>-117.0</v>
      </c>
      <c r="O378" s="1">
        <v>0.135281793273732</v>
      </c>
      <c r="P378" s="1" t="s">
        <v>61</v>
      </c>
      <c r="Q378" s="1" t="s">
        <v>61</v>
      </c>
      <c r="R378" s="1">
        <f t="shared" si="1"/>
        <v>0.1352817933</v>
      </c>
      <c r="S378" s="1">
        <f t="shared" si="2"/>
        <v>-117</v>
      </c>
      <c r="T378" s="1">
        <f t="shared" si="3"/>
        <v>1.854700855</v>
      </c>
      <c r="U378" s="1">
        <f t="shared" si="4"/>
        <v>0</v>
      </c>
      <c r="V378" s="3">
        <f t="shared" si="5"/>
        <v>3</v>
      </c>
      <c r="W378" s="3">
        <f t="shared" si="6"/>
        <v>2</v>
      </c>
      <c r="X378" s="3" t="str">
        <f>IFERROR(__xludf.DUMMYFUNCTION("split(B378,"" "")"),"R.")</f>
        <v>R.</v>
      </c>
      <c r="Y378" s="3" t="str">
        <f>IFERROR(__xludf.DUMMYFUNCTION("""COMPUTED_VALUE"""),"Dowdle")</f>
        <v>Dowdle</v>
      </c>
      <c r="AA378" s="8">
        <v>3.0</v>
      </c>
      <c r="AB378" s="3">
        <f t="shared" si="7"/>
        <v>1</v>
      </c>
      <c r="AC378" s="3">
        <f t="shared" si="8"/>
        <v>0</v>
      </c>
      <c r="AD378" s="3">
        <f t="shared" si="9"/>
        <v>2.564102564</v>
      </c>
      <c r="AE378" s="3">
        <f t="shared" si="10"/>
        <v>-3</v>
      </c>
      <c r="AF378" s="3">
        <f t="shared" si="11"/>
        <v>-2</v>
      </c>
      <c r="AG378" s="3">
        <f t="shared" si="12"/>
        <v>-0.2</v>
      </c>
    </row>
    <row r="379">
      <c r="A379" s="1" t="s">
        <v>17</v>
      </c>
      <c r="B379" s="1" t="s">
        <v>681</v>
      </c>
      <c r="C379" s="1" t="s">
        <v>21</v>
      </c>
      <c r="D379" s="1" t="s">
        <v>88</v>
      </c>
      <c r="E379" s="1" t="s">
        <v>156</v>
      </c>
      <c r="F379" s="1" t="s">
        <v>674</v>
      </c>
      <c r="G379" s="1">
        <v>0.5</v>
      </c>
      <c r="H379" s="1" t="s">
        <v>60</v>
      </c>
      <c r="I379" s="1">
        <v>-166.0</v>
      </c>
      <c r="J379" s="1">
        <v>-0.151560150375939</v>
      </c>
      <c r="K379" s="1" t="s">
        <v>61</v>
      </c>
      <c r="L379" s="1" t="s">
        <v>61</v>
      </c>
      <c r="M379" s="1" t="s">
        <v>62</v>
      </c>
      <c r="N379" s="1">
        <v>127.0</v>
      </c>
      <c r="O379" s="1">
        <v>0.0869713656387665</v>
      </c>
      <c r="P379" s="1" t="s">
        <v>61</v>
      </c>
      <c r="Q379" s="1" t="s">
        <v>61</v>
      </c>
      <c r="R379" s="1">
        <f t="shared" si="1"/>
        <v>0.08697136564</v>
      </c>
      <c r="S379" s="1">
        <f t="shared" si="2"/>
        <v>127</v>
      </c>
      <c r="T379" s="1">
        <f t="shared" si="3"/>
        <v>2.27</v>
      </c>
      <c r="U379" s="1">
        <f t="shared" si="4"/>
        <v>0</v>
      </c>
      <c r="V379" s="3">
        <f t="shared" si="5"/>
        <v>2</v>
      </c>
      <c r="W379" s="3">
        <f t="shared" si="6"/>
        <v>1</v>
      </c>
      <c r="X379" s="3" t="str">
        <f>IFERROR(__xludf.DUMMYFUNCTION("split(B379,"" "")"),"C.")</f>
        <v>C.</v>
      </c>
      <c r="Y379" s="3" t="str">
        <f>IFERROR(__xludf.DUMMYFUNCTION("""COMPUTED_VALUE"""),"Rush")</f>
        <v>Rush</v>
      </c>
      <c r="AA379" s="8">
        <v>0.0</v>
      </c>
      <c r="AB379" s="3">
        <f t="shared" si="7"/>
        <v>0</v>
      </c>
      <c r="AC379" s="3">
        <f t="shared" si="8"/>
        <v>1</v>
      </c>
      <c r="AD379" s="3">
        <f t="shared" si="9"/>
        <v>2.54</v>
      </c>
      <c r="AE379" s="3">
        <f t="shared" si="10"/>
        <v>2.54</v>
      </c>
      <c r="AF379" s="3">
        <f t="shared" si="11"/>
        <v>1.27</v>
      </c>
      <c r="AG379" s="3">
        <f t="shared" si="12"/>
        <v>1</v>
      </c>
    </row>
    <row r="380">
      <c r="A380" s="1" t="s">
        <v>12</v>
      </c>
      <c r="B380" s="1" t="s">
        <v>87</v>
      </c>
      <c r="C380" s="1" t="s">
        <v>18</v>
      </c>
      <c r="D380" s="1" t="s">
        <v>88</v>
      </c>
      <c r="E380" s="1" t="s">
        <v>156</v>
      </c>
      <c r="F380" s="1" t="s">
        <v>674</v>
      </c>
      <c r="G380" s="1">
        <v>2.5</v>
      </c>
      <c r="H380" s="1" t="s">
        <v>60</v>
      </c>
      <c r="I380" s="1">
        <v>-131.0</v>
      </c>
      <c r="J380" s="1">
        <v>-0.127338632943722</v>
      </c>
      <c r="K380" s="1" t="s">
        <v>61</v>
      </c>
      <c r="L380" s="1" t="s">
        <v>61</v>
      </c>
      <c r="M380" s="1" t="s">
        <v>62</v>
      </c>
      <c r="N380" s="1">
        <v>100.0</v>
      </c>
      <c r="O380" s="1">
        <v>0.06024512105</v>
      </c>
      <c r="P380" s="1" t="s">
        <v>61</v>
      </c>
      <c r="Q380" s="1" t="s">
        <v>61</v>
      </c>
      <c r="R380" s="1">
        <f t="shared" si="1"/>
        <v>0.06024512105</v>
      </c>
      <c r="S380" s="1">
        <f t="shared" si="2"/>
        <v>100</v>
      </c>
      <c r="T380" s="1">
        <f t="shared" si="3"/>
        <v>2</v>
      </c>
      <c r="U380" s="1">
        <f t="shared" si="4"/>
        <v>0</v>
      </c>
      <c r="V380" s="3">
        <f t="shared" si="5"/>
        <v>2</v>
      </c>
      <c r="W380" s="3">
        <f t="shared" si="6"/>
        <v>2</v>
      </c>
      <c r="X380" s="3" t="str">
        <f>IFERROR(__xludf.DUMMYFUNCTION("split(B380,"" "")"),"J.")</f>
        <v>J.</v>
      </c>
      <c r="Y380" s="3" t="str">
        <f>IFERROR(__xludf.DUMMYFUNCTION("""COMPUTED_VALUE"""),"Tolbert")</f>
        <v>Tolbert</v>
      </c>
      <c r="AA380" s="8">
        <v>3.0</v>
      </c>
      <c r="AB380" s="3">
        <f t="shared" si="7"/>
        <v>1</v>
      </c>
      <c r="AC380" s="3">
        <f t="shared" si="8"/>
        <v>0</v>
      </c>
      <c r="AD380" s="3">
        <f t="shared" si="9"/>
        <v>2</v>
      </c>
      <c r="AE380" s="3">
        <f t="shared" si="10"/>
        <v>-2</v>
      </c>
      <c r="AF380" s="3">
        <f t="shared" si="11"/>
        <v>-2</v>
      </c>
      <c r="AG380" s="3">
        <f t="shared" si="12"/>
        <v>-0.2</v>
      </c>
    </row>
    <row r="381">
      <c r="A381" s="1" t="s">
        <v>8</v>
      </c>
      <c r="B381" s="1" t="s">
        <v>152</v>
      </c>
      <c r="C381" s="1" t="s">
        <v>19</v>
      </c>
      <c r="D381" s="1" t="s">
        <v>88</v>
      </c>
      <c r="E381" s="1" t="s">
        <v>156</v>
      </c>
      <c r="F381" s="1" t="s">
        <v>674</v>
      </c>
      <c r="G381" s="1">
        <v>12.5</v>
      </c>
      <c r="H381" s="1" t="s">
        <v>60</v>
      </c>
      <c r="I381" s="1">
        <v>-120.0</v>
      </c>
      <c r="J381" s="1">
        <v>-0.130653796423181</v>
      </c>
      <c r="K381" s="1" t="s">
        <v>61</v>
      </c>
      <c r="L381" s="1" t="s">
        <v>61</v>
      </c>
      <c r="M381" s="1" t="s">
        <v>62</v>
      </c>
      <c r="N381" s="1">
        <v>-112.0</v>
      </c>
      <c r="O381" s="1">
        <v>0.0568972426352453</v>
      </c>
      <c r="P381" s="1" t="s">
        <v>61</v>
      </c>
      <c r="Q381" s="1" t="s">
        <v>61</v>
      </c>
      <c r="R381" s="1">
        <f t="shared" si="1"/>
        <v>0.05689724264</v>
      </c>
      <c r="S381" s="1">
        <f t="shared" si="2"/>
        <v>-112</v>
      </c>
      <c r="T381" s="1">
        <f t="shared" si="3"/>
        <v>1.892857143</v>
      </c>
      <c r="U381" s="1">
        <f t="shared" si="4"/>
        <v>0</v>
      </c>
      <c r="V381" s="3">
        <f t="shared" si="5"/>
        <v>2</v>
      </c>
      <c r="W381" s="3">
        <f t="shared" si="6"/>
        <v>2</v>
      </c>
      <c r="X381" s="3" t="str">
        <f>IFERROR(__xludf.DUMMYFUNCTION("split(B381,"" "")"),"R.")</f>
        <v>R.</v>
      </c>
      <c r="Y381" s="3" t="str">
        <f>IFERROR(__xludf.DUMMYFUNCTION("""COMPUTED_VALUE"""),"Dowdle")</f>
        <v>Dowdle</v>
      </c>
      <c r="AA381" s="8">
        <v>12.0</v>
      </c>
      <c r="AB381" s="3">
        <f t="shared" si="7"/>
        <v>0</v>
      </c>
      <c r="AC381" s="3">
        <f t="shared" si="8"/>
        <v>1</v>
      </c>
      <c r="AD381" s="3">
        <f t="shared" si="9"/>
        <v>1.785714286</v>
      </c>
      <c r="AE381" s="3">
        <f t="shared" si="10"/>
        <v>1.785714286</v>
      </c>
      <c r="AF381" s="3">
        <f t="shared" si="11"/>
        <v>1.785714286</v>
      </c>
      <c r="AG381" s="3">
        <f t="shared" si="12"/>
        <v>0.04</v>
      </c>
    </row>
    <row r="382">
      <c r="A382" s="1" t="s">
        <v>11</v>
      </c>
      <c r="B382" s="1" t="s">
        <v>412</v>
      </c>
      <c r="C382" s="1" t="s">
        <v>20</v>
      </c>
      <c r="D382" s="1" t="s">
        <v>88</v>
      </c>
      <c r="E382" s="1" t="s">
        <v>156</v>
      </c>
      <c r="F382" s="1" t="s">
        <v>674</v>
      </c>
      <c r="G382" s="1">
        <v>40.5</v>
      </c>
      <c r="H382" s="1" t="s">
        <v>60</v>
      </c>
      <c r="I382" s="1">
        <v>-120.0</v>
      </c>
      <c r="J382" s="1">
        <v>-0.0959533620254546</v>
      </c>
      <c r="K382" s="1" t="s">
        <v>61</v>
      </c>
      <c r="L382" s="1" t="s">
        <v>61</v>
      </c>
      <c r="M382" s="1" t="s">
        <v>62</v>
      </c>
      <c r="N382" s="1">
        <v>-105.0</v>
      </c>
      <c r="O382" s="1">
        <v>0.0383539266667316</v>
      </c>
      <c r="P382" s="1" t="s">
        <v>61</v>
      </c>
      <c r="Q382" s="1" t="s">
        <v>61</v>
      </c>
      <c r="R382" s="1">
        <f t="shared" si="1"/>
        <v>0.03835392667</v>
      </c>
      <c r="S382" s="1">
        <f t="shared" si="2"/>
        <v>-105</v>
      </c>
      <c r="T382" s="1">
        <f t="shared" si="3"/>
        <v>1.952380952</v>
      </c>
      <c r="U382" s="1">
        <f t="shared" si="4"/>
        <v>0</v>
      </c>
      <c r="V382" s="3">
        <f t="shared" si="5"/>
        <v>1</v>
      </c>
      <c r="W382" s="3">
        <f t="shared" si="6"/>
        <v>2</v>
      </c>
      <c r="X382" s="3" t="str">
        <f>IFERROR(__xludf.DUMMYFUNCTION("split(B382,"" "")"),"J.")</f>
        <v>J.</v>
      </c>
      <c r="Y382" s="3" t="str">
        <f>IFERROR(__xludf.DUMMYFUNCTION("""COMPUTED_VALUE"""),"Ferguson")</f>
        <v>Ferguson</v>
      </c>
      <c r="AA382" s="8">
        <v>24.0</v>
      </c>
      <c r="AB382" s="3">
        <f t="shared" si="7"/>
        <v>0</v>
      </c>
      <c r="AC382" s="3">
        <f t="shared" si="8"/>
        <v>1</v>
      </c>
      <c r="AD382" s="3">
        <f t="shared" si="9"/>
        <v>0.9523809524</v>
      </c>
      <c r="AE382" s="3">
        <f t="shared" si="10"/>
        <v>0.9523809524</v>
      </c>
      <c r="AF382" s="3">
        <f t="shared" si="11"/>
        <v>1.904761905</v>
      </c>
      <c r="AG382" s="3">
        <f t="shared" si="12"/>
        <v>0.4074074074</v>
      </c>
    </row>
    <row r="383">
      <c r="A383" s="1" t="s">
        <v>11</v>
      </c>
      <c r="B383" s="1" t="s">
        <v>152</v>
      </c>
      <c r="C383" s="1" t="s">
        <v>19</v>
      </c>
      <c r="D383" s="1" t="s">
        <v>88</v>
      </c>
      <c r="E383" s="1" t="s">
        <v>156</v>
      </c>
      <c r="F383" s="1" t="s">
        <v>674</v>
      </c>
      <c r="G383" s="1">
        <v>17.5</v>
      </c>
      <c r="H383" s="1" t="s">
        <v>60</v>
      </c>
      <c r="I383" s="1">
        <v>-122.0</v>
      </c>
      <c r="J383" s="1">
        <v>-0.0903415228077116</v>
      </c>
      <c r="K383" s="1" t="s">
        <v>61</v>
      </c>
      <c r="L383" s="1" t="s">
        <v>61</v>
      </c>
      <c r="M383" s="1" t="s">
        <v>62</v>
      </c>
      <c r="N383" s="1">
        <v>-107.0</v>
      </c>
      <c r="O383" s="1">
        <v>0.0239268373320958</v>
      </c>
      <c r="P383" s="1" t="s">
        <v>61</v>
      </c>
      <c r="Q383" s="1" t="s">
        <v>61</v>
      </c>
      <c r="R383" s="1">
        <f t="shared" si="1"/>
        <v>0.02392683733</v>
      </c>
      <c r="S383" s="1">
        <f t="shared" si="2"/>
        <v>-107</v>
      </c>
      <c r="T383" s="1">
        <f t="shared" si="3"/>
        <v>1.934579439</v>
      </c>
      <c r="U383" s="1">
        <f t="shared" si="4"/>
        <v>0</v>
      </c>
      <c r="V383" s="3">
        <f t="shared" si="5"/>
        <v>1</v>
      </c>
      <c r="W383" s="3">
        <f t="shared" si="6"/>
        <v>2</v>
      </c>
      <c r="X383" s="3" t="str">
        <f>IFERROR(__xludf.DUMMYFUNCTION("split(B383,"" "")"),"R.")</f>
        <v>R.</v>
      </c>
      <c r="Y383" s="3" t="str">
        <f>IFERROR(__xludf.DUMMYFUNCTION("""COMPUTED_VALUE"""),"Dowdle")</f>
        <v>Dowdle</v>
      </c>
      <c r="AA383" s="8">
        <v>3.0</v>
      </c>
      <c r="AB383" s="3">
        <f t="shared" si="7"/>
        <v>0</v>
      </c>
      <c r="AC383" s="3">
        <f t="shared" si="8"/>
        <v>1</v>
      </c>
      <c r="AD383" s="3">
        <f t="shared" si="9"/>
        <v>0.9345794393</v>
      </c>
      <c r="AE383" s="3">
        <f t="shared" si="10"/>
        <v>0.9345794393</v>
      </c>
      <c r="AF383" s="3">
        <f t="shared" si="11"/>
        <v>1.869158879</v>
      </c>
      <c r="AG383" s="3">
        <f t="shared" si="12"/>
        <v>0.8285714286</v>
      </c>
    </row>
    <row r="384">
      <c r="A384" s="1" t="s">
        <v>10</v>
      </c>
      <c r="B384" s="1" t="s">
        <v>375</v>
      </c>
      <c r="C384" s="1" t="s">
        <v>19</v>
      </c>
      <c r="D384" s="1" t="s">
        <v>88</v>
      </c>
      <c r="E384" s="1" t="s">
        <v>156</v>
      </c>
      <c r="F384" s="1" t="s">
        <v>674</v>
      </c>
      <c r="G384" s="1">
        <v>15.5</v>
      </c>
      <c r="H384" s="1" t="s">
        <v>60</v>
      </c>
      <c r="I384" s="1">
        <v>-107.0</v>
      </c>
      <c r="J384" s="1">
        <v>-0.0752439339200275</v>
      </c>
      <c r="K384" s="1" t="s">
        <v>61</v>
      </c>
      <c r="L384" s="1" t="s">
        <v>61</v>
      </c>
      <c r="M384" s="1" t="s">
        <v>62</v>
      </c>
      <c r="N384" s="1">
        <v>-119.0</v>
      </c>
      <c r="O384" s="1">
        <v>0.0149736632078557</v>
      </c>
      <c r="P384" s="1" t="s">
        <v>61</v>
      </c>
      <c r="Q384" s="1" t="s">
        <v>61</v>
      </c>
      <c r="R384" s="1">
        <f t="shared" si="1"/>
        <v>0.01497366321</v>
      </c>
      <c r="S384" s="1">
        <f t="shared" si="2"/>
        <v>-119</v>
      </c>
      <c r="T384" s="1">
        <f t="shared" si="3"/>
        <v>1.840336134</v>
      </c>
      <c r="U384" s="1">
        <f t="shared" si="4"/>
        <v>0</v>
      </c>
      <c r="V384" s="3">
        <f t="shared" si="5"/>
        <v>1</v>
      </c>
      <c r="W384" s="3">
        <f t="shared" si="6"/>
        <v>3</v>
      </c>
      <c r="X384" s="3" t="str">
        <f>IFERROR(__xludf.DUMMYFUNCTION("split(B384,"" "")"),"E.")</f>
        <v>E.</v>
      </c>
      <c r="Y384" s="3" t="str">
        <f>IFERROR(__xludf.DUMMYFUNCTION("""COMPUTED_VALUE"""),"Elliott")</f>
        <v>Elliott</v>
      </c>
      <c r="AA384" s="8">
        <v>22.0</v>
      </c>
      <c r="AB384" s="3">
        <f t="shared" si="7"/>
        <v>1</v>
      </c>
      <c r="AC384" s="3">
        <f t="shared" si="8"/>
        <v>0</v>
      </c>
      <c r="AD384" s="3">
        <f t="shared" si="9"/>
        <v>0.8403361345</v>
      </c>
      <c r="AE384" s="3">
        <f t="shared" si="10"/>
        <v>-1</v>
      </c>
      <c r="AF384" s="3">
        <f t="shared" si="11"/>
        <v>-3</v>
      </c>
      <c r="AG384" s="3">
        <f t="shared" si="12"/>
        <v>-0.4193548387</v>
      </c>
    </row>
    <row r="385">
      <c r="A385" s="1" t="s">
        <v>9</v>
      </c>
      <c r="B385" s="1" t="s">
        <v>395</v>
      </c>
      <c r="C385" s="1" t="s">
        <v>18</v>
      </c>
      <c r="D385" s="1" t="s">
        <v>88</v>
      </c>
      <c r="E385" s="1" t="s">
        <v>156</v>
      </c>
      <c r="F385" s="1" t="s">
        <v>674</v>
      </c>
      <c r="G385" s="1">
        <v>74.5</v>
      </c>
      <c r="H385" s="1" t="s">
        <v>60</v>
      </c>
      <c r="I385" s="1">
        <v>-119.0</v>
      </c>
      <c r="J385" s="1">
        <v>-0.0780211450208575</v>
      </c>
      <c r="K385" s="1" t="s">
        <v>61</v>
      </c>
      <c r="L385" s="1" t="s">
        <v>61</v>
      </c>
      <c r="M385" s="1" t="s">
        <v>62</v>
      </c>
      <c r="N385" s="1">
        <v>-114.0</v>
      </c>
      <c r="O385" s="1">
        <v>0.00190556572853894</v>
      </c>
      <c r="P385" s="1" t="s">
        <v>61</v>
      </c>
      <c r="Q385" s="1" t="s">
        <v>61</v>
      </c>
      <c r="R385" s="1">
        <f t="shared" si="1"/>
        <v>0.001905565729</v>
      </c>
      <c r="S385" s="1">
        <f t="shared" si="2"/>
        <v>-114</v>
      </c>
      <c r="T385" s="1">
        <f t="shared" si="3"/>
        <v>1.877192982</v>
      </c>
      <c r="U385" s="1">
        <f t="shared" si="4"/>
        <v>0</v>
      </c>
      <c r="V385" s="3">
        <f t="shared" si="5"/>
        <v>1</v>
      </c>
      <c r="W385" s="3">
        <f t="shared" si="6"/>
        <v>2</v>
      </c>
      <c r="X385" s="3" t="str">
        <f>IFERROR(__xludf.DUMMYFUNCTION("split(B385,"" "")"),"C.")</f>
        <v>C.</v>
      </c>
      <c r="Y385" s="3" t="str">
        <f>IFERROR(__xludf.DUMMYFUNCTION("""COMPUTED_VALUE"""),"Lamb")</f>
        <v>Lamb</v>
      </c>
      <c r="AA385" s="8">
        <v>24.0</v>
      </c>
      <c r="AB385" s="3">
        <f t="shared" si="7"/>
        <v>0</v>
      </c>
      <c r="AC385" s="3">
        <f t="shared" si="8"/>
        <v>1</v>
      </c>
      <c r="AD385" s="3">
        <f t="shared" si="9"/>
        <v>0.8771929825</v>
      </c>
      <c r="AE385" s="3">
        <f t="shared" si="10"/>
        <v>0.8771929825</v>
      </c>
      <c r="AF385" s="3">
        <f t="shared" si="11"/>
        <v>1.754385965</v>
      </c>
      <c r="AG385" s="3">
        <f t="shared" si="12"/>
        <v>0.677852349</v>
      </c>
    </row>
    <row r="386">
      <c r="A386" s="1" t="s">
        <v>9</v>
      </c>
      <c r="B386" s="1" t="s">
        <v>152</v>
      </c>
      <c r="C386" s="1" t="s">
        <v>19</v>
      </c>
      <c r="D386" s="1" t="s">
        <v>88</v>
      </c>
      <c r="E386" s="1" t="s">
        <v>156</v>
      </c>
      <c r="F386" s="1" t="s">
        <v>674</v>
      </c>
      <c r="G386" s="1">
        <v>67.5</v>
      </c>
      <c r="H386" s="1" t="s">
        <v>60</v>
      </c>
      <c r="I386" s="1">
        <v>-118.0</v>
      </c>
      <c r="J386" s="1">
        <v>-0.0756377109401565</v>
      </c>
      <c r="K386" s="1" t="s">
        <v>61</v>
      </c>
      <c r="L386" s="1" t="s">
        <v>61</v>
      </c>
      <c r="M386" s="1" t="s">
        <v>62</v>
      </c>
      <c r="N386" s="1">
        <v>-114.0</v>
      </c>
      <c r="O386" s="1">
        <v>0.00158710244321369</v>
      </c>
      <c r="P386" s="1" t="s">
        <v>61</v>
      </c>
      <c r="Q386" s="1" t="s">
        <v>61</v>
      </c>
      <c r="R386" s="1">
        <f t="shared" si="1"/>
        <v>0.001587102443</v>
      </c>
      <c r="S386" s="1">
        <f t="shared" si="2"/>
        <v>-114</v>
      </c>
      <c r="T386" s="1">
        <f t="shared" si="3"/>
        <v>1.877192982</v>
      </c>
      <c r="U386" s="1">
        <f t="shared" si="4"/>
        <v>0</v>
      </c>
      <c r="V386" s="3">
        <f t="shared" si="5"/>
        <v>1</v>
      </c>
      <c r="W386" s="3">
        <f t="shared" si="6"/>
        <v>2</v>
      </c>
      <c r="X386" s="3" t="str">
        <f>IFERROR(__xludf.DUMMYFUNCTION("split(B386,"" "")"),"R.")</f>
        <v>R.</v>
      </c>
      <c r="Y386" s="3" t="str">
        <f>IFERROR(__xludf.DUMMYFUNCTION("""COMPUTED_VALUE"""),"Dowdle")</f>
        <v>Dowdle</v>
      </c>
      <c r="AA386" s="8">
        <v>56.0</v>
      </c>
      <c r="AB386" s="3">
        <f t="shared" si="7"/>
        <v>0</v>
      </c>
      <c r="AC386" s="3">
        <f t="shared" si="8"/>
        <v>1</v>
      </c>
      <c r="AD386" s="3">
        <f t="shared" si="9"/>
        <v>0.8771929825</v>
      </c>
      <c r="AE386" s="3">
        <f t="shared" si="10"/>
        <v>0.8771929825</v>
      </c>
      <c r="AF386" s="3">
        <f t="shared" si="11"/>
        <v>1.754385965</v>
      </c>
      <c r="AG386" s="3">
        <f t="shared" si="12"/>
        <v>0.1703703704</v>
      </c>
    </row>
    <row r="387">
      <c r="A387" s="1" t="s">
        <v>16</v>
      </c>
      <c r="B387" s="1" t="s">
        <v>681</v>
      </c>
      <c r="C387" s="1" t="s">
        <v>21</v>
      </c>
      <c r="D387" s="1" t="s">
        <v>88</v>
      </c>
      <c r="E387" s="1" t="s">
        <v>156</v>
      </c>
      <c r="F387" s="1" t="s">
        <v>674</v>
      </c>
      <c r="G387" s="1">
        <v>34.5</v>
      </c>
      <c r="H387" s="1" t="s">
        <v>60</v>
      </c>
      <c r="I387" s="1">
        <v>-104.0</v>
      </c>
      <c r="J387" s="1">
        <v>0.0444978108898038</v>
      </c>
      <c r="K387" s="1" t="s">
        <v>61</v>
      </c>
      <c r="L387" s="1" t="s">
        <v>61</v>
      </c>
      <c r="M387" s="1" t="s">
        <v>62</v>
      </c>
      <c r="N387" s="1">
        <v>-126.0</v>
      </c>
      <c r="O387" s="1">
        <v>-0.11181042129646</v>
      </c>
      <c r="P387" s="1" t="s">
        <v>61</v>
      </c>
      <c r="Q387" s="1" t="s">
        <v>61</v>
      </c>
      <c r="R387" s="1">
        <f t="shared" si="1"/>
        <v>0.04449781089</v>
      </c>
      <c r="S387" s="1">
        <f t="shared" si="2"/>
        <v>-104</v>
      </c>
      <c r="T387" s="1">
        <f t="shared" si="3"/>
        <v>1.961538462</v>
      </c>
      <c r="U387" s="1">
        <f t="shared" si="4"/>
        <v>1</v>
      </c>
      <c r="V387" s="3">
        <f t="shared" si="5"/>
        <v>1</v>
      </c>
      <c r="W387" s="3">
        <f t="shared" si="6"/>
        <v>2</v>
      </c>
      <c r="X387" s="3" t="str">
        <f>IFERROR(__xludf.DUMMYFUNCTION("split(B387,"" "")"),"C.")</f>
        <v>C.</v>
      </c>
      <c r="Y387" s="3" t="str">
        <f>IFERROR(__xludf.DUMMYFUNCTION("""COMPUTED_VALUE"""),"Rush")</f>
        <v>Rush</v>
      </c>
      <c r="AA387" s="8">
        <v>23.0</v>
      </c>
      <c r="AB387" s="3">
        <f t="shared" si="7"/>
        <v>0</v>
      </c>
      <c r="AC387" s="3">
        <f t="shared" si="8"/>
        <v>0</v>
      </c>
      <c r="AD387" s="3">
        <f t="shared" si="9"/>
        <v>0.9615384615</v>
      </c>
      <c r="AE387" s="3">
        <f t="shared" si="10"/>
        <v>-1</v>
      </c>
      <c r="AF387" s="3">
        <f t="shared" si="11"/>
        <v>-2</v>
      </c>
      <c r="AG387" s="3">
        <f t="shared" si="12"/>
        <v>-0.3333333333</v>
      </c>
    </row>
    <row r="388">
      <c r="A388" s="1" t="s">
        <v>10</v>
      </c>
      <c r="B388" s="1" t="s">
        <v>395</v>
      </c>
      <c r="C388" s="1" t="s">
        <v>18</v>
      </c>
      <c r="D388" s="1" t="s">
        <v>88</v>
      </c>
      <c r="E388" s="1" t="s">
        <v>156</v>
      </c>
      <c r="F388" s="1" t="s">
        <v>674</v>
      </c>
      <c r="G388" s="1">
        <v>3.5</v>
      </c>
      <c r="H388" s="1" t="s">
        <v>60</v>
      </c>
      <c r="I388" s="1">
        <v>-110.0</v>
      </c>
      <c r="J388" s="1">
        <v>0.0453068998064997</v>
      </c>
      <c r="K388" s="1" t="s">
        <v>61</v>
      </c>
      <c r="L388" s="1" t="s">
        <v>61</v>
      </c>
      <c r="M388" s="1" t="s">
        <v>62</v>
      </c>
      <c r="N388" s="1">
        <v>-119.0</v>
      </c>
      <c r="O388" s="1">
        <v>-0.112455407587416</v>
      </c>
      <c r="P388" s="1" t="s">
        <v>61</v>
      </c>
      <c r="Q388" s="1" t="s">
        <v>61</v>
      </c>
      <c r="R388" s="1">
        <f t="shared" si="1"/>
        <v>0.04530689981</v>
      </c>
      <c r="S388" s="1">
        <f t="shared" si="2"/>
        <v>-110</v>
      </c>
      <c r="T388" s="1">
        <f t="shared" si="3"/>
        <v>1.909090909</v>
      </c>
      <c r="U388" s="1">
        <f t="shared" si="4"/>
        <v>1</v>
      </c>
      <c r="V388" s="3">
        <f t="shared" si="5"/>
        <v>1</v>
      </c>
      <c r="W388" s="3">
        <f t="shared" si="6"/>
        <v>2</v>
      </c>
      <c r="X388" s="3" t="str">
        <f>IFERROR(__xludf.DUMMYFUNCTION("split(B388,"" "")"),"C.")</f>
        <v>C.</v>
      </c>
      <c r="Y388" s="3" t="str">
        <f>IFERROR(__xludf.DUMMYFUNCTION("""COMPUTED_VALUE"""),"Lamb")</f>
        <v>Lamb</v>
      </c>
      <c r="AA388" s="8">
        <v>3.0</v>
      </c>
      <c r="AB388" s="3">
        <f t="shared" si="7"/>
        <v>0</v>
      </c>
      <c r="AC388" s="3">
        <f t="shared" si="8"/>
        <v>0</v>
      </c>
      <c r="AD388" s="3">
        <f t="shared" si="9"/>
        <v>0.9090909091</v>
      </c>
      <c r="AE388" s="3">
        <f t="shared" si="10"/>
        <v>-1</v>
      </c>
      <c r="AF388" s="3">
        <f t="shared" si="11"/>
        <v>-2</v>
      </c>
      <c r="AG388" s="3">
        <f t="shared" si="12"/>
        <v>-0.1428571429</v>
      </c>
    </row>
    <row r="389">
      <c r="A389" s="1" t="s">
        <v>12</v>
      </c>
      <c r="B389" s="1" t="s">
        <v>395</v>
      </c>
      <c r="C389" s="1" t="s">
        <v>18</v>
      </c>
      <c r="D389" s="1" t="s">
        <v>88</v>
      </c>
      <c r="E389" s="1" t="s">
        <v>156</v>
      </c>
      <c r="F389" s="1" t="s">
        <v>674</v>
      </c>
      <c r="G389" s="1">
        <v>5.5</v>
      </c>
      <c r="H389" s="1" t="s">
        <v>60</v>
      </c>
      <c r="I389" s="1">
        <v>-144.0</v>
      </c>
      <c r="J389" s="1">
        <v>0.0492950819672131</v>
      </c>
      <c r="K389" s="1" t="s">
        <v>61</v>
      </c>
      <c r="L389" s="1" t="s">
        <v>61</v>
      </c>
      <c r="M389" s="1" t="s">
        <v>62</v>
      </c>
      <c r="N389" s="1">
        <v>108.0</v>
      </c>
      <c r="O389" s="1">
        <v>-0.120221153846153</v>
      </c>
      <c r="P389" s="1" t="s">
        <v>61</v>
      </c>
      <c r="Q389" s="1" t="s">
        <v>61</v>
      </c>
      <c r="R389" s="1">
        <f t="shared" si="1"/>
        <v>0.04929508197</v>
      </c>
      <c r="S389" s="1">
        <f t="shared" si="2"/>
        <v>-144</v>
      </c>
      <c r="T389" s="1">
        <f t="shared" si="3"/>
        <v>1.694444444</v>
      </c>
      <c r="U389" s="1">
        <f t="shared" si="4"/>
        <v>1</v>
      </c>
      <c r="V389" s="3">
        <f t="shared" si="5"/>
        <v>1</v>
      </c>
      <c r="W389" s="3">
        <f t="shared" si="6"/>
        <v>3</v>
      </c>
      <c r="X389" s="3" t="str">
        <f>IFERROR(__xludf.DUMMYFUNCTION("split(B389,"" "")"),"C.")</f>
        <v>C.</v>
      </c>
      <c r="Y389" s="3" t="str">
        <f>IFERROR(__xludf.DUMMYFUNCTION("""COMPUTED_VALUE"""),"Lamb")</f>
        <v>Lamb</v>
      </c>
      <c r="AA389" s="8">
        <v>6.0</v>
      </c>
      <c r="AB389" s="3">
        <f t="shared" si="7"/>
        <v>1</v>
      </c>
      <c r="AC389" s="3">
        <f t="shared" si="8"/>
        <v>1</v>
      </c>
      <c r="AD389" s="3">
        <f t="shared" si="9"/>
        <v>0.6944444444</v>
      </c>
      <c r="AE389" s="3">
        <f t="shared" si="10"/>
        <v>0.6944444444</v>
      </c>
      <c r="AF389" s="3">
        <f t="shared" si="11"/>
        <v>2.083333333</v>
      </c>
      <c r="AG389" s="3">
        <f t="shared" si="12"/>
        <v>0.09090909091</v>
      </c>
    </row>
    <row r="390">
      <c r="A390" s="1" t="s">
        <v>9</v>
      </c>
      <c r="B390" s="1" t="s">
        <v>87</v>
      </c>
      <c r="C390" s="1" t="s">
        <v>18</v>
      </c>
      <c r="D390" s="1" t="s">
        <v>88</v>
      </c>
      <c r="E390" s="1" t="s">
        <v>156</v>
      </c>
      <c r="F390" s="1" t="s">
        <v>674</v>
      </c>
      <c r="G390" s="1">
        <v>27.5</v>
      </c>
      <c r="H390" s="1" t="s">
        <v>60</v>
      </c>
      <c r="I390" s="1">
        <v>-119.0</v>
      </c>
      <c r="J390" s="1">
        <v>0.0783432160250124</v>
      </c>
      <c r="K390" s="1" t="s">
        <v>61</v>
      </c>
      <c r="L390" s="1" t="s">
        <v>61</v>
      </c>
      <c r="M390" s="1" t="s">
        <v>62</v>
      </c>
      <c r="N390" s="1">
        <v>-114.0</v>
      </c>
      <c r="O390" s="1">
        <v>-0.154402865947685</v>
      </c>
      <c r="P390" s="1" t="s">
        <v>61</v>
      </c>
      <c r="Q390" s="1" t="s">
        <v>61</v>
      </c>
      <c r="R390" s="1">
        <f t="shared" si="1"/>
        <v>0.07834321603</v>
      </c>
      <c r="S390" s="1">
        <f t="shared" si="2"/>
        <v>-119</v>
      </c>
      <c r="T390" s="1">
        <f t="shared" si="3"/>
        <v>1.840336134</v>
      </c>
      <c r="U390" s="1">
        <f t="shared" si="4"/>
        <v>1</v>
      </c>
      <c r="V390" s="3">
        <f t="shared" si="5"/>
        <v>2</v>
      </c>
      <c r="W390" s="3">
        <f t="shared" si="6"/>
        <v>3</v>
      </c>
      <c r="X390" s="3" t="str">
        <f>IFERROR(__xludf.DUMMYFUNCTION("split(B390,"" "")"),"J.")</f>
        <v>J.</v>
      </c>
      <c r="Y390" s="3" t="str">
        <f>IFERROR(__xludf.DUMMYFUNCTION("""COMPUTED_VALUE"""),"Tolbert")</f>
        <v>Tolbert</v>
      </c>
      <c r="AA390" s="8">
        <v>14.0</v>
      </c>
      <c r="AB390" s="3">
        <f t="shared" si="7"/>
        <v>0</v>
      </c>
      <c r="AC390" s="3">
        <f t="shared" si="8"/>
        <v>0</v>
      </c>
      <c r="AD390" s="3">
        <f t="shared" si="9"/>
        <v>1.680672269</v>
      </c>
      <c r="AE390" s="3">
        <f t="shared" si="10"/>
        <v>-2</v>
      </c>
      <c r="AF390" s="3">
        <f t="shared" si="11"/>
        <v>-3</v>
      </c>
      <c r="AG390" s="3">
        <f t="shared" si="12"/>
        <v>-0.4909090909</v>
      </c>
    </row>
    <row r="391">
      <c r="A391" s="1" t="s">
        <v>15</v>
      </c>
      <c r="B391" s="1" t="s">
        <v>681</v>
      </c>
      <c r="C391" s="1" t="s">
        <v>21</v>
      </c>
      <c r="D391" s="1" t="s">
        <v>88</v>
      </c>
      <c r="E391" s="1" t="s">
        <v>156</v>
      </c>
      <c r="F391" s="1" t="s">
        <v>674</v>
      </c>
      <c r="G391" s="1">
        <v>20.5</v>
      </c>
      <c r="H391" s="1" t="s">
        <v>60</v>
      </c>
      <c r="I391" s="1">
        <v>-108.0</v>
      </c>
      <c r="J391" s="1">
        <v>0.0923211538461538</v>
      </c>
      <c r="K391" s="1" t="s">
        <v>61</v>
      </c>
      <c r="L391" s="1" t="s">
        <v>61</v>
      </c>
      <c r="M391" s="1" t="s">
        <v>62</v>
      </c>
      <c r="N391" s="1">
        <v>-121.0</v>
      </c>
      <c r="O391" s="1">
        <v>-0.159056561085972</v>
      </c>
      <c r="P391" s="1" t="s">
        <v>61</v>
      </c>
      <c r="Q391" s="1" t="s">
        <v>61</v>
      </c>
      <c r="R391" s="1">
        <f t="shared" si="1"/>
        <v>0.09232115385</v>
      </c>
      <c r="S391" s="1">
        <f t="shared" si="2"/>
        <v>-108</v>
      </c>
      <c r="T391" s="1">
        <f t="shared" si="3"/>
        <v>1.925925926</v>
      </c>
      <c r="U391" s="1">
        <f t="shared" si="4"/>
        <v>1</v>
      </c>
      <c r="V391" s="3">
        <f t="shared" si="5"/>
        <v>2</v>
      </c>
      <c r="W391" s="3">
        <f t="shared" si="6"/>
        <v>2</v>
      </c>
      <c r="X391" s="3" t="str">
        <f>IFERROR(__xludf.DUMMYFUNCTION("split(B391,"" "")"),"C.")</f>
        <v>C.</v>
      </c>
      <c r="Y391" s="3" t="str">
        <f>IFERROR(__xludf.DUMMYFUNCTION("""COMPUTED_VALUE"""),"Rush")</f>
        <v>Rush</v>
      </c>
      <c r="AA391" s="8">
        <v>13.0</v>
      </c>
      <c r="AB391" s="3">
        <f t="shared" si="7"/>
        <v>0</v>
      </c>
      <c r="AC391" s="3">
        <f t="shared" si="8"/>
        <v>0</v>
      </c>
      <c r="AD391" s="3">
        <f t="shared" si="9"/>
        <v>1.851851852</v>
      </c>
      <c r="AE391" s="3">
        <f t="shared" si="10"/>
        <v>-2</v>
      </c>
      <c r="AF391" s="3">
        <f t="shared" si="11"/>
        <v>-2</v>
      </c>
      <c r="AG391" s="3">
        <f t="shared" si="12"/>
        <v>-0.3658536585</v>
      </c>
    </row>
    <row r="392">
      <c r="A392" s="1" t="s">
        <v>12</v>
      </c>
      <c r="B392" s="1" t="s">
        <v>293</v>
      </c>
      <c r="C392" s="1" t="s">
        <v>19</v>
      </c>
      <c r="D392" s="1" t="s">
        <v>67</v>
      </c>
      <c r="E392" s="1" t="s">
        <v>77</v>
      </c>
      <c r="F392" s="1" t="s">
        <v>682</v>
      </c>
      <c r="G392" s="1">
        <v>3.5</v>
      </c>
      <c r="H392" s="1" t="s">
        <v>60</v>
      </c>
      <c r="I392" s="1">
        <v>-129.0</v>
      </c>
      <c r="J392" s="1">
        <v>-0.265075109170305</v>
      </c>
      <c r="K392" s="1" t="s">
        <v>61</v>
      </c>
      <c r="L392" s="1" t="s">
        <v>61</v>
      </c>
      <c r="M392" s="1" t="s">
        <v>62</v>
      </c>
      <c r="N392" s="1">
        <v>-102.0</v>
      </c>
      <c r="O392" s="1">
        <v>0.19679900990099</v>
      </c>
      <c r="P392" s="1" t="s">
        <v>61</v>
      </c>
      <c r="Q392" s="1" t="s">
        <v>61</v>
      </c>
      <c r="R392" s="1">
        <f t="shared" si="1"/>
        <v>0.1967990099</v>
      </c>
      <c r="S392" s="1">
        <f t="shared" si="2"/>
        <v>-102</v>
      </c>
      <c r="T392" s="1">
        <f t="shared" si="3"/>
        <v>1.980392157</v>
      </c>
      <c r="U392" s="1">
        <f t="shared" si="4"/>
        <v>0</v>
      </c>
      <c r="V392" s="3">
        <f t="shared" si="5"/>
        <v>3</v>
      </c>
      <c r="W392" s="3">
        <f t="shared" si="6"/>
        <v>2</v>
      </c>
      <c r="X392" s="3" t="str">
        <f>IFERROR(__xludf.DUMMYFUNCTION("split(B392,"" "")"),"C.")</f>
        <v>C.</v>
      </c>
      <c r="Y392" s="3" t="str">
        <f>IFERROR(__xludf.DUMMYFUNCTION("""COMPUTED_VALUE"""),"Brown")</f>
        <v>Brown</v>
      </c>
      <c r="AA392" s="8">
        <v>9.0</v>
      </c>
      <c r="AB392" s="3">
        <f t="shared" si="7"/>
        <v>1</v>
      </c>
      <c r="AC392" s="3">
        <f t="shared" si="8"/>
        <v>0</v>
      </c>
      <c r="AD392" s="3">
        <f t="shared" si="9"/>
        <v>2.941176471</v>
      </c>
      <c r="AE392" s="3">
        <f t="shared" si="10"/>
        <v>-3</v>
      </c>
      <c r="AF392" s="3">
        <f t="shared" si="11"/>
        <v>-2</v>
      </c>
      <c r="AG392" s="3">
        <f t="shared" si="12"/>
        <v>-1.571428571</v>
      </c>
    </row>
    <row r="393">
      <c r="A393" s="1" t="s">
        <v>12</v>
      </c>
      <c r="B393" s="1" t="s">
        <v>659</v>
      </c>
      <c r="C393" s="1" t="s">
        <v>18</v>
      </c>
      <c r="D393" s="1" t="s">
        <v>67</v>
      </c>
      <c r="E393" s="1" t="s">
        <v>77</v>
      </c>
      <c r="F393" s="1" t="s">
        <v>682</v>
      </c>
      <c r="G393" s="1">
        <v>1.5</v>
      </c>
      <c r="H393" s="1" t="s">
        <v>60</v>
      </c>
      <c r="I393" s="1">
        <v>-153.0</v>
      </c>
      <c r="J393" s="1">
        <v>-0.236774459798419</v>
      </c>
      <c r="K393" s="1" t="s">
        <v>61</v>
      </c>
      <c r="L393" s="1" t="s">
        <v>61</v>
      </c>
      <c r="M393" s="1" t="s">
        <v>62</v>
      </c>
      <c r="N393" s="1">
        <v>116.0</v>
      </c>
      <c r="O393" s="1">
        <v>0.169073788560185</v>
      </c>
      <c r="P393" s="1" t="s">
        <v>61</v>
      </c>
      <c r="Q393" s="1" t="s">
        <v>61</v>
      </c>
      <c r="R393" s="1">
        <f t="shared" si="1"/>
        <v>0.1690737886</v>
      </c>
      <c r="S393" s="1">
        <f t="shared" si="2"/>
        <v>116</v>
      </c>
      <c r="T393" s="1">
        <f t="shared" si="3"/>
        <v>2.16</v>
      </c>
      <c r="U393" s="1">
        <f t="shared" si="4"/>
        <v>0</v>
      </c>
      <c r="V393" s="3">
        <f t="shared" si="5"/>
        <v>3</v>
      </c>
      <c r="W393" s="3">
        <f t="shared" si="6"/>
        <v>1</v>
      </c>
      <c r="X393" s="3" t="str">
        <f>IFERROR(__xludf.DUMMYFUNCTION("split(B393,"" "")"),"J.")</f>
        <v>J.</v>
      </c>
      <c r="Y393" s="3" t="str">
        <f>IFERROR(__xludf.DUMMYFUNCTION("""COMPUTED_VALUE"""),"Burton")</f>
        <v>Burton</v>
      </c>
      <c r="AA393" s="8">
        <v>1.0</v>
      </c>
      <c r="AB393" s="3">
        <f t="shared" si="7"/>
        <v>0</v>
      </c>
      <c r="AC393" s="3">
        <f t="shared" si="8"/>
        <v>1</v>
      </c>
      <c r="AD393" s="3">
        <f t="shared" si="9"/>
        <v>3.48</v>
      </c>
      <c r="AE393" s="3">
        <f t="shared" si="10"/>
        <v>3.48</v>
      </c>
      <c r="AF393" s="3">
        <f t="shared" si="11"/>
        <v>1.16</v>
      </c>
      <c r="AG393" s="3">
        <f t="shared" si="12"/>
        <v>0.3333333333</v>
      </c>
    </row>
    <row r="394">
      <c r="A394" s="1" t="s">
        <v>12</v>
      </c>
      <c r="B394" s="1" t="s">
        <v>683</v>
      </c>
      <c r="C394" s="1" t="s">
        <v>20</v>
      </c>
      <c r="D394" s="1" t="s">
        <v>67</v>
      </c>
      <c r="E394" s="1" t="s">
        <v>77</v>
      </c>
      <c r="F394" s="1" t="s">
        <v>682</v>
      </c>
      <c r="G394" s="1">
        <v>1.5</v>
      </c>
      <c r="H394" s="1" t="s">
        <v>60</v>
      </c>
      <c r="I394" s="1">
        <v>-127.0</v>
      </c>
      <c r="J394" s="1">
        <v>-0.231657680383259</v>
      </c>
      <c r="K394" s="1" t="s">
        <v>61</v>
      </c>
      <c r="L394" s="1" t="s">
        <v>61</v>
      </c>
      <c r="M394" s="1" t="s">
        <v>62</v>
      </c>
      <c r="N394" s="1">
        <v>-103.0</v>
      </c>
      <c r="O394" s="1">
        <v>0.164795075125172</v>
      </c>
      <c r="P394" s="1" t="s">
        <v>61</v>
      </c>
      <c r="Q394" s="1" t="s">
        <v>61</v>
      </c>
      <c r="R394" s="1">
        <f t="shared" si="1"/>
        <v>0.1647950751</v>
      </c>
      <c r="S394" s="1">
        <f t="shared" si="2"/>
        <v>-103</v>
      </c>
      <c r="T394" s="1">
        <f t="shared" si="3"/>
        <v>1.970873786</v>
      </c>
      <c r="U394" s="1">
        <f t="shared" si="4"/>
        <v>0</v>
      </c>
      <c r="V394" s="3">
        <f t="shared" si="5"/>
        <v>3</v>
      </c>
      <c r="W394" s="3">
        <f t="shared" si="6"/>
        <v>2</v>
      </c>
      <c r="X394" s="3" t="str">
        <f>IFERROR(__xludf.DUMMYFUNCTION("split(B394,"" "")"),"D.")</f>
        <v>D.</v>
      </c>
      <c r="Y394" s="3" t="str">
        <f>IFERROR(__xludf.DUMMYFUNCTION("""COMPUTED_VALUE"""),"Sample")</f>
        <v>Sample</v>
      </c>
      <c r="AA394" s="8">
        <v>0.0</v>
      </c>
      <c r="AB394" s="3">
        <f t="shared" si="7"/>
        <v>0</v>
      </c>
      <c r="AC394" s="3">
        <f t="shared" si="8"/>
        <v>1</v>
      </c>
      <c r="AD394" s="3">
        <f t="shared" si="9"/>
        <v>2.912621359</v>
      </c>
      <c r="AE394" s="3">
        <f t="shared" si="10"/>
        <v>2.912621359</v>
      </c>
      <c r="AF394" s="3">
        <f t="shared" si="11"/>
        <v>1.941747573</v>
      </c>
      <c r="AG394" s="3">
        <f t="shared" si="12"/>
        <v>1</v>
      </c>
    </row>
    <row r="395">
      <c r="A395" s="1" t="s">
        <v>8</v>
      </c>
      <c r="B395" s="1" t="s">
        <v>318</v>
      </c>
      <c r="C395" s="1" t="s">
        <v>21</v>
      </c>
      <c r="D395" s="1" t="s">
        <v>67</v>
      </c>
      <c r="E395" s="1" t="s">
        <v>77</v>
      </c>
      <c r="F395" s="1" t="s">
        <v>682</v>
      </c>
      <c r="G395" s="1">
        <v>2.5</v>
      </c>
      <c r="H395" s="1" t="s">
        <v>60</v>
      </c>
      <c r="I395" s="1">
        <v>-145.0</v>
      </c>
      <c r="J395" s="1">
        <v>-0.213368605933098</v>
      </c>
      <c r="K395" s="1" t="s">
        <v>61</v>
      </c>
      <c r="L395" s="1" t="s">
        <v>61</v>
      </c>
      <c r="M395" s="1" t="s">
        <v>62</v>
      </c>
      <c r="N395" s="1">
        <v>109.0</v>
      </c>
      <c r="O395" s="1">
        <v>0.143068461500522</v>
      </c>
      <c r="P395" s="1" t="s">
        <v>61</v>
      </c>
      <c r="Q395" s="1" t="s">
        <v>61</v>
      </c>
      <c r="R395" s="1">
        <f t="shared" si="1"/>
        <v>0.1430684615</v>
      </c>
      <c r="S395" s="1">
        <f t="shared" si="2"/>
        <v>109</v>
      </c>
      <c r="T395" s="1">
        <f t="shared" si="3"/>
        <v>2.09</v>
      </c>
      <c r="U395" s="1">
        <f t="shared" si="4"/>
        <v>0</v>
      </c>
      <c r="V395" s="3">
        <f t="shared" si="5"/>
        <v>3</v>
      </c>
      <c r="W395" s="3">
        <f t="shared" si="6"/>
        <v>2</v>
      </c>
      <c r="X395" s="3" t="str">
        <f>IFERROR(__xludf.DUMMYFUNCTION("split(B395,"" "")"),"J.")</f>
        <v>J.</v>
      </c>
      <c r="Y395" s="3" t="str">
        <f>IFERROR(__xludf.DUMMYFUNCTION("""COMPUTED_VALUE"""),"Burrow")</f>
        <v>Burrow</v>
      </c>
      <c r="AA395" s="8">
        <v>2.0</v>
      </c>
      <c r="AB395" s="3">
        <f t="shared" si="7"/>
        <v>0</v>
      </c>
      <c r="AC395" s="3">
        <f t="shared" si="8"/>
        <v>1</v>
      </c>
      <c r="AD395" s="3">
        <f t="shared" si="9"/>
        <v>3.27</v>
      </c>
      <c r="AE395" s="3">
        <f t="shared" si="10"/>
        <v>3.27</v>
      </c>
      <c r="AF395" s="3">
        <f t="shared" si="11"/>
        <v>2.18</v>
      </c>
      <c r="AG395" s="3">
        <f t="shared" si="12"/>
        <v>0.2</v>
      </c>
    </row>
    <row r="396">
      <c r="A396" s="1" t="s">
        <v>12</v>
      </c>
      <c r="B396" s="1" t="s">
        <v>684</v>
      </c>
      <c r="C396" s="1" t="s">
        <v>20</v>
      </c>
      <c r="D396" s="1" t="s">
        <v>67</v>
      </c>
      <c r="E396" s="1" t="s">
        <v>77</v>
      </c>
      <c r="F396" s="1" t="s">
        <v>682</v>
      </c>
      <c r="G396" s="1">
        <v>1.5</v>
      </c>
      <c r="H396" s="1" t="s">
        <v>60</v>
      </c>
      <c r="I396" s="1">
        <v>-102.0</v>
      </c>
      <c r="J396" s="1">
        <v>-0.202539757539604</v>
      </c>
      <c r="K396" s="1" t="s">
        <v>61</v>
      </c>
      <c r="L396" s="1" t="s">
        <v>61</v>
      </c>
      <c r="M396" s="1" t="s">
        <v>62</v>
      </c>
      <c r="N396" s="1">
        <v>-129.0</v>
      </c>
      <c r="O396" s="1">
        <v>0.134269004452707</v>
      </c>
      <c r="P396" s="1" t="s">
        <v>61</v>
      </c>
      <c r="Q396" s="1" t="s">
        <v>61</v>
      </c>
      <c r="R396" s="1">
        <f t="shared" si="1"/>
        <v>0.1342690045</v>
      </c>
      <c r="S396" s="1">
        <f t="shared" si="2"/>
        <v>-129</v>
      </c>
      <c r="T396" s="1">
        <f t="shared" si="3"/>
        <v>1.775193798</v>
      </c>
      <c r="U396" s="1">
        <f t="shared" si="4"/>
        <v>0</v>
      </c>
      <c r="V396" s="3">
        <f t="shared" si="5"/>
        <v>3</v>
      </c>
      <c r="W396" s="3">
        <f t="shared" si="6"/>
        <v>3</v>
      </c>
      <c r="X396" s="3" t="str">
        <f>IFERROR(__xludf.DUMMYFUNCTION("split(B396,"" "")"),"T.")</f>
        <v>T.</v>
      </c>
      <c r="Y396" s="3" t="str">
        <f>IFERROR(__xludf.DUMMYFUNCTION("""COMPUTED_VALUE"""),"Hudson")</f>
        <v>Hudson</v>
      </c>
      <c r="AA396" s="8">
        <v>6.0</v>
      </c>
      <c r="AB396" s="3">
        <f t="shared" si="7"/>
        <v>1</v>
      </c>
      <c r="AC396" s="3">
        <f t="shared" si="8"/>
        <v>0</v>
      </c>
      <c r="AD396" s="3">
        <f t="shared" si="9"/>
        <v>2.325581395</v>
      </c>
      <c r="AE396" s="3">
        <f t="shared" si="10"/>
        <v>-3</v>
      </c>
      <c r="AF396" s="3">
        <f t="shared" si="11"/>
        <v>-3</v>
      </c>
      <c r="AG396" s="3">
        <f t="shared" si="12"/>
        <v>-3</v>
      </c>
    </row>
    <row r="397">
      <c r="A397" s="1" t="s">
        <v>9</v>
      </c>
      <c r="B397" s="1" t="s">
        <v>293</v>
      </c>
      <c r="C397" s="1" t="s">
        <v>19</v>
      </c>
      <c r="D397" s="1" t="s">
        <v>67</v>
      </c>
      <c r="E397" s="1" t="s">
        <v>77</v>
      </c>
      <c r="F397" s="1" t="s">
        <v>682</v>
      </c>
      <c r="G397" s="1">
        <v>84.5</v>
      </c>
      <c r="H397" s="1" t="s">
        <v>60</v>
      </c>
      <c r="I397" s="1">
        <v>-127.0</v>
      </c>
      <c r="J397" s="1">
        <v>-0.199005628151848</v>
      </c>
      <c r="K397" s="1" t="s">
        <v>61</v>
      </c>
      <c r="L397" s="1" t="s">
        <v>61</v>
      </c>
      <c r="M397" s="1" t="s">
        <v>62</v>
      </c>
      <c r="N397" s="1">
        <v>-106.0</v>
      </c>
      <c r="O397" s="1">
        <v>0.125027331290766</v>
      </c>
      <c r="P397" s="1" t="s">
        <v>61</v>
      </c>
      <c r="Q397" s="1" t="s">
        <v>61</v>
      </c>
      <c r="R397" s="1">
        <f t="shared" si="1"/>
        <v>0.1250273313</v>
      </c>
      <c r="S397" s="1">
        <f t="shared" si="2"/>
        <v>-106</v>
      </c>
      <c r="T397" s="1">
        <f t="shared" si="3"/>
        <v>1.943396226</v>
      </c>
      <c r="U397" s="1">
        <f t="shared" si="4"/>
        <v>0</v>
      </c>
      <c r="V397" s="3">
        <f t="shared" si="5"/>
        <v>3</v>
      </c>
      <c r="W397" s="3">
        <f t="shared" si="6"/>
        <v>2</v>
      </c>
      <c r="X397" s="3" t="str">
        <f>IFERROR(__xludf.DUMMYFUNCTION("split(B397,"" "")"),"C.")</f>
        <v>C.</v>
      </c>
      <c r="Y397" s="3" t="str">
        <f>IFERROR(__xludf.DUMMYFUNCTION("""COMPUTED_VALUE"""),"Brown")</f>
        <v>Brown</v>
      </c>
      <c r="AA397" s="8">
        <v>94.0</v>
      </c>
      <c r="AB397" s="3">
        <f t="shared" si="7"/>
        <v>1</v>
      </c>
      <c r="AC397" s="3">
        <f t="shared" si="8"/>
        <v>0</v>
      </c>
      <c r="AD397" s="3">
        <f t="shared" si="9"/>
        <v>2.830188679</v>
      </c>
      <c r="AE397" s="3">
        <f t="shared" si="10"/>
        <v>-3</v>
      </c>
      <c r="AF397" s="3">
        <f t="shared" si="11"/>
        <v>-2</v>
      </c>
      <c r="AG397" s="3">
        <f t="shared" si="12"/>
        <v>-0.1124260355</v>
      </c>
    </row>
    <row r="398">
      <c r="A398" s="1" t="s">
        <v>8</v>
      </c>
      <c r="B398" s="1" t="s">
        <v>293</v>
      </c>
      <c r="C398" s="1" t="s">
        <v>19</v>
      </c>
      <c r="D398" s="1" t="s">
        <v>67</v>
      </c>
      <c r="E398" s="1" t="s">
        <v>77</v>
      </c>
      <c r="F398" s="1" t="s">
        <v>682</v>
      </c>
      <c r="G398" s="1">
        <v>15.5</v>
      </c>
      <c r="H398" s="1" t="s">
        <v>60</v>
      </c>
      <c r="I398" s="1">
        <v>-103.0</v>
      </c>
      <c r="J398" s="1">
        <v>-0.167985115088669</v>
      </c>
      <c r="K398" s="1" t="s">
        <v>61</v>
      </c>
      <c r="L398" s="1" t="s">
        <v>61</v>
      </c>
      <c r="M398" s="1" t="s">
        <v>62</v>
      </c>
      <c r="N398" s="1">
        <v>-129.0</v>
      </c>
      <c r="O398" s="1">
        <v>0.0972765942719213</v>
      </c>
      <c r="P398" s="1" t="s">
        <v>61</v>
      </c>
      <c r="Q398" s="1" t="s">
        <v>61</v>
      </c>
      <c r="R398" s="1">
        <f t="shared" si="1"/>
        <v>0.09727659427</v>
      </c>
      <c r="S398" s="1">
        <f t="shared" si="2"/>
        <v>-129</v>
      </c>
      <c r="T398" s="1">
        <f t="shared" si="3"/>
        <v>1.775193798</v>
      </c>
      <c r="U398" s="1">
        <f t="shared" si="4"/>
        <v>0</v>
      </c>
      <c r="V398" s="3">
        <f t="shared" si="5"/>
        <v>2</v>
      </c>
      <c r="W398" s="3">
        <f t="shared" si="6"/>
        <v>3</v>
      </c>
      <c r="X398" s="3" t="str">
        <f>IFERROR(__xludf.DUMMYFUNCTION("split(B398,"" "")"),"C.")</f>
        <v>C.</v>
      </c>
      <c r="Y398" s="3" t="str">
        <f>IFERROR(__xludf.DUMMYFUNCTION("""COMPUTED_VALUE"""),"Brown")</f>
        <v>Brown</v>
      </c>
      <c r="AA398" s="8">
        <v>13.0</v>
      </c>
      <c r="AB398" s="3">
        <f t="shared" si="7"/>
        <v>0</v>
      </c>
      <c r="AC398" s="3">
        <f t="shared" si="8"/>
        <v>1</v>
      </c>
      <c r="AD398" s="3">
        <f t="shared" si="9"/>
        <v>1.550387597</v>
      </c>
      <c r="AE398" s="3">
        <f t="shared" si="10"/>
        <v>1.550387597</v>
      </c>
      <c r="AF398" s="3">
        <f t="shared" si="11"/>
        <v>2.325581395</v>
      </c>
      <c r="AG398" s="3">
        <f t="shared" si="12"/>
        <v>0.1612903226</v>
      </c>
    </row>
    <row r="399">
      <c r="A399" s="1" t="s">
        <v>14</v>
      </c>
      <c r="B399" s="1" t="s">
        <v>318</v>
      </c>
      <c r="C399" s="1" t="s">
        <v>21</v>
      </c>
      <c r="D399" s="1" t="s">
        <v>67</v>
      </c>
      <c r="E399" s="1" t="s">
        <v>77</v>
      </c>
      <c r="F399" s="1" t="s">
        <v>682</v>
      </c>
      <c r="G399" s="1">
        <v>1.5</v>
      </c>
      <c r="H399" s="1" t="s">
        <v>60</v>
      </c>
      <c r="I399" s="1">
        <v>-195.0</v>
      </c>
      <c r="J399" s="1">
        <v>-0.145250847457627</v>
      </c>
      <c r="K399" s="1" t="s">
        <v>61</v>
      </c>
      <c r="L399" s="1" t="s">
        <v>61</v>
      </c>
      <c r="M399" s="1" t="s">
        <v>62</v>
      </c>
      <c r="N399" s="1">
        <v>148.0</v>
      </c>
      <c r="O399" s="1">
        <v>0.0810145161290321</v>
      </c>
      <c r="P399" s="1" t="s">
        <v>61</v>
      </c>
      <c r="Q399" s="1" t="s">
        <v>61</v>
      </c>
      <c r="R399" s="1">
        <f t="shared" si="1"/>
        <v>0.08101451613</v>
      </c>
      <c r="S399" s="1">
        <f t="shared" si="2"/>
        <v>148</v>
      </c>
      <c r="T399" s="1">
        <f t="shared" si="3"/>
        <v>2.48</v>
      </c>
      <c r="U399" s="1">
        <f t="shared" si="4"/>
        <v>0</v>
      </c>
      <c r="V399" s="3">
        <f t="shared" si="5"/>
        <v>2</v>
      </c>
      <c r="W399" s="3">
        <f t="shared" si="6"/>
        <v>1</v>
      </c>
      <c r="X399" s="3" t="str">
        <f>IFERROR(__xludf.DUMMYFUNCTION("split(B399,"" "")"),"J.")</f>
        <v>J.</v>
      </c>
      <c r="Y399" s="3" t="str">
        <f>IFERROR(__xludf.DUMMYFUNCTION("""COMPUTED_VALUE"""),"Burrow")</f>
        <v>Burrow</v>
      </c>
      <c r="AA399" s="8">
        <v>4.0</v>
      </c>
      <c r="AB399" s="3">
        <f t="shared" si="7"/>
        <v>1</v>
      </c>
      <c r="AC399" s="3">
        <f t="shared" si="8"/>
        <v>0</v>
      </c>
      <c r="AD399" s="3">
        <f t="shared" si="9"/>
        <v>2.96</v>
      </c>
      <c r="AE399" s="3">
        <f t="shared" si="10"/>
        <v>-2</v>
      </c>
      <c r="AF399" s="3">
        <f t="shared" si="11"/>
        <v>-1</v>
      </c>
      <c r="AG399" s="3">
        <f t="shared" si="12"/>
        <v>-1.666666667</v>
      </c>
    </row>
    <row r="400">
      <c r="A400" s="1" t="s">
        <v>10</v>
      </c>
      <c r="B400" s="1" t="s">
        <v>293</v>
      </c>
      <c r="C400" s="1" t="s">
        <v>19</v>
      </c>
      <c r="D400" s="1" t="s">
        <v>67</v>
      </c>
      <c r="E400" s="1" t="s">
        <v>77</v>
      </c>
      <c r="F400" s="1" t="s">
        <v>682</v>
      </c>
      <c r="G400" s="1">
        <v>56.5</v>
      </c>
      <c r="H400" s="1" t="s">
        <v>60</v>
      </c>
      <c r="I400" s="1">
        <v>-114.0</v>
      </c>
      <c r="J400" s="1">
        <v>-0.135112491694713</v>
      </c>
      <c r="K400" s="1" t="s">
        <v>61</v>
      </c>
      <c r="L400" s="1" t="s">
        <v>61</v>
      </c>
      <c r="M400" s="1" t="s">
        <v>62</v>
      </c>
      <c r="N400" s="1">
        <v>-113.0</v>
      </c>
      <c r="O400" s="1">
        <v>0.0718577887234154</v>
      </c>
      <c r="P400" s="1" t="s">
        <v>61</v>
      </c>
      <c r="Q400" s="1" t="s">
        <v>61</v>
      </c>
      <c r="R400" s="1">
        <f t="shared" si="1"/>
        <v>0.07185778872</v>
      </c>
      <c r="S400" s="1">
        <f t="shared" si="2"/>
        <v>-113</v>
      </c>
      <c r="T400" s="1">
        <f t="shared" si="3"/>
        <v>1.884955752</v>
      </c>
      <c r="U400" s="1">
        <f t="shared" si="4"/>
        <v>0</v>
      </c>
      <c r="V400" s="3">
        <f t="shared" si="5"/>
        <v>2</v>
      </c>
      <c r="W400" s="3">
        <f t="shared" si="6"/>
        <v>2</v>
      </c>
      <c r="X400" s="3" t="str">
        <f>IFERROR(__xludf.DUMMYFUNCTION("split(B400,"" "")"),"C.")</f>
        <v>C.</v>
      </c>
      <c r="Y400" s="3" t="str">
        <f>IFERROR(__xludf.DUMMYFUNCTION("""COMPUTED_VALUE"""),"Brown")</f>
        <v>Brown</v>
      </c>
      <c r="AA400" s="8">
        <v>42.0</v>
      </c>
      <c r="AB400" s="3">
        <f t="shared" si="7"/>
        <v>0</v>
      </c>
      <c r="AC400" s="3">
        <f t="shared" si="8"/>
        <v>1</v>
      </c>
      <c r="AD400" s="3">
        <f t="shared" si="9"/>
        <v>1.769911504</v>
      </c>
      <c r="AE400" s="3">
        <f t="shared" si="10"/>
        <v>1.769911504</v>
      </c>
      <c r="AF400" s="3">
        <f t="shared" si="11"/>
        <v>1.769911504</v>
      </c>
      <c r="AG400" s="3">
        <f t="shared" si="12"/>
        <v>0.2566371681</v>
      </c>
    </row>
    <row r="401">
      <c r="A401" s="1" t="s">
        <v>17</v>
      </c>
      <c r="B401" s="1" t="s">
        <v>318</v>
      </c>
      <c r="C401" s="1" t="s">
        <v>21</v>
      </c>
      <c r="D401" s="1" t="s">
        <v>67</v>
      </c>
      <c r="E401" s="1" t="s">
        <v>77</v>
      </c>
      <c r="F401" s="1" t="s">
        <v>682</v>
      </c>
      <c r="G401" s="1">
        <v>0.5</v>
      </c>
      <c r="H401" s="1" t="s">
        <v>60</v>
      </c>
      <c r="I401" s="1">
        <v>-136.0</v>
      </c>
      <c r="J401" s="1">
        <v>-0.134713559322033</v>
      </c>
      <c r="K401" s="1" t="s">
        <v>61</v>
      </c>
      <c r="L401" s="1" t="s">
        <v>61</v>
      </c>
      <c r="M401" s="1" t="s">
        <v>62</v>
      </c>
      <c r="N401" s="1">
        <v>104.0</v>
      </c>
      <c r="O401" s="1">
        <v>0.0682529411764706</v>
      </c>
      <c r="P401" s="1" t="s">
        <v>61</v>
      </c>
      <c r="Q401" s="1" t="s">
        <v>61</v>
      </c>
      <c r="R401" s="1">
        <f t="shared" si="1"/>
        <v>0.06825294118</v>
      </c>
      <c r="S401" s="1">
        <f t="shared" si="2"/>
        <v>104</v>
      </c>
      <c r="T401" s="1">
        <f t="shared" si="3"/>
        <v>2.04</v>
      </c>
      <c r="U401" s="1">
        <f t="shared" si="4"/>
        <v>0</v>
      </c>
      <c r="V401" s="3">
        <f t="shared" si="5"/>
        <v>2</v>
      </c>
      <c r="W401" s="3">
        <f t="shared" si="6"/>
        <v>2</v>
      </c>
      <c r="X401" s="3" t="str">
        <f>IFERROR(__xludf.DUMMYFUNCTION("split(B401,"" "")"),"J.")</f>
        <v>J.</v>
      </c>
      <c r="Y401" s="3" t="str">
        <f>IFERROR(__xludf.DUMMYFUNCTION("""COMPUTED_VALUE"""),"Burrow")</f>
        <v>Burrow</v>
      </c>
      <c r="AA401" s="8">
        <v>0.0</v>
      </c>
      <c r="AB401" s="3">
        <f t="shared" si="7"/>
        <v>0</v>
      </c>
      <c r="AC401" s="3">
        <f t="shared" si="8"/>
        <v>1</v>
      </c>
      <c r="AD401" s="3">
        <f t="shared" si="9"/>
        <v>2.08</v>
      </c>
      <c r="AE401" s="3">
        <f t="shared" si="10"/>
        <v>2.08</v>
      </c>
      <c r="AF401" s="3">
        <f t="shared" si="11"/>
        <v>2.08</v>
      </c>
      <c r="AG401" s="3">
        <f t="shared" si="12"/>
        <v>1</v>
      </c>
    </row>
    <row r="402">
      <c r="A402" s="1" t="s">
        <v>11</v>
      </c>
      <c r="B402" s="1" t="s">
        <v>293</v>
      </c>
      <c r="C402" s="1" t="s">
        <v>19</v>
      </c>
      <c r="D402" s="1" t="s">
        <v>67</v>
      </c>
      <c r="E402" s="1" t="s">
        <v>77</v>
      </c>
      <c r="F402" s="1" t="s">
        <v>682</v>
      </c>
      <c r="G402" s="1">
        <v>23.5</v>
      </c>
      <c r="H402" s="1" t="s">
        <v>60</v>
      </c>
      <c r="I402" s="1">
        <v>-119.0</v>
      </c>
      <c r="J402" s="1">
        <v>-0.126340074035365</v>
      </c>
      <c r="K402" s="1" t="s">
        <v>61</v>
      </c>
      <c r="L402" s="1" t="s">
        <v>61</v>
      </c>
      <c r="M402" s="1" t="s">
        <v>62</v>
      </c>
      <c r="N402" s="1">
        <v>-111.0</v>
      </c>
      <c r="O402" s="1">
        <v>0.0569040170486112</v>
      </c>
      <c r="P402" s="1" t="s">
        <v>61</v>
      </c>
      <c r="Q402" s="1" t="s">
        <v>61</v>
      </c>
      <c r="R402" s="1">
        <f t="shared" si="1"/>
        <v>0.05690401705</v>
      </c>
      <c r="S402" s="1">
        <f t="shared" si="2"/>
        <v>-111</v>
      </c>
      <c r="T402" s="1">
        <f t="shared" si="3"/>
        <v>1.900900901</v>
      </c>
      <c r="U402" s="1">
        <f t="shared" si="4"/>
        <v>0</v>
      </c>
      <c r="V402" s="3">
        <f t="shared" si="5"/>
        <v>2</v>
      </c>
      <c r="W402" s="3">
        <f t="shared" si="6"/>
        <v>2</v>
      </c>
      <c r="X402" s="3" t="str">
        <f>IFERROR(__xludf.DUMMYFUNCTION("split(B402,"" "")"),"C.")</f>
        <v>C.</v>
      </c>
      <c r="Y402" s="3" t="str">
        <f>IFERROR(__xludf.DUMMYFUNCTION("""COMPUTED_VALUE"""),"Brown")</f>
        <v>Brown</v>
      </c>
      <c r="AA402" s="8">
        <v>52.0</v>
      </c>
      <c r="AB402" s="3">
        <f t="shared" si="7"/>
        <v>1</v>
      </c>
      <c r="AC402" s="3">
        <f t="shared" si="8"/>
        <v>0</v>
      </c>
      <c r="AD402" s="3">
        <f t="shared" si="9"/>
        <v>1.801801802</v>
      </c>
      <c r="AE402" s="3">
        <f t="shared" si="10"/>
        <v>-2</v>
      </c>
      <c r="AF402" s="3">
        <f t="shared" si="11"/>
        <v>-2</v>
      </c>
      <c r="AG402" s="3">
        <f t="shared" si="12"/>
        <v>-1.212765957</v>
      </c>
    </row>
    <row r="403">
      <c r="A403" s="1" t="s">
        <v>11</v>
      </c>
      <c r="B403" s="1" t="s">
        <v>504</v>
      </c>
      <c r="C403" s="1" t="s">
        <v>20</v>
      </c>
      <c r="D403" s="1" t="s">
        <v>67</v>
      </c>
      <c r="E403" s="1" t="s">
        <v>77</v>
      </c>
      <c r="F403" s="1" t="s">
        <v>682</v>
      </c>
      <c r="G403" s="1">
        <v>50.5</v>
      </c>
      <c r="H403" s="1" t="s">
        <v>60</v>
      </c>
      <c r="I403" s="1">
        <v>-117.0</v>
      </c>
      <c r="J403" s="1">
        <v>-0.107371711882585</v>
      </c>
      <c r="K403" s="1" t="s">
        <v>61</v>
      </c>
      <c r="L403" s="1" t="s">
        <v>61</v>
      </c>
      <c r="M403" s="1" t="s">
        <v>62</v>
      </c>
      <c r="N403" s="1">
        <v>-111.0</v>
      </c>
      <c r="O403" s="1">
        <v>0.042134518774853</v>
      </c>
      <c r="P403" s="1" t="s">
        <v>61</v>
      </c>
      <c r="Q403" s="1" t="s">
        <v>61</v>
      </c>
      <c r="R403" s="1">
        <f t="shared" si="1"/>
        <v>0.04213451877</v>
      </c>
      <c r="S403" s="1">
        <f t="shared" si="2"/>
        <v>-111</v>
      </c>
      <c r="T403" s="1">
        <f t="shared" si="3"/>
        <v>1.900900901</v>
      </c>
      <c r="U403" s="1">
        <f t="shared" si="4"/>
        <v>0</v>
      </c>
      <c r="V403" s="3">
        <f t="shared" si="5"/>
        <v>1</v>
      </c>
      <c r="W403" s="3">
        <f t="shared" si="6"/>
        <v>2</v>
      </c>
      <c r="X403" s="3" t="str">
        <f>IFERROR(__xludf.DUMMYFUNCTION("split(B403,"" "")"),"M.")</f>
        <v>M.</v>
      </c>
      <c r="Y403" s="3" t="str">
        <f>IFERROR(__xludf.DUMMYFUNCTION("""COMPUTED_VALUE"""),"Gesicki")</f>
        <v>Gesicki</v>
      </c>
      <c r="AA403" s="8">
        <v>30.0</v>
      </c>
      <c r="AB403" s="3">
        <f t="shared" si="7"/>
        <v>0</v>
      </c>
      <c r="AC403" s="3">
        <f t="shared" si="8"/>
        <v>1</v>
      </c>
      <c r="AD403" s="3">
        <f t="shared" si="9"/>
        <v>0.9009009009</v>
      </c>
      <c r="AE403" s="3">
        <f t="shared" si="10"/>
        <v>0.9009009009</v>
      </c>
      <c r="AF403" s="3">
        <f t="shared" si="11"/>
        <v>1.801801802</v>
      </c>
      <c r="AG403" s="3">
        <f t="shared" si="12"/>
        <v>0.4059405941</v>
      </c>
    </row>
    <row r="404">
      <c r="A404" s="1" t="s">
        <v>13</v>
      </c>
      <c r="B404" s="1" t="s">
        <v>318</v>
      </c>
      <c r="C404" s="1" t="s">
        <v>21</v>
      </c>
      <c r="D404" s="1" t="s">
        <v>67</v>
      </c>
      <c r="E404" s="1" t="s">
        <v>77</v>
      </c>
      <c r="F404" s="1" t="s">
        <v>682</v>
      </c>
      <c r="G404" s="1">
        <v>273.5</v>
      </c>
      <c r="H404" s="1" t="s">
        <v>60</v>
      </c>
      <c r="I404" s="1">
        <v>-122.0</v>
      </c>
      <c r="J404" s="1">
        <v>-0.0705862620018016</v>
      </c>
      <c r="K404" s="1" t="s">
        <v>61</v>
      </c>
      <c r="L404" s="1" t="s">
        <v>61</v>
      </c>
      <c r="M404" s="1" t="s">
        <v>62</v>
      </c>
      <c r="N404" s="1">
        <v>-108.0</v>
      </c>
      <c r="O404" s="1">
        <v>0.00182637990384604</v>
      </c>
      <c r="P404" s="1" t="s">
        <v>61</v>
      </c>
      <c r="Q404" s="1" t="s">
        <v>61</v>
      </c>
      <c r="R404" s="1">
        <f t="shared" si="1"/>
        <v>0.001826379904</v>
      </c>
      <c r="S404" s="1">
        <f t="shared" si="2"/>
        <v>-108</v>
      </c>
      <c r="T404" s="1">
        <f t="shared" si="3"/>
        <v>1.925925926</v>
      </c>
      <c r="U404" s="1">
        <f t="shared" si="4"/>
        <v>0</v>
      </c>
      <c r="V404" s="3">
        <f t="shared" si="5"/>
        <v>1</v>
      </c>
      <c r="W404" s="3">
        <f t="shared" si="6"/>
        <v>2</v>
      </c>
      <c r="X404" s="3" t="str">
        <f>IFERROR(__xludf.DUMMYFUNCTION("split(B404,"" "")"),"J.")</f>
        <v>J.</v>
      </c>
      <c r="Y404" s="3" t="str">
        <f>IFERROR(__xludf.DUMMYFUNCTION("""COMPUTED_VALUE"""),"Burrow")</f>
        <v>Burrow</v>
      </c>
      <c r="AA404" s="8">
        <v>428.0</v>
      </c>
      <c r="AB404" s="3">
        <f t="shared" si="7"/>
        <v>1</v>
      </c>
      <c r="AC404" s="3">
        <f t="shared" si="8"/>
        <v>0</v>
      </c>
      <c r="AD404" s="3">
        <f t="shared" si="9"/>
        <v>0.9259259259</v>
      </c>
      <c r="AE404" s="3">
        <f t="shared" si="10"/>
        <v>-1</v>
      </c>
      <c r="AF404" s="3">
        <f t="shared" si="11"/>
        <v>-2</v>
      </c>
      <c r="AG404" s="3">
        <f t="shared" si="12"/>
        <v>-0.5648994516</v>
      </c>
    </row>
    <row r="405">
      <c r="A405" s="1" t="s">
        <v>9</v>
      </c>
      <c r="B405" s="1" t="s">
        <v>659</v>
      </c>
      <c r="C405" s="1" t="s">
        <v>18</v>
      </c>
      <c r="D405" s="1" t="s">
        <v>67</v>
      </c>
      <c r="E405" s="1" t="s">
        <v>77</v>
      </c>
      <c r="F405" s="1" t="s">
        <v>682</v>
      </c>
      <c r="G405" s="1">
        <v>21.5</v>
      </c>
      <c r="H405" s="1" t="s">
        <v>60</v>
      </c>
      <c r="I405" s="1">
        <v>-118.0</v>
      </c>
      <c r="J405" s="1">
        <v>0.0840163942224632</v>
      </c>
      <c r="K405" s="1" t="s">
        <v>61</v>
      </c>
      <c r="L405" s="1" t="s">
        <v>61</v>
      </c>
      <c r="M405" s="1" t="s">
        <v>62</v>
      </c>
      <c r="N405" s="1">
        <v>-114.0</v>
      </c>
      <c r="O405" s="1">
        <v>-0.157978945290497</v>
      </c>
      <c r="P405" s="1" t="s">
        <v>61</v>
      </c>
      <c r="Q405" s="1" t="s">
        <v>61</v>
      </c>
      <c r="R405" s="1">
        <f t="shared" si="1"/>
        <v>0.08401639422</v>
      </c>
      <c r="S405" s="1">
        <f t="shared" si="2"/>
        <v>-118</v>
      </c>
      <c r="T405" s="1">
        <f t="shared" si="3"/>
        <v>1.847457627</v>
      </c>
      <c r="U405" s="1">
        <f t="shared" si="4"/>
        <v>1</v>
      </c>
      <c r="V405" s="3">
        <f t="shared" si="5"/>
        <v>2</v>
      </c>
      <c r="W405" s="3">
        <f t="shared" si="6"/>
        <v>3</v>
      </c>
      <c r="X405" s="3" t="str">
        <f>IFERROR(__xludf.DUMMYFUNCTION("split(B405,"" "")"),"J.")</f>
        <v>J.</v>
      </c>
      <c r="Y405" s="3" t="str">
        <f>IFERROR(__xludf.DUMMYFUNCTION("""COMPUTED_VALUE"""),"Burton")</f>
        <v>Burton</v>
      </c>
      <c r="AA405" s="8">
        <v>11.0</v>
      </c>
      <c r="AB405" s="3">
        <f t="shared" si="7"/>
        <v>0</v>
      </c>
      <c r="AC405" s="3">
        <f t="shared" si="8"/>
        <v>0</v>
      </c>
      <c r="AD405" s="3">
        <f t="shared" si="9"/>
        <v>1.694915254</v>
      </c>
      <c r="AE405" s="3">
        <f t="shared" si="10"/>
        <v>-2</v>
      </c>
      <c r="AF405" s="3">
        <f t="shared" si="11"/>
        <v>-3</v>
      </c>
      <c r="AG405" s="3">
        <f t="shared" si="12"/>
        <v>-0.488372093</v>
      </c>
    </row>
    <row r="406">
      <c r="A406" s="1" t="s">
        <v>9</v>
      </c>
      <c r="B406" s="1" t="s">
        <v>527</v>
      </c>
      <c r="C406" s="1" t="s">
        <v>18</v>
      </c>
      <c r="D406" s="1" t="s">
        <v>67</v>
      </c>
      <c r="E406" s="1" t="s">
        <v>77</v>
      </c>
      <c r="F406" s="1" t="s">
        <v>682</v>
      </c>
      <c r="G406" s="1">
        <v>26.5</v>
      </c>
      <c r="H406" s="1" t="s">
        <v>60</v>
      </c>
      <c r="I406" s="1">
        <v>-112.0</v>
      </c>
      <c r="J406" s="1">
        <v>0.092658713464878</v>
      </c>
      <c r="K406" s="1" t="s">
        <v>61</v>
      </c>
      <c r="L406" s="1" t="s">
        <v>61</v>
      </c>
      <c r="M406" s="1" t="s">
        <v>62</v>
      </c>
      <c r="N406" s="1">
        <v>-121.0</v>
      </c>
      <c r="O406" s="1">
        <v>-0.168465579990998</v>
      </c>
      <c r="P406" s="1" t="s">
        <v>61</v>
      </c>
      <c r="Q406" s="1" t="s">
        <v>61</v>
      </c>
      <c r="R406" s="1">
        <f t="shared" si="1"/>
        <v>0.09265871346</v>
      </c>
      <c r="S406" s="1">
        <f t="shared" si="2"/>
        <v>-112</v>
      </c>
      <c r="T406" s="1">
        <f t="shared" si="3"/>
        <v>1.892857143</v>
      </c>
      <c r="U406" s="1">
        <f t="shared" si="4"/>
        <v>1</v>
      </c>
      <c r="V406" s="3">
        <f t="shared" si="5"/>
        <v>2</v>
      </c>
      <c r="W406" s="3">
        <f t="shared" si="6"/>
        <v>2</v>
      </c>
      <c r="X406" s="3" t="str">
        <f>IFERROR(__xludf.DUMMYFUNCTION("split(B406,"" "")"),"A.")</f>
        <v>A.</v>
      </c>
      <c r="Y406" s="3" t="str">
        <f>IFERROR(__xludf.DUMMYFUNCTION("""COMPUTED_VALUE"""),"Iosivas")</f>
        <v>Iosivas</v>
      </c>
      <c r="AA406" s="8">
        <v>29.0</v>
      </c>
      <c r="AB406" s="3">
        <f t="shared" si="7"/>
        <v>1</v>
      </c>
      <c r="AC406" s="3">
        <f t="shared" si="8"/>
        <v>1</v>
      </c>
      <c r="AD406" s="3">
        <f t="shared" si="9"/>
        <v>1.785714286</v>
      </c>
      <c r="AE406" s="3">
        <f t="shared" si="10"/>
        <v>1.785714286</v>
      </c>
      <c r="AF406" s="3">
        <f t="shared" si="11"/>
        <v>1.785714286</v>
      </c>
      <c r="AG406" s="3">
        <f t="shared" si="12"/>
        <v>0.09433962264</v>
      </c>
    </row>
    <row r="407">
      <c r="A407" s="1" t="s">
        <v>12</v>
      </c>
      <c r="B407" s="1" t="s">
        <v>389</v>
      </c>
      <c r="C407" s="1" t="s">
        <v>18</v>
      </c>
      <c r="D407" s="1" t="s">
        <v>67</v>
      </c>
      <c r="E407" s="1" t="s">
        <v>77</v>
      </c>
      <c r="F407" s="1" t="s">
        <v>682</v>
      </c>
      <c r="G407" s="1">
        <v>7.5</v>
      </c>
      <c r="H407" s="1" t="s">
        <v>60</v>
      </c>
      <c r="I407" s="1">
        <v>105.0</v>
      </c>
      <c r="J407" s="1">
        <v>0.270743902439024</v>
      </c>
      <c r="K407" s="1" t="s">
        <v>61</v>
      </c>
      <c r="L407" s="1" t="s">
        <v>61</v>
      </c>
      <c r="M407" s="1" t="s">
        <v>62</v>
      </c>
      <c r="N407" s="1">
        <v>-136.0</v>
      </c>
      <c r="O407" s="1">
        <v>-0.334813559322033</v>
      </c>
      <c r="P407" s="1" t="s">
        <v>61</v>
      </c>
      <c r="Q407" s="1" t="s">
        <v>61</v>
      </c>
      <c r="R407" s="1">
        <f t="shared" si="1"/>
        <v>0.2707439024</v>
      </c>
      <c r="S407" s="1">
        <f t="shared" si="2"/>
        <v>105</v>
      </c>
      <c r="T407" s="1">
        <f t="shared" si="3"/>
        <v>2.05</v>
      </c>
      <c r="U407" s="1">
        <f t="shared" si="4"/>
        <v>1</v>
      </c>
      <c r="V407" s="3">
        <f t="shared" si="5"/>
        <v>3</v>
      </c>
      <c r="W407" s="3">
        <f t="shared" si="6"/>
        <v>2</v>
      </c>
      <c r="X407" s="3" t="str">
        <f>IFERROR(__xludf.DUMMYFUNCTION("split(B407,"" "")"),"J.")</f>
        <v>J.</v>
      </c>
      <c r="Y407" s="3" t="str">
        <f>IFERROR(__xludf.DUMMYFUNCTION("""COMPUTED_VALUE"""),"Chase")</f>
        <v>Chase</v>
      </c>
      <c r="AA407" s="8">
        <v>11.0</v>
      </c>
      <c r="AB407" s="3">
        <f t="shared" si="7"/>
        <v>1</v>
      </c>
      <c r="AC407" s="3">
        <f t="shared" si="8"/>
        <v>1</v>
      </c>
      <c r="AD407" s="3">
        <f t="shared" si="9"/>
        <v>3.15</v>
      </c>
      <c r="AE407" s="3">
        <f t="shared" si="10"/>
        <v>3.15</v>
      </c>
      <c r="AF407" s="3">
        <f t="shared" si="11"/>
        <v>2.1</v>
      </c>
      <c r="AG407" s="3">
        <f t="shared" si="12"/>
        <v>0.4666666667</v>
      </c>
    </row>
    <row r="408">
      <c r="A408" s="1" t="s">
        <v>12</v>
      </c>
      <c r="B408" s="1" t="s">
        <v>191</v>
      </c>
      <c r="C408" s="1" t="s">
        <v>18</v>
      </c>
      <c r="D408" s="1" t="s">
        <v>99</v>
      </c>
      <c r="E408" s="1" t="s">
        <v>66</v>
      </c>
      <c r="F408" s="1" t="s">
        <v>670</v>
      </c>
      <c r="G408" s="1">
        <v>2.5</v>
      </c>
      <c r="H408" s="1" t="s">
        <v>60</v>
      </c>
      <c r="I408" s="1">
        <v>-171.0</v>
      </c>
      <c r="J408" s="1">
        <v>-0.240994094538745</v>
      </c>
      <c r="K408" s="1" t="s">
        <v>61</v>
      </c>
      <c r="L408" s="1" t="s">
        <v>61</v>
      </c>
      <c r="M408" s="1" t="s">
        <v>62</v>
      </c>
      <c r="N408" s="1">
        <v>130.0</v>
      </c>
      <c r="O408" s="1">
        <v>0.175214780956521</v>
      </c>
      <c r="P408" s="1" t="s">
        <v>61</v>
      </c>
      <c r="Q408" s="1" t="s">
        <v>61</v>
      </c>
      <c r="R408" s="1">
        <f t="shared" si="1"/>
        <v>0.175214781</v>
      </c>
      <c r="S408" s="1">
        <f t="shared" si="2"/>
        <v>130</v>
      </c>
      <c r="T408" s="1">
        <f t="shared" si="3"/>
        <v>2.3</v>
      </c>
      <c r="U408" s="1">
        <f t="shared" si="4"/>
        <v>0</v>
      </c>
      <c r="V408" s="3">
        <f t="shared" si="5"/>
        <v>3</v>
      </c>
      <c r="W408" s="3">
        <f t="shared" si="6"/>
        <v>1</v>
      </c>
      <c r="X408" s="3" t="str">
        <f>IFERROR(__xludf.DUMMYFUNCTION("split(B408,"" "")"),"R.")</f>
        <v>R.</v>
      </c>
      <c r="Y408" s="3" t="str">
        <f>IFERROR(__xludf.DUMMYFUNCTION("""COMPUTED_VALUE"""),"Odunze")</f>
        <v>Odunze</v>
      </c>
      <c r="AA408" s="8">
        <v>3.0</v>
      </c>
      <c r="AB408" s="3">
        <f t="shared" si="7"/>
        <v>1</v>
      </c>
      <c r="AC408" s="3">
        <f t="shared" si="8"/>
        <v>0</v>
      </c>
      <c r="AD408" s="3">
        <f t="shared" si="9"/>
        <v>3.9</v>
      </c>
      <c r="AE408" s="3">
        <f t="shared" si="10"/>
        <v>-3</v>
      </c>
      <c r="AF408" s="3">
        <f t="shared" si="11"/>
        <v>-1</v>
      </c>
      <c r="AG408" s="3">
        <f t="shared" si="12"/>
        <v>-0.2</v>
      </c>
    </row>
    <row r="409">
      <c r="A409" s="1" t="s">
        <v>12</v>
      </c>
      <c r="B409" s="1" t="s">
        <v>98</v>
      </c>
      <c r="C409" s="1" t="s">
        <v>19</v>
      </c>
      <c r="D409" s="1" t="s">
        <v>99</v>
      </c>
      <c r="E409" s="1" t="s">
        <v>66</v>
      </c>
      <c r="F409" s="1" t="s">
        <v>670</v>
      </c>
      <c r="G409" s="1">
        <v>2.5</v>
      </c>
      <c r="H409" s="1" t="s">
        <v>60</v>
      </c>
      <c r="I409" s="1">
        <v>-114.0</v>
      </c>
      <c r="J409" s="1">
        <v>-0.240552567196261</v>
      </c>
      <c r="K409" s="1" t="s">
        <v>61</v>
      </c>
      <c r="L409" s="1" t="s">
        <v>61</v>
      </c>
      <c r="M409" s="1" t="s">
        <v>62</v>
      </c>
      <c r="N409" s="1">
        <v>-116.0</v>
      </c>
      <c r="O409" s="1">
        <v>0.170811561485185</v>
      </c>
      <c r="P409" s="1" t="s">
        <v>61</v>
      </c>
      <c r="Q409" s="1" t="s">
        <v>61</v>
      </c>
      <c r="R409" s="1">
        <f t="shared" si="1"/>
        <v>0.1708115615</v>
      </c>
      <c r="S409" s="1">
        <f t="shared" si="2"/>
        <v>-116</v>
      </c>
      <c r="T409" s="1">
        <f t="shared" si="3"/>
        <v>1.862068966</v>
      </c>
      <c r="U409" s="1">
        <f t="shared" si="4"/>
        <v>0</v>
      </c>
      <c r="V409" s="3">
        <f t="shared" si="5"/>
        <v>3</v>
      </c>
      <c r="W409" s="3">
        <f t="shared" si="6"/>
        <v>2</v>
      </c>
      <c r="X409" s="3" t="str">
        <f>IFERROR(__xludf.DUMMYFUNCTION("split(B409,"" "")"),"D.")</f>
        <v>D.</v>
      </c>
      <c r="Y409" s="3" t="str">
        <f>IFERROR(__xludf.DUMMYFUNCTION("""COMPUTED_VALUE"""),"Swift")</f>
        <v>Swift</v>
      </c>
      <c r="AA409" s="8">
        <v>1.0</v>
      </c>
      <c r="AB409" s="3">
        <f t="shared" si="7"/>
        <v>0</v>
      </c>
      <c r="AC409" s="3">
        <f t="shared" si="8"/>
        <v>1</v>
      </c>
      <c r="AD409" s="3">
        <f t="shared" si="9"/>
        <v>2.586206897</v>
      </c>
      <c r="AE409" s="3">
        <f t="shared" si="10"/>
        <v>2.586206897</v>
      </c>
      <c r="AF409" s="3">
        <f t="shared" si="11"/>
        <v>1.724137931</v>
      </c>
      <c r="AG409" s="3">
        <f t="shared" si="12"/>
        <v>0.6</v>
      </c>
    </row>
    <row r="410">
      <c r="A410" s="1" t="s">
        <v>12</v>
      </c>
      <c r="B410" s="1" t="s">
        <v>268</v>
      </c>
      <c r="C410" s="1" t="s">
        <v>18</v>
      </c>
      <c r="D410" s="1" t="s">
        <v>99</v>
      </c>
      <c r="E410" s="1" t="s">
        <v>66</v>
      </c>
      <c r="F410" s="1" t="s">
        <v>670</v>
      </c>
      <c r="G410" s="1">
        <v>3.5</v>
      </c>
      <c r="H410" s="1" t="s">
        <v>60</v>
      </c>
      <c r="I410" s="1">
        <v>-167.0</v>
      </c>
      <c r="J410" s="1">
        <v>-0.232543071161048</v>
      </c>
      <c r="K410" s="1" t="s">
        <v>61</v>
      </c>
      <c r="L410" s="1" t="s">
        <v>61</v>
      </c>
      <c r="M410" s="1" t="s">
        <v>62</v>
      </c>
      <c r="N410" s="1">
        <v>126.0</v>
      </c>
      <c r="O410" s="1">
        <v>0.164610619469026</v>
      </c>
      <c r="P410" s="1" t="s">
        <v>61</v>
      </c>
      <c r="Q410" s="1" t="s">
        <v>61</v>
      </c>
      <c r="R410" s="1">
        <f t="shared" si="1"/>
        <v>0.1646106195</v>
      </c>
      <c r="S410" s="1">
        <f t="shared" si="2"/>
        <v>126</v>
      </c>
      <c r="T410" s="1">
        <f t="shared" si="3"/>
        <v>2.26</v>
      </c>
      <c r="U410" s="1">
        <f t="shared" si="4"/>
        <v>0</v>
      </c>
      <c r="V410" s="3">
        <f t="shared" si="5"/>
        <v>3</v>
      </c>
      <c r="W410" s="3">
        <f t="shared" si="6"/>
        <v>1</v>
      </c>
      <c r="X410" s="3" t="str">
        <f>IFERROR(__xludf.DUMMYFUNCTION("split(B410,"" "")"),"K.")</f>
        <v>K.</v>
      </c>
      <c r="Y410" s="3" t="str">
        <f>IFERROR(__xludf.DUMMYFUNCTION("""COMPUTED_VALUE"""),"Allen")</f>
        <v>Allen</v>
      </c>
      <c r="AA410" s="8">
        <v>5.0</v>
      </c>
      <c r="AB410" s="3">
        <f t="shared" si="7"/>
        <v>1</v>
      </c>
      <c r="AC410" s="3">
        <f t="shared" si="8"/>
        <v>0</v>
      </c>
      <c r="AD410" s="3">
        <f t="shared" si="9"/>
        <v>3.78</v>
      </c>
      <c r="AE410" s="3">
        <f t="shared" si="10"/>
        <v>-3</v>
      </c>
      <c r="AF410" s="3">
        <f t="shared" si="11"/>
        <v>-1</v>
      </c>
      <c r="AG410" s="3">
        <f t="shared" si="12"/>
        <v>-0.4285714286</v>
      </c>
    </row>
    <row r="411">
      <c r="A411" s="1" t="s">
        <v>8</v>
      </c>
      <c r="B411" s="1" t="s">
        <v>274</v>
      </c>
      <c r="C411" s="1" t="s">
        <v>21</v>
      </c>
      <c r="D411" s="1" t="s">
        <v>99</v>
      </c>
      <c r="E411" s="1" t="s">
        <v>66</v>
      </c>
      <c r="F411" s="1" t="s">
        <v>670</v>
      </c>
      <c r="G411" s="1">
        <v>4.5</v>
      </c>
      <c r="H411" s="1" t="s">
        <v>60</v>
      </c>
      <c r="I411" s="1">
        <v>-124.0</v>
      </c>
      <c r="J411" s="1">
        <v>-0.195018107112701</v>
      </c>
      <c r="K411" s="1" t="s">
        <v>61</v>
      </c>
      <c r="L411" s="1" t="s">
        <v>61</v>
      </c>
      <c r="M411" s="1" t="s">
        <v>62</v>
      </c>
      <c r="N411" s="1">
        <v>-108.0</v>
      </c>
      <c r="O411" s="1">
        <v>0.122207213811081</v>
      </c>
      <c r="P411" s="1" t="s">
        <v>61</v>
      </c>
      <c r="Q411" s="1" t="s">
        <v>61</v>
      </c>
      <c r="R411" s="1">
        <f t="shared" si="1"/>
        <v>0.1222072138</v>
      </c>
      <c r="S411" s="1">
        <f t="shared" si="2"/>
        <v>-108</v>
      </c>
      <c r="T411" s="1">
        <f t="shared" si="3"/>
        <v>1.925925926</v>
      </c>
      <c r="U411" s="1">
        <f t="shared" si="4"/>
        <v>0</v>
      </c>
      <c r="V411" s="3">
        <f t="shared" si="5"/>
        <v>3</v>
      </c>
      <c r="W411" s="3">
        <f t="shared" si="6"/>
        <v>2</v>
      </c>
      <c r="X411" s="3" t="str">
        <f>IFERROR(__xludf.DUMMYFUNCTION("split(B411,"" "")"),"C.")</f>
        <v>C.</v>
      </c>
      <c r="Y411" s="3" t="str">
        <f>IFERROR(__xludf.DUMMYFUNCTION("""COMPUTED_VALUE"""),"Williams")</f>
        <v>Williams</v>
      </c>
      <c r="AA411" s="8">
        <v>2.0</v>
      </c>
      <c r="AB411" s="3">
        <f t="shared" si="7"/>
        <v>0</v>
      </c>
      <c r="AC411" s="3">
        <f t="shared" si="8"/>
        <v>1</v>
      </c>
      <c r="AD411" s="3">
        <f t="shared" si="9"/>
        <v>2.777777778</v>
      </c>
      <c r="AE411" s="3">
        <f t="shared" si="10"/>
        <v>2.777777778</v>
      </c>
      <c r="AF411" s="3">
        <f t="shared" si="11"/>
        <v>1.851851852</v>
      </c>
      <c r="AG411" s="3">
        <f t="shared" si="12"/>
        <v>0.5555555556</v>
      </c>
    </row>
    <row r="412">
      <c r="A412" s="1" t="s">
        <v>12</v>
      </c>
      <c r="B412" s="1" t="s">
        <v>578</v>
      </c>
      <c r="C412" s="1" t="s">
        <v>19</v>
      </c>
      <c r="D412" s="1" t="s">
        <v>99</v>
      </c>
      <c r="E412" s="1" t="s">
        <v>66</v>
      </c>
      <c r="F412" s="1" t="s">
        <v>670</v>
      </c>
      <c r="G412" s="1">
        <v>0.5</v>
      </c>
      <c r="H412" s="1" t="s">
        <v>60</v>
      </c>
      <c r="I412" s="1">
        <v>-237.0</v>
      </c>
      <c r="J412" s="1">
        <v>-0.155662252891394</v>
      </c>
      <c r="K412" s="1" t="s">
        <v>61</v>
      </c>
      <c r="L412" s="1" t="s">
        <v>61</v>
      </c>
      <c r="M412" s="1" t="s">
        <v>62</v>
      </c>
      <c r="N412" s="1">
        <v>175.0</v>
      </c>
      <c r="O412" s="1">
        <v>0.0887613789978182</v>
      </c>
      <c r="P412" s="1" t="s">
        <v>61</v>
      </c>
      <c r="Q412" s="1" t="s">
        <v>61</v>
      </c>
      <c r="R412" s="1">
        <f t="shared" si="1"/>
        <v>0.088761379</v>
      </c>
      <c r="S412" s="1">
        <f t="shared" si="2"/>
        <v>175</v>
      </c>
      <c r="T412" s="1">
        <f t="shared" si="3"/>
        <v>2.75</v>
      </c>
      <c r="U412" s="1">
        <f t="shared" si="4"/>
        <v>0</v>
      </c>
      <c r="V412" s="3">
        <f t="shared" si="5"/>
        <v>2</v>
      </c>
      <c r="W412" s="3">
        <f t="shared" si="6"/>
        <v>1</v>
      </c>
      <c r="X412" s="3" t="str">
        <f>IFERROR(__xludf.DUMMYFUNCTION("split(B412,"" "")"),"R.")</f>
        <v>R.</v>
      </c>
      <c r="Y412" s="3" t="str">
        <f>IFERROR(__xludf.DUMMYFUNCTION("""COMPUTED_VALUE"""),"Johnson")</f>
        <v>Johnson</v>
      </c>
      <c r="AA412" s="8">
        <v>1.0</v>
      </c>
      <c r="AB412" s="3">
        <f t="shared" si="7"/>
        <v>1</v>
      </c>
      <c r="AC412" s="3">
        <f t="shared" si="8"/>
        <v>0</v>
      </c>
      <c r="AD412" s="3">
        <f t="shared" si="9"/>
        <v>3.5</v>
      </c>
      <c r="AE412" s="3">
        <f t="shared" si="10"/>
        <v>-2</v>
      </c>
      <c r="AF412" s="3">
        <f t="shared" si="11"/>
        <v>-1</v>
      </c>
      <c r="AG412" s="3">
        <f t="shared" si="12"/>
        <v>-1</v>
      </c>
    </row>
    <row r="413">
      <c r="A413" s="1" t="s">
        <v>12</v>
      </c>
      <c r="B413" s="1" t="s">
        <v>231</v>
      </c>
      <c r="C413" s="1" t="s">
        <v>20</v>
      </c>
      <c r="D413" s="1" t="s">
        <v>99</v>
      </c>
      <c r="E413" s="1" t="s">
        <v>66</v>
      </c>
      <c r="F413" s="1" t="s">
        <v>670</v>
      </c>
      <c r="G413" s="1">
        <v>2.5</v>
      </c>
      <c r="H413" s="1" t="s">
        <v>60</v>
      </c>
      <c r="I413" s="1">
        <v>-118.0</v>
      </c>
      <c r="J413" s="1">
        <v>-0.154727616743119</v>
      </c>
      <c r="K413" s="1" t="s">
        <v>61</v>
      </c>
      <c r="L413" s="1" t="s">
        <v>61</v>
      </c>
      <c r="M413" s="1" t="s">
        <v>62</v>
      </c>
      <c r="N413" s="1">
        <v>-111.0</v>
      </c>
      <c r="O413" s="1">
        <v>0.0873832071066351</v>
      </c>
      <c r="P413" s="1" t="s">
        <v>61</v>
      </c>
      <c r="Q413" s="1" t="s">
        <v>61</v>
      </c>
      <c r="R413" s="1">
        <f t="shared" si="1"/>
        <v>0.08738320711</v>
      </c>
      <c r="S413" s="1">
        <f t="shared" si="2"/>
        <v>-111</v>
      </c>
      <c r="T413" s="1">
        <f t="shared" si="3"/>
        <v>1.900900901</v>
      </c>
      <c r="U413" s="1">
        <f t="shared" si="4"/>
        <v>0</v>
      </c>
      <c r="V413" s="3">
        <f t="shared" si="5"/>
        <v>2</v>
      </c>
      <c r="W413" s="3">
        <f t="shared" si="6"/>
        <v>2</v>
      </c>
      <c r="X413" s="3" t="str">
        <f>IFERROR(__xludf.DUMMYFUNCTION("split(B413,"" "")"),"C.")</f>
        <v>C.</v>
      </c>
      <c r="Y413" s="3" t="str">
        <f>IFERROR(__xludf.DUMMYFUNCTION("""COMPUTED_VALUE"""),"Kmet")</f>
        <v>Kmet</v>
      </c>
      <c r="AA413" s="8">
        <v>2.0</v>
      </c>
      <c r="AB413" s="3">
        <f t="shared" si="7"/>
        <v>0</v>
      </c>
      <c r="AC413" s="3">
        <f t="shared" si="8"/>
        <v>1</v>
      </c>
      <c r="AD413" s="3">
        <f t="shared" si="9"/>
        <v>1.801801802</v>
      </c>
      <c r="AE413" s="3">
        <f t="shared" si="10"/>
        <v>1.801801802</v>
      </c>
      <c r="AF413" s="3">
        <f t="shared" si="11"/>
        <v>1.801801802</v>
      </c>
      <c r="AG413" s="3">
        <f t="shared" si="12"/>
        <v>0.2</v>
      </c>
    </row>
    <row r="414">
      <c r="A414" s="1" t="s">
        <v>11</v>
      </c>
      <c r="B414" s="1" t="s">
        <v>268</v>
      </c>
      <c r="C414" s="1" t="s">
        <v>18</v>
      </c>
      <c r="D414" s="1" t="s">
        <v>99</v>
      </c>
      <c r="E414" s="1" t="s">
        <v>66</v>
      </c>
      <c r="F414" s="1" t="s">
        <v>670</v>
      </c>
      <c r="G414" s="1">
        <v>41.5</v>
      </c>
      <c r="H414" s="1" t="s">
        <v>60</v>
      </c>
      <c r="I414" s="1">
        <v>-109.0</v>
      </c>
      <c r="J414" s="1">
        <v>-0.102574637649186</v>
      </c>
      <c r="K414" s="1" t="s">
        <v>61</v>
      </c>
      <c r="L414" s="1" t="s">
        <v>61</v>
      </c>
      <c r="M414" s="1" t="s">
        <v>62</v>
      </c>
      <c r="N414" s="1">
        <v>-120.0</v>
      </c>
      <c r="O414" s="1">
        <v>0.0355805722632728</v>
      </c>
      <c r="P414" s="1" t="s">
        <v>61</v>
      </c>
      <c r="Q414" s="1" t="s">
        <v>61</v>
      </c>
      <c r="R414" s="1">
        <f t="shared" si="1"/>
        <v>0.03558057226</v>
      </c>
      <c r="S414" s="1">
        <f t="shared" si="2"/>
        <v>-120</v>
      </c>
      <c r="T414" s="1">
        <f t="shared" si="3"/>
        <v>1.833333333</v>
      </c>
      <c r="U414" s="1">
        <f t="shared" si="4"/>
        <v>0</v>
      </c>
      <c r="V414" s="3">
        <f t="shared" si="5"/>
        <v>1</v>
      </c>
      <c r="W414" s="3">
        <f t="shared" si="6"/>
        <v>3</v>
      </c>
      <c r="X414" s="3" t="str">
        <f>IFERROR(__xludf.DUMMYFUNCTION("split(B414,"" "")"),"K.")</f>
        <v>K.</v>
      </c>
      <c r="Y414" s="3" t="str">
        <f>IFERROR(__xludf.DUMMYFUNCTION("""COMPUTED_VALUE"""),"Allen")</f>
        <v>Allen</v>
      </c>
      <c r="AA414" s="8">
        <v>44.0</v>
      </c>
      <c r="AB414" s="3">
        <f t="shared" si="7"/>
        <v>1</v>
      </c>
      <c r="AC414" s="3">
        <f t="shared" si="8"/>
        <v>0</v>
      </c>
      <c r="AD414" s="3">
        <f t="shared" si="9"/>
        <v>0.8333333333</v>
      </c>
      <c r="AE414" s="3">
        <f t="shared" si="10"/>
        <v>-1</v>
      </c>
      <c r="AF414" s="3">
        <f t="shared" si="11"/>
        <v>-3</v>
      </c>
      <c r="AG414" s="3">
        <f t="shared" si="12"/>
        <v>-0.06024096386</v>
      </c>
    </row>
    <row r="415">
      <c r="A415" s="1" t="s">
        <v>16</v>
      </c>
      <c r="B415" s="1" t="s">
        <v>274</v>
      </c>
      <c r="C415" s="1" t="s">
        <v>21</v>
      </c>
      <c r="D415" s="1" t="s">
        <v>99</v>
      </c>
      <c r="E415" s="1" t="s">
        <v>66</v>
      </c>
      <c r="F415" s="1" t="s">
        <v>670</v>
      </c>
      <c r="G415" s="1">
        <v>28.5</v>
      </c>
      <c r="H415" s="1" t="s">
        <v>60</v>
      </c>
      <c r="I415" s="1">
        <v>-110.0</v>
      </c>
      <c r="J415" s="1">
        <v>-0.102261021142857</v>
      </c>
      <c r="K415" s="1" t="s">
        <v>61</v>
      </c>
      <c r="L415" s="1" t="s">
        <v>61</v>
      </c>
      <c r="M415" s="1" t="s">
        <v>62</v>
      </c>
      <c r="N415" s="1">
        <v>-119.0</v>
      </c>
      <c r="O415" s="1">
        <v>0.0350656583726028</v>
      </c>
      <c r="P415" s="1" t="s">
        <v>61</v>
      </c>
      <c r="Q415" s="1" t="s">
        <v>61</v>
      </c>
      <c r="R415" s="1">
        <f t="shared" si="1"/>
        <v>0.03506565837</v>
      </c>
      <c r="S415" s="1">
        <f t="shared" si="2"/>
        <v>-119</v>
      </c>
      <c r="T415" s="1">
        <f t="shared" si="3"/>
        <v>1.840336134</v>
      </c>
      <c r="U415" s="1">
        <f t="shared" si="4"/>
        <v>0</v>
      </c>
      <c r="V415" s="3">
        <f t="shared" si="5"/>
        <v>1</v>
      </c>
      <c r="W415" s="3">
        <f t="shared" si="6"/>
        <v>3</v>
      </c>
      <c r="X415" s="3" t="str">
        <f>IFERROR(__xludf.DUMMYFUNCTION("split(B415,"" "")"),"C.")</f>
        <v>C.</v>
      </c>
      <c r="Y415" s="3" t="str">
        <f>IFERROR(__xludf.DUMMYFUNCTION("""COMPUTED_VALUE"""),"Williams")</f>
        <v>Williams</v>
      </c>
      <c r="AA415" s="8">
        <v>30.0</v>
      </c>
      <c r="AB415" s="3">
        <f t="shared" si="7"/>
        <v>1</v>
      </c>
      <c r="AC415" s="3">
        <f t="shared" si="8"/>
        <v>0</v>
      </c>
      <c r="AD415" s="3">
        <f t="shared" si="9"/>
        <v>0.8403361345</v>
      </c>
      <c r="AE415" s="3">
        <f t="shared" si="10"/>
        <v>-1</v>
      </c>
      <c r="AF415" s="3">
        <f t="shared" si="11"/>
        <v>-3</v>
      </c>
      <c r="AG415" s="3">
        <f t="shared" si="12"/>
        <v>-0.05263157895</v>
      </c>
    </row>
    <row r="416">
      <c r="A416" s="1" t="s">
        <v>9</v>
      </c>
      <c r="B416" s="1" t="s">
        <v>98</v>
      </c>
      <c r="C416" s="1" t="s">
        <v>19</v>
      </c>
      <c r="D416" s="1" t="s">
        <v>99</v>
      </c>
      <c r="E416" s="1" t="s">
        <v>66</v>
      </c>
      <c r="F416" s="1" t="s">
        <v>670</v>
      </c>
      <c r="G416" s="1">
        <v>96.5</v>
      </c>
      <c r="H416" s="1" t="s">
        <v>60</v>
      </c>
      <c r="I416" s="1">
        <v>-117.0</v>
      </c>
      <c r="J416" s="1">
        <v>-0.110433034821573</v>
      </c>
      <c r="K416" s="1" t="s">
        <v>61</v>
      </c>
      <c r="L416" s="1" t="s">
        <v>61</v>
      </c>
      <c r="M416" s="1" t="s">
        <v>62</v>
      </c>
      <c r="N416" s="1">
        <v>-118.0</v>
      </c>
      <c r="O416" s="1">
        <v>0.0299535589901386</v>
      </c>
      <c r="P416" s="1" t="s">
        <v>61</v>
      </c>
      <c r="Q416" s="1" t="s">
        <v>61</v>
      </c>
      <c r="R416" s="1">
        <f t="shared" si="1"/>
        <v>0.02995355899</v>
      </c>
      <c r="S416" s="1">
        <f t="shared" si="2"/>
        <v>-118</v>
      </c>
      <c r="T416" s="1">
        <f t="shared" si="3"/>
        <v>1.847457627</v>
      </c>
      <c r="U416" s="1">
        <f t="shared" si="4"/>
        <v>0</v>
      </c>
      <c r="V416" s="3">
        <f t="shared" si="5"/>
        <v>1</v>
      </c>
      <c r="W416" s="3">
        <f t="shared" si="6"/>
        <v>3</v>
      </c>
      <c r="X416" s="3" t="str">
        <f>IFERROR(__xludf.DUMMYFUNCTION("split(B416,"" "")"),"D.")</f>
        <v>D.</v>
      </c>
      <c r="Y416" s="3" t="str">
        <f>IFERROR(__xludf.DUMMYFUNCTION("""COMPUTED_VALUE"""),"Swift")</f>
        <v>Swift</v>
      </c>
      <c r="AA416" s="8">
        <v>65.0</v>
      </c>
      <c r="AB416" s="3">
        <f t="shared" si="7"/>
        <v>0</v>
      </c>
      <c r="AC416" s="3">
        <f t="shared" si="8"/>
        <v>1</v>
      </c>
      <c r="AD416" s="3">
        <f t="shared" si="9"/>
        <v>0.8474576271</v>
      </c>
      <c r="AE416" s="3">
        <f t="shared" si="10"/>
        <v>0.8474576271</v>
      </c>
      <c r="AF416" s="3">
        <f t="shared" si="11"/>
        <v>2.542372881</v>
      </c>
      <c r="AG416" s="3">
        <f t="shared" si="12"/>
        <v>0.3264248705</v>
      </c>
    </row>
    <row r="417">
      <c r="A417" s="1" t="s">
        <v>8</v>
      </c>
      <c r="B417" s="1" t="s">
        <v>578</v>
      </c>
      <c r="C417" s="1" t="s">
        <v>19</v>
      </c>
      <c r="D417" s="1" t="s">
        <v>99</v>
      </c>
      <c r="E417" s="1" t="s">
        <v>66</v>
      </c>
      <c r="F417" s="1" t="s">
        <v>670</v>
      </c>
      <c r="G417" s="1">
        <v>5.5</v>
      </c>
      <c r="H417" s="1" t="s">
        <v>60</v>
      </c>
      <c r="I417" s="1">
        <v>114.0</v>
      </c>
      <c r="J417" s="1">
        <v>-0.103478781935487</v>
      </c>
      <c r="K417" s="1" t="s">
        <v>61</v>
      </c>
      <c r="L417" s="1" t="s">
        <v>61</v>
      </c>
      <c r="M417" s="1" t="s">
        <v>62</v>
      </c>
      <c r="N417" s="1">
        <v>-156.0</v>
      </c>
      <c r="O417" s="1">
        <v>0.026812488217322</v>
      </c>
      <c r="P417" s="1" t="s">
        <v>61</v>
      </c>
      <c r="Q417" s="1" t="s">
        <v>61</v>
      </c>
      <c r="R417" s="1">
        <f t="shared" si="1"/>
        <v>0.02681248822</v>
      </c>
      <c r="S417" s="1">
        <f t="shared" si="2"/>
        <v>-156</v>
      </c>
      <c r="T417" s="1">
        <f t="shared" si="3"/>
        <v>1.641025641</v>
      </c>
      <c r="U417" s="1">
        <f t="shared" si="4"/>
        <v>0</v>
      </c>
      <c r="V417" s="3">
        <f t="shared" si="5"/>
        <v>1</v>
      </c>
      <c r="W417" s="3">
        <f t="shared" si="6"/>
        <v>3</v>
      </c>
      <c r="X417" s="3" t="str">
        <f>IFERROR(__xludf.DUMMYFUNCTION("split(B417,"" "")"),"R.")</f>
        <v>R.</v>
      </c>
      <c r="Y417" s="3" t="str">
        <f>IFERROR(__xludf.DUMMYFUNCTION("""COMPUTED_VALUE"""),"Johnson")</f>
        <v>Johnson</v>
      </c>
      <c r="AA417" s="8">
        <v>1.0</v>
      </c>
      <c r="AB417" s="3">
        <f t="shared" si="7"/>
        <v>0</v>
      </c>
      <c r="AC417" s="3">
        <f t="shared" si="8"/>
        <v>1</v>
      </c>
      <c r="AD417" s="3">
        <f t="shared" si="9"/>
        <v>0.641025641</v>
      </c>
      <c r="AE417" s="3">
        <f t="shared" si="10"/>
        <v>0.641025641</v>
      </c>
      <c r="AF417" s="3">
        <f t="shared" si="11"/>
        <v>1.923076923</v>
      </c>
      <c r="AG417" s="3">
        <f t="shared" si="12"/>
        <v>0.8181818182</v>
      </c>
    </row>
    <row r="418">
      <c r="A418" s="1" t="s">
        <v>11</v>
      </c>
      <c r="B418" s="1" t="s">
        <v>191</v>
      </c>
      <c r="C418" s="1" t="s">
        <v>18</v>
      </c>
      <c r="D418" s="1" t="s">
        <v>99</v>
      </c>
      <c r="E418" s="1" t="s">
        <v>66</v>
      </c>
      <c r="F418" s="1" t="s">
        <v>670</v>
      </c>
      <c r="G418" s="1">
        <v>38.5</v>
      </c>
      <c r="H418" s="1" t="s">
        <v>60</v>
      </c>
      <c r="I418" s="1">
        <v>-119.0</v>
      </c>
      <c r="J418" s="1">
        <v>-0.0881714170846574</v>
      </c>
      <c r="K418" s="1" t="s">
        <v>61</v>
      </c>
      <c r="L418" s="1" t="s">
        <v>61</v>
      </c>
      <c r="M418" s="1" t="s">
        <v>62</v>
      </c>
      <c r="N418" s="1">
        <v>-110.0</v>
      </c>
      <c r="O418" s="1">
        <v>0.0209812073451428</v>
      </c>
      <c r="P418" s="1" t="s">
        <v>61</v>
      </c>
      <c r="Q418" s="1" t="s">
        <v>61</v>
      </c>
      <c r="R418" s="1">
        <f t="shared" si="1"/>
        <v>0.02098120735</v>
      </c>
      <c r="S418" s="1">
        <f t="shared" si="2"/>
        <v>-110</v>
      </c>
      <c r="T418" s="1">
        <f t="shared" si="3"/>
        <v>1.909090909</v>
      </c>
      <c r="U418" s="1">
        <f t="shared" si="4"/>
        <v>0</v>
      </c>
      <c r="V418" s="3">
        <f t="shared" si="5"/>
        <v>1</v>
      </c>
      <c r="W418" s="3">
        <f t="shared" si="6"/>
        <v>2</v>
      </c>
      <c r="X418" s="3" t="str">
        <f>IFERROR(__xludf.DUMMYFUNCTION("split(B418,"" "")"),"R.")</f>
        <v>R.</v>
      </c>
      <c r="Y418" s="3" t="str">
        <f>IFERROR(__xludf.DUMMYFUNCTION("""COMPUTED_VALUE"""),"Odunze")</f>
        <v>Odunze</v>
      </c>
      <c r="AA418" s="8">
        <v>23.0</v>
      </c>
      <c r="AB418" s="3">
        <f t="shared" si="7"/>
        <v>0</v>
      </c>
      <c r="AC418" s="3">
        <f t="shared" si="8"/>
        <v>1</v>
      </c>
      <c r="AD418" s="3">
        <f t="shared" si="9"/>
        <v>0.9090909091</v>
      </c>
      <c r="AE418" s="3">
        <f t="shared" si="10"/>
        <v>0.9090909091</v>
      </c>
      <c r="AF418" s="3">
        <f t="shared" si="11"/>
        <v>1.818181818</v>
      </c>
      <c r="AG418" s="3">
        <f t="shared" si="12"/>
        <v>0.4025974026</v>
      </c>
    </row>
    <row r="419">
      <c r="A419" s="1" t="s">
        <v>11</v>
      </c>
      <c r="B419" s="1" t="s">
        <v>98</v>
      </c>
      <c r="C419" s="1" t="s">
        <v>19</v>
      </c>
      <c r="D419" s="1" t="s">
        <v>99</v>
      </c>
      <c r="E419" s="1" t="s">
        <v>66</v>
      </c>
      <c r="F419" s="1" t="s">
        <v>670</v>
      </c>
      <c r="G419" s="1">
        <v>16.5</v>
      </c>
      <c r="H419" s="1" t="s">
        <v>60</v>
      </c>
      <c r="I419" s="1">
        <v>-113.0</v>
      </c>
      <c r="J419" s="1">
        <v>-0.0804429246270211</v>
      </c>
      <c r="K419" s="1" t="s">
        <v>61</v>
      </c>
      <c r="L419" s="1" t="s">
        <v>61</v>
      </c>
      <c r="M419" s="1" t="s">
        <v>62</v>
      </c>
      <c r="N419" s="1">
        <v>-114.0</v>
      </c>
      <c r="O419" s="1">
        <v>0.0173005839155762</v>
      </c>
      <c r="P419" s="1" t="s">
        <v>61</v>
      </c>
      <c r="Q419" s="1" t="s">
        <v>61</v>
      </c>
      <c r="R419" s="1">
        <f t="shared" si="1"/>
        <v>0.01730058392</v>
      </c>
      <c r="S419" s="1">
        <f t="shared" si="2"/>
        <v>-114</v>
      </c>
      <c r="T419" s="1">
        <f t="shared" si="3"/>
        <v>1.877192982</v>
      </c>
      <c r="U419" s="1">
        <f t="shared" si="4"/>
        <v>0</v>
      </c>
      <c r="V419" s="3">
        <f t="shared" si="5"/>
        <v>1</v>
      </c>
      <c r="W419" s="3">
        <f t="shared" si="6"/>
        <v>2</v>
      </c>
      <c r="X419" s="3" t="str">
        <f>IFERROR(__xludf.DUMMYFUNCTION("split(B419,"" "")"),"D.")</f>
        <v>D.</v>
      </c>
      <c r="Y419" s="3" t="str">
        <f>IFERROR(__xludf.DUMMYFUNCTION("""COMPUTED_VALUE"""),"Swift")</f>
        <v>Swift</v>
      </c>
      <c r="AA419" s="8">
        <v>6.0</v>
      </c>
      <c r="AB419" s="3">
        <f t="shared" si="7"/>
        <v>0</v>
      </c>
      <c r="AC419" s="3">
        <f t="shared" si="8"/>
        <v>1</v>
      </c>
      <c r="AD419" s="3">
        <f t="shared" si="9"/>
        <v>0.8771929825</v>
      </c>
      <c r="AE419" s="3">
        <f t="shared" si="10"/>
        <v>0.8771929825</v>
      </c>
      <c r="AF419" s="3">
        <f t="shared" si="11"/>
        <v>1.754385965</v>
      </c>
      <c r="AG419" s="3">
        <f t="shared" si="12"/>
        <v>0.6363636364</v>
      </c>
    </row>
    <row r="420">
      <c r="A420" s="1" t="s">
        <v>10</v>
      </c>
      <c r="B420" s="1" t="s">
        <v>274</v>
      </c>
      <c r="C420" s="1" t="s">
        <v>21</v>
      </c>
      <c r="D420" s="1" t="s">
        <v>99</v>
      </c>
      <c r="E420" s="1" t="s">
        <v>66</v>
      </c>
      <c r="F420" s="1" t="s">
        <v>670</v>
      </c>
      <c r="G420" s="1">
        <v>20.5</v>
      </c>
      <c r="H420" s="1" t="s">
        <v>60</v>
      </c>
      <c r="I420" s="1">
        <v>-114.0</v>
      </c>
      <c r="J420" s="1">
        <v>-0.0821577999378098</v>
      </c>
      <c r="K420" s="1" t="s">
        <v>61</v>
      </c>
      <c r="L420" s="1" t="s">
        <v>61</v>
      </c>
      <c r="M420" s="1" t="s">
        <v>62</v>
      </c>
      <c r="N420" s="1">
        <v>-114.0</v>
      </c>
      <c r="O420" s="1">
        <v>0.0167858919291032</v>
      </c>
      <c r="P420" s="1" t="s">
        <v>61</v>
      </c>
      <c r="Q420" s="1" t="s">
        <v>61</v>
      </c>
      <c r="R420" s="1">
        <f t="shared" si="1"/>
        <v>0.01678589193</v>
      </c>
      <c r="S420" s="1">
        <f t="shared" si="2"/>
        <v>-114</v>
      </c>
      <c r="T420" s="1">
        <f t="shared" si="3"/>
        <v>1.877192982</v>
      </c>
      <c r="U420" s="1">
        <f t="shared" si="4"/>
        <v>0</v>
      </c>
      <c r="V420" s="3">
        <f t="shared" si="5"/>
        <v>1</v>
      </c>
      <c r="W420" s="3">
        <f t="shared" si="6"/>
        <v>2</v>
      </c>
      <c r="X420" s="3" t="str">
        <f>IFERROR(__xludf.DUMMYFUNCTION("split(B420,"" "")"),"C.")</f>
        <v>C.</v>
      </c>
      <c r="Y420" s="3" t="str">
        <f>IFERROR(__xludf.DUMMYFUNCTION("""COMPUTED_VALUE"""),"Williams")</f>
        <v>Williams</v>
      </c>
      <c r="AA420" s="8">
        <v>15.0</v>
      </c>
      <c r="AB420" s="3">
        <f t="shared" si="7"/>
        <v>0</v>
      </c>
      <c r="AC420" s="3">
        <f t="shared" si="8"/>
        <v>1</v>
      </c>
      <c r="AD420" s="3">
        <f t="shared" si="9"/>
        <v>0.8771929825</v>
      </c>
      <c r="AE420" s="3">
        <f t="shared" si="10"/>
        <v>0.8771929825</v>
      </c>
      <c r="AF420" s="3">
        <f t="shared" si="11"/>
        <v>1.754385965</v>
      </c>
      <c r="AG420" s="3">
        <f t="shared" si="12"/>
        <v>0.2682926829</v>
      </c>
    </row>
    <row r="421">
      <c r="A421" s="1" t="s">
        <v>11</v>
      </c>
      <c r="B421" s="1" t="s">
        <v>231</v>
      </c>
      <c r="C421" s="1" t="s">
        <v>20</v>
      </c>
      <c r="D421" s="1" t="s">
        <v>99</v>
      </c>
      <c r="E421" s="1" t="s">
        <v>66</v>
      </c>
      <c r="F421" s="1" t="s">
        <v>670</v>
      </c>
      <c r="G421" s="1">
        <v>26.5</v>
      </c>
      <c r="H421" s="1" t="s">
        <v>60</v>
      </c>
      <c r="I421" s="1">
        <v>-114.0</v>
      </c>
      <c r="J421" s="1">
        <v>-0.0735806038873831</v>
      </c>
      <c r="K421" s="1" t="s">
        <v>61</v>
      </c>
      <c r="L421" s="1" t="s">
        <v>61</v>
      </c>
      <c r="M421" s="1" t="s">
        <v>62</v>
      </c>
      <c r="N421" s="1">
        <v>-114.0</v>
      </c>
      <c r="O421" s="1">
        <v>0.00815588843161696</v>
      </c>
      <c r="P421" s="1" t="s">
        <v>61</v>
      </c>
      <c r="Q421" s="1" t="s">
        <v>61</v>
      </c>
      <c r="R421" s="1">
        <f t="shared" si="1"/>
        <v>0.008155888432</v>
      </c>
      <c r="S421" s="1">
        <f t="shared" si="2"/>
        <v>-114</v>
      </c>
      <c r="T421" s="1">
        <f t="shared" si="3"/>
        <v>1.877192982</v>
      </c>
      <c r="U421" s="1">
        <f t="shared" si="4"/>
        <v>0</v>
      </c>
      <c r="V421" s="3">
        <f t="shared" si="5"/>
        <v>1</v>
      </c>
      <c r="W421" s="3">
        <f t="shared" si="6"/>
        <v>2</v>
      </c>
      <c r="X421" s="3" t="str">
        <f>IFERROR(__xludf.DUMMYFUNCTION("split(B421,"" "")"),"C.")</f>
        <v>C.</v>
      </c>
      <c r="Y421" s="3" t="str">
        <f>IFERROR(__xludf.DUMMYFUNCTION("""COMPUTED_VALUE"""),"Kmet")</f>
        <v>Kmet</v>
      </c>
      <c r="AA421" s="8">
        <v>13.0</v>
      </c>
      <c r="AB421" s="3">
        <f t="shared" si="7"/>
        <v>0</v>
      </c>
      <c r="AC421" s="3">
        <f t="shared" si="8"/>
        <v>1</v>
      </c>
      <c r="AD421" s="3">
        <f t="shared" si="9"/>
        <v>0.8771929825</v>
      </c>
      <c r="AE421" s="3">
        <f t="shared" si="10"/>
        <v>0.8771929825</v>
      </c>
      <c r="AF421" s="3">
        <f t="shared" si="11"/>
        <v>1.754385965</v>
      </c>
      <c r="AG421" s="3">
        <f t="shared" si="12"/>
        <v>0.5094339623</v>
      </c>
    </row>
    <row r="422">
      <c r="A422" s="1" t="s">
        <v>15</v>
      </c>
      <c r="B422" s="1" t="s">
        <v>274</v>
      </c>
      <c r="C422" s="1" t="s">
        <v>21</v>
      </c>
      <c r="D422" s="1" t="s">
        <v>99</v>
      </c>
      <c r="E422" s="1" t="s">
        <v>66</v>
      </c>
      <c r="F422" s="1" t="s">
        <v>670</v>
      </c>
      <c r="G422" s="1">
        <v>18.5</v>
      </c>
      <c r="H422" s="1" t="s">
        <v>60</v>
      </c>
      <c r="I422" s="1">
        <v>-108.0</v>
      </c>
      <c r="J422" s="1">
        <v>-0.0746260960576921</v>
      </c>
      <c r="K422" s="1" t="s">
        <v>61</v>
      </c>
      <c r="L422" s="1" t="s">
        <v>61</v>
      </c>
      <c r="M422" s="1" t="s">
        <v>62</v>
      </c>
      <c r="N422" s="1">
        <v>-121.0</v>
      </c>
      <c r="O422" s="1">
        <v>0.00789724821628956</v>
      </c>
      <c r="P422" s="1" t="s">
        <v>61</v>
      </c>
      <c r="Q422" s="1" t="s">
        <v>61</v>
      </c>
      <c r="R422" s="1">
        <f t="shared" si="1"/>
        <v>0.007897248216</v>
      </c>
      <c r="S422" s="1">
        <f t="shared" si="2"/>
        <v>-121</v>
      </c>
      <c r="T422" s="1">
        <f t="shared" si="3"/>
        <v>1.826446281</v>
      </c>
      <c r="U422" s="1">
        <f t="shared" si="4"/>
        <v>0</v>
      </c>
      <c r="V422" s="3">
        <f t="shared" si="5"/>
        <v>1</v>
      </c>
      <c r="W422" s="3">
        <f t="shared" si="6"/>
        <v>3</v>
      </c>
      <c r="X422" s="3" t="str">
        <f>IFERROR(__xludf.DUMMYFUNCTION("split(B422,"" "")"),"C.")</f>
        <v>C.</v>
      </c>
      <c r="Y422" s="3" t="str">
        <f>IFERROR(__xludf.DUMMYFUNCTION("""COMPUTED_VALUE"""),"Williams")</f>
        <v>Williams</v>
      </c>
      <c r="AA422" s="8">
        <v>16.0</v>
      </c>
      <c r="AB422" s="3">
        <f t="shared" si="7"/>
        <v>0</v>
      </c>
      <c r="AC422" s="3">
        <f t="shared" si="8"/>
        <v>1</v>
      </c>
      <c r="AD422" s="3">
        <f t="shared" si="9"/>
        <v>0.826446281</v>
      </c>
      <c r="AE422" s="3">
        <f t="shared" si="10"/>
        <v>0.826446281</v>
      </c>
      <c r="AF422" s="3">
        <f t="shared" si="11"/>
        <v>2.479338843</v>
      </c>
      <c r="AG422" s="3">
        <f t="shared" si="12"/>
        <v>0.1351351351</v>
      </c>
    </row>
    <row r="423">
      <c r="A423" s="1" t="s">
        <v>17</v>
      </c>
      <c r="B423" s="1" t="s">
        <v>274</v>
      </c>
      <c r="C423" s="1" t="s">
        <v>21</v>
      </c>
      <c r="D423" s="1" t="s">
        <v>99</v>
      </c>
      <c r="E423" s="1" t="s">
        <v>66</v>
      </c>
      <c r="F423" s="1" t="s">
        <v>670</v>
      </c>
      <c r="G423" s="1">
        <v>0.5</v>
      </c>
      <c r="H423" s="1" t="s">
        <v>60</v>
      </c>
      <c r="I423" s="1">
        <v>-107.0</v>
      </c>
      <c r="J423" s="1">
        <v>-0.0765565217391303</v>
      </c>
      <c r="K423" s="1" t="s">
        <v>61</v>
      </c>
      <c r="L423" s="1" t="s">
        <v>61</v>
      </c>
      <c r="M423" s="1" t="s">
        <v>62</v>
      </c>
      <c r="N423" s="1">
        <v>-124.0</v>
      </c>
      <c r="O423" s="1">
        <v>0.00608392857142847</v>
      </c>
      <c r="P423" s="1" t="s">
        <v>61</v>
      </c>
      <c r="Q423" s="1" t="s">
        <v>61</v>
      </c>
      <c r="R423" s="1">
        <f t="shared" si="1"/>
        <v>0.006083928571</v>
      </c>
      <c r="S423" s="1">
        <f t="shared" si="2"/>
        <v>-124</v>
      </c>
      <c r="T423" s="1">
        <f t="shared" si="3"/>
        <v>1.806451613</v>
      </c>
      <c r="U423" s="1">
        <f t="shared" si="4"/>
        <v>0</v>
      </c>
      <c r="V423" s="3">
        <f t="shared" si="5"/>
        <v>1</v>
      </c>
      <c r="W423" s="3">
        <f t="shared" si="6"/>
        <v>3</v>
      </c>
      <c r="X423" s="3" t="str">
        <f>IFERROR(__xludf.DUMMYFUNCTION("split(B423,"" "")"),"C.")</f>
        <v>C.</v>
      </c>
      <c r="Y423" s="3" t="str">
        <f>IFERROR(__xludf.DUMMYFUNCTION("""COMPUTED_VALUE"""),"Williams")</f>
        <v>Williams</v>
      </c>
      <c r="AA423" s="8">
        <v>0.0</v>
      </c>
      <c r="AB423" s="3">
        <f t="shared" si="7"/>
        <v>0</v>
      </c>
      <c r="AC423" s="3">
        <f t="shared" si="8"/>
        <v>1</v>
      </c>
      <c r="AD423" s="3">
        <f t="shared" si="9"/>
        <v>0.8064516129</v>
      </c>
      <c r="AE423" s="3">
        <f t="shared" si="10"/>
        <v>0.8064516129</v>
      </c>
      <c r="AF423" s="3">
        <f t="shared" si="11"/>
        <v>2.419354839</v>
      </c>
      <c r="AG423" s="3">
        <f t="shared" si="12"/>
        <v>1</v>
      </c>
    </row>
    <row r="424">
      <c r="A424" s="1" t="s">
        <v>9</v>
      </c>
      <c r="B424" s="1" t="s">
        <v>351</v>
      </c>
      <c r="C424" s="1" t="s">
        <v>18</v>
      </c>
      <c r="D424" s="1" t="s">
        <v>99</v>
      </c>
      <c r="E424" s="1" t="s">
        <v>66</v>
      </c>
      <c r="F424" s="1" t="s">
        <v>670</v>
      </c>
      <c r="G424" s="1">
        <v>47.5</v>
      </c>
      <c r="H424" s="1" t="s">
        <v>60</v>
      </c>
      <c r="I424" s="1">
        <v>-120.0</v>
      </c>
      <c r="J424" s="1">
        <v>0.00747286474610697</v>
      </c>
      <c r="K424" s="1" t="s">
        <v>61</v>
      </c>
      <c r="L424" s="1" t="s">
        <v>61</v>
      </c>
      <c r="M424" s="1" t="s">
        <v>62</v>
      </c>
      <c r="N424" s="1">
        <v>-113.0</v>
      </c>
      <c r="O424" s="1">
        <v>-0.0834317097459258</v>
      </c>
      <c r="P424" s="1" t="s">
        <v>61</v>
      </c>
      <c r="Q424" s="1" t="s">
        <v>61</v>
      </c>
      <c r="R424" s="1">
        <f t="shared" si="1"/>
        <v>0.007472864746</v>
      </c>
      <c r="S424" s="1">
        <f t="shared" si="2"/>
        <v>-120</v>
      </c>
      <c r="T424" s="1">
        <f t="shared" si="3"/>
        <v>1.833333333</v>
      </c>
      <c r="U424" s="1">
        <f t="shared" si="4"/>
        <v>1</v>
      </c>
      <c r="V424" s="3">
        <f t="shared" si="5"/>
        <v>1</v>
      </c>
      <c r="W424" s="3">
        <f t="shared" si="6"/>
        <v>3</v>
      </c>
      <c r="X424" s="3" t="str">
        <f>IFERROR(__xludf.DUMMYFUNCTION("split(B424,"" "")"),"D.")</f>
        <v>D.</v>
      </c>
      <c r="Y424" s="3" t="str">
        <f>IFERROR(__xludf.DUMMYFUNCTION("""COMPUTED_VALUE"""),"Moore")</f>
        <v>Moore</v>
      </c>
      <c r="AA424" s="8">
        <v>27.0</v>
      </c>
      <c r="AB424" s="3">
        <f t="shared" si="7"/>
        <v>0</v>
      </c>
      <c r="AC424" s="3">
        <f t="shared" si="8"/>
        <v>0</v>
      </c>
      <c r="AD424" s="3">
        <f t="shared" si="9"/>
        <v>0.8333333333</v>
      </c>
      <c r="AE424" s="3">
        <f t="shared" si="10"/>
        <v>-1</v>
      </c>
      <c r="AF424" s="3">
        <f t="shared" si="11"/>
        <v>-3</v>
      </c>
      <c r="AG424" s="3">
        <f t="shared" si="12"/>
        <v>-0.4315789474</v>
      </c>
    </row>
    <row r="425">
      <c r="A425" s="1" t="s">
        <v>8</v>
      </c>
      <c r="B425" s="1" t="s">
        <v>98</v>
      </c>
      <c r="C425" s="1" t="s">
        <v>19</v>
      </c>
      <c r="D425" s="1" t="s">
        <v>99</v>
      </c>
      <c r="E425" s="1" t="s">
        <v>66</v>
      </c>
      <c r="F425" s="1" t="s">
        <v>670</v>
      </c>
      <c r="G425" s="1">
        <v>17.5</v>
      </c>
      <c r="H425" s="1" t="s">
        <v>60</v>
      </c>
      <c r="I425" s="1">
        <v>-120.0</v>
      </c>
      <c r="J425" s="1">
        <v>0.00960000000000005</v>
      </c>
      <c r="K425" s="1" t="s">
        <v>61</v>
      </c>
      <c r="L425" s="1" t="s">
        <v>61</v>
      </c>
      <c r="M425" s="1" t="s">
        <v>62</v>
      </c>
      <c r="N425" s="1">
        <v>-113.0</v>
      </c>
      <c r="O425" s="1">
        <v>-0.0855633802816902</v>
      </c>
      <c r="P425" s="1" t="s">
        <v>61</v>
      </c>
      <c r="Q425" s="1" t="s">
        <v>61</v>
      </c>
      <c r="R425" s="1">
        <f t="shared" si="1"/>
        <v>0.0096</v>
      </c>
      <c r="S425" s="1">
        <f t="shared" si="2"/>
        <v>-120</v>
      </c>
      <c r="T425" s="1">
        <f t="shared" si="3"/>
        <v>1.833333333</v>
      </c>
      <c r="U425" s="1">
        <f t="shared" si="4"/>
        <v>1</v>
      </c>
      <c r="V425" s="3">
        <f t="shared" si="5"/>
        <v>1</v>
      </c>
      <c r="W425" s="3">
        <f t="shared" si="6"/>
        <v>3</v>
      </c>
      <c r="X425" s="3" t="str">
        <f>IFERROR(__xludf.DUMMYFUNCTION("split(B425,"" "")"),"D.")</f>
        <v>D.</v>
      </c>
      <c r="Y425" s="3" t="str">
        <f>IFERROR(__xludf.DUMMYFUNCTION("""COMPUTED_VALUE"""),"Swift")</f>
        <v>Swift</v>
      </c>
      <c r="AA425" s="8">
        <v>16.0</v>
      </c>
      <c r="AB425" s="3">
        <f t="shared" si="7"/>
        <v>0</v>
      </c>
      <c r="AC425" s="3">
        <f t="shared" si="8"/>
        <v>0</v>
      </c>
      <c r="AD425" s="3">
        <f t="shared" si="9"/>
        <v>0.8333333333</v>
      </c>
      <c r="AE425" s="3">
        <f t="shared" si="10"/>
        <v>-1</v>
      </c>
      <c r="AF425" s="3">
        <f t="shared" si="11"/>
        <v>-3</v>
      </c>
      <c r="AG425" s="3">
        <f t="shared" si="12"/>
        <v>-0.08571428571</v>
      </c>
    </row>
    <row r="426">
      <c r="A426" s="1" t="s">
        <v>12</v>
      </c>
      <c r="B426" s="1" t="s">
        <v>351</v>
      </c>
      <c r="C426" s="1" t="s">
        <v>18</v>
      </c>
      <c r="D426" s="1" t="s">
        <v>99</v>
      </c>
      <c r="E426" s="1" t="s">
        <v>66</v>
      </c>
      <c r="F426" s="1" t="s">
        <v>670</v>
      </c>
      <c r="G426" s="1">
        <v>4.5</v>
      </c>
      <c r="H426" s="1" t="s">
        <v>60</v>
      </c>
      <c r="I426" s="1">
        <v>124.0</v>
      </c>
      <c r="J426" s="1">
        <v>0.0663714285714285</v>
      </c>
      <c r="K426" s="1" t="s">
        <v>61</v>
      </c>
      <c r="L426" s="1" t="s">
        <v>61</v>
      </c>
      <c r="M426" s="1" t="s">
        <v>62</v>
      </c>
      <c r="N426" s="1">
        <v>-165.0</v>
      </c>
      <c r="O426" s="1">
        <v>-0.135441509433962</v>
      </c>
      <c r="P426" s="1" t="s">
        <v>61</v>
      </c>
      <c r="Q426" s="1" t="s">
        <v>61</v>
      </c>
      <c r="R426" s="1">
        <f t="shared" si="1"/>
        <v>0.06637142857</v>
      </c>
      <c r="S426" s="1">
        <f t="shared" si="2"/>
        <v>124</v>
      </c>
      <c r="T426" s="1">
        <f t="shared" si="3"/>
        <v>2.24</v>
      </c>
      <c r="U426" s="1">
        <f t="shared" si="4"/>
        <v>1</v>
      </c>
      <c r="V426" s="3">
        <f t="shared" si="5"/>
        <v>2</v>
      </c>
      <c r="W426" s="3">
        <f t="shared" si="6"/>
        <v>1</v>
      </c>
      <c r="X426" s="3" t="str">
        <f>IFERROR(__xludf.DUMMYFUNCTION("split(B426,"" "")"),"D.")</f>
        <v>D.</v>
      </c>
      <c r="Y426" s="3" t="str">
        <f>IFERROR(__xludf.DUMMYFUNCTION("""COMPUTED_VALUE"""),"Moore")</f>
        <v>Moore</v>
      </c>
      <c r="AA426" s="8">
        <v>3.0</v>
      </c>
      <c r="AB426" s="3">
        <f t="shared" si="7"/>
        <v>0</v>
      </c>
      <c r="AC426" s="3">
        <f t="shared" si="8"/>
        <v>0</v>
      </c>
      <c r="AD426" s="3">
        <f t="shared" si="9"/>
        <v>2.48</v>
      </c>
      <c r="AE426" s="3">
        <f t="shared" si="10"/>
        <v>-2</v>
      </c>
      <c r="AF426" s="3">
        <f t="shared" si="11"/>
        <v>-1</v>
      </c>
      <c r="AG426" s="3">
        <f t="shared" si="12"/>
        <v>-0.3333333333</v>
      </c>
    </row>
    <row r="427">
      <c r="A427" s="1" t="s">
        <v>9</v>
      </c>
      <c r="B427" s="1" t="s">
        <v>578</v>
      </c>
      <c r="C427" s="1" t="s">
        <v>19</v>
      </c>
      <c r="D427" s="1" t="s">
        <v>99</v>
      </c>
      <c r="E427" s="1" t="s">
        <v>66</v>
      </c>
      <c r="F427" s="1" t="s">
        <v>670</v>
      </c>
      <c r="G427" s="1">
        <v>25.5</v>
      </c>
      <c r="H427" s="1" t="s">
        <v>60</v>
      </c>
      <c r="I427" s="1">
        <v>-115.0</v>
      </c>
      <c r="J427" s="1">
        <v>0.0721188538906248</v>
      </c>
      <c r="K427" s="1" t="s">
        <v>61</v>
      </c>
      <c r="L427" s="1" t="s">
        <v>61</v>
      </c>
      <c r="M427" s="1" t="s">
        <v>62</v>
      </c>
      <c r="N427" s="1">
        <v>-117.0</v>
      </c>
      <c r="O427" s="1">
        <v>-0.146173491687496</v>
      </c>
      <c r="P427" s="1" t="s">
        <v>61</v>
      </c>
      <c r="Q427" s="1" t="s">
        <v>61</v>
      </c>
      <c r="R427" s="1">
        <f t="shared" si="1"/>
        <v>0.07211885389</v>
      </c>
      <c r="S427" s="1">
        <f t="shared" si="2"/>
        <v>-115</v>
      </c>
      <c r="T427" s="1">
        <f t="shared" si="3"/>
        <v>1.869565217</v>
      </c>
      <c r="U427" s="1">
        <f t="shared" si="4"/>
        <v>1</v>
      </c>
      <c r="V427" s="3">
        <f t="shared" si="5"/>
        <v>2</v>
      </c>
      <c r="W427" s="3">
        <f t="shared" si="6"/>
        <v>2</v>
      </c>
      <c r="X427" s="3" t="str">
        <f>IFERROR(__xludf.DUMMYFUNCTION("split(B427,"" "")"),"R.")</f>
        <v>R.</v>
      </c>
      <c r="Y427" s="3" t="str">
        <f>IFERROR(__xludf.DUMMYFUNCTION("""COMPUTED_VALUE"""),"Johnson")</f>
        <v>Johnson</v>
      </c>
      <c r="AA427" s="8">
        <v>1.0</v>
      </c>
      <c r="AB427" s="3">
        <f t="shared" si="7"/>
        <v>0</v>
      </c>
      <c r="AC427" s="3">
        <f t="shared" si="8"/>
        <v>0</v>
      </c>
      <c r="AD427" s="3">
        <f t="shared" si="9"/>
        <v>1.739130435</v>
      </c>
      <c r="AE427" s="3">
        <f t="shared" si="10"/>
        <v>-2</v>
      </c>
      <c r="AF427" s="3">
        <f t="shared" si="11"/>
        <v>-2</v>
      </c>
      <c r="AG427" s="3">
        <f t="shared" si="12"/>
        <v>-0.9607843137</v>
      </c>
    </row>
    <row r="428">
      <c r="A428" s="1" t="s">
        <v>11</v>
      </c>
      <c r="B428" s="1" t="s">
        <v>578</v>
      </c>
      <c r="C428" s="1" t="s">
        <v>19</v>
      </c>
      <c r="D428" s="1" t="s">
        <v>99</v>
      </c>
      <c r="E428" s="1" t="s">
        <v>66</v>
      </c>
      <c r="F428" s="1" t="s">
        <v>670</v>
      </c>
      <c r="G428" s="1">
        <v>4.5</v>
      </c>
      <c r="H428" s="1" t="s">
        <v>60</v>
      </c>
      <c r="I428" s="1">
        <v>-111.0</v>
      </c>
      <c r="J428" s="1">
        <v>0.113863172281602</v>
      </c>
      <c r="K428" s="1" t="s">
        <v>61</v>
      </c>
      <c r="L428" s="1" t="s">
        <v>61</v>
      </c>
      <c r="M428" s="1" t="s">
        <v>62</v>
      </c>
      <c r="N428" s="1">
        <v>-116.0</v>
      </c>
      <c r="O428" s="1">
        <v>-0.176943861331689</v>
      </c>
      <c r="P428" s="1" t="s">
        <v>61</v>
      </c>
      <c r="Q428" s="1" t="s">
        <v>61</v>
      </c>
      <c r="R428" s="1">
        <f t="shared" si="1"/>
        <v>0.1138631723</v>
      </c>
      <c r="S428" s="1">
        <f t="shared" si="2"/>
        <v>-111</v>
      </c>
      <c r="T428" s="1">
        <f t="shared" si="3"/>
        <v>1.900900901</v>
      </c>
      <c r="U428" s="1">
        <f t="shared" si="4"/>
        <v>1</v>
      </c>
      <c r="V428" s="3">
        <f t="shared" si="5"/>
        <v>3</v>
      </c>
      <c r="W428" s="3">
        <f t="shared" si="6"/>
        <v>2</v>
      </c>
      <c r="X428" s="3" t="str">
        <f>IFERROR(__xludf.DUMMYFUNCTION("split(B428,"" "")"),"R.")</f>
        <v>R.</v>
      </c>
      <c r="Y428" s="3" t="str">
        <f>IFERROR(__xludf.DUMMYFUNCTION("""COMPUTED_VALUE"""),"Johnson")</f>
        <v>Johnson</v>
      </c>
      <c r="AA428" s="8">
        <v>5.0</v>
      </c>
      <c r="AB428" s="3">
        <f t="shared" si="7"/>
        <v>1</v>
      </c>
      <c r="AC428" s="3">
        <f t="shared" si="8"/>
        <v>1</v>
      </c>
      <c r="AD428" s="3">
        <f t="shared" si="9"/>
        <v>2.702702703</v>
      </c>
      <c r="AE428" s="3">
        <f t="shared" si="10"/>
        <v>2.702702703</v>
      </c>
      <c r="AF428" s="3">
        <f t="shared" si="11"/>
        <v>1.801801802</v>
      </c>
      <c r="AG428" s="3">
        <f t="shared" si="12"/>
        <v>0.1111111111</v>
      </c>
    </row>
    <row r="429">
      <c r="A429" s="1" t="s">
        <v>12</v>
      </c>
      <c r="B429" s="1" t="s">
        <v>266</v>
      </c>
      <c r="C429" s="1" t="s">
        <v>19</v>
      </c>
      <c r="D429" s="1" t="s">
        <v>57</v>
      </c>
      <c r="E429" s="1" t="s">
        <v>147</v>
      </c>
      <c r="F429" s="1" t="s">
        <v>675</v>
      </c>
      <c r="G429" s="1">
        <v>2.5</v>
      </c>
      <c r="H429" s="1" t="s">
        <v>60</v>
      </c>
      <c r="I429" s="1">
        <v>-147.0</v>
      </c>
      <c r="J429" s="1">
        <v>-0.266040435748987</v>
      </c>
      <c r="K429" s="1" t="s">
        <v>61</v>
      </c>
      <c r="L429" s="1" t="s">
        <v>61</v>
      </c>
      <c r="M429" s="1" t="s">
        <v>62</v>
      </c>
      <c r="N429" s="1">
        <v>113.0</v>
      </c>
      <c r="O429" s="1">
        <v>0.201414965399061</v>
      </c>
      <c r="P429" s="1" t="s">
        <v>61</v>
      </c>
      <c r="Q429" s="1" t="s">
        <v>61</v>
      </c>
      <c r="R429" s="1">
        <f t="shared" si="1"/>
        <v>0.2014149654</v>
      </c>
      <c r="S429" s="1">
        <f t="shared" si="2"/>
        <v>113</v>
      </c>
      <c r="T429" s="1">
        <f t="shared" si="3"/>
        <v>2.13</v>
      </c>
      <c r="U429" s="1">
        <f t="shared" si="4"/>
        <v>0</v>
      </c>
      <c r="V429" s="3">
        <f t="shared" si="5"/>
        <v>3</v>
      </c>
      <c r="W429" s="3">
        <f t="shared" si="6"/>
        <v>1</v>
      </c>
      <c r="X429" s="3" t="str">
        <f>IFERROR(__xludf.DUMMYFUNCTION("split(B429,"" "")"),"C.")</f>
        <v>C.</v>
      </c>
      <c r="Y429" s="3" t="str">
        <f>IFERROR(__xludf.DUMMYFUNCTION("""COMPUTED_VALUE"""),"Hubbard")</f>
        <v>Hubbard</v>
      </c>
      <c r="AA429" s="8">
        <v>4.0</v>
      </c>
      <c r="AB429" s="3">
        <f t="shared" si="7"/>
        <v>1</v>
      </c>
      <c r="AC429" s="3">
        <f t="shared" si="8"/>
        <v>0</v>
      </c>
      <c r="AD429" s="3">
        <f t="shared" si="9"/>
        <v>3.39</v>
      </c>
      <c r="AE429" s="3">
        <f t="shared" si="10"/>
        <v>-3</v>
      </c>
      <c r="AF429" s="3">
        <f t="shared" si="11"/>
        <v>-1</v>
      </c>
      <c r="AG429" s="3">
        <f t="shared" si="12"/>
        <v>-0.6</v>
      </c>
    </row>
    <row r="430">
      <c r="A430" s="1" t="s">
        <v>8</v>
      </c>
      <c r="B430" s="1" t="s">
        <v>56</v>
      </c>
      <c r="C430" s="1" t="s">
        <v>21</v>
      </c>
      <c r="D430" s="1" t="s">
        <v>57</v>
      </c>
      <c r="E430" s="1" t="s">
        <v>147</v>
      </c>
      <c r="F430" s="1" t="s">
        <v>675</v>
      </c>
      <c r="G430" s="1">
        <v>2.5</v>
      </c>
      <c r="H430" s="1" t="s">
        <v>60</v>
      </c>
      <c r="I430" s="1">
        <v>-124.0</v>
      </c>
      <c r="J430" s="1">
        <v>-0.183562610254821</v>
      </c>
      <c r="K430" s="1" t="s">
        <v>61</v>
      </c>
      <c r="L430" s="1" t="s">
        <v>61</v>
      </c>
      <c r="M430" s="1" t="s">
        <v>62</v>
      </c>
      <c r="N430" s="1">
        <v>-108.0</v>
      </c>
      <c r="O430" s="1">
        <v>0.110758974388684</v>
      </c>
      <c r="P430" s="1" t="s">
        <v>61</v>
      </c>
      <c r="Q430" s="1" t="s">
        <v>61</v>
      </c>
      <c r="R430" s="1">
        <f t="shared" si="1"/>
        <v>0.1107589744</v>
      </c>
      <c r="S430" s="1">
        <f t="shared" si="2"/>
        <v>-108</v>
      </c>
      <c r="T430" s="1">
        <f t="shared" si="3"/>
        <v>1.925925926</v>
      </c>
      <c r="U430" s="1">
        <f t="shared" si="4"/>
        <v>0</v>
      </c>
      <c r="V430" s="3">
        <f t="shared" si="5"/>
        <v>3</v>
      </c>
      <c r="W430" s="3">
        <f t="shared" si="6"/>
        <v>2</v>
      </c>
      <c r="X430" s="3" t="str">
        <f>IFERROR(__xludf.DUMMYFUNCTION("split(B430,"" "")"),"B.")</f>
        <v>B.</v>
      </c>
      <c r="Y430" s="3" t="str">
        <f>IFERROR(__xludf.DUMMYFUNCTION("""COMPUTED_VALUE"""),"Young")</f>
        <v>Young</v>
      </c>
      <c r="AA430" s="8">
        <v>2.0</v>
      </c>
      <c r="AB430" s="3">
        <f t="shared" si="7"/>
        <v>0</v>
      </c>
      <c r="AC430" s="3">
        <f t="shared" si="8"/>
        <v>1</v>
      </c>
      <c r="AD430" s="3">
        <f t="shared" si="9"/>
        <v>2.777777778</v>
      </c>
      <c r="AE430" s="3">
        <f t="shared" si="10"/>
        <v>2.777777778</v>
      </c>
      <c r="AF430" s="3">
        <f t="shared" si="11"/>
        <v>1.851851852</v>
      </c>
      <c r="AG430" s="3">
        <f t="shared" si="12"/>
        <v>0.2</v>
      </c>
    </row>
    <row r="431">
      <c r="A431" s="1" t="s">
        <v>12</v>
      </c>
      <c r="B431" s="1" t="s">
        <v>638</v>
      </c>
      <c r="C431" s="1" t="s">
        <v>18</v>
      </c>
      <c r="D431" s="1" t="s">
        <v>57</v>
      </c>
      <c r="E431" s="1" t="s">
        <v>147</v>
      </c>
      <c r="F431" s="1" t="s">
        <v>675</v>
      </c>
      <c r="G431" s="1">
        <v>2.5</v>
      </c>
      <c r="H431" s="1" t="s">
        <v>60</v>
      </c>
      <c r="I431" s="1">
        <v>-150.0</v>
      </c>
      <c r="J431" s="1">
        <v>-0.17957675116</v>
      </c>
      <c r="K431" s="1" t="s">
        <v>61</v>
      </c>
      <c r="L431" s="1" t="s">
        <v>61</v>
      </c>
      <c r="M431" s="1" t="s">
        <v>62</v>
      </c>
      <c r="N431" s="1">
        <v>113.0</v>
      </c>
      <c r="O431" s="1">
        <v>0.110106515446009</v>
      </c>
      <c r="P431" s="1" t="s">
        <v>61</v>
      </c>
      <c r="Q431" s="1" t="s">
        <v>61</v>
      </c>
      <c r="R431" s="1">
        <f t="shared" si="1"/>
        <v>0.1101065154</v>
      </c>
      <c r="S431" s="1">
        <f t="shared" si="2"/>
        <v>113</v>
      </c>
      <c r="T431" s="1">
        <f t="shared" si="3"/>
        <v>2.13</v>
      </c>
      <c r="U431" s="1">
        <f t="shared" si="4"/>
        <v>0</v>
      </c>
      <c r="V431" s="3">
        <f t="shared" si="5"/>
        <v>3</v>
      </c>
      <c r="W431" s="3">
        <f t="shared" si="6"/>
        <v>1</v>
      </c>
      <c r="X431" s="3" t="str">
        <f>IFERROR(__xludf.DUMMYFUNCTION("split(B431,"" "")"),"J.")</f>
        <v>J.</v>
      </c>
      <c r="Y431" s="3" t="str">
        <f>IFERROR(__xludf.DUMMYFUNCTION("""COMPUTED_VALUE"""),"Coker")</f>
        <v>Coker</v>
      </c>
      <c r="AA431" s="8">
        <v>3.0</v>
      </c>
      <c r="AB431" s="3">
        <f t="shared" si="7"/>
        <v>1</v>
      </c>
      <c r="AC431" s="3">
        <f t="shared" si="8"/>
        <v>0</v>
      </c>
      <c r="AD431" s="3">
        <f t="shared" si="9"/>
        <v>3.39</v>
      </c>
      <c r="AE431" s="3">
        <f t="shared" si="10"/>
        <v>-3</v>
      </c>
      <c r="AF431" s="3">
        <f t="shared" si="11"/>
        <v>-1</v>
      </c>
      <c r="AG431" s="3">
        <f t="shared" si="12"/>
        <v>-0.2</v>
      </c>
    </row>
    <row r="432">
      <c r="A432" s="1" t="s">
        <v>14</v>
      </c>
      <c r="B432" s="1" t="s">
        <v>56</v>
      </c>
      <c r="C432" s="1" t="s">
        <v>21</v>
      </c>
      <c r="D432" s="1" t="s">
        <v>57</v>
      </c>
      <c r="E432" s="1" t="s">
        <v>147</v>
      </c>
      <c r="F432" s="1" t="s">
        <v>675</v>
      </c>
      <c r="G432" s="1">
        <v>0.5</v>
      </c>
      <c r="H432" s="1" t="s">
        <v>60</v>
      </c>
      <c r="I432" s="1">
        <v>-180.0</v>
      </c>
      <c r="J432" s="1">
        <v>-0.170920130607142</v>
      </c>
      <c r="K432" s="1" t="s">
        <v>61</v>
      </c>
      <c r="L432" s="1" t="s">
        <v>61</v>
      </c>
      <c r="M432" s="1" t="s">
        <v>62</v>
      </c>
      <c r="N432" s="1">
        <v>138.0</v>
      </c>
      <c r="O432" s="1">
        <v>0.107888388949579</v>
      </c>
      <c r="P432" s="1" t="s">
        <v>61</v>
      </c>
      <c r="Q432" s="1" t="s">
        <v>61</v>
      </c>
      <c r="R432" s="1">
        <f t="shared" si="1"/>
        <v>0.1078883889</v>
      </c>
      <c r="S432" s="1">
        <f t="shared" si="2"/>
        <v>138</v>
      </c>
      <c r="T432" s="1">
        <f t="shared" si="3"/>
        <v>2.38</v>
      </c>
      <c r="U432" s="1">
        <f t="shared" si="4"/>
        <v>0</v>
      </c>
      <c r="V432" s="3">
        <f t="shared" si="5"/>
        <v>3</v>
      </c>
      <c r="W432" s="3">
        <f t="shared" si="6"/>
        <v>1</v>
      </c>
      <c r="X432" s="3" t="str">
        <f>IFERROR(__xludf.DUMMYFUNCTION("split(B432,"" "")"),"B.")</f>
        <v>B.</v>
      </c>
      <c r="Y432" s="3" t="str">
        <f>IFERROR(__xludf.DUMMYFUNCTION("""COMPUTED_VALUE"""),"Young")</f>
        <v>Young</v>
      </c>
      <c r="AA432" s="8">
        <v>1.0</v>
      </c>
      <c r="AB432" s="3">
        <f t="shared" si="7"/>
        <v>1</v>
      </c>
      <c r="AC432" s="3">
        <f t="shared" si="8"/>
        <v>0</v>
      </c>
      <c r="AD432" s="3">
        <f t="shared" si="9"/>
        <v>4.14</v>
      </c>
      <c r="AE432" s="3">
        <f t="shared" si="10"/>
        <v>-3</v>
      </c>
      <c r="AF432" s="3">
        <f t="shared" si="11"/>
        <v>-1</v>
      </c>
      <c r="AG432" s="3">
        <f t="shared" si="12"/>
        <v>-1</v>
      </c>
    </row>
    <row r="433">
      <c r="A433" s="1" t="s">
        <v>12</v>
      </c>
      <c r="B433" s="1" t="s">
        <v>523</v>
      </c>
      <c r="C433" s="1" t="s">
        <v>20</v>
      </c>
      <c r="D433" s="1" t="s">
        <v>57</v>
      </c>
      <c r="E433" s="1" t="s">
        <v>147</v>
      </c>
      <c r="F433" s="1" t="s">
        <v>675</v>
      </c>
      <c r="G433" s="1">
        <v>3.5</v>
      </c>
      <c r="H433" s="1" t="s">
        <v>60</v>
      </c>
      <c r="I433" s="1">
        <v>118.0</v>
      </c>
      <c r="J433" s="1">
        <v>-0.142715596330275</v>
      </c>
      <c r="K433" s="1" t="s">
        <v>61</v>
      </c>
      <c r="L433" s="1" t="s">
        <v>61</v>
      </c>
      <c r="M433" s="1" t="s">
        <v>62</v>
      </c>
      <c r="N433" s="1">
        <v>-155.0</v>
      </c>
      <c r="O433" s="1">
        <v>0.076156862745098</v>
      </c>
      <c r="P433" s="1" t="s">
        <v>61</v>
      </c>
      <c r="Q433" s="1" t="s">
        <v>61</v>
      </c>
      <c r="R433" s="1">
        <f t="shared" si="1"/>
        <v>0.07615686275</v>
      </c>
      <c r="S433" s="1">
        <f t="shared" si="2"/>
        <v>-155</v>
      </c>
      <c r="T433" s="1">
        <f t="shared" si="3"/>
        <v>1.64516129</v>
      </c>
      <c r="U433" s="1">
        <f t="shared" si="4"/>
        <v>0</v>
      </c>
      <c r="V433" s="3">
        <f t="shared" si="5"/>
        <v>2</v>
      </c>
      <c r="W433" s="3">
        <f t="shared" si="6"/>
        <v>3</v>
      </c>
      <c r="X433" s="3" t="str">
        <f>IFERROR(__xludf.DUMMYFUNCTION("split(B433,"" "")"),"J.")</f>
        <v>J.</v>
      </c>
      <c r="Y433" s="3" t="str">
        <f>IFERROR(__xludf.DUMMYFUNCTION("""COMPUTED_VALUE"""),"Sanders")</f>
        <v>Sanders</v>
      </c>
      <c r="AA433" s="8">
        <v>0.0</v>
      </c>
      <c r="AB433" s="3">
        <f t="shared" si="7"/>
        <v>0</v>
      </c>
      <c r="AC433" s="3">
        <f t="shared" si="8"/>
        <v>1</v>
      </c>
      <c r="AD433" s="3">
        <f t="shared" si="9"/>
        <v>1.290322581</v>
      </c>
      <c r="AE433" s="3">
        <f t="shared" si="10"/>
        <v>1.290322581</v>
      </c>
      <c r="AF433" s="3">
        <f t="shared" si="11"/>
        <v>1.935483871</v>
      </c>
      <c r="AG433" s="3">
        <f t="shared" si="12"/>
        <v>1</v>
      </c>
    </row>
    <row r="434">
      <c r="A434" s="1" t="s">
        <v>11</v>
      </c>
      <c r="B434" s="1" t="s">
        <v>523</v>
      </c>
      <c r="C434" s="1" t="s">
        <v>20</v>
      </c>
      <c r="D434" s="1" t="s">
        <v>57</v>
      </c>
      <c r="E434" s="1" t="s">
        <v>147</v>
      </c>
      <c r="F434" s="1" t="s">
        <v>675</v>
      </c>
      <c r="G434" s="1">
        <v>29.5</v>
      </c>
      <c r="H434" s="1" t="s">
        <v>60</v>
      </c>
      <c r="I434" s="1">
        <v>-112.0</v>
      </c>
      <c r="J434" s="1">
        <v>-0.126257615866952</v>
      </c>
      <c r="K434" s="1" t="s">
        <v>61</v>
      </c>
      <c r="L434" s="1" t="s">
        <v>61</v>
      </c>
      <c r="M434" s="1" t="s">
        <v>62</v>
      </c>
      <c r="N434" s="1">
        <v>-113.0</v>
      </c>
      <c r="O434" s="1">
        <v>0.0674711852445409</v>
      </c>
      <c r="P434" s="1" t="s">
        <v>61</v>
      </c>
      <c r="Q434" s="1" t="s">
        <v>61</v>
      </c>
      <c r="R434" s="1">
        <f t="shared" si="1"/>
        <v>0.06747118524</v>
      </c>
      <c r="S434" s="1">
        <f t="shared" si="2"/>
        <v>-113</v>
      </c>
      <c r="T434" s="1">
        <f t="shared" si="3"/>
        <v>1.884955752</v>
      </c>
      <c r="U434" s="1">
        <f t="shared" si="4"/>
        <v>0</v>
      </c>
      <c r="V434" s="3">
        <f t="shared" si="5"/>
        <v>2</v>
      </c>
      <c r="W434" s="3">
        <f t="shared" si="6"/>
        <v>2</v>
      </c>
      <c r="X434" s="3" t="str">
        <f>IFERROR(__xludf.DUMMYFUNCTION("split(B434,"" "")"),"J.")</f>
        <v>J.</v>
      </c>
      <c r="Y434" s="3" t="str">
        <f>IFERROR(__xludf.DUMMYFUNCTION("""COMPUTED_VALUE"""),"Sanders")</f>
        <v>Sanders</v>
      </c>
      <c r="AA434" s="8">
        <v>0.0</v>
      </c>
      <c r="AB434" s="3">
        <f t="shared" si="7"/>
        <v>0</v>
      </c>
      <c r="AC434" s="3">
        <f t="shared" si="8"/>
        <v>1</v>
      </c>
      <c r="AD434" s="3">
        <f t="shared" si="9"/>
        <v>1.769911504</v>
      </c>
      <c r="AE434" s="3">
        <f t="shared" si="10"/>
        <v>1.769911504</v>
      </c>
      <c r="AF434" s="3">
        <f t="shared" si="11"/>
        <v>1.769911504</v>
      </c>
      <c r="AG434" s="3">
        <f t="shared" si="12"/>
        <v>1</v>
      </c>
    </row>
    <row r="435">
      <c r="A435" s="1" t="s">
        <v>16</v>
      </c>
      <c r="B435" s="1" t="s">
        <v>56</v>
      </c>
      <c r="C435" s="1" t="s">
        <v>21</v>
      </c>
      <c r="D435" s="1" t="s">
        <v>57</v>
      </c>
      <c r="E435" s="1" t="s">
        <v>147</v>
      </c>
      <c r="F435" s="1" t="s">
        <v>675</v>
      </c>
      <c r="G435" s="1">
        <v>28.5</v>
      </c>
      <c r="H435" s="1" t="s">
        <v>60</v>
      </c>
      <c r="I435" s="1">
        <v>-128.0</v>
      </c>
      <c r="J435" s="1">
        <v>-0.136858804035087</v>
      </c>
      <c r="K435" s="1" t="s">
        <v>61</v>
      </c>
      <c r="L435" s="1" t="s">
        <v>61</v>
      </c>
      <c r="M435" s="1" t="s">
        <v>62</v>
      </c>
      <c r="N435" s="1">
        <v>-104.0</v>
      </c>
      <c r="O435" s="1">
        <v>0.0656441157490196</v>
      </c>
      <c r="P435" s="1" t="s">
        <v>61</v>
      </c>
      <c r="Q435" s="1" t="s">
        <v>61</v>
      </c>
      <c r="R435" s="1">
        <f t="shared" si="1"/>
        <v>0.06564411575</v>
      </c>
      <c r="S435" s="1">
        <f t="shared" si="2"/>
        <v>-104</v>
      </c>
      <c r="T435" s="1">
        <f t="shared" si="3"/>
        <v>1.961538462</v>
      </c>
      <c r="U435" s="1">
        <f t="shared" si="4"/>
        <v>0</v>
      </c>
      <c r="V435" s="3">
        <f t="shared" si="5"/>
        <v>2</v>
      </c>
      <c r="W435" s="3">
        <f t="shared" si="6"/>
        <v>2</v>
      </c>
      <c r="X435" s="3" t="str">
        <f>IFERROR(__xludf.DUMMYFUNCTION("split(B435,"" "")"),"B.")</f>
        <v>B.</v>
      </c>
      <c r="Y435" s="3" t="str">
        <f>IFERROR(__xludf.DUMMYFUNCTION("""COMPUTED_VALUE"""),"Young")</f>
        <v>Young</v>
      </c>
      <c r="AA435" s="8">
        <v>25.0</v>
      </c>
      <c r="AB435" s="3">
        <f t="shared" si="7"/>
        <v>0</v>
      </c>
      <c r="AC435" s="3">
        <f t="shared" si="8"/>
        <v>1</v>
      </c>
      <c r="AD435" s="3">
        <f t="shared" si="9"/>
        <v>1.923076923</v>
      </c>
      <c r="AE435" s="3">
        <f t="shared" si="10"/>
        <v>1.923076923</v>
      </c>
      <c r="AF435" s="3">
        <f t="shared" si="11"/>
        <v>1.923076923</v>
      </c>
      <c r="AG435" s="3">
        <f t="shared" si="12"/>
        <v>0.1228070175</v>
      </c>
    </row>
    <row r="436">
      <c r="A436" s="1" t="s">
        <v>17</v>
      </c>
      <c r="B436" s="1" t="s">
        <v>56</v>
      </c>
      <c r="C436" s="1" t="s">
        <v>21</v>
      </c>
      <c r="D436" s="1" t="s">
        <v>57</v>
      </c>
      <c r="E436" s="1" t="s">
        <v>147</v>
      </c>
      <c r="F436" s="1" t="s">
        <v>675</v>
      </c>
      <c r="G436" s="1">
        <v>0.5</v>
      </c>
      <c r="H436" s="1" t="s">
        <v>60</v>
      </c>
      <c r="I436" s="1">
        <v>-135.0</v>
      </c>
      <c r="J436" s="1">
        <v>-0.127725531914893</v>
      </c>
      <c r="K436" s="1" t="s">
        <v>61</v>
      </c>
      <c r="L436" s="1" t="s">
        <v>61</v>
      </c>
      <c r="M436" s="1" t="s">
        <v>62</v>
      </c>
      <c r="N436" s="1">
        <v>104.0</v>
      </c>
      <c r="O436" s="1">
        <v>0.0630549019607842</v>
      </c>
      <c r="P436" s="1" t="s">
        <v>61</v>
      </c>
      <c r="Q436" s="1" t="s">
        <v>61</v>
      </c>
      <c r="R436" s="1">
        <f t="shared" si="1"/>
        <v>0.06305490196</v>
      </c>
      <c r="S436" s="1">
        <f t="shared" si="2"/>
        <v>104</v>
      </c>
      <c r="T436" s="1">
        <f t="shared" si="3"/>
        <v>2.04</v>
      </c>
      <c r="U436" s="1">
        <f t="shared" si="4"/>
        <v>0</v>
      </c>
      <c r="V436" s="3">
        <f t="shared" si="5"/>
        <v>2</v>
      </c>
      <c r="W436" s="3">
        <f t="shared" si="6"/>
        <v>2</v>
      </c>
      <c r="X436" s="3" t="str">
        <f>IFERROR(__xludf.DUMMYFUNCTION("split(B436,"" "")"),"B.")</f>
        <v>B.</v>
      </c>
      <c r="Y436" s="3" t="str">
        <f>IFERROR(__xludf.DUMMYFUNCTION("""COMPUTED_VALUE"""),"Young")</f>
        <v>Young</v>
      </c>
      <c r="AA436" s="8">
        <v>0.0</v>
      </c>
      <c r="AB436" s="3">
        <f t="shared" si="7"/>
        <v>0</v>
      </c>
      <c r="AC436" s="3">
        <f t="shared" si="8"/>
        <v>1</v>
      </c>
      <c r="AD436" s="3">
        <f t="shared" si="9"/>
        <v>2.08</v>
      </c>
      <c r="AE436" s="3">
        <f t="shared" si="10"/>
        <v>2.08</v>
      </c>
      <c r="AF436" s="3">
        <f t="shared" si="11"/>
        <v>2.08</v>
      </c>
      <c r="AG436" s="3">
        <f t="shared" si="12"/>
        <v>1</v>
      </c>
    </row>
    <row r="437">
      <c r="A437" s="1" t="s">
        <v>12</v>
      </c>
      <c r="B437" s="1" t="s">
        <v>351</v>
      </c>
      <c r="C437" s="1" t="s">
        <v>18</v>
      </c>
      <c r="D437" s="1" t="s">
        <v>57</v>
      </c>
      <c r="E437" s="1" t="s">
        <v>147</v>
      </c>
      <c r="F437" s="1" t="s">
        <v>675</v>
      </c>
      <c r="G437" s="1">
        <v>2.5</v>
      </c>
      <c r="H437" s="1" t="s">
        <v>60</v>
      </c>
      <c r="I437" s="1">
        <v>-112.0</v>
      </c>
      <c r="J437" s="1">
        <v>-0.119698473820754</v>
      </c>
      <c r="K437" s="1" t="s">
        <v>61</v>
      </c>
      <c r="L437" s="1" t="s">
        <v>61</v>
      </c>
      <c r="M437" s="1" t="s">
        <v>62</v>
      </c>
      <c r="N437" s="1">
        <v>-117.0</v>
      </c>
      <c r="O437" s="1">
        <v>0.0522255919193548</v>
      </c>
      <c r="P437" s="1" t="s">
        <v>61</v>
      </c>
      <c r="Q437" s="1" t="s">
        <v>61</v>
      </c>
      <c r="R437" s="1">
        <f t="shared" si="1"/>
        <v>0.05222559192</v>
      </c>
      <c r="S437" s="1">
        <f t="shared" si="2"/>
        <v>-117</v>
      </c>
      <c r="T437" s="1">
        <f t="shared" si="3"/>
        <v>1.854700855</v>
      </c>
      <c r="U437" s="1">
        <f t="shared" si="4"/>
        <v>0</v>
      </c>
      <c r="V437" s="3">
        <f t="shared" si="5"/>
        <v>2</v>
      </c>
      <c r="W437" s="3">
        <f t="shared" si="6"/>
        <v>2</v>
      </c>
      <c r="X437" s="3" t="str">
        <f>IFERROR(__xludf.DUMMYFUNCTION("split(B437,"" "")"),"D.")</f>
        <v>D.</v>
      </c>
      <c r="Y437" s="3" t="str">
        <f>IFERROR(__xludf.DUMMYFUNCTION("""COMPUTED_VALUE"""),"Moore")</f>
        <v>Moore</v>
      </c>
      <c r="AA437" s="8">
        <v>2.0</v>
      </c>
      <c r="AB437" s="3">
        <f t="shared" si="7"/>
        <v>0</v>
      </c>
      <c r="AC437" s="3">
        <f t="shared" si="8"/>
        <v>1</v>
      </c>
      <c r="AD437" s="3">
        <f t="shared" si="9"/>
        <v>1.709401709</v>
      </c>
      <c r="AE437" s="3">
        <f t="shared" si="10"/>
        <v>1.709401709</v>
      </c>
      <c r="AF437" s="3">
        <f t="shared" si="11"/>
        <v>1.709401709</v>
      </c>
      <c r="AG437" s="3">
        <f t="shared" si="12"/>
        <v>0.2</v>
      </c>
    </row>
    <row r="438">
      <c r="A438" s="1" t="s">
        <v>12</v>
      </c>
      <c r="B438" s="1" t="s">
        <v>357</v>
      </c>
      <c r="C438" s="1" t="s">
        <v>18</v>
      </c>
      <c r="D438" s="1" t="s">
        <v>57</v>
      </c>
      <c r="E438" s="1" t="s">
        <v>147</v>
      </c>
      <c r="F438" s="1" t="s">
        <v>675</v>
      </c>
      <c r="G438" s="1">
        <v>3.5</v>
      </c>
      <c r="H438" s="1" t="s">
        <v>60</v>
      </c>
      <c r="I438" s="1">
        <v>-137.0</v>
      </c>
      <c r="J438" s="1">
        <v>-0.0969746835443037</v>
      </c>
      <c r="K438" s="1" t="s">
        <v>61</v>
      </c>
      <c r="L438" s="1" t="s">
        <v>61</v>
      </c>
      <c r="M438" s="1" t="s">
        <v>62</v>
      </c>
      <c r="N438" s="1">
        <v>104.0</v>
      </c>
      <c r="O438" s="1">
        <v>0.0287058823529412</v>
      </c>
      <c r="P438" s="1" t="s">
        <v>61</v>
      </c>
      <c r="Q438" s="1" t="s">
        <v>61</v>
      </c>
      <c r="R438" s="1">
        <f t="shared" si="1"/>
        <v>0.02870588235</v>
      </c>
      <c r="S438" s="1">
        <f t="shared" si="2"/>
        <v>104</v>
      </c>
      <c r="T438" s="1">
        <f t="shared" si="3"/>
        <v>2.04</v>
      </c>
      <c r="U438" s="1">
        <f t="shared" si="4"/>
        <v>0</v>
      </c>
      <c r="V438" s="3">
        <f t="shared" si="5"/>
        <v>1</v>
      </c>
      <c r="W438" s="3">
        <f t="shared" si="6"/>
        <v>2</v>
      </c>
      <c r="X438" s="3" t="str">
        <f>IFERROR(__xludf.DUMMYFUNCTION("split(B438,"" "")"),"X.")</f>
        <v>X.</v>
      </c>
      <c r="Y438" s="3" t="str">
        <f>IFERROR(__xludf.DUMMYFUNCTION("""COMPUTED_VALUE"""),"Legette")</f>
        <v>Legette</v>
      </c>
      <c r="AA438" s="8">
        <v>3.0</v>
      </c>
      <c r="AB438" s="3">
        <f t="shared" si="7"/>
        <v>0</v>
      </c>
      <c r="AC438" s="3">
        <f t="shared" si="8"/>
        <v>1</v>
      </c>
      <c r="AD438" s="3">
        <f t="shared" si="9"/>
        <v>1.04</v>
      </c>
      <c r="AE438" s="3">
        <f t="shared" si="10"/>
        <v>1.04</v>
      </c>
      <c r="AF438" s="3">
        <f t="shared" si="11"/>
        <v>2.08</v>
      </c>
      <c r="AG438" s="3">
        <f t="shared" si="12"/>
        <v>0.1428571429</v>
      </c>
    </row>
    <row r="439">
      <c r="A439" s="1" t="s">
        <v>15</v>
      </c>
      <c r="B439" s="1" t="s">
        <v>56</v>
      </c>
      <c r="C439" s="1" t="s">
        <v>21</v>
      </c>
      <c r="D439" s="1" t="s">
        <v>57</v>
      </c>
      <c r="E439" s="1" t="s">
        <v>147</v>
      </c>
      <c r="F439" s="1" t="s">
        <v>675</v>
      </c>
      <c r="G439" s="1">
        <v>18.5</v>
      </c>
      <c r="H439" s="1" t="s">
        <v>60</v>
      </c>
      <c r="I439" s="1">
        <v>-107.0</v>
      </c>
      <c r="J439" s="1">
        <v>-0.082455766231884</v>
      </c>
      <c r="K439" s="1" t="s">
        <v>61</v>
      </c>
      <c r="L439" s="1" t="s">
        <v>61</v>
      </c>
      <c r="M439" s="1" t="s">
        <v>62</v>
      </c>
      <c r="N439" s="1">
        <v>-122.0</v>
      </c>
      <c r="O439" s="1">
        <v>0.016004545964865</v>
      </c>
      <c r="P439" s="1" t="s">
        <v>61</v>
      </c>
      <c r="Q439" s="1" t="s">
        <v>61</v>
      </c>
      <c r="R439" s="1">
        <f t="shared" si="1"/>
        <v>0.01600454596</v>
      </c>
      <c r="S439" s="1">
        <f t="shared" si="2"/>
        <v>-122</v>
      </c>
      <c r="T439" s="1">
        <f t="shared" si="3"/>
        <v>1.819672131</v>
      </c>
      <c r="U439" s="1">
        <f t="shared" si="4"/>
        <v>0</v>
      </c>
      <c r="V439" s="3">
        <f t="shared" si="5"/>
        <v>1</v>
      </c>
      <c r="W439" s="3">
        <f t="shared" si="6"/>
        <v>3</v>
      </c>
      <c r="X439" s="3" t="str">
        <f>IFERROR(__xludf.DUMMYFUNCTION("split(B439,"" "")"),"B.")</f>
        <v>B.</v>
      </c>
      <c r="Y439" s="3" t="str">
        <f>IFERROR(__xludf.DUMMYFUNCTION("""COMPUTED_VALUE"""),"Young")</f>
        <v>Young</v>
      </c>
      <c r="AA439" s="8">
        <v>15.0</v>
      </c>
      <c r="AB439" s="3">
        <f t="shared" si="7"/>
        <v>0</v>
      </c>
      <c r="AC439" s="3">
        <f t="shared" si="8"/>
        <v>1</v>
      </c>
      <c r="AD439" s="3">
        <f t="shared" si="9"/>
        <v>0.8196721311</v>
      </c>
      <c r="AE439" s="3">
        <f t="shared" si="10"/>
        <v>0.8196721311</v>
      </c>
      <c r="AF439" s="3">
        <f t="shared" si="11"/>
        <v>2.459016393</v>
      </c>
      <c r="AG439" s="3">
        <f t="shared" si="12"/>
        <v>0.1891891892</v>
      </c>
    </row>
    <row r="440">
      <c r="A440" s="1" t="s">
        <v>11</v>
      </c>
      <c r="B440" s="1" t="s">
        <v>357</v>
      </c>
      <c r="C440" s="1" t="s">
        <v>18</v>
      </c>
      <c r="D440" s="1" t="s">
        <v>57</v>
      </c>
      <c r="E440" s="1" t="s">
        <v>147</v>
      </c>
      <c r="F440" s="1" t="s">
        <v>675</v>
      </c>
      <c r="G440" s="1">
        <v>39.5</v>
      </c>
      <c r="H440" s="1" t="s">
        <v>60</v>
      </c>
      <c r="I440" s="1">
        <v>-119.0</v>
      </c>
      <c r="J440" s="1">
        <v>-0.0695732454561643</v>
      </c>
      <c r="K440" s="1" t="s">
        <v>61</v>
      </c>
      <c r="L440" s="1" t="s">
        <v>61</v>
      </c>
      <c r="M440" s="1" t="s">
        <v>62</v>
      </c>
      <c r="N440" s="1">
        <v>-107.0</v>
      </c>
      <c r="O440" s="1">
        <v>0.00929697317495659</v>
      </c>
      <c r="P440" s="1" t="s">
        <v>61</v>
      </c>
      <c r="Q440" s="1" t="s">
        <v>61</v>
      </c>
      <c r="R440" s="1">
        <f t="shared" si="1"/>
        <v>0.009296973175</v>
      </c>
      <c r="S440" s="1">
        <f t="shared" si="2"/>
        <v>-107</v>
      </c>
      <c r="T440" s="1">
        <f t="shared" si="3"/>
        <v>1.934579439</v>
      </c>
      <c r="U440" s="1">
        <f t="shared" si="4"/>
        <v>0</v>
      </c>
      <c r="V440" s="3">
        <f t="shared" si="5"/>
        <v>1</v>
      </c>
      <c r="W440" s="3">
        <f t="shared" si="6"/>
        <v>2</v>
      </c>
      <c r="X440" s="3" t="str">
        <f>IFERROR(__xludf.DUMMYFUNCTION("split(B440,"" "")"),"X.")</f>
        <v>X.</v>
      </c>
      <c r="Y440" s="3" t="str">
        <f>IFERROR(__xludf.DUMMYFUNCTION("""COMPUTED_VALUE"""),"Legette")</f>
        <v>Legette</v>
      </c>
      <c r="AA440" s="8">
        <v>40.0</v>
      </c>
      <c r="AB440" s="3">
        <f t="shared" si="7"/>
        <v>1</v>
      </c>
      <c r="AC440" s="3">
        <f t="shared" si="8"/>
        <v>0</v>
      </c>
      <c r="AD440" s="3">
        <f t="shared" si="9"/>
        <v>0.9345794393</v>
      </c>
      <c r="AE440" s="3">
        <f t="shared" si="10"/>
        <v>-1</v>
      </c>
      <c r="AF440" s="3">
        <f t="shared" si="11"/>
        <v>-2</v>
      </c>
      <c r="AG440" s="3">
        <f t="shared" si="12"/>
        <v>-0.01265822785</v>
      </c>
    </row>
    <row r="441">
      <c r="A441" s="1" t="s">
        <v>9</v>
      </c>
      <c r="B441" s="1" t="s">
        <v>266</v>
      </c>
      <c r="C441" s="1" t="s">
        <v>19</v>
      </c>
      <c r="D441" s="1" t="s">
        <v>57</v>
      </c>
      <c r="E441" s="1" t="s">
        <v>147</v>
      </c>
      <c r="F441" s="1" t="s">
        <v>675</v>
      </c>
      <c r="G441" s="1">
        <v>89.5</v>
      </c>
      <c r="H441" s="1" t="s">
        <v>60</v>
      </c>
      <c r="I441" s="1">
        <v>-115.0</v>
      </c>
      <c r="J441" s="1">
        <v>-0.0794717882994863</v>
      </c>
      <c r="K441" s="1" t="s">
        <v>61</v>
      </c>
      <c r="L441" s="1" t="s">
        <v>61</v>
      </c>
      <c r="M441" s="1" t="s">
        <v>62</v>
      </c>
      <c r="N441" s="1">
        <v>-117.0</v>
      </c>
      <c r="O441" s="1">
        <v>0.00541479841028014</v>
      </c>
      <c r="P441" s="1" t="s">
        <v>61</v>
      </c>
      <c r="Q441" s="1" t="s">
        <v>61</v>
      </c>
      <c r="R441" s="1">
        <f t="shared" si="1"/>
        <v>0.00541479841</v>
      </c>
      <c r="S441" s="1">
        <f t="shared" si="2"/>
        <v>-117</v>
      </c>
      <c r="T441" s="1">
        <f t="shared" si="3"/>
        <v>1.854700855</v>
      </c>
      <c r="U441" s="1">
        <f t="shared" si="4"/>
        <v>0</v>
      </c>
      <c r="V441" s="3">
        <f t="shared" si="5"/>
        <v>1</v>
      </c>
      <c r="W441" s="3">
        <f t="shared" si="6"/>
        <v>2</v>
      </c>
      <c r="X441" s="3" t="str">
        <f>IFERROR(__xludf.DUMMYFUNCTION("split(B441,"" "")"),"C.")</f>
        <v>C.</v>
      </c>
      <c r="Y441" s="3" t="str">
        <f>IFERROR(__xludf.DUMMYFUNCTION("""COMPUTED_VALUE"""),"Hubbard")</f>
        <v>Hubbard</v>
      </c>
      <c r="AA441" s="8">
        <v>169.0</v>
      </c>
      <c r="AB441" s="3">
        <f t="shared" si="7"/>
        <v>1</v>
      </c>
      <c r="AC441" s="3">
        <f t="shared" si="8"/>
        <v>0</v>
      </c>
      <c r="AD441" s="3">
        <f t="shared" si="9"/>
        <v>0.8547008547</v>
      </c>
      <c r="AE441" s="3">
        <f t="shared" si="10"/>
        <v>-1</v>
      </c>
      <c r="AF441" s="3">
        <f t="shared" si="11"/>
        <v>-2</v>
      </c>
      <c r="AG441" s="3">
        <f t="shared" si="12"/>
        <v>-0.8882681564</v>
      </c>
    </row>
    <row r="442">
      <c r="A442" s="1" t="s">
        <v>9</v>
      </c>
      <c r="B442" s="1" t="s">
        <v>638</v>
      </c>
      <c r="C442" s="1" t="s">
        <v>18</v>
      </c>
      <c r="D442" s="1" t="s">
        <v>57</v>
      </c>
      <c r="E442" s="1" t="s">
        <v>147</v>
      </c>
      <c r="F442" s="1" t="s">
        <v>675</v>
      </c>
      <c r="G442" s="1">
        <v>31.5</v>
      </c>
      <c r="H442" s="1" t="s">
        <v>60</v>
      </c>
      <c r="I442" s="1">
        <v>-120.0</v>
      </c>
      <c r="J442" s="1">
        <v>0.0365255247292076</v>
      </c>
      <c r="K442" s="1" t="s">
        <v>61</v>
      </c>
      <c r="L442" s="1" t="s">
        <v>61</v>
      </c>
      <c r="M442" s="1" t="s">
        <v>62</v>
      </c>
      <c r="N442" s="1">
        <v>-113.0</v>
      </c>
      <c r="O442" s="1">
        <v>-0.112443030270802</v>
      </c>
      <c r="P442" s="1" t="s">
        <v>61</v>
      </c>
      <c r="Q442" s="1" t="s">
        <v>61</v>
      </c>
      <c r="R442" s="1">
        <f t="shared" si="1"/>
        <v>0.03652552473</v>
      </c>
      <c r="S442" s="1">
        <f t="shared" si="2"/>
        <v>-120</v>
      </c>
      <c r="T442" s="1">
        <f t="shared" si="3"/>
        <v>1.833333333</v>
      </c>
      <c r="U442" s="1">
        <f t="shared" si="4"/>
        <v>1</v>
      </c>
      <c r="V442" s="3">
        <f t="shared" si="5"/>
        <v>1</v>
      </c>
      <c r="W442" s="3">
        <f t="shared" si="6"/>
        <v>3</v>
      </c>
      <c r="X442" s="3" t="str">
        <f>IFERROR(__xludf.DUMMYFUNCTION("split(B442,"" "")"),"J.")</f>
        <v>J.</v>
      </c>
      <c r="Y442" s="3" t="str">
        <f>IFERROR(__xludf.DUMMYFUNCTION("""COMPUTED_VALUE"""),"Coker")</f>
        <v>Coker</v>
      </c>
      <c r="AA442" s="8">
        <v>41.0</v>
      </c>
      <c r="AB442" s="3">
        <f t="shared" si="7"/>
        <v>1</v>
      </c>
      <c r="AC442" s="3">
        <f t="shared" si="8"/>
        <v>1</v>
      </c>
      <c r="AD442" s="3">
        <f t="shared" si="9"/>
        <v>0.8333333333</v>
      </c>
      <c r="AE442" s="3">
        <f t="shared" si="10"/>
        <v>0.8333333333</v>
      </c>
      <c r="AF442" s="3">
        <f t="shared" si="11"/>
        <v>2.5</v>
      </c>
      <c r="AG442" s="3">
        <f t="shared" si="12"/>
        <v>0.3015873016</v>
      </c>
    </row>
    <row r="443">
      <c r="A443" s="1" t="s">
        <v>9</v>
      </c>
      <c r="B443" s="1" t="s">
        <v>351</v>
      </c>
      <c r="C443" s="1" t="s">
        <v>18</v>
      </c>
      <c r="D443" s="1" t="s">
        <v>57</v>
      </c>
      <c r="E443" s="1" t="s">
        <v>147</v>
      </c>
      <c r="F443" s="1" t="s">
        <v>675</v>
      </c>
      <c r="G443" s="1">
        <v>25.5</v>
      </c>
      <c r="H443" s="1" t="s">
        <v>60</v>
      </c>
      <c r="I443" s="1">
        <v>-119.0</v>
      </c>
      <c r="J443" s="1">
        <v>0.0599848418051648</v>
      </c>
      <c r="K443" s="1" t="s">
        <v>61</v>
      </c>
      <c r="L443" s="1" t="s">
        <v>61</v>
      </c>
      <c r="M443" s="1" t="s">
        <v>62</v>
      </c>
      <c r="N443" s="1">
        <v>-114.0</v>
      </c>
      <c r="O443" s="1">
        <v>-0.136051428061109</v>
      </c>
      <c r="P443" s="1" t="s">
        <v>61</v>
      </c>
      <c r="Q443" s="1" t="s">
        <v>61</v>
      </c>
      <c r="R443" s="1">
        <f t="shared" si="1"/>
        <v>0.05998484181</v>
      </c>
      <c r="S443" s="1">
        <f t="shared" si="2"/>
        <v>-119</v>
      </c>
      <c r="T443" s="1">
        <f t="shared" si="3"/>
        <v>1.840336134</v>
      </c>
      <c r="U443" s="1">
        <f t="shared" si="4"/>
        <v>1</v>
      </c>
      <c r="V443" s="3">
        <f t="shared" si="5"/>
        <v>2</v>
      </c>
      <c r="W443" s="3">
        <f t="shared" si="6"/>
        <v>3</v>
      </c>
      <c r="X443" s="3" t="str">
        <f>IFERROR(__xludf.DUMMYFUNCTION("split(B443,"" "")"),"D.")</f>
        <v>D.</v>
      </c>
      <c r="Y443" s="3" t="str">
        <f>IFERROR(__xludf.DUMMYFUNCTION("""COMPUTED_VALUE"""),"Moore")</f>
        <v>Moore</v>
      </c>
      <c r="AA443" s="8">
        <v>18.0</v>
      </c>
      <c r="AB443" s="3">
        <f t="shared" si="7"/>
        <v>0</v>
      </c>
      <c r="AC443" s="3">
        <f t="shared" si="8"/>
        <v>0</v>
      </c>
      <c r="AD443" s="3">
        <f t="shared" si="9"/>
        <v>1.680672269</v>
      </c>
      <c r="AE443" s="3">
        <f t="shared" si="10"/>
        <v>-2</v>
      </c>
      <c r="AF443" s="3">
        <f t="shared" si="11"/>
        <v>-3</v>
      </c>
      <c r="AG443" s="3">
        <f t="shared" si="12"/>
        <v>-0.2941176471</v>
      </c>
    </row>
    <row r="444">
      <c r="A444" s="1" t="s">
        <v>8</v>
      </c>
      <c r="B444" s="1" t="s">
        <v>342</v>
      </c>
      <c r="C444" s="1" t="s">
        <v>19</v>
      </c>
      <c r="D444" s="1" t="s">
        <v>104</v>
      </c>
      <c r="E444" s="1" t="s">
        <v>71</v>
      </c>
      <c r="F444" s="1" t="s">
        <v>670</v>
      </c>
      <c r="G444" s="1">
        <v>5.5</v>
      </c>
      <c r="H444" s="1" t="s">
        <v>60</v>
      </c>
      <c r="I444" s="1">
        <v>-104.0</v>
      </c>
      <c r="J444" s="1">
        <v>-0.200141188733159</v>
      </c>
      <c r="K444" s="1" t="s">
        <v>61</v>
      </c>
      <c r="L444" s="1" t="s">
        <v>61</v>
      </c>
      <c r="M444" s="1" t="s">
        <v>62</v>
      </c>
      <c r="N444" s="1">
        <v>-128.0</v>
      </c>
      <c r="O444" s="1">
        <v>0.128939171938607</v>
      </c>
      <c r="P444" s="1" t="s">
        <v>61</v>
      </c>
      <c r="Q444" s="1" t="s">
        <v>61</v>
      </c>
      <c r="R444" s="1">
        <f t="shared" si="1"/>
        <v>0.1289391719</v>
      </c>
      <c r="S444" s="1">
        <f t="shared" si="2"/>
        <v>-128</v>
      </c>
      <c r="T444" s="1">
        <f t="shared" si="3"/>
        <v>1.78125</v>
      </c>
      <c r="U444" s="1">
        <f t="shared" si="4"/>
        <v>0</v>
      </c>
      <c r="V444" s="3">
        <f t="shared" si="5"/>
        <v>3</v>
      </c>
      <c r="W444" s="3">
        <f t="shared" si="6"/>
        <v>3</v>
      </c>
      <c r="X444" s="3" t="str">
        <f>IFERROR(__xludf.DUMMYFUNCTION("split(B444,"" "")"),"R.")</f>
        <v>R.</v>
      </c>
      <c r="Y444" s="3" t="str">
        <f>IFERROR(__xludf.DUMMYFUNCTION("""COMPUTED_VALUE"""),"Davis")</f>
        <v>Davis</v>
      </c>
      <c r="AA444" s="8">
        <v>3.0</v>
      </c>
      <c r="AB444" s="3">
        <f t="shared" si="7"/>
        <v>0</v>
      </c>
      <c r="AC444" s="3">
        <f t="shared" si="8"/>
        <v>1</v>
      </c>
      <c r="AD444" s="3">
        <f t="shared" si="9"/>
        <v>2.34375</v>
      </c>
      <c r="AE444" s="3">
        <f t="shared" si="10"/>
        <v>2.34375</v>
      </c>
      <c r="AF444" s="3">
        <f t="shared" si="11"/>
        <v>2.34375</v>
      </c>
      <c r="AG444" s="3">
        <f t="shared" si="12"/>
        <v>0.4545454545</v>
      </c>
    </row>
    <row r="445">
      <c r="A445" s="1" t="s">
        <v>8</v>
      </c>
      <c r="B445" s="1" t="s">
        <v>434</v>
      </c>
      <c r="C445" s="1" t="s">
        <v>21</v>
      </c>
      <c r="D445" s="1" t="s">
        <v>104</v>
      </c>
      <c r="E445" s="1" t="s">
        <v>71</v>
      </c>
      <c r="F445" s="1" t="s">
        <v>670</v>
      </c>
      <c r="G445" s="1">
        <v>5.5</v>
      </c>
      <c r="H445" s="1" t="s">
        <v>60</v>
      </c>
      <c r="I445" s="1">
        <v>-119.0</v>
      </c>
      <c r="J445" s="1">
        <v>-0.19771721871425</v>
      </c>
      <c r="K445" s="1" t="s">
        <v>61</v>
      </c>
      <c r="L445" s="1" t="s">
        <v>61</v>
      </c>
      <c r="M445" s="1" t="s">
        <v>62</v>
      </c>
      <c r="N445" s="1">
        <v>-112.0</v>
      </c>
      <c r="O445" s="1">
        <v>0.126042336821845</v>
      </c>
      <c r="P445" s="1" t="s">
        <v>61</v>
      </c>
      <c r="Q445" s="1" t="s">
        <v>61</v>
      </c>
      <c r="R445" s="1">
        <f t="shared" si="1"/>
        <v>0.1260423368</v>
      </c>
      <c r="S445" s="1">
        <f t="shared" si="2"/>
        <v>-112</v>
      </c>
      <c r="T445" s="1">
        <f t="shared" si="3"/>
        <v>1.892857143</v>
      </c>
      <c r="U445" s="1">
        <f t="shared" si="4"/>
        <v>0</v>
      </c>
      <c r="V445" s="3">
        <f t="shared" si="5"/>
        <v>3</v>
      </c>
      <c r="W445" s="3">
        <f t="shared" si="6"/>
        <v>2</v>
      </c>
      <c r="X445" s="3" t="str">
        <f>IFERROR(__xludf.DUMMYFUNCTION("split(B445,"" "")"),"J.")</f>
        <v>J.</v>
      </c>
      <c r="Y445" s="3" t="str">
        <f>IFERROR(__xludf.DUMMYFUNCTION("""COMPUTED_VALUE"""),"Allen")</f>
        <v>Allen</v>
      </c>
      <c r="AA445" s="8">
        <v>8.0</v>
      </c>
      <c r="AB445" s="3">
        <f t="shared" si="7"/>
        <v>1</v>
      </c>
      <c r="AC445" s="3">
        <f t="shared" si="8"/>
        <v>0</v>
      </c>
      <c r="AD445" s="3">
        <f t="shared" si="9"/>
        <v>2.678571429</v>
      </c>
      <c r="AE445" s="3">
        <f t="shared" si="10"/>
        <v>-3</v>
      </c>
      <c r="AF445" s="3">
        <f t="shared" si="11"/>
        <v>-2</v>
      </c>
      <c r="AG445" s="3">
        <f t="shared" si="12"/>
        <v>-0.4545454545</v>
      </c>
    </row>
    <row r="446">
      <c r="A446" s="1" t="s">
        <v>12</v>
      </c>
      <c r="B446" s="1" t="s">
        <v>235</v>
      </c>
      <c r="C446" s="1" t="s">
        <v>20</v>
      </c>
      <c r="D446" s="1" t="s">
        <v>104</v>
      </c>
      <c r="E446" s="1" t="s">
        <v>71</v>
      </c>
      <c r="F446" s="1" t="s">
        <v>670</v>
      </c>
      <c r="G446" s="1">
        <v>4.5</v>
      </c>
      <c r="H446" s="1" t="s">
        <v>60</v>
      </c>
      <c r="I446" s="1">
        <v>-155.0</v>
      </c>
      <c r="J446" s="1">
        <v>-0.180282352941176</v>
      </c>
      <c r="K446" s="1" t="s">
        <v>61</v>
      </c>
      <c r="L446" s="1" t="s">
        <v>61</v>
      </c>
      <c r="M446" s="1" t="s">
        <v>62</v>
      </c>
      <c r="N446" s="1">
        <v>118.0</v>
      </c>
      <c r="O446" s="1">
        <v>0.113730275229357</v>
      </c>
      <c r="P446" s="1" t="s">
        <v>61</v>
      </c>
      <c r="Q446" s="1" t="s">
        <v>61</v>
      </c>
      <c r="R446" s="1">
        <f t="shared" si="1"/>
        <v>0.1137302752</v>
      </c>
      <c r="S446" s="1">
        <f t="shared" si="2"/>
        <v>118</v>
      </c>
      <c r="T446" s="1">
        <f t="shared" si="3"/>
        <v>2.18</v>
      </c>
      <c r="U446" s="1">
        <f t="shared" si="4"/>
        <v>0</v>
      </c>
      <c r="V446" s="3">
        <f t="shared" si="5"/>
        <v>3</v>
      </c>
      <c r="W446" s="3">
        <f t="shared" si="6"/>
        <v>1</v>
      </c>
      <c r="X446" s="3" t="str">
        <f>IFERROR(__xludf.DUMMYFUNCTION("split(B446,"" "")"),"D.")</f>
        <v>D.</v>
      </c>
      <c r="Y446" s="3" t="str">
        <f>IFERROR(__xludf.DUMMYFUNCTION("""COMPUTED_VALUE"""),"Kincaid")</f>
        <v>Kincaid</v>
      </c>
      <c r="AA446" s="8">
        <v>2.0</v>
      </c>
      <c r="AB446" s="3">
        <f t="shared" si="7"/>
        <v>0</v>
      </c>
      <c r="AC446" s="3">
        <f t="shared" si="8"/>
        <v>1</v>
      </c>
      <c r="AD446" s="3">
        <f t="shared" si="9"/>
        <v>3.54</v>
      </c>
      <c r="AE446" s="3">
        <f t="shared" si="10"/>
        <v>3.54</v>
      </c>
      <c r="AF446" s="3">
        <f t="shared" si="11"/>
        <v>1.18</v>
      </c>
      <c r="AG446" s="3">
        <f t="shared" si="12"/>
        <v>0.5555555556</v>
      </c>
    </row>
    <row r="447">
      <c r="A447" s="1" t="s">
        <v>8</v>
      </c>
      <c r="B447" s="1" t="s">
        <v>458</v>
      </c>
      <c r="C447" s="1" t="s">
        <v>19</v>
      </c>
      <c r="D447" s="1" t="s">
        <v>104</v>
      </c>
      <c r="E447" s="1" t="s">
        <v>71</v>
      </c>
      <c r="F447" s="1" t="s">
        <v>670</v>
      </c>
      <c r="G447" s="1">
        <v>14.5</v>
      </c>
      <c r="H447" s="1" t="s">
        <v>60</v>
      </c>
      <c r="I447" s="1">
        <v>-126.0</v>
      </c>
      <c r="J447" s="1">
        <v>-0.148017878469026</v>
      </c>
      <c r="K447" s="1" t="s">
        <v>61</v>
      </c>
      <c r="L447" s="1" t="s">
        <v>61</v>
      </c>
      <c r="M447" s="1" t="s">
        <v>62</v>
      </c>
      <c r="N447" s="1">
        <v>-105.0</v>
      </c>
      <c r="O447" s="1">
        <v>0.0782999637107316</v>
      </c>
      <c r="P447" s="1" t="s">
        <v>61</v>
      </c>
      <c r="Q447" s="1" t="s">
        <v>61</v>
      </c>
      <c r="R447" s="1">
        <f t="shared" si="1"/>
        <v>0.07829996371</v>
      </c>
      <c r="S447" s="1">
        <f t="shared" si="2"/>
        <v>-105</v>
      </c>
      <c r="T447" s="1">
        <f t="shared" si="3"/>
        <v>1.952380952</v>
      </c>
      <c r="U447" s="1">
        <f t="shared" si="4"/>
        <v>0</v>
      </c>
      <c r="V447" s="3">
        <f t="shared" si="5"/>
        <v>2</v>
      </c>
      <c r="W447" s="3">
        <f t="shared" si="6"/>
        <v>2</v>
      </c>
      <c r="X447" s="3" t="str">
        <f>IFERROR(__xludf.DUMMYFUNCTION("split(B447,"" "")"),"J.")</f>
        <v>J.</v>
      </c>
      <c r="Y447" s="3" t="str">
        <f>IFERROR(__xludf.DUMMYFUNCTION("""COMPUTED_VALUE"""),"Cook")</f>
        <v>Cook</v>
      </c>
      <c r="AA447" s="8">
        <v>19.0</v>
      </c>
      <c r="AB447" s="3">
        <f t="shared" si="7"/>
        <v>1</v>
      </c>
      <c r="AC447" s="3">
        <f t="shared" si="8"/>
        <v>0</v>
      </c>
      <c r="AD447" s="3">
        <f t="shared" si="9"/>
        <v>1.904761905</v>
      </c>
      <c r="AE447" s="3">
        <f t="shared" si="10"/>
        <v>-2</v>
      </c>
      <c r="AF447" s="3">
        <f t="shared" si="11"/>
        <v>-2</v>
      </c>
      <c r="AG447" s="3">
        <f t="shared" si="12"/>
        <v>-0.3103448276</v>
      </c>
    </row>
    <row r="448">
      <c r="A448" s="1" t="s">
        <v>10</v>
      </c>
      <c r="B448" s="1" t="s">
        <v>458</v>
      </c>
      <c r="C448" s="1" t="s">
        <v>19</v>
      </c>
      <c r="D448" s="1" t="s">
        <v>104</v>
      </c>
      <c r="E448" s="1" t="s">
        <v>71</v>
      </c>
      <c r="F448" s="1" t="s">
        <v>670</v>
      </c>
      <c r="G448" s="1">
        <v>66.5</v>
      </c>
      <c r="H448" s="1" t="s">
        <v>60</v>
      </c>
      <c r="I448" s="1">
        <v>-127.0</v>
      </c>
      <c r="J448" s="1">
        <v>-0.144497969657203</v>
      </c>
      <c r="K448" s="1" t="s">
        <v>61</v>
      </c>
      <c r="L448" s="1" t="s">
        <v>61</v>
      </c>
      <c r="M448" s="1" t="s">
        <v>62</v>
      </c>
      <c r="N448" s="1">
        <v>-107.0</v>
      </c>
      <c r="O448" s="1">
        <v>0.0681398869243333</v>
      </c>
      <c r="P448" s="1" t="s">
        <v>61</v>
      </c>
      <c r="Q448" s="1" t="s">
        <v>61</v>
      </c>
      <c r="R448" s="1">
        <f t="shared" si="1"/>
        <v>0.06813988692</v>
      </c>
      <c r="S448" s="1">
        <f t="shared" si="2"/>
        <v>-107</v>
      </c>
      <c r="T448" s="1">
        <f t="shared" si="3"/>
        <v>1.934579439</v>
      </c>
      <c r="U448" s="1">
        <f t="shared" si="4"/>
        <v>0</v>
      </c>
      <c r="V448" s="3">
        <f t="shared" si="5"/>
        <v>2</v>
      </c>
      <c r="W448" s="3">
        <f t="shared" si="6"/>
        <v>2</v>
      </c>
      <c r="X448" s="3" t="str">
        <f>IFERROR(__xludf.DUMMYFUNCTION("split(B448,"" "")"),"J.")</f>
        <v>J.</v>
      </c>
      <c r="Y448" s="3" t="str">
        <f>IFERROR(__xludf.DUMMYFUNCTION("""COMPUTED_VALUE"""),"Cook")</f>
        <v>Cook</v>
      </c>
      <c r="AA448" s="8">
        <v>80.0</v>
      </c>
      <c r="AB448" s="3">
        <f t="shared" si="7"/>
        <v>1</v>
      </c>
      <c r="AC448" s="3">
        <f t="shared" si="8"/>
        <v>0</v>
      </c>
      <c r="AD448" s="3">
        <f t="shared" si="9"/>
        <v>1.869158879</v>
      </c>
      <c r="AE448" s="3">
        <f t="shared" si="10"/>
        <v>-2</v>
      </c>
      <c r="AF448" s="3">
        <f t="shared" si="11"/>
        <v>-2</v>
      </c>
      <c r="AG448" s="3">
        <f t="shared" si="12"/>
        <v>-0.2030075188</v>
      </c>
    </row>
    <row r="449">
      <c r="A449" s="1" t="s">
        <v>12</v>
      </c>
      <c r="B449" s="1" t="s">
        <v>458</v>
      </c>
      <c r="C449" s="1" t="s">
        <v>19</v>
      </c>
      <c r="D449" s="1" t="s">
        <v>104</v>
      </c>
      <c r="E449" s="1" t="s">
        <v>71</v>
      </c>
      <c r="F449" s="1" t="s">
        <v>670</v>
      </c>
      <c r="G449" s="1">
        <v>2.5</v>
      </c>
      <c r="H449" s="1" t="s">
        <v>60</v>
      </c>
      <c r="I449" s="1">
        <v>108.0</v>
      </c>
      <c r="J449" s="1">
        <v>-0.132067212986538</v>
      </c>
      <c r="K449" s="1" t="s">
        <v>61</v>
      </c>
      <c r="L449" s="1" t="s">
        <v>61</v>
      </c>
      <c r="M449" s="1" t="s">
        <v>62</v>
      </c>
      <c r="N449" s="1">
        <v>-142.0</v>
      </c>
      <c r="O449" s="1">
        <v>0.0645208602223139</v>
      </c>
      <c r="P449" s="1" t="s">
        <v>61</v>
      </c>
      <c r="Q449" s="1" t="s">
        <v>61</v>
      </c>
      <c r="R449" s="1">
        <f t="shared" si="1"/>
        <v>0.06452086022</v>
      </c>
      <c r="S449" s="1">
        <f t="shared" si="2"/>
        <v>-142</v>
      </c>
      <c r="T449" s="1">
        <f t="shared" si="3"/>
        <v>1.704225352</v>
      </c>
      <c r="U449" s="1">
        <f t="shared" si="4"/>
        <v>0</v>
      </c>
      <c r="V449" s="3">
        <f t="shared" si="5"/>
        <v>2</v>
      </c>
      <c r="W449" s="3">
        <f t="shared" si="6"/>
        <v>3</v>
      </c>
      <c r="X449" s="3" t="str">
        <f>IFERROR(__xludf.DUMMYFUNCTION("split(B449,"" "")"),"J.")</f>
        <v>J.</v>
      </c>
      <c r="Y449" s="3" t="str">
        <f>IFERROR(__xludf.DUMMYFUNCTION("""COMPUTED_VALUE"""),"Cook")</f>
        <v>Cook</v>
      </c>
      <c r="AA449" s="8">
        <v>1.0</v>
      </c>
      <c r="AB449" s="3">
        <f t="shared" si="7"/>
        <v>0</v>
      </c>
      <c r="AC449" s="3">
        <f t="shared" si="8"/>
        <v>1</v>
      </c>
      <c r="AD449" s="3">
        <f t="shared" si="9"/>
        <v>1.408450704</v>
      </c>
      <c r="AE449" s="3">
        <f t="shared" si="10"/>
        <v>1.408450704</v>
      </c>
      <c r="AF449" s="3">
        <f t="shared" si="11"/>
        <v>2.112676056</v>
      </c>
      <c r="AG449" s="3">
        <f t="shared" si="12"/>
        <v>0.6</v>
      </c>
    </row>
    <row r="450">
      <c r="A450" s="1" t="s">
        <v>12</v>
      </c>
      <c r="B450" s="1" t="s">
        <v>459</v>
      </c>
      <c r="C450" s="1" t="s">
        <v>20</v>
      </c>
      <c r="D450" s="1" t="s">
        <v>104</v>
      </c>
      <c r="E450" s="1" t="s">
        <v>71</v>
      </c>
      <c r="F450" s="1" t="s">
        <v>670</v>
      </c>
      <c r="G450" s="1">
        <v>1.5</v>
      </c>
      <c r="H450" s="1" t="s">
        <v>60</v>
      </c>
      <c r="I450" s="1">
        <v>133.0</v>
      </c>
      <c r="J450" s="1">
        <v>-0.127329354087982</v>
      </c>
      <c r="K450" s="1" t="s">
        <v>61</v>
      </c>
      <c r="L450" s="1" t="s">
        <v>61</v>
      </c>
      <c r="M450" s="1" t="s">
        <v>62</v>
      </c>
      <c r="N450" s="1">
        <v>-175.0</v>
      </c>
      <c r="O450" s="1">
        <v>0.0617863134090909</v>
      </c>
      <c r="P450" s="1" t="s">
        <v>61</v>
      </c>
      <c r="Q450" s="1" t="s">
        <v>61</v>
      </c>
      <c r="R450" s="1">
        <f t="shared" si="1"/>
        <v>0.06178631341</v>
      </c>
      <c r="S450" s="1">
        <f t="shared" si="2"/>
        <v>-175</v>
      </c>
      <c r="T450" s="1">
        <f t="shared" si="3"/>
        <v>1.571428571</v>
      </c>
      <c r="U450" s="1">
        <f t="shared" si="4"/>
        <v>0</v>
      </c>
      <c r="V450" s="3">
        <f t="shared" si="5"/>
        <v>2</v>
      </c>
      <c r="W450" s="3">
        <f t="shared" si="6"/>
        <v>3</v>
      </c>
      <c r="X450" s="3" t="str">
        <f>IFERROR(__xludf.DUMMYFUNCTION("split(B450,"" "")"),"D.")</f>
        <v>D.</v>
      </c>
      <c r="Y450" s="3" t="str">
        <f>IFERROR(__xludf.DUMMYFUNCTION("""COMPUTED_VALUE"""),"Knox")</f>
        <v>Knox</v>
      </c>
      <c r="AA450" s="8">
        <v>2.0</v>
      </c>
      <c r="AB450" s="3">
        <f t="shared" si="7"/>
        <v>1</v>
      </c>
      <c r="AC450" s="3">
        <f t="shared" si="8"/>
        <v>0</v>
      </c>
      <c r="AD450" s="3">
        <f t="shared" si="9"/>
        <v>1.142857143</v>
      </c>
      <c r="AE450" s="3">
        <f t="shared" si="10"/>
        <v>-2</v>
      </c>
      <c r="AF450" s="3">
        <f t="shared" si="11"/>
        <v>-3</v>
      </c>
      <c r="AG450" s="3">
        <f t="shared" si="12"/>
        <v>-0.3333333333</v>
      </c>
    </row>
    <row r="451">
      <c r="A451" s="1" t="s">
        <v>9</v>
      </c>
      <c r="B451" s="1" t="s">
        <v>458</v>
      </c>
      <c r="C451" s="1" t="s">
        <v>19</v>
      </c>
      <c r="D451" s="1" t="s">
        <v>104</v>
      </c>
      <c r="E451" s="1" t="s">
        <v>71</v>
      </c>
      <c r="F451" s="1" t="s">
        <v>670</v>
      </c>
      <c r="G451" s="1">
        <v>84.5</v>
      </c>
      <c r="H451" s="1" t="s">
        <v>60</v>
      </c>
      <c r="I451" s="1">
        <v>-118.0</v>
      </c>
      <c r="J451" s="1">
        <v>-0.124875782236291</v>
      </c>
      <c r="K451" s="1" t="s">
        <v>61</v>
      </c>
      <c r="L451" s="1" t="s">
        <v>61</v>
      </c>
      <c r="M451" s="1" t="s">
        <v>62</v>
      </c>
      <c r="N451" s="1">
        <v>-113.0</v>
      </c>
      <c r="O451" s="1">
        <v>0.0530735971647322</v>
      </c>
      <c r="P451" s="1" t="s">
        <v>61</v>
      </c>
      <c r="Q451" s="1" t="s">
        <v>61</v>
      </c>
      <c r="R451" s="1">
        <f t="shared" si="1"/>
        <v>0.05307359716</v>
      </c>
      <c r="S451" s="1">
        <f t="shared" si="2"/>
        <v>-113</v>
      </c>
      <c r="T451" s="1">
        <f t="shared" si="3"/>
        <v>1.884955752</v>
      </c>
      <c r="U451" s="1">
        <f t="shared" si="4"/>
        <v>0</v>
      </c>
      <c r="V451" s="3">
        <f t="shared" si="5"/>
        <v>2</v>
      </c>
      <c r="W451" s="3">
        <f t="shared" si="6"/>
        <v>2</v>
      </c>
      <c r="X451" s="3" t="str">
        <f>IFERROR(__xludf.DUMMYFUNCTION("split(B451,"" "")"),"J.")</f>
        <v>J.</v>
      </c>
      <c r="Y451" s="3" t="str">
        <f>IFERROR(__xludf.DUMMYFUNCTION("""COMPUTED_VALUE"""),"Cook")</f>
        <v>Cook</v>
      </c>
      <c r="AA451" s="8">
        <v>85.0</v>
      </c>
      <c r="AB451" s="3">
        <f t="shared" si="7"/>
        <v>1</v>
      </c>
      <c r="AC451" s="3">
        <f t="shared" si="8"/>
        <v>0</v>
      </c>
      <c r="AD451" s="3">
        <f t="shared" si="9"/>
        <v>1.769911504</v>
      </c>
      <c r="AE451" s="3">
        <f t="shared" si="10"/>
        <v>-2</v>
      </c>
      <c r="AF451" s="3">
        <f t="shared" si="11"/>
        <v>-2</v>
      </c>
      <c r="AG451" s="3">
        <f t="shared" si="12"/>
        <v>-0.005917159763</v>
      </c>
    </row>
    <row r="452">
      <c r="A452" s="1" t="s">
        <v>10</v>
      </c>
      <c r="B452" s="1" t="s">
        <v>342</v>
      </c>
      <c r="C452" s="1" t="s">
        <v>19</v>
      </c>
      <c r="D452" s="1" t="s">
        <v>104</v>
      </c>
      <c r="E452" s="1" t="s">
        <v>71</v>
      </c>
      <c r="F452" s="1" t="s">
        <v>670</v>
      </c>
      <c r="G452" s="1">
        <v>21.5</v>
      </c>
      <c r="H452" s="1" t="s">
        <v>60</v>
      </c>
      <c r="I452" s="1">
        <v>-114.0</v>
      </c>
      <c r="J452" s="1">
        <v>-0.112907671003038</v>
      </c>
      <c r="K452" s="1" t="s">
        <v>61</v>
      </c>
      <c r="L452" s="1" t="s">
        <v>61</v>
      </c>
      <c r="M452" s="1" t="s">
        <v>62</v>
      </c>
      <c r="N452" s="1">
        <v>-115.0</v>
      </c>
      <c r="O452" s="1">
        <v>0.0453711527155707</v>
      </c>
      <c r="P452" s="1" t="s">
        <v>61</v>
      </c>
      <c r="Q452" s="1" t="s">
        <v>61</v>
      </c>
      <c r="R452" s="1">
        <f t="shared" si="1"/>
        <v>0.04537115272</v>
      </c>
      <c r="S452" s="1">
        <f t="shared" si="2"/>
        <v>-115</v>
      </c>
      <c r="T452" s="1">
        <f t="shared" si="3"/>
        <v>1.869565217</v>
      </c>
      <c r="U452" s="1">
        <f t="shared" si="4"/>
        <v>0</v>
      </c>
      <c r="V452" s="3">
        <f t="shared" si="5"/>
        <v>1</v>
      </c>
      <c r="W452" s="3">
        <f t="shared" si="6"/>
        <v>2</v>
      </c>
      <c r="X452" s="3" t="str">
        <f>IFERROR(__xludf.DUMMYFUNCTION("split(B452,"" "")"),"R.")</f>
        <v>R.</v>
      </c>
      <c r="Y452" s="3" t="str">
        <f>IFERROR(__xludf.DUMMYFUNCTION("""COMPUTED_VALUE"""),"Davis")</f>
        <v>Davis</v>
      </c>
      <c r="AA452" s="8">
        <v>6.0</v>
      </c>
      <c r="AB452" s="3">
        <f t="shared" si="7"/>
        <v>0</v>
      </c>
      <c r="AC452" s="3">
        <f t="shared" si="8"/>
        <v>1</v>
      </c>
      <c r="AD452" s="3">
        <f t="shared" si="9"/>
        <v>0.8695652174</v>
      </c>
      <c r="AE452" s="3">
        <f t="shared" si="10"/>
        <v>0.8695652174</v>
      </c>
      <c r="AF452" s="3">
        <f t="shared" si="11"/>
        <v>1.739130435</v>
      </c>
      <c r="AG452" s="3">
        <f t="shared" si="12"/>
        <v>0.7209302326</v>
      </c>
    </row>
    <row r="453">
      <c r="A453" s="1" t="s">
        <v>11</v>
      </c>
      <c r="B453" s="1" t="s">
        <v>235</v>
      </c>
      <c r="C453" s="1" t="s">
        <v>20</v>
      </c>
      <c r="D453" s="1" t="s">
        <v>104</v>
      </c>
      <c r="E453" s="1" t="s">
        <v>71</v>
      </c>
      <c r="F453" s="1" t="s">
        <v>670</v>
      </c>
      <c r="G453" s="1">
        <v>48.5</v>
      </c>
      <c r="H453" s="1" t="s">
        <v>60</v>
      </c>
      <c r="I453" s="1">
        <v>-115.0</v>
      </c>
      <c r="J453" s="1">
        <v>-0.10901856083093</v>
      </c>
      <c r="K453" s="1" t="s">
        <v>61</v>
      </c>
      <c r="L453" s="1" t="s">
        <v>61</v>
      </c>
      <c r="M453" s="1" t="s">
        <v>62</v>
      </c>
      <c r="N453" s="1">
        <v>-114.0</v>
      </c>
      <c r="O453" s="1">
        <v>0.0414579301103552</v>
      </c>
      <c r="P453" s="1" t="s">
        <v>61</v>
      </c>
      <c r="Q453" s="1" t="s">
        <v>61</v>
      </c>
      <c r="R453" s="1">
        <f t="shared" si="1"/>
        <v>0.04145793011</v>
      </c>
      <c r="S453" s="1">
        <f t="shared" si="2"/>
        <v>-114</v>
      </c>
      <c r="T453" s="1">
        <f t="shared" si="3"/>
        <v>1.877192982</v>
      </c>
      <c r="U453" s="1">
        <f t="shared" si="4"/>
        <v>0</v>
      </c>
      <c r="V453" s="3">
        <f t="shared" si="5"/>
        <v>1</v>
      </c>
      <c r="W453" s="3">
        <f t="shared" si="6"/>
        <v>2</v>
      </c>
      <c r="X453" s="3" t="str">
        <f>IFERROR(__xludf.DUMMYFUNCTION("split(B453,"" "")"),"D.")</f>
        <v>D.</v>
      </c>
      <c r="Y453" s="3" t="str">
        <f>IFERROR(__xludf.DUMMYFUNCTION("""COMPUTED_VALUE"""),"Kincaid")</f>
        <v>Kincaid</v>
      </c>
      <c r="AA453" s="8">
        <v>24.0</v>
      </c>
      <c r="AB453" s="3">
        <f t="shared" si="7"/>
        <v>0</v>
      </c>
      <c r="AC453" s="3">
        <f t="shared" si="8"/>
        <v>1</v>
      </c>
      <c r="AD453" s="3">
        <f t="shared" si="9"/>
        <v>0.8771929825</v>
      </c>
      <c r="AE453" s="3">
        <f t="shared" si="10"/>
        <v>0.8771929825</v>
      </c>
      <c r="AF453" s="3">
        <f t="shared" si="11"/>
        <v>1.754385965</v>
      </c>
      <c r="AG453" s="3">
        <f t="shared" si="12"/>
        <v>0.5051546392</v>
      </c>
    </row>
    <row r="454">
      <c r="A454" s="1" t="s">
        <v>12</v>
      </c>
      <c r="B454" s="1" t="s">
        <v>103</v>
      </c>
      <c r="C454" s="1" t="s">
        <v>18</v>
      </c>
      <c r="D454" s="1" t="s">
        <v>104</v>
      </c>
      <c r="E454" s="1" t="s">
        <v>71</v>
      </c>
      <c r="F454" s="1" t="s">
        <v>670</v>
      </c>
      <c r="G454" s="1">
        <v>2.5</v>
      </c>
      <c r="H454" s="1" t="s">
        <v>60</v>
      </c>
      <c r="I454" s="1">
        <v>129.0</v>
      </c>
      <c r="J454" s="1">
        <v>-0.0921791305414847</v>
      </c>
      <c r="K454" s="1" t="s">
        <v>61</v>
      </c>
      <c r="L454" s="1" t="s">
        <v>61</v>
      </c>
      <c r="M454" s="1" t="s">
        <v>62</v>
      </c>
      <c r="N454" s="1">
        <v>-170.0</v>
      </c>
      <c r="O454" s="1">
        <v>0.025868031925926</v>
      </c>
      <c r="P454" s="1" t="s">
        <v>61</v>
      </c>
      <c r="Q454" s="1" t="s">
        <v>61</v>
      </c>
      <c r="R454" s="1">
        <f t="shared" si="1"/>
        <v>0.02586803193</v>
      </c>
      <c r="S454" s="1">
        <f t="shared" si="2"/>
        <v>-170</v>
      </c>
      <c r="T454" s="1">
        <f t="shared" si="3"/>
        <v>1.588235294</v>
      </c>
      <c r="U454" s="1">
        <f t="shared" si="4"/>
        <v>0</v>
      </c>
      <c r="V454" s="3">
        <f t="shared" si="5"/>
        <v>1</v>
      </c>
      <c r="W454" s="3">
        <f t="shared" si="6"/>
        <v>3</v>
      </c>
      <c r="X454" s="3" t="str">
        <f>IFERROR(__xludf.DUMMYFUNCTION("split(B454,"" "")"),"C.")</f>
        <v>C.</v>
      </c>
      <c r="Y454" s="3" t="str">
        <f>IFERROR(__xludf.DUMMYFUNCTION("""COMPUTED_VALUE"""),"Samuel")</f>
        <v>Samuel</v>
      </c>
      <c r="AA454" s="8">
        <v>4.0</v>
      </c>
      <c r="AB454" s="3">
        <f t="shared" si="7"/>
        <v>1</v>
      </c>
      <c r="AC454" s="3">
        <f t="shared" si="8"/>
        <v>0</v>
      </c>
      <c r="AD454" s="3">
        <f t="shared" si="9"/>
        <v>0.5882352941</v>
      </c>
      <c r="AE454" s="3">
        <f t="shared" si="10"/>
        <v>-1</v>
      </c>
      <c r="AF454" s="3">
        <f t="shared" si="11"/>
        <v>-3</v>
      </c>
      <c r="AG454" s="3">
        <f t="shared" si="12"/>
        <v>-0.6</v>
      </c>
    </row>
    <row r="455">
      <c r="A455" s="1" t="s">
        <v>16</v>
      </c>
      <c r="B455" s="1" t="s">
        <v>434</v>
      </c>
      <c r="C455" s="1" t="s">
        <v>21</v>
      </c>
      <c r="D455" s="1" t="s">
        <v>104</v>
      </c>
      <c r="E455" s="1" t="s">
        <v>71</v>
      </c>
      <c r="F455" s="1" t="s">
        <v>670</v>
      </c>
      <c r="G455" s="1">
        <v>31.5</v>
      </c>
      <c r="H455" s="1" t="s">
        <v>60</v>
      </c>
      <c r="I455" s="1">
        <v>-119.0</v>
      </c>
      <c r="J455" s="1">
        <v>-0.0862876712328766</v>
      </c>
      <c r="K455" s="1" t="s">
        <v>61</v>
      </c>
      <c r="L455" s="1" t="s">
        <v>61</v>
      </c>
      <c r="M455" s="1" t="s">
        <v>62</v>
      </c>
      <c r="N455" s="1">
        <v>-110.0</v>
      </c>
      <c r="O455" s="1">
        <v>0.0190857142857141</v>
      </c>
      <c r="P455" s="1" t="s">
        <v>61</v>
      </c>
      <c r="Q455" s="1" t="s">
        <v>61</v>
      </c>
      <c r="R455" s="1">
        <f t="shared" si="1"/>
        <v>0.01908571429</v>
      </c>
      <c r="S455" s="1">
        <f t="shared" si="2"/>
        <v>-110</v>
      </c>
      <c r="T455" s="1">
        <f t="shared" si="3"/>
        <v>1.909090909</v>
      </c>
      <c r="U455" s="1">
        <f t="shared" si="4"/>
        <v>0</v>
      </c>
      <c r="V455" s="3">
        <f t="shared" si="5"/>
        <v>1</v>
      </c>
      <c r="W455" s="3">
        <f t="shared" si="6"/>
        <v>2</v>
      </c>
      <c r="X455" s="3" t="str">
        <f>IFERROR(__xludf.DUMMYFUNCTION("split(B455,"" "")"),"J.")</f>
        <v>J.</v>
      </c>
      <c r="Y455" s="3" t="str">
        <f>IFERROR(__xludf.DUMMYFUNCTION("""COMPUTED_VALUE"""),"Allen")</f>
        <v>Allen</v>
      </c>
      <c r="AA455" s="8">
        <v>37.0</v>
      </c>
      <c r="AB455" s="3">
        <f t="shared" si="7"/>
        <v>1</v>
      </c>
      <c r="AC455" s="3">
        <f t="shared" si="8"/>
        <v>0</v>
      </c>
      <c r="AD455" s="3">
        <f t="shared" si="9"/>
        <v>0.9090909091</v>
      </c>
      <c r="AE455" s="3">
        <f t="shared" si="10"/>
        <v>-1</v>
      </c>
      <c r="AF455" s="3">
        <f t="shared" si="11"/>
        <v>-2</v>
      </c>
      <c r="AG455" s="3">
        <f t="shared" si="12"/>
        <v>-0.1746031746</v>
      </c>
    </row>
    <row r="456">
      <c r="A456" s="1" t="s">
        <v>12</v>
      </c>
      <c r="B456" s="1" t="s">
        <v>342</v>
      </c>
      <c r="C456" s="1" t="s">
        <v>19</v>
      </c>
      <c r="D456" s="1" t="s">
        <v>104</v>
      </c>
      <c r="E456" s="1" t="s">
        <v>71</v>
      </c>
      <c r="F456" s="1" t="s">
        <v>670</v>
      </c>
      <c r="G456" s="1">
        <v>0.5</v>
      </c>
      <c r="H456" s="1" t="s">
        <v>60</v>
      </c>
      <c r="I456" s="1">
        <v>-154.0</v>
      </c>
      <c r="J456" s="1">
        <v>-0.082433361188189</v>
      </c>
      <c r="K456" s="1" t="s">
        <v>61</v>
      </c>
      <c r="L456" s="1" t="s">
        <v>61</v>
      </c>
      <c r="M456" s="1" t="s">
        <v>62</v>
      </c>
      <c r="N456" s="1">
        <v>118.0</v>
      </c>
      <c r="O456" s="1">
        <v>0.0174241914761467</v>
      </c>
      <c r="P456" s="1" t="s">
        <v>61</v>
      </c>
      <c r="Q456" s="1" t="s">
        <v>61</v>
      </c>
      <c r="R456" s="1">
        <f t="shared" si="1"/>
        <v>0.01742419148</v>
      </c>
      <c r="S456" s="1">
        <f t="shared" si="2"/>
        <v>118</v>
      </c>
      <c r="T456" s="1">
        <f t="shared" si="3"/>
        <v>2.18</v>
      </c>
      <c r="U456" s="1">
        <f t="shared" si="4"/>
        <v>0</v>
      </c>
      <c r="V456" s="3">
        <f t="shared" si="5"/>
        <v>1</v>
      </c>
      <c r="W456" s="3">
        <f t="shared" si="6"/>
        <v>1</v>
      </c>
      <c r="X456" s="3" t="str">
        <f>IFERROR(__xludf.DUMMYFUNCTION("split(B456,"" "")"),"R.")</f>
        <v>R.</v>
      </c>
      <c r="Y456" s="3" t="str">
        <f>IFERROR(__xludf.DUMMYFUNCTION("""COMPUTED_VALUE"""),"Davis")</f>
        <v>Davis</v>
      </c>
      <c r="AA456" s="8">
        <v>0.0</v>
      </c>
      <c r="AB456" s="3">
        <f t="shared" si="7"/>
        <v>0</v>
      </c>
      <c r="AC456" s="3">
        <f t="shared" si="8"/>
        <v>1</v>
      </c>
      <c r="AD456" s="3">
        <f t="shared" si="9"/>
        <v>1.18</v>
      </c>
      <c r="AE456" s="3">
        <f t="shared" si="10"/>
        <v>1.18</v>
      </c>
      <c r="AF456" s="3">
        <f t="shared" si="11"/>
        <v>1.18</v>
      </c>
      <c r="AG456" s="3">
        <f t="shared" si="12"/>
        <v>1</v>
      </c>
    </row>
    <row r="457">
      <c r="A457" s="1" t="s">
        <v>10</v>
      </c>
      <c r="B457" s="1" t="s">
        <v>434</v>
      </c>
      <c r="C457" s="1" t="s">
        <v>21</v>
      </c>
      <c r="D457" s="1" t="s">
        <v>104</v>
      </c>
      <c r="E457" s="1" t="s">
        <v>71</v>
      </c>
      <c r="F457" s="1" t="s">
        <v>670</v>
      </c>
      <c r="G457" s="1">
        <v>24.5</v>
      </c>
      <c r="H457" s="1" t="s">
        <v>60</v>
      </c>
      <c r="I457" s="1">
        <v>-115.0</v>
      </c>
      <c r="J457" s="1">
        <v>-0.0736761472790008</v>
      </c>
      <c r="K457" s="1" t="s">
        <v>61</v>
      </c>
      <c r="L457" s="1" t="s">
        <v>61</v>
      </c>
      <c r="M457" s="1" t="s">
        <v>62</v>
      </c>
      <c r="N457" s="1">
        <v>-113.0</v>
      </c>
      <c r="O457" s="1">
        <v>0.00827492949029684</v>
      </c>
      <c r="P457" s="1" t="s">
        <v>61</v>
      </c>
      <c r="Q457" s="1" t="s">
        <v>61</v>
      </c>
      <c r="R457" s="1">
        <f t="shared" si="1"/>
        <v>0.00827492949</v>
      </c>
      <c r="S457" s="1">
        <f t="shared" si="2"/>
        <v>-113</v>
      </c>
      <c r="T457" s="1">
        <f t="shared" si="3"/>
        <v>1.884955752</v>
      </c>
      <c r="U457" s="1">
        <f t="shared" si="4"/>
        <v>0</v>
      </c>
      <c r="V457" s="3">
        <f t="shared" si="5"/>
        <v>1</v>
      </c>
      <c r="W457" s="3">
        <f t="shared" si="6"/>
        <v>2</v>
      </c>
      <c r="X457" s="3" t="str">
        <f>IFERROR(__xludf.DUMMYFUNCTION("split(B457,"" "")"),"J.")</f>
        <v>J.</v>
      </c>
      <c r="Y457" s="3" t="str">
        <f>IFERROR(__xludf.DUMMYFUNCTION("""COMPUTED_VALUE"""),"Allen")</f>
        <v>Allen</v>
      </c>
      <c r="AA457" s="8">
        <v>50.0</v>
      </c>
      <c r="AB457" s="3">
        <f t="shared" si="7"/>
        <v>1</v>
      </c>
      <c r="AC457" s="3">
        <f t="shared" si="8"/>
        <v>0</v>
      </c>
      <c r="AD457" s="3">
        <f t="shared" si="9"/>
        <v>0.8849557522</v>
      </c>
      <c r="AE457" s="3">
        <f t="shared" si="10"/>
        <v>-1</v>
      </c>
      <c r="AF457" s="3">
        <f t="shared" si="11"/>
        <v>-2</v>
      </c>
      <c r="AG457" s="3">
        <f t="shared" si="12"/>
        <v>-1.040816327</v>
      </c>
    </row>
    <row r="458">
      <c r="A458" s="1" t="s">
        <v>11</v>
      </c>
      <c r="B458" s="1" t="s">
        <v>457</v>
      </c>
      <c r="C458" s="1" t="s">
        <v>18</v>
      </c>
      <c r="D458" s="1" t="s">
        <v>104</v>
      </c>
      <c r="E458" s="1" t="s">
        <v>71</v>
      </c>
      <c r="F458" s="1" t="s">
        <v>670</v>
      </c>
      <c r="G458" s="1">
        <v>25.5</v>
      </c>
      <c r="H458" s="1" t="s">
        <v>60</v>
      </c>
      <c r="I458" s="1">
        <v>-114.0</v>
      </c>
      <c r="J458" s="1">
        <v>0.00428358621887847</v>
      </c>
      <c r="K458" s="1" t="s">
        <v>61</v>
      </c>
      <c r="L458" s="1" t="s">
        <v>61</v>
      </c>
      <c r="M458" s="1" t="s">
        <v>62</v>
      </c>
      <c r="N458" s="1">
        <v>-114.0</v>
      </c>
      <c r="O458" s="1">
        <v>-0.0696619949395214</v>
      </c>
      <c r="P458" s="1" t="s">
        <v>61</v>
      </c>
      <c r="Q458" s="1" t="s">
        <v>61</v>
      </c>
      <c r="R458" s="1">
        <f t="shared" si="1"/>
        <v>0.004283586219</v>
      </c>
      <c r="S458" s="1">
        <f t="shared" si="2"/>
        <v>-114</v>
      </c>
      <c r="T458" s="1">
        <f t="shared" si="3"/>
        <v>1.877192982</v>
      </c>
      <c r="U458" s="1">
        <f t="shared" si="4"/>
        <v>1</v>
      </c>
      <c r="V458" s="3">
        <f t="shared" si="5"/>
        <v>1</v>
      </c>
      <c r="W458" s="3">
        <f t="shared" si="6"/>
        <v>2</v>
      </c>
      <c r="X458" s="3" t="str">
        <f>IFERROR(__xludf.DUMMYFUNCTION("split(B458,"" "")"),"M.")</f>
        <v>M.</v>
      </c>
      <c r="Y458" s="3" t="str">
        <f>IFERROR(__xludf.DUMMYFUNCTION("""COMPUTED_VALUE"""),"Hollins")</f>
        <v>Hollins</v>
      </c>
      <c r="AA458" s="8">
        <v>86.0</v>
      </c>
      <c r="AB458" s="3">
        <f t="shared" si="7"/>
        <v>1</v>
      </c>
      <c r="AC458" s="3">
        <f t="shared" si="8"/>
        <v>1</v>
      </c>
      <c r="AD458" s="3">
        <f t="shared" si="9"/>
        <v>0.8771929825</v>
      </c>
      <c r="AE458" s="3">
        <f t="shared" si="10"/>
        <v>0.8771929825</v>
      </c>
      <c r="AF458" s="3">
        <f t="shared" si="11"/>
        <v>1.754385965</v>
      </c>
      <c r="AG458" s="3">
        <f t="shared" si="12"/>
        <v>2.37254902</v>
      </c>
    </row>
    <row r="459">
      <c r="A459" s="1" t="s">
        <v>15</v>
      </c>
      <c r="B459" s="1" t="s">
        <v>434</v>
      </c>
      <c r="C459" s="1" t="s">
        <v>21</v>
      </c>
      <c r="D459" s="1" t="s">
        <v>104</v>
      </c>
      <c r="E459" s="1" t="s">
        <v>71</v>
      </c>
      <c r="F459" s="1" t="s">
        <v>670</v>
      </c>
      <c r="G459" s="1">
        <v>21.5</v>
      </c>
      <c r="H459" s="1" t="s">
        <v>60</v>
      </c>
      <c r="I459" s="1">
        <v>-117.0</v>
      </c>
      <c r="J459" s="1">
        <v>0.0035912442396313</v>
      </c>
      <c r="K459" s="1" t="s">
        <v>61</v>
      </c>
      <c r="L459" s="1" t="s">
        <v>61</v>
      </c>
      <c r="M459" s="1" t="s">
        <v>62</v>
      </c>
      <c r="N459" s="1">
        <v>-112.0</v>
      </c>
      <c r="O459" s="1">
        <v>-0.071043396226415</v>
      </c>
      <c r="P459" s="1" t="s">
        <v>61</v>
      </c>
      <c r="Q459" s="1" t="s">
        <v>61</v>
      </c>
      <c r="R459" s="1">
        <f t="shared" si="1"/>
        <v>0.00359124424</v>
      </c>
      <c r="S459" s="1">
        <f t="shared" si="2"/>
        <v>-117</v>
      </c>
      <c r="T459" s="1">
        <f t="shared" si="3"/>
        <v>1.854700855</v>
      </c>
      <c r="U459" s="1">
        <f t="shared" si="4"/>
        <v>1</v>
      </c>
      <c r="V459" s="3">
        <f t="shared" si="5"/>
        <v>1</v>
      </c>
      <c r="W459" s="3">
        <f t="shared" si="6"/>
        <v>2</v>
      </c>
      <c r="X459" s="3" t="str">
        <f>IFERROR(__xludf.DUMMYFUNCTION("split(B459,"" "")"),"J.")</f>
        <v>J.</v>
      </c>
      <c r="Y459" s="3" t="str">
        <f>IFERROR(__xludf.DUMMYFUNCTION("""COMPUTED_VALUE"""),"Allen")</f>
        <v>Allen</v>
      </c>
      <c r="AA459" s="8">
        <v>22.0</v>
      </c>
      <c r="AB459" s="3">
        <f t="shared" si="7"/>
        <v>1</v>
      </c>
      <c r="AC459" s="3">
        <f t="shared" si="8"/>
        <v>1</v>
      </c>
      <c r="AD459" s="3">
        <f t="shared" si="9"/>
        <v>0.8547008547</v>
      </c>
      <c r="AE459" s="3">
        <f t="shared" si="10"/>
        <v>0.8547008547</v>
      </c>
      <c r="AF459" s="3">
        <f t="shared" si="11"/>
        <v>1.709401709</v>
      </c>
      <c r="AG459" s="3">
        <f t="shared" si="12"/>
        <v>0.02325581395</v>
      </c>
    </row>
    <row r="460">
      <c r="A460" s="1" t="s">
        <v>12</v>
      </c>
      <c r="B460" s="1" t="s">
        <v>189</v>
      </c>
      <c r="C460" s="1" t="s">
        <v>18</v>
      </c>
      <c r="D460" s="1" t="s">
        <v>104</v>
      </c>
      <c r="E460" s="1" t="s">
        <v>71</v>
      </c>
      <c r="F460" s="1" t="s">
        <v>670</v>
      </c>
      <c r="G460" s="1">
        <v>5.5</v>
      </c>
      <c r="H460" s="1" t="s">
        <v>60</v>
      </c>
      <c r="I460" s="1">
        <v>-134.0</v>
      </c>
      <c r="J460" s="1">
        <v>0.0221076923076922</v>
      </c>
      <c r="K460" s="1" t="s">
        <v>61</v>
      </c>
      <c r="L460" s="1" t="s">
        <v>61</v>
      </c>
      <c r="M460" s="1" t="s">
        <v>62</v>
      </c>
      <c r="N460" s="1">
        <v>100.0</v>
      </c>
      <c r="O460" s="1">
        <v>-0.09475</v>
      </c>
      <c r="P460" s="1" t="s">
        <v>61</v>
      </c>
      <c r="Q460" s="1" t="s">
        <v>61</v>
      </c>
      <c r="R460" s="1">
        <f t="shared" si="1"/>
        <v>0.02210769231</v>
      </c>
      <c r="S460" s="1">
        <f t="shared" si="2"/>
        <v>-134</v>
      </c>
      <c r="T460" s="1">
        <f t="shared" si="3"/>
        <v>1.746268657</v>
      </c>
      <c r="U460" s="1">
        <f t="shared" si="4"/>
        <v>1</v>
      </c>
      <c r="V460" s="3">
        <f t="shared" si="5"/>
        <v>1</v>
      </c>
      <c r="W460" s="3">
        <f t="shared" si="6"/>
        <v>3</v>
      </c>
      <c r="X460" s="3" t="str">
        <f>IFERROR(__xludf.DUMMYFUNCTION("split(B460,"" "")"),"K.")</f>
        <v>K.</v>
      </c>
      <c r="Y460" s="3" t="str">
        <f>IFERROR(__xludf.DUMMYFUNCTION("""COMPUTED_VALUE"""),"Shakir")</f>
        <v>Shakir</v>
      </c>
      <c r="AA460" s="8">
        <v>6.0</v>
      </c>
      <c r="AB460" s="3">
        <f t="shared" si="7"/>
        <v>1</v>
      </c>
      <c r="AC460" s="3">
        <f t="shared" si="8"/>
        <v>1</v>
      </c>
      <c r="AD460" s="3">
        <f t="shared" si="9"/>
        <v>0.7462686567</v>
      </c>
      <c r="AE460" s="3">
        <f t="shared" si="10"/>
        <v>0.7462686567</v>
      </c>
      <c r="AF460" s="3">
        <f t="shared" si="11"/>
        <v>2.23880597</v>
      </c>
      <c r="AG460" s="3">
        <f t="shared" si="12"/>
        <v>0.09090909091</v>
      </c>
    </row>
    <row r="461">
      <c r="A461" s="1" t="s">
        <v>9</v>
      </c>
      <c r="B461" s="1" t="s">
        <v>342</v>
      </c>
      <c r="C461" s="1" t="s">
        <v>19</v>
      </c>
      <c r="D461" s="1" t="s">
        <v>104</v>
      </c>
      <c r="E461" s="1" t="s">
        <v>71</v>
      </c>
      <c r="F461" s="1" t="s">
        <v>670</v>
      </c>
      <c r="G461" s="1">
        <v>27.5</v>
      </c>
      <c r="H461" s="1" t="s">
        <v>60</v>
      </c>
      <c r="I461" s="1">
        <v>-117.0</v>
      </c>
      <c r="J461" s="1">
        <v>0.0274432901514779</v>
      </c>
      <c r="K461" s="1" t="s">
        <v>61</v>
      </c>
      <c r="L461" s="1" t="s">
        <v>61</v>
      </c>
      <c r="M461" s="1" t="s">
        <v>62</v>
      </c>
      <c r="N461" s="1">
        <v>-115.0</v>
      </c>
      <c r="O461" s="1">
        <v>-0.101467595615355</v>
      </c>
      <c r="P461" s="1" t="s">
        <v>61</v>
      </c>
      <c r="Q461" s="1" t="s">
        <v>61</v>
      </c>
      <c r="R461" s="1">
        <f t="shared" si="1"/>
        <v>0.02744329015</v>
      </c>
      <c r="S461" s="1">
        <f t="shared" si="2"/>
        <v>-117</v>
      </c>
      <c r="T461" s="1">
        <f t="shared" si="3"/>
        <v>1.854700855</v>
      </c>
      <c r="U461" s="1">
        <f t="shared" si="4"/>
        <v>1</v>
      </c>
      <c r="V461" s="3">
        <f t="shared" si="5"/>
        <v>1</v>
      </c>
      <c r="W461" s="3">
        <f t="shared" si="6"/>
        <v>2</v>
      </c>
      <c r="X461" s="3" t="str">
        <f>IFERROR(__xludf.DUMMYFUNCTION("split(B461,"" "")"),"R.")</f>
        <v>R.</v>
      </c>
      <c r="Y461" s="3" t="str">
        <f>IFERROR(__xludf.DUMMYFUNCTION("""COMPUTED_VALUE"""),"Davis")</f>
        <v>Davis</v>
      </c>
      <c r="AA461" s="8">
        <v>6.0</v>
      </c>
      <c r="AB461" s="3">
        <f t="shared" si="7"/>
        <v>0</v>
      </c>
      <c r="AC461" s="3">
        <f t="shared" si="8"/>
        <v>0</v>
      </c>
      <c r="AD461" s="3">
        <f t="shared" si="9"/>
        <v>0.8547008547</v>
      </c>
      <c r="AE461" s="3">
        <f t="shared" si="10"/>
        <v>-1</v>
      </c>
      <c r="AF461" s="3">
        <f t="shared" si="11"/>
        <v>-2</v>
      </c>
      <c r="AG461" s="3">
        <f t="shared" si="12"/>
        <v>-0.7818181818</v>
      </c>
    </row>
    <row r="462">
      <c r="A462" s="1" t="s">
        <v>9</v>
      </c>
      <c r="B462" s="1" t="s">
        <v>457</v>
      </c>
      <c r="C462" s="1" t="s">
        <v>18</v>
      </c>
      <c r="D462" s="1" t="s">
        <v>104</v>
      </c>
      <c r="E462" s="1" t="s">
        <v>71</v>
      </c>
      <c r="F462" s="1" t="s">
        <v>670</v>
      </c>
      <c r="G462" s="1">
        <v>25.5</v>
      </c>
      <c r="H462" s="1" t="s">
        <v>60</v>
      </c>
      <c r="I462" s="1">
        <v>-120.0</v>
      </c>
      <c r="J462" s="1">
        <v>0.0963845567965954</v>
      </c>
      <c r="K462" s="1" t="s">
        <v>61</v>
      </c>
      <c r="L462" s="1" t="s">
        <v>61</v>
      </c>
      <c r="M462" s="1" t="s">
        <v>62</v>
      </c>
      <c r="N462" s="1">
        <v>-113.0</v>
      </c>
      <c r="O462" s="1">
        <v>-0.172378783190768</v>
      </c>
      <c r="P462" s="1" t="s">
        <v>61</v>
      </c>
      <c r="Q462" s="1" t="s">
        <v>61</v>
      </c>
      <c r="R462" s="1">
        <f t="shared" si="1"/>
        <v>0.0963845568</v>
      </c>
      <c r="S462" s="1">
        <f t="shared" si="2"/>
        <v>-120</v>
      </c>
      <c r="T462" s="1">
        <f t="shared" si="3"/>
        <v>1.833333333</v>
      </c>
      <c r="U462" s="1">
        <f t="shared" si="4"/>
        <v>1</v>
      </c>
      <c r="V462" s="3">
        <f t="shared" si="5"/>
        <v>2</v>
      </c>
      <c r="W462" s="3">
        <f t="shared" si="6"/>
        <v>3</v>
      </c>
      <c r="X462" s="3" t="str">
        <f>IFERROR(__xludf.DUMMYFUNCTION("split(B462,"" "")"),"M.")</f>
        <v>M.</v>
      </c>
      <c r="Y462" s="3" t="str">
        <f>IFERROR(__xludf.DUMMYFUNCTION("""COMPUTED_VALUE"""),"Hollins")</f>
        <v>Hollins</v>
      </c>
      <c r="AA462" s="8">
        <v>86.0</v>
      </c>
      <c r="AB462" s="3">
        <f t="shared" si="7"/>
        <v>1</v>
      </c>
      <c r="AC462" s="3">
        <f t="shared" si="8"/>
        <v>1</v>
      </c>
      <c r="AD462" s="3">
        <f t="shared" si="9"/>
        <v>1.666666667</v>
      </c>
      <c r="AE462" s="3">
        <f t="shared" si="10"/>
        <v>1.666666667</v>
      </c>
      <c r="AF462" s="3">
        <f t="shared" si="11"/>
        <v>2.5</v>
      </c>
      <c r="AG462" s="3">
        <f t="shared" si="12"/>
        <v>2.37254902</v>
      </c>
    </row>
    <row r="463">
      <c r="A463" s="1" t="s">
        <v>11</v>
      </c>
      <c r="B463" s="1" t="s">
        <v>342</v>
      </c>
      <c r="C463" s="1" t="s">
        <v>19</v>
      </c>
      <c r="D463" s="1" t="s">
        <v>104</v>
      </c>
      <c r="E463" s="1" t="s">
        <v>71</v>
      </c>
      <c r="F463" s="1" t="s">
        <v>670</v>
      </c>
      <c r="G463" s="1">
        <v>1.5</v>
      </c>
      <c r="H463" s="1" t="s">
        <v>60</v>
      </c>
      <c r="I463" s="1">
        <v>-116.0</v>
      </c>
      <c r="J463" s="1">
        <v>0.153436028316055</v>
      </c>
      <c r="K463" s="1" t="s">
        <v>61</v>
      </c>
      <c r="L463" s="1" t="s">
        <v>61</v>
      </c>
      <c r="M463" s="1" t="s">
        <v>62</v>
      </c>
      <c r="N463" s="1">
        <v>-110.0</v>
      </c>
      <c r="O463" s="1">
        <v>-0.214239620609022</v>
      </c>
      <c r="P463" s="1" t="s">
        <v>61</v>
      </c>
      <c r="Q463" s="1" t="s">
        <v>61</v>
      </c>
      <c r="R463" s="1">
        <f t="shared" si="1"/>
        <v>0.1534360283</v>
      </c>
      <c r="S463" s="1">
        <f t="shared" si="2"/>
        <v>-116</v>
      </c>
      <c r="T463" s="1">
        <f t="shared" si="3"/>
        <v>1.862068966</v>
      </c>
      <c r="U463" s="1">
        <f t="shared" si="4"/>
        <v>1</v>
      </c>
      <c r="V463" s="3">
        <f t="shared" si="5"/>
        <v>3</v>
      </c>
      <c r="W463" s="3">
        <f t="shared" si="6"/>
        <v>2</v>
      </c>
      <c r="X463" s="3" t="str">
        <f>IFERROR(__xludf.DUMMYFUNCTION("split(B463,"" "")"),"R.")</f>
        <v>R.</v>
      </c>
      <c r="Y463" s="3" t="str">
        <f>IFERROR(__xludf.DUMMYFUNCTION("""COMPUTED_VALUE"""),"Davis")</f>
        <v>Davis</v>
      </c>
      <c r="AA463" s="8">
        <v>0.0</v>
      </c>
      <c r="AB463" s="3">
        <f t="shared" si="7"/>
        <v>0</v>
      </c>
      <c r="AC463" s="3">
        <f t="shared" si="8"/>
        <v>0</v>
      </c>
      <c r="AD463" s="3">
        <f t="shared" si="9"/>
        <v>2.586206897</v>
      </c>
      <c r="AE463" s="3">
        <f t="shared" si="10"/>
        <v>-3</v>
      </c>
      <c r="AF463" s="3">
        <f t="shared" si="11"/>
        <v>-2</v>
      </c>
      <c r="AG463" s="3">
        <f t="shared" si="12"/>
        <v>-1</v>
      </c>
    </row>
    <row r="464">
      <c r="A464" s="1" t="s">
        <v>10</v>
      </c>
      <c r="B464" s="1" t="s">
        <v>189</v>
      </c>
      <c r="C464" s="1" t="s">
        <v>18</v>
      </c>
      <c r="D464" s="1" t="s">
        <v>104</v>
      </c>
      <c r="E464" s="1" t="s">
        <v>71</v>
      </c>
      <c r="F464" s="1" t="s">
        <v>670</v>
      </c>
      <c r="G464" s="1">
        <v>0.5</v>
      </c>
      <c r="H464" s="1" t="s">
        <v>60</v>
      </c>
      <c r="I464" s="1">
        <v>268.0</v>
      </c>
      <c r="J464" s="1">
        <v>0.341051475300937</v>
      </c>
      <c r="K464" s="1" t="s">
        <v>61</v>
      </c>
      <c r="L464" s="1" t="s">
        <v>61</v>
      </c>
      <c r="M464" s="1" t="s">
        <v>62</v>
      </c>
      <c r="N464" s="1">
        <v>-382.0</v>
      </c>
      <c r="O464" s="1">
        <v>-0.405285596332945</v>
      </c>
      <c r="P464" s="1" t="s">
        <v>61</v>
      </c>
      <c r="Q464" s="1" t="s">
        <v>61</v>
      </c>
      <c r="R464" s="1">
        <f t="shared" si="1"/>
        <v>0.3410514753</v>
      </c>
      <c r="S464" s="1">
        <f t="shared" si="2"/>
        <v>268</v>
      </c>
      <c r="T464" s="1">
        <f t="shared" si="3"/>
        <v>3.68</v>
      </c>
      <c r="U464" s="1">
        <f t="shared" si="4"/>
        <v>1</v>
      </c>
      <c r="V464" s="3">
        <f t="shared" si="5"/>
        <v>3</v>
      </c>
      <c r="W464" s="3">
        <f t="shared" si="6"/>
        <v>1</v>
      </c>
      <c r="X464" s="3" t="str">
        <f>IFERROR(__xludf.DUMMYFUNCTION("split(B464,"" "")"),"K.")</f>
        <v>K.</v>
      </c>
      <c r="Y464" s="3" t="str">
        <f>IFERROR(__xludf.DUMMYFUNCTION("""COMPUTED_VALUE"""),"Shakir")</f>
        <v>Shakir</v>
      </c>
      <c r="AA464" s="8">
        <v>0.0</v>
      </c>
      <c r="AB464" s="3">
        <f t="shared" si="7"/>
        <v>0</v>
      </c>
      <c r="AC464" s="3">
        <f t="shared" si="8"/>
        <v>0</v>
      </c>
      <c r="AD464" s="3">
        <f t="shared" si="9"/>
        <v>8.04</v>
      </c>
      <c r="AE464" s="3">
        <f t="shared" si="10"/>
        <v>-3</v>
      </c>
      <c r="AF464" s="3">
        <f t="shared" si="11"/>
        <v>-1</v>
      </c>
      <c r="AG464" s="3">
        <f t="shared" si="12"/>
        <v>-1</v>
      </c>
    </row>
    <row r="465">
      <c r="A465" s="1" t="s">
        <v>12</v>
      </c>
      <c r="B465" s="1" t="s">
        <v>418</v>
      </c>
      <c r="C465" s="1" t="s">
        <v>20</v>
      </c>
      <c r="D465" s="1" t="s">
        <v>77</v>
      </c>
      <c r="E465" s="1" t="s">
        <v>67</v>
      </c>
      <c r="F465" s="1" t="s">
        <v>682</v>
      </c>
      <c r="G465" s="1">
        <v>3.5</v>
      </c>
      <c r="H465" s="1" t="s">
        <v>60</v>
      </c>
      <c r="I465" s="1">
        <v>-135.0</v>
      </c>
      <c r="J465" s="1">
        <v>-0.204710638297872</v>
      </c>
      <c r="K465" s="1" t="s">
        <v>61</v>
      </c>
      <c r="L465" s="1" t="s">
        <v>61</v>
      </c>
      <c r="M465" s="1" t="s">
        <v>62</v>
      </c>
      <c r="N465" s="1">
        <v>103.0</v>
      </c>
      <c r="O465" s="1">
        <v>0.13763842364532</v>
      </c>
      <c r="P465" s="1" t="s">
        <v>61</v>
      </c>
      <c r="Q465" s="1" t="s">
        <v>61</v>
      </c>
      <c r="R465" s="1">
        <f t="shared" si="1"/>
        <v>0.1376384236</v>
      </c>
      <c r="S465" s="1">
        <f t="shared" si="2"/>
        <v>103</v>
      </c>
      <c r="T465" s="1">
        <f t="shared" si="3"/>
        <v>2.03</v>
      </c>
      <c r="U465" s="1">
        <f t="shared" si="4"/>
        <v>0</v>
      </c>
      <c r="V465" s="3">
        <f t="shared" si="5"/>
        <v>3</v>
      </c>
      <c r="W465" s="3">
        <f t="shared" si="6"/>
        <v>2</v>
      </c>
      <c r="X465" s="3" t="str">
        <f>IFERROR(__xludf.DUMMYFUNCTION("split(B465,"" "")"),"M.")</f>
        <v>M.</v>
      </c>
      <c r="Y465" s="3" t="str">
        <f>IFERROR(__xludf.DUMMYFUNCTION("""COMPUTED_VALUE"""),"Andrews")</f>
        <v>Andrews</v>
      </c>
      <c r="AA465" s="8">
        <v>6.0</v>
      </c>
      <c r="AB465" s="3">
        <f t="shared" si="7"/>
        <v>1</v>
      </c>
      <c r="AC465" s="3">
        <f t="shared" si="8"/>
        <v>0</v>
      </c>
      <c r="AD465" s="3">
        <f t="shared" si="9"/>
        <v>3.09</v>
      </c>
      <c r="AE465" s="3">
        <f t="shared" si="10"/>
        <v>-3</v>
      </c>
      <c r="AF465" s="3">
        <f t="shared" si="11"/>
        <v>-2</v>
      </c>
      <c r="AG465" s="3">
        <f t="shared" si="12"/>
        <v>-0.7142857143</v>
      </c>
    </row>
    <row r="466">
      <c r="A466" s="1" t="s">
        <v>8</v>
      </c>
      <c r="B466" s="1" t="s">
        <v>347</v>
      </c>
      <c r="C466" s="1" t="s">
        <v>21</v>
      </c>
      <c r="D466" s="1" t="s">
        <v>77</v>
      </c>
      <c r="E466" s="1" t="s">
        <v>67</v>
      </c>
      <c r="F466" s="1" t="s">
        <v>682</v>
      </c>
      <c r="G466" s="1">
        <v>8.5</v>
      </c>
      <c r="H466" s="1" t="s">
        <v>60</v>
      </c>
      <c r="I466" s="1">
        <v>-110.0</v>
      </c>
      <c r="J466" s="1">
        <v>-0.192946655898669</v>
      </c>
      <c r="K466" s="1" t="s">
        <v>61</v>
      </c>
      <c r="L466" s="1" t="s">
        <v>61</v>
      </c>
      <c r="M466" s="1" t="s">
        <v>62</v>
      </c>
      <c r="N466" s="1">
        <v>-123.0</v>
      </c>
      <c r="O466" s="1">
        <v>0.117589332818952</v>
      </c>
      <c r="P466" s="1" t="s">
        <v>61</v>
      </c>
      <c r="Q466" s="1" t="s">
        <v>61</v>
      </c>
      <c r="R466" s="1">
        <f t="shared" si="1"/>
        <v>0.1175893328</v>
      </c>
      <c r="S466" s="1">
        <f t="shared" si="2"/>
        <v>-123</v>
      </c>
      <c r="T466" s="1">
        <f t="shared" si="3"/>
        <v>1.81300813</v>
      </c>
      <c r="U466" s="1">
        <f t="shared" si="4"/>
        <v>0</v>
      </c>
      <c r="V466" s="3">
        <f t="shared" si="5"/>
        <v>3</v>
      </c>
      <c r="W466" s="3">
        <f t="shared" si="6"/>
        <v>3</v>
      </c>
      <c r="X466" s="3" t="str">
        <f>IFERROR(__xludf.DUMMYFUNCTION("split(B466,"" "")"),"L.")</f>
        <v>L.</v>
      </c>
      <c r="Y466" s="3" t="str">
        <f>IFERROR(__xludf.DUMMYFUNCTION("""COMPUTED_VALUE"""),"Jackson")</f>
        <v>Jackson</v>
      </c>
      <c r="AA466" s="8">
        <v>7.0</v>
      </c>
      <c r="AB466" s="3">
        <f t="shared" si="7"/>
        <v>0</v>
      </c>
      <c r="AC466" s="3">
        <f t="shared" si="8"/>
        <v>1</v>
      </c>
      <c r="AD466" s="3">
        <f t="shared" si="9"/>
        <v>2.43902439</v>
      </c>
      <c r="AE466" s="3">
        <f t="shared" si="10"/>
        <v>2.43902439</v>
      </c>
      <c r="AF466" s="3">
        <f t="shared" si="11"/>
        <v>2.43902439</v>
      </c>
      <c r="AG466" s="3">
        <f t="shared" si="12"/>
        <v>0.1764705882</v>
      </c>
    </row>
    <row r="467">
      <c r="A467" s="1" t="s">
        <v>12</v>
      </c>
      <c r="B467" s="1" t="s">
        <v>353</v>
      </c>
      <c r="C467" s="1" t="s">
        <v>18</v>
      </c>
      <c r="D467" s="1" t="s">
        <v>77</v>
      </c>
      <c r="E467" s="1" t="s">
        <v>67</v>
      </c>
      <c r="F467" s="1" t="s">
        <v>682</v>
      </c>
      <c r="G467" s="1">
        <v>1.5</v>
      </c>
      <c r="H467" s="1" t="s">
        <v>60</v>
      </c>
      <c r="I467" s="1">
        <v>-146.0</v>
      </c>
      <c r="J467" s="1">
        <v>-0.149915935528455</v>
      </c>
      <c r="K467" s="1" t="s">
        <v>61</v>
      </c>
      <c r="L467" s="1" t="s">
        <v>61</v>
      </c>
      <c r="M467" s="1" t="s">
        <v>62</v>
      </c>
      <c r="N467" s="1">
        <v>111.0</v>
      </c>
      <c r="O467" s="1">
        <v>0.0825062565876777</v>
      </c>
      <c r="P467" s="1" t="s">
        <v>61</v>
      </c>
      <c r="Q467" s="1" t="s">
        <v>61</v>
      </c>
      <c r="R467" s="1">
        <f t="shared" si="1"/>
        <v>0.08250625659</v>
      </c>
      <c r="S467" s="1">
        <f t="shared" si="2"/>
        <v>111</v>
      </c>
      <c r="T467" s="1">
        <f t="shared" si="3"/>
        <v>2.11</v>
      </c>
      <c r="U467" s="1">
        <f t="shared" si="4"/>
        <v>0</v>
      </c>
      <c r="V467" s="3">
        <f t="shared" si="5"/>
        <v>2</v>
      </c>
      <c r="W467" s="3">
        <f t="shared" si="6"/>
        <v>1</v>
      </c>
      <c r="X467" s="3" t="str">
        <f>IFERROR(__xludf.DUMMYFUNCTION("split(B467,"" "")"),"D.")</f>
        <v>D.</v>
      </c>
      <c r="Y467" s="3" t="str">
        <f>IFERROR(__xludf.DUMMYFUNCTION("""COMPUTED_VALUE"""),"Johnson")</f>
        <v>Johnson</v>
      </c>
      <c r="AA467" s="8">
        <v>1.0</v>
      </c>
      <c r="AB467" s="3">
        <f t="shared" si="7"/>
        <v>0</v>
      </c>
      <c r="AC467" s="3">
        <f t="shared" si="8"/>
        <v>1</v>
      </c>
      <c r="AD467" s="3">
        <f t="shared" si="9"/>
        <v>2.22</v>
      </c>
      <c r="AE467" s="3">
        <f t="shared" si="10"/>
        <v>2.22</v>
      </c>
      <c r="AF467" s="3">
        <f t="shared" si="11"/>
        <v>1.11</v>
      </c>
      <c r="AG467" s="3">
        <f t="shared" si="12"/>
        <v>0.3333333333</v>
      </c>
    </row>
    <row r="468">
      <c r="A468" s="1" t="s">
        <v>12</v>
      </c>
      <c r="B468" s="1" t="s">
        <v>309</v>
      </c>
      <c r="C468" s="1" t="s">
        <v>19</v>
      </c>
      <c r="D468" s="1" t="s">
        <v>77</v>
      </c>
      <c r="E468" s="1" t="s">
        <v>67</v>
      </c>
      <c r="F468" s="1" t="s">
        <v>682</v>
      </c>
      <c r="G468" s="1">
        <v>0.5</v>
      </c>
      <c r="H468" s="1" t="s">
        <v>60</v>
      </c>
      <c r="I468" s="1">
        <v>-231.0</v>
      </c>
      <c r="J468" s="1">
        <v>-0.1453133648</v>
      </c>
      <c r="K468" s="1" t="s">
        <v>61</v>
      </c>
      <c r="L468" s="1" t="s">
        <v>61</v>
      </c>
      <c r="M468" s="1" t="s">
        <v>62</v>
      </c>
      <c r="N468" s="1">
        <v>172.0</v>
      </c>
      <c r="O468" s="1">
        <v>0.0797872196647058</v>
      </c>
      <c r="P468" s="1" t="s">
        <v>61</v>
      </c>
      <c r="Q468" s="1" t="s">
        <v>61</v>
      </c>
      <c r="R468" s="1">
        <f t="shared" si="1"/>
        <v>0.07978721966</v>
      </c>
      <c r="S468" s="1">
        <f t="shared" si="2"/>
        <v>172</v>
      </c>
      <c r="T468" s="1">
        <f t="shared" si="3"/>
        <v>2.72</v>
      </c>
      <c r="U468" s="1">
        <f t="shared" si="4"/>
        <v>0</v>
      </c>
      <c r="V468" s="3">
        <f t="shared" si="5"/>
        <v>2</v>
      </c>
      <c r="W468" s="3">
        <f t="shared" si="6"/>
        <v>1</v>
      </c>
      <c r="X468" s="3" t="str">
        <f>IFERROR(__xludf.DUMMYFUNCTION("split(B468,"" "")"),"D.")</f>
        <v>D.</v>
      </c>
      <c r="Y468" s="3" t="str">
        <f>IFERROR(__xludf.DUMMYFUNCTION("""COMPUTED_VALUE"""),"Henry")</f>
        <v>Henry</v>
      </c>
      <c r="AA468" s="8">
        <v>1.0</v>
      </c>
      <c r="AB468" s="3">
        <f t="shared" si="7"/>
        <v>1</v>
      </c>
      <c r="AC468" s="3">
        <f t="shared" si="8"/>
        <v>0</v>
      </c>
      <c r="AD468" s="3">
        <f t="shared" si="9"/>
        <v>3.44</v>
      </c>
      <c r="AE468" s="3">
        <f t="shared" si="10"/>
        <v>-2</v>
      </c>
      <c r="AF468" s="3">
        <f t="shared" si="11"/>
        <v>-1</v>
      </c>
      <c r="AG468" s="3">
        <f t="shared" si="12"/>
        <v>-1</v>
      </c>
    </row>
    <row r="469">
      <c r="A469" s="1" t="s">
        <v>12</v>
      </c>
      <c r="B469" s="1" t="s">
        <v>611</v>
      </c>
      <c r="C469" s="1" t="s">
        <v>20</v>
      </c>
      <c r="D469" s="1" t="s">
        <v>77</v>
      </c>
      <c r="E469" s="1" t="s">
        <v>67</v>
      </c>
      <c r="F469" s="1" t="s">
        <v>682</v>
      </c>
      <c r="G469" s="1">
        <v>1.5</v>
      </c>
      <c r="H469" s="1" t="s">
        <v>60</v>
      </c>
      <c r="I469" s="1">
        <v>121.0</v>
      </c>
      <c r="J469" s="1">
        <v>-0.142930269777737</v>
      </c>
      <c r="K469" s="1" t="s">
        <v>61</v>
      </c>
      <c r="L469" s="1" t="s">
        <v>61</v>
      </c>
      <c r="M469" s="1" t="s">
        <v>62</v>
      </c>
      <c r="N469" s="1">
        <v>-158.0</v>
      </c>
      <c r="O469" s="1">
        <v>0.0780434095745736</v>
      </c>
      <c r="P469" s="1" t="s">
        <v>61</v>
      </c>
      <c r="Q469" s="1" t="s">
        <v>61</v>
      </c>
      <c r="R469" s="1">
        <f t="shared" si="1"/>
        <v>0.07804340957</v>
      </c>
      <c r="S469" s="1">
        <f t="shared" si="2"/>
        <v>-158</v>
      </c>
      <c r="T469" s="1">
        <f t="shared" si="3"/>
        <v>1.632911392</v>
      </c>
      <c r="U469" s="1">
        <f t="shared" si="4"/>
        <v>0</v>
      </c>
      <c r="V469" s="3">
        <f t="shared" si="5"/>
        <v>2</v>
      </c>
      <c r="W469" s="3">
        <f t="shared" si="6"/>
        <v>3</v>
      </c>
      <c r="X469" s="3" t="str">
        <f>IFERROR(__xludf.DUMMYFUNCTION("split(B469,"" "")"),"C.")</f>
        <v>C.</v>
      </c>
      <c r="Y469" s="3" t="str">
        <f>IFERROR(__xludf.DUMMYFUNCTION("""COMPUTED_VALUE"""),"Kolar")</f>
        <v>Kolar</v>
      </c>
      <c r="AA469" s="8">
        <v>1.0</v>
      </c>
      <c r="AB469" s="3">
        <f t="shared" si="7"/>
        <v>0</v>
      </c>
      <c r="AC469" s="3">
        <f t="shared" si="8"/>
        <v>1</v>
      </c>
      <c r="AD469" s="3">
        <f t="shared" si="9"/>
        <v>1.265822785</v>
      </c>
      <c r="AE469" s="3">
        <f t="shared" si="10"/>
        <v>1.265822785</v>
      </c>
      <c r="AF469" s="3">
        <f t="shared" si="11"/>
        <v>1.898734177</v>
      </c>
      <c r="AG469" s="3">
        <f t="shared" si="12"/>
        <v>0.3333333333</v>
      </c>
    </row>
    <row r="470">
      <c r="A470" s="1" t="s">
        <v>12</v>
      </c>
      <c r="B470" s="1" t="s">
        <v>239</v>
      </c>
      <c r="C470" s="1" t="s">
        <v>18</v>
      </c>
      <c r="D470" s="1" t="s">
        <v>77</v>
      </c>
      <c r="E470" s="1" t="s">
        <v>67</v>
      </c>
      <c r="F470" s="1" t="s">
        <v>682</v>
      </c>
      <c r="G470" s="1">
        <v>2.5</v>
      </c>
      <c r="H470" s="1" t="s">
        <v>60</v>
      </c>
      <c r="I470" s="1">
        <v>-102.0</v>
      </c>
      <c r="J470" s="1">
        <v>-0.138997682871287</v>
      </c>
      <c r="K470" s="1" t="s">
        <v>61</v>
      </c>
      <c r="L470" s="1" t="s">
        <v>61</v>
      </c>
      <c r="M470" s="1" t="s">
        <v>62</v>
      </c>
      <c r="N470" s="1">
        <v>-128.0</v>
      </c>
      <c r="O470" s="1">
        <v>0.0726500038736842</v>
      </c>
      <c r="P470" s="1" t="s">
        <v>61</v>
      </c>
      <c r="Q470" s="1" t="s">
        <v>61</v>
      </c>
      <c r="R470" s="1">
        <f t="shared" si="1"/>
        <v>0.07265000387</v>
      </c>
      <c r="S470" s="1">
        <f t="shared" si="2"/>
        <v>-128</v>
      </c>
      <c r="T470" s="1">
        <f t="shared" si="3"/>
        <v>1.78125</v>
      </c>
      <c r="U470" s="1">
        <f t="shared" si="4"/>
        <v>0</v>
      </c>
      <c r="V470" s="3">
        <f t="shared" si="5"/>
        <v>2</v>
      </c>
      <c r="W470" s="3">
        <f t="shared" si="6"/>
        <v>3</v>
      </c>
      <c r="X470" s="3" t="str">
        <f>IFERROR(__xludf.DUMMYFUNCTION("split(B470,"" "")"),"R.")</f>
        <v>R.</v>
      </c>
      <c r="Y470" s="3" t="str">
        <f>IFERROR(__xludf.DUMMYFUNCTION("""COMPUTED_VALUE"""),"Bateman")</f>
        <v>Bateman</v>
      </c>
      <c r="AA470" s="8">
        <v>6.0</v>
      </c>
      <c r="AB470" s="3">
        <f t="shared" si="7"/>
        <v>1</v>
      </c>
      <c r="AC470" s="3">
        <f t="shared" si="8"/>
        <v>0</v>
      </c>
      <c r="AD470" s="3">
        <f t="shared" si="9"/>
        <v>1.5625</v>
      </c>
      <c r="AE470" s="3">
        <f t="shared" si="10"/>
        <v>-2</v>
      </c>
      <c r="AF470" s="3">
        <f t="shared" si="11"/>
        <v>-3</v>
      </c>
      <c r="AG470" s="3">
        <f t="shared" si="12"/>
        <v>-1.4</v>
      </c>
    </row>
    <row r="471">
      <c r="A471" s="1" t="s">
        <v>11</v>
      </c>
      <c r="B471" s="1" t="s">
        <v>418</v>
      </c>
      <c r="C471" s="1" t="s">
        <v>20</v>
      </c>
      <c r="D471" s="1" t="s">
        <v>77</v>
      </c>
      <c r="E471" s="1" t="s">
        <v>67</v>
      </c>
      <c r="F471" s="1" t="s">
        <v>682</v>
      </c>
      <c r="G471" s="1">
        <v>43.5</v>
      </c>
      <c r="H471" s="1" t="s">
        <v>60</v>
      </c>
      <c r="I471" s="1">
        <v>-120.0</v>
      </c>
      <c r="J471" s="1">
        <v>-0.136617241347727</v>
      </c>
      <c r="K471" s="1" t="s">
        <v>61</v>
      </c>
      <c r="L471" s="1" t="s">
        <v>61</v>
      </c>
      <c r="M471" s="1" t="s">
        <v>62</v>
      </c>
      <c r="N471" s="1">
        <v>-109.0</v>
      </c>
      <c r="O471" s="1">
        <v>0.0695962057111819</v>
      </c>
      <c r="P471" s="1" t="s">
        <v>61</v>
      </c>
      <c r="Q471" s="1" t="s">
        <v>61</v>
      </c>
      <c r="R471" s="1">
        <f t="shared" si="1"/>
        <v>0.06959620571</v>
      </c>
      <c r="S471" s="1">
        <f t="shared" si="2"/>
        <v>-109</v>
      </c>
      <c r="T471" s="1">
        <f t="shared" si="3"/>
        <v>1.917431193</v>
      </c>
      <c r="U471" s="1">
        <f t="shared" si="4"/>
        <v>0</v>
      </c>
      <c r="V471" s="3">
        <f t="shared" si="5"/>
        <v>2</v>
      </c>
      <c r="W471" s="3">
        <f t="shared" si="6"/>
        <v>2</v>
      </c>
      <c r="X471" s="3" t="str">
        <f>IFERROR(__xludf.DUMMYFUNCTION("split(B471,"" "")"),"M.")</f>
        <v>M.</v>
      </c>
      <c r="Y471" s="3" t="str">
        <f>IFERROR(__xludf.DUMMYFUNCTION("""COMPUTED_VALUE"""),"Andrews")</f>
        <v>Andrews</v>
      </c>
      <c r="AA471" s="8">
        <v>68.0</v>
      </c>
      <c r="AB471" s="3">
        <f t="shared" si="7"/>
        <v>1</v>
      </c>
      <c r="AC471" s="3">
        <f t="shared" si="8"/>
        <v>0</v>
      </c>
      <c r="AD471" s="3">
        <f t="shared" si="9"/>
        <v>1.834862385</v>
      </c>
      <c r="AE471" s="3">
        <f t="shared" si="10"/>
        <v>-2</v>
      </c>
      <c r="AF471" s="3">
        <f t="shared" si="11"/>
        <v>-2</v>
      </c>
      <c r="AG471" s="3">
        <f t="shared" si="12"/>
        <v>-0.5632183908</v>
      </c>
    </row>
    <row r="472">
      <c r="A472" s="1" t="s">
        <v>14</v>
      </c>
      <c r="B472" s="1" t="s">
        <v>347</v>
      </c>
      <c r="C472" s="1" t="s">
        <v>21</v>
      </c>
      <c r="D472" s="1" t="s">
        <v>77</v>
      </c>
      <c r="E472" s="1" t="s">
        <v>67</v>
      </c>
      <c r="F472" s="1" t="s">
        <v>682</v>
      </c>
      <c r="G472" s="1">
        <v>1.5</v>
      </c>
      <c r="H472" s="1" t="s">
        <v>60</v>
      </c>
      <c r="I472" s="1">
        <v>-143.0</v>
      </c>
      <c r="J472" s="1">
        <v>-0.137518518518518</v>
      </c>
      <c r="K472" s="1" t="s">
        <v>61</v>
      </c>
      <c r="L472" s="1" t="s">
        <v>61</v>
      </c>
      <c r="M472" s="1" t="s">
        <v>62</v>
      </c>
      <c r="N472" s="1">
        <v>108.0</v>
      </c>
      <c r="O472" s="1">
        <v>0.0682788461538461</v>
      </c>
      <c r="P472" s="1" t="s">
        <v>61</v>
      </c>
      <c r="Q472" s="1" t="s">
        <v>61</v>
      </c>
      <c r="R472" s="1">
        <f t="shared" si="1"/>
        <v>0.06827884615</v>
      </c>
      <c r="S472" s="1">
        <f t="shared" si="2"/>
        <v>108</v>
      </c>
      <c r="T472" s="1">
        <f t="shared" si="3"/>
        <v>2.08</v>
      </c>
      <c r="U472" s="1">
        <f t="shared" si="4"/>
        <v>0</v>
      </c>
      <c r="V472" s="3">
        <f t="shared" si="5"/>
        <v>2</v>
      </c>
      <c r="W472" s="3">
        <f t="shared" si="6"/>
        <v>2</v>
      </c>
      <c r="X472" s="3" t="str">
        <f>IFERROR(__xludf.DUMMYFUNCTION("split(B472,"" "")"),"L.")</f>
        <v>L.</v>
      </c>
      <c r="Y472" s="3" t="str">
        <f>IFERROR(__xludf.DUMMYFUNCTION("""COMPUTED_VALUE"""),"Jackson")</f>
        <v>Jackson</v>
      </c>
      <c r="AA472" s="8">
        <v>4.0</v>
      </c>
      <c r="AB472" s="3">
        <f t="shared" si="7"/>
        <v>1</v>
      </c>
      <c r="AC472" s="3">
        <f t="shared" si="8"/>
        <v>0</v>
      </c>
      <c r="AD472" s="3">
        <f t="shared" si="9"/>
        <v>2.16</v>
      </c>
      <c r="AE472" s="3">
        <f t="shared" si="10"/>
        <v>-2</v>
      </c>
      <c r="AF472" s="3">
        <f t="shared" si="11"/>
        <v>-2</v>
      </c>
      <c r="AG472" s="3">
        <f t="shared" si="12"/>
        <v>-1.666666667</v>
      </c>
    </row>
    <row r="473">
      <c r="A473" s="1" t="s">
        <v>16</v>
      </c>
      <c r="B473" s="1" t="s">
        <v>347</v>
      </c>
      <c r="C473" s="1" t="s">
        <v>21</v>
      </c>
      <c r="D473" s="1" t="s">
        <v>77</v>
      </c>
      <c r="E473" s="1" t="s">
        <v>67</v>
      </c>
      <c r="F473" s="1" t="s">
        <v>682</v>
      </c>
      <c r="G473" s="1">
        <v>29.5</v>
      </c>
      <c r="H473" s="1" t="s">
        <v>60</v>
      </c>
      <c r="I473" s="1">
        <v>-119.0</v>
      </c>
      <c r="J473" s="1">
        <v>-0.120940538630136</v>
      </c>
      <c r="K473" s="1" t="s">
        <v>61</v>
      </c>
      <c r="L473" s="1" t="s">
        <v>61</v>
      </c>
      <c r="M473" s="1" t="s">
        <v>62</v>
      </c>
      <c r="N473" s="1">
        <v>-110.0</v>
      </c>
      <c r="O473" s="1">
        <v>0.0537316464571429</v>
      </c>
      <c r="P473" s="1" t="s">
        <v>61</v>
      </c>
      <c r="Q473" s="1" t="s">
        <v>61</v>
      </c>
      <c r="R473" s="1">
        <f t="shared" si="1"/>
        <v>0.05373164646</v>
      </c>
      <c r="S473" s="1">
        <f t="shared" si="2"/>
        <v>-110</v>
      </c>
      <c r="T473" s="1">
        <f t="shared" si="3"/>
        <v>1.909090909</v>
      </c>
      <c r="U473" s="1">
        <f t="shared" si="4"/>
        <v>0</v>
      </c>
      <c r="V473" s="3">
        <f t="shared" si="5"/>
        <v>2</v>
      </c>
      <c r="W473" s="3">
        <f t="shared" si="6"/>
        <v>2</v>
      </c>
      <c r="X473" s="3" t="str">
        <f>IFERROR(__xludf.DUMMYFUNCTION("split(B473,"" "")"),"L.")</f>
        <v>L.</v>
      </c>
      <c r="Y473" s="3" t="str">
        <f>IFERROR(__xludf.DUMMYFUNCTION("""COMPUTED_VALUE"""),"Jackson")</f>
        <v>Jackson</v>
      </c>
      <c r="AA473" s="8">
        <v>33.0</v>
      </c>
      <c r="AB473" s="3">
        <f t="shared" si="7"/>
        <v>1</v>
      </c>
      <c r="AC473" s="3">
        <f t="shared" si="8"/>
        <v>0</v>
      </c>
      <c r="AD473" s="3">
        <f t="shared" si="9"/>
        <v>1.818181818</v>
      </c>
      <c r="AE473" s="3">
        <f t="shared" si="10"/>
        <v>-2</v>
      </c>
      <c r="AF473" s="3">
        <f t="shared" si="11"/>
        <v>-2</v>
      </c>
      <c r="AG473" s="3">
        <f t="shared" si="12"/>
        <v>-0.1186440678</v>
      </c>
    </row>
    <row r="474">
      <c r="A474" s="1" t="s">
        <v>10</v>
      </c>
      <c r="B474" s="1" t="s">
        <v>685</v>
      </c>
      <c r="C474" s="1" t="s">
        <v>19</v>
      </c>
      <c r="D474" s="1" t="s">
        <v>77</v>
      </c>
      <c r="E474" s="1" t="s">
        <v>67</v>
      </c>
      <c r="F474" s="1" t="s">
        <v>682</v>
      </c>
      <c r="G474" s="1">
        <v>13.5</v>
      </c>
      <c r="H474" s="1" t="s">
        <v>60</v>
      </c>
      <c r="I474" s="1">
        <v>-104.0</v>
      </c>
      <c r="J474" s="1">
        <v>-0.104887204497555</v>
      </c>
      <c r="K474" s="1" t="s">
        <v>61</v>
      </c>
      <c r="L474" s="1" t="s">
        <v>61</v>
      </c>
      <c r="M474" s="1" t="s">
        <v>62</v>
      </c>
      <c r="N474" s="1">
        <v>-126.0</v>
      </c>
      <c r="O474" s="1">
        <v>0.0376000665666007</v>
      </c>
      <c r="P474" s="1" t="s">
        <v>61</v>
      </c>
      <c r="Q474" s="1" t="s">
        <v>61</v>
      </c>
      <c r="R474" s="1">
        <f t="shared" si="1"/>
        <v>0.03760006657</v>
      </c>
      <c r="S474" s="1">
        <f t="shared" si="2"/>
        <v>-126</v>
      </c>
      <c r="T474" s="1">
        <f t="shared" si="3"/>
        <v>1.793650794</v>
      </c>
      <c r="U474" s="1">
        <f t="shared" si="4"/>
        <v>0</v>
      </c>
      <c r="V474" s="3">
        <f t="shared" si="5"/>
        <v>1</v>
      </c>
      <c r="W474" s="3">
        <f t="shared" si="6"/>
        <v>3</v>
      </c>
      <c r="X474" s="3" t="str">
        <f>IFERROR(__xludf.DUMMYFUNCTION("split(B474,"" "")"),"K.")</f>
        <v>K.</v>
      </c>
      <c r="Y474" s="3" t="str">
        <f>IFERROR(__xludf.DUMMYFUNCTION("""COMPUTED_VALUE"""),"Mitchell")</f>
        <v>Mitchell</v>
      </c>
      <c r="AA474" s="8">
        <v>0.0</v>
      </c>
      <c r="AB474" s="3">
        <f t="shared" si="7"/>
        <v>0</v>
      </c>
      <c r="AC474" s="3">
        <f t="shared" si="8"/>
        <v>1</v>
      </c>
      <c r="AD474" s="3">
        <f t="shared" si="9"/>
        <v>0.7936507937</v>
      </c>
      <c r="AE474" s="3">
        <f t="shared" si="10"/>
        <v>0.7936507937</v>
      </c>
      <c r="AF474" s="3">
        <f t="shared" si="11"/>
        <v>2.380952381</v>
      </c>
      <c r="AG474" s="3">
        <f t="shared" si="12"/>
        <v>1</v>
      </c>
    </row>
    <row r="475">
      <c r="A475" s="1" t="s">
        <v>11</v>
      </c>
      <c r="B475" s="1" t="s">
        <v>399</v>
      </c>
      <c r="C475" s="1" t="s">
        <v>18</v>
      </c>
      <c r="D475" s="1" t="s">
        <v>77</v>
      </c>
      <c r="E475" s="1" t="s">
        <v>67</v>
      </c>
      <c r="F475" s="1" t="s">
        <v>682</v>
      </c>
      <c r="G475" s="1">
        <v>62.5</v>
      </c>
      <c r="H475" s="1" t="s">
        <v>60</v>
      </c>
      <c r="I475" s="1">
        <v>-125.0</v>
      </c>
      <c r="J475" s="1">
        <v>-0.0975094011691072</v>
      </c>
      <c r="K475" s="1" t="s">
        <v>61</v>
      </c>
      <c r="L475" s="1" t="s">
        <v>61</v>
      </c>
      <c r="M475" s="1" t="s">
        <v>62</v>
      </c>
      <c r="N475" s="1">
        <v>-106.0</v>
      </c>
      <c r="O475" s="1">
        <v>0.027382616000481</v>
      </c>
      <c r="P475" s="1" t="s">
        <v>61</v>
      </c>
      <c r="Q475" s="1" t="s">
        <v>61</v>
      </c>
      <c r="R475" s="1">
        <f t="shared" si="1"/>
        <v>0.027382616</v>
      </c>
      <c r="S475" s="1">
        <f t="shared" si="2"/>
        <v>-106</v>
      </c>
      <c r="T475" s="1">
        <f t="shared" si="3"/>
        <v>1.943396226</v>
      </c>
      <c r="U475" s="1">
        <f t="shared" si="4"/>
        <v>0</v>
      </c>
      <c r="V475" s="3">
        <f t="shared" si="5"/>
        <v>1</v>
      </c>
      <c r="W475" s="3">
        <f t="shared" si="6"/>
        <v>2</v>
      </c>
      <c r="X475" s="3" t="str">
        <f>IFERROR(__xludf.DUMMYFUNCTION("split(B475,"" "")"),"Z.")</f>
        <v>Z.</v>
      </c>
      <c r="Y475" s="3" t="str">
        <f>IFERROR(__xludf.DUMMYFUNCTION("""COMPUTED_VALUE"""),"Flowers")</f>
        <v>Flowers</v>
      </c>
      <c r="AA475" s="8">
        <v>34.0</v>
      </c>
      <c r="AB475" s="3">
        <f t="shared" si="7"/>
        <v>0</v>
      </c>
      <c r="AC475" s="3">
        <f t="shared" si="8"/>
        <v>1</v>
      </c>
      <c r="AD475" s="3">
        <f t="shared" si="9"/>
        <v>0.9433962264</v>
      </c>
      <c r="AE475" s="3">
        <f t="shared" si="10"/>
        <v>0.9433962264</v>
      </c>
      <c r="AF475" s="3">
        <f t="shared" si="11"/>
        <v>1.886792453</v>
      </c>
      <c r="AG475" s="3">
        <f t="shared" si="12"/>
        <v>0.456</v>
      </c>
    </row>
    <row r="476">
      <c r="A476" s="1" t="s">
        <v>13</v>
      </c>
      <c r="B476" s="1" t="s">
        <v>347</v>
      </c>
      <c r="C476" s="1" t="s">
        <v>21</v>
      </c>
      <c r="D476" s="1" t="s">
        <v>77</v>
      </c>
      <c r="E476" s="1" t="s">
        <v>67</v>
      </c>
      <c r="F476" s="1" t="s">
        <v>682</v>
      </c>
      <c r="G476" s="1">
        <v>238.5</v>
      </c>
      <c r="H476" s="1" t="s">
        <v>60</v>
      </c>
      <c r="I476" s="1">
        <v>-119.0</v>
      </c>
      <c r="J476" s="1">
        <v>-0.0723767123287671</v>
      </c>
      <c r="K476" s="1" t="s">
        <v>61</v>
      </c>
      <c r="L476" s="1" t="s">
        <v>61</v>
      </c>
      <c r="M476" s="1" t="s">
        <v>62</v>
      </c>
      <c r="N476" s="1">
        <v>-109.0</v>
      </c>
      <c r="O476" s="1">
        <v>0.00739521531100495</v>
      </c>
      <c r="P476" s="1" t="s">
        <v>61</v>
      </c>
      <c r="Q476" s="1" t="s">
        <v>61</v>
      </c>
      <c r="R476" s="1">
        <f t="shared" si="1"/>
        <v>0.007395215311</v>
      </c>
      <c r="S476" s="1">
        <f t="shared" si="2"/>
        <v>-109</v>
      </c>
      <c r="T476" s="1">
        <f t="shared" si="3"/>
        <v>1.917431193</v>
      </c>
      <c r="U476" s="1">
        <f t="shared" si="4"/>
        <v>0</v>
      </c>
      <c r="V476" s="3">
        <f t="shared" si="5"/>
        <v>1</v>
      </c>
      <c r="W476" s="3">
        <f t="shared" si="6"/>
        <v>2</v>
      </c>
      <c r="X476" s="3" t="str">
        <f>IFERROR(__xludf.DUMMYFUNCTION("split(B476,"" "")"),"L.")</f>
        <v>L.</v>
      </c>
      <c r="Y476" s="3" t="str">
        <f>IFERROR(__xludf.DUMMYFUNCTION("""COMPUTED_VALUE"""),"Jackson")</f>
        <v>Jackson</v>
      </c>
      <c r="AA476" s="8">
        <v>290.0</v>
      </c>
      <c r="AB476" s="3">
        <f t="shared" si="7"/>
        <v>1</v>
      </c>
      <c r="AC476" s="3">
        <f t="shared" si="8"/>
        <v>0</v>
      </c>
      <c r="AD476" s="3">
        <f t="shared" si="9"/>
        <v>0.9174311927</v>
      </c>
      <c r="AE476" s="3">
        <f t="shared" si="10"/>
        <v>-1</v>
      </c>
      <c r="AF476" s="3">
        <f t="shared" si="11"/>
        <v>-2</v>
      </c>
      <c r="AG476" s="3">
        <f t="shared" si="12"/>
        <v>-0.215932914</v>
      </c>
    </row>
    <row r="477">
      <c r="A477" s="1" t="s">
        <v>11</v>
      </c>
      <c r="B477" s="1" t="s">
        <v>239</v>
      </c>
      <c r="C477" s="1" t="s">
        <v>18</v>
      </c>
      <c r="D477" s="1" t="s">
        <v>77</v>
      </c>
      <c r="E477" s="1" t="s">
        <v>67</v>
      </c>
      <c r="F477" s="1" t="s">
        <v>682</v>
      </c>
      <c r="G477" s="1">
        <v>30.5</v>
      </c>
      <c r="H477" s="1" t="s">
        <v>60</v>
      </c>
      <c r="I477" s="1">
        <v>-118.0</v>
      </c>
      <c r="J477" s="1">
        <v>-0.0737999192952295</v>
      </c>
      <c r="K477" s="1" t="s">
        <v>61</v>
      </c>
      <c r="L477" s="1" t="s">
        <v>61</v>
      </c>
      <c r="M477" s="1" t="s">
        <v>62</v>
      </c>
      <c r="N477" s="1">
        <v>-112.0</v>
      </c>
      <c r="O477" s="1">
        <v>0.00423046485480782</v>
      </c>
      <c r="P477" s="1" t="s">
        <v>61</v>
      </c>
      <c r="Q477" s="1" t="s">
        <v>61</v>
      </c>
      <c r="R477" s="1">
        <f t="shared" si="1"/>
        <v>0.004230464855</v>
      </c>
      <c r="S477" s="1">
        <f t="shared" si="2"/>
        <v>-112</v>
      </c>
      <c r="T477" s="1">
        <f t="shared" si="3"/>
        <v>1.892857143</v>
      </c>
      <c r="U477" s="1">
        <f t="shared" si="4"/>
        <v>0</v>
      </c>
      <c r="V477" s="3">
        <f t="shared" si="5"/>
        <v>1</v>
      </c>
      <c r="W477" s="3">
        <f t="shared" si="6"/>
        <v>2</v>
      </c>
      <c r="X477" s="3" t="str">
        <f>IFERROR(__xludf.DUMMYFUNCTION("split(B477,"" "")"),"R.")</f>
        <v>R.</v>
      </c>
      <c r="Y477" s="3" t="str">
        <f>IFERROR(__xludf.DUMMYFUNCTION("""COMPUTED_VALUE"""),"Bateman")</f>
        <v>Bateman</v>
      </c>
      <c r="AA477" s="8">
        <v>54.0</v>
      </c>
      <c r="AB477" s="3">
        <f t="shared" si="7"/>
        <v>1</v>
      </c>
      <c r="AC477" s="3">
        <f t="shared" si="8"/>
        <v>0</v>
      </c>
      <c r="AD477" s="3">
        <f t="shared" si="9"/>
        <v>0.8928571429</v>
      </c>
      <c r="AE477" s="3">
        <f t="shared" si="10"/>
        <v>-1</v>
      </c>
      <c r="AF477" s="3">
        <f t="shared" si="11"/>
        <v>-2</v>
      </c>
      <c r="AG477" s="3">
        <f t="shared" si="12"/>
        <v>-0.7704918033</v>
      </c>
    </row>
    <row r="478">
      <c r="A478" s="1" t="s">
        <v>8</v>
      </c>
      <c r="B478" s="1" t="s">
        <v>309</v>
      </c>
      <c r="C478" s="1" t="s">
        <v>19</v>
      </c>
      <c r="D478" s="1" t="s">
        <v>77</v>
      </c>
      <c r="E478" s="1" t="s">
        <v>67</v>
      </c>
      <c r="F478" s="1" t="s">
        <v>682</v>
      </c>
      <c r="G478" s="1">
        <v>17.5</v>
      </c>
      <c r="H478" s="1" t="s">
        <v>60</v>
      </c>
      <c r="I478" s="1">
        <v>-125.0</v>
      </c>
      <c r="J478" s="1">
        <v>0.00153333333333338</v>
      </c>
      <c r="K478" s="1" t="s">
        <v>61</v>
      </c>
      <c r="L478" s="1" t="s">
        <v>61</v>
      </c>
      <c r="M478" s="1" t="s">
        <v>62</v>
      </c>
      <c r="N478" s="1">
        <v>-107.0</v>
      </c>
      <c r="O478" s="1">
        <v>-0.0740115942028986</v>
      </c>
      <c r="P478" s="1" t="s">
        <v>61</v>
      </c>
      <c r="Q478" s="1" t="s">
        <v>61</v>
      </c>
      <c r="R478" s="1">
        <f t="shared" si="1"/>
        <v>0.001533333333</v>
      </c>
      <c r="S478" s="1">
        <f t="shared" si="2"/>
        <v>-125</v>
      </c>
      <c r="T478" s="1">
        <f t="shared" si="3"/>
        <v>1.8</v>
      </c>
      <c r="U478" s="1">
        <f t="shared" si="4"/>
        <v>1</v>
      </c>
      <c r="V478" s="3">
        <f t="shared" si="5"/>
        <v>1</v>
      </c>
      <c r="W478" s="3">
        <f t="shared" si="6"/>
        <v>3</v>
      </c>
      <c r="X478" s="3" t="str">
        <f>IFERROR(__xludf.DUMMYFUNCTION("split(B478,"" "")"),"D.")</f>
        <v>D.</v>
      </c>
      <c r="Y478" s="3" t="str">
        <f>IFERROR(__xludf.DUMMYFUNCTION("""COMPUTED_VALUE"""),"Henry")</f>
        <v>Henry</v>
      </c>
      <c r="AA478" s="8">
        <v>16.0</v>
      </c>
      <c r="AB478" s="3">
        <f t="shared" si="7"/>
        <v>0</v>
      </c>
      <c r="AC478" s="3">
        <f t="shared" si="8"/>
        <v>0</v>
      </c>
      <c r="AD478" s="3">
        <f t="shared" si="9"/>
        <v>0.8</v>
      </c>
      <c r="AE478" s="3">
        <f t="shared" si="10"/>
        <v>-1</v>
      </c>
      <c r="AF478" s="3">
        <f t="shared" si="11"/>
        <v>-3</v>
      </c>
      <c r="AG478" s="3">
        <f t="shared" si="12"/>
        <v>-0.08571428571</v>
      </c>
    </row>
    <row r="479">
      <c r="A479" s="1" t="s">
        <v>9</v>
      </c>
      <c r="B479" s="1" t="s">
        <v>182</v>
      </c>
      <c r="C479" s="1" t="s">
        <v>19</v>
      </c>
      <c r="D479" s="1" t="s">
        <v>77</v>
      </c>
      <c r="E479" s="1" t="s">
        <v>67</v>
      </c>
      <c r="F479" s="1" t="s">
        <v>682</v>
      </c>
      <c r="G479" s="1">
        <v>26.5</v>
      </c>
      <c r="H479" s="1" t="s">
        <v>60</v>
      </c>
      <c r="I479" s="1">
        <v>-119.0</v>
      </c>
      <c r="J479" s="1">
        <v>0.0373384306910055</v>
      </c>
      <c r="K479" s="1" t="s">
        <v>61</v>
      </c>
      <c r="L479" s="1" t="s">
        <v>61</v>
      </c>
      <c r="M479" s="1" t="s">
        <v>62</v>
      </c>
      <c r="N479" s="1">
        <v>-114.0</v>
      </c>
      <c r="O479" s="1">
        <v>-0.113397283207086</v>
      </c>
      <c r="P479" s="1" t="s">
        <v>61</v>
      </c>
      <c r="Q479" s="1" t="s">
        <v>61</v>
      </c>
      <c r="R479" s="1">
        <f t="shared" si="1"/>
        <v>0.03733843069</v>
      </c>
      <c r="S479" s="1">
        <f t="shared" si="2"/>
        <v>-119</v>
      </c>
      <c r="T479" s="1">
        <f t="shared" si="3"/>
        <v>1.840336134</v>
      </c>
      <c r="U479" s="1">
        <f t="shared" si="4"/>
        <v>1</v>
      </c>
      <c r="V479" s="3">
        <f t="shared" si="5"/>
        <v>1</v>
      </c>
      <c r="W479" s="3">
        <f t="shared" si="6"/>
        <v>3</v>
      </c>
      <c r="X479" s="3" t="str">
        <f>IFERROR(__xludf.DUMMYFUNCTION("split(B479,"" "")"),"J.")</f>
        <v>J.</v>
      </c>
      <c r="Y479" s="3" t="str">
        <f>IFERROR(__xludf.DUMMYFUNCTION("""COMPUTED_VALUE"""),"Hill")</f>
        <v>Hill</v>
      </c>
      <c r="AA479" s="8">
        <v>-2.0</v>
      </c>
      <c r="AB479" s="3">
        <f t="shared" si="7"/>
        <v>0</v>
      </c>
      <c r="AC479" s="3">
        <f t="shared" si="8"/>
        <v>0</v>
      </c>
      <c r="AD479" s="3">
        <f t="shared" si="9"/>
        <v>0.8403361345</v>
      </c>
      <c r="AE479" s="3">
        <f t="shared" si="10"/>
        <v>-1</v>
      </c>
      <c r="AF479" s="3">
        <f t="shared" si="11"/>
        <v>-3</v>
      </c>
      <c r="AG479" s="3">
        <f t="shared" si="12"/>
        <v>-1.075471698</v>
      </c>
    </row>
    <row r="480">
      <c r="A480" s="1" t="s">
        <v>12</v>
      </c>
      <c r="B480" s="1" t="s">
        <v>399</v>
      </c>
      <c r="C480" s="1" t="s">
        <v>18</v>
      </c>
      <c r="D480" s="1" t="s">
        <v>77</v>
      </c>
      <c r="E480" s="1" t="s">
        <v>67</v>
      </c>
      <c r="F480" s="1" t="s">
        <v>682</v>
      </c>
      <c r="G480" s="1">
        <v>5.5</v>
      </c>
      <c r="H480" s="1" t="s">
        <v>60</v>
      </c>
      <c r="I480" s="1">
        <v>119.0</v>
      </c>
      <c r="J480" s="1">
        <v>0.0521246575342465</v>
      </c>
      <c r="K480" s="1" t="s">
        <v>61</v>
      </c>
      <c r="L480" s="1" t="s">
        <v>61</v>
      </c>
      <c r="M480" s="1" t="s">
        <v>62</v>
      </c>
      <c r="N480" s="1">
        <v>-153.0</v>
      </c>
      <c r="O480" s="1">
        <v>-0.113482608695652</v>
      </c>
      <c r="P480" s="1" t="s">
        <v>61</v>
      </c>
      <c r="Q480" s="1" t="s">
        <v>61</v>
      </c>
      <c r="R480" s="1">
        <f t="shared" si="1"/>
        <v>0.05212465753</v>
      </c>
      <c r="S480" s="1">
        <f t="shared" si="2"/>
        <v>119</v>
      </c>
      <c r="T480" s="1">
        <f t="shared" si="3"/>
        <v>2.19</v>
      </c>
      <c r="U480" s="1">
        <f t="shared" si="4"/>
        <v>1</v>
      </c>
      <c r="V480" s="3">
        <f t="shared" si="5"/>
        <v>2</v>
      </c>
      <c r="W480" s="3">
        <f t="shared" si="6"/>
        <v>1</v>
      </c>
      <c r="X480" s="3" t="str">
        <f>IFERROR(__xludf.DUMMYFUNCTION("split(B480,"" "")"),"Z.")</f>
        <v>Z.</v>
      </c>
      <c r="Y480" s="3" t="str">
        <f>IFERROR(__xludf.DUMMYFUNCTION("""COMPUTED_VALUE"""),"Flowers")</f>
        <v>Flowers</v>
      </c>
      <c r="AA480" s="8">
        <v>4.0</v>
      </c>
      <c r="AB480" s="3">
        <f t="shared" si="7"/>
        <v>0</v>
      </c>
      <c r="AC480" s="3">
        <f t="shared" si="8"/>
        <v>0</v>
      </c>
      <c r="AD480" s="3">
        <f t="shared" si="9"/>
        <v>2.38</v>
      </c>
      <c r="AE480" s="3">
        <f t="shared" si="10"/>
        <v>-2</v>
      </c>
      <c r="AF480" s="3">
        <f t="shared" si="11"/>
        <v>-1</v>
      </c>
      <c r="AG480" s="3">
        <f t="shared" si="12"/>
        <v>-0.2727272727</v>
      </c>
    </row>
    <row r="481">
      <c r="A481" s="1" t="s">
        <v>9</v>
      </c>
      <c r="B481" s="1" t="s">
        <v>239</v>
      </c>
      <c r="C481" s="1" t="s">
        <v>18</v>
      </c>
      <c r="D481" s="1" t="s">
        <v>77</v>
      </c>
      <c r="E481" s="1" t="s">
        <v>67</v>
      </c>
      <c r="F481" s="1" t="s">
        <v>682</v>
      </c>
      <c r="G481" s="1">
        <v>30.5</v>
      </c>
      <c r="H481" s="1" t="s">
        <v>60</v>
      </c>
      <c r="I481" s="1">
        <v>-114.0</v>
      </c>
      <c r="J481" s="1">
        <v>0.0474483578692576</v>
      </c>
      <c r="K481" s="1" t="s">
        <v>61</v>
      </c>
      <c r="L481" s="1" t="s">
        <v>61</v>
      </c>
      <c r="M481" s="1" t="s">
        <v>62</v>
      </c>
      <c r="N481" s="1">
        <v>-118.0</v>
      </c>
      <c r="O481" s="1">
        <v>-0.121436492335527</v>
      </c>
      <c r="P481" s="1" t="s">
        <v>61</v>
      </c>
      <c r="Q481" s="1" t="s">
        <v>61</v>
      </c>
      <c r="R481" s="1">
        <f t="shared" si="1"/>
        <v>0.04744835787</v>
      </c>
      <c r="S481" s="1">
        <f t="shared" si="2"/>
        <v>-114</v>
      </c>
      <c r="T481" s="1">
        <f t="shared" si="3"/>
        <v>1.877192982</v>
      </c>
      <c r="U481" s="1">
        <f t="shared" si="4"/>
        <v>1</v>
      </c>
      <c r="V481" s="3">
        <f t="shared" si="5"/>
        <v>1</v>
      </c>
      <c r="W481" s="3">
        <f t="shared" si="6"/>
        <v>2</v>
      </c>
      <c r="X481" s="3" t="str">
        <f>IFERROR(__xludf.DUMMYFUNCTION("split(B481,"" "")"),"R.")</f>
        <v>R.</v>
      </c>
      <c r="Y481" s="3" t="str">
        <f>IFERROR(__xludf.DUMMYFUNCTION("""COMPUTED_VALUE"""),"Bateman")</f>
        <v>Bateman</v>
      </c>
      <c r="AA481" s="8">
        <v>54.0</v>
      </c>
      <c r="AB481" s="3">
        <f t="shared" si="7"/>
        <v>1</v>
      </c>
      <c r="AC481" s="3">
        <f t="shared" si="8"/>
        <v>1</v>
      </c>
      <c r="AD481" s="3">
        <f t="shared" si="9"/>
        <v>0.8771929825</v>
      </c>
      <c r="AE481" s="3">
        <f t="shared" si="10"/>
        <v>0.8771929825</v>
      </c>
      <c r="AF481" s="3">
        <f t="shared" si="11"/>
        <v>1.754385965</v>
      </c>
      <c r="AG481" s="3">
        <f t="shared" si="12"/>
        <v>0.7704918033</v>
      </c>
    </row>
    <row r="482">
      <c r="A482" s="1" t="s">
        <v>11</v>
      </c>
      <c r="B482" s="1" t="s">
        <v>309</v>
      </c>
      <c r="C482" s="1" t="s">
        <v>19</v>
      </c>
      <c r="D482" s="1" t="s">
        <v>77</v>
      </c>
      <c r="E482" s="1" t="s">
        <v>67</v>
      </c>
      <c r="F482" s="1" t="s">
        <v>682</v>
      </c>
      <c r="G482" s="1">
        <v>4.5</v>
      </c>
      <c r="H482" s="1" t="s">
        <v>60</v>
      </c>
      <c r="I482" s="1">
        <v>-118.0</v>
      </c>
      <c r="J482" s="1">
        <v>0.104292622600051</v>
      </c>
      <c r="K482" s="1" t="s">
        <v>61</v>
      </c>
      <c r="L482" s="1" t="s">
        <v>61</v>
      </c>
      <c r="M482" s="1" t="s">
        <v>62</v>
      </c>
      <c r="N482" s="1">
        <v>-109.0</v>
      </c>
      <c r="O482" s="1">
        <v>-0.167104980776192</v>
      </c>
      <c r="P482" s="1" t="s">
        <v>61</v>
      </c>
      <c r="Q482" s="1" t="s">
        <v>61</v>
      </c>
      <c r="R482" s="1">
        <f t="shared" si="1"/>
        <v>0.1042926226</v>
      </c>
      <c r="S482" s="1">
        <f t="shared" si="2"/>
        <v>-118</v>
      </c>
      <c r="T482" s="1">
        <f t="shared" si="3"/>
        <v>1.847457627</v>
      </c>
      <c r="U482" s="1">
        <f t="shared" si="4"/>
        <v>1</v>
      </c>
      <c r="V482" s="3">
        <f t="shared" si="5"/>
        <v>3</v>
      </c>
      <c r="W482" s="3">
        <f t="shared" si="6"/>
        <v>3</v>
      </c>
      <c r="X482" s="3" t="str">
        <f>IFERROR(__xludf.DUMMYFUNCTION("split(B482,"" "")"),"D.")</f>
        <v>D.</v>
      </c>
      <c r="Y482" s="3" t="str">
        <f>IFERROR(__xludf.DUMMYFUNCTION("""COMPUTED_VALUE"""),"Henry")</f>
        <v>Henry</v>
      </c>
      <c r="AA482" s="8">
        <v>3.0</v>
      </c>
      <c r="AB482" s="3">
        <f t="shared" si="7"/>
        <v>0</v>
      </c>
      <c r="AC482" s="3">
        <f t="shared" si="8"/>
        <v>0</v>
      </c>
      <c r="AD482" s="3">
        <f t="shared" si="9"/>
        <v>2.542372881</v>
      </c>
      <c r="AE482" s="3">
        <f t="shared" si="10"/>
        <v>-3</v>
      </c>
      <c r="AF482" s="3">
        <f t="shared" si="11"/>
        <v>-3</v>
      </c>
      <c r="AG482" s="3">
        <f t="shared" si="12"/>
        <v>-0.3333333333</v>
      </c>
    </row>
    <row r="483">
      <c r="A483" s="1" t="s">
        <v>9</v>
      </c>
      <c r="B483" s="1" t="s">
        <v>685</v>
      </c>
      <c r="C483" s="1" t="s">
        <v>19</v>
      </c>
      <c r="D483" s="1" t="s">
        <v>77</v>
      </c>
      <c r="E483" s="1" t="s">
        <v>67</v>
      </c>
      <c r="F483" s="1" t="s">
        <v>682</v>
      </c>
      <c r="G483" s="1">
        <v>16.5</v>
      </c>
      <c r="H483" s="1" t="s">
        <v>60</v>
      </c>
      <c r="I483" s="1">
        <v>-113.0</v>
      </c>
      <c r="J483" s="1">
        <v>0.124536081450403</v>
      </c>
      <c r="K483" s="1" t="s">
        <v>61</v>
      </c>
      <c r="L483" s="1" t="s">
        <v>61</v>
      </c>
      <c r="M483" s="1" t="s">
        <v>62</v>
      </c>
      <c r="N483" s="1">
        <v>-120.0</v>
      </c>
      <c r="O483" s="1">
        <v>-0.200499374630559</v>
      </c>
      <c r="P483" s="1" t="s">
        <v>61</v>
      </c>
      <c r="Q483" s="1" t="s">
        <v>61</v>
      </c>
      <c r="R483" s="1">
        <f t="shared" si="1"/>
        <v>0.1245360815</v>
      </c>
      <c r="S483" s="1">
        <f t="shared" si="2"/>
        <v>-113</v>
      </c>
      <c r="T483" s="1">
        <f t="shared" si="3"/>
        <v>1.884955752</v>
      </c>
      <c r="U483" s="1">
        <f t="shared" si="4"/>
        <v>1</v>
      </c>
      <c r="V483" s="3">
        <f t="shared" si="5"/>
        <v>3</v>
      </c>
      <c r="W483" s="3">
        <f t="shared" si="6"/>
        <v>2</v>
      </c>
      <c r="X483" s="3" t="str">
        <f>IFERROR(__xludf.DUMMYFUNCTION("split(B483,"" "")"),"K.")</f>
        <v>K.</v>
      </c>
      <c r="Y483" s="3" t="str">
        <f>IFERROR(__xludf.DUMMYFUNCTION("""COMPUTED_VALUE"""),"Mitchell")</f>
        <v>Mitchell</v>
      </c>
      <c r="AA483" s="8">
        <v>0.0</v>
      </c>
      <c r="AB483" s="3">
        <f t="shared" si="7"/>
        <v>0</v>
      </c>
      <c r="AC483" s="3">
        <f t="shared" si="8"/>
        <v>0</v>
      </c>
      <c r="AD483" s="3">
        <f t="shared" si="9"/>
        <v>2.654867257</v>
      </c>
      <c r="AE483" s="3">
        <f t="shared" si="10"/>
        <v>-3</v>
      </c>
      <c r="AF483" s="3">
        <f t="shared" si="11"/>
        <v>-2</v>
      </c>
      <c r="AG483" s="3">
        <f t="shared" si="12"/>
        <v>-1</v>
      </c>
    </row>
    <row r="484">
      <c r="A484" s="1" t="s">
        <v>9</v>
      </c>
      <c r="B484" s="1" t="s">
        <v>353</v>
      </c>
      <c r="C484" s="1" t="s">
        <v>18</v>
      </c>
      <c r="D484" s="1" t="s">
        <v>77</v>
      </c>
      <c r="E484" s="1" t="s">
        <v>67</v>
      </c>
      <c r="F484" s="1" t="s">
        <v>682</v>
      </c>
      <c r="G484" s="1">
        <v>19.5</v>
      </c>
      <c r="H484" s="1" t="s">
        <v>60</v>
      </c>
      <c r="I484" s="1">
        <v>-114.0</v>
      </c>
      <c r="J484" s="1">
        <v>0.149676461447736</v>
      </c>
      <c r="K484" s="1" t="s">
        <v>61</v>
      </c>
      <c r="L484" s="1" t="s">
        <v>61</v>
      </c>
      <c r="M484" s="1" t="s">
        <v>62</v>
      </c>
      <c r="N484" s="1">
        <v>-119.0</v>
      </c>
      <c r="O484" s="1">
        <v>-0.22576357841224</v>
      </c>
      <c r="P484" s="1" t="s">
        <v>61</v>
      </c>
      <c r="Q484" s="1" t="s">
        <v>61</v>
      </c>
      <c r="R484" s="1">
        <f t="shared" si="1"/>
        <v>0.1496764614</v>
      </c>
      <c r="S484" s="1">
        <f t="shared" si="2"/>
        <v>-114</v>
      </c>
      <c r="T484" s="1">
        <f t="shared" si="3"/>
        <v>1.877192982</v>
      </c>
      <c r="U484" s="1">
        <f t="shared" si="4"/>
        <v>1</v>
      </c>
      <c r="V484" s="3">
        <f t="shared" si="5"/>
        <v>3</v>
      </c>
      <c r="W484" s="3">
        <f t="shared" si="6"/>
        <v>2</v>
      </c>
      <c r="X484" s="3" t="str">
        <f>IFERROR(__xludf.DUMMYFUNCTION("split(B484,"" "")"),"D.")</f>
        <v>D.</v>
      </c>
      <c r="Y484" s="3" t="str">
        <f>IFERROR(__xludf.DUMMYFUNCTION("""COMPUTED_VALUE"""),"Johnson")</f>
        <v>Johnson</v>
      </c>
      <c r="AA484" s="8">
        <v>6.0</v>
      </c>
      <c r="AB484" s="3">
        <f t="shared" si="7"/>
        <v>0</v>
      </c>
      <c r="AC484" s="3">
        <f t="shared" si="8"/>
        <v>0</v>
      </c>
      <c r="AD484" s="3">
        <f t="shared" si="9"/>
        <v>2.631578947</v>
      </c>
      <c r="AE484" s="3">
        <f t="shared" si="10"/>
        <v>-3</v>
      </c>
      <c r="AF484" s="3">
        <f t="shared" si="11"/>
        <v>-2</v>
      </c>
      <c r="AG484" s="3">
        <f t="shared" si="12"/>
        <v>-0.6923076923</v>
      </c>
    </row>
    <row r="485">
      <c r="A485" s="1" t="s">
        <v>9</v>
      </c>
      <c r="B485" s="1" t="s">
        <v>138</v>
      </c>
      <c r="C485" s="1" t="s">
        <v>18</v>
      </c>
      <c r="D485" s="1" t="s">
        <v>77</v>
      </c>
      <c r="E485" s="1" t="s">
        <v>67</v>
      </c>
      <c r="F485" s="1" t="s">
        <v>682</v>
      </c>
      <c r="G485" s="1">
        <v>10.5</v>
      </c>
      <c r="H485" s="1" t="s">
        <v>60</v>
      </c>
      <c r="I485" s="1">
        <v>-114.0</v>
      </c>
      <c r="J485" s="1">
        <v>0.193517299855788</v>
      </c>
      <c r="K485" s="1" t="s">
        <v>61</v>
      </c>
      <c r="L485" s="1" t="s">
        <v>61</v>
      </c>
      <c r="M485" s="1" t="s">
        <v>62</v>
      </c>
      <c r="N485" s="1">
        <v>-118.0</v>
      </c>
      <c r="O485" s="1">
        <v>-0.267468846603595</v>
      </c>
      <c r="P485" s="1" t="s">
        <v>61</v>
      </c>
      <c r="Q485" s="1" t="s">
        <v>61</v>
      </c>
      <c r="R485" s="1">
        <f t="shared" si="1"/>
        <v>0.1935172999</v>
      </c>
      <c r="S485" s="1">
        <f t="shared" si="2"/>
        <v>-114</v>
      </c>
      <c r="T485" s="1">
        <f t="shared" si="3"/>
        <v>1.877192982</v>
      </c>
      <c r="U485" s="1">
        <f t="shared" si="4"/>
        <v>1</v>
      </c>
      <c r="V485" s="3">
        <f t="shared" si="5"/>
        <v>3</v>
      </c>
      <c r="W485" s="3">
        <f t="shared" si="6"/>
        <v>2</v>
      </c>
      <c r="X485" s="3" t="str">
        <f>IFERROR(__xludf.DUMMYFUNCTION("split(B485,"" "")"),"N.")</f>
        <v>N.</v>
      </c>
      <c r="Y485" s="3" t="str">
        <f>IFERROR(__xludf.DUMMYFUNCTION("""COMPUTED_VALUE"""),"Agholor")</f>
        <v>Agholor</v>
      </c>
      <c r="AA485" s="8">
        <v>6.0</v>
      </c>
      <c r="AB485" s="3">
        <f t="shared" si="7"/>
        <v>0</v>
      </c>
      <c r="AC485" s="3">
        <f t="shared" si="8"/>
        <v>0</v>
      </c>
      <c r="AD485" s="3">
        <f t="shared" si="9"/>
        <v>2.631578947</v>
      </c>
      <c r="AE485" s="3">
        <f t="shared" si="10"/>
        <v>-3</v>
      </c>
      <c r="AF485" s="3">
        <f t="shared" si="11"/>
        <v>-2</v>
      </c>
      <c r="AG485" s="3">
        <f t="shared" si="12"/>
        <v>-0.4285714286</v>
      </c>
    </row>
    <row r="486">
      <c r="A486" s="1" t="s">
        <v>8</v>
      </c>
      <c r="B486" s="1" t="s">
        <v>202</v>
      </c>
      <c r="C486" s="1" t="s">
        <v>19</v>
      </c>
      <c r="D486" s="1" t="s">
        <v>109</v>
      </c>
      <c r="E486" s="1" t="s">
        <v>58</v>
      </c>
      <c r="F486" s="1" t="s">
        <v>670</v>
      </c>
      <c r="G486" s="1">
        <v>8.5</v>
      </c>
      <c r="H486" s="1" t="s">
        <v>60</v>
      </c>
      <c r="I486" s="1">
        <v>-113.0</v>
      </c>
      <c r="J486" s="1">
        <v>-0.209552193684479</v>
      </c>
      <c r="K486" s="1" t="s">
        <v>61</v>
      </c>
      <c r="L486" s="1" t="s">
        <v>61</v>
      </c>
      <c r="M486" s="1" t="s">
        <v>62</v>
      </c>
      <c r="N486" s="1">
        <v>-118.0</v>
      </c>
      <c r="O486" s="1">
        <v>0.137772120920445</v>
      </c>
      <c r="P486" s="1" t="s">
        <v>61</v>
      </c>
      <c r="Q486" s="1" t="s">
        <v>61</v>
      </c>
      <c r="R486" s="1">
        <f t="shared" si="1"/>
        <v>0.1377721209</v>
      </c>
      <c r="S486" s="1">
        <f t="shared" si="2"/>
        <v>-118</v>
      </c>
      <c r="T486" s="1">
        <f t="shared" si="3"/>
        <v>1.847457627</v>
      </c>
      <c r="U486" s="1">
        <f t="shared" si="4"/>
        <v>0</v>
      </c>
      <c r="V486" s="3">
        <f t="shared" si="5"/>
        <v>3</v>
      </c>
      <c r="W486" s="3">
        <f t="shared" si="6"/>
        <v>3</v>
      </c>
      <c r="X486" s="3" t="str">
        <f>IFERROR(__xludf.DUMMYFUNCTION("split(B486,"" "")"),"T.")</f>
        <v>T.</v>
      </c>
      <c r="Y486" s="3" t="str">
        <f>IFERROR(__xludf.DUMMYFUNCTION("""COMPUTED_VALUE"""),"Allgeier")</f>
        <v>Allgeier</v>
      </c>
      <c r="AA486" s="8">
        <v>11.0</v>
      </c>
      <c r="AB486" s="3">
        <f t="shared" si="7"/>
        <v>1</v>
      </c>
      <c r="AC486" s="3">
        <f t="shared" si="8"/>
        <v>0</v>
      </c>
      <c r="AD486" s="3">
        <f t="shared" si="9"/>
        <v>2.542372881</v>
      </c>
      <c r="AE486" s="3">
        <f t="shared" si="10"/>
        <v>-3</v>
      </c>
      <c r="AF486" s="3">
        <f t="shared" si="11"/>
        <v>-3</v>
      </c>
      <c r="AG486" s="3">
        <f t="shared" si="12"/>
        <v>-0.2941176471</v>
      </c>
    </row>
    <row r="487">
      <c r="A487" s="1" t="s">
        <v>12</v>
      </c>
      <c r="B487" s="1" t="s">
        <v>108</v>
      </c>
      <c r="C487" s="1" t="s">
        <v>20</v>
      </c>
      <c r="D487" s="1" t="s">
        <v>109</v>
      </c>
      <c r="E487" s="1" t="s">
        <v>58</v>
      </c>
      <c r="F487" s="1" t="s">
        <v>670</v>
      </c>
      <c r="G487" s="1">
        <v>3.5</v>
      </c>
      <c r="H487" s="1" t="s">
        <v>60</v>
      </c>
      <c r="I487" s="1">
        <v>-119.0</v>
      </c>
      <c r="J487" s="1">
        <v>-0.174024657534246</v>
      </c>
      <c r="K487" s="1" t="s">
        <v>61</v>
      </c>
      <c r="L487" s="1" t="s">
        <v>61</v>
      </c>
      <c r="M487" s="1" t="s">
        <v>62</v>
      </c>
      <c r="N487" s="1">
        <v>-111.0</v>
      </c>
      <c r="O487" s="1">
        <v>0.10458625592417</v>
      </c>
      <c r="P487" s="1" t="s">
        <v>61</v>
      </c>
      <c r="Q487" s="1" t="s">
        <v>61</v>
      </c>
      <c r="R487" s="1">
        <f t="shared" si="1"/>
        <v>0.1045862559</v>
      </c>
      <c r="S487" s="1">
        <f t="shared" si="2"/>
        <v>-111</v>
      </c>
      <c r="T487" s="1">
        <f t="shared" si="3"/>
        <v>1.900900901</v>
      </c>
      <c r="U487" s="1">
        <f t="shared" si="4"/>
        <v>0</v>
      </c>
      <c r="V487" s="3">
        <f t="shared" si="5"/>
        <v>3</v>
      </c>
      <c r="W487" s="3">
        <f t="shared" si="6"/>
        <v>2</v>
      </c>
      <c r="X487" s="3" t="str">
        <f>IFERROR(__xludf.DUMMYFUNCTION("split(B487,"" "")"),"K.")</f>
        <v>K.</v>
      </c>
      <c r="Y487" s="3" t="str">
        <f>IFERROR(__xludf.DUMMYFUNCTION("""COMPUTED_VALUE"""),"Pitts")</f>
        <v>Pitts</v>
      </c>
      <c r="AA487" s="8">
        <v>4.0</v>
      </c>
      <c r="AB487" s="3">
        <f t="shared" si="7"/>
        <v>1</v>
      </c>
      <c r="AC487" s="3">
        <f t="shared" si="8"/>
        <v>0</v>
      </c>
      <c r="AD487" s="3">
        <f t="shared" si="9"/>
        <v>2.702702703</v>
      </c>
      <c r="AE487" s="3">
        <f t="shared" si="10"/>
        <v>-3</v>
      </c>
      <c r="AF487" s="3">
        <f t="shared" si="11"/>
        <v>-2</v>
      </c>
      <c r="AG487" s="3">
        <f t="shared" si="12"/>
        <v>-0.1428571429</v>
      </c>
    </row>
    <row r="488">
      <c r="A488" s="1" t="s">
        <v>12</v>
      </c>
      <c r="B488" s="1" t="s">
        <v>202</v>
      </c>
      <c r="C488" s="1" t="s">
        <v>19</v>
      </c>
      <c r="D488" s="1" t="s">
        <v>109</v>
      </c>
      <c r="E488" s="1" t="s">
        <v>58</v>
      </c>
      <c r="F488" s="1" t="s">
        <v>670</v>
      </c>
      <c r="G488" s="1">
        <v>0.5</v>
      </c>
      <c r="H488" s="1" t="s">
        <v>60</v>
      </c>
      <c r="I488" s="1">
        <v>-180.0</v>
      </c>
      <c r="J488" s="1">
        <v>-0.120452521803928</v>
      </c>
      <c r="K488" s="1" t="s">
        <v>61</v>
      </c>
      <c r="L488" s="1" t="s">
        <v>61</v>
      </c>
      <c r="M488" s="1" t="s">
        <v>62</v>
      </c>
      <c r="N488" s="1">
        <v>135.0</v>
      </c>
      <c r="O488" s="1">
        <v>0.0520625791706383</v>
      </c>
      <c r="P488" s="1" t="s">
        <v>61</v>
      </c>
      <c r="Q488" s="1" t="s">
        <v>61</v>
      </c>
      <c r="R488" s="1">
        <f t="shared" si="1"/>
        <v>0.05206257917</v>
      </c>
      <c r="S488" s="1">
        <f t="shared" si="2"/>
        <v>135</v>
      </c>
      <c r="T488" s="1">
        <f t="shared" si="3"/>
        <v>2.35</v>
      </c>
      <c r="U488" s="1">
        <f t="shared" si="4"/>
        <v>0</v>
      </c>
      <c r="V488" s="3">
        <f t="shared" si="5"/>
        <v>2</v>
      </c>
      <c r="W488" s="3">
        <f t="shared" si="6"/>
        <v>1</v>
      </c>
      <c r="X488" s="3" t="str">
        <f>IFERROR(__xludf.DUMMYFUNCTION("split(B488,"" "")"),"T.")</f>
        <v>T.</v>
      </c>
      <c r="Y488" s="3" t="str">
        <f>IFERROR(__xludf.DUMMYFUNCTION("""COMPUTED_VALUE"""),"Allgeier")</f>
        <v>Allgeier</v>
      </c>
      <c r="AA488" s="8">
        <v>0.0</v>
      </c>
      <c r="AB488" s="3">
        <f t="shared" si="7"/>
        <v>0</v>
      </c>
      <c r="AC488" s="3">
        <f t="shared" si="8"/>
        <v>1</v>
      </c>
      <c r="AD488" s="3">
        <f t="shared" si="9"/>
        <v>2.7</v>
      </c>
      <c r="AE488" s="3">
        <f t="shared" si="10"/>
        <v>2.7</v>
      </c>
      <c r="AF488" s="3">
        <f t="shared" si="11"/>
        <v>1.35</v>
      </c>
      <c r="AG488" s="3">
        <f t="shared" si="12"/>
        <v>1</v>
      </c>
    </row>
    <row r="489">
      <c r="A489" s="1" t="s">
        <v>11</v>
      </c>
      <c r="B489" s="1" t="s">
        <v>108</v>
      </c>
      <c r="C489" s="1" t="s">
        <v>20</v>
      </c>
      <c r="D489" s="1" t="s">
        <v>109</v>
      </c>
      <c r="E489" s="1" t="s">
        <v>58</v>
      </c>
      <c r="F489" s="1" t="s">
        <v>670</v>
      </c>
      <c r="G489" s="1">
        <v>40.5</v>
      </c>
      <c r="H489" s="1" t="s">
        <v>60</v>
      </c>
      <c r="I489" s="1">
        <v>-115.0</v>
      </c>
      <c r="J489" s="1">
        <v>-0.103428945799069</v>
      </c>
      <c r="K489" s="1" t="s">
        <v>61</v>
      </c>
      <c r="L489" s="1" t="s">
        <v>61</v>
      </c>
      <c r="M489" s="1" t="s">
        <v>62</v>
      </c>
      <c r="N489" s="1">
        <v>-113.0</v>
      </c>
      <c r="O489" s="1">
        <v>0.0380205734615728</v>
      </c>
      <c r="P489" s="1" t="s">
        <v>61</v>
      </c>
      <c r="Q489" s="1" t="s">
        <v>61</v>
      </c>
      <c r="R489" s="1">
        <f t="shared" si="1"/>
        <v>0.03802057346</v>
      </c>
      <c r="S489" s="1">
        <f t="shared" si="2"/>
        <v>-113</v>
      </c>
      <c r="T489" s="1">
        <f t="shared" si="3"/>
        <v>1.884955752</v>
      </c>
      <c r="U489" s="1">
        <f t="shared" si="4"/>
        <v>0</v>
      </c>
      <c r="V489" s="3">
        <f t="shared" si="5"/>
        <v>1</v>
      </c>
      <c r="W489" s="3">
        <f t="shared" si="6"/>
        <v>2</v>
      </c>
      <c r="X489" s="3" t="str">
        <f>IFERROR(__xludf.DUMMYFUNCTION("split(B489,"" "")"),"K.")</f>
        <v>K.</v>
      </c>
      <c r="Y489" s="3" t="str">
        <f>IFERROR(__xludf.DUMMYFUNCTION("""COMPUTED_VALUE"""),"Pitts")</f>
        <v>Pitts</v>
      </c>
      <c r="AA489" s="8">
        <v>55.0</v>
      </c>
      <c r="AB489" s="3">
        <f t="shared" si="7"/>
        <v>1</v>
      </c>
      <c r="AC489" s="3">
        <f t="shared" si="8"/>
        <v>0</v>
      </c>
      <c r="AD489" s="3">
        <f t="shared" si="9"/>
        <v>0.8849557522</v>
      </c>
      <c r="AE489" s="3">
        <f t="shared" si="10"/>
        <v>-1</v>
      </c>
      <c r="AF489" s="3">
        <f t="shared" si="11"/>
        <v>-2</v>
      </c>
      <c r="AG489" s="3">
        <f t="shared" si="12"/>
        <v>-0.3580246914</v>
      </c>
    </row>
    <row r="490">
      <c r="A490" s="1" t="s">
        <v>14</v>
      </c>
      <c r="B490" s="1" t="s">
        <v>328</v>
      </c>
      <c r="C490" s="1" t="s">
        <v>21</v>
      </c>
      <c r="D490" s="1" t="s">
        <v>109</v>
      </c>
      <c r="E490" s="1" t="s">
        <v>58</v>
      </c>
      <c r="F490" s="1" t="s">
        <v>670</v>
      </c>
      <c r="G490" s="1">
        <v>1.5</v>
      </c>
      <c r="H490" s="1" t="s">
        <v>60</v>
      </c>
      <c r="I490" s="1">
        <v>-132.0</v>
      </c>
      <c r="J490" s="1">
        <v>-0.103822413793103</v>
      </c>
      <c r="K490" s="1" t="s">
        <v>61</v>
      </c>
      <c r="L490" s="1" t="s">
        <v>61</v>
      </c>
      <c r="M490" s="1" t="s">
        <v>62</v>
      </c>
      <c r="N490" s="1">
        <v>101.0</v>
      </c>
      <c r="O490" s="1">
        <v>0.0373378109452735</v>
      </c>
      <c r="P490" s="1" t="s">
        <v>61</v>
      </c>
      <c r="Q490" s="1" t="s">
        <v>61</v>
      </c>
      <c r="R490" s="1">
        <f t="shared" si="1"/>
        <v>0.03733781095</v>
      </c>
      <c r="S490" s="1">
        <f t="shared" si="2"/>
        <v>101</v>
      </c>
      <c r="T490" s="1">
        <f t="shared" si="3"/>
        <v>2.01</v>
      </c>
      <c r="U490" s="1">
        <f t="shared" si="4"/>
        <v>0</v>
      </c>
      <c r="V490" s="3">
        <f t="shared" si="5"/>
        <v>1</v>
      </c>
      <c r="W490" s="3">
        <f t="shared" si="6"/>
        <v>2</v>
      </c>
      <c r="X490" s="3" t="str">
        <f>IFERROR(__xludf.DUMMYFUNCTION("split(B490,"" "")"),"K.")</f>
        <v>K.</v>
      </c>
      <c r="Y490" s="3" t="str">
        <f>IFERROR(__xludf.DUMMYFUNCTION("""COMPUTED_VALUE"""),"Cousins")</f>
        <v>Cousins</v>
      </c>
      <c r="AA490" s="8">
        <v>0.0</v>
      </c>
      <c r="AB490" s="3">
        <f t="shared" si="7"/>
        <v>0</v>
      </c>
      <c r="AC490" s="3">
        <f t="shared" si="8"/>
        <v>1</v>
      </c>
      <c r="AD490" s="3">
        <f t="shared" si="9"/>
        <v>1.01</v>
      </c>
      <c r="AE490" s="3">
        <f t="shared" si="10"/>
        <v>1.01</v>
      </c>
      <c r="AF490" s="3">
        <f t="shared" si="11"/>
        <v>2.02</v>
      </c>
      <c r="AG490" s="3">
        <f t="shared" si="12"/>
        <v>1</v>
      </c>
    </row>
    <row r="491">
      <c r="A491" s="1" t="s">
        <v>11</v>
      </c>
      <c r="B491" s="1" t="s">
        <v>264</v>
      </c>
      <c r="C491" s="1" t="s">
        <v>19</v>
      </c>
      <c r="D491" s="1" t="s">
        <v>109</v>
      </c>
      <c r="E491" s="1" t="s">
        <v>58</v>
      </c>
      <c r="F491" s="1" t="s">
        <v>670</v>
      </c>
      <c r="G491" s="1">
        <v>27.5</v>
      </c>
      <c r="H491" s="1" t="s">
        <v>60</v>
      </c>
      <c r="I491" s="1">
        <v>-120.0</v>
      </c>
      <c r="J491" s="1">
        <v>-0.1041721927655</v>
      </c>
      <c r="K491" s="1" t="s">
        <v>61</v>
      </c>
      <c r="L491" s="1" t="s">
        <v>61</v>
      </c>
      <c r="M491" s="1" t="s">
        <v>62</v>
      </c>
      <c r="N491" s="1">
        <v>-110.0</v>
      </c>
      <c r="O491" s="1">
        <v>0.0349870030916715</v>
      </c>
      <c r="P491" s="1" t="s">
        <v>61</v>
      </c>
      <c r="Q491" s="1" t="s">
        <v>61</v>
      </c>
      <c r="R491" s="1">
        <f t="shared" si="1"/>
        <v>0.03498700309</v>
      </c>
      <c r="S491" s="1">
        <f t="shared" si="2"/>
        <v>-110</v>
      </c>
      <c r="T491" s="1">
        <f t="shared" si="3"/>
        <v>1.909090909</v>
      </c>
      <c r="U491" s="1">
        <f t="shared" si="4"/>
        <v>0</v>
      </c>
      <c r="V491" s="3">
        <f t="shared" si="5"/>
        <v>1</v>
      </c>
      <c r="W491" s="3">
        <f t="shared" si="6"/>
        <v>2</v>
      </c>
      <c r="X491" s="3" t="str">
        <f>IFERROR(__xludf.DUMMYFUNCTION("split(B491,"" "")"),"B.")</f>
        <v>B.</v>
      </c>
      <c r="Y491" s="3" t="str">
        <f>IFERROR(__xludf.DUMMYFUNCTION("""COMPUTED_VALUE"""),"Robinson")</f>
        <v>Robinson</v>
      </c>
      <c r="AA491" s="8">
        <v>28.0</v>
      </c>
      <c r="AB491" s="3">
        <f t="shared" si="7"/>
        <v>1</v>
      </c>
      <c r="AC491" s="3">
        <f t="shared" si="8"/>
        <v>0</v>
      </c>
      <c r="AD491" s="3">
        <f t="shared" si="9"/>
        <v>0.9090909091</v>
      </c>
      <c r="AE491" s="3">
        <f t="shared" si="10"/>
        <v>-1</v>
      </c>
      <c r="AF491" s="3">
        <f t="shared" si="11"/>
        <v>-2</v>
      </c>
      <c r="AG491" s="3">
        <f t="shared" si="12"/>
        <v>-0.01818181818</v>
      </c>
    </row>
    <row r="492">
      <c r="A492" s="1" t="s">
        <v>10</v>
      </c>
      <c r="B492" s="1" t="s">
        <v>202</v>
      </c>
      <c r="C492" s="1" t="s">
        <v>19</v>
      </c>
      <c r="D492" s="1" t="s">
        <v>109</v>
      </c>
      <c r="E492" s="1" t="s">
        <v>58</v>
      </c>
      <c r="F492" s="1" t="s">
        <v>670</v>
      </c>
      <c r="G492" s="1">
        <v>35.5</v>
      </c>
      <c r="H492" s="1" t="s">
        <v>60</v>
      </c>
      <c r="I492" s="1">
        <v>-115.0</v>
      </c>
      <c r="J492" s="1">
        <v>-0.0866124556823553</v>
      </c>
      <c r="K492" s="1" t="s">
        <v>61</v>
      </c>
      <c r="L492" s="1" t="s">
        <v>61</v>
      </c>
      <c r="M492" s="1" t="s">
        <v>62</v>
      </c>
      <c r="N492" s="1">
        <v>-113.0</v>
      </c>
      <c r="O492" s="1">
        <v>0.0212995194702733</v>
      </c>
      <c r="P492" s="1" t="s">
        <v>61</v>
      </c>
      <c r="Q492" s="1" t="s">
        <v>61</v>
      </c>
      <c r="R492" s="1">
        <f t="shared" si="1"/>
        <v>0.02129951947</v>
      </c>
      <c r="S492" s="1">
        <f t="shared" si="2"/>
        <v>-113</v>
      </c>
      <c r="T492" s="1">
        <f t="shared" si="3"/>
        <v>1.884955752</v>
      </c>
      <c r="U492" s="1">
        <f t="shared" si="4"/>
        <v>0</v>
      </c>
      <c r="V492" s="3">
        <f t="shared" si="5"/>
        <v>1</v>
      </c>
      <c r="W492" s="3">
        <f t="shared" si="6"/>
        <v>2</v>
      </c>
      <c r="X492" s="3" t="str">
        <f>IFERROR(__xludf.DUMMYFUNCTION("split(B492,"" "")"),"T.")</f>
        <v>T.</v>
      </c>
      <c r="Y492" s="3" t="str">
        <f>IFERROR(__xludf.DUMMYFUNCTION("""COMPUTED_VALUE"""),"Allgeier")</f>
        <v>Allgeier</v>
      </c>
      <c r="AA492" s="8">
        <v>59.0</v>
      </c>
      <c r="AB492" s="3">
        <f t="shared" si="7"/>
        <v>1</v>
      </c>
      <c r="AC492" s="3">
        <f t="shared" si="8"/>
        <v>0</v>
      </c>
      <c r="AD492" s="3">
        <f t="shared" si="9"/>
        <v>0.8849557522</v>
      </c>
      <c r="AE492" s="3">
        <f t="shared" si="10"/>
        <v>-1</v>
      </c>
      <c r="AF492" s="3">
        <f t="shared" si="11"/>
        <v>-2</v>
      </c>
      <c r="AG492" s="3">
        <f t="shared" si="12"/>
        <v>-0.661971831</v>
      </c>
    </row>
    <row r="493">
      <c r="A493" s="1" t="s">
        <v>10</v>
      </c>
      <c r="B493" s="1" t="s">
        <v>264</v>
      </c>
      <c r="C493" s="1" t="s">
        <v>19</v>
      </c>
      <c r="D493" s="1" t="s">
        <v>109</v>
      </c>
      <c r="E493" s="1" t="s">
        <v>58</v>
      </c>
      <c r="F493" s="1" t="s">
        <v>670</v>
      </c>
      <c r="G493" s="1">
        <v>71.5</v>
      </c>
      <c r="H493" s="1" t="s">
        <v>60</v>
      </c>
      <c r="I493" s="1">
        <v>-115.0</v>
      </c>
      <c r="J493" s="1">
        <v>-0.0817114597677479</v>
      </c>
      <c r="K493" s="1" t="s">
        <v>61</v>
      </c>
      <c r="L493" s="1" t="s">
        <v>61</v>
      </c>
      <c r="M493" s="1" t="s">
        <v>62</v>
      </c>
      <c r="N493" s="1">
        <v>-113.0</v>
      </c>
      <c r="O493" s="1">
        <v>0.0163556266219762</v>
      </c>
      <c r="P493" s="1" t="s">
        <v>61</v>
      </c>
      <c r="Q493" s="1" t="s">
        <v>61</v>
      </c>
      <c r="R493" s="1">
        <f t="shared" si="1"/>
        <v>0.01635562662</v>
      </c>
      <c r="S493" s="1">
        <f t="shared" si="2"/>
        <v>-113</v>
      </c>
      <c r="T493" s="1">
        <f t="shared" si="3"/>
        <v>1.884955752</v>
      </c>
      <c r="U493" s="1">
        <f t="shared" si="4"/>
        <v>0</v>
      </c>
      <c r="V493" s="3">
        <f t="shared" si="5"/>
        <v>1</v>
      </c>
      <c r="W493" s="3">
        <f t="shared" si="6"/>
        <v>2</v>
      </c>
      <c r="X493" s="3" t="str">
        <f>IFERROR(__xludf.DUMMYFUNCTION("split(B493,"" "")"),"B.")</f>
        <v>B.</v>
      </c>
      <c r="Y493" s="3" t="str">
        <f>IFERROR(__xludf.DUMMYFUNCTION("""COMPUTED_VALUE"""),"Robinson")</f>
        <v>Robinson</v>
      </c>
      <c r="AA493" s="8">
        <v>116.0</v>
      </c>
      <c r="AB493" s="3">
        <f t="shared" si="7"/>
        <v>1</v>
      </c>
      <c r="AC493" s="3">
        <f t="shared" si="8"/>
        <v>0</v>
      </c>
      <c r="AD493" s="3">
        <f t="shared" si="9"/>
        <v>0.8849557522</v>
      </c>
      <c r="AE493" s="3">
        <f t="shared" si="10"/>
        <v>-1</v>
      </c>
      <c r="AF493" s="3">
        <f t="shared" si="11"/>
        <v>-2</v>
      </c>
      <c r="AG493" s="3">
        <f t="shared" si="12"/>
        <v>-0.6223776224</v>
      </c>
    </row>
    <row r="494">
      <c r="A494" s="1" t="s">
        <v>17</v>
      </c>
      <c r="B494" s="1" t="s">
        <v>328</v>
      </c>
      <c r="C494" s="1" t="s">
        <v>21</v>
      </c>
      <c r="D494" s="1" t="s">
        <v>109</v>
      </c>
      <c r="E494" s="1" t="s">
        <v>58</v>
      </c>
      <c r="F494" s="1" t="s">
        <v>670</v>
      </c>
      <c r="G494" s="1">
        <v>0.5</v>
      </c>
      <c r="H494" s="1" t="s">
        <v>60</v>
      </c>
      <c r="I494" s="1">
        <v>-108.0</v>
      </c>
      <c r="J494" s="1">
        <v>-0.0747307692307691</v>
      </c>
      <c r="K494" s="1" t="s">
        <v>61</v>
      </c>
      <c r="L494" s="1" t="s">
        <v>61</v>
      </c>
      <c r="M494" s="1" t="s">
        <v>62</v>
      </c>
      <c r="N494" s="1">
        <v>-121.0</v>
      </c>
      <c r="O494" s="1">
        <v>0.00798868778280537</v>
      </c>
      <c r="P494" s="1" t="s">
        <v>61</v>
      </c>
      <c r="Q494" s="1" t="s">
        <v>61</v>
      </c>
      <c r="R494" s="1">
        <f t="shared" si="1"/>
        <v>0.007988687783</v>
      </c>
      <c r="S494" s="1">
        <f t="shared" si="2"/>
        <v>-121</v>
      </c>
      <c r="T494" s="1">
        <f t="shared" si="3"/>
        <v>1.826446281</v>
      </c>
      <c r="U494" s="1">
        <f t="shared" si="4"/>
        <v>0</v>
      </c>
      <c r="V494" s="3">
        <f t="shared" si="5"/>
        <v>1</v>
      </c>
      <c r="W494" s="3">
        <f t="shared" si="6"/>
        <v>3</v>
      </c>
      <c r="X494" s="3" t="str">
        <f>IFERROR(__xludf.DUMMYFUNCTION("split(B494,"" "")"),"K.")</f>
        <v>K.</v>
      </c>
      <c r="Y494" s="3" t="str">
        <f>IFERROR(__xludf.DUMMYFUNCTION("""COMPUTED_VALUE"""),"Cousins")</f>
        <v>Cousins</v>
      </c>
      <c r="AA494" s="8">
        <v>1.0</v>
      </c>
      <c r="AB494" s="3">
        <f t="shared" si="7"/>
        <v>1</v>
      </c>
      <c r="AC494" s="3">
        <f t="shared" si="8"/>
        <v>0</v>
      </c>
      <c r="AD494" s="3">
        <f t="shared" si="9"/>
        <v>0.826446281</v>
      </c>
      <c r="AE494" s="3">
        <f t="shared" si="10"/>
        <v>-1</v>
      </c>
      <c r="AF494" s="3">
        <f t="shared" si="11"/>
        <v>-3</v>
      </c>
      <c r="AG494" s="3">
        <f t="shared" si="12"/>
        <v>-1</v>
      </c>
    </row>
    <row r="495">
      <c r="A495" s="1" t="s">
        <v>12</v>
      </c>
      <c r="B495" s="1" t="s">
        <v>355</v>
      </c>
      <c r="C495" s="1" t="s">
        <v>18</v>
      </c>
      <c r="D495" s="1" t="s">
        <v>109</v>
      </c>
      <c r="E495" s="1" t="s">
        <v>58</v>
      </c>
      <c r="F495" s="1" t="s">
        <v>670</v>
      </c>
      <c r="G495" s="1">
        <v>4.5</v>
      </c>
      <c r="H495" s="1" t="s">
        <v>60</v>
      </c>
      <c r="I495" s="1">
        <v>-123.0</v>
      </c>
      <c r="J495" s="1">
        <v>-0.07812466367713</v>
      </c>
      <c r="K495" s="1" t="s">
        <v>61</v>
      </c>
      <c r="L495" s="1" t="s">
        <v>61</v>
      </c>
      <c r="M495" s="1" t="s">
        <v>62</v>
      </c>
      <c r="N495" s="1">
        <v>-108.0</v>
      </c>
      <c r="O495" s="1">
        <v>0.00731730769230776</v>
      </c>
      <c r="P495" s="1" t="s">
        <v>61</v>
      </c>
      <c r="Q495" s="1" t="s">
        <v>61</v>
      </c>
      <c r="R495" s="1">
        <f t="shared" si="1"/>
        <v>0.007317307692</v>
      </c>
      <c r="S495" s="1">
        <f t="shared" si="2"/>
        <v>-108</v>
      </c>
      <c r="T495" s="1">
        <f t="shared" si="3"/>
        <v>1.925925926</v>
      </c>
      <c r="U495" s="1">
        <f t="shared" si="4"/>
        <v>0</v>
      </c>
      <c r="V495" s="3">
        <f t="shared" si="5"/>
        <v>1</v>
      </c>
      <c r="W495" s="3">
        <f t="shared" si="6"/>
        <v>2</v>
      </c>
      <c r="X495" s="3" t="str">
        <f>IFERROR(__xludf.DUMMYFUNCTION("split(B495,"" "")"),"D.")</f>
        <v>D.</v>
      </c>
      <c r="Y495" s="3" t="str">
        <f>IFERROR(__xludf.DUMMYFUNCTION("""COMPUTED_VALUE"""),"Mooney")</f>
        <v>Mooney</v>
      </c>
      <c r="AA495" s="8">
        <v>5.0</v>
      </c>
      <c r="AB495" s="3">
        <f t="shared" si="7"/>
        <v>1</v>
      </c>
      <c r="AC495" s="3">
        <f t="shared" si="8"/>
        <v>0</v>
      </c>
      <c r="AD495" s="3">
        <f t="shared" si="9"/>
        <v>0.9259259259</v>
      </c>
      <c r="AE495" s="3">
        <f t="shared" si="10"/>
        <v>-1</v>
      </c>
      <c r="AF495" s="3">
        <f t="shared" si="11"/>
        <v>-2</v>
      </c>
      <c r="AG495" s="3">
        <f t="shared" si="12"/>
        <v>-0.1111111111</v>
      </c>
    </row>
    <row r="496">
      <c r="A496" s="1" t="s">
        <v>9</v>
      </c>
      <c r="B496" s="1" t="s">
        <v>264</v>
      </c>
      <c r="C496" s="1" t="s">
        <v>19</v>
      </c>
      <c r="D496" s="1" t="s">
        <v>109</v>
      </c>
      <c r="E496" s="1" t="s">
        <v>58</v>
      </c>
      <c r="F496" s="1" t="s">
        <v>670</v>
      </c>
      <c r="G496" s="1">
        <v>103.5</v>
      </c>
      <c r="H496" s="1" t="s">
        <v>60</v>
      </c>
      <c r="I496" s="1">
        <v>-120.0</v>
      </c>
      <c r="J496" s="1">
        <v>-0.0801067425295267</v>
      </c>
      <c r="K496" s="1" t="s">
        <v>61</v>
      </c>
      <c r="L496" s="1" t="s">
        <v>61</v>
      </c>
      <c r="M496" s="1" t="s">
        <v>62</v>
      </c>
      <c r="N496" s="1">
        <v>-112.0</v>
      </c>
      <c r="O496" s="1">
        <v>0.00634237582111041</v>
      </c>
      <c r="P496" s="1" t="s">
        <v>61</v>
      </c>
      <c r="Q496" s="1" t="s">
        <v>61</v>
      </c>
      <c r="R496" s="1">
        <f t="shared" si="1"/>
        <v>0.006342375821</v>
      </c>
      <c r="S496" s="1">
        <f t="shared" si="2"/>
        <v>-112</v>
      </c>
      <c r="T496" s="1">
        <f t="shared" si="3"/>
        <v>1.892857143</v>
      </c>
      <c r="U496" s="1">
        <f t="shared" si="4"/>
        <v>0</v>
      </c>
      <c r="V496" s="3">
        <f t="shared" si="5"/>
        <v>1</v>
      </c>
      <c r="W496" s="3">
        <f t="shared" si="6"/>
        <v>2</v>
      </c>
      <c r="X496" s="3" t="str">
        <f>IFERROR(__xludf.DUMMYFUNCTION("split(B496,"" "")"),"B.")</f>
        <v>B.</v>
      </c>
      <c r="Y496" s="3" t="str">
        <f>IFERROR(__xludf.DUMMYFUNCTION("""COMPUTED_VALUE"""),"Robinson")</f>
        <v>Robinson</v>
      </c>
      <c r="AA496" s="8">
        <v>144.0</v>
      </c>
      <c r="AB496" s="3">
        <f t="shared" si="7"/>
        <v>1</v>
      </c>
      <c r="AC496" s="3">
        <f t="shared" si="8"/>
        <v>0</v>
      </c>
      <c r="AD496" s="3">
        <f t="shared" si="9"/>
        <v>0.8928571429</v>
      </c>
      <c r="AE496" s="3">
        <f t="shared" si="10"/>
        <v>-1</v>
      </c>
      <c r="AF496" s="3">
        <f t="shared" si="11"/>
        <v>-2</v>
      </c>
      <c r="AG496" s="3">
        <f t="shared" si="12"/>
        <v>-0.3913043478</v>
      </c>
    </row>
    <row r="497">
      <c r="A497" s="1" t="s">
        <v>15</v>
      </c>
      <c r="B497" s="1" t="s">
        <v>328</v>
      </c>
      <c r="C497" s="1" t="s">
        <v>21</v>
      </c>
      <c r="D497" s="1" t="s">
        <v>109</v>
      </c>
      <c r="E497" s="1" t="s">
        <v>58</v>
      </c>
      <c r="F497" s="1" t="s">
        <v>670</v>
      </c>
      <c r="G497" s="1">
        <v>23.5</v>
      </c>
      <c r="H497" s="1" t="s">
        <v>60</v>
      </c>
      <c r="I497" s="1">
        <v>103.0</v>
      </c>
      <c r="J497" s="1">
        <v>0.0168876847290641</v>
      </c>
      <c r="K497" s="1" t="s">
        <v>61</v>
      </c>
      <c r="L497" s="1" t="s">
        <v>61</v>
      </c>
      <c r="M497" s="1" t="s">
        <v>62</v>
      </c>
      <c r="N497" s="1">
        <v>-135.0</v>
      </c>
      <c r="O497" s="1">
        <v>-0.0839531914893619</v>
      </c>
      <c r="P497" s="1" t="s">
        <v>61</v>
      </c>
      <c r="Q497" s="1" t="s">
        <v>61</v>
      </c>
      <c r="R497" s="1">
        <f t="shared" si="1"/>
        <v>0.01688768473</v>
      </c>
      <c r="S497" s="1">
        <f t="shared" si="2"/>
        <v>103</v>
      </c>
      <c r="T497" s="1">
        <f t="shared" si="3"/>
        <v>2.03</v>
      </c>
      <c r="U497" s="1">
        <f t="shared" si="4"/>
        <v>1</v>
      </c>
      <c r="V497" s="3">
        <f t="shared" si="5"/>
        <v>1</v>
      </c>
      <c r="W497" s="3">
        <f t="shared" si="6"/>
        <v>2</v>
      </c>
      <c r="X497" s="3" t="str">
        <f>IFERROR(__xludf.DUMMYFUNCTION("split(B497,"" "")"),"K.")</f>
        <v>K.</v>
      </c>
      <c r="Y497" s="3" t="str">
        <f>IFERROR(__xludf.DUMMYFUNCTION("""COMPUTED_VALUE"""),"Cousins")</f>
        <v>Cousins</v>
      </c>
      <c r="AA497" s="8">
        <v>23.0</v>
      </c>
      <c r="AB497" s="3">
        <f t="shared" si="7"/>
        <v>0</v>
      </c>
      <c r="AC497" s="3">
        <f t="shared" si="8"/>
        <v>0</v>
      </c>
      <c r="AD497" s="3">
        <f t="shared" si="9"/>
        <v>1.03</v>
      </c>
      <c r="AE497" s="3">
        <f t="shared" si="10"/>
        <v>-1</v>
      </c>
      <c r="AF497" s="3">
        <f t="shared" si="11"/>
        <v>-2</v>
      </c>
      <c r="AG497" s="3">
        <f t="shared" si="12"/>
        <v>-0.02127659574</v>
      </c>
    </row>
    <row r="498">
      <c r="A498" s="1" t="s">
        <v>9</v>
      </c>
      <c r="B498" s="1" t="s">
        <v>501</v>
      </c>
      <c r="C498" s="1" t="s">
        <v>18</v>
      </c>
      <c r="D498" s="1" t="s">
        <v>109</v>
      </c>
      <c r="E498" s="1" t="s">
        <v>58</v>
      </c>
      <c r="F498" s="1" t="s">
        <v>670</v>
      </c>
      <c r="G498" s="1">
        <v>31.5</v>
      </c>
      <c r="H498" s="1" t="s">
        <v>60</v>
      </c>
      <c r="I498" s="1">
        <v>-119.0</v>
      </c>
      <c r="J498" s="1">
        <v>0.0331752335031951</v>
      </c>
      <c r="K498" s="1" t="s">
        <v>61</v>
      </c>
      <c r="L498" s="1" t="s">
        <v>61</v>
      </c>
      <c r="M498" s="1" t="s">
        <v>62</v>
      </c>
      <c r="N498" s="1">
        <v>-114.0</v>
      </c>
      <c r="O498" s="1">
        <v>-0.109256882226204</v>
      </c>
      <c r="P498" s="1" t="s">
        <v>61</v>
      </c>
      <c r="Q498" s="1" t="s">
        <v>61</v>
      </c>
      <c r="R498" s="1">
        <f t="shared" si="1"/>
        <v>0.0331752335</v>
      </c>
      <c r="S498" s="1">
        <f t="shared" si="2"/>
        <v>-119</v>
      </c>
      <c r="T498" s="1">
        <f t="shared" si="3"/>
        <v>1.840336134</v>
      </c>
      <c r="U498" s="1">
        <f t="shared" si="4"/>
        <v>1</v>
      </c>
      <c r="V498" s="3">
        <f t="shared" si="5"/>
        <v>1</v>
      </c>
      <c r="W498" s="3">
        <f t="shared" si="6"/>
        <v>3</v>
      </c>
      <c r="X498" s="3" t="str">
        <f>IFERROR(__xludf.DUMMYFUNCTION("split(B498,"" "")"),"R.")</f>
        <v>R.</v>
      </c>
      <c r="Y498" s="3" t="str">
        <f>IFERROR(__xludf.DUMMYFUNCTION("""COMPUTED_VALUE"""),"McCloud")</f>
        <v>McCloud</v>
      </c>
      <c r="Z498" s="3" t="str">
        <f>IFERROR(__xludf.DUMMYFUNCTION("""COMPUTED_VALUE"""),"III")</f>
        <v>III</v>
      </c>
      <c r="AA498" s="8">
        <v>36.0</v>
      </c>
      <c r="AB498" s="3">
        <f t="shared" si="7"/>
        <v>1</v>
      </c>
      <c r="AC498" s="3">
        <f t="shared" si="8"/>
        <v>1</v>
      </c>
      <c r="AD498" s="3">
        <f t="shared" si="9"/>
        <v>0.8403361345</v>
      </c>
      <c r="AE498" s="3">
        <f t="shared" si="10"/>
        <v>0.8403361345</v>
      </c>
      <c r="AF498" s="3">
        <f t="shared" si="11"/>
        <v>2.521008403</v>
      </c>
      <c r="AG498" s="3">
        <f t="shared" si="12"/>
        <v>0.1428571429</v>
      </c>
    </row>
    <row r="499">
      <c r="A499" s="1" t="s">
        <v>12</v>
      </c>
      <c r="B499" s="1" t="s">
        <v>499</v>
      </c>
      <c r="C499" s="1" t="s">
        <v>18</v>
      </c>
      <c r="D499" s="1" t="s">
        <v>109</v>
      </c>
      <c r="E499" s="1" t="s">
        <v>58</v>
      </c>
      <c r="F499" s="1" t="s">
        <v>670</v>
      </c>
      <c r="G499" s="1">
        <v>5.5</v>
      </c>
      <c r="H499" s="1" t="s">
        <v>60</v>
      </c>
      <c r="I499" s="1">
        <v>110.0</v>
      </c>
      <c r="J499" s="1">
        <v>0.107409523809523</v>
      </c>
      <c r="K499" s="1" t="s">
        <v>61</v>
      </c>
      <c r="L499" s="1" t="s">
        <v>61</v>
      </c>
      <c r="M499" s="1" t="s">
        <v>62</v>
      </c>
      <c r="N499" s="1">
        <v>-144.0</v>
      </c>
      <c r="O499" s="1">
        <v>-0.173763934426229</v>
      </c>
      <c r="P499" s="1" t="s">
        <v>61</v>
      </c>
      <c r="Q499" s="1" t="s">
        <v>61</v>
      </c>
      <c r="R499" s="1">
        <f t="shared" si="1"/>
        <v>0.1074095238</v>
      </c>
      <c r="S499" s="1">
        <f t="shared" si="2"/>
        <v>110</v>
      </c>
      <c r="T499" s="1">
        <f t="shared" si="3"/>
        <v>2.1</v>
      </c>
      <c r="U499" s="1">
        <f t="shared" si="4"/>
        <v>1</v>
      </c>
      <c r="V499" s="3">
        <f t="shared" si="5"/>
        <v>3</v>
      </c>
      <c r="W499" s="3">
        <f t="shared" si="6"/>
        <v>2</v>
      </c>
      <c r="X499" s="3" t="str">
        <f>IFERROR(__xludf.DUMMYFUNCTION("split(B499,"" "")"),"D.")</f>
        <v>D.</v>
      </c>
      <c r="Y499" s="3" t="str">
        <f>IFERROR(__xludf.DUMMYFUNCTION("""COMPUTED_VALUE"""),"London")</f>
        <v>London</v>
      </c>
      <c r="AA499" s="8">
        <v>8.0</v>
      </c>
      <c r="AB499" s="3">
        <f t="shared" si="7"/>
        <v>1</v>
      </c>
      <c r="AC499" s="3">
        <f t="shared" si="8"/>
        <v>1</v>
      </c>
      <c r="AD499" s="3">
        <f t="shared" si="9"/>
        <v>3.3</v>
      </c>
      <c r="AE499" s="3">
        <f t="shared" si="10"/>
        <v>3.3</v>
      </c>
      <c r="AF499" s="3">
        <f t="shared" si="11"/>
        <v>2.2</v>
      </c>
      <c r="AG499" s="3">
        <f t="shared" si="12"/>
        <v>0.4545454545</v>
      </c>
    </row>
    <row r="500">
      <c r="A500" s="1" t="s">
        <v>11</v>
      </c>
      <c r="B500" s="1" t="s">
        <v>202</v>
      </c>
      <c r="C500" s="1" t="s">
        <v>19</v>
      </c>
      <c r="D500" s="1" t="s">
        <v>109</v>
      </c>
      <c r="E500" s="1" t="s">
        <v>58</v>
      </c>
      <c r="F500" s="1" t="s">
        <v>670</v>
      </c>
      <c r="G500" s="1">
        <v>2.5</v>
      </c>
      <c r="H500" s="1" t="s">
        <v>60</v>
      </c>
      <c r="I500" s="1">
        <v>-120.0</v>
      </c>
      <c r="J500" s="1">
        <v>0.114720771437911</v>
      </c>
      <c r="K500" s="1" t="s">
        <v>61</v>
      </c>
      <c r="L500" s="1" t="s">
        <v>61</v>
      </c>
      <c r="M500" s="1" t="s">
        <v>62</v>
      </c>
      <c r="N500" s="1">
        <v>-108.0</v>
      </c>
      <c r="O500" s="1">
        <v>-0.179374111988691</v>
      </c>
      <c r="P500" s="1" t="s">
        <v>61</v>
      </c>
      <c r="Q500" s="1" t="s">
        <v>61</v>
      </c>
      <c r="R500" s="1">
        <f t="shared" si="1"/>
        <v>0.1147207714</v>
      </c>
      <c r="S500" s="1">
        <f t="shared" si="2"/>
        <v>-120</v>
      </c>
      <c r="T500" s="1">
        <f t="shared" si="3"/>
        <v>1.833333333</v>
      </c>
      <c r="U500" s="1">
        <f t="shared" si="4"/>
        <v>1</v>
      </c>
      <c r="V500" s="3">
        <f t="shared" si="5"/>
        <v>3</v>
      </c>
      <c r="W500" s="3">
        <f t="shared" si="6"/>
        <v>3</v>
      </c>
      <c r="X500" s="3" t="str">
        <f>IFERROR(__xludf.DUMMYFUNCTION("split(B500,"" "")"),"T.")</f>
        <v>T.</v>
      </c>
      <c r="Y500" s="3" t="str">
        <f>IFERROR(__xludf.DUMMYFUNCTION("""COMPUTED_VALUE"""),"Allgeier")</f>
        <v>Allgeier</v>
      </c>
      <c r="AA500" s="8">
        <v>0.0</v>
      </c>
      <c r="AB500" s="3">
        <f t="shared" si="7"/>
        <v>0</v>
      </c>
      <c r="AC500" s="3">
        <f t="shared" si="8"/>
        <v>0</v>
      </c>
      <c r="AD500" s="3">
        <f t="shared" si="9"/>
        <v>2.5</v>
      </c>
      <c r="AE500" s="3">
        <f t="shared" si="10"/>
        <v>-3</v>
      </c>
      <c r="AF500" s="3">
        <f t="shared" si="11"/>
        <v>-3</v>
      </c>
      <c r="AG500" s="3">
        <f t="shared" si="12"/>
        <v>-1</v>
      </c>
    </row>
    <row r="501">
      <c r="A501" s="1" t="s">
        <v>10</v>
      </c>
      <c r="B501" s="1" t="s">
        <v>328</v>
      </c>
      <c r="C501" s="1" t="s">
        <v>21</v>
      </c>
      <c r="D501" s="1" t="s">
        <v>109</v>
      </c>
      <c r="E501" s="1" t="s">
        <v>58</v>
      </c>
      <c r="F501" s="1" t="s">
        <v>670</v>
      </c>
      <c r="G501" s="1">
        <v>0.5</v>
      </c>
      <c r="H501" s="1" t="s">
        <v>60</v>
      </c>
      <c r="I501" s="1">
        <v>-105.0</v>
      </c>
      <c r="J501" s="1">
        <v>0.134612926019349</v>
      </c>
      <c r="K501" s="1" t="s">
        <v>61</v>
      </c>
      <c r="L501" s="1" t="s">
        <v>61</v>
      </c>
      <c r="M501" s="1" t="s">
        <v>62</v>
      </c>
      <c r="N501" s="1">
        <v>-125.0</v>
      </c>
      <c r="O501" s="1">
        <v>-0.20235083242</v>
      </c>
      <c r="P501" s="1" t="s">
        <v>61</v>
      </c>
      <c r="Q501" s="1" t="s">
        <v>61</v>
      </c>
      <c r="R501" s="1">
        <f t="shared" si="1"/>
        <v>0.134612926</v>
      </c>
      <c r="S501" s="1">
        <f t="shared" si="2"/>
        <v>-105</v>
      </c>
      <c r="T501" s="1">
        <f t="shared" si="3"/>
        <v>1.952380952</v>
      </c>
      <c r="U501" s="1">
        <f t="shared" si="4"/>
        <v>1</v>
      </c>
      <c r="V501" s="3">
        <f t="shared" si="5"/>
        <v>3</v>
      </c>
      <c r="W501" s="3">
        <f t="shared" si="6"/>
        <v>2</v>
      </c>
      <c r="X501" s="3" t="str">
        <f>IFERROR(__xludf.DUMMYFUNCTION("split(B501,"" "")"),"K.")</f>
        <v>K.</v>
      </c>
      <c r="Y501" s="3" t="str">
        <f>IFERROR(__xludf.DUMMYFUNCTION("""COMPUTED_VALUE"""),"Cousins")</f>
        <v>Cousins</v>
      </c>
      <c r="AA501" s="8">
        <v>0.0</v>
      </c>
      <c r="AB501" s="3">
        <f t="shared" si="7"/>
        <v>0</v>
      </c>
      <c r="AC501" s="3">
        <f t="shared" si="8"/>
        <v>0</v>
      </c>
      <c r="AD501" s="3">
        <f t="shared" si="9"/>
        <v>2.857142857</v>
      </c>
      <c r="AE501" s="3">
        <f t="shared" si="10"/>
        <v>-3</v>
      </c>
      <c r="AF501" s="3">
        <f t="shared" si="11"/>
        <v>-2</v>
      </c>
      <c r="AG501" s="3">
        <f t="shared" si="12"/>
        <v>-1</v>
      </c>
    </row>
    <row r="502">
      <c r="A502" s="1" t="s">
        <v>8</v>
      </c>
      <c r="B502" s="1" t="s">
        <v>204</v>
      </c>
      <c r="C502" s="1" t="s">
        <v>21</v>
      </c>
      <c r="D502" s="1" t="s">
        <v>105</v>
      </c>
      <c r="E502" s="1" t="s">
        <v>165</v>
      </c>
      <c r="F502" s="1" t="s">
        <v>674</v>
      </c>
      <c r="G502" s="1">
        <v>5.5</v>
      </c>
      <c r="H502" s="1" t="s">
        <v>60</v>
      </c>
      <c r="I502" s="1">
        <v>-107.0</v>
      </c>
      <c r="J502" s="1">
        <v>-0.19734671171424</v>
      </c>
      <c r="K502" s="1" t="s">
        <v>61</v>
      </c>
      <c r="L502" s="1" t="s">
        <v>61</v>
      </c>
      <c r="M502" s="1" t="s">
        <v>62</v>
      </c>
      <c r="N502" s="1">
        <v>-125.0</v>
      </c>
      <c r="O502" s="1">
        <v>0.124873718471376</v>
      </c>
      <c r="P502" s="1" t="s">
        <v>61</v>
      </c>
      <c r="Q502" s="1" t="s">
        <v>61</v>
      </c>
      <c r="R502" s="1">
        <f t="shared" si="1"/>
        <v>0.1248737185</v>
      </c>
      <c r="S502" s="1">
        <f t="shared" si="2"/>
        <v>-125</v>
      </c>
      <c r="T502" s="1">
        <f t="shared" si="3"/>
        <v>1.8</v>
      </c>
      <c r="U502" s="1">
        <f t="shared" si="4"/>
        <v>0</v>
      </c>
      <c r="V502" s="3">
        <f t="shared" si="5"/>
        <v>3</v>
      </c>
      <c r="W502" s="3">
        <f t="shared" si="6"/>
        <v>3</v>
      </c>
      <c r="X502" s="3" t="str">
        <f>IFERROR(__xludf.DUMMYFUNCTION("split(B502,"" "")"),"K.")</f>
        <v>K.</v>
      </c>
      <c r="Y502" s="3" t="str">
        <f>IFERROR(__xludf.DUMMYFUNCTION("""COMPUTED_VALUE"""),"Murray")</f>
        <v>Murray</v>
      </c>
      <c r="AA502" s="8">
        <v>3.0</v>
      </c>
      <c r="AB502" s="3">
        <f t="shared" si="7"/>
        <v>0</v>
      </c>
      <c r="AC502" s="3">
        <f t="shared" si="8"/>
        <v>1</v>
      </c>
      <c r="AD502" s="3">
        <f t="shared" si="9"/>
        <v>2.4</v>
      </c>
      <c r="AE502" s="3">
        <f t="shared" si="10"/>
        <v>2.4</v>
      </c>
      <c r="AF502" s="3">
        <f t="shared" si="11"/>
        <v>2.4</v>
      </c>
      <c r="AG502" s="3">
        <f t="shared" si="12"/>
        <v>0.4545454545</v>
      </c>
    </row>
    <row r="503">
      <c r="A503" s="1" t="s">
        <v>12</v>
      </c>
      <c r="B503" s="1" t="s">
        <v>345</v>
      </c>
      <c r="C503" s="1" t="s">
        <v>19</v>
      </c>
      <c r="D503" s="1" t="s">
        <v>105</v>
      </c>
      <c r="E503" s="1" t="s">
        <v>165</v>
      </c>
      <c r="F503" s="1" t="s">
        <v>674</v>
      </c>
      <c r="G503" s="1">
        <v>2.5</v>
      </c>
      <c r="H503" s="1" t="s">
        <v>60</v>
      </c>
      <c r="I503" s="1">
        <v>117.0</v>
      </c>
      <c r="J503" s="1">
        <v>-0.169324410758525</v>
      </c>
      <c r="K503" s="1" t="s">
        <v>61</v>
      </c>
      <c r="L503" s="1" t="s">
        <v>61</v>
      </c>
      <c r="M503" s="1" t="s">
        <v>62</v>
      </c>
      <c r="N503" s="1">
        <v>-155.0</v>
      </c>
      <c r="O503" s="1">
        <v>0.100651133094117</v>
      </c>
      <c r="P503" s="1" t="s">
        <v>61</v>
      </c>
      <c r="Q503" s="1" t="s">
        <v>61</v>
      </c>
      <c r="R503" s="1">
        <f t="shared" si="1"/>
        <v>0.1006511331</v>
      </c>
      <c r="S503" s="1">
        <f t="shared" si="2"/>
        <v>-155</v>
      </c>
      <c r="T503" s="1">
        <f t="shared" si="3"/>
        <v>1.64516129</v>
      </c>
      <c r="U503" s="1">
        <f t="shared" si="4"/>
        <v>0</v>
      </c>
      <c r="V503" s="3">
        <f t="shared" si="5"/>
        <v>3</v>
      </c>
      <c r="W503" s="3">
        <f t="shared" si="6"/>
        <v>3</v>
      </c>
      <c r="X503" s="3" t="str">
        <f>IFERROR(__xludf.DUMMYFUNCTION("split(B503,"" "")"),"J.")</f>
        <v>J.</v>
      </c>
      <c r="Y503" s="3" t="str">
        <f>IFERROR(__xludf.DUMMYFUNCTION("""COMPUTED_VALUE"""),"Conner")</f>
        <v>Conner</v>
      </c>
      <c r="AA503" s="8">
        <v>5.0</v>
      </c>
      <c r="AB503" s="3">
        <f t="shared" si="7"/>
        <v>1</v>
      </c>
      <c r="AC503" s="3">
        <f t="shared" si="8"/>
        <v>0</v>
      </c>
      <c r="AD503" s="3">
        <f t="shared" si="9"/>
        <v>1.935483871</v>
      </c>
      <c r="AE503" s="3">
        <f t="shared" si="10"/>
        <v>-3</v>
      </c>
      <c r="AF503" s="3">
        <f t="shared" si="11"/>
        <v>-3</v>
      </c>
      <c r="AG503" s="3">
        <f t="shared" si="12"/>
        <v>-1</v>
      </c>
    </row>
    <row r="504">
      <c r="A504" s="1" t="s">
        <v>12</v>
      </c>
      <c r="B504" s="1" t="s">
        <v>233</v>
      </c>
      <c r="C504" s="1" t="s">
        <v>18</v>
      </c>
      <c r="D504" s="1" t="s">
        <v>105</v>
      </c>
      <c r="E504" s="1" t="s">
        <v>165</v>
      </c>
      <c r="F504" s="1" t="s">
        <v>674</v>
      </c>
      <c r="G504" s="1">
        <v>2.5</v>
      </c>
      <c r="H504" s="1" t="s">
        <v>60</v>
      </c>
      <c r="I504" s="1">
        <v>-105.0</v>
      </c>
      <c r="J504" s="1">
        <v>-0.160244376341463</v>
      </c>
      <c r="K504" s="1" t="s">
        <v>61</v>
      </c>
      <c r="L504" s="1" t="s">
        <v>61</v>
      </c>
      <c r="M504" s="1" t="s">
        <v>62</v>
      </c>
      <c r="N504" s="1">
        <v>-125.0</v>
      </c>
      <c r="O504" s="1">
        <v>0.0924866508333333</v>
      </c>
      <c r="P504" s="1" t="s">
        <v>61</v>
      </c>
      <c r="Q504" s="1" t="s">
        <v>61</v>
      </c>
      <c r="R504" s="1">
        <f t="shared" si="1"/>
        <v>0.09248665083</v>
      </c>
      <c r="S504" s="1">
        <f t="shared" si="2"/>
        <v>-125</v>
      </c>
      <c r="T504" s="1">
        <f t="shared" si="3"/>
        <v>1.8</v>
      </c>
      <c r="U504" s="1">
        <f t="shared" si="4"/>
        <v>0</v>
      </c>
      <c r="V504" s="3">
        <f t="shared" si="5"/>
        <v>2</v>
      </c>
      <c r="W504" s="3">
        <f t="shared" si="6"/>
        <v>3</v>
      </c>
      <c r="X504" s="3" t="str">
        <f>IFERROR(__xludf.DUMMYFUNCTION("split(B504,"" "")"),"M.")</f>
        <v>M.</v>
      </c>
      <c r="Y504" s="3" t="str">
        <f>IFERROR(__xludf.DUMMYFUNCTION("""COMPUTED_VALUE"""),"Wilson")</f>
        <v>Wilson</v>
      </c>
      <c r="AA504" s="8">
        <v>5.0</v>
      </c>
      <c r="AB504" s="3">
        <f t="shared" si="7"/>
        <v>1</v>
      </c>
      <c r="AC504" s="3">
        <f t="shared" si="8"/>
        <v>0</v>
      </c>
      <c r="AD504" s="3">
        <f t="shared" si="9"/>
        <v>1.6</v>
      </c>
      <c r="AE504" s="3">
        <f t="shared" si="10"/>
        <v>-2</v>
      </c>
      <c r="AF504" s="3">
        <f t="shared" si="11"/>
        <v>-3</v>
      </c>
      <c r="AG504" s="3">
        <f t="shared" si="12"/>
        <v>-1</v>
      </c>
    </row>
    <row r="505">
      <c r="A505" s="1" t="s">
        <v>9</v>
      </c>
      <c r="B505" s="1" t="s">
        <v>345</v>
      </c>
      <c r="C505" s="1" t="s">
        <v>19</v>
      </c>
      <c r="D505" s="1" t="s">
        <v>105</v>
      </c>
      <c r="E505" s="1" t="s">
        <v>165</v>
      </c>
      <c r="F505" s="1" t="s">
        <v>674</v>
      </c>
      <c r="G505" s="1">
        <v>95.5</v>
      </c>
      <c r="H505" s="1" t="s">
        <v>60</v>
      </c>
      <c r="I505" s="1">
        <v>-115.0</v>
      </c>
      <c r="J505" s="1">
        <v>-0.133910504716556</v>
      </c>
      <c r="K505" s="1" t="s">
        <v>61</v>
      </c>
      <c r="L505" s="1" t="s">
        <v>61</v>
      </c>
      <c r="M505" s="1" t="s">
        <v>62</v>
      </c>
      <c r="N505" s="1">
        <v>-117.0</v>
      </c>
      <c r="O505" s="1">
        <v>0.0598756419397221</v>
      </c>
      <c r="P505" s="1" t="s">
        <v>61</v>
      </c>
      <c r="Q505" s="1" t="s">
        <v>61</v>
      </c>
      <c r="R505" s="1">
        <f t="shared" si="1"/>
        <v>0.05987564194</v>
      </c>
      <c r="S505" s="1">
        <f t="shared" si="2"/>
        <v>-117</v>
      </c>
      <c r="T505" s="1">
        <f t="shared" si="3"/>
        <v>1.854700855</v>
      </c>
      <c r="U505" s="1">
        <f t="shared" si="4"/>
        <v>0</v>
      </c>
      <c r="V505" s="3">
        <f t="shared" si="5"/>
        <v>2</v>
      </c>
      <c r="W505" s="3">
        <f t="shared" si="6"/>
        <v>2</v>
      </c>
      <c r="X505" s="3" t="str">
        <f>IFERROR(__xludf.DUMMYFUNCTION("split(B505,"" "")"),"J.")</f>
        <v>J.</v>
      </c>
      <c r="Y505" s="3" t="str">
        <f>IFERROR(__xludf.DUMMYFUNCTION("""COMPUTED_VALUE"""),"Conner")</f>
        <v>Conner</v>
      </c>
      <c r="AA505" s="8">
        <v>113.0</v>
      </c>
      <c r="AB505" s="3">
        <f t="shared" si="7"/>
        <v>1</v>
      </c>
      <c r="AC505" s="3">
        <f t="shared" si="8"/>
        <v>0</v>
      </c>
      <c r="AD505" s="3">
        <f t="shared" si="9"/>
        <v>1.709401709</v>
      </c>
      <c r="AE505" s="3">
        <f t="shared" si="10"/>
        <v>-2</v>
      </c>
      <c r="AF505" s="3">
        <f t="shared" si="11"/>
        <v>-2</v>
      </c>
      <c r="AG505" s="3">
        <f t="shared" si="12"/>
        <v>-0.1832460733</v>
      </c>
    </row>
    <row r="506">
      <c r="A506" s="1" t="s">
        <v>16</v>
      </c>
      <c r="B506" s="1" t="s">
        <v>204</v>
      </c>
      <c r="C506" s="1" t="s">
        <v>21</v>
      </c>
      <c r="D506" s="1" t="s">
        <v>105</v>
      </c>
      <c r="E506" s="1" t="s">
        <v>165</v>
      </c>
      <c r="F506" s="1" t="s">
        <v>674</v>
      </c>
      <c r="G506" s="1">
        <v>28.5</v>
      </c>
      <c r="H506" s="1" t="s">
        <v>60</v>
      </c>
      <c r="I506" s="1">
        <v>-117.0</v>
      </c>
      <c r="J506" s="1">
        <v>-0.122731451751152</v>
      </c>
      <c r="K506" s="1" t="s">
        <v>61</v>
      </c>
      <c r="L506" s="1" t="s">
        <v>61</v>
      </c>
      <c r="M506" s="1" t="s">
        <v>62</v>
      </c>
      <c r="N506" s="1">
        <v>-113.0</v>
      </c>
      <c r="O506" s="1">
        <v>0.0530234849009391</v>
      </c>
      <c r="P506" s="1" t="s">
        <v>61</v>
      </c>
      <c r="Q506" s="1" t="s">
        <v>61</v>
      </c>
      <c r="R506" s="1">
        <f t="shared" si="1"/>
        <v>0.0530234849</v>
      </c>
      <c r="S506" s="1">
        <f t="shared" si="2"/>
        <v>-113</v>
      </c>
      <c r="T506" s="1">
        <f t="shared" si="3"/>
        <v>1.884955752</v>
      </c>
      <c r="U506" s="1">
        <f t="shared" si="4"/>
        <v>0</v>
      </c>
      <c r="V506" s="3">
        <f t="shared" si="5"/>
        <v>2</v>
      </c>
      <c r="W506" s="3">
        <f t="shared" si="6"/>
        <v>2</v>
      </c>
      <c r="X506" s="3" t="str">
        <f>IFERROR(__xludf.DUMMYFUNCTION("split(B506,"" "")"),"K.")</f>
        <v>K.</v>
      </c>
      <c r="Y506" s="3" t="str">
        <f>IFERROR(__xludf.DUMMYFUNCTION("""COMPUTED_VALUE"""),"Murray")</f>
        <v>Murray</v>
      </c>
      <c r="AA506" s="8">
        <v>24.0</v>
      </c>
      <c r="AB506" s="3">
        <f t="shared" si="7"/>
        <v>0</v>
      </c>
      <c r="AC506" s="3">
        <f t="shared" si="8"/>
        <v>1</v>
      </c>
      <c r="AD506" s="3">
        <f t="shared" si="9"/>
        <v>1.769911504</v>
      </c>
      <c r="AE506" s="3">
        <f t="shared" si="10"/>
        <v>1.769911504</v>
      </c>
      <c r="AF506" s="3">
        <f t="shared" si="11"/>
        <v>1.769911504</v>
      </c>
      <c r="AG506" s="3">
        <f t="shared" si="12"/>
        <v>0.1578947368</v>
      </c>
    </row>
    <row r="507">
      <c r="A507" s="1" t="s">
        <v>12</v>
      </c>
      <c r="B507" s="1" t="s">
        <v>451</v>
      </c>
      <c r="C507" s="1" t="s">
        <v>18</v>
      </c>
      <c r="D507" s="1" t="s">
        <v>105</v>
      </c>
      <c r="E507" s="1" t="s">
        <v>165</v>
      </c>
      <c r="F507" s="1" t="s">
        <v>674</v>
      </c>
      <c r="G507" s="1">
        <v>1.5</v>
      </c>
      <c r="H507" s="1" t="s">
        <v>60</v>
      </c>
      <c r="I507" s="1">
        <v>-104.0</v>
      </c>
      <c r="J507" s="1">
        <v>-0.125402803024509</v>
      </c>
      <c r="K507" s="1" t="s">
        <v>61</v>
      </c>
      <c r="L507" s="1" t="s">
        <v>61</v>
      </c>
      <c r="M507" s="1" t="s">
        <v>62</v>
      </c>
      <c r="N507" s="1">
        <v>-129.0</v>
      </c>
      <c r="O507" s="1">
        <v>0.0522799373097379</v>
      </c>
      <c r="P507" s="1" t="s">
        <v>61</v>
      </c>
      <c r="Q507" s="1" t="s">
        <v>61</v>
      </c>
      <c r="R507" s="1">
        <f t="shared" si="1"/>
        <v>0.05227993731</v>
      </c>
      <c r="S507" s="1">
        <f t="shared" si="2"/>
        <v>-129</v>
      </c>
      <c r="T507" s="1">
        <f t="shared" si="3"/>
        <v>1.775193798</v>
      </c>
      <c r="U507" s="1">
        <f t="shared" si="4"/>
        <v>0</v>
      </c>
      <c r="V507" s="3">
        <f t="shared" si="5"/>
        <v>2</v>
      </c>
      <c r="W507" s="3">
        <f t="shared" si="6"/>
        <v>3</v>
      </c>
      <c r="X507" s="3" t="str">
        <f>IFERROR(__xludf.DUMMYFUNCTION("split(B507,"" "")"),"G.")</f>
        <v>G.</v>
      </c>
      <c r="Y507" s="3" t="str">
        <f>IFERROR(__xludf.DUMMYFUNCTION("""COMPUTED_VALUE"""),"Dortch")</f>
        <v>Dortch</v>
      </c>
      <c r="AA507" s="8">
        <v>1.0</v>
      </c>
      <c r="AB507" s="3">
        <f t="shared" si="7"/>
        <v>0</v>
      </c>
      <c r="AC507" s="3">
        <f t="shared" si="8"/>
        <v>1</v>
      </c>
      <c r="AD507" s="3">
        <f t="shared" si="9"/>
        <v>1.550387597</v>
      </c>
      <c r="AE507" s="3">
        <f t="shared" si="10"/>
        <v>1.550387597</v>
      </c>
      <c r="AF507" s="3">
        <f t="shared" si="11"/>
        <v>2.325581395</v>
      </c>
      <c r="AG507" s="3">
        <f t="shared" si="12"/>
        <v>0.3333333333</v>
      </c>
    </row>
    <row r="508">
      <c r="A508" s="1" t="s">
        <v>15</v>
      </c>
      <c r="B508" s="1" t="s">
        <v>204</v>
      </c>
      <c r="C508" s="1" t="s">
        <v>21</v>
      </c>
      <c r="D508" s="1" t="s">
        <v>105</v>
      </c>
      <c r="E508" s="1" t="s">
        <v>165</v>
      </c>
      <c r="F508" s="1" t="s">
        <v>674</v>
      </c>
      <c r="G508" s="1">
        <v>18.5</v>
      </c>
      <c r="H508" s="1" t="s">
        <v>60</v>
      </c>
      <c r="I508" s="1">
        <v>-126.0</v>
      </c>
      <c r="J508" s="1">
        <v>-0.116865638716814</v>
      </c>
      <c r="K508" s="1" t="s">
        <v>61</v>
      </c>
      <c r="L508" s="1" t="s">
        <v>61</v>
      </c>
      <c r="M508" s="1" t="s">
        <v>62</v>
      </c>
      <c r="N508" s="1">
        <v>-104.0</v>
      </c>
      <c r="O508" s="1">
        <v>0.0495462143333333</v>
      </c>
      <c r="P508" s="1" t="s">
        <v>61</v>
      </c>
      <c r="Q508" s="1" t="s">
        <v>61</v>
      </c>
      <c r="R508" s="1">
        <f t="shared" si="1"/>
        <v>0.04954621433</v>
      </c>
      <c r="S508" s="1">
        <f t="shared" si="2"/>
        <v>-104</v>
      </c>
      <c r="T508" s="1">
        <f t="shared" si="3"/>
        <v>1.961538462</v>
      </c>
      <c r="U508" s="1">
        <f t="shared" si="4"/>
        <v>0</v>
      </c>
      <c r="V508" s="3">
        <f t="shared" si="5"/>
        <v>1</v>
      </c>
      <c r="W508" s="3">
        <f t="shared" si="6"/>
        <v>2</v>
      </c>
      <c r="X508" s="3" t="str">
        <f>IFERROR(__xludf.DUMMYFUNCTION("split(B508,"" "")"),"K.")</f>
        <v>K.</v>
      </c>
      <c r="Y508" s="3" t="str">
        <f>IFERROR(__xludf.DUMMYFUNCTION("""COMPUTED_VALUE"""),"Murray")</f>
        <v>Murray</v>
      </c>
      <c r="AA508" s="8">
        <v>22.0</v>
      </c>
      <c r="AB508" s="3">
        <f t="shared" si="7"/>
        <v>1</v>
      </c>
      <c r="AC508" s="3">
        <f t="shared" si="8"/>
        <v>0</v>
      </c>
      <c r="AD508" s="3">
        <f t="shared" si="9"/>
        <v>0.9615384615</v>
      </c>
      <c r="AE508" s="3">
        <f t="shared" si="10"/>
        <v>-1</v>
      </c>
      <c r="AF508" s="3">
        <f t="shared" si="11"/>
        <v>-2</v>
      </c>
      <c r="AG508" s="3">
        <f t="shared" si="12"/>
        <v>-0.1891891892</v>
      </c>
    </row>
    <row r="509">
      <c r="A509" s="1" t="s">
        <v>10</v>
      </c>
      <c r="B509" s="1" t="s">
        <v>204</v>
      </c>
      <c r="C509" s="1" t="s">
        <v>21</v>
      </c>
      <c r="D509" s="1" t="s">
        <v>105</v>
      </c>
      <c r="E509" s="1" t="s">
        <v>165</v>
      </c>
      <c r="F509" s="1" t="s">
        <v>674</v>
      </c>
      <c r="G509" s="1">
        <v>29.5</v>
      </c>
      <c r="H509" s="1" t="s">
        <v>60</v>
      </c>
      <c r="I509" s="1">
        <v>-112.0</v>
      </c>
      <c r="J509" s="1">
        <v>-0.109235291192194</v>
      </c>
      <c r="K509" s="1" t="s">
        <v>61</v>
      </c>
      <c r="L509" s="1" t="s">
        <v>61</v>
      </c>
      <c r="M509" s="1" t="s">
        <v>62</v>
      </c>
      <c r="N509" s="1">
        <v>-115.0</v>
      </c>
      <c r="O509" s="1">
        <v>0.0460809488030561</v>
      </c>
      <c r="P509" s="1" t="s">
        <v>61</v>
      </c>
      <c r="Q509" s="1" t="s">
        <v>61</v>
      </c>
      <c r="R509" s="1">
        <f t="shared" si="1"/>
        <v>0.0460809488</v>
      </c>
      <c r="S509" s="1">
        <f t="shared" si="2"/>
        <v>-115</v>
      </c>
      <c r="T509" s="1">
        <f t="shared" si="3"/>
        <v>1.869565217</v>
      </c>
      <c r="U509" s="1">
        <f t="shared" si="4"/>
        <v>0</v>
      </c>
      <c r="V509" s="3">
        <f t="shared" si="5"/>
        <v>1</v>
      </c>
      <c r="W509" s="3">
        <f t="shared" si="6"/>
        <v>2</v>
      </c>
      <c r="X509" s="3" t="str">
        <f>IFERROR(__xludf.DUMMYFUNCTION("split(B509,"" "")"),"K.")</f>
        <v>K.</v>
      </c>
      <c r="Y509" s="3" t="str">
        <f>IFERROR(__xludf.DUMMYFUNCTION("""COMPUTED_VALUE"""),"Murray")</f>
        <v>Murray</v>
      </c>
      <c r="AA509" s="8">
        <v>21.0</v>
      </c>
      <c r="AB509" s="3">
        <f t="shared" si="7"/>
        <v>0</v>
      </c>
      <c r="AC509" s="3">
        <f t="shared" si="8"/>
        <v>1</v>
      </c>
      <c r="AD509" s="3">
        <f t="shared" si="9"/>
        <v>0.8695652174</v>
      </c>
      <c r="AE509" s="3">
        <f t="shared" si="10"/>
        <v>0.8695652174</v>
      </c>
      <c r="AF509" s="3">
        <f t="shared" si="11"/>
        <v>1.739130435</v>
      </c>
      <c r="AG509" s="3">
        <f t="shared" si="12"/>
        <v>0.2881355932</v>
      </c>
    </row>
    <row r="510">
      <c r="A510" s="1" t="s">
        <v>10</v>
      </c>
      <c r="B510" s="1" t="s">
        <v>345</v>
      </c>
      <c r="C510" s="1" t="s">
        <v>19</v>
      </c>
      <c r="D510" s="1" t="s">
        <v>105</v>
      </c>
      <c r="E510" s="1" t="s">
        <v>165</v>
      </c>
      <c r="F510" s="1" t="s">
        <v>674</v>
      </c>
      <c r="G510" s="1">
        <v>76.5</v>
      </c>
      <c r="H510" s="1" t="s">
        <v>60</v>
      </c>
      <c r="I510" s="1">
        <v>-114.0</v>
      </c>
      <c r="J510" s="1">
        <v>-0.103283248646145</v>
      </c>
      <c r="K510" s="1" t="s">
        <v>61</v>
      </c>
      <c r="L510" s="1" t="s">
        <v>61</v>
      </c>
      <c r="M510" s="1" t="s">
        <v>62</v>
      </c>
      <c r="N510" s="1">
        <v>-114.0</v>
      </c>
      <c r="O510" s="1">
        <v>0.0379135950356211</v>
      </c>
      <c r="P510" s="1" t="s">
        <v>61</v>
      </c>
      <c r="Q510" s="1" t="s">
        <v>61</v>
      </c>
      <c r="R510" s="1">
        <f t="shared" si="1"/>
        <v>0.03791359504</v>
      </c>
      <c r="S510" s="1">
        <f t="shared" si="2"/>
        <v>-114</v>
      </c>
      <c r="T510" s="1">
        <f t="shared" si="3"/>
        <v>1.877192982</v>
      </c>
      <c r="U510" s="1">
        <f t="shared" si="4"/>
        <v>0</v>
      </c>
      <c r="V510" s="3">
        <f t="shared" si="5"/>
        <v>1</v>
      </c>
      <c r="W510" s="3">
        <f t="shared" si="6"/>
        <v>2</v>
      </c>
      <c r="X510" s="3" t="str">
        <f>IFERROR(__xludf.DUMMYFUNCTION("split(B510,"" "")"),"J.")</f>
        <v>J.</v>
      </c>
      <c r="Y510" s="3" t="str">
        <f>IFERROR(__xludf.DUMMYFUNCTION("""COMPUTED_VALUE"""),"Conner")</f>
        <v>Conner</v>
      </c>
      <c r="AA510" s="8">
        <v>33.0</v>
      </c>
      <c r="AB510" s="3">
        <f t="shared" si="7"/>
        <v>0</v>
      </c>
      <c r="AC510" s="3">
        <f t="shared" si="8"/>
        <v>1</v>
      </c>
      <c r="AD510" s="3">
        <f t="shared" si="9"/>
        <v>0.8771929825</v>
      </c>
      <c r="AE510" s="3">
        <f t="shared" si="10"/>
        <v>0.8771929825</v>
      </c>
      <c r="AF510" s="3">
        <f t="shared" si="11"/>
        <v>1.754385965</v>
      </c>
      <c r="AG510" s="3">
        <f t="shared" si="12"/>
        <v>0.568627451</v>
      </c>
    </row>
    <row r="511">
      <c r="A511" s="1" t="s">
        <v>11</v>
      </c>
      <c r="B511" s="1" t="s">
        <v>349</v>
      </c>
      <c r="C511" s="1" t="s">
        <v>20</v>
      </c>
      <c r="D511" s="1" t="s">
        <v>105</v>
      </c>
      <c r="E511" s="1" t="s">
        <v>165</v>
      </c>
      <c r="F511" s="1" t="s">
        <v>674</v>
      </c>
      <c r="G511" s="1">
        <v>53.5</v>
      </c>
      <c r="H511" s="1" t="s">
        <v>60</v>
      </c>
      <c r="I511" s="1">
        <v>-114.0</v>
      </c>
      <c r="J511" s="1">
        <v>-0.0937438406646354</v>
      </c>
      <c r="K511" s="1" t="s">
        <v>61</v>
      </c>
      <c r="L511" s="1" t="s">
        <v>61</v>
      </c>
      <c r="M511" s="1" t="s">
        <v>62</v>
      </c>
      <c r="N511" s="1">
        <v>-115.0</v>
      </c>
      <c r="O511" s="1">
        <v>0.026183320666279</v>
      </c>
      <c r="P511" s="1" t="s">
        <v>61</v>
      </c>
      <c r="Q511" s="1" t="s">
        <v>61</v>
      </c>
      <c r="R511" s="1">
        <f t="shared" si="1"/>
        <v>0.02618332067</v>
      </c>
      <c r="S511" s="1">
        <f t="shared" si="2"/>
        <v>-115</v>
      </c>
      <c r="T511" s="1">
        <f t="shared" si="3"/>
        <v>1.869565217</v>
      </c>
      <c r="U511" s="1">
        <f t="shared" si="4"/>
        <v>0</v>
      </c>
      <c r="V511" s="3">
        <f t="shared" si="5"/>
        <v>1</v>
      </c>
      <c r="W511" s="3">
        <f t="shared" si="6"/>
        <v>2</v>
      </c>
      <c r="X511" s="3" t="str">
        <f>IFERROR(__xludf.DUMMYFUNCTION("split(B511,"" "")"),"T.")</f>
        <v>T.</v>
      </c>
      <c r="Y511" s="3" t="str">
        <f>IFERROR(__xludf.DUMMYFUNCTION("""COMPUTED_VALUE"""),"McBride")</f>
        <v>McBride</v>
      </c>
      <c r="AA511" s="8">
        <v>71.0</v>
      </c>
      <c r="AB511" s="3">
        <f t="shared" si="7"/>
        <v>1</v>
      </c>
      <c r="AC511" s="3">
        <f t="shared" si="8"/>
        <v>0</v>
      </c>
      <c r="AD511" s="3">
        <f t="shared" si="9"/>
        <v>0.8695652174</v>
      </c>
      <c r="AE511" s="3">
        <f t="shared" si="10"/>
        <v>-1</v>
      </c>
      <c r="AF511" s="3">
        <f t="shared" si="11"/>
        <v>-2</v>
      </c>
      <c r="AG511" s="3">
        <f t="shared" si="12"/>
        <v>-0.3271028037</v>
      </c>
    </row>
    <row r="512">
      <c r="A512" s="1" t="s">
        <v>11</v>
      </c>
      <c r="B512" s="1" t="s">
        <v>233</v>
      </c>
      <c r="C512" s="1" t="s">
        <v>18</v>
      </c>
      <c r="D512" s="1" t="s">
        <v>105</v>
      </c>
      <c r="E512" s="1" t="s">
        <v>165</v>
      </c>
      <c r="F512" s="1" t="s">
        <v>674</v>
      </c>
      <c r="G512" s="1">
        <v>27.5</v>
      </c>
      <c r="H512" s="1" t="s">
        <v>60</v>
      </c>
      <c r="I512" s="1">
        <v>-117.0</v>
      </c>
      <c r="J512" s="1">
        <v>-0.079767855423364</v>
      </c>
      <c r="K512" s="1" t="s">
        <v>61</v>
      </c>
      <c r="L512" s="1" t="s">
        <v>61</v>
      </c>
      <c r="M512" s="1" t="s">
        <v>62</v>
      </c>
      <c r="N512" s="1">
        <v>-111.0</v>
      </c>
      <c r="O512" s="1">
        <v>0.01455893524088</v>
      </c>
      <c r="P512" s="1" t="s">
        <v>61</v>
      </c>
      <c r="Q512" s="1" t="s">
        <v>61</v>
      </c>
      <c r="R512" s="1">
        <f t="shared" si="1"/>
        <v>0.01455893524</v>
      </c>
      <c r="S512" s="1">
        <f t="shared" si="2"/>
        <v>-111</v>
      </c>
      <c r="T512" s="1">
        <f t="shared" si="3"/>
        <v>1.900900901</v>
      </c>
      <c r="U512" s="1">
        <f t="shared" si="4"/>
        <v>0</v>
      </c>
      <c r="V512" s="3">
        <f t="shared" si="5"/>
        <v>1</v>
      </c>
      <c r="W512" s="3">
        <f t="shared" si="6"/>
        <v>2</v>
      </c>
      <c r="X512" s="3" t="str">
        <f>IFERROR(__xludf.DUMMYFUNCTION("split(B512,"" "")"),"M.")</f>
        <v>M.</v>
      </c>
      <c r="Y512" s="3" t="str">
        <f>IFERROR(__xludf.DUMMYFUNCTION("""COMPUTED_VALUE"""),"Wilson")</f>
        <v>Wilson</v>
      </c>
      <c r="AA512" s="8">
        <v>41.0</v>
      </c>
      <c r="AB512" s="3">
        <f t="shared" si="7"/>
        <v>1</v>
      </c>
      <c r="AC512" s="3">
        <f t="shared" si="8"/>
        <v>0</v>
      </c>
      <c r="AD512" s="3">
        <f t="shared" si="9"/>
        <v>0.9009009009</v>
      </c>
      <c r="AE512" s="3">
        <f t="shared" si="10"/>
        <v>-1</v>
      </c>
      <c r="AF512" s="3">
        <f t="shared" si="11"/>
        <v>-2</v>
      </c>
      <c r="AG512" s="3">
        <f t="shared" si="12"/>
        <v>-0.4909090909</v>
      </c>
    </row>
    <row r="513">
      <c r="A513" s="1" t="s">
        <v>8</v>
      </c>
      <c r="B513" s="1" t="s">
        <v>345</v>
      </c>
      <c r="C513" s="1" t="s">
        <v>19</v>
      </c>
      <c r="D513" s="1" t="s">
        <v>105</v>
      </c>
      <c r="E513" s="1" t="s">
        <v>165</v>
      </c>
      <c r="F513" s="1" t="s">
        <v>674</v>
      </c>
      <c r="G513" s="1">
        <v>17.5</v>
      </c>
      <c r="H513" s="1" t="s">
        <v>60</v>
      </c>
      <c r="I513" s="1">
        <v>-123.0</v>
      </c>
      <c r="J513" s="1">
        <v>-0.0757119871300448</v>
      </c>
      <c r="K513" s="1" t="s">
        <v>61</v>
      </c>
      <c r="L513" s="1" t="s">
        <v>61</v>
      </c>
      <c r="M513" s="1" t="s">
        <v>62</v>
      </c>
      <c r="N513" s="1">
        <v>-109.0</v>
      </c>
      <c r="O513" s="1">
        <v>0.00261830484066982</v>
      </c>
      <c r="P513" s="1" t="s">
        <v>61</v>
      </c>
      <c r="Q513" s="1" t="s">
        <v>61</v>
      </c>
      <c r="R513" s="1">
        <f t="shared" si="1"/>
        <v>0.002618304841</v>
      </c>
      <c r="S513" s="1">
        <f t="shared" si="2"/>
        <v>-109</v>
      </c>
      <c r="T513" s="1">
        <f t="shared" si="3"/>
        <v>1.917431193</v>
      </c>
      <c r="U513" s="1">
        <f t="shared" si="4"/>
        <v>0</v>
      </c>
      <c r="V513" s="3">
        <f t="shared" si="5"/>
        <v>1</v>
      </c>
      <c r="W513" s="3">
        <f t="shared" si="6"/>
        <v>2</v>
      </c>
      <c r="X513" s="3" t="str">
        <f>IFERROR(__xludf.DUMMYFUNCTION("split(B513,"" "")"),"J.")</f>
        <v>J.</v>
      </c>
      <c r="Y513" s="3" t="str">
        <f>IFERROR(__xludf.DUMMYFUNCTION("""COMPUTED_VALUE"""),"Conner")</f>
        <v>Conner</v>
      </c>
      <c r="AA513" s="8">
        <v>12.0</v>
      </c>
      <c r="AB513" s="3">
        <f t="shared" si="7"/>
        <v>0</v>
      </c>
      <c r="AC513" s="3">
        <f t="shared" si="8"/>
        <v>1</v>
      </c>
      <c r="AD513" s="3">
        <f t="shared" si="9"/>
        <v>0.9174311927</v>
      </c>
      <c r="AE513" s="3">
        <f t="shared" si="10"/>
        <v>0.9174311927</v>
      </c>
      <c r="AF513" s="3">
        <f t="shared" si="11"/>
        <v>1.834862385</v>
      </c>
      <c r="AG513" s="3">
        <f t="shared" si="12"/>
        <v>0.3142857143</v>
      </c>
    </row>
    <row r="514">
      <c r="A514" s="1" t="s">
        <v>11</v>
      </c>
      <c r="B514" s="1" t="s">
        <v>451</v>
      </c>
      <c r="C514" s="1" t="s">
        <v>18</v>
      </c>
      <c r="D514" s="1" t="s">
        <v>105</v>
      </c>
      <c r="E514" s="1" t="s">
        <v>165</v>
      </c>
      <c r="F514" s="1" t="s">
        <v>674</v>
      </c>
      <c r="G514" s="1">
        <v>12.5</v>
      </c>
      <c r="H514" s="1" t="s">
        <v>60</v>
      </c>
      <c r="I514" s="1">
        <v>-115.0</v>
      </c>
      <c r="J514" s="1">
        <v>0.00253367967587858</v>
      </c>
      <c r="K514" s="1" t="s">
        <v>61</v>
      </c>
      <c r="L514" s="1" t="s">
        <v>61</v>
      </c>
      <c r="M514" s="1" t="s">
        <v>62</v>
      </c>
      <c r="N514" s="1">
        <v>-115.0</v>
      </c>
      <c r="O514" s="1">
        <v>-0.0722437316272603</v>
      </c>
      <c r="P514" s="1" t="s">
        <v>61</v>
      </c>
      <c r="Q514" s="1" t="s">
        <v>61</v>
      </c>
      <c r="R514" s="1">
        <f t="shared" si="1"/>
        <v>0.002533679676</v>
      </c>
      <c r="S514" s="1">
        <f t="shared" si="2"/>
        <v>-115</v>
      </c>
      <c r="T514" s="1">
        <f t="shared" si="3"/>
        <v>1.869565217</v>
      </c>
      <c r="U514" s="1">
        <f t="shared" si="4"/>
        <v>1</v>
      </c>
      <c r="V514" s="3">
        <f t="shared" si="5"/>
        <v>1</v>
      </c>
      <c r="W514" s="3">
        <f t="shared" si="6"/>
        <v>2</v>
      </c>
      <c r="X514" s="3" t="str">
        <f>IFERROR(__xludf.DUMMYFUNCTION("split(B514,"" "")"),"G.")</f>
        <v>G.</v>
      </c>
      <c r="Y514" s="3" t="str">
        <f>IFERROR(__xludf.DUMMYFUNCTION("""COMPUTED_VALUE"""),"Dortch")</f>
        <v>Dortch</v>
      </c>
      <c r="AA514" s="8">
        <v>-1.0</v>
      </c>
      <c r="AB514" s="3">
        <f t="shared" si="7"/>
        <v>0</v>
      </c>
      <c r="AC514" s="3">
        <f t="shared" si="8"/>
        <v>0</v>
      </c>
      <c r="AD514" s="3">
        <f t="shared" si="9"/>
        <v>0.8695652174</v>
      </c>
      <c r="AE514" s="3">
        <f t="shared" si="10"/>
        <v>-1</v>
      </c>
      <c r="AF514" s="3">
        <f t="shared" si="11"/>
        <v>-2</v>
      </c>
      <c r="AG514" s="3">
        <f t="shared" si="12"/>
        <v>-1.08</v>
      </c>
    </row>
    <row r="515">
      <c r="A515" s="1" t="s">
        <v>14</v>
      </c>
      <c r="B515" s="1" t="s">
        <v>204</v>
      </c>
      <c r="C515" s="1" t="s">
        <v>21</v>
      </c>
      <c r="D515" s="1" t="s">
        <v>105</v>
      </c>
      <c r="E515" s="1" t="s">
        <v>165</v>
      </c>
      <c r="F515" s="1" t="s">
        <v>674</v>
      </c>
      <c r="G515" s="1">
        <v>1.5</v>
      </c>
      <c r="H515" s="1" t="s">
        <v>60</v>
      </c>
      <c r="I515" s="1">
        <v>164.0</v>
      </c>
      <c r="J515" s="1">
        <v>0.0167499999999999</v>
      </c>
      <c r="K515" s="1" t="s">
        <v>61</v>
      </c>
      <c r="L515" s="1" t="s">
        <v>61</v>
      </c>
      <c r="M515" s="1" t="s">
        <v>62</v>
      </c>
      <c r="N515" s="1">
        <v>-216.0</v>
      </c>
      <c r="O515" s="1">
        <v>-0.0790759493670885</v>
      </c>
      <c r="P515" s="1" t="s">
        <v>61</v>
      </c>
      <c r="Q515" s="1" t="s">
        <v>61</v>
      </c>
      <c r="R515" s="1">
        <f t="shared" si="1"/>
        <v>0.01675</v>
      </c>
      <c r="S515" s="1">
        <f t="shared" si="2"/>
        <v>164</v>
      </c>
      <c r="T515" s="1">
        <f t="shared" si="3"/>
        <v>2.64</v>
      </c>
      <c r="U515" s="1">
        <f t="shared" si="4"/>
        <v>1</v>
      </c>
      <c r="V515" s="3">
        <f t="shared" si="5"/>
        <v>1</v>
      </c>
      <c r="W515" s="3">
        <f t="shared" si="6"/>
        <v>1</v>
      </c>
      <c r="X515" s="3" t="str">
        <f>IFERROR(__xludf.DUMMYFUNCTION("split(B515,"" "")"),"K.")</f>
        <v>K.</v>
      </c>
      <c r="Y515" s="3" t="str">
        <f>IFERROR(__xludf.DUMMYFUNCTION("""COMPUTED_VALUE"""),"Murray")</f>
        <v>Murray</v>
      </c>
      <c r="AA515" s="8">
        <v>1.0</v>
      </c>
      <c r="AB515" s="3">
        <f t="shared" si="7"/>
        <v>0</v>
      </c>
      <c r="AC515" s="3">
        <f t="shared" si="8"/>
        <v>0</v>
      </c>
      <c r="AD515" s="3">
        <f t="shared" si="9"/>
        <v>1.64</v>
      </c>
      <c r="AE515" s="3">
        <f t="shared" si="10"/>
        <v>-1</v>
      </c>
      <c r="AF515" s="3">
        <f t="shared" si="11"/>
        <v>-1</v>
      </c>
      <c r="AG515" s="3">
        <f t="shared" si="12"/>
        <v>-0.3333333333</v>
      </c>
    </row>
    <row r="516">
      <c r="A516" s="1" t="s">
        <v>9</v>
      </c>
      <c r="B516" s="1" t="s">
        <v>452</v>
      </c>
      <c r="C516" s="1" t="s">
        <v>18</v>
      </c>
      <c r="D516" s="1" t="s">
        <v>105</v>
      </c>
      <c r="E516" s="1" t="s">
        <v>165</v>
      </c>
      <c r="F516" s="1" t="s">
        <v>674</v>
      </c>
      <c r="G516" s="1">
        <v>45.5</v>
      </c>
      <c r="H516" s="1" t="s">
        <v>60</v>
      </c>
      <c r="I516" s="1">
        <v>-115.0</v>
      </c>
      <c r="J516" s="1">
        <v>0.020515391204583</v>
      </c>
      <c r="K516" s="1" t="s">
        <v>61</v>
      </c>
      <c r="L516" s="1" t="s">
        <v>61</v>
      </c>
      <c r="M516" s="1" t="s">
        <v>62</v>
      </c>
      <c r="N516" s="1">
        <v>-117.0</v>
      </c>
      <c r="O516" s="1">
        <v>-0.0946172426613497</v>
      </c>
      <c r="P516" s="1" t="s">
        <v>61</v>
      </c>
      <c r="Q516" s="1" t="s">
        <v>61</v>
      </c>
      <c r="R516" s="1">
        <f t="shared" si="1"/>
        <v>0.0205153912</v>
      </c>
      <c r="S516" s="1">
        <f t="shared" si="2"/>
        <v>-115</v>
      </c>
      <c r="T516" s="1">
        <f t="shared" si="3"/>
        <v>1.869565217</v>
      </c>
      <c r="U516" s="1">
        <f t="shared" si="4"/>
        <v>1</v>
      </c>
      <c r="V516" s="3">
        <f t="shared" si="5"/>
        <v>1</v>
      </c>
      <c r="W516" s="3">
        <f t="shared" si="6"/>
        <v>2</v>
      </c>
      <c r="X516" s="3" t="str">
        <f>IFERROR(__xludf.DUMMYFUNCTION("split(B516,"" "")"),"M.")</f>
        <v>M.</v>
      </c>
      <c r="Y516" s="3" t="str">
        <f>IFERROR(__xludf.DUMMYFUNCTION("""COMPUTED_VALUE"""),"Harrison")</f>
        <v>Harrison</v>
      </c>
      <c r="Z516" s="3" t="str">
        <f>IFERROR(__xludf.DUMMYFUNCTION("""COMPUTED_VALUE"""),"Jr.")</f>
        <v>Jr.</v>
      </c>
      <c r="AA516" s="8">
        <v>54.0</v>
      </c>
      <c r="AB516" s="3">
        <f t="shared" si="7"/>
        <v>1</v>
      </c>
      <c r="AC516" s="3">
        <f t="shared" si="8"/>
        <v>1</v>
      </c>
      <c r="AD516" s="3">
        <f t="shared" si="9"/>
        <v>0.8695652174</v>
      </c>
      <c r="AE516" s="3">
        <f t="shared" si="10"/>
        <v>0.8695652174</v>
      </c>
      <c r="AF516" s="3">
        <f t="shared" si="11"/>
        <v>1.739130435</v>
      </c>
      <c r="AG516" s="3">
        <f t="shared" si="12"/>
        <v>0.1868131868</v>
      </c>
    </row>
    <row r="517">
      <c r="A517" s="1" t="s">
        <v>12</v>
      </c>
      <c r="B517" s="1" t="s">
        <v>349</v>
      </c>
      <c r="C517" s="1" t="s">
        <v>20</v>
      </c>
      <c r="D517" s="1" t="s">
        <v>105</v>
      </c>
      <c r="E517" s="1" t="s">
        <v>165</v>
      </c>
      <c r="F517" s="1" t="s">
        <v>674</v>
      </c>
      <c r="G517" s="1">
        <v>5.5</v>
      </c>
      <c r="H517" s="1" t="s">
        <v>60</v>
      </c>
      <c r="I517" s="1">
        <v>-101.0</v>
      </c>
      <c r="J517" s="1">
        <v>0.029612935323383</v>
      </c>
      <c r="K517" s="1" t="s">
        <v>61</v>
      </c>
      <c r="L517" s="1" t="s">
        <v>61</v>
      </c>
      <c r="M517" s="1" t="s">
        <v>62</v>
      </c>
      <c r="N517" s="1">
        <v>-130.0</v>
      </c>
      <c r="O517" s="1">
        <v>-0.0973043478260869</v>
      </c>
      <c r="P517" s="1" t="s">
        <v>61</v>
      </c>
      <c r="Q517" s="1" t="s">
        <v>61</v>
      </c>
      <c r="R517" s="1">
        <f t="shared" si="1"/>
        <v>0.02961293532</v>
      </c>
      <c r="S517" s="1">
        <f t="shared" si="2"/>
        <v>-101</v>
      </c>
      <c r="T517" s="1">
        <f t="shared" si="3"/>
        <v>1.99009901</v>
      </c>
      <c r="U517" s="1">
        <f t="shared" si="4"/>
        <v>1</v>
      </c>
      <c r="V517" s="3">
        <f t="shared" si="5"/>
        <v>1</v>
      </c>
      <c r="W517" s="3">
        <f t="shared" si="6"/>
        <v>2</v>
      </c>
      <c r="X517" s="3" t="str">
        <f>IFERROR(__xludf.DUMMYFUNCTION("split(B517,"" "")"),"T.")</f>
        <v>T.</v>
      </c>
      <c r="Y517" s="3" t="str">
        <f>IFERROR(__xludf.DUMMYFUNCTION("""COMPUTED_VALUE"""),"McBride")</f>
        <v>McBride</v>
      </c>
      <c r="AA517" s="8">
        <v>4.0</v>
      </c>
      <c r="AB517" s="3">
        <f t="shared" si="7"/>
        <v>0</v>
      </c>
      <c r="AC517" s="3">
        <f t="shared" si="8"/>
        <v>0</v>
      </c>
      <c r="AD517" s="3">
        <f t="shared" si="9"/>
        <v>0.9900990099</v>
      </c>
      <c r="AE517" s="3">
        <f t="shared" si="10"/>
        <v>-1</v>
      </c>
      <c r="AF517" s="3">
        <f t="shared" si="11"/>
        <v>-2</v>
      </c>
      <c r="AG517" s="3">
        <f t="shared" si="12"/>
        <v>-0.2727272727</v>
      </c>
    </row>
    <row r="518">
      <c r="A518" s="1" t="s">
        <v>9</v>
      </c>
      <c r="B518" s="1" t="s">
        <v>233</v>
      </c>
      <c r="C518" s="1" t="s">
        <v>18</v>
      </c>
      <c r="D518" s="1" t="s">
        <v>105</v>
      </c>
      <c r="E518" s="1" t="s">
        <v>165</v>
      </c>
      <c r="F518" s="1" t="s">
        <v>674</v>
      </c>
      <c r="G518" s="1">
        <v>26.5</v>
      </c>
      <c r="H518" s="1" t="s">
        <v>60</v>
      </c>
      <c r="I518" s="1">
        <v>-115.0</v>
      </c>
      <c r="J518" s="1">
        <v>0.0491924749693813</v>
      </c>
      <c r="K518" s="1" t="s">
        <v>61</v>
      </c>
      <c r="L518" s="1" t="s">
        <v>61</v>
      </c>
      <c r="M518" s="1" t="s">
        <v>62</v>
      </c>
      <c r="N518" s="1">
        <v>-117.0</v>
      </c>
      <c r="O518" s="1">
        <v>-0.123195147827409</v>
      </c>
      <c r="P518" s="1" t="s">
        <v>61</v>
      </c>
      <c r="Q518" s="1" t="s">
        <v>61</v>
      </c>
      <c r="R518" s="1">
        <f t="shared" si="1"/>
        <v>0.04919247497</v>
      </c>
      <c r="S518" s="1">
        <f t="shared" si="2"/>
        <v>-115</v>
      </c>
      <c r="T518" s="1">
        <f t="shared" si="3"/>
        <v>1.869565217</v>
      </c>
      <c r="U518" s="1">
        <f t="shared" si="4"/>
        <v>1</v>
      </c>
      <c r="V518" s="3">
        <f t="shared" si="5"/>
        <v>1</v>
      </c>
      <c r="W518" s="3">
        <f t="shared" si="6"/>
        <v>2</v>
      </c>
      <c r="X518" s="3" t="str">
        <f>IFERROR(__xludf.DUMMYFUNCTION("split(B518,"" "")"),"M.")</f>
        <v>M.</v>
      </c>
      <c r="Y518" s="3" t="str">
        <f>IFERROR(__xludf.DUMMYFUNCTION("""COMPUTED_VALUE"""),"Wilson")</f>
        <v>Wilson</v>
      </c>
      <c r="AA518" s="8">
        <v>41.0</v>
      </c>
      <c r="AB518" s="3">
        <f t="shared" si="7"/>
        <v>1</v>
      </c>
      <c r="AC518" s="3">
        <f t="shared" si="8"/>
        <v>1</v>
      </c>
      <c r="AD518" s="3">
        <f t="shared" si="9"/>
        <v>0.8695652174</v>
      </c>
      <c r="AE518" s="3">
        <f t="shared" si="10"/>
        <v>0.8695652174</v>
      </c>
      <c r="AF518" s="3">
        <f t="shared" si="11"/>
        <v>1.739130435</v>
      </c>
      <c r="AG518" s="3">
        <f t="shared" si="12"/>
        <v>0.5471698113</v>
      </c>
    </row>
    <row r="519">
      <c r="A519" s="1" t="s">
        <v>9</v>
      </c>
      <c r="B519" s="1" t="s">
        <v>451</v>
      </c>
      <c r="C519" s="1" t="s">
        <v>18</v>
      </c>
      <c r="D519" s="1" t="s">
        <v>105</v>
      </c>
      <c r="E519" s="1" t="s">
        <v>165</v>
      </c>
      <c r="F519" s="1" t="s">
        <v>674</v>
      </c>
      <c r="G519" s="1">
        <v>12.5</v>
      </c>
      <c r="H519" s="1" t="s">
        <v>60</v>
      </c>
      <c r="I519" s="1">
        <v>-120.0</v>
      </c>
      <c r="J519" s="1">
        <v>0.169360832955458</v>
      </c>
      <c r="K519" s="1" t="s">
        <v>61</v>
      </c>
      <c r="L519" s="1" t="s">
        <v>61</v>
      </c>
      <c r="M519" s="1" t="s">
        <v>62</v>
      </c>
      <c r="N519" s="1">
        <v>-110.0</v>
      </c>
      <c r="O519" s="1">
        <v>-0.238612007501051</v>
      </c>
      <c r="P519" s="1" t="s">
        <v>61</v>
      </c>
      <c r="Q519" s="1" t="s">
        <v>61</v>
      </c>
      <c r="R519" s="1">
        <f t="shared" si="1"/>
        <v>0.169360833</v>
      </c>
      <c r="S519" s="1">
        <f t="shared" si="2"/>
        <v>-120</v>
      </c>
      <c r="T519" s="1">
        <f t="shared" si="3"/>
        <v>1.833333333</v>
      </c>
      <c r="U519" s="1">
        <f t="shared" si="4"/>
        <v>1</v>
      </c>
      <c r="V519" s="3">
        <f t="shared" si="5"/>
        <v>3</v>
      </c>
      <c r="W519" s="3">
        <f t="shared" si="6"/>
        <v>3</v>
      </c>
      <c r="X519" s="3" t="str">
        <f>IFERROR(__xludf.DUMMYFUNCTION("split(B519,"" "")"),"G.")</f>
        <v>G.</v>
      </c>
      <c r="Y519" s="3" t="str">
        <f>IFERROR(__xludf.DUMMYFUNCTION("""COMPUTED_VALUE"""),"Dortch")</f>
        <v>Dortch</v>
      </c>
      <c r="AA519" s="8">
        <v>-1.0</v>
      </c>
      <c r="AB519" s="3">
        <f t="shared" si="7"/>
        <v>0</v>
      </c>
      <c r="AC519" s="3">
        <f t="shared" si="8"/>
        <v>0</v>
      </c>
      <c r="AD519" s="3">
        <f t="shared" si="9"/>
        <v>2.5</v>
      </c>
      <c r="AE519" s="3">
        <f t="shared" si="10"/>
        <v>-3</v>
      </c>
      <c r="AF519" s="3">
        <f t="shared" si="11"/>
        <v>-3</v>
      </c>
      <c r="AG519" s="3">
        <f t="shared" si="12"/>
        <v>-1.08</v>
      </c>
    </row>
    <row r="520">
      <c r="AA520" s="8"/>
    </row>
    <row r="521">
      <c r="AA521" s="8"/>
    </row>
    <row r="522">
      <c r="AA522" s="8"/>
    </row>
    <row r="523">
      <c r="AA523" s="8"/>
    </row>
    <row r="524">
      <c r="AA524" s="8"/>
    </row>
    <row r="525">
      <c r="AA525" s="8"/>
    </row>
    <row r="526">
      <c r="AA526" s="8"/>
    </row>
    <row r="527">
      <c r="AA527" s="8"/>
    </row>
    <row r="528">
      <c r="AA528" s="8"/>
    </row>
    <row r="529">
      <c r="AA529" s="8"/>
    </row>
    <row r="530">
      <c r="AA530" s="8"/>
    </row>
    <row r="531">
      <c r="AA531" s="8"/>
    </row>
    <row r="532">
      <c r="AA532" s="8"/>
    </row>
    <row r="533">
      <c r="AA533" s="8"/>
    </row>
    <row r="534">
      <c r="AA534" s="8"/>
    </row>
    <row r="535">
      <c r="AA535" s="8"/>
    </row>
    <row r="536">
      <c r="AA536" s="8"/>
    </row>
    <row r="537">
      <c r="AA537" s="8"/>
    </row>
    <row r="538">
      <c r="AA538" s="8"/>
    </row>
    <row r="539">
      <c r="AA539" s="8"/>
    </row>
    <row r="540">
      <c r="AA540" s="8"/>
    </row>
    <row r="541">
      <c r="AA541" s="8"/>
    </row>
    <row r="542">
      <c r="AA542" s="8"/>
    </row>
    <row r="543">
      <c r="AA543" s="8"/>
    </row>
    <row r="544">
      <c r="AA544" s="8"/>
    </row>
    <row r="545">
      <c r="AA545" s="8"/>
    </row>
    <row r="546">
      <c r="AA546" s="8"/>
    </row>
    <row r="547">
      <c r="AA547" s="8"/>
    </row>
    <row r="548">
      <c r="AA548" s="8"/>
    </row>
    <row r="549">
      <c r="AA549" s="8"/>
    </row>
    <row r="550">
      <c r="AA550" s="8"/>
    </row>
    <row r="551">
      <c r="AA551" s="8"/>
    </row>
    <row r="552">
      <c r="AA552" s="8"/>
    </row>
    <row r="553">
      <c r="AA553" s="8"/>
    </row>
    <row r="554">
      <c r="AA554" s="8"/>
    </row>
    <row r="555">
      <c r="AA555" s="8"/>
    </row>
    <row r="556">
      <c r="AA556" s="8"/>
    </row>
    <row r="557">
      <c r="AA557" s="8"/>
    </row>
    <row r="558">
      <c r="AA558" s="8"/>
    </row>
    <row r="559">
      <c r="AA559" s="8"/>
    </row>
  </sheetData>
  <conditionalFormatting sqref="AK19:AK30">
    <cfRule type="colorScale" priority="1">
      <colorScale>
        <cfvo type="min"/>
        <cfvo type="max"/>
        <color rgb="FFD9EAD3"/>
        <color rgb="FF57BB8A"/>
      </colorScale>
    </cfRule>
  </conditionalFormatting>
  <conditionalFormatting sqref="AN19:AN30">
    <cfRule type="colorScale" priority="2">
      <colorScale>
        <cfvo type="min"/>
        <cfvo type="percentile" val="50"/>
        <cfvo type="max"/>
        <color rgb="FFDD7E6B"/>
        <color rgb="FFFFFFFF"/>
        <color rgb="FF57BB8A"/>
      </colorScale>
    </cfRule>
  </conditionalFormatting>
  <conditionalFormatting sqref="AG2:AG519">
    <cfRule type="colorScale" priority="3">
      <colorScale>
        <cfvo type="min"/>
        <cfvo type="formula" val="-0.1428571429"/>
        <cfvo type="max"/>
        <color rgb="FFB6D7A8"/>
        <color rgb="FFEFEFEF"/>
        <color rgb="FF93C47D"/>
      </colorScale>
    </cfRule>
  </conditionalFormatting>
  <conditionalFormatting sqref="O1:O755">
    <cfRule type="cellIs" dxfId="0" priority="4" operator="greaterThan">
      <formula>0</formula>
    </cfRule>
  </conditionalFormatting>
  <conditionalFormatting sqref="J1:J755">
    <cfRule type="cellIs" dxfId="0" priority="5" operator="greaterThan">
      <formula>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SUM(AE2:AE99657)</f>
        <v>-44.44428184</v>
      </c>
      <c r="AH1" s="2">
        <f>COUNTIF(AC:AC,1)/COUNT(AC:AC)</f>
        <v>0.4666666667</v>
      </c>
      <c r="AI1" s="3">
        <f>COUNTIF(AC:AC,1)</f>
        <v>140</v>
      </c>
      <c r="AJ1" s="1">
        <f>COUNT(AC:AC)-AI1</f>
        <v>160</v>
      </c>
      <c r="AK1" s="1">
        <f>SUM(AF2:AF710)</f>
        <v>-55.80242495</v>
      </c>
      <c r="AL1" s="1"/>
      <c r="AM1" s="1"/>
      <c r="AN1" s="1"/>
      <c r="AO1" s="1"/>
      <c r="AP1" s="1"/>
      <c r="AQ1" s="1"/>
      <c r="AR1" s="1"/>
    </row>
    <row r="2">
      <c r="A2" s="1" t="s">
        <v>10</v>
      </c>
      <c r="B2" s="1" t="s">
        <v>328</v>
      </c>
      <c r="C2" s="1" t="s">
        <v>21</v>
      </c>
      <c r="D2" s="1" t="s">
        <v>109</v>
      </c>
      <c r="E2" s="1" t="s">
        <v>83</v>
      </c>
      <c r="F2" s="1" t="s">
        <v>686</v>
      </c>
      <c r="G2" s="1">
        <v>0.5</v>
      </c>
      <c r="H2" s="1" t="s">
        <v>60</v>
      </c>
      <c r="I2" s="1">
        <v>110.0</v>
      </c>
      <c r="J2" s="1">
        <v>0.164851057036523</v>
      </c>
      <c r="K2" s="1" t="s">
        <v>61</v>
      </c>
      <c r="L2" s="1" t="s">
        <v>61</v>
      </c>
      <c r="M2" s="1" t="s">
        <v>62</v>
      </c>
      <c r="N2" s="1">
        <v>-133.0</v>
      </c>
      <c r="O2" s="1">
        <v>-0.211833789535699</v>
      </c>
      <c r="P2" s="1" t="s">
        <v>61</v>
      </c>
      <c r="Q2" s="1" t="s">
        <v>61</v>
      </c>
      <c r="R2" s="1">
        <f t="shared" ref="R2:R301" si="1">if(O2&gt;0, O2, J2)</f>
        <v>0.164851057</v>
      </c>
      <c r="S2" s="1">
        <f t="shared" ref="S2:S301" si="2">if(O2&gt;0,N2,I2)</f>
        <v>110</v>
      </c>
      <c r="T2" s="1">
        <f t="shared" ref="T2:T301" si="3">if(S2&gt;0, S2/100, -100/S2) + 1</f>
        <v>2.1</v>
      </c>
      <c r="U2" s="1">
        <f t="shared" ref="U2:U301" si="4">if(and(M2="under", O2&gt;0),0,1)</f>
        <v>1</v>
      </c>
      <c r="V2" s="3">
        <f t="shared" ref="V2:V301" si="5">IF(R2&lt;0.05, 1,if(R2&gt;0.1,3,2))</f>
        <v>3</v>
      </c>
      <c r="W2" s="3">
        <f t="shared" ref="W2:W301" si="6">IFS(T2&gt;2.1, 1, T2&lt;1.85,3, TRUE,2)</f>
        <v>2</v>
      </c>
      <c r="X2" s="3" t="str">
        <f>IFERROR(__xludf.DUMMYFUNCTION("split(B2,"" "")"),"K.")</f>
        <v>K.</v>
      </c>
      <c r="Y2" s="3" t="str">
        <f>IFERROR(__xludf.DUMMYFUNCTION("""COMPUTED_VALUE"""),"Cousins")</f>
        <v>Cousins</v>
      </c>
      <c r="AA2" s="8">
        <v>0.0</v>
      </c>
      <c r="AB2" s="3">
        <f t="shared" ref="AB2:AB301" si="7">if(AA2&lt;G2,0,1)</f>
        <v>0</v>
      </c>
      <c r="AC2" s="3">
        <f t="shared" ref="AC2:AC301" si="8">if(AB2=U2,1,0)</f>
        <v>0</v>
      </c>
      <c r="AD2" s="3">
        <f t="shared" ref="AD2:AD301" si="9">if(S2&lt;0, (100/(-S2))*V2, (S2/100)*V2)</f>
        <v>3.3</v>
      </c>
      <c r="AE2" s="3">
        <f t="shared" ref="AE2:AE301" si="10">if(T2&gt;4, 0, if(AC2=1,AD2,-V2))</f>
        <v>-3</v>
      </c>
      <c r="AF2" s="3">
        <f t="shared" ref="AF2:AF301" si="11">IF(AC2=0, -W2, (W2*T2)-W2)</f>
        <v>-2</v>
      </c>
      <c r="AG2" s="3">
        <f t="shared" ref="AG2:AG301" si="12">if(AC2 = 1, ABS((AA2-G2)/G2), ABS((AA2-G2)/G2)*-1)</f>
        <v>-1</v>
      </c>
    </row>
    <row r="3">
      <c r="A3" s="1" t="s">
        <v>12</v>
      </c>
      <c r="B3" s="1" t="s">
        <v>108</v>
      </c>
      <c r="C3" s="1" t="s">
        <v>20</v>
      </c>
      <c r="D3" s="1" t="s">
        <v>109</v>
      </c>
      <c r="E3" s="1" t="s">
        <v>83</v>
      </c>
      <c r="F3" s="1" t="s">
        <v>686</v>
      </c>
      <c r="G3" s="1">
        <v>3.5</v>
      </c>
      <c r="H3" s="1" t="s">
        <v>60</v>
      </c>
      <c r="I3" s="1">
        <v>-155.0</v>
      </c>
      <c r="J3" s="1">
        <v>-0.230782352941176</v>
      </c>
      <c r="K3" s="1" t="s">
        <v>61</v>
      </c>
      <c r="L3" s="1" t="s">
        <v>61</v>
      </c>
      <c r="M3" s="1" t="s">
        <v>62</v>
      </c>
      <c r="N3" s="1">
        <v>118.0</v>
      </c>
      <c r="O3" s="1">
        <v>0.164230275229357</v>
      </c>
      <c r="P3" s="1" t="s">
        <v>61</v>
      </c>
      <c r="Q3" s="1" t="s">
        <v>61</v>
      </c>
      <c r="R3" s="1">
        <f t="shared" si="1"/>
        <v>0.1642302752</v>
      </c>
      <c r="S3" s="1">
        <f t="shared" si="2"/>
        <v>118</v>
      </c>
      <c r="T3" s="1">
        <f t="shared" si="3"/>
        <v>2.18</v>
      </c>
      <c r="U3" s="1">
        <f t="shared" si="4"/>
        <v>0</v>
      </c>
      <c r="V3" s="3">
        <f t="shared" si="5"/>
        <v>3</v>
      </c>
      <c r="W3" s="3">
        <f t="shared" si="6"/>
        <v>1</v>
      </c>
      <c r="X3" s="3" t="str">
        <f>IFERROR(__xludf.DUMMYFUNCTION("split(B3,"" "")"),"K.")</f>
        <v>K.</v>
      </c>
      <c r="Y3" s="3" t="str">
        <f>IFERROR(__xludf.DUMMYFUNCTION("""COMPUTED_VALUE"""),"Pitts")</f>
        <v>Pitts</v>
      </c>
      <c r="AA3" s="8">
        <v>1.0</v>
      </c>
      <c r="AB3" s="3">
        <f t="shared" si="7"/>
        <v>0</v>
      </c>
      <c r="AC3" s="3">
        <f t="shared" si="8"/>
        <v>1</v>
      </c>
      <c r="AD3" s="3">
        <f t="shared" si="9"/>
        <v>3.54</v>
      </c>
      <c r="AE3" s="3">
        <f t="shared" si="10"/>
        <v>3.54</v>
      </c>
      <c r="AF3" s="3">
        <f t="shared" si="11"/>
        <v>1.18</v>
      </c>
      <c r="AG3" s="3">
        <f t="shared" si="12"/>
        <v>0.7142857143</v>
      </c>
    </row>
    <row r="4">
      <c r="A4" s="1" t="s">
        <v>11</v>
      </c>
      <c r="B4" s="1" t="s">
        <v>202</v>
      </c>
      <c r="C4" s="1" t="s">
        <v>19</v>
      </c>
      <c r="D4" s="1" t="s">
        <v>109</v>
      </c>
      <c r="E4" s="1" t="s">
        <v>83</v>
      </c>
      <c r="F4" s="1" t="s">
        <v>686</v>
      </c>
      <c r="G4" s="1">
        <v>0.5</v>
      </c>
      <c r="H4" s="1" t="s">
        <v>60</v>
      </c>
      <c r="I4" s="1">
        <v>-115.0</v>
      </c>
      <c r="J4" s="1">
        <v>0.163423007953173</v>
      </c>
      <c r="K4" s="1" t="s">
        <v>61</v>
      </c>
      <c r="L4" s="1" t="s">
        <v>61</v>
      </c>
      <c r="M4" s="1" t="s">
        <v>62</v>
      </c>
      <c r="N4" s="1">
        <v>-115.0</v>
      </c>
      <c r="O4" s="1">
        <v>-0.233161459146149</v>
      </c>
      <c r="P4" s="1" t="s">
        <v>61</v>
      </c>
      <c r="Q4" s="1" t="s">
        <v>61</v>
      </c>
      <c r="R4" s="1">
        <f t="shared" si="1"/>
        <v>0.163423008</v>
      </c>
      <c r="S4" s="1">
        <f t="shared" si="2"/>
        <v>-115</v>
      </c>
      <c r="T4" s="1">
        <f t="shared" si="3"/>
        <v>1.869565217</v>
      </c>
      <c r="U4" s="1">
        <f t="shared" si="4"/>
        <v>1</v>
      </c>
      <c r="V4" s="3">
        <f t="shared" si="5"/>
        <v>3</v>
      </c>
      <c r="W4" s="3">
        <f t="shared" si="6"/>
        <v>2</v>
      </c>
      <c r="X4" s="3" t="str">
        <f>IFERROR(__xludf.DUMMYFUNCTION("split(B4,"" "")"),"T.")</f>
        <v>T.</v>
      </c>
      <c r="Y4" s="3" t="str">
        <f>IFERROR(__xludf.DUMMYFUNCTION("""COMPUTED_VALUE"""),"Allgeier")</f>
        <v>Allgeier</v>
      </c>
      <c r="AA4" s="8">
        <v>-1.0</v>
      </c>
      <c r="AB4" s="3">
        <f t="shared" si="7"/>
        <v>0</v>
      </c>
      <c r="AC4" s="3">
        <f t="shared" si="8"/>
        <v>0</v>
      </c>
      <c r="AD4" s="3">
        <f t="shared" si="9"/>
        <v>2.608695652</v>
      </c>
      <c r="AE4" s="3">
        <f t="shared" si="10"/>
        <v>-3</v>
      </c>
      <c r="AF4" s="3">
        <f t="shared" si="11"/>
        <v>-2</v>
      </c>
      <c r="AG4" s="3">
        <f t="shared" si="12"/>
        <v>-3</v>
      </c>
    </row>
    <row r="5">
      <c r="A5" s="1" t="s">
        <v>12</v>
      </c>
      <c r="B5" s="1" t="s">
        <v>264</v>
      </c>
      <c r="C5" s="1" t="s">
        <v>19</v>
      </c>
      <c r="D5" s="1" t="s">
        <v>109</v>
      </c>
      <c r="E5" s="1" t="s">
        <v>83</v>
      </c>
      <c r="F5" s="1" t="s">
        <v>686</v>
      </c>
      <c r="G5" s="1">
        <v>3.5</v>
      </c>
      <c r="H5" s="1" t="s">
        <v>60</v>
      </c>
      <c r="I5" s="1">
        <v>-140.0</v>
      </c>
      <c r="J5" s="1">
        <v>-0.168233333333333</v>
      </c>
      <c r="K5" s="1" t="s">
        <v>61</v>
      </c>
      <c r="L5" s="1" t="s">
        <v>61</v>
      </c>
      <c r="M5" s="1" t="s">
        <v>62</v>
      </c>
      <c r="N5" s="1">
        <v>108.0</v>
      </c>
      <c r="O5" s="1">
        <v>0.104130769230769</v>
      </c>
      <c r="P5" s="1" t="s">
        <v>61</v>
      </c>
      <c r="Q5" s="1" t="s">
        <v>61</v>
      </c>
      <c r="R5" s="1">
        <f t="shared" si="1"/>
        <v>0.1041307692</v>
      </c>
      <c r="S5" s="1">
        <f t="shared" si="2"/>
        <v>108</v>
      </c>
      <c r="T5" s="1">
        <f t="shared" si="3"/>
        <v>2.08</v>
      </c>
      <c r="U5" s="1">
        <f t="shared" si="4"/>
        <v>0</v>
      </c>
      <c r="V5" s="3">
        <f t="shared" si="5"/>
        <v>3</v>
      </c>
      <c r="W5" s="3">
        <f t="shared" si="6"/>
        <v>2</v>
      </c>
      <c r="X5" s="3" t="str">
        <f>IFERROR(__xludf.DUMMYFUNCTION("split(B5,"" "")"),"B.")</f>
        <v>B.</v>
      </c>
      <c r="Y5" s="3" t="str">
        <f>IFERROR(__xludf.DUMMYFUNCTION("""COMPUTED_VALUE"""),"Robinson")</f>
        <v>Robinson</v>
      </c>
      <c r="AA5" s="8">
        <v>4.0</v>
      </c>
      <c r="AB5" s="3">
        <f t="shared" si="7"/>
        <v>1</v>
      </c>
      <c r="AC5" s="3">
        <f t="shared" si="8"/>
        <v>0</v>
      </c>
      <c r="AD5" s="3">
        <f t="shared" si="9"/>
        <v>3.24</v>
      </c>
      <c r="AE5" s="3">
        <f t="shared" si="10"/>
        <v>-3</v>
      </c>
      <c r="AF5" s="3">
        <f t="shared" si="11"/>
        <v>-2</v>
      </c>
      <c r="AG5" s="3">
        <f t="shared" si="12"/>
        <v>-0.1428571429</v>
      </c>
    </row>
    <row r="6">
      <c r="A6" s="1" t="s">
        <v>12</v>
      </c>
      <c r="B6" s="1" t="s">
        <v>499</v>
      </c>
      <c r="C6" s="1" t="s">
        <v>18</v>
      </c>
      <c r="D6" s="1" t="s">
        <v>109</v>
      </c>
      <c r="E6" s="1" t="s">
        <v>83</v>
      </c>
      <c r="F6" s="1" t="s">
        <v>686</v>
      </c>
      <c r="G6" s="1">
        <v>5.5</v>
      </c>
      <c r="H6" s="1" t="s">
        <v>60</v>
      </c>
      <c r="I6" s="1">
        <v>-112.0</v>
      </c>
      <c r="J6" s="1">
        <v>0.0677981132075472</v>
      </c>
      <c r="K6" s="1" t="s">
        <v>61</v>
      </c>
      <c r="L6" s="1" t="s">
        <v>61</v>
      </c>
      <c r="M6" s="1" t="s">
        <v>62</v>
      </c>
      <c r="N6" s="1">
        <v>-118.0</v>
      </c>
      <c r="O6" s="1">
        <v>-0.137384403669724</v>
      </c>
      <c r="P6" s="1" t="s">
        <v>61</v>
      </c>
      <c r="Q6" s="1" t="s">
        <v>61</v>
      </c>
      <c r="R6" s="1">
        <f t="shared" si="1"/>
        <v>0.06779811321</v>
      </c>
      <c r="S6" s="1">
        <f t="shared" si="2"/>
        <v>-112</v>
      </c>
      <c r="T6" s="1">
        <f t="shared" si="3"/>
        <v>1.892857143</v>
      </c>
      <c r="U6" s="1">
        <f t="shared" si="4"/>
        <v>1</v>
      </c>
      <c r="V6" s="3">
        <f t="shared" si="5"/>
        <v>2</v>
      </c>
      <c r="W6" s="3">
        <f t="shared" si="6"/>
        <v>2</v>
      </c>
      <c r="X6" s="3" t="str">
        <f>IFERROR(__xludf.DUMMYFUNCTION("split(B6,"" "")"),"D.")</f>
        <v>D.</v>
      </c>
      <c r="Y6" s="3" t="str">
        <f>IFERROR(__xludf.DUMMYFUNCTION("""COMPUTED_VALUE"""),"London")</f>
        <v>London</v>
      </c>
      <c r="AA6" s="8">
        <v>3.0</v>
      </c>
      <c r="AB6" s="3">
        <f t="shared" si="7"/>
        <v>0</v>
      </c>
      <c r="AC6" s="3">
        <f t="shared" si="8"/>
        <v>0</v>
      </c>
      <c r="AD6" s="3">
        <f t="shared" si="9"/>
        <v>1.785714286</v>
      </c>
      <c r="AE6" s="3">
        <f t="shared" si="10"/>
        <v>-2</v>
      </c>
      <c r="AF6" s="3">
        <f t="shared" si="11"/>
        <v>-2</v>
      </c>
      <c r="AG6" s="3">
        <f t="shared" si="12"/>
        <v>-0.4545454545</v>
      </c>
    </row>
    <row r="7">
      <c r="A7" s="1" t="s">
        <v>11</v>
      </c>
      <c r="B7" s="1" t="s">
        <v>108</v>
      </c>
      <c r="C7" s="1" t="s">
        <v>20</v>
      </c>
      <c r="D7" s="1" t="s">
        <v>109</v>
      </c>
      <c r="E7" s="1" t="s">
        <v>83</v>
      </c>
      <c r="F7" s="1" t="s">
        <v>686</v>
      </c>
      <c r="G7" s="1">
        <v>44.5</v>
      </c>
      <c r="H7" s="1" t="s">
        <v>60</v>
      </c>
      <c r="I7" s="1">
        <v>-116.0</v>
      </c>
      <c r="J7" s="1">
        <v>-0.119070233034074</v>
      </c>
      <c r="K7" s="1" t="s">
        <v>61</v>
      </c>
      <c r="L7" s="1" t="s">
        <v>61</v>
      </c>
      <c r="M7" s="1" t="s">
        <v>62</v>
      </c>
      <c r="N7" s="1">
        <v>-114.0</v>
      </c>
      <c r="O7" s="1">
        <v>0.0493565333388973</v>
      </c>
      <c r="P7" s="1" t="s">
        <v>61</v>
      </c>
      <c r="Q7" s="1" t="s">
        <v>61</v>
      </c>
      <c r="R7" s="1">
        <f t="shared" si="1"/>
        <v>0.04935653334</v>
      </c>
      <c r="S7" s="1">
        <f t="shared" si="2"/>
        <v>-114</v>
      </c>
      <c r="T7" s="1">
        <f t="shared" si="3"/>
        <v>1.877192982</v>
      </c>
      <c r="U7" s="1">
        <f t="shared" si="4"/>
        <v>0</v>
      </c>
      <c r="V7" s="3">
        <f t="shared" si="5"/>
        <v>1</v>
      </c>
      <c r="W7" s="3">
        <f t="shared" si="6"/>
        <v>2</v>
      </c>
      <c r="X7" s="3" t="str">
        <f>IFERROR(__xludf.DUMMYFUNCTION("split(B7,"" "")"),"K.")</f>
        <v>K.</v>
      </c>
      <c r="Y7" s="3" t="str">
        <f>IFERROR(__xludf.DUMMYFUNCTION("""COMPUTED_VALUE"""),"Pitts")</f>
        <v>Pitts</v>
      </c>
      <c r="AA7" s="8">
        <v>9.0</v>
      </c>
      <c r="AB7" s="3">
        <f t="shared" si="7"/>
        <v>0</v>
      </c>
      <c r="AC7" s="3">
        <f t="shared" si="8"/>
        <v>1</v>
      </c>
      <c r="AD7" s="3">
        <f t="shared" si="9"/>
        <v>0.8771929825</v>
      </c>
      <c r="AE7" s="3">
        <f t="shared" si="10"/>
        <v>0.8771929825</v>
      </c>
      <c r="AF7" s="3">
        <f t="shared" si="11"/>
        <v>1.754385965</v>
      </c>
      <c r="AG7" s="3">
        <f t="shared" si="12"/>
        <v>0.797752809</v>
      </c>
    </row>
    <row r="8">
      <c r="A8" s="1" t="s">
        <v>17</v>
      </c>
      <c r="B8" s="1" t="s">
        <v>328</v>
      </c>
      <c r="C8" s="1" t="s">
        <v>21</v>
      </c>
      <c r="D8" s="1" t="s">
        <v>109</v>
      </c>
      <c r="E8" s="1" t="s">
        <v>83</v>
      </c>
      <c r="F8" s="1" t="s">
        <v>686</v>
      </c>
      <c r="G8" s="1">
        <v>0.5</v>
      </c>
      <c r="H8" s="1" t="s">
        <v>60</v>
      </c>
      <c r="I8" s="1">
        <v>-129.0</v>
      </c>
      <c r="J8" s="1">
        <v>-0.115575109170305</v>
      </c>
      <c r="K8" s="1" t="s">
        <v>61</v>
      </c>
      <c r="L8" s="1" t="s">
        <v>61</v>
      </c>
      <c r="M8" s="1" t="s">
        <v>62</v>
      </c>
      <c r="N8" s="1">
        <v>-103.0</v>
      </c>
      <c r="O8" s="1">
        <v>0.0448600985221674</v>
      </c>
      <c r="P8" s="1" t="s">
        <v>61</v>
      </c>
      <c r="Q8" s="1" t="s">
        <v>61</v>
      </c>
      <c r="R8" s="1">
        <f t="shared" si="1"/>
        <v>0.04486009852</v>
      </c>
      <c r="S8" s="1">
        <f t="shared" si="2"/>
        <v>-103</v>
      </c>
      <c r="T8" s="1">
        <f t="shared" si="3"/>
        <v>1.970873786</v>
      </c>
      <c r="U8" s="1">
        <f t="shared" si="4"/>
        <v>0</v>
      </c>
      <c r="V8" s="3">
        <f t="shared" si="5"/>
        <v>1</v>
      </c>
      <c r="W8" s="3">
        <f t="shared" si="6"/>
        <v>2</v>
      </c>
      <c r="X8" s="3" t="str">
        <f>IFERROR(__xludf.DUMMYFUNCTION("split(B8,"" "")"),"K.")</f>
        <v>K.</v>
      </c>
      <c r="Y8" s="3" t="str">
        <f>IFERROR(__xludf.DUMMYFUNCTION("""COMPUTED_VALUE"""),"Cousins")</f>
        <v>Cousins</v>
      </c>
      <c r="AA8" s="8">
        <v>1.0</v>
      </c>
      <c r="AB8" s="3">
        <f t="shared" si="7"/>
        <v>1</v>
      </c>
      <c r="AC8" s="3">
        <f t="shared" si="8"/>
        <v>0</v>
      </c>
      <c r="AD8" s="3">
        <f t="shared" si="9"/>
        <v>0.9708737864</v>
      </c>
      <c r="AE8" s="3">
        <f t="shared" si="10"/>
        <v>-1</v>
      </c>
      <c r="AF8" s="3">
        <f t="shared" si="11"/>
        <v>-2</v>
      </c>
      <c r="AG8" s="3">
        <f t="shared" si="12"/>
        <v>-1</v>
      </c>
    </row>
    <row r="9">
      <c r="A9" s="1" t="s">
        <v>11</v>
      </c>
      <c r="B9" s="1" t="s">
        <v>264</v>
      </c>
      <c r="C9" s="1" t="s">
        <v>19</v>
      </c>
      <c r="D9" s="1" t="s">
        <v>109</v>
      </c>
      <c r="E9" s="1" t="s">
        <v>83</v>
      </c>
      <c r="F9" s="1" t="s">
        <v>686</v>
      </c>
      <c r="G9" s="1">
        <v>26.5</v>
      </c>
      <c r="H9" s="1" t="s">
        <v>60</v>
      </c>
      <c r="I9" s="1">
        <v>-123.0</v>
      </c>
      <c r="J9" s="1">
        <v>-0.104281983573816</v>
      </c>
      <c r="K9" s="1" t="s">
        <v>61</v>
      </c>
      <c r="L9" s="1" t="s">
        <v>61</v>
      </c>
      <c r="M9" s="1" t="s">
        <v>62</v>
      </c>
      <c r="N9" s="1">
        <v>-106.0</v>
      </c>
      <c r="O9" s="1">
        <v>0.0382249479474692</v>
      </c>
      <c r="P9" s="1" t="s">
        <v>61</v>
      </c>
      <c r="Q9" s="1" t="s">
        <v>61</v>
      </c>
      <c r="R9" s="1">
        <f t="shared" si="1"/>
        <v>0.03822494795</v>
      </c>
      <c r="S9" s="1">
        <f t="shared" si="2"/>
        <v>-106</v>
      </c>
      <c r="T9" s="1">
        <f t="shared" si="3"/>
        <v>1.943396226</v>
      </c>
      <c r="U9" s="1">
        <f t="shared" si="4"/>
        <v>0</v>
      </c>
      <c r="V9" s="3">
        <f t="shared" si="5"/>
        <v>1</v>
      </c>
      <c r="W9" s="3">
        <f t="shared" si="6"/>
        <v>2</v>
      </c>
      <c r="X9" s="3" t="str">
        <f>IFERROR(__xludf.DUMMYFUNCTION("split(B9,"" "")"),"B.")</f>
        <v>B.</v>
      </c>
      <c r="Y9" s="3" t="str">
        <f>IFERROR(__xludf.DUMMYFUNCTION("""COMPUTED_VALUE"""),"Robinson")</f>
        <v>Robinson</v>
      </c>
      <c r="AA9" s="8">
        <v>28.0</v>
      </c>
      <c r="AB9" s="3">
        <f t="shared" si="7"/>
        <v>1</v>
      </c>
      <c r="AC9" s="3">
        <f t="shared" si="8"/>
        <v>0</v>
      </c>
      <c r="AD9" s="3">
        <f t="shared" si="9"/>
        <v>0.9433962264</v>
      </c>
      <c r="AE9" s="3">
        <f t="shared" si="10"/>
        <v>-1</v>
      </c>
      <c r="AF9" s="3">
        <f t="shared" si="11"/>
        <v>-2</v>
      </c>
      <c r="AG9" s="3">
        <f t="shared" si="12"/>
        <v>-0.05660377358</v>
      </c>
    </row>
    <row r="10">
      <c r="A10" s="1" t="s">
        <v>15</v>
      </c>
      <c r="B10" s="1" t="s">
        <v>328</v>
      </c>
      <c r="C10" s="1" t="s">
        <v>21</v>
      </c>
      <c r="D10" s="1" t="s">
        <v>109</v>
      </c>
      <c r="E10" s="1" t="s">
        <v>83</v>
      </c>
      <c r="F10" s="1" t="s">
        <v>686</v>
      </c>
      <c r="G10" s="1">
        <v>22.5</v>
      </c>
      <c r="H10" s="1" t="s">
        <v>60</v>
      </c>
      <c r="I10" s="1">
        <v>-105.0</v>
      </c>
      <c r="J10" s="1">
        <v>0.0335024390243902</v>
      </c>
      <c r="K10" s="1" t="s">
        <v>61</v>
      </c>
      <c r="L10" s="1" t="s">
        <v>61</v>
      </c>
      <c r="M10" s="1" t="s">
        <v>62</v>
      </c>
      <c r="N10" s="1">
        <v>-125.0</v>
      </c>
      <c r="O10" s="1">
        <v>-0.101266666666666</v>
      </c>
      <c r="P10" s="1" t="s">
        <v>61</v>
      </c>
      <c r="Q10" s="1" t="s">
        <v>61</v>
      </c>
      <c r="R10" s="1">
        <f t="shared" si="1"/>
        <v>0.03350243902</v>
      </c>
      <c r="S10" s="1">
        <f t="shared" si="2"/>
        <v>-105</v>
      </c>
      <c r="T10" s="1">
        <f t="shared" si="3"/>
        <v>1.952380952</v>
      </c>
      <c r="U10" s="1">
        <f t="shared" si="4"/>
        <v>1</v>
      </c>
      <c r="V10" s="3">
        <f t="shared" si="5"/>
        <v>1</v>
      </c>
      <c r="W10" s="3">
        <f t="shared" si="6"/>
        <v>2</v>
      </c>
      <c r="X10" s="3" t="str">
        <f>IFERROR(__xludf.DUMMYFUNCTION("split(B10,"" "")"),"K.")</f>
        <v>K.</v>
      </c>
      <c r="Y10" s="3" t="str">
        <f>IFERROR(__xludf.DUMMYFUNCTION("""COMPUTED_VALUE"""),"Cousins")</f>
        <v>Cousins</v>
      </c>
      <c r="AA10" s="8">
        <v>18.0</v>
      </c>
      <c r="AB10" s="3">
        <f t="shared" si="7"/>
        <v>0</v>
      </c>
      <c r="AC10" s="3">
        <f t="shared" si="8"/>
        <v>0</v>
      </c>
      <c r="AD10" s="3">
        <f t="shared" si="9"/>
        <v>0.9523809524</v>
      </c>
      <c r="AE10" s="3">
        <f t="shared" si="10"/>
        <v>-1</v>
      </c>
      <c r="AF10" s="3">
        <f t="shared" si="11"/>
        <v>-2</v>
      </c>
      <c r="AG10" s="3">
        <f t="shared" si="12"/>
        <v>-0.2</v>
      </c>
    </row>
    <row r="11">
      <c r="A11" s="1" t="s">
        <v>10</v>
      </c>
      <c r="B11" s="1" t="s">
        <v>264</v>
      </c>
      <c r="C11" s="1" t="s">
        <v>19</v>
      </c>
      <c r="D11" s="1" t="s">
        <v>109</v>
      </c>
      <c r="E11" s="1" t="s">
        <v>83</v>
      </c>
      <c r="F11" s="1" t="s">
        <v>686</v>
      </c>
      <c r="G11" s="1">
        <v>67.5</v>
      </c>
      <c r="H11" s="1" t="s">
        <v>60</v>
      </c>
      <c r="I11" s="1">
        <v>-120.0</v>
      </c>
      <c r="J11" s="1">
        <v>-0.106664535841968</v>
      </c>
      <c r="K11" s="1" t="s">
        <v>61</v>
      </c>
      <c r="L11" s="1" t="s">
        <v>61</v>
      </c>
      <c r="M11" s="1" t="s">
        <v>62</v>
      </c>
      <c r="N11" s="1">
        <v>-114.0</v>
      </c>
      <c r="O11" s="1">
        <v>0.028482282340014</v>
      </c>
      <c r="P11" s="1" t="s">
        <v>61</v>
      </c>
      <c r="Q11" s="1" t="s">
        <v>61</v>
      </c>
      <c r="R11" s="1">
        <f t="shared" si="1"/>
        <v>0.02848228234</v>
      </c>
      <c r="S11" s="1">
        <f t="shared" si="2"/>
        <v>-114</v>
      </c>
      <c r="T11" s="1">
        <f t="shared" si="3"/>
        <v>1.877192982</v>
      </c>
      <c r="U11" s="1">
        <f t="shared" si="4"/>
        <v>0</v>
      </c>
      <c r="V11" s="3">
        <f t="shared" si="5"/>
        <v>1</v>
      </c>
      <c r="W11" s="3">
        <f t="shared" si="6"/>
        <v>2</v>
      </c>
      <c r="X11" s="3" t="str">
        <f>IFERROR(__xludf.DUMMYFUNCTION("split(B11,"" "")"),"B.")</f>
        <v>B.</v>
      </c>
      <c r="Y11" s="3" t="str">
        <f>IFERROR(__xludf.DUMMYFUNCTION("""COMPUTED_VALUE"""),"Robinson")</f>
        <v>Robinson</v>
      </c>
      <c r="AA11" s="8">
        <v>35.0</v>
      </c>
      <c r="AB11" s="3">
        <f t="shared" si="7"/>
        <v>0</v>
      </c>
      <c r="AC11" s="3">
        <f t="shared" si="8"/>
        <v>1</v>
      </c>
      <c r="AD11" s="3">
        <f t="shared" si="9"/>
        <v>0.8771929825</v>
      </c>
      <c r="AE11" s="3">
        <f t="shared" si="10"/>
        <v>0.8771929825</v>
      </c>
      <c r="AF11" s="3">
        <f t="shared" si="11"/>
        <v>1.754385965</v>
      </c>
      <c r="AG11" s="3">
        <f t="shared" si="12"/>
        <v>0.4814814815</v>
      </c>
    </row>
    <row r="12">
      <c r="A12" s="1" t="s">
        <v>9</v>
      </c>
      <c r="B12" s="1" t="s">
        <v>264</v>
      </c>
      <c r="C12" s="1" t="s">
        <v>19</v>
      </c>
      <c r="D12" s="1" t="s">
        <v>109</v>
      </c>
      <c r="E12" s="1" t="s">
        <v>83</v>
      </c>
      <c r="F12" s="1" t="s">
        <v>686</v>
      </c>
      <c r="G12" s="1">
        <v>97.5</v>
      </c>
      <c r="H12" s="1" t="s">
        <v>60</v>
      </c>
      <c r="I12" s="1">
        <v>-117.0</v>
      </c>
      <c r="J12" s="1">
        <v>-0.101301081346416</v>
      </c>
      <c r="K12" s="1" t="s">
        <v>61</v>
      </c>
      <c r="L12" s="1" t="s">
        <v>61</v>
      </c>
      <c r="M12" s="1" t="s">
        <v>62</v>
      </c>
      <c r="N12" s="1">
        <v>-115.0</v>
      </c>
      <c r="O12" s="1">
        <v>0.0272834914380144</v>
      </c>
      <c r="P12" s="1" t="s">
        <v>61</v>
      </c>
      <c r="Q12" s="1" t="s">
        <v>61</v>
      </c>
      <c r="R12" s="1">
        <f t="shared" si="1"/>
        <v>0.02728349144</v>
      </c>
      <c r="S12" s="1">
        <f t="shared" si="2"/>
        <v>-115</v>
      </c>
      <c r="T12" s="1">
        <f t="shared" si="3"/>
        <v>1.869565217</v>
      </c>
      <c r="U12" s="1">
        <f t="shared" si="4"/>
        <v>0</v>
      </c>
      <c r="V12" s="3">
        <f t="shared" si="5"/>
        <v>1</v>
      </c>
      <c r="W12" s="3">
        <f t="shared" si="6"/>
        <v>2</v>
      </c>
      <c r="X12" s="3" t="str">
        <f>IFERROR(__xludf.DUMMYFUNCTION("split(B12,"" "")"),"B.")</f>
        <v>B.</v>
      </c>
      <c r="Y12" s="3" t="str">
        <f>IFERROR(__xludf.DUMMYFUNCTION("""COMPUTED_VALUE"""),"Robinson")</f>
        <v>Robinson</v>
      </c>
      <c r="AA12" s="8">
        <v>63.0</v>
      </c>
      <c r="AB12" s="3">
        <f t="shared" si="7"/>
        <v>0</v>
      </c>
      <c r="AC12" s="3">
        <f t="shared" si="8"/>
        <v>1</v>
      </c>
      <c r="AD12" s="3">
        <f t="shared" si="9"/>
        <v>0.8695652174</v>
      </c>
      <c r="AE12" s="3">
        <f t="shared" si="10"/>
        <v>0.8695652174</v>
      </c>
      <c r="AF12" s="3">
        <f t="shared" si="11"/>
        <v>1.739130435</v>
      </c>
      <c r="AG12" s="3">
        <f t="shared" si="12"/>
        <v>0.3538461538</v>
      </c>
    </row>
    <row r="13">
      <c r="A13" s="1" t="s">
        <v>10</v>
      </c>
      <c r="B13" s="1" t="s">
        <v>202</v>
      </c>
      <c r="C13" s="1" t="s">
        <v>19</v>
      </c>
      <c r="D13" s="1" t="s">
        <v>109</v>
      </c>
      <c r="E13" s="1" t="s">
        <v>83</v>
      </c>
      <c r="F13" s="1" t="s">
        <v>686</v>
      </c>
      <c r="G13" s="1">
        <v>30.5</v>
      </c>
      <c r="H13" s="1" t="s">
        <v>60</v>
      </c>
      <c r="I13" s="1">
        <v>-116.0</v>
      </c>
      <c r="J13" s="1">
        <v>-0.0981872742498203</v>
      </c>
      <c r="K13" s="1" t="s">
        <v>61</v>
      </c>
      <c r="L13" s="1" t="s">
        <v>61</v>
      </c>
      <c r="M13" s="1" t="s">
        <v>62</v>
      </c>
      <c r="N13" s="1">
        <v>-116.0</v>
      </c>
      <c r="O13" s="1">
        <v>0.0241052381297914</v>
      </c>
      <c r="P13" s="1" t="s">
        <v>61</v>
      </c>
      <c r="Q13" s="1" t="s">
        <v>61</v>
      </c>
      <c r="R13" s="1">
        <f t="shared" si="1"/>
        <v>0.02410523813</v>
      </c>
      <c r="S13" s="1">
        <f t="shared" si="2"/>
        <v>-116</v>
      </c>
      <c r="T13" s="1">
        <f t="shared" si="3"/>
        <v>1.862068966</v>
      </c>
      <c r="U13" s="1">
        <f t="shared" si="4"/>
        <v>0</v>
      </c>
      <c r="V13" s="3">
        <f t="shared" si="5"/>
        <v>1</v>
      </c>
      <c r="W13" s="3">
        <f t="shared" si="6"/>
        <v>2</v>
      </c>
      <c r="X13" s="3" t="str">
        <f>IFERROR(__xludf.DUMMYFUNCTION("split(B13,"" "")"),"T.")</f>
        <v>T.</v>
      </c>
      <c r="Y13" s="3" t="str">
        <f>IFERROR(__xludf.DUMMYFUNCTION("""COMPUTED_VALUE"""),"Allgeier")</f>
        <v>Allgeier</v>
      </c>
      <c r="AA13" s="8">
        <v>0.0</v>
      </c>
      <c r="AB13" s="3">
        <f t="shared" si="7"/>
        <v>0</v>
      </c>
      <c r="AC13" s="3">
        <f t="shared" si="8"/>
        <v>1</v>
      </c>
      <c r="AD13" s="3">
        <f t="shared" si="9"/>
        <v>0.8620689655</v>
      </c>
      <c r="AE13" s="3">
        <f t="shared" si="10"/>
        <v>0.8620689655</v>
      </c>
      <c r="AF13" s="3">
        <f t="shared" si="11"/>
        <v>1.724137931</v>
      </c>
      <c r="AG13" s="3">
        <f t="shared" si="12"/>
        <v>1</v>
      </c>
    </row>
    <row r="14">
      <c r="A14" s="1" t="s">
        <v>12</v>
      </c>
      <c r="B14" s="1" t="s">
        <v>501</v>
      </c>
      <c r="C14" s="1" t="s">
        <v>18</v>
      </c>
      <c r="D14" s="1" t="s">
        <v>109</v>
      </c>
      <c r="E14" s="1" t="s">
        <v>83</v>
      </c>
      <c r="F14" s="1" t="s">
        <v>686</v>
      </c>
      <c r="G14" s="1">
        <v>3.5</v>
      </c>
      <c r="H14" s="1" t="s">
        <v>60</v>
      </c>
      <c r="I14" s="1">
        <v>115.0</v>
      </c>
      <c r="J14" s="1">
        <v>-0.0651232558139534</v>
      </c>
      <c r="K14" s="1" t="s">
        <v>61</v>
      </c>
      <c r="L14" s="1" t="s">
        <v>61</v>
      </c>
      <c r="M14" s="1" t="s">
        <v>62</v>
      </c>
      <c r="N14" s="1">
        <v>-150.0</v>
      </c>
      <c r="O14" s="1">
        <v>1.99999999999089E-5</v>
      </c>
      <c r="P14" s="1" t="s">
        <v>61</v>
      </c>
      <c r="Q14" s="1" t="s">
        <v>61</v>
      </c>
      <c r="R14" s="1">
        <f t="shared" si="1"/>
        <v>0.00002</v>
      </c>
      <c r="S14" s="1">
        <f t="shared" si="2"/>
        <v>-150</v>
      </c>
      <c r="T14" s="1">
        <f t="shared" si="3"/>
        <v>1.666666667</v>
      </c>
      <c r="U14" s="1">
        <f t="shared" si="4"/>
        <v>0</v>
      </c>
      <c r="V14" s="3">
        <f t="shared" si="5"/>
        <v>1</v>
      </c>
      <c r="W14" s="3">
        <f t="shared" si="6"/>
        <v>3</v>
      </c>
      <c r="X14" s="3" t="str">
        <f>IFERROR(__xludf.DUMMYFUNCTION("split(B14,"" "")"),"R.")</f>
        <v>R.</v>
      </c>
      <c r="Y14" s="3" t="str">
        <f>IFERROR(__xludf.DUMMYFUNCTION("""COMPUTED_VALUE"""),"McCloud")</f>
        <v>McCloud</v>
      </c>
      <c r="Z14" s="3" t="str">
        <f>IFERROR(__xludf.DUMMYFUNCTION("""COMPUTED_VALUE"""),"III")</f>
        <v>III</v>
      </c>
      <c r="AA14" s="8">
        <v>6.0</v>
      </c>
      <c r="AB14" s="3">
        <f t="shared" si="7"/>
        <v>1</v>
      </c>
      <c r="AC14" s="3">
        <f t="shared" si="8"/>
        <v>0</v>
      </c>
      <c r="AD14" s="3">
        <f t="shared" si="9"/>
        <v>0.6666666667</v>
      </c>
      <c r="AE14" s="3">
        <f t="shared" si="10"/>
        <v>-1</v>
      </c>
      <c r="AF14" s="3">
        <f t="shared" si="11"/>
        <v>-3</v>
      </c>
      <c r="AG14" s="3">
        <f t="shared" si="12"/>
        <v>-0.7142857143</v>
      </c>
    </row>
    <row r="15">
      <c r="A15" s="1" t="s">
        <v>12</v>
      </c>
      <c r="B15" s="1" t="s">
        <v>239</v>
      </c>
      <c r="C15" s="1" t="s">
        <v>18</v>
      </c>
      <c r="D15" s="1" t="s">
        <v>77</v>
      </c>
      <c r="E15" s="1" t="s">
        <v>110</v>
      </c>
      <c r="F15" s="1" t="s">
        <v>687</v>
      </c>
      <c r="G15" s="1">
        <v>2.5</v>
      </c>
      <c r="H15" s="1" t="s">
        <v>60</v>
      </c>
      <c r="I15" s="1">
        <v>-134.0</v>
      </c>
      <c r="J15" s="1">
        <v>-0.218890551025641</v>
      </c>
      <c r="K15" s="1" t="s">
        <v>61</v>
      </c>
      <c r="L15" s="1" t="s">
        <v>61</v>
      </c>
      <c r="M15" s="1" t="s">
        <v>62</v>
      </c>
      <c r="N15" s="1">
        <v>102.0</v>
      </c>
      <c r="O15" s="1">
        <v>0.151197965049505</v>
      </c>
      <c r="P15" s="1" t="s">
        <v>61</v>
      </c>
      <c r="Q15" s="1" t="s">
        <v>61</v>
      </c>
      <c r="R15" s="1">
        <f t="shared" si="1"/>
        <v>0.151197965</v>
      </c>
      <c r="S15" s="1">
        <f t="shared" si="2"/>
        <v>102</v>
      </c>
      <c r="T15" s="1">
        <f t="shared" si="3"/>
        <v>2.02</v>
      </c>
      <c r="U15" s="1">
        <f t="shared" si="4"/>
        <v>0</v>
      </c>
      <c r="V15" s="3">
        <f t="shared" si="5"/>
        <v>3</v>
      </c>
      <c r="W15" s="3">
        <f t="shared" si="6"/>
        <v>2</v>
      </c>
      <c r="X15" s="3" t="str">
        <f>IFERROR(__xludf.DUMMYFUNCTION("split(B15,"" "")"),"R.")</f>
        <v>R.</v>
      </c>
      <c r="Y15" s="3" t="str">
        <f>IFERROR(__xludf.DUMMYFUNCTION("""COMPUTED_VALUE"""),"Bateman")</f>
        <v>Bateman</v>
      </c>
      <c r="AA15" s="8">
        <v>2.0</v>
      </c>
      <c r="AB15" s="3">
        <f t="shared" si="7"/>
        <v>0</v>
      </c>
      <c r="AC15" s="3">
        <f t="shared" si="8"/>
        <v>1</v>
      </c>
      <c r="AD15" s="3">
        <f t="shared" si="9"/>
        <v>3.06</v>
      </c>
      <c r="AE15" s="3">
        <f t="shared" si="10"/>
        <v>3.06</v>
      </c>
      <c r="AF15" s="3">
        <f t="shared" si="11"/>
        <v>2.04</v>
      </c>
      <c r="AG15" s="3">
        <f t="shared" si="12"/>
        <v>0.2</v>
      </c>
    </row>
    <row r="16">
      <c r="A16" s="1" t="s">
        <v>8</v>
      </c>
      <c r="B16" s="1" t="s">
        <v>347</v>
      </c>
      <c r="C16" s="1" t="s">
        <v>21</v>
      </c>
      <c r="D16" s="1" t="s">
        <v>77</v>
      </c>
      <c r="E16" s="1" t="s">
        <v>110</v>
      </c>
      <c r="F16" s="1" t="s">
        <v>687</v>
      </c>
      <c r="G16" s="1">
        <v>8.5</v>
      </c>
      <c r="H16" s="1" t="s">
        <v>60</v>
      </c>
      <c r="I16" s="1">
        <v>-118.0</v>
      </c>
      <c r="J16" s="1">
        <v>-0.212516622114592</v>
      </c>
      <c r="K16" s="1" t="s">
        <v>61</v>
      </c>
      <c r="L16" s="1" t="s">
        <v>61</v>
      </c>
      <c r="M16" s="1" t="s">
        <v>62</v>
      </c>
      <c r="N16" s="1">
        <v>-114.0</v>
      </c>
      <c r="O16" s="1">
        <v>0.138543266018311</v>
      </c>
      <c r="P16" s="1" t="s">
        <v>61</v>
      </c>
      <c r="Q16" s="1" t="s">
        <v>61</v>
      </c>
      <c r="R16" s="1">
        <f t="shared" si="1"/>
        <v>0.138543266</v>
      </c>
      <c r="S16" s="1">
        <f t="shared" si="2"/>
        <v>-114</v>
      </c>
      <c r="T16" s="1">
        <f t="shared" si="3"/>
        <v>1.877192982</v>
      </c>
      <c r="U16" s="1">
        <f t="shared" si="4"/>
        <v>0</v>
      </c>
      <c r="V16" s="3">
        <f t="shared" si="5"/>
        <v>3</v>
      </c>
      <c r="W16" s="3">
        <f t="shared" si="6"/>
        <v>2</v>
      </c>
      <c r="X16" s="3" t="str">
        <f>IFERROR(__xludf.DUMMYFUNCTION("split(B16,"" "")"),"L.")</f>
        <v>L.</v>
      </c>
      <c r="Y16" s="3" t="str">
        <f>IFERROR(__xludf.DUMMYFUNCTION("""COMPUTED_VALUE"""),"Jackson")</f>
        <v>Jackson</v>
      </c>
      <c r="AA16" s="8">
        <v>4.0</v>
      </c>
      <c r="AB16" s="3">
        <f t="shared" si="7"/>
        <v>0</v>
      </c>
      <c r="AC16" s="3">
        <f t="shared" si="8"/>
        <v>1</v>
      </c>
      <c r="AD16" s="3">
        <f t="shared" si="9"/>
        <v>2.631578947</v>
      </c>
      <c r="AE16" s="3">
        <f t="shared" si="10"/>
        <v>2.631578947</v>
      </c>
      <c r="AF16" s="3">
        <f t="shared" si="11"/>
        <v>1.754385965</v>
      </c>
      <c r="AG16" s="3">
        <f t="shared" si="12"/>
        <v>0.5294117647</v>
      </c>
    </row>
    <row r="17">
      <c r="A17" s="1" t="s">
        <v>11</v>
      </c>
      <c r="B17" s="1" t="s">
        <v>309</v>
      </c>
      <c r="C17" s="1" t="s">
        <v>19</v>
      </c>
      <c r="D17" s="1" t="s">
        <v>77</v>
      </c>
      <c r="E17" s="1" t="s">
        <v>110</v>
      </c>
      <c r="F17" s="1" t="s">
        <v>687</v>
      </c>
      <c r="G17" s="1">
        <v>4.5</v>
      </c>
      <c r="H17" s="1" t="s">
        <v>60</v>
      </c>
      <c r="I17" s="1">
        <v>-112.0</v>
      </c>
      <c r="J17" s="1">
        <v>0.106038059911963</v>
      </c>
      <c r="K17" s="1" t="s">
        <v>61</v>
      </c>
      <c r="L17" s="1" t="s">
        <v>61</v>
      </c>
      <c r="M17" s="1" t="s">
        <v>62</v>
      </c>
      <c r="N17" s="1">
        <v>-113.0</v>
      </c>
      <c r="O17" s="1">
        <v>-0.164836420809906</v>
      </c>
      <c r="P17" s="1" t="s">
        <v>61</v>
      </c>
      <c r="Q17" s="1" t="s">
        <v>61</v>
      </c>
      <c r="R17" s="1">
        <f t="shared" si="1"/>
        <v>0.1060380599</v>
      </c>
      <c r="S17" s="1">
        <f t="shared" si="2"/>
        <v>-112</v>
      </c>
      <c r="T17" s="1">
        <f t="shared" si="3"/>
        <v>1.892857143</v>
      </c>
      <c r="U17" s="1">
        <f t="shared" si="4"/>
        <v>1</v>
      </c>
      <c r="V17" s="3">
        <f t="shared" si="5"/>
        <v>3</v>
      </c>
      <c r="W17" s="3">
        <f t="shared" si="6"/>
        <v>2</v>
      </c>
      <c r="X17" s="3" t="str">
        <f>IFERROR(__xludf.DUMMYFUNCTION("split(B17,"" "")"),"D.")</f>
        <v>D.</v>
      </c>
      <c r="Y17" s="3" t="str">
        <f>IFERROR(__xludf.DUMMYFUNCTION("""COMPUTED_VALUE"""),"Henry")</f>
        <v>Henry</v>
      </c>
      <c r="AA17" s="8">
        <v>0.0</v>
      </c>
      <c r="AB17" s="3">
        <f t="shared" si="7"/>
        <v>0</v>
      </c>
      <c r="AC17" s="3">
        <f t="shared" si="8"/>
        <v>0</v>
      </c>
      <c r="AD17" s="3">
        <f t="shared" si="9"/>
        <v>2.678571429</v>
      </c>
      <c r="AE17" s="3">
        <f t="shared" si="10"/>
        <v>-3</v>
      </c>
      <c r="AF17" s="3">
        <f t="shared" si="11"/>
        <v>-2</v>
      </c>
      <c r="AG17" s="3">
        <f t="shared" si="12"/>
        <v>-1</v>
      </c>
    </row>
    <row r="18">
      <c r="A18" s="1" t="s">
        <v>11</v>
      </c>
      <c r="B18" s="1" t="s">
        <v>418</v>
      </c>
      <c r="C18" s="1" t="s">
        <v>20</v>
      </c>
      <c r="D18" s="1" t="s">
        <v>77</v>
      </c>
      <c r="E18" s="1" t="s">
        <v>110</v>
      </c>
      <c r="F18" s="1" t="s">
        <v>687</v>
      </c>
      <c r="G18" s="1">
        <v>40.5</v>
      </c>
      <c r="H18" s="1" t="s">
        <v>60</v>
      </c>
      <c r="I18" s="1">
        <v>-115.0</v>
      </c>
      <c r="J18" s="1">
        <v>-0.14200412384879</v>
      </c>
      <c r="K18" s="1" t="s">
        <v>61</v>
      </c>
      <c r="L18" s="1" t="s">
        <v>61</v>
      </c>
      <c r="M18" s="1" t="s">
        <v>62</v>
      </c>
      <c r="N18" s="1">
        <v>-114.0</v>
      </c>
      <c r="O18" s="1">
        <v>0.0744411713050871</v>
      </c>
      <c r="P18" s="1" t="s">
        <v>61</v>
      </c>
      <c r="Q18" s="1" t="s">
        <v>61</v>
      </c>
      <c r="R18" s="1">
        <f t="shared" si="1"/>
        <v>0.07444117131</v>
      </c>
      <c r="S18" s="1">
        <f t="shared" si="2"/>
        <v>-114</v>
      </c>
      <c r="T18" s="1">
        <f t="shared" si="3"/>
        <v>1.877192982</v>
      </c>
      <c r="U18" s="1">
        <f t="shared" si="4"/>
        <v>0</v>
      </c>
      <c r="V18" s="3">
        <f t="shared" si="5"/>
        <v>2</v>
      </c>
      <c r="W18" s="3">
        <f t="shared" si="6"/>
        <v>2</v>
      </c>
      <c r="X18" s="3" t="str">
        <f>IFERROR(__xludf.DUMMYFUNCTION("split(B18,"" "")"),"M.")</f>
        <v>M.</v>
      </c>
      <c r="Y18" s="3" t="str">
        <f>IFERROR(__xludf.DUMMYFUNCTION("""COMPUTED_VALUE"""),"Andrews")</f>
        <v>Andrews</v>
      </c>
      <c r="AA18" s="8">
        <v>22.0</v>
      </c>
      <c r="AB18" s="3">
        <f t="shared" si="7"/>
        <v>0</v>
      </c>
      <c r="AC18" s="3">
        <f t="shared" si="8"/>
        <v>1</v>
      </c>
      <c r="AD18" s="3">
        <f t="shared" si="9"/>
        <v>1.754385965</v>
      </c>
      <c r="AE18" s="3">
        <f t="shared" si="10"/>
        <v>1.754385965</v>
      </c>
      <c r="AF18" s="3">
        <f t="shared" si="11"/>
        <v>1.754385965</v>
      </c>
      <c r="AG18" s="3">
        <f t="shared" si="12"/>
        <v>0.4567901235</v>
      </c>
    </row>
    <row r="19">
      <c r="A19" s="1" t="s">
        <v>16</v>
      </c>
      <c r="B19" s="1" t="s">
        <v>347</v>
      </c>
      <c r="C19" s="1" t="s">
        <v>21</v>
      </c>
      <c r="D19" s="1" t="s">
        <v>77</v>
      </c>
      <c r="E19" s="1" t="s">
        <v>110</v>
      </c>
      <c r="F19" s="1" t="s">
        <v>687</v>
      </c>
      <c r="G19" s="1">
        <v>29.5</v>
      </c>
      <c r="H19" s="1" t="s">
        <v>60</v>
      </c>
      <c r="I19" s="1">
        <v>-112.0</v>
      </c>
      <c r="J19" s="1">
        <v>-0.106153200990566</v>
      </c>
      <c r="K19" s="1" t="s">
        <v>61</v>
      </c>
      <c r="L19" s="1" t="s">
        <v>61</v>
      </c>
      <c r="M19" s="1" t="s">
        <v>62</v>
      </c>
      <c r="N19" s="1">
        <v>-117.0</v>
      </c>
      <c r="O19" s="1">
        <v>0.0386738431967743</v>
      </c>
      <c r="P19" s="1" t="s">
        <v>61</v>
      </c>
      <c r="Q19" s="1" t="s">
        <v>61</v>
      </c>
      <c r="R19" s="1">
        <f t="shared" si="1"/>
        <v>0.0386738432</v>
      </c>
      <c r="S19" s="1">
        <f t="shared" si="2"/>
        <v>-117</v>
      </c>
      <c r="T19" s="1">
        <f t="shared" si="3"/>
        <v>1.854700855</v>
      </c>
      <c r="U19" s="1">
        <f t="shared" si="4"/>
        <v>0</v>
      </c>
      <c r="V19" s="3">
        <f t="shared" si="5"/>
        <v>1</v>
      </c>
      <c r="W19" s="3">
        <f t="shared" si="6"/>
        <v>2</v>
      </c>
      <c r="X19" s="3" t="str">
        <f>IFERROR(__xludf.DUMMYFUNCTION("split(B19,"" "")"),"L.")</f>
        <v>L.</v>
      </c>
      <c r="Y19" s="3" t="str">
        <f>IFERROR(__xludf.DUMMYFUNCTION("""COMPUTED_VALUE"""),"Jackson")</f>
        <v>Jackson</v>
      </c>
      <c r="AA19" s="8">
        <v>33.0</v>
      </c>
      <c r="AB19" s="3">
        <f t="shared" si="7"/>
        <v>1</v>
      </c>
      <c r="AC19" s="3">
        <f t="shared" si="8"/>
        <v>0</v>
      </c>
      <c r="AD19" s="3">
        <f t="shared" si="9"/>
        <v>0.8547008547</v>
      </c>
      <c r="AE19" s="3">
        <f t="shared" si="10"/>
        <v>-1</v>
      </c>
      <c r="AF19" s="3">
        <f t="shared" si="11"/>
        <v>-2</v>
      </c>
      <c r="AG19" s="3">
        <f t="shared" si="12"/>
        <v>-0.1186440678</v>
      </c>
    </row>
    <row r="20">
      <c r="A20" s="1" t="s">
        <v>11</v>
      </c>
      <c r="B20" s="1" t="s">
        <v>239</v>
      </c>
      <c r="C20" s="1" t="s">
        <v>18</v>
      </c>
      <c r="D20" s="1" t="s">
        <v>77</v>
      </c>
      <c r="E20" s="1" t="s">
        <v>110</v>
      </c>
      <c r="F20" s="1" t="s">
        <v>687</v>
      </c>
      <c r="G20" s="1">
        <v>35.5</v>
      </c>
      <c r="H20" s="1" t="s">
        <v>60</v>
      </c>
      <c r="I20" s="1">
        <v>-117.0</v>
      </c>
      <c r="J20" s="1">
        <v>-0.0988658561162212</v>
      </c>
      <c r="K20" s="1" t="s">
        <v>61</v>
      </c>
      <c r="L20" s="1" t="s">
        <v>61</v>
      </c>
      <c r="M20" s="1" t="s">
        <v>62</v>
      </c>
      <c r="N20" s="1">
        <v>-113.0</v>
      </c>
      <c r="O20" s="1">
        <v>0.029161740457693</v>
      </c>
      <c r="P20" s="1" t="s">
        <v>61</v>
      </c>
      <c r="Q20" s="1" t="s">
        <v>61</v>
      </c>
      <c r="R20" s="1">
        <f t="shared" si="1"/>
        <v>0.02916174046</v>
      </c>
      <c r="S20" s="1">
        <f t="shared" si="2"/>
        <v>-113</v>
      </c>
      <c r="T20" s="1">
        <f t="shared" si="3"/>
        <v>1.884955752</v>
      </c>
      <c r="U20" s="1">
        <f t="shared" si="4"/>
        <v>0</v>
      </c>
      <c r="V20" s="3">
        <f t="shared" si="5"/>
        <v>1</v>
      </c>
      <c r="W20" s="3">
        <f t="shared" si="6"/>
        <v>2</v>
      </c>
      <c r="X20" s="3" t="str">
        <f>IFERROR(__xludf.DUMMYFUNCTION("split(B20,"" "")"),"R.")</f>
        <v>R.</v>
      </c>
      <c r="Y20" s="3" t="str">
        <f>IFERROR(__xludf.DUMMYFUNCTION("""COMPUTED_VALUE"""),"Bateman")</f>
        <v>Bateman</v>
      </c>
      <c r="AA20" s="8">
        <v>30.0</v>
      </c>
      <c r="AB20" s="3">
        <f t="shared" si="7"/>
        <v>0</v>
      </c>
      <c r="AC20" s="3">
        <f t="shared" si="8"/>
        <v>1</v>
      </c>
      <c r="AD20" s="3">
        <f t="shared" si="9"/>
        <v>0.8849557522</v>
      </c>
      <c r="AE20" s="3">
        <f t="shared" si="10"/>
        <v>0.8849557522</v>
      </c>
      <c r="AF20" s="3">
        <f t="shared" si="11"/>
        <v>1.769911504</v>
      </c>
      <c r="AG20" s="3">
        <f t="shared" si="12"/>
        <v>0.1549295775</v>
      </c>
    </row>
    <row r="21">
      <c r="A21" s="1" t="s">
        <v>14</v>
      </c>
      <c r="B21" s="1" t="s">
        <v>347</v>
      </c>
      <c r="C21" s="1" t="s">
        <v>21</v>
      </c>
      <c r="D21" s="1" t="s">
        <v>77</v>
      </c>
      <c r="E21" s="1" t="s">
        <v>110</v>
      </c>
      <c r="F21" s="1" t="s">
        <v>687</v>
      </c>
      <c r="G21" s="1">
        <v>1.5</v>
      </c>
      <c r="H21" s="1" t="s">
        <v>60</v>
      </c>
      <c r="I21" s="1">
        <v>-117.0</v>
      </c>
      <c r="J21" s="1">
        <v>-0.0958165898617511</v>
      </c>
      <c r="K21" s="1" t="s">
        <v>61</v>
      </c>
      <c r="L21" s="1" t="s">
        <v>61</v>
      </c>
      <c r="M21" s="1" t="s">
        <v>62</v>
      </c>
      <c r="N21" s="1">
        <v>-113.0</v>
      </c>
      <c r="O21" s="1">
        <v>0.0261366197183098</v>
      </c>
      <c r="P21" s="1" t="s">
        <v>61</v>
      </c>
      <c r="Q21" s="1" t="s">
        <v>61</v>
      </c>
      <c r="R21" s="1">
        <f t="shared" si="1"/>
        <v>0.02613661972</v>
      </c>
      <c r="S21" s="1">
        <f t="shared" si="2"/>
        <v>-113</v>
      </c>
      <c r="T21" s="1">
        <f t="shared" si="3"/>
        <v>1.884955752</v>
      </c>
      <c r="U21" s="1">
        <f t="shared" si="4"/>
        <v>0</v>
      </c>
      <c r="V21" s="3">
        <f t="shared" si="5"/>
        <v>1</v>
      </c>
      <c r="W21" s="3">
        <f t="shared" si="6"/>
        <v>2</v>
      </c>
      <c r="X21" s="3" t="str">
        <f>IFERROR(__xludf.DUMMYFUNCTION("split(B21,"" "")"),"L.")</f>
        <v>L.</v>
      </c>
      <c r="Y21" s="3" t="str">
        <f>IFERROR(__xludf.DUMMYFUNCTION("""COMPUTED_VALUE"""),"Jackson")</f>
        <v>Jackson</v>
      </c>
      <c r="AA21" s="8">
        <v>1.0</v>
      </c>
      <c r="AB21" s="3">
        <f t="shared" si="7"/>
        <v>0</v>
      </c>
      <c r="AC21" s="3">
        <f t="shared" si="8"/>
        <v>1</v>
      </c>
      <c r="AD21" s="3">
        <f t="shared" si="9"/>
        <v>0.8849557522</v>
      </c>
      <c r="AE21" s="3">
        <f t="shared" si="10"/>
        <v>0.8849557522</v>
      </c>
      <c r="AF21" s="3">
        <f t="shared" si="11"/>
        <v>1.769911504</v>
      </c>
      <c r="AG21" s="3">
        <f t="shared" si="12"/>
        <v>0.3333333333</v>
      </c>
    </row>
    <row r="22">
      <c r="A22" s="1" t="s">
        <v>8</v>
      </c>
      <c r="B22" s="1" t="s">
        <v>309</v>
      </c>
      <c r="C22" s="1" t="s">
        <v>19</v>
      </c>
      <c r="D22" s="1" t="s">
        <v>77</v>
      </c>
      <c r="E22" s="1" t="s">
        <v>110</v>
      </c>
      <c r="F22" s="1" t="s">
        <v>687</v>
      </c>
      <c r="G22" s="1">
        <v>18.5</v>
      </c>
      <c r="H22" s="1" t="s">
        <v>60</v>
      </c>
      <c r="I22" s="1">
        <v>-112.0</v>
      </c>
      <c r="J22" s="1">
        <v>0.0210465374113206</v>
      </c>
      <c r="K22" s="1" t="s">
        <v>61</v>
      </c>
      <c r="L22" s="1" t="s">
        <v>61</v>
      </c>
      <c r="M22" s="1" t="s">
        <v>62</v>
      </c>
      <c r="N22" s="1">
        <v>-121.0</v>
      </c>
      <c r="O22" s="1">
        <v>-0.0968527873755656</v>
      </c>
      <c r="P22" s="1" t="s">
        <v>61</v>
      </c>
      <c r="Q22" s="1" t="s">
        <v>61</v>
      </c>
      <c r="R22" s="1">
        <f t="shared" si="1"/>
        <v>0.02104653741</v>
      </c>
      <c r="S22" s="1">
        <f t="shared" si="2"/>
        <v>-112</v>
      </c>
      <c r="T22" s="1">
        <f t="shared" si="3"/>
        <v>1.892857143</v>
      </c>
      <c r="U22" s="1">
        <f t="shared" si="4"/>
        <v>1</v>
      </c>
      <c r="V22" s="3">
        <f t="shared" si="5"/>
        <v>1</v>
      </c>
      <c r="W22" s="3">
        <f t="shared" si="6"/>
        <v>2</v>
      </c>
      <c r="X22" s="3" t="str">
        <f>IFERROR(__xludf.DUMMYFUNCTION("split(B22,"" "")"),"D.")</f>
        <v>D.</v>
      </c>
      <c r="Y22" s="3" t="str">
        <f>IFERROR(__xludf.DUMMYFUNCTION("""COMPUTED_VALUE"""),"Henry")</f>
        <v>Henry</v>
      </c>
      <c r="AA22" s="8">
        <v>13.0</v>
      </c>
      <c r="AB22" s="3">
        <f t="shared" si="7"/>
        <v>0</v>
      </c>
      <c r="AC22" s="3">
        <f t="shared" si="8"/>
        <v>0</v>
      </c>
      <c r="AD22" s="3">
        <f t="shared" si="9"/>
        <v>0.8928571429</v>
      </c>
      <c r="AE22" s="3">
        <f t="shared" si="10"/>
        <v>-1</v>
      </c>
      <c r="AF22" s="3">
        <f t="shared" si="11"/>
        <v>-2</v>
      </c>
      <c r="AG22" s="3">
        <f t="shared" si="12"/>
        <v>-0.2972972973</v>
      </c>
    </row>
    <row r="23">
      <c r="A23" s="1" t="s">
        <v>15</v>
      </c>
      <c r="B23" s="1" t="s">
        <v>347</v>
      </c>
      <c r="C23" s="1" t="s">
        <v>21</v>
      </c>
      <c r="D23" s="1" t="s">
        <v>77</v>
      </c>
      <c r="E23" s="1" t="s">
        <v>110</v>
      </c>
      <c r="F23" s="1" t="s">
        <v>687</v>
      </c>
      <c r="G23" s="1">
        <v>18.5</v>
      </c>
      <c r="H23" s="1" t="s">
        <v>60</v>
      </c>
      <c r="I23" s="1">
        <v>-125.0</v>
      </c>
      <c r="J23" s="1">
        <v>-0.0841656883555556</v>
      </c>
      <c r="K23" s="1" t="s">
        <v>61</v>
      </c>
      <c r="L23" s="1" t="s">
        <v>61</v>
      </c>
      <c r="M23" s="1" t="s">
        <v>62</v>
      </c>
      <c r="N23" s="1">
        <v>-104.0</v>
      </c>
      <c r="O23" s="1">
        <v>0.0187929954666666</v>
      </c>
      <c r="P23" s="1" t="s">
        <v>61</v>
      </c>
      <c r="Q23" s="1" t="s">
        <v>61</v>
      </c>
      <c r="R23" s="1">
        <f t="shared" si="1"/>
        <v>0.01879299547</v>
      </c>
      <c r="S23" s="1">
        <f t="shared" si="2"/>
        <v>-104</v>
      </c>
      <c r="T23" s="1">
        <f t="shared" si="3"/>
        <v>1.961538462</v>
      </c>
      <c r="U23" s="1">
        <f t="shared" si="4"/>
        <v>0</v>
      </c>
      <c r="V23" s="3">
        <f t="shared" si="5"/>
        <v>1</v>
      </c>
      <c r="W23" s="3">
        <f t="shared" si="6"/>
        <v>2</v>
      </c>
      <c r="X23" s="3" t="str">
        <f>IFERROR(__xludf.DUMMYFUNCTION("split(B23,"" "")"),"L.")</f>
        <v>L.</v>
      </c>
      <c r="Y23" s="3" t="str">
        <f>IFERROR(__xludf.DUMMYFUNCTION("""COMPUTED_VALUE"""),"Jackson")</f>
        <v>Jackson</v>
      </c>
      <c r="AA23" s="8">
        <v>16.0</v>
      </c>
      <c r="AB23" s="3">
        <f t="shared" si="7"/>
        <v>0</v>
      </c>
      <c r="AC23" s="3">
        <f t="shared" si="8"/>
        <v>1</v>
      </c>
      <c r="AD23" s="3">
        <f t="shared" si="9"/>
        <v>0.9615384615</v>
      </c>
      <c r="AE23" s="3">
        <f t="shared" si="10"/>
        <v>0.9615384615</v>
      </c>
      <c r="AF23" s="3">
        <f t="shared" si="11"/>
        <v>1.923076923</v>
      </c>
      <c r="AG23" s="3">
        <f t="shared" si="12"/>
        <v>0.1351351351</v>
      </c>
    </row>
    <row r="24">
      <c r="A24" s="1" t="s">
        <v>17</v>
      </c>
      <c r="B24" s="1" t="s">
        <v>347</v>
      </c>
      <c r="C24" s="1" t="s">
        <v>21</v>
      </c>
      <c r="D24" s="1" t="s">
        <v>77</v>
      </c>
      <c r="E24" s="1" t="s">
        <v>110</v>
      </c>
      <c r="F24" s="1" t="s">
        <v>687</v>
      </c>
      <c r="G24" s="1">
        <v>0.5</v>
      </c>
      <c r="H24" s="1" t="s">
        <v>60</v>
      </c>
      <c r="I24" s="1">
        <v>-107.0</v>
      </c>
      <c r="J24" s="1">
        <v>-0.0811082125603864</v>
      </c>
      <c r="K24" s="1" t="s">
        <v>61</v>
      </c>
      <c r="L24" s="1" t="s">
        <v>61</v>
      </c>
      <c r="M24" s="1" t="s">
        <v>62</v>
      </c>
      <c r="N24" s="1">
        <v>-122.0</v>
      </c>
      <c r="O24" s="1">
        <v>0.0146504504504505</v>
      </c>
      <c r="P24" s="1" t="s">
        <v>61</v>
      </c>
      <c r="Q24" s="1" t="s">
        <v>61</v>
      </c>
      <c r="R24" s="1">
        <f t="shared" si="1"/>
        <v>0.01465045045</v>
      </c>
      <c r="S24" s="1">
        <f t="shared" si="2"/>
        <v>-122</v>
      </c>
      <c r="T24" s="1">
        <f t="shared" si="3"/>
        <v>1.819672131</v>
      </c>
      <c r="U24" s="1">
        <f t="shared" si="4"/>
        <v>0</v>
      </c>
      <c r="V24" s="3">
        <f t="shared" si="5"/>
        <v>1</v>
      </c>
      <c r="W24" s="3">
        <f t="shared" si="6"/>
        <v>3</v>
      </c>
      <c r="X24" s="3" t="str">
        <f>IFERROR(__xludf.DUMMYFUNCTION("split(B24,"" "")"),"L.")</f>
        <v>L.</v>
      </c>
      <c r="Y24" s="3" t="str">
        <f>IFERROR(__xludf.DUMMYFUNCTION("""COMPUTED_VALUE"""),"Jackson")</f>
        <v>Jackson</v>
      </c>
      <c r="AA24" s="8">
        <v>1.0</v>
      </c>
      <c r="AB24" s="3">
        <f t="shared" si="7"/>
        <v>1</v>
      </c>
      <c r="AC24" s="3">
        <f t="shared" si="8"/>
        <v>0</v>
      </c>
      <c r="AD24" s="3">
        <f t="shared" si="9"/>
        <v>0.8196721311</v>
      </c>
      <c r="AE24" s="3">
        <f t="shared" si="10"/>
        <v>-1</v>
      </c>
      <c r="AF24" s="3">
        <f t="shared" si="11"/>
        <v>-3</v>
      </c>
      <c r="AG24" s="3">
        <f t="shared" si="12"/>
        <v>-1</v>
      </c>
    </row>
    <row r="25">
      <c r="A25" s="1" t="s">
        <v>11</v>
      </c>
      <c r="B25" s="1" t="s">
        <v>399</v>
      </c>
      <c r="C25" s="1" t="s">
        <v>18</v>
      </c>
      <c r="D25" s="1" t="s">
        <v>77</v>
      </c>
      <c r="E25" s="1" t="s">
        <v>110</v>
      </c>
      <c r="F25" s="1" t="s">
        <v>687</v>
      </c>
      <c r="G25" s="1">
        <v>59.5</v>
      </c>
      <c r="H25" s="1" t="s">
        <v>60</v>
      </c>
      <c r="I25" s="1">
        <v>-117.0</v>
      </c>
      <c r="J25" s="1">
        <v>-0.0730866442568147</v>
      </c>
      <c r="K25" s="1" t="s">
        <v>61</v>
      </c>
      <c r="L25" s="1" t="s">
        <v>61</v>
      </c>
      <c r="M25" s="1" t="s">
        <v>62</v>
      </c>
      <c r="N25" s="1">
        <v>-112.0</v>
      </c>
      <c r="O25" s="1">
        <v>0.00558626681504559</v>
      </c>
      <c r="P25" s="1" t="s">
        <v>61</v>
      </c>
      <c r="Q25" s="1" t="s">
        <v>61</v>
      </c>
      <c r="R25" s="1">
        <f t="shared" si="1"/>
        <v>0.005586266815</v>
      </c>
      <c r="S25" s="1">
        <f t="shared" si="2"/>
        <v>-112</v>
      </c>
      <c r="T25" s="1">
        <f t="shared" si="3"/>
        <v>1.892857143</v>
      </c>
      <c r="U25" s="1">
        <f t="shared" si="4"/>
        <v>0</v>
      </c>
      <c r="V25" s="3">
        <f t="shared" si="5"/>
        <v>1</v>
      </c>
      <c r="W25" s="3">
        <f t="shared" si="6"/>
        <v>2</v>
      </c>
      <c r="X25" s="3" t="str">
        <f>IFERROR(__xludf.DUMMYFUNCTION("split(B25,"" "")"),"Z.")</f>
        <v>Z.</v>
      </c>
      <c r="Y25" s="3" t="str">
        <f>IFERROR(__xludf.DUMMYFUNCTION("""COMPUTED_VALUE"""),"Flowers")</f>
        <v>Flowers</v>
      </c>
      <c r="AA25" s="8">
        <v>39.0</v>
      </c>
      <c r="AB25" s="3">
        <f t="shared" si="7"/>
        <v>0</v>
      </c>
      <c r="AC25" s="3">
        <f t="shared" si="8"/>
        <v>1</v>
      </c>
      <c r="AD25" s="3">
        <f t="shared" si="9"/>
        <v>0.8928571429</v>
      </c>
      <c r="AE25" s="3">
        <f t="shared" si="10"/>
        <v>0.8928571429</v>
      </c>
      <c r="AF25" s="3">
        <f t="shared" si="11"/>
        <v>1.785714286</v>
      </c>
      <c r="AG25" s="3">
        <f t="shared" si="12"/>
        <v>0.3445378151</v>
      </c>
    </row>
    <row r="26">
      <c r="A26" s="1" t="s">
        <v>8</v>
      </c>
      <c r="B26" s="1" t="s">
        <v>434</v>
      </c>
      <c r="C26" s="1" t="s">
        <v>21</v>
      </c>
      <c r="D26" s="1" t="s">
        <v>104</v>
      </c>
      <c r="E26" s="1" t="s">
        <v>76</v>
      </c>
      <c r="F26" s="1" t="s">
        <v>688</v>
      </c>
      <c r="G26" s="1">
        <v>7.5</v>
      </c>
      <c r="H26" s="1" t="s">
        <v>60</v>
      </c>
      <c r="I26" s="1">
        <v>-126.0</v>
      </c>
      <c r="J26" s="1">
        <v>-0.272261689067483</v>
      </c>
      <c r="K26" s="1" t="s">
        <v>61</v>
      </c>
      <c r="L26" s="1" t="s">
        <v>61</v>
      </c>
      <c r="M26" s="1" t="s">
        <v>62</v>
      </c>
      <c r="N26" s="1">
        <v>-107.0</v>
      </c>
      <c r="O26" s="1">
        <v>0.197821186716419</v>
      </c>
      <c r="P26" s="1" t="s">
        <v>61</v>
      </c>
      <c r="Q26" s="1" t="s">
        <v>61</v>
      </c>
      <c r="R26" s="1">
        <f t="shared" si="1"/>
        <v>0.1978211867</v>
      </c>
      <c r="S26" s="1">
        <f t="shared" si="2"/>
        <v>-107</v>
      </c>
      <c r="T26" s="1">
        <f t="shared" si="3"/>
        <v>1.934579439</v>
      </c>
      <c r="U26" s="1">
        <f t="shared" si="4"/>
        <v>0</v>
      </c>
      <c r="V26" s="3">
        <f t="shared" si="5"/>
        <v>3</v>
      </c>
      <c r="W26" s="3">
        <f t="shared" si="6"/>
        <v>2</v>
      </c>
      <c r="X26" s="3" t="str">
        <f>IFERROR(__xludf.DUMMYFUNCTION("split(B26,"" "")"),"J.")</f>
        <v>J.</v>
      </c>
      <c r="Y26" s="3" t="str">
        <f>IFERROR(__xludf.DUMMYFUNCTION("""COMPUTED_VALUE"""),"Allen")</f>
        <v>Allen</v>
      </c>
      <c r="AA26" s="8">
        <v>12.0</v>
      </c>
      <c r="AB26" s="3">
        <f t="shared" si="7"/>
        <v>1</v>
      </c>
      <c r="AC26" s="3">
        <f t="shared" si="8"/>
        <v>0</v>
      </c>
      <c r="AD26" s="3">
        <f t="shared" si="9"/>
        <v>2.803738318</v>
      </c>
      <c r="AE26" s="3">
        <f t="shared" si="10"/>
        <v>-3</v>
      </c>
      <c r="AF26" s="3">
        <f t="shared" si="11"/>
        <v>-2</v>
      </c>
      <c r="AG26" s="3">
        <f t="shared" si="12"/>
        <v>-0.6</v>
      </c>
    </row>
    <row r="27">
      <c r="A27" s="1" t="s">
        <v>11</v>
      </c>
      <c r="B27" s="1" t="s">
        <v>189</v>
      </c>
      <c r="C27" s="1" t="s">
        <v>18</v>
      </c>
      <c r="D27" s="1" t="s">
        <v>104</v>
      </c>
      <c r="E27" s="1" t="s">
        <v>76</v>
      </c>
      <c r="F27" s="1" t="s">
        <v>688</v>
      </c>
      <c r="G27" s="1">
        <v>57.5</v>
      </c>
      <c r="H27" s="1" t="s">
        <v>60</v>
      </c>
      <c r="I27" s="1">
        <v>-123.0</v>
      </c>
      <c r="J27" s="1">
        <v>-0.139068988233407</v>
      </c>
      <c r="K27" s="1" t="s">
        <v>61</v>
      </c>
      <c r="L27" s="1" t="s">
        <v>61</v>
      </c>
      <c r="M27" s="1" t="s">
        <v>62</v>
      </c>
      <c r="N27" s="1">
        <v>-106.0</v>
      </c>
      <c r="O27" s="1">
        <v>0.0729360542692231</v>
      </c>
      <c r="P27" s="1" t="s">
        <v>61</v>
      </c>
      <c r="Q27" s="1" t="s">
        <v>61</v>
      </c>
      <c r="R27" s="1">
        <f t="shared" si="1"/>
        <v>0.07293605427</v>
      </c>
      <c r="S27" s="1">
        <f t="shared" si="2"/>
        <v>-106</v>
      </c>
      <c r="T27" s="1">
        <f t="shared" si="3"/>
        <v>1.943396226</v>
      </c>
      <c r="U27" s="1">
        <f t="shared" si="4"/>
        <v>0</v>
      </c>
      <c r="V27" s="3">
        <f t="shared" si="5"/>
        <v>2</v>
      </c>
      <c r="W27" s="3">
        <f t="shared" si="6"/>
        <v>2</v>
      </c>
      <c r="X27" s="3" t="str">
        <f>IFERROR(__xludf.DUMMYFUNCTION("split(B27,"" "")"),"K.")</f>
        <v>K.</v>
      </c>
      <c r="Y27" s="3" t="str">
        <f>IFERROR(__xludf.DUMMYFUNCTION("""COMPUTED_VALUE"""),"Shakir")</f>
        <v>Shakir</v>
      </c>
      <c r="AA27" s="8">
        <v>70.0</v>
      </c>
      <c r="AB27" s="3">
        <f t="shared" si="7"/>
        <v>1</v>
      </c>
      <c r="AC27" s="3">
        <f t="shared" si="8"/>
        <v>0</v>
      </c>
      <c r="AD27" s="3">
        <f t="shared" si="9"/>
        <v>1.886792453</v>
      </c>
      <c r="AE27" s="3">
        <f t="shared" si="10"/>
        <v>-2</v>
      </c>
      <c r="AF27" s="3">
        <f t="shared" si="11"/>
        <v>-2</v>
      </c>
      <c r="AG27" s="3">
        <f t="shared" si="12"/>
        <v>-0.2173913043</v>
      </c>
    </row>
    <row r="28">
      <c r="A28" s="1" t="s">
        <v>10</v>
      </c>
      <c r="B28" s="1" t="s">
        <v>434</v>
      </c>
      <c r="C28" s="1" t="s">
        <v>21</v>
      </c>
      <c r="D28" s="1" t="s">
        <v>104</v>
      </c>
      <c r="E28" s="1" t="s">
        <v>76</v>
      </c>
      <c r="F28" s="1" t="s">
        <v>688</v>
      </c>
      <c r="G28" s="1">
        <v>35.5</v>
      </c>
      <c r="H28" s="1" t="s">
        <v>60</v>
      </c>
      <c r="I28" s="1">
        <v>-109.0</v>
      </c>
      <c r="J28" s="1">
        <v>-0.108129556472867</v>
      </c>
      <c r="K28" s="1" t="s">
        <v>61</v>
      </c>
      <c r="L28" s="1" t="s">
        <v>61</v>
      </c>
      <c r="M28" s="1" t="s">
        <v>62</v>
      </c>
      <c r="N28" s="1">
        <v>-118.0</v>
      </c>
      <c r="O28" s="1">
        <v>0.0453532349419202</v>
      </c>
      <c r="P28" s="1" t="s">
        <v>61</v>
      </c>
      <c r="Q28" s="1" t="s">
        <v>61</v>
      </c>
      <c r="R28" s="1">
        <f t="shared" si="1"/>
        <v>0.04535323494</v>
      </c>
      <c r="S28" s="1">
        <f t="shared" si="2"/>
        <v>-118</v>
      </c>
      <c r="T28" s="1">
        <f t="shared" si="3"/>
        <v>1.847457627</v>
      </c>
      <c r="U28" s="1">
        <f t="shared" si="4"/>
        <v>0</v>
      </c>
      <c r="V28" s="3">
        <f t="shared" si="5"/>
        <v>1</v>
      </c>
      <c r="W28" s="3">
        <f t="shared" si="6"/>
        <v>3</v>
      </c>
      <c r="X28" s="3" t="str">
        <f>IFERROR(__xludf.DUMMYFUNCTION("split(B28,"" "")"),"J.")</f>
        <v>J.</v>
      </c>
      <c r="Y28" s="3" t="str">
        <f>IFERROR(__xludf.DUMMYFUNCTION("""COMPUTED_VALUE"""),"Allen")</f>
        <v>Allen</v>
      </c>
      <c r="AA28" s="8">
        <v>55.0</v>
      </c>
      <c r="AB28" s="3">
        <f t="shared" si="7"/>
        <v>1</v>
      </c>
      <c r="AC28" s="3">
        <f t="shared" si="8"/>
        <v>0</v>
      </c>
      <c r="AD28" s="3">
        <f t="shared" si="9"/>
        <v>0.8474576271</v>
      </c>
      <c r="AE28" s="3">
        <f t="shared" si="10"/>
        <v>-1</v>
      </c>
      <c r="AF28" s="3">
        <f t="shared" si="11"/>
        <v>-3</v>
      </c>
      <c r="AG28" s="3">
        <f t="shared" si="12"/>
        <v>-0.5492957746</v>
      </c>
    </row>
    <row r="29">
      <c r="A29" s="1" t="s">
        <v>8</v>
      </c>
      <c r="B29" s="1" t="s">
        <v>458</v>
      </c>
      <c r="C29" s="1" t="s">
        <v>19</v>
      </c>
      <c r="D29" s="1" t="s">
        <v>104</v>
      </c>
      <c r="E29" s="1" t="s">
        <v>76</v>
      </c>
      <c r="F29" s="1" t="s">
        <v>688</v>
      </c>
      <c r="G29" s="1">
        <v>14.5</v>
      </c>
      <c r="H29" s="1" t="s">
        <v>60</v>
      </c>
      <c r="I29" s="1">
        <v>-108.0</v>
      </c>
      <c r="J29" s="1">
        <v>-0.114670635533653</v>
      </c>
      <c r="K29" s="1" t="s">
        <v>61</v>
      </c>
      <c r="L29" s="1" t="s">
        <v>61</v>
      </c>
      <c r="M29" s="1" t="s">
        <v>62</v>
      </c>
      <c r="N29" s="1">
        <v>-124.0</v>
      </c>
      <c r="O29" s="1">
        <v>0.0418896174858928</v>
      </c>
      <c r="P29" s="1" t="s">
        <v>61</v>
      </c>
      <c r="Q29" s="1" t="s">
        <v>61</v>
      </c>
      <c r="R29" s="1">
        <f t="shared" si="1"/>
        <v>0.04188961749</v>
      </c>
      <c r="S29" s="1">
        <f t="shared" si="2"/>
        <v>-124</v>
      </c>
      <c r="T29" s="1">
        <f t="shared" si="3"/>
        <v>1.806451613</v>
      </c>
      <c r="U29" s="1">
        <f t="shared" si="4"/>
        <v>0</v>
      </c>
      <c r="V29" s="3">
        <f t="shared" si="5"/>
        <v>1</v>
      </c>
      <c r="W29" s="3">
        <f t="shared" si="6"/>
        <v>3</v>
      </c>
      <c r="X29" s="3" t="str">
        <f>IFERROR(__xludf.DUMMYFUNCTION("split(B29,"" "")"),"J.")</f>
        <v>J.</v>
      </c>
      <c r="Y29" s="3" t="str">
        <f>IFERROR(__xludf.DUMMYFUNCTION("""COMPUTED_VALUE"""),"Cook")</f>
        <v>Cook</v>
      </c>
      <c r="AA29" s="8">
        <v>9.0</v>
      </c>
      <c r="AB29" s="3">
        <f t="shared" si="7"/>
        <v>0</v>
      </c>
      <c r="AC29" s="3">
        <f t="shared" si="8"/>
        <v>1</v>
      </c>
      <c r="AD29" s="3">
        <f t="shared" si="9"/>
        <v>0.8064516129</v>
      </c>
      <c r="AE29" s="3">
        <f t="shared" si="10"/>
        <v>0.8064516129</v>
      </c>
      <c r="AF29" s="3">
        <f t="shared" si="11"/>
        <v>2.419354839</v>
      </c>
      <c r="AG29" s="3">
        <f t="shared" si="12"/>
        <v>0.3793103448</v>
      </c>
    </row>
    <row r="30">
      <c r="A30" s="1" t="s">
        <v>17</v>
      </c>
      <c r="B30" s="1" t="s">
        <v>434</v>
      </c>
      <c r="C30" s="1" t="s">
        <v>21</v>
      </c>
      <c r="D30" s="1" t="s">
        <v>104</v>
      </c>
      <c r="E30" s="1" t="s">
        <v>76</v>
      </c>
      <c r="F30" s="1" t="s">
        <v>688</v>
      </c>
      <c r="G30" s="1">
        <v>0.5</v>
      </c>
      <c r="H30" s="1" t="s">
        <v>60</v>
      </c>
      <c r="I30" s="1">
        <v>-120.0</v>
      </c>
      <c r="J30" s="1">
        <v>-0.0985090909090909</v>
      </c>
      <c r="K30" s="1" t="s">
        <v>61</v>
      </c>
      <c r="L30" s="1" t="s">
        <v>61</v>
      </c>
      <c r="M30" s="1" t="s">
        <v>62</v>
      </c>
      <c r="N30" s="1">
        <v>-109.0</v>
      </c>
      <c r="O30" s="1">
        <v>0.0315167464114832</v>
      </c>
      <c r="P30" s="1" t="s">
        <v>61</v>
      </c>
      <c r="Q30" s="1" t="s">
        <v>61</v>
      </c>
      <c r="R30" s="1">
        <f t="shared" si="1"/>
        <v>0.03151674641</v>
      </c>
      <c r="S30" s="1">
        <f t="shared" si="2"/>
        <v>-109</v>
      </c>
      <c r="T30" s="1">
        <f t="shared" si="3"/>
        <v>1.917431193</v>
      </c>
      <c r="U30" s="1">
        <f t="shared" si="4"/>
        <v>0</v>
      </c>
      <c r="V30" s="3">
        <f t="shared" si="5"/>
        <v>1</v>
      </c>
      <c r="W30" s="3">
        <f t="shared" si="6"/>
        <v>2</v>
      </c>
      <c r="X30" s="3" t="str">
        <f>IFERROR(__xludf.DUMMYFUNCTION("split(B30,"" "")"),"J.")</f>
        <v>J.</v>
      </c>
      <c r="Y30" s="3" t="str">
        <f>IFERROR(__xludf.DUMMYFUNCTION("""COMPUTED_VALUE"""),"Allen")</f>
        <v>Allen</v>
      </c>
      <c r="AA30" s="8">
        <v>1.0</v>
      </c>
      <c r="AB30" s="3">
        <f t="shared" si="7"/>
        <v>1</v>
      </c>
      <c r="AC30" s="3">
        <f t="shared" si="8"/>
        <v>0</v>
      </c>
      <c r="AD30" s="3">
        <f t="shared" si="9"/>
        <v>0.9174311927</v>
      </c>
      <c r="AE30" s="3">
        <f t="shared" si="10"/>
        <v>-1</v>
      </c>
      <c r="AF30" s="3">
        <f t="shared" si="11"/>
        <v>-2</v>
      </c>
      <c r="AG30" s="3">
        <f t="shared" si="12"/>
        <v>-1</v>
      </c>
    </row>
    <row r="31">
      <c r="A31" s="1" t="s">
        <v>10</v>
      </c>
      <c r="B31" s="1" t="s">
        <v>458</v>
      </c>
      <c r="C31" s="1" t="s">
        <v>19</v>
      </c>
      <c r="D31" s="1" t="s">
        <v>104</v>
      </c>
      <c r="E31" s="1" t="s">
        <v>76</v>
      </c>
      <c r="F31" s="1" t="s">
        <v>688</v>
      </c>
      <c r="G31" s="1">
        <v>57.5</v>
      </c>
      <c r="H31" s="1" t="s">
        <v>60</v>
      </c>
      <c r="I31" s="1">
        <v>-111.0</v>
      </c>
      <c r="J31" s="1">
        <v>-0.0824080055296674</v>
      </c>
      <c r="K31" s="1" t="s">
        <v>61</v>
      </c>
      <c r="L31" s="1" t="s">
        <v>61</v>
      </c>
      <c r="M31" s="1" t="s">
        <v>62</v>
      </c>
      <c r="N31" s="1">
        <v>-115.0</v>
      </c>
      <c r="O31" s="1">
        <v>0.0214749639779934</v>
      </c>
      <c r="P31" s="1" t="s">
        <v>61</v>
      </c>
      <c r="Q31" s="1" t="s">
        <v>61</v>
      </c>
      <c r="R31" s="1">
        <f t="shared" si="1"/>
        <v>0.02147496398</v>
      </c>
      <c r="S31" s="1">
        <f t="shared" si="2"/>
        <v>-115</v>
      </c>
      <c r="T31" s="1">
        <f t="shared" si="3"/>
        <v>1.869565217</v>
      </c>
      <c r="U31" s="1">
        <f t="shared" si="4"/>
        <v>0</v>
      </c>
      <c r="V31" s="3">
        <f t="shared" si="5"/>
        <v>1</v>
      </c>
      <c r="W31" s="3">
        <f t="shared" si="6"/>
        <v>2</v>
      </c>
      <c r="X31" s="3" t="str">
        <f>IFERROR(__xludf.DUMMYFUNCTION("split(B31,"" "")"),"J.")</f>
        <v>J.</v>
      </c>
      <c r="Y31" s="3" t="str">
        <f>IFERROR(__xludf.DUMMYFUNCTION("""COMPUTED_VALUE"""),"Cook")</f>
        <v>Cook</v>
      </c>
      <c r="AA31" s="8">
        <v>20.0</v>
      </c>
      <c r="AB31" s="3">
        <f t="shared" si="7"/>
        <v>0</v>
      </c>
      <c r="AC31" s="3">
        <f t="shared" si="8"/>
        <v>1</v>
      </c>
      <c r="AD31" s="3">
        <f t="shared" si="9"/>
        <v>0.8695652174</v>
      </c>
      <c r="AE31" s="3">
        <f t="shared" si="10"/>
        <v>0.8695652174</v>
      </c>
      <c r="AF31" s="3">
        <f t="shared" si="11"/>
        <v>1.739130435</v>
      </c>
      <c r="AG31" s="3">
        <f t="shared" si="12"/>
        <v>0.652173913</v>
      </c>
    </row>
    <row r="32">
      <c r="A32" s="1" t="s">
        <v>12</v>
      </c>
      <c r="B32" s="1" t="s">
        <v>98</v>
      </c>
      <c r="C32" s="1" t="s">
        <v>19</v>
      </c>
      <c r="D32" s="1" t="s">
        <v>99</v>
      </c>
      <c r="E32" s="1" t="s">
        <v>157</v>
      </c>
      <c r="F32" s="1" t="s">
        <v>687</v>
      </c>
      <c r="G32" s="1">
        <v>2.5</v>
      </c>
      <c r="H32" s="1" t="s">
        <v>60</v>
      </c>
      <c r="I32" s="1">
        <v>-119.0</v>
      </c>
      <c r="J32" s="1">
        <v>-0.243819898538812</v>
      </c>
      <c r="K32" s="1" t="s">
        <v>61</v>
      </c>
      <c r="L32" s="1" t="s">
        <v>61</v>
      </c>
      <c r="M32" s="1" t="s">
        <v>62</v>
      </c>
      <c r="N32" s="1">
        <v>-110.0</v>
      </c>
      <c r="O32" s="1">
        <v>0.176637397895238</v>
      </c>
      <c r="P32" s="1" t="s">
        <v>61</v>
      </c>
      <c r="Q32" s="1" t="s">
        <v>61</v>
      </c>
      <c r="R32" s="1">
        <f t="shared" si="1"/>
        <v>0.1766373979</v>
      </c>
      <c r="S32" s="1">
        <f t="shared" si="2"/>
        <v>-110</v>
      </c>
      <c r="T32" s="1">
        <f t="shared" si="3"/>
        <v>1.909090909</v>
      </c>
      <c r="U32" s="1">
        <f t="shared" si="4"/>
        <v>0</v>
      </c>
      <c r="V32" s="3">
        <f t="shared" si="5"/>
        <v>3</v>
      </c>
      <c r="W32" s="3">
        <f t="shared" si="6"/>
        <v>2</v>
      </c>
      <c r="X32" s="3" t="str">
        <f>IFERROR(__xludf.DUMMYFUNCTION("split(B32,"" "")"),"D.")</f>
        <v>D.</v>
      </c>
      <c r="Y32" s="3" t="str">
        <f>IFERROR(__xludf.DUMMYFUNCTION("""COMPUTED_VALUE"""),"Swift")</f>
        <v>Swift</v>
      </c>
      <c r="AA32" s="8">
        <v>2.0</v>
      </c>
      <c r="AB32" s="3">
        <f t="shared" si="7"/>
        <v>0</v>
      </c>
      <c r="AC32" s="3">
        <f t="shared" si="8"/>
        <v>1</v>
      </c>
      <c r="AD32" s="3">
        <f t="shared" si="9"/>
        <v>2.727272727</v>
      </c>
      <c r="AE32" s="3">
        <f t="shared" si="10"/>
        <v>2.727272727</v>
      </c>
      <c r="AF32" s="3">
        <f t="shared" si="11"/>
        <v>1.818181818</v>
      </c>
      <c r="AG32" s="3">
        <f t="shared" si="12"/>
        <v>0.2</v>
      </c>
    </row>
    <row r="33">
      <c r="A33" s="1" t="s">
        <v>12</v>
      </c>
      <c r="B33" s="1" t="s">
        <v>191</v>
      </c>
      <c r="C33" s="1" t="s">
        <v>18</v>
      </c>
      <c r="D33" s="1" t="s">
        <v>99</v>
      </c>
      <c r="E33" s="1" t="s">
        <v>157</v>
      </c>
      <c r="F33" s="1" t="s">
        <v>687</v>
      </c>
      <c r="G33" s="1">
        <v>2.5</v>
      </c>
      <c r="H33" s="1" t="s">
        <v>60</v>
      </c>
      <c r="I33" s="1">
        <v>-169.0</v>
      </c>
      <c r="J33" s="1">
        <v>-0.224887410892193</v>
      </c>
      <c r="K33" s="1" t="s">
        <v>61</v>
      </c>
      <c r="L33" s="1" t="s">
        <v>61</v>
      </c>
      <c r="M33" s="1" t="s">
        <v>62</v>
      </c>
      <c r="N33" s="1">
        <v>130.0</v>
      </c>
      <c r="O33" s="1">
        <v>0.161857884913043</v>
      </c>
      <c r="P33" s="1" t="s">
        <v>61</v>
      </c>
      <c r="Q33" s="1" t="s">
        <v>61</v>
      </c>
      <c r="R33" s="1">
        <f t="shared" si="1"/>
        <v>0.1618578849</v>
      </c>
      <c r="S33" s="1">
        <f t="shared" si="2"/>
        <v>130</v>
      </c>
      <c r="T33" s="1">
        <f t="shared" si="3"/>
        <v>2.3</v>
      </c>
      <c r="U33" s="1">
        <f t="shared" si="4"/>
        <v>0</v>
      </c>
      <c r="V33" s="3">
        <f t="shared" si="5"/>
        <v>3</v>
      </c>
      <c r="W33" s="3">
        <f t="shared" si="6"/>
        <v>1</v>
      </c>
      <c r="X33" s="3" t="str">
        <f>IFERROR(__xludf.DUMMYFUNCTION("split(B33,"" "")"),"R.")</f>
        <v>R.</v>
      </c>
      <c r="Y33" s="3" t="str">
        <f>IFERROR(__xludf.DUMMYFUNCTION("""COMPUTED_VALUE"""),"Odunze")</f>
        <v>Odunze</v>
      </c>
      <c r="AA33" s="8">
        <v>6.0</v>
      </c>
      <c r="AB33" s="3">
        <f t="shared" si="7"/>
        <v>1</v>
      </c>
      <c r="AC33" s="3">
        <f t="shared" si="8"/>
        <v>0</v>
      </c>
      <c r="AD33" s="3">
        <f t="shared" si="9"/>
        <v>3.9</v>
      </c>
      <c r="AE33" s="3">
        <f t="shared" si="10"/>
        <v>-3</v>
      </c>
      <c r="AF33" s="3">
        <f t="shared" si="11"/>
        <v>-1</v>
      </c>
      <c r="AG33" s="3">
        <f t="shared" si="12"/>
        <v>-1.4</v>
      </c>
    </row>
    <row r="34">
      <c r="A34" s="1" t="s">
        <v>14</v>
      </c>
      <c r="B34" s="1" t="s">
        <v>274</v>
      </c>
      <c r="C34" s="1" t="s">
        <v>21</v>
      </c>
      <c r="D34" s="1" t="s">
        <v>99</v>
      </c>
      <c r="E34" s="1" t="s">
        <v>157</v>
      </c>
      <c r="F34" s="1" t="s">
        <v>687</v>
      </c>
      <c r="G34" s="1">
        <v>0.5</v>
      </c>
      <c r="H34" s="1" t="s">
        <v>60</v>
      </c>
      <c r="I34" s="1">
        <v>-205.0</v>
      </c>
      <c r="J34" s="1">
        <v>-0.188929695016393</v>
      </c>
      <c r="K34" s="1" t="s">
        <v>61</v>
      </c>
      <c r="L34" s="1" t="s">
        <v>61</v>
      </c>
      <c r="M34" s="1" t="s">
        <v>62</v>
      </c>
      <c r="N34" s="1">
        <v>153.0</v>
      </c>
      <c r="O34" s="1">
        <v>0.121541331936758</v>
      </c>
      <c r="P34" s="1" t="s">
        <v>61</v>
      </c>
      <c r="Q34" s="1" t="s">
        <v>61</v>
      </c>
      <c r="R34" s="1">
        <f t="shared" si="1"/>
        <v>0.1215413319</v>
      </c>
      <c r="S34" s="1">
        <f t="shared" si="2"/>
        <v>153</v>
      </c>
      <c r="T34" s="1">
        <f t="shared" si="3"/>
        <v>2.53</v>
      </c>
      <c r="U34" s="1">
        <f t="shared" si="4"/>
        <v>0</v>
      </c>
      <c r="V34" s="3">
        <f t="shared" si="5"/>
        <v>3</v>
      </c>
      <c r="W34" s="3">
        <f t="shared" si="6"/>
        <v>1</v>
      </c>
      <c r="X34" s="3" t="str">
        <f>IFERROR(__xludf.DUMMYFUNCTION("split(B34,"" "")"),"C.")</f>
        <v>C.</v>
      </c>
      <c r="Y34" s="3" t="str">
        <f>IFERROR(__xludf.DUMMYFUNCTION("""COMPUTED_VALUE"""),"Williams")</f>
        <v>Williams</v>
      </c>
      <c r="AA34" s="8">
        <v>0.0</v>
      </c>
      <c r="AB34" s="3">
        <f t="shared" si="7"/>
        <v>0</v>
      </c>
      <c r="AC34" s="3">
        <f t="shared" si="8"/>
        <v>1</v>
      </c>
      <c r="AD34" s="3">
        <f t="shared" si="9"/>
        <v>4.59</v>
      </c>
      <c r="AE34" s="3">
        <f t="shared" si="10"/>
        <v>4.59</v>
      </c>
      <c r="AF34" s="3">
        <f t="shared" si="11"/>
        <v>1.53</v>
      </c>
      <c r="AG34" s="3">
        <f t="shared" si="12"/>
        <v>1</v>
      </c>
    </row>
    <row r="35">
      <c r="A35" s="1" t="s">
        <v>12</v>
      </c>
      <c r="B35" s="1" t="s">
        <v>351</v>
      </c>
      <c r="C35" s="1" t="s">
        <v>18</v>
      </c>
      <c r="D35" s="1" t="s">
        <v>99</v>
      </c>
      <c r="E35" s="1" t="s">
        <v>157</v>
      </c>
      <c r="F35" s="1" t="s">
        <v>687</v>
      </c>
      <c r="G35" s="1">
        <v>4.5</v>
      </c>
      <c r="H35" s="1" t="s">
        <v>60</v>
      </c>
      <c r="I35" s="1">
        <v>130.0</v>
      </c>
      <c r="J35" s="1">
        <v>0.104073913043478</v>
      </c>
      <c r="K35" s="1" t="s">
        <v>61</v>
      </c>
      <c r="L35" s="1" t="s">
        <v>61</v>
      </c>
      <c r="M35" s="1" t="s">
        <v>62</v>
      </c>
      <c r="N35" s="1">
        <v>-166.0</v>
      </c>
      <c r="O35" s="1">
        <v>-0.162922556390977</v>
      </c>
      <c r="P35" s="1" t="s">
        <v>61</v>
      </c>
      <c r="Q35" s="1" t="s">
        <v>61</v>
      </c>
      <c r="R35" s="1">
        <f t="shared" si="1"/>
        <v>0.104073913</v>
      </c>
      <c r="S35" s="1">
        <f t="shared" si="2"/>
        <v>130</v>
      </c>
      <c r="T35" s="1">
        <f t="shared" si="3"/>
        <v>2.3</v>
      </c>
      <c r="U35" s="1">
        <f t="shared" si="4"/>
        <v>1</v>
      </c>
      <c r="V35" s="3">
        <f t="shared" si="5"/>
        <v>3</v>
      </c>
      <c r="W35" s="3">
        <f t="shared" si="6"/>
        <v>1</v>
      </c>
      <c r="X35" s="3" t="str">
        <f>IFERROR(__xludf.DUMMYFUNCTION("split(B35,"" "")"),"D.")</f>
        <v>D.</v>
      </c>
      <c r="Y35" s="3" t="str">
        <f>IFERROR(__xludf.DUMMYFUNCTION("""COMPUTED_VALUE"""),"Moore")</f>
        <v>Moore</v>
      </c>
      <c r="AA35" s="8">
        <v>7.0</v>
      </c>
      <c r="AB35" s="3">
        <f t="shared" si="7"/>
        <v>1</v>
      </c>
      <c r="AC35" s="3">
        <f t="shared" si="8"/>
        <v>1</v>
      </c>
      <c r="AD35" s="3">
        <f t="shared" si="9"/>
        <v>3.9</v>
      </c>
      <c r="AE35" s="3">
        <f t="shared" si="10"/>
        <v>3.9</v>
      </c>
      <c r="AF35" s="3">
        <f t="shared" si="11"/>
        <v>1.3</v>
      </c>
      <c r="AG35" s="3">
        <f t="shared" si="12"/>
        <v>0.5555555556</v>
      </c>
    </row>
    <row r="36">
      <c r="A36" s="1" t="s">
        <v>12</v>
      </c>
      <c r="B36" s="1" t="s">
        <v>268</v>
      </c>
      <c r="C36" s="1" t="s">
        <v>18</v>
      </c>
      <c r="D36" s="1" t="s">
        <v>99</v>
      </c>
      <c r="E36" s="1" t="s">
        <v>157</v>
      </c>
      <c r="F36" s="1" t="s">
        <v>687</v>
      </c>
      <c r="G36" s="1">
        <v>3.5</v>
      </c>
      <c r="H36" s="1" t="s">
        <v>60</v>
      </c>
      <c r="I36" s="1">
        <v>-130.0</v>
      </c>
      <c r="J36" s="1">
        <v>-0.153917391304347</v>
      </c>
      <c r="K36" s="1" t="s">
        <v>61</v>
      </c>
      <c r="L36" s="1" t="s">
        <v>61</v>
      </c>
      <c r="M36" s="1" t="s">
        <v>62</v>
      </c>
      <c r="N36" s="1">
        <v>-101.0</v>
      </c>
      <c r="O36" s="1">
        <v>0.0862124378109452</v>
      </c>
      <c r="P36" s="1" t="s">
        <v>61</v>
      </c>
      <c r="Q36" s="1" t="s">
        <v>61</v>
      </c>
      <c r="R36" s="1">
        <f t="shared" si="1"/>
        <v>0.08621243781</v>
      </c>
      <c r="S36" s="1">
        <f t="shared" si="2"/>
        <v>-101</v>
      </c>
      <c r="T36" s="1">
        <f t="shared" si="3"/>
        <v>1.99009901</v>
      </c>
      <c r="U36" s="1">
        <f t="shared" si="4"/>
        <v>0</v>
      </c>
      <c r="V36" s="3">
        <f t="shared" si="5"/>
        <v>2</v>
      </c>
      <c r="W36" s="3">
        <f t="shared" si="6"/>
        <v>2</v>
      </c>
      <c r="X36" s="3" t="str">
        <f>IFERROR(__xludf.DUMMYFUNCTION("split(B36,"" "")"),"K.")</f>
        <v>K.</v>
      </c>
      <c r="Y36" s="3" t="str">
        <f>IFERROR(__xludf.DUMMYFUNCTION("""COMPUTED_VALUE"""),"Allen")</f>
        <v>Allen</v>
      </c>
      <c r="AA36" s="8">
        <v>4.0</v>
      </c>
      <c r="AB36" s="3">
        <f t="shared" si="7"/>
        <v>1</v>
      </c>
      <c r="AC36" s="3">
        <f t="shared" si="8"/>
        <v>0</v>
      </c>
      <c r="AD36" s="3">
        <f t="shared" si="9"/>
        <v>1.98019802</v>
      </c>
      <c r="AE36" s="3">
        <f t="shared" si="10"/>
        <v>-2</v>
      </c>
      <c r="AF36" s="3">
        <f t="shared" si="11"/>
        <v>-2</v>
      </c>
      <c r="AG36" s="3">
        <f t="shared" si="12"/>
        <v>-0.1428571429</v>
      </c>
    </row>
    <row r="37">
      <c r="A37" s="1" t="s">
        <v>12</v>
      </c>
      <c r="B37" s="1" t="s">
        <v>231</v>
      </c>
      <c r="C37" s="1" t="s">
        <v>20</v>
      </c>
      <c r="D37" s="1" t="s">
        <v>99</v>
      </c>
      <c r="E37" s="1" t="s">
        <v>157</v>
      </c>
      <c r="F37" s="1" t="s">
        <v>687</v>
      </c>
      <c r="G37" s="1">
        <v>2.5</v>
      </c>
      <c r="H37" s="1" t="s">
        <v>60</v>
      </c>
      <c r="I37" s="1">
        <v>-124.0</v>
      </c>
      <c r="J37" s="1">
        <v>-0.151157674642857</v>
      </c>
      <c r="K37" s="1" t="s">
        <v>61</v>
      </c>
      <c r="L37" s="1" t="s">
        <v>61</v>
      </c>
      <c r="M37" s="1" t="s">
        <v>62</v>
      </c>
      <c r="N37" s="1">
        <v>-107.0</v>
      </c>
      <c r="O37" s="1">
        <v>0.0806916495574879</v>
      </c>
      <c r="P37" s="1" t="s">
        <v>61</v>
      </c>
      <c r="Q37" s="1" t="s">
        <v>61</v>
      </c>
      <c r="R37" s="1">
        <f t="shared" si="1"/>
        <v>0.08069164956</v>
      </c>
      <c r="S37" s="1">
        <f t="shared" si="2"/>
        <v>-107</v>
      </c>
      <c r="T37" s="1">
        <f t="shared" si="3"/>
        <v>1.934579439</v>
      </c>
      <c r="U37" s="1">
        <f t="shared" si="4"/>
        <v>0</v>
      </c>
      <c r="V37" s="3">
        <f t="shared" si="5"/>
        <v>2</v>
      </c>
      <c r="W37" s="3">
        <f t="shared" si="6"/>
        <v>2</v>
      </c>
      <c r="X37" s="3" t="str">
        <f>IFERROR(__xludf.DUMMYFUNCTION("split(B37,"" "")"),"C.")</f>
        <v>C.</v>
      </c>
      <c r="Y37" s="3" t="str">
        <f>IFERROR(__xludf.DUMMYFUNCTION("""COMPUTED_VALUE"""),"Kmet")</f>
        <v>Kmet</v>
      </c>
      <c r="AA37" s="8">
        <v>3.0</v>
      </c>
      <c r="AB37" s="3">
        <f t="shared" si="7"/>
        <v>1</v>
      </c>
      <c r="AC37" s="3">
        <f t="shared" si="8"/>
        <v>0</v>
      </c>
      <c r="AD37" s="3">
        <f t="shared" si="9"/>
        <v>1.869158879</v>
      </c>
      <c r="AE37" s="3">
        <f t="shared" si="10"/>
        <v>-2</v>
      </c>
      <c r="AF37" s="3">
        <f t="shared" si="11"/>
        <v>-2</v>
      </c>
      <c r="AG37" s="3">
        <f t="shared" si="12"/>
        <v>-0.2</v>
      </c>
    </row>
    <row r="38">
      <c r="A38" s="1" t="s">
        <v>17</v>
      </c>
      <c r="B38" s="1" t="s">
        <v>274</v>
      </c>
      <c r="C38" s="1" t="s">
        <v>21</v>
      </c>
      <c r="D38" s="1" t="s">
        <v>99</v>
      </c>
      <c r="E38" s="1" t="s">
        <v>157</v>
      </c>
      <c r="F38" s="1" t="s">
        <v>687</v>
      </c>
      <c r="G38" s="1">
        <v>0.5</v>
      </c>
      <c r="H38" s="1" t="s">
        <v>60</v>
      </c>
      <c r="I38" s="1">
        <v>-138.0</v>
      </c>
      <c r="J38" s="1">
        <v>-0.138073949579831</v>
      </c>
      <c r="K38" s="1" t="s">
        <v>61</v>
      </c>
      <c r="L38" s="1" t="s">
        <v>61</v>
      </c>
      <c r="M38" s="1" t="s">
        <v>62</v>
      </c>
      <c r="N38" s="1">
        <v>106.0</v>
      </c>
      <c r="O38" s="1">
        <v>0.0728116504854369</v>
      </c>
      <c r="P38" s="1" t="s">
        <v>61</v>
      </c>
      <c r="Q38" s="1" t="s">
        <v>61</v>
      </c>
      <c r="R38" s="1">
        <f t="shared" si="1"/>
        <v>0.07281165049</v>
      </c>
      <c r="S38" s="1">
        <f t="shared" si="2"/>
        <v>106</v>
      </c>
      <c r="T38" s="1">
        <f t="shared" si="3"/>
        <v>2.06</v>
      </c>
      <c r="U38" s="1">
        <f t="shared" si="4"/>
        <v>0</v>
      </c>
      <c r="V38" s="3">
        <f t="shared" si="5"/>
        <v>2</v>
      </c>
      <c r="W38" s="3">
        <f t="shared" si="6"/>
        <v>2</v>
      </c>
      <c r="X38" s="3" t="str">
        <f>IFERROR(__xludf.DUMMYFUNCTION("split(B38,"" "")"),"C.")</f>
        <v>C.</v>
      </c>
      <c r="Y38" s="3" t="str">
        <f>IFERROR(__xludf.DUMMYFUNCTION("""COMPUTED_VALUE"""),"Williams")</f>
        <v>Williams</v>
      </c>
      <c r="AA38" s="8">
        <v>0.0</v>
      </c>
      <c r="AB38" s="3">
        <f t="shared" si="7"/>
        <v>0</v>
      </c>
      <c r="AC38" s="3">
        <f t="shared" si="8"/>
        <v>1</v>
      </c>
      <c r="AD38" s="3">
        <f t="shared" si="9"/>
        <v>2.12</v>
      </c>
      <c r="AE38" s="3">
        <f t="shared" si="10"/>
        <v>2.12</v>
      </c>
      <c r="AF38" s="3">
        <f t="shared" si="11"/>
        <v>2.12</v>
      </c>
      <c r="AG38" s="3">
        <f t="shared" si="12"/>
        <v>1</v>
      </c>
    </row>
    <row r="39">
      <c r="A39" s="1" t="s">
        <v>8</v>
      </c>
      <c r="B39" s="1" t="s">
        <v>274</v>
      </c>
      <c r="C39" s="1" t="s">
        <v>21</v>
      </c>
      <c r="D39" s="1" t="s">
        <v>99</v>
      </c>
      <c r="E39" s="1" t="s">
        <v>157</v>
      </c>
      <c r="F39" s="1" t="s">
        <v>687</v>
      </c>
      <c r="G39" s="1">
        <v>4.5</v>
      </c>
      <c r="H39" s="1" t="s">
        <v>60</v>
      </c>
      <c r="I39" s="1">
        <v>109.0</v>
      </c>
      <c r="J39" s="1">
        <v>-0.123211348349445</v>
      </c>
      <c r="K39" s="1" t="s">
        <v>61</v>
      </c>
      <c r="L39" s="1" t="s">
        <v>61</v>
      </c>
      <c r="M39" s="1" t="s">
        <v>62</v>
      </c>
      <c r="N39" s="1">
        <v>-146.0</v>
      </c>
      <c r="O39" s="1">
        <v>0.051252371281233</v>
      </c>
      <c r="P39" s="1" t="s">
        <v>61</v>
      </c>
      <c r="Q39" s="1" t="s">
        <v>61</v>
      </c>
      <c r="R39" s="1">
        <f t="shared" si="1"/>
        <v>0.05125237128</v>
      </c>
      <c r="S39" s="1">
        <f t="shared" si="2"/>
        <v>-146</v>
      </c>
      <c r="T39" s="1">
        <f t="shared" si="3"/>
        <v>1.684931507</v>
      </c>
      <c r="U39" s="1">
        <f t="shared" si="4"/>
        <v>0</v>
      </c>
      <c r="V39" s="3">
        <f t="shared" si="5"/>
        <v>2</v>
      </c>
      <c r="W39" s="3">
        <f t="shared" si="6"/>
        <v>3</v>
      </c>
      <c r="X39" s="3" t="str">
        <f>IFERROR(__xludf.DUMMYFUNCTION("split(B39,"" "")"),"C.")</f>
        <v>C.</v>
      </c>
      <c r="Y39" s="3" t="str">
        <f>IFERROR(__xludf.DUMMYFUNCTION("""COMPUTED_VALUE"""),"Williams")</f>
        <v>Williams</v>
      </c>
      <c r="AA39" s="8">
        <v>9.0</v>
      </c>
      <c r="AB39" s="3">
        <f t="shared" si="7"/>
        <v>1</v>
      </c>
      <c r="AC39" s="3">
        <f t="shared" si="8"/>
        <v>0</v>
      </c>
      <c r="AD39" s="3">
        <f t="shared" si="9"/>
        <v>1.369863014</v>
      </c>
      <c r="AE39" s="3">
        <f t="shared" si="10"/>
        <v>-2</v>
      </c>
      <c r="AF39" s="3">
        <f t="shared" si="11"/>
        <v>-3</v>
      </c>
      <c r="AG39" s="3">
        <f t="shared" si="12"/>
        <v>-1</v>
      </c>
    </row>
    <row r="40">
      <c r="A40" s="1" t="s">
        <v>9</v>
      </c>
      <c r="B40" s="1" t="s">
        <v>98</v>
      </c>
      <c r="C40" s="1" t="s">
        <v>19</v>
      </c>
      <c r="D40" s="1" t="s">
        <v>99</v>
      </c>
      <c r="E40" s="1" t="s">
        <v>157</v>
      </c>
      <c r="F40" s="1" t="s">
        <v>687</v>
      </c>
      <c r="G40" s="1">
        <v>88.5</v>
      </c>
      <c r="H40" s="1" t="s">
        <v>60</v>
      </c>
      <c r="I40" s="1">
        <v>-115.0</v>
      </c>
      <c r="J40" s="1">
        <v>-0.10677546670635</v>
      </c>
      <c r="K40" s="1" t="s">
        <v>61</v>
      </c>
      <c r="L40" s="1" t="s">
        <v>61</v>
      </c>
      <c r="M40" s="1" t="s">
        <v>62</v>
      </c>
      <c r="N40" s="1">
        <v>-117.0</v>
      </c>
      <c r="O40" s="1">
        <v>0.0327184834257259</v>
      </c>
      <c r="P40" s="1" t="s">
        <v>61</v>
      </c>
      <c r="Q40" s="1" t="s">
        <v>61</v>
      </c>
      <c r="R40" s="1">
        <f t="shared" si="1"/>
        <v>0.03271848343</v>
      </c>
      <c r="S40" s="1">
        <f t="shared" si="2"/>
        <v>-117</v>
      </c>
      <c r="T40" s="1">
        <f t="shared" si="3"/>
        <v>1.854700855</v>
      </c>
      <c r="U40" s="1">
        <f t="shared" si="4"/>
        <v>0</v>
      </c>
      <c r="V40" s="3">
        <f t="shared" si="5"/>
        <v>1</v>
      </c>
      <c r="W40" s="3">
        <f t="shared" si="6"/>
        <v>2</v>
      </c>
      <c r="X40" s="3" t="str">
        <f>IFERROR(__xludf.DUMMYFUNCTION("split(B40,"" "")"),"D.")</f>
        <v>D.</v>
      </c>
      <c r="Y40" s="3" t="str">
        <f>IFERROR(__xludf.DUMMYFUNCTION("""COMPUTED_VALUE"""),"Swift")</f>
        <v>Swift</v>
      </c>
      <c r="AA40" s="8">
        <v>84.0</v>
      </c>
      <c r="AB40" s="3">
        <f t="shared" si="7"/>
        <v>0</v>
      </c>
      <c r="AC40" s="3">
        <f t="shared" si="8"/>
        <v>1</v>
      </c>
      <c r="AD40" s="3">
        <f t="shared" si="9"/>
        <v>0.8547008547</v>
      </c>
      <c r="AE40" s="3">
        <f t="shared" si="10"/>
        <v>0.8547008547</v>
      </c>
      <c r="AF40" s="3">
        <f t="shared" si="11"/>
        <v>1.709401709</v>
      </c>
      <c r="AG40" s="3">
        <f t="shared" si="12"/>
        <v>0.05084745763</v>
      </c>
    </row>
    <row r="41">
      <c r="A41" s="1" t="s">
        <v>11</v>
      </c>
      <c r="B41" s="1" t="s">
        <v>268</v>
      </c>
      <c r="C41" s="1" t="s">
        <v>18</v>
      </c>
      <c r="D41" s="1" t="s">
        <v>99</v>
      </c>
      <c r="E41" s="1" t="s">
        <v>157</v>
      </c>
      <c r="F41" s="1" t="s">
        <v>687</v>
      </c>
      <c r="G41" s="1">
        <v>38.5</v>
      </c>
      <c r="H41" s="1" t="s">
        <v>60</v>
      </c>
      <c r="I41" s="1">
        <v>-114.0</v>
      </c>
      <c r="J41" s="1">
        <v>-0.0961579345489253</v>
      </c>
      <c r="K41" s="1" t="s">
        <v>61</v>
      </c>
      <c r="L41" s="1" t="s">
        <v>61</v>
      </c>
      <c r="M41" s="1" t="s">
        <v>62</v>
      </c>
      <c r="N41" s="1">
        <v>-115.0</v>
      </c>
      <c r="O41" s="1">
        <v>0.0285556057316769</v>
      </c>
      <c r="P41" s="1" t="s">
        <v>61</v>
      </c>
      <c r="Q41" s="1" t="s">
        <v>61</v>
      </c>
      <c r="R41" s="1">
        <f t="shared" si="1"/>
        <v>0.02855560573</v>
      </c>
      <c r="S41" s="1">
        <f t="shared" si="2"/>
        <v>-115</v>
      </c>
      <c r="T41" s="1">
        <f t="shared" si="3"/>
        <v>1.869565217</v>
      </c>
      <c r="U41" s="1">
        <f t="shared" si="4"/>
        <v>0</v>
      </c>
      <c r="V41" s="3">
        <f t="shared" si="5"/>
        <v>1</v>
      </c>
      <c r="W41" s="3">
        <f t="shared" si="6"/>
        <v>2</v>
      </c>
      <c r="X41" s="3" t="str">
        <f>IFERROR(__xludf.DUMMYFUNCTION("split(B41,"" "")"),"K.")</f>
        <v>K.</v>
      </c>
      <c r="Y41" s="3" t="str">
        <f>IFERROR(__xludf.DUMMYFUNCTION("""COMPUTED_VALUE"""),"Allen")</f>
        <v>Allen</v>
      </c>
      <c r="AA41" s="8">
        <v>41.0</v>
      </c>
      <c r="AB41" s="3">
        <f t="shared" si="7"/>
        <v>1</v>
      </c>
      <c r="AC41" s="3">
        <f t="shared" si="8"/>
        <v>0</v>
      </c>
      <c r="AD41" s="3">
        <f t="shared" si="9"/>
        <v>0.8695652174</v>
      </c>
      <c r="AE41" s="3">
        <f t="shared" si="10"/>
        <v>-1</v>
      </c>
      <c r="AF41" s="3">
        <f t="shared" si="11"/>
        <v>-2</v>
      </c>
      <c r="AG41" s="3">
        <f t="shared" si="12"/>
        <v>-0.06493506494</v>
      </c>
    </row>
    <row r="42">
      <c r="A42" s="1" t="s">
        <v>10</v>
      </c>
      <c r="B42" s="1" t="s">
        <v>98</v>
      </c>
      <c r="C42" s="1" t="s">
        <v>19</v>
      </c>
      <c r="D42" s="1" t="s">
        <v>99</v>
      </c>
      <c r="E42" s="1" t="s">
        <v>157</v>
      </c>
      <c r="F42" s="1" t="s">
        <v>687</v>
      </c>
      <c r="G42" s="1">
        <v>67.5</v>
      </c>
      <c r="H42" s="1" t="s">
        <v>60</v>
      </c>
      <c r="I42" s="1">
        <v>-114.0</v>
      </c>
      <c r="J42" s="1">
        <v>-0.0826431991714635</v>
      </c>
      <c r="K42" s="1" t="s">
        <v>61</v>
      </c>
      <c r="L42" s="1" t="s">
        <v>61</v>
      </c>
      <c r="M42" s="1" t="s">
        <v>62</v>
      </c>
      <c r="N42" s="1">
        <v>-113.0</v>
      </c>
      <c r="O42" s="1">
        <v>0.0194466363898223</v>
      </c>
      <c r="P42" s="1" t="s">
        <v>61</v>
      </c>
      <c r="Q42" s="1" t="s">
        <v>61</v>
      </c>
      <c r="R42" s="1">
        <f t="shared" si="1"/>
        <v>0.01944663639</v>
      </c>
      <c r="S42" s="1">
        <f t="shared" si="2"/>
        <v>-113</v>
      </c>
      <c r="T42" s="1">
        <f t="shared" si="3"/>
        <v>1.884955752</v>
      </c>
      <c r="U42" s="1">
        <f t="shared" si="4"/>
        <v>0</v>
      </c>
      <c r="V42" s="3">
        <f t="shared" si="5"/>
        <v>1</v>
      </c>
      <c r="W42" s="3">
        <f t="shared" si="6"/>
        <v>2</v>
      </c>
      <c r="X42" s="3" t="str">
        <f>IFERROR(__xludf.DUMMYFUNCTION("split(B42,"" "")"),"D.")</f>
        <v>D.</v>
      </c>
      <c r="Y42" s="3" t="str">
        <f>IFERROR(__xludf.DUMMYFUNCTION("""COMPUTED_VALUE"""),"Swift")</f>
        <v>Swift</v>
      </c>
      <c r="AA42" s="8">
        <v>71.0</v>
      </c>
      <c r="AB42" s="3">
        <f t="shared" si="7"/>
        <v>1</v>
      </c>
      <c r="AC42" s="3">
        <f t="shared" si="8"/>
        <v>0</v>
      </c>
      <c r="AD42" s="3">
        <f t="shared" si="9"/>
        <v>0.8849557522</v>
      </c>
      <c r="AE42" s="3">
        <f t="shared" si="10"/>
        <v>-1</v>
      </c>
      <c r="AF42" s="3">
        <f t="shared" si="11"/>
        <v>-2</v>
      </c>
      <c r="AG42" s="3">
        <f t="shared" si="12"/>
        <v>-0.05185185185</v>
      </c>
    </row>
    <row r="43">
      <c r="A43" s="1" t="s">
        <v>11</v>
      </c>
      <c r="B43" s="1" t="s">
        <v>98</v>
      </c>
      <c r="C43" s="1" t="s">
        <v>19</v>
      </c>
      <c r="D43" s="1" t="s">
        <v>99</v>
      </c>
      <c r="E43" s="1" t="s">
        <v>157</v>
      </c>
      <c r="F43" s="1" t="s">
        <v>687</v>
      </c>
      <c r="G43" s="1">
        <v>16.5</v>
      </c>
      <c r="H43" s="1" t="s">
        <v>60</v>
      </c>
      <c r="I43" s="1">
        <v>-115.0</v>
      </c>
      <c r="J43" s="1">
        <v>-0.0821629756349893</v>
      </c>
      <c r="K43" s="1" t="s">
        <v>61</v>
      </c>
      <c r="L43" s="1" t="s">
        <v>61</v>
      </c>
      <c r="M43" s="1" t="s">
        <v>62</v>
      </c>
      <c r="N43" s="1">
        <v>-114.0</v>
      </c>
      <c r="O43" s="1">
        <v>0.0146386230286724</v>
      </c>
      <c r="P43" s="1" t="s">
        <v>61</v>
      </c>
      <c r="Q43" s="1" t="s">
        <v>61</v>
      </c>
      <c r="R43" s="1">
        <f t="shared" si="1"/>
        <v>0.01463862303</v>
      </c>
      <c r="S43" s="1">
        <f t="shared" si="2"/>
        <v>-114</v>
      </c>
      <c r="T43" s="1">
        <f t="shared" si="3"/>
        <v>1.877192982</v>
      </c>
      <c r="U43" s="1">
        <f t="shared" si="4"/>
        <v>0</v>
      </c>
      <c r="V43" s="3">
        <f t="shared" si="5"/>
        <v>1</v>
      </c>
      <c r="W43" s="3">
        <f t="shared" si="6"/>
        <v>2</v>
      </c>
      <c r="X43" s="3" t="str">
        <f>IFERROR(__xludf.DUMMYFUNCTION("split(B43,"" "")"),"D.")</f>
        <v>D.</v>
      </c>
      <c r="Y43" s="3" t="str">
        <f>IFERROR(__xludf.DUMMYFUNCTION("""COMPUTED_VALUE"""),"Swift")</f>
        <v>Swift</v>
      </c>
      <c r="AA43" s="8">
        <v>13.0</v>
      </c>
      <c r="AB43" s="3">
        <f t="shared" si="7"/>
        <v>0</v>
      </c>
      <c r="AC43" s="3">
        <f t="shared" si="8"/>
        <v>1</v>
      </c>
      <c r="AD43" s="3">
        <f t="shared" si="9"/>
        <v>0.8771929825</v>
      </c>
      <c r="AE43" s="3">
        <f t="shared" si="10"/>
        <v>0.8771929825</v>
      </c>
      <c r="AF43" s="3">
        <f t="shared" si="11"/>
        <v>1.754385965</v>
      </c>
      <c r="AG43" s="3">
        <f t="shared" si="12"/>
        <v>0.2121212121</v>
      </c>
    </row>
    <row r="44">
      <c r="A44" s="1" t="s">
        <v>10</v>
      </c>
      <c r="B44" s="1" t="s">
        <v>274</v>
      </c>
      <c r="C44" s="1" t="s">
        <v>21</v>
      </c>
      <c r="D44" s="1" t="s">
        <v>99</v>
      </c>
      <c r="E44" s="1" t="s">
        <v>157</v>
      </c>
      <c r="F44" s="1" t="s">
        <v>687</v>
      </c>
      <c r="G44" s="1">
        <v>20.5</v>
      </c>
      <c r="H44" s="1" t="s">
        <v>60</v>
      </c>
      <c r="I44" s="1">
        <v>-116.0</v>
      </c>
      <c r="J44" s="1">
        <v>-0.0820223768380292</v>
      </c>
      <c r="K44" s="1" t="s">
        <v>61</v>
      </c>
      <c r="L44" s="1" t="s">
        <v>61</v>
      </c>
      <c r="M44" s="1" t="s">
        <v>62</v>
      </c>
      <c r="N44" s="1">
        <v>-113.0</v>
      </c>
      <c r="O44" s="1">
        <v>0.0145397264724232</v>
      </c>
      <c r="P44" s="1" t="s">
        <v>61</v>
      </c>
      <c r="Q44" s="1" t="s">
        <v>61</v>
      </c>
      <c r="R44" s="1">
        <f t="shared" si="1"/>
        <v>0.01453972647</v>
      </c>
      <c r="S44" s="1">
        <f t="shared" si="2"/>
        <v>-113</v>
      </c>
      <c r="T44" s="1">
        <f t="shared" si="3"/>
        <v>1.884955752</v>
      </c>
      <c r="U44" s="1">
        <f t="shared" si="4"/>
        <v>0</v>
      </c>
      <c r="V44" s="3">
        <f t="shared" si="5"/>
        <v>1</v>
      </c>
      <c r="W44" s="3">
        <f t="shared" si="6"/>
        <v>2</v>
      </c>
      <c r="X44" s="3" t="str">
        <f>IFERROR(__xludf.DUMMYFUNCTION("split(B44,"" "")"),"C.")</f>
        <v>C.</v>
      </c>
      <c r="Y44" s="3" t="str">
        <f>IFERROR(__xludf.DUMMYFUNCTION("""COMPUTED_VALUE"""),"Williams")</f>
        <v>Williams</v>
      </c>
      <c r="AA44" s="8">
        <v>70.0</v>
      </c>
      <c r="AB44" s="3">
        <f t="shared" si="7"/>
        <v>1</v>
      </c>
      <c r="AC44" s="3">
        <f t="shared" si="8"/>
        <v>0</v>
      </c>
      <c r="AD44" s="3">
        <f t="shared" si="9"/>
        <v>0.8849557522</v>
      </c>
      <c r="AE44" s="3">
        <f t="shared" si="10"/>
        <v>-1</v>
      </c>
      <c r="AF44" s="3">
        <f t="shared" si="11"/>
        <v>-2</v>
      </c>
      <c r="AG44" s="3">
        <f t="shared" si="12"/>
        <v>-2.414634146</v>
      </c>
    </row>
    <row r="45">
      <c r="A45" s="1" t="s">
        <v>16</v>
      </c>
      <c r="B45" s="1" t="s">
        <v>274</v>
      </c>
      <c r="C45" s="1" t="s">
        <v>21</v>
      </c>
      <c r="D45" s="1" t="s">
        <v>99</v>
      </c>
      <c r="E45" s="1" t="s">
        <v>157</v>
      </c>
      <c r="F45" s="1" t="s">
        <v>687</v>
      </c>
      <c r="G45" s="1">
        <v>30.5</v>
      </c>
      <c r="H45" s="1" t="s">
        <v>60</v>
      </c>
      <c r="I45" s="1">
        <v>-119.0</v>
      </c>
      <c r="J45" s="1">
        <v>-0.0797753720091322</v>
      </c>
      <c r="K45" s="1" t="s">
        <v>61</v>
      </c>
      <c r="L45" s="1" t="s">
        <v>61</v>
      </c>
      <c r="M45" s="1" t="s">
        <v>62</v>
      </c>
      <c r="N45" s="1">
        <v>-111.0</v>
      </c>
      <c r="O45" s="1">
        <v>0.0103294747947867</v>
      </c>
      <c r="P45" s="1" t="s">
        <v>61</v>
      </c>
      <c r="Q45" s="1" t="s">
        <v>61</v>
      </c>
      <c r="R45" s="1">
        <f t="shared" si="1"/>
        <v>0.01032947479</v>
      </c>
      <c r="S45" s="1">
        <f t="shared" si="2"/>
        <v>-111</v>
      </c>
      <c r="T45" s="1">
        <f t="shared" si="3"/>
        <v>1.900900901</v>
      </c>
      <c r="U45" s="1">
        <f t="shared" si="4"/>
        <v>0</v>
      </c>
      <c r="V45" s="3">
        <f t="shared" si="5"/>
        <v>1</v>
      </c>
      <c r="W45" s="3">
        <f t="shared" si="6"/>
        <v>2</v>
      </c>
      <c r="X45" s="3" t="str">
        <f>IFERROR(__xludf.DUMMYFUNCTION("split(B45,"" "")"),"C.")</f>
        <v>C.</v>
      </c>
      <c r="Y45" s="3" t="str">
        <f>IFERROR(__xludf.DUMMYFUNCTION("""COMPUTED_VALUE"""),"Williams")</f>
        <v>Williams</v>
      </c>
      <c r="AA45" s="8">
        <v>31.0</v>
      </c>
      <c r="AB45" s="3">
        <f t="shared" si="7"/>
        <v>1</v>
      </c>
      <c r="AC45" s="3">
        <f t="shared" si="8"/>
        <v>0</v>
      </c>
      <c r="AD45" s="3">
        <f t="shared" si="9"/>
        <v>0.9009009009</v>
      </c>
      <c r="AE45" s="3">
        <f t="shared" si="10"/>
        <v>-1</v>
      </c>
      <c r="AF45" s="3">
        <f t="shared" si="11"/>
        <v>-2</v>
      </c>
      <c r="AG45" s="3">
        <f t="shared" si="12"/>
        <v>-0.01639344262</v>
      </c>
    </row>
    <row r="46">
      <c r="A46" s="1" t="s">
        <v>11</v>
      </c>
      <c r="B46" s="1" t="s">
        <v>231</v>
      </c>
      <c r="C46" s="1" t="s">
        <v>20</v>
      </c>
      <c r="D46" s="1" t="s">
        <v>99</v>
      </c>
      <c r="E46" s="1" t="s">
        <v>157</v>
      </c>
      <c r="F46" s="1" t="s">
        <v>687</v>
      </c>
      <c r="G46" s="1">
        <v>24.5</v>
      </c>
      <c r="H46" s="1" t="s">
        <v>60</v>
      </c>
      <c r="I46" s="1">
        <v>-118.0</v>
      </c>
      <c r="J46" s="1">
        <v>-0.0673551210344495</v>
      </c>
      <c r="K46" s="1" t="s">
        <v>61</v>
      </c>
      <c r="L46" s="1" t="s">
        <v>61</v>
      </c>
      <c r="M46" s="1" t="s">
        <v>62</v>
      </c>
      <c r="N46" s="1">
        <v>-109.0</v>
      </c>
      <c r="O46" s="1">
        <v>0.00461776966605698</v>
      </c>
      <c r="P46" s="1" t="s">
        <v>61</v>
      </c>
      <c r="Q46" s="1" t="s">
        <v>61</v>
      </c>
      <c r="R46" s="1">
        <f t="shared" si="1"/>
        <v>0.004617769666</v>
      </c>
      <c r="S46" s="1">
        <f t="shared" si="2"/>
        <v>-109</v>
      </c>
      <c r="T46" s="1">
        <f t="shared" si="3"/>
        <v>1.917431193</v>
      </c>
      <c r="U46" s="1">
        <f t="shared" si="4"/>
        <v>0</v>
      </c>
      <c r="V46" s="3">
        <f t="shared" si="5"/>
        <v>1</v>
      </c>
      <c r="W46" s="3">
        <f t="shared" si="6"/>
        <v>2</v>
      </c>
      <c r="X46" s="3" t="str">
        <f>IFERROR(__xludf.DUMMYFUNCTION("split(B46,"" "")"),"C.")</f>
        <v>C.</v>
      </c>
      <c r="Y46" s="3" t="str">
        <f>IFERROR(__xludf.DUMMYFUNCTION("""COMPUTED_VALUE"""),"Kmet")</f>
        <v>Kmet</v>
      </c>
      <c r="AA46" s="8">
        <v>42.0</v>
      </c>
      <c r="AB46" s="3">
        <f t="shared" si="7"/>
        <v>1</v>
      </c>
      <c r="AC46" s="3">
        <f t="shared" si="8"/>
        <v>0</v>
      </c>
      <c r="AD46" s="3">
        <f t="shared" si="9"/>
        <v>0.9174311927</v>
      </c>
      <c r="AE46" s="3">
        <f t="shared" si="10"/>
        <v>-1</v>
      </c>
      <c r="AF46" s="3">
        <f t="shared" si="11"/>
        <v>-2</v>
      </c>
      <c r="AG46" s="3">
        <f t="shared" si="12"/>
        <v>-0.7142857143</v>
      </c>
    </row>
    <row r="47">
      <c r="A47" s="1" t="s">
        <v>8</v>
      </c>
      <c r="B47" s="1" t="s">
        <v>98</v>
      </c>
      <c r="C47" s="1" t="s">
        <v>19</v>
      </c>
      <c r="D47" s="1" t="s">
        <v>99</v>
      </c>
      <c r="E47" s="1" t="s">
        <v>157</v>
      </c>
      <c r="F47" s="1" t="s">
        <v>687</v>
      </c>
      <c r="G47" s="1">
        <v>16.5</v>
      </c>
      <c r="H47" s="1" t="s">
        <v>60</v>
      </c>
      <c r="I47" s="1">
        <v>-127.0</v>
      </c>
      <c r="J47" s="1">
        <v>-0.077402405814978</v>
      </c>
      <c r="K47" s="1" t="s">
        <v>61</v>
      </c>
      <c r="L47" s="1" t="s">
        <v>61</v>
      </c>
      <c r="M47" s="1" t="s">
        <v>62</v>
      </c>
      <c r="N47" s="1">
        <v>-106.0</v>
      </c>
      <c r="O47" s="1">
        <v>0.00338995576310685</v>
      </c>
      <c r="P47" s="1" t="s">
        <v>61</v>
      </c>
      <c r="Q47" s="1" t="s">
        <v>61</v>
      </c>
      <c r="R47" s="1">
        <f t="shared" si="1"/>
        <v>0.003389955763</v>
      </c>
      <c r="S47" s="1">
        <f t="shared" si="2"/>
        <v>-106</v>
      </c>
      <c r="T47" s="1">
        <f t="shared" si="3"/>
        <v>1.943396226</v>
      </c>
      <c r="U47" s="1">
        <f t="shared" si="4"/>
        <v>0</v>
      </c>
      <c r="V47" s="3">
        <f t="shared" si="5"/>
        <v>1</v>
      </c>
      <c r="W47" s="3">
        <f t="shared" si="6"/>
        <v>2</v>
      </c>
      <c r="X47" s="3" t="str">
        <f>IFERROR(__xludf.DUMMYFUNCTION("split(B47,"" "")"),"D.")</f>
        <v>D.</v>
      </c>
      <c r="Y47" s="3" t="str">
        <f>IFERROR(__xludf.DUMMYFUNCTION("""COMPUTED_VALUE"""),"Swift")</f>
        <v>Swift</v>
      </c>
      <c r="AA47" s="8">
        <v>14.0</v>
      </c>
      <c r="AB47" s="3">
        <f t="shared" si="7"/>
        <v>0</v>
      </c>
      <c r="AC47" s="3">
        <f t="shared" si="8"/>
        <v>1</v>
      </c>
      <c r="AD47" s="3">
        <f t="shared" si="9"/>
        <v>0.9433962264</v>
      </c>
      <c r="AE47" s="3">
        <f t="shared" si="10"/>
        <v>0.9433962264</v>
      </c>
      <c r="AF47" s="3">
        <f t="shared" si="11"/>
        <v>1.886792453</v>
      </c>
      <c r="AG47" s="3">
        <f t="shared" si="12"/>
        <v>0.1515151515</v>
      </c>
    </row>
    <row r="48">
      <c r="A48" s="1" t="s">
        <v>11</v>
      </c>
      <c r="B48" s="1" t="s">
        <v>191</v>
      </c>
      <c r="C48" s="1" t="s">
        <v>18</v>
      </c>
      <c r="D48" s="1" t="s">
        <v>99</v>
      </c>
      <c r="E48" s="1" t="s">
        <v>157</v>
      </c>
      <c r="F48" s="1" t="s">
        <v>687</v>
      </c>
      <c r="G48" s="1">
        <v>33.5</v>
      </c>
      <c r="H48" s="1" t="s">
        <v>60</v>
      </c>
      <c r="I48" s="1">
        <v>-117.0</v>
      </c>
      <c r="J48" s="1">
        <v>-0.0678563675407836</v>
      </c>
      <c r="K48" s="1" t="s">
        <v>61</v>
      </c>
      <c r="L48" s="1" t="s">
        <v>61</v>
      </c>
      <c r="M48" s="1" t="s">
        <v>62</v>
      </c>
      <c r="N48" s="1">
        <v>-112.0</v>
      </c>
      <c r="O48" s="1">
        <v>3.80729896490628E-4</v>
      </c>
      <c r="P48" s="1" t="s">
        <v>61</v>
      </c>
      <c r="Q48" s="1" t="s">
        <v>61</v>
      </c>
      <c r="R48" s="1">
        <f t="shared" si="1"/>
        <v>0.0003807298965</v>
      </c>
      <c r="S48" s="1">
        <f t="shared" si="2"/>
        <v>-112</v>
      </c>
      <c r="T48" s="1">
        <f t="shared" si="3"/>
        <v>1.892857143</v>
      </c>
      <c r="U48" s="1">
        <f t="shared" si="4"/>
        <v>0</v>
      </c>
      <c r="V48" s="3">
        <f t="shared" si="5"/>
        <v>1</v>
      </c>
      <c r="W48" s="3">
        <f t="shared" si="6"/>
        <v>2</v>
      </c>
      <c r="X48" s="3" t="str">
        <f>IFERROR(__xludf.DUMMYFUNCTION("split(B48,"" "")"),"R.")</f>
        <v>R.</v>
      </c>
      <c r="Y48" s="3" t="str">
        <f>IFERROR(__xludf.DUMMYFUNCTION("""COMPUTED_VALUE"""),"Odunze")</f>
        <v>Odunze</v>
      </c>
      <c r="AA48" s="8">
        <v>65.0</v>
      </c>
      <c r="AB48" s="3">
        <f t="shared" si="7"/>
        <v>1</v>
      </c>
      <c r="AC48" s="3">
        <f t="shared" si="8"/>
        <v>0</v>
      </c>
      <c r="AD48" s="3">
        <f t="shared" si="9"/>
        <v>0.8928571429</v>
      </c>
      <c r="AE48" s="3">
        <f t="shared" si="10"/>
        <v>-1</v>
      </c>
      <c r="AF48" s="3">
        <f t="shared" si="11"/>
        <v>-2</v>
      </c>
      <c r="AG48" s="3">
        <f t="shared" si="12"/>
        <v>-0.9402985075</v>
      </c>
    </row>
    <row r="49">
      <c r="A49" s="1" t="s">
        <v>12</v>
      </c>
      <c r="B49" s="1" t="s">
        <v>389</v>
      </c>
      <c r="C49" s="1" t="s">
        <v>18</v>
      </c>
      <c r="D49" s="1" t="s">
        <v>67</v>
      </c>
      <c r="E49" s="1" t="s">
        <v>135</v>
      </c>
      <c r="F49" s="1" t="s">
        <v>689</v>
      </c>
      <c r="G49" s="1">
        <v>6.5</v>
      </c>
      <c r="H49" s="1" t="s">
        <v>60</v>
      </c>
      <c r="I49" s="1">
        <v>-146.0</v>
      </c>
      <c r="J49" s="1">
        <v>0.115944715447154</v>
      </c>
      <c r="K49" s="1" t="s">
        <v>61</v>
      </c>
      <c r="L49" s="1" t="s">
        <v>61</v>
      </c>
      <c r="M49" s="1" t="s">
        <v>62</v>
      </c>
      <c r="N49" s="1">
        <v>111.0</v>
      </c>
      <c r="O49" s="1">
        <v>-0.183381042654028</v>
      </c>
      <c r="P49" s="1" t="s">
        <v>61</v>
      </c>
      <c r="Q49" s="1" t="s">
        <v>61</v>
      </c>
      <c r="R49" s="1">
        <f t="shared" si="1"/>
        <v>0.1159447154</v>
      </c>
      <c r="S49" s="1">
        <f t="shared" si="2"/>
        <v>-146</v>
      </c>
      <c r="T49" s="1">
        <f t="shared" si="3"/>
        <v>1.684931507</v>
      </c>
      <c r="U49" s="1">
        <f t="shared" si="4"/>
        <v>1</v>
      </c>
      <c r="V49" s="3">
        <f t="shared" si="5"/>
        <v>3</v>
      </c>
      <c r="W49" s="3">
        <f t="shared" si="6"/>
        <v>3</v>
      </c>
      <c r="X49" s="3" t="str">
        <f>IFERROR(__xludf.DUMMYFUNCTION("split(B49,"" "")"),"J.")</f>
        <v>J.</v>
      </c>
      <c r="Y49" s="3" t="str">
        <f>IFERROR(__xludf.DUMMYFUNCTION("""COMPUTED_VALUE"""),"Chase")</f>
        <v>Chase</v>
      </c>
      <c r="AA49" s="8">
        <v>7.0</v>
      </c>
      <c r="AB49" s="3">
        <f t="shared" si="7"/>
        <v>1</v>
      </c>
      <c r="AC49" s="3">
        <f t="shared" si="8"/>
        <v>1</v>
      </c>
      <c r="AD49" s="3">
        <f t="shared" si="9"/>
        <v>2.054794521</v>
      </c>
      <c r="AE49" s="3">
        <f t="shared" si="10"/>
        <v>2.054794521</v>
      </c>
      <c r="AF49" s="3">
        <f t="shared" si="11"/>
        <v>2.054794521</v>
      </c>
      <c r="AG49" s="3">
        <f t="shared" si="12"/>
        <v>0.07692307692</v>
      </c>
    </row>
    <row r="50">
      <c r="A50" s="1" t="s">
        <v>9</v>
      </c>
      <c r="B50" s="1" t="s">
        <v>293</v>
      </c>
      <c r="C50" s="1" t="s">
        <v>19</v>
      </c>
      <c r="D50" s="1" t="s">
        <v>67</v>
      </c>
      <c r="E50" s="1" t="s">
        <v>135</v>
      </c>
      <c r="F50" s="1" t="s">
        <v>689</v>
      </c>
      <c r="G50" s="1">
        <v>94.5</v>
      </c>
      <c r="H50" s="1" t="s">
        <v>60</v>
      </c>
      <c r="I50" s="1">
        <v>-114.0</v>
      </c>
      <c r="J50" s="1">
        <v>-0.168942540031869</v>
      </c>
      <c r="K50" s="1" t="s">
        <v>61</v>
      </c>
      <c r="L50" s="1" t="s">
        <v>61</v>
      </c>
      <c r="M50" s="1" t="s">
        <v>62</v>
      </c>
      <c r="N50" s="1">
        <v>-119.0</v>
      </c>
      <c r="O50" s="1">
        <v>0.092873290759434</v>
      </c>
      <c r="P50" s="1" t="s">
        <v>61</v>
      </c>
      <c r="Q50" s="1" t="s">
        <v>61</v>
      </c>
      <c r="R50" s="1">
        <f t="shared" si="1"/>
        <v>0.09287329076</v>
      </c>
      <c r="S50" s="1">
        <f t="shared" si="2"/>
        <v>-119</v>
      </c>
      <c r="T50" s="1">
        <f t="shared" si="3"/>
        <v>1.840336134</v>
      </c>
      <c r="U50" s="1">
        <f t="shared" si="4"/>
        <v>0</v>
      </c>
      <c r="V50" s="3">
        <f t="shared" si="5"/>
        <v>2</v>
      </c>
      <c r="W50" s="3">
        <f t="shared" si="6"/>
        <v>3</v>
      </c>
      <c r="X50" s="3" t="str">
        <f>IFERROR(__xludf.DUMMYFUNCTION("split(B50,"" "")"),"C.")</f>
        <v>C.</v>
      </c>
      <c r="Y50" s="3" t="str">
        <f>IFERROR(__xludf.DUMMYFUNCTION("""COMPUTED_VALUE"""),"Brown")</f>
        <v>Brown</v>
      </c>
      <c r="AA50" s="8">
        <v>143.0</v>
      </c>
      <c r="AB50" s="3">
        <f t="shared" si="7"/>
        <v>1</v>
      </c>
      <c r="AC50" s="3">
        <f t="shared" si="8"/>
        <v>0</v>
      </c>
      <c r="AD50" s="3">
        <f t="shared" si="9"/>
        <v>1.680672269</v>
      </c>
      <c r="AE50" s="3">
        <f t="shared" si="10"/>
        <v>-2</v>
      </c>
      <c r="AF50" s="3">
        <f t="shared" si="11"/>
        <v>-3</v>
      </c>
      <c r="AG50" s="3">
        <f t="shared" si="12"/>
        <v>-0.5132275132</v>
      </c>
    </row>
    <row r="51">
      <c r="A51" s="1" t="s">
        <v>11</v>
      </c>
      <c r="B51" s="1" t="s">
        <v>293</v>
      </c>
      <c r="C51" s="1" t="s">
        <v>19</v>
      </c>
      <c r="D51" s="1" t="s">
        <v>67</v>
      </c>
      <c r="E51" s="1" t="s">
        <v>135</v>
      </c>
      <c r="F51" s="1" t="s">
        <v>689</v>
      </c>
      <c r="G51" s="1">
        <v>28.5</v>
      </c>
      <c r="H51" s="1" t="s">
        <v>60</v>
      </c>
      <c r="I51" s="1">
        <v>-111.0</v>
      </c>
      <c r="J51" s="1">
        <v>-0.138435507209521</v>
      </c>
      <c r="K51" s="1" t="s">
        <v>61</v>
      </c>
      <c r="L51" s="1" t="s">
        <v>61</v>
      </c>
      <c r="M51" s="1" t="s">
        <v>62</v>
      </c>
      <c r="N51" s="1">
        <v>-118.0</v>
      </c>
      <c r="O51" s="1">
        <v>0.071108791674434</v>
      </c>
      <c r="P51" s="1" t="s">
        <v>61</v>
      </c>
      <c r="Q51" s="1" t="s">
        <v>61</v>
      </c>
      <c r="R51" s="1">
        <f t="shared" si="1"/>
        <v>0.07110879167</v>
      </c>
      <c r="S51" s="1">
        <f t="shared" si="2"/>
        <v>-118</v>
      </c>
      <c r="T51" s="1">
        <f t="shared" si="3"/>
        <v>1.847457627</v>
      </c>
      <c r="U51" s="1">
        <f t="shared" si="4"/>
        <v>0</v>
      </c>
      <c r="V51" s="3">
        <f t="shared" si="5"/>
        <v>2</v>
      </c>
      <c r="W51" s="3">
        <f t="shared" si="6"/>
        <v>3</v>
      </c>
      <c r="X51" s="3" t="str">
        <f>IFERROR(__xludf.DUMMYFUNCTION("split(B51,"" "")"),"C.")</f>
        <v>C.</v>
      </c>
      <c r="Y51" s="3" t="str">
        <f>IFERROR(__xludf.DUMMYFUNCTION("""COMPUTED_VALUE"""),"Brown")</f>
        <v>Brown</v>
      </c>
      <c r="AA51" s="8">
        <v>57.0</v>
      </c>
      <c r="AB51" s="3">
        <f t="shared" si="7"/>
        <v>1</v>
      </c>
      <c r="AC51" s="3">
        <f t="shared" si="8"/>
        <v>0</v>
      </c>
      <c r="AD51" s="3">
        <f t="shared" si="9"/>
        <v>1.694915254</v>
      </c>
      <c r="AE51" s="3">
        <f t="shared" si="10"/>
        <v>-2</v>
      </c>
      <c r="AF51" s="3">
        <f t="shared" si="11"/>
        <v>-3</v>
      </c>
      <c r="AG51" s="3">
        <f t="shared" si="12"/>
        <v>-1</v>
      </c>
    </row>
    <row r="52">
      <c r="A52" s="1" t="s">
        <v>10</v>
      </c>
      <c r="B52" s="1" t="s">
        <v>293</v>
      </c>
      <c r="C52" s="1" t="s">
        <v>19</v>
      </c>
      <c r="D52" s="1" t="s">
        <v>67</v>
      </c>
      <c r="E52" s="1" t="s">
        <v>135</v>
      </c>
      <c r="F52" s="1" t="s">
        <v>689</v>
      </c>
      <c r="G52" s="1">
        <v>61.5</v>
      </c>
      <c r="H52" s="1" t="s">
        <v>60</v>
      </c>
      <c r="I52" s="1">
        <v>-116.0</v>
      </c>
      <c r="J52" s="1">
        <v>-0.1230564089057</v>
      </c>
      <c r="K52" s="1" t="s">
        <v>61</v>
      </c>
      <c r="L52" s="1" t="s">
        <v>61</v>
      </c>
      <c r="M52" s="1" t="s">
        <v>62</v>
      </c>
      <c r="N52" s="1">
        <v>-111.0</v>
      </c>
      <c r="O52" s="1">
        <v>0.0599138265211698</v>
      </c>
      <c r="P52" s="1" t="s">
        <v>61</v>
      </c>
      <c r="Q52" s="1" t="s">
        <v>61</v>
      </c>
      <c r="R52" s="1">
        <f t="shared" si="1"/>
        <v>0.05991382652</v>
      </c>
      <c r="S52" s="1">
        <f t="shared" si="2"/>
        <v>-111</v>
      </c>
      <c r="T52" s="1">
        <f t="shared" si="3"/>
        <v>1.900900901</v>
      </c>
      <c r="U52" s="1">
        <f t="shared" si="4"/>
        <v>0</v>
      </c>
      <c r="V52" s="3">
        <f t="shared" si="5"/>
        <v>2</v>
      </c>
      <c r="W52" s="3">
        <f t="shared" si="6"/>
        <v>2</v>
      </c>
      <c r="X52" s="3" t="str">
        <f>IFERROR(__xludf.DUMMYFUNCTION("split(B52,"" "")"),"C.")</f>
        <v>C.</v>
      </c>
      <c r="Y52" s="3" t="str">
        <f>IFERROR(__xludf.DUMMYFUNCTION("""COMPUTED_VALUE"""),"Brown")</f>
        <v>Brown</v>
      </c>
      <c r="AA52" s="8">
        <v>86.0</v>
      </c>
      <c r="AB52" s="3">
        <f t="shared" si="7"/>
        <v>1</v>
      </c>
      <c r="AC52" s="3">
        <f t="shared" si="8"/>
        <v>0</v>
      </c>
      <c r="AD52" s="3">
        <f t="shared" si="9"/>
        <v>1.801801802</v>
      </c>
      <c r="AE52" s="3">
        <f t="shared" si="10"/>
        <v>-2</v>
      </c>
      <c r="AF52" s="3">
        <f t="shared" si="11"/>
        <v>-2</v>
      </c>
      <c r="AG52" s="3">
        <f t="shared" si="12"/>
        <v>-0.3983739837</v>
      </c>
    </row>
    <row r="53">
      <c r="A53" s="1" t="s">
        <v>17</v>
      </c>
      <c r="B53" s="1" t="s">
        <v>318</v>
      </c>
      <c r="C53" s="1" t="s">
        <v>21</v>
      </c>
      <c r="D53" s="1" t="s">
        <v>67</v>
      </c>
      <c r="E53" s="1" t="s">
        <v>135</v>
      </c>
      <c r="F53" s="1" t="s">
        <v>689</v>
      </c>
      <c r="G53" s="1">
        <v>0.5</v>
      </c>
      <c r="H53" s="1" t="s">
        <v>60</v>
      </c>
      <c r="I53" s="1">
        <v>-118.0</v>
      </c>
      <c r="J53" s="1">
        <v>-0.100684403669724</v>
      </c>
      <c r="K53" s="1" t="s">
        <v>61</v>
      </c>
      <c r="L53" s="1" t="s">
        <v>61</v>
      </c>
      <c r="M53" s="1" t="s">
        <v>62</v>
      </c>
      <c r="N53" s="1">
        <v>-111.0</v>
      </c>
      <c r="O53" s="1">
        <v>0.0333336492890995</v>
      </c>
      <c r="P53" s="1" t="s">
        <v>61</v>
      </c>
      <c r="Q53" s="1" t="s">
        <v>61</v>
      </c>
      <c r="R53" s="1">
        <f t="shared" si="1"/>
        <v>0.03333364929</v>
      </c>
      <c r="S53" s="1">
        <f t="shared" si="2"/>
        <v>-111</v>
      </c>
      <c r="T53" s="1">
        <f t="shared" si="3"/>
        <v>1.900900901</v>
      </c>
      <c r="U53" s="1">
        <f t="shared" si="4"/>
        <v>0</v>
      </c>
      <c r="V53" s="3">
        <f t="shared" si="5"/>
        <v>1</v>
      </c>
      <c r="W53" s="3">
        <f t="shared" si="6"/>
        <v>2</v>
      </c>
      <c r="X53" s="3" t="str">
        <f>IFERROR(__xludf.DUMMYFUNCTION("split(B53,"" "")"),"J.")</f>
        <v>J.</v>
      </c>
      <c r="Y53" s="3" t="str">
        <f>IFERROR(__xludf.DUMMYFUNCTION("""COMPUTED_VALUE"""),"Burrow")</f>
        <v>Burrow</v>
      </c>
      <c r="AA53" s="8">
        <v>0.0</v>
      </c>
      <c r="AB53" s="3">
        <f t="shared" si="7"/>
        <v>0</v>
      </c>
      <c r="AC53" s="3">
        <f t="shared" si="8"/>
        <v>1</v>
      </c>
      <c r="AD53" s="3">
        <f t="shared" si="9"/>
        <v>0.9009009009</v>
      </c>
      <c r="AE53" s="3">
        <f t="shared" si="10"/>
        <v>0.9009009009</v>
      </c>
      <c r="AF53" s="3">
        <f t="shared" si="11"/>
        <v>1.801801802</v>
      </c>
      <c r="AG53" s="3">
        <f t="shared" si="12"/>
        <v>1</v>
      </c>
    </row>
    <row r="54">
      <c r="A54" s="1" t="s">
        <v>15</v>
      </c>
      <c r="B54" s="1" t="s">
        <v>318</v>
      </c>
      <c r="C54" s="1" t="s">
        <v>21</v>
      </c>
      <c r="D54" s="1" t="s">
        <v>67</v>
      </c>
      <c r="E54" s="1" t="s">
        <v>135</v>
      </c>
      <c r="F54" s="1" t="s">
        <v>689</v>
      </c>
      <c r="G54" s="1">
        <v>25.5</v>
      </c>
      <c r="H54" s="1" t="s">
        <v>60</v>
      </c>
      <c r="I54" s="1">
        <v>100.0</v>
      </c>
      <c r="J54" s="1">
        <v>0.0264999999999999</v>
      </c>
      <c r="K54" s="1" t="s">
        <v>61</v>
      </c>
      <c r="L54" s="1" t="s">
        <v>61</v>
      </c>
      <c r="M54" s="1" t="s">
        <v>62</v>
      </c>
      <c r="N54" s="1">
        <v>-131.0</v>
      </c>
      <c r="O54" s="1">
        <v>-0.093599567099567</v>
      </c>
      <c r="P54" s="1" t="s">
        <v>61</v>
      </c>
      <c r="Q54" s="1" t="s">
        <v>61</v>
      </c>
      <c r="R54" s="1">
        <f t="shared" si="1"/>
        <v>0.0265</v>
      </c>
      <c r="S54" s="1">
        <f t="shared" si="2"/>
        <v>100</v>
      </c>
      <c r="T54" s="1">
        <f t="shared" si="3"/>
        <v>2</v>
      </c>
      <c r="U54" s="1">
        <f t="shared" si="4"/>
        <v>1</v>
      </c>
      <c r="V54" s="3">
        <f t="shared" si="5"/>
        <v>1</v>
      </c>
      <c r="W54" s="3">
        <f t="shared" si="6"/>
        <v>2</v>
      </c>
      <c r="X54" s="3" t="str">
        <f>IFERROR(__xludf.DUMMYFUNCTION("split(B54,"" "")"),"J.")</f>
        <v>J.</v>
      </c>
      <c r="Y54" s="3" t="str">
        <f>IFERROR(__xludf.DUMMYFUNCTION("""COMPUTED_VALUE"""),"Burrow")</f>
        <v>Burrow</v>
      </c>
      <c r="AA54" s="8">
        <v>28.0</v>
      </c>
      <c r="AB54" s="3">
        <f t="shared" si="7"/>
        <v>1</v>
      </c>
      <c r="AC54" s="3">
        <f t="shared" si="8"/>
        <v>1</v>
      </c>
      <c r="AD54" s="3">
        <f t="shared" si="9"/>
        <v>1</v>
      </c>
      <c r="AE54" s="3">
        <f t="shared" si="10"/>
        <v>1</v>
      </c>
      <c r="AF54" s="3">
        <f t="shared" si="11"/>
        <v>2</v>
      </c>
      <c r="AG54" s="3">
        <f t="shared" si="12"/>
        <v>0.09803921569</v>
      </c>
    </row>
    <row r="55">
      <c r="A55" s="1" t="s">
        <v>14</v>
      </c>
      <c r="B55" s="1" t="s">
        <v>318</v>
      </c>
      <c r="C55" s="1" t="s">
        <v>21</v>
      </c>
      <c r="D55" s="1" t="s">
        <v>67</v>
      </c>
      <c r="E55" s="1" t="s">
        <v>135</v>
      </c>
      <c r="F55" s="1" t="s">
        <v>689</v>
      </c>
      <c r="G55" s="1">
        <v>1.5</v>
      </c>
      <c r="H55" s="1" t="s">
        <v>60</v>
      </c>
      <c r="I55" s="1">
        <v>-144.0</v>
      </c>
      <c r="J55" s="1">
        <v>-0.0917639344262295</v>
      </c>
      <c r="K55" s="1" t="s">
        <v>61</v>
      </c>
      <c r="L55" s="1" t="s">
        <v>61</v>
      </c>
      <c r="M55" s="1" t="s">
        <v>62</v>
      </c>
      <c r="N55" s="1">
        <v>109.0</v>
      </c>
      <c r="O55" s="1">
        <v>0.0231311004784688</v>
      </c>
      <c r="P55" s="1" t="s">
        <v>61</v>
      </c>
      <c r="Q55" s="1" t="s">
        <v>61</v>
      </c>
      <c r="R55" s="1">
        <f t="shared" si="1"/>
        <v>0.02313110048</v>
      </c>
      <c r="S55" s="1">
        <f t="shared" si="2"/>
        <v>109</v>
      </c>
      <c r="T55" s="1">
        <f t="shared" si="3"/>
        <v>2.09</v>
      </c>
      <c r="U55" s="1">
        <f t="shared" si="4"/>
        <v>0</v>
      </c>
      <c r="V55" s="3">
        <f t="shared" si="5"/>
        <v>1</v>
      </c>
      <c r="W55" s="3">
        <f t="shared" si="6"/>
        <v>2</v>
      </c>
      <c r="X55" s="3" t="str">
        <f>IFERROR(__xludf.DUMMYFUNCTION("split(B55,"" "")"),"J.")</f>
        <v>J.</v>
      </c>
      <c r="Y55" s="3" t="str">
        <f>IFERROR(__xludf.DUMMYFUNCTION("""COMPUTED_VALUE"""),"Burrow")</f>
        <v>Burrow</v>
      </c>
      <c r="AA55" s="8">
        <v>3.0</v>
      </c>
      <c r="AB55" s="3">
        <f t="shared" si="7"/>
        <v>1</v>
      </c>
      <c r="AC55" s="3">
        <f t="shared" si="8"/>
        <v>0</v>
      </c>
      <c r="AD55" s="3">
        <f t="shared" si="9"/>
        <v>1.09</v>
      </c>
      <c r="AE55" s="3">
        <f t="shared" si="10"/>
        <v>-1</v>
      </c>
      <c r="AF55" s="3">
        <f t="shared" si="11"/>
        <v>-2</v>
      </c>
      <c r="AG55" s="3">
        <f t="shared" si="12"/>
        <v>-1</v>
      </c>
    </row>
    <row r="56">
      <c r="A56" s="1" t="s">
        <v>8</v>
      </c>
      <c r="B56" s="1" t="s">
        <v>650</v>
      </c>
      <c r="C56" s="1" t="s">
        <v>21</v>
      </c>
      <c r="D56" s="1" t="s">
        <v>89</v>
      </c>
      <c r="E56" s="1" t="s">
        <v>58</v>
      </c>
      <c r="F56" s="1" t="s">
        <v>687</v>
      </c>
      <c r="G56" s="1">
        <v>3.5</v>
      </c>
      <c r="H56" s="1" t="s">
        <v>60</v>
      </c>
      <c r="I56" s="1">
        <v>-122.0</v>
      </c>
      <c r="J56" s="1">
        <v>-0.226644545419151</v>
      </c>
      <c r="K56" s="1" t="s">
        <v>61</v>
      </c>
      <c r="L56" s="1" t="s">
        <v>61</v>
      </c>
      <c r="M56" s="1" t="s">
        <v>62</v>
      </c>
      <c r="N56" s="1">
        <v>-110.0</v>
      </c>
      <c r="O56" s="1">
        <v>0.153284657101699</v>
      </c>
      <c r="P56" s="1" t="s">
        <v>61</v>
      </c>
      <c r="Q56" s="1" t="s">
        <v>61</v>
      </c>
      <c r="R56" s="1">
        <f t="shared" si="1"/>
        <v>0.1532846571</v>
      </c>
      <c r="S56" s="1">
        <f t="shared" si="2"/>
        <v>-110</v>
      </c>
      <c r="T56" s="1">
        <f t="shared" si="3"/>
        <v>1.909090909</v>
      </c>
      <c r="U56" s="1">
        <f t="shared" si="4"/>
        <v>0</v>
      </c>
      <c r="V56" s="3">
        <f t="shared" si="5"/>
        <v>3</v>
      </c>
      <c r="W56" s="3">
        <f t="shared" si="6"/>
        <v>2</v>
      </c>
      <c r="X56" s="3" t="str">
        <f>IFERROR(__xludf.DUMMYFUNCTION("split(B56,"" "")"),"J.")</f>
        <v>J.</v>
      </c>
      <c r="Y56" s="3" t="str">
        <f>IFERROR(__xludf.DUMMYFUNCTION("""COMPUTED_VALUE"""),"Winston")</f>
        <v>Winston</v>
      </c>
      <c r="AA56" s="8">
        <v>1.0</v>
      </c>
      <c r="AB56" s="3">
        <f t="shared" si="7"/>
        <v>0</v>
      </c>
      <c r="AC56" s="3">
        <f t="shared" si="8"/>
        <v>1</v>
      </c>
      <c r="AD56" s="3">
        <f t="shared" si="9"/>
        <v>2.727272727</v>
      </c>
      <c r="AE56" s="3">
        <f t="shared" si="10"/>
        <v>2.727272727</v>
      </c>
      <c r="AF56" s="3">
        <f t="shared" si="11"/>
        <v>1.818181818</v>
      </c>
      <c r="AG56" s="3">
        <f t="shared" si="12"/>
        <v>0.7142857143</v>
      </c>
    </row>
    <row r="57">
      <c r="A57" s="1" t="s">
        <v>8</v>
      </c>
      <c r="B57" s="1" t="s">
        <v>632</v>
      </c>
      <c r="C57" s="1" t="s">
        <v>19</v>
      </c>
      <c r="D57" s="1" t="s">
        <v>89</v>
      </c>
      <c r="E57" s="1" t="s">
        <v>58</v>
      </c>
      <c r="F57" s="1" t="s">
        <v>687</v>
      </c>
      <c r="G57" s="1">
        <v>14.5</v>
      </c>
      <c r="H57" s="1" t="s">
        <v>60</v>
      </c>
      <c r="I57" s="1">
        <v>-126.0</v>
      </c>
      <c r="J57" s="1">
        <v>-0.169074545814159</v>
      </c>
      <c r="K57" s="1" t="s">
        <v>61</v>
      </c>
      <c r="L57" s="1" t="s">
        <v>61</v>
      </c>
      <c r="M57" s="1" t="s">
        <v>62</v>
      </c>
      <c r="N57" s="1">
        <v>-106.0</v>
      </c>
      <c r="O57" s="1">
        <v>0.096981564054563</v>
      </c>
      <c r="P57" s="1" t="s">
        <v>61</v>
      </c>
      <c r="Q57" s="1" t="s">
        <v>61</v>
      </c>
      <c r="R57" s="1">
        <f t="shared" si="1"/>
        <v>0.09698156405</v>
      </c>
      <c r="S57" s="1">
        <f t="shared" si="2"/>
        <v>-106</v>
      </c>
      <c r="T57" s="1">
        <f t="shared" si="3"/>
        <v>1.943396226</v>
      </c>
      <c r="U57" s="1">
        <f t="shared" si="4"/>
        <v>0</v>
      </c>
      <c r="V57" s="3">
        <f t="shared" si="5"/>
        <v>2</v>
      </c>
      <c r="W57" s="3">
        <f t="shared" si="6"/>
        <v>2</v>
      </c>
      <c r="X57" s="3" t="str">
        <f>IFERROR(__xludf.DUMMYFUNCTION("split(B57,"" "")"),"N.")</f>
        <v>N.</v>
      </c>
      <c r="Y57" s="3" t="str">
        <f>IFERROR(__xludf.DUMMYFUNCTION("""COMPUTED_VALUE"""),"Chubb")</f>
        <v>Chubb</v>
      </c>
      <c r="AA57" s="8">
        <v>11.0</v>
      </c>
      <c r="AB57" s="3">
        <f t="shared" si="7"/>
        <v>0</v>
      </c>
      <c r="AC57" s="3">
        <f t="shared" si="8"/>
        <v>1</v>
      </c>
      <c r="AD57" s="3">
        <f t="shared" si="9"/>
        <v>1.886792453</v>
      </c>
      <c r="AE57" s="3">
        <f t="shared" si="10"/>
        <v>1.886792453</v>
      </c>
      <c r="AF57" s="3">
        <f t="shared" si="11"/>
        <v>1.886792453</v>
      </c>
      <c r="AG57" s="3">
        <f t="shared" si="12"/>
        <v>0.2413793103</v>
      </c>
    </row>
    <row r="58">
      <c r="A58" s="1" t="s">
        <v>11</v>
      </c>
      <c r="B58" s="1" t="s">
        <v>632</v>
      </c>
      <c r="C58" s="1" t="s">
        <v>19</v>
      </c>
      <c r="D58" s="1" t="s">
        <v>89</v>
      </c>
      <c r="E58" s="1" t="s">
        <v>58</v>
      </c>
      <c r="F58" s="1" t="s">
        <v>687</v>
      </c>
      <c r="G58" s="1">
        <v>5.5</v>
      </c>
      <c r="H58" s="1" t="s">
        <v>60</v>
      </c>
      <c r="I58" s="1">
        <v>-119.0</v>
      </c>
      <c r="J58" s="1">
        <v>0.0867945716457031</v>
      </c>
      <c r="K58" s="1" t="s">
        <v>61</v>
      </c>
      <c r="L58" s="1" t="s">
        <v>61</v>
      </c>
      <c r="M58" s="1" t="s">
        <v>62</v>
      </c>
      <c r="N58" s="1">
        <v>-108.0</v>
      </c>
      <c r="O58" s="1">
        <v>-0.149414423488661</v>
      </c>
      <c r="P58" s="1" t="s">
        <v>61</v>
      </c>
      <c r="Q58" s="1" t="s">
        <v>61</v>
      </c>
      <c r="R58" s="1">
        <f t="shared" si="1"/>
        <v>0.08679457165</v>
      </c>
      <c r="S58" s="1">
        <f t="shared" si="2"/>
        <v>-119</v>
      </c>
      <c r="T58" s="1">
        <f t="shared" si="3"/>
        <v>1.840336134</v>
      </c>
      <c r="U58" s="1">
        <f t="shared" si="4"/>
        <v>1</v>
      </c>
      <c r="V58" s="3">
        <f t="shared" si="5"/>
        <v>2</v>
      </c>
      <c r="W58" s="3">
        <f t="shared" si="6"/>
        <v>3</v>
      </c>
      <c r="X58" s="3" t="str">
        <f>IFERROR(__xludf.DUMMYFUNCTION("split(B58,"" "")"),"N.")</f>
        <v>N.</v>
      </c>
      <c r="Y58" s="3" t="str">
        <f>IFERROR(__xludf.DUMMYFUNCTION("""COMPUTED_VALUE"""),"Chubb")</f>
        <v>Chubb</v>
      </c>
      <c r="AA58" s="8">
        <v>0.0</v>
      </c>
      <c r="AB58" s="3">
        <f t="shared" si="7"/>
        <v>0</v>
      </c>
      <c r="AC58" s="3">
        <f t="shared" si="8"/>
        <v>0</v>
      </c>
      <c r="AD58" s="3">
        <f t="shared" si="9"/>
        <v>1.680672269</v>
      </c>
      <c r="AE58" s="3">
        <f t="shared" si="10"/>
        <v>-2</v>
      </c>
      <c r="AF58" s="3">
        <f t="shared" si="11"/>
        <v>-3</v>
      </c>
      <c r="AG58" s="3">
        <f t="shared" si="12"/>
        <v>-1</v>
      </c>
    </row>
    <row r="59">
      <c r="A59" s="1" t="s">
        <v>12</v>
      </c>
      <c r="B59" s="1" t="s">
        <v>502</v>
      </c>
      <c r="C59" s="1" t="s">
        <v>18</v>
      </c>
      <c r="D59" s="1" t="s">
        <v>89</v>
      </c>
      <c r="E59" s="1" t="s">
        <v>58</v>
      </c>
      <c r="F59" s="1" t="s">
        <v>687</v>
      </c>
      <c r="G59" s="1">
        <v>4.5</v>
      </c>
      <c r="H59" s="1" t="s">
        <v>60</v>
      </c>
      <c r="I59" s="1">
        <v>-118.0</v>
      </c>
      <c r="J59" s="1">
        <v>-0.152530275229357</v>
      </c>
      <c r="K59" s="1" t="s">
        <v>61</v>
      </c>
      <c r="L59" s="1" t="s">
        <v>61</v>
      </c>
      <c r="M59" s="1" t="s">
        <v>62</v>
      </c>
      <c r="N59" s="1">
        <v>-111.0</v>
      </c>
      <c r="O59" s="1">
        <v>0.0851862559241706</v>
      </c>
      <c r="P59" s="1" t="s">
        <v>61</v>
      </c>
      <c r="Q59" s="1" t="s">
        <v>61</v>
      </c>
      <c r="R59" s="1">
        <f t="shared" si="1"/>
        <v>0.08518625592</v>
      </c>
      <c r="S59" s="1">
        <f t="shared" si="2"/>
        <v>-111</v>
      </c>
      <c r="T59" s="1">
        <f t="shared" si="3"/>
        <v>1.900900901</v>
      </c>
      <c r="U59" s="1">
        <f t="shared" si="4"/>
        <v>0</v>
      </c>
      <c r="V59" s="3">
        <f t="shared" si="5"/>
        <v>2</v>
      </c>
      <c r="W59" s="3">
        <f t="shared" si="6"/>
        <v>2</v>
      </c>
      <c r="X59" s="3" t="str">
        <f>IFERROR(__xludf.DUMMYFUNCTION("split(B59,"" "")"),"C.")</f>
        <v>C.</v>
      </c>
      <c r="Y59" s="3" t="str">
        <f>IFERROR(__xludf.DUMMYFUNCTION("""COMPUTED_VALUE"""),"Tillman")</f>
        <v>Tillman</v>
      </c>
      <c r="AA59" s="8">
        <v>3.0</v>
      </c>
      <c r="AB59" s="3">
        <f t="shared" si="7"/>
        <v>0</v>
      </c>
      <c r="AC59" s="3">
        <f t="shared" si="8"/>
        <v>1</v>
      </c>
      <c r="AD59" s="3">
        <f t="shared" si="9"/>
        <v>1.801801802</v>
      </c>
      <c r="AE59" s="3">
        <f t="shared" si="10"/>
        <v>1.801801802</v>
      </c>
      <c r="AF59" s="3">
        <f t="shared" si="11"/>
        <v>1.801801802</v>
      </c>
      <c r="AG59" s="3">
        <f t="shared" si="12"/>
        <v>0.3333333333</v>
      </c>
    </row>
    <row r="60">
      <c r="A60" s="1" t="s">
        <v>12</v>
      </c>
      <c r="B60" s="1" t="s">
        <v>299</v>
      </c>
      <c r="C60" s="1" t="s">
        <v>18</v>
      </c>
      <c r="D60" s="1" t="s">
        <v>89</v>
      </c>
      <c r="E60" s="1" t="s">
        <v>58</v>
      </c>
      <c r="F60" s="1" t="s">
        <v>687</v>
      </c>
      <c r="G60" s="1">
        <v>3.5</v>
      </c>
      <c r="H60" s="1" t="s">
        <v>60</v>
      </c>
      <c r="I60" s="1">
        <v>-164.0</v>
      </c>
      <c r="J60" s="1">
        <v>-0.152087878787878</v>
      </c>
      <c r="K60" s="1" t="s">
        <v>61</v>
      </c>
      <c r="L60" s="1" t="s">
        <v>61</v>
      </c>
      <c r="M60" s="1" t="s">
        <v>62</v>
      </c>
      <c r="N60" s="1">
        <v>124.0</v>
      </c>
      <c r="O60" s="1">
        <v>0.0844607142857142</v>
      </c>
      <c r="P60" s="1" t="s">
        <v>61</v>
      </c>
      <c r="Q60" s="1" t="s">
        <v>61</v>
      </c>
      <c r="R60" s="1">
        <f t="shared" si="1"/>
        <v>0.08446071429</v>
      </c>
      <c r="S60" s="1">
        <f t="shared" si="2"/>
        <v>124</v>
      </c>
      <c r="T60" s="1">
        <f t="shared" si="3"/>
        <v>2.24</v>
      </c>
      <c r="U60" s="1">
        <f t="shared" si="4"/>
        <v>0</v>
      </c>
      <c r="V60" s="3">
        <f t="shared" si="5"/>
        <v>2</v>
      </c>
      <c r="W60" s="3">
        <f t="shared" si="6"/>
        <v>1</v>
      </c>
      <c r="X60" s="3" t="str">
        <f>IFERROR(__xludf.DUMMYFUNCTION("split(B60,"" "")"),"J.")</f>
        <v>J.</v>
      </c>
      <c r="Y60" s="3" t="str">
        <f>IFERROR(__xludf.DUMMYFUNCTION("""COMPUTED_VALUE"""),"Jeudy")</f>
        <v>Jeudy</v>
      </c>
      <c r="AA60" s="8">
        <v>6.0</v>
      </c>
      <c r="AB60" s="3">
        <f t="shared" si="7"/>
        <v>1</v>
      </c>
      <c r="AC60" s="3">
        <f t="shared" si="8"/>
        <v>0</v>
      </c>
      <c r="AD60" s="3">
        <f t="shared" si="9"/>
        <v>2.48</v>
      </c>
      <c r="AE60" s="3">
        <f t="shared" si="10"/>
        <v>-2</v>
      </c>
      <c r="AF60" s="3">
        <f t="shared" si="11"/>
        <v>-1</v>
      </c>
      <c r="AG60" s="3">
        <f t="shared" si="12"/>
        <v>-0.7142857143</v>
      </c>
    </row>
    <row r="61">
      <c r="A61" s="1" t="s">
        <v>12</v>
      </c>
      <c r="B61" s="1" t="s">
        <v>414</v>
      </c>
      <c r="C61" s="1" t="s">
        <v>18</v>
      </c>
      <c r="D61" s="1" t="s">
        <v>89</v>
      </c>
      <c r="E61" s="1" t="s">
        <v>58</v>
      </c>
      <c r="F61" s="1" t="s">
        <v>687</v>
      </c>
      <c r="G61" s="1">
        <v>3.5</v>
      </c>
      <c r="H61" s="1" t="s">
        <v>60</v>
      </c>
      <c r="I61" s="1">
        <v>-122.0</v>
      </c>
      <c r="J61" s="1">
        <v>-0.151149549549549</v>
      </c>
      <c r="K61" s="1" t="s">
        <v>61</v>
      </c>
      <c r="L61" s="1" t="s">
        <v>61</v>
      </c>
      <c r="M61" s="1" t="s">
        <v>62</v>
      </c>
      <c r="N61" s="1">
        <v>-108.0</v>
      </c>
      <c r="O61" s="1">
        <v>0.0823692307692308</v>
      </c>
      <c r="P61" s="1" t="s">
        <v>61</v>
      </c>
      <c r="Q61" s="1" t="s">
        <v>61</v>
      </c>
      <c r="R61" s="1">
        <f t="shared" si="1"/>
        <v>0.08236923077</v>
      </c>
      <c r="S61" s="1">
        <f t="shared" si="2"/>
        <v>-108</v>
      </c>
      <c r="T61" s="1">
        <f t="shared" si="3"/>
        <v>1.925925926</v>
      </c>
      <c r="U61" s="1">
        <f t="shared" si="4"/>
        <v>0</v>
      </c>
      <c r="V61" s="3">
        <f t="shared" si="5"/>
        <v>2</v>
      </c>
      <c r="W61" s="3">
        <f t="shared" si="6"/>
        <v>2</v>
      </c>
      <c r="X61" s="3" t="str">
        <f>IFERROR(__xludf.DUMMYFUNCTION("split(B61,"" "")"),"E.")</f>
        <v>E.</v>
      </c>
      <c r="Y61" s="3" t="str">
        <f>IFERROR(__xludf.DUMMYFUNCTION("""COMPUTED_VALUE"""),"Moore")</f>
        <v>Moore</v>
      </c>
      <c r="AA61" s="8">
        <v>6.0</v>
      </c>
      <c r="AB61" s="3">
        <f t="shared" si="7"/>
        <v>1</v>
      </c>
      <c r="AC61" s="3">
        <f t="shared" si="8"/>
        <v>0</v>
      </c>
      <c r="AD61" s="3">
        <f t="shared" si="9"/>
        <v>1.851851852</v>
      </c>
      <c r="AE61" s="3">
        <f t="shared" si="10"/>
        <v>-2</v>
      </c>
      <c r="AF61" s="3">
        <f t="shared" si="11"/>
        <v>-2</v>
      </c>
      <c r="AG61" s="3">
        <f t="shared" si="12"/>
        <v>-0.7142857143</v>
      </c>
    </row>
    <row r="62">
      <c r="A62" s="1" t="s">
        <v>17</v>
      </c>
      <c r="B62" s="1" t="s">
        <v>650</v>
      </c>
      <c r="C62" s="1" t="s">
        <v>21</v>
      </c>
      <c r="D62" s="1" t="s">
        <v>89</v>
      </c>
      <c r="E62" s="1" t="s">
        <v>58</v>
      </c>
      <c r="F62" s="1" t="s">
        <v>687</v>
      </c>
      <c r="G62" s="1">
        <v>0.5</v>
      </c>
      <c r="H62" s="1" t="s">
        <v>60</v>
      </c>
      <c r="I62" s="1">
        <v>-162.0</v>
      </c>
      <c r="J62" s="1">
        <v>-0.144720610687022</v>
      </c>
      <c r="K62" s="1" t="s">
        <v>61</v>
      </c>
      <c r="L62" s="1" t="s">
        <v>61</v>
      </c>
      <c r="M62" s="1" t="s">
        <v>62</v>
      </c>
      <c r="N62" s="1">
        <v>123.0</v>
      </c>
      <c r="O62" s="1">
        <v>0.0779695067264573</v>
      </c>
      <c r="P62" s="1" t="s">
        <v>61</v>
      </c>
      <c r="Q62" s="1" t="s">
        <v>61</v>
      </c>
      <c r="R62" s="1">
        <f t="shared" si="1"/>
        <v>0.07796950673</v>
      </c>
      <c r="S62" s="1">
        <f t="shared" si="2"/>
        <v>123</v>
      </c>
      <c r="T62" s="1">
        <f t="shared" si="3"/>
        <v>2.23</v>
      </c>
      <c r="U62" s="1">
        <f t="shared" si="4"/>
        <v>0</v>
      </c>
      <c r="V62" s="3">
        <f t="shared" si="5"/>
        <v>2</v>
      </c>
      <c r="W62" s="3">
        <f t="shared" si="6"/>
        <v>1</v>
      </c>
      <c r="X62" s="3" t="str">
        <f>IFERROR(__xludf.DUMMYFUNCTION("split(B62,"" "")"),"J.")</f>
        <v>J.</v>
      </c>
      <c r="Y62" s="3" t="str">
        <f>IFERROR(__xludf.DUMMYFUNCTION("""COMPUTED_VALUE"""),"Winston")</f>
        <v>Winston</v>
      </c>
      <c r="AA62" s="8">
        <v>0.0</v>
      </c>
      <c r="AB62" s="3">
        <f t="shared" si="7"/>
        <v>0</v>
      </c>
      <c r="AC62" s="3">
        <f t="shared" si="8"/>
        <v>1</v>
      </c>
      <c r="AD62" s="3">
        <f t="shared" si="9"/>
        <v>2.46</v>
      </c>
      <c r="AE62" s="3">
        <f t="shared" si="10"/>
        <v>2.46</v>
      </c>
      <c r="AF62" s="3">
        <f t="shared" si="11"/>
        <v>1.23</v>
      </c>
      <c r="AG62" s="3">
        <f t="shared" si="12"/>
        <v>1</v>
      </c>
    </row>
    <row r="63">
      <c r="A63" s="1" t="s">
        <v>15</v>
      </c>
      <c r="B63" s="1" t="s">
        <v>650</v>
      </c>
      <c r="C63" s="1" t="s">
        <v>21</v>
      </c>
      <c r="D63" s="1" t="s">
        <v>89</v>
      </c>
      <c r="E63" s="1" t="s">
        <v>58</v>
      </c>
      <c r="F63" s="1" t="s">
        <v>687</v>
      </c>
      <c r="G63" s="1">
        <v>22.5</v>
      </c>
      <c r="H63" s="1" t="s">
        <v>60</v>
      </c>
      <c r="I63" s="1">
        <v>101.0</v>
      </c>
      <c r="J63" s="1">
        <v>0.0448368159203978</v>
      </c>
      <c r="K63" s="1" t="s">
        <v>61</v>
      </c>
      <c r="L63" s="1" t="s">
        <v>61</v>
      </c>
      <c r="M63" s="1" t="s">
        <v>62</v>
      </c>
      <c r="N63" s="1">
        <v>-131.0</v>
      </c>
      <c r="O63" s="1">
        <v>-0.109429437229437</v>
      </c>
      <c r="P63" s="1" t="s">
        <v>61</v>
      </c>
      <c r="Q63" s="1" t="s">
        <v>61</v>
      </c>
      <c r="R63" s="1">
        <f t="shared" si="1"/>
        <v>0.04483681592</v>
      </c>
      <c r="S63" s="1">
        <f t="shared" si="2"/>
        <v>101</v>
      </c>
      <c r="T63" s="1">
        <f t="shared" si="3"/>
        <v>2.01</v>
      </c>
      <c r="U63" s="1">
        <f t="shared" si="4"/>
        <v>1</v>
      </c>
      <c r="V63" s="3">
        <f t="shared" si="5"/>
        <v>1</v>
      </c>
      <c r="W63" s="3">
        <f t="shared" si="6"/>
        <v>2</v>
      </c>
      <c r="X63" s="3" t="str">
        <f>IFERROR(__xludf.DUMMYFUNCTION("split(B63,"" "")"),"J.")</f>
        <v>J.</v>
      </c>
      <c r="Y63" s="3" t="str">
        <f>IFERROR(__xludf.DUMMYFUNCTION("""COMPUTED_VALUE"""),"Winston")</f>
        <v>Winston</v>
      </c>
      <c r="AA63" s="8">
        <v>30.0</v>
      </c>
      <c r="AB63" s="3">
        <f t="shared" si="7"/>
        <v>1</v>
      </c>
      <c r="AC63" s="3">
        <f t="shared" si="8"/>
        <v>1</v>
      </c>
      <c r="AD63" s="3">
        <f t="shared" si="9"/>
        <v>1.01</v>
      </c>
      <c r="AE63" s="3">
        <f t="shared" si="10"/>
        <v>1.01</v>
      </c>
      <c r="AF63" s="3">
        <f t="shared" si="11"/>
        <v>2.02</v>
      </c>
      <c r="AG63" s="3">
        <f t="shared" si="12"/>
        <v>0.3333333333</v>
      </c>
    </row>
    <row r="64">
      <c r="A64" s="1" t="s">
        <v>11</v>
      </c>
      <c r="B64" s="1" t="s">
        <v>502</v>
      </c>
      <c r="C64" s="1" t="s">
        <v>18</v>
      </c>
      <c r="D64" s="1" t="s">
        <v>89</v>
      </c>
      <c r="E64" s="1" t="s">
        <v>58</v>
      </c>
      <c r="F64" s="1" t="s">
        <v>687</v>
      </c>
      <c r="G64" s="1">
        <v>56.5</v>
      </c>
      <c r="H64" s="1" t="s">
        <v>60</v>
      </c>
      <c r="I64" s="1">
        <v>-110.0</v>
      </c>
      <c r="J64" s="1">
        <v>-0.103413718246809</v>
      </c>
      <c r="K64" s="1" t="s">
        <v>61</v>
      </c>
      <c r="L64" s="1" t="s">
        <v>61</v>
      </c>
      <c r="M64" s="1" t="s">
        <v>62</v>
      </c>
      <c r="N64" s="1">
        <v>-118.0</v>
      </c>
      <c r="O64" s="1">
        <v>0.038306459421009</v>
      </c>
      <c r="P64" s="1" t="s">
        <v>61</v>
      </c>
      <c r="Q64" s="1" t="s">
        <v>61</v>
      </c>
      <c r="R64" s="1">
        <f t="shared" si="1"/>
        <v>0.03830645942</v>
      </c>
      <c r="S64" s="1">
        <f t="shared" si="2"/>
        <v>-118</v>
      </c>
      <c r="T64" s="1">
        <f t="shared" si="3"/>
        <v>1.847457627</v>
      </c>
      <c r="U64" s="1">
        <f t="shared" si="4"/>
        <v>0</v>
      </c>
      <c r="V64" s="3">
        <f t="shared" si="5"/>
        <v>1</v>
      </c>
      <c r="W64" s="3">
        <f t="shared" si="6"/>
        <v>3</v>
      </c>
      <c r="X64" s="3" t="str">
        <f>IFERROR(__xludf.DUMMYFUNCTION("split(B64,"" "")"),"C.")</f>
        <v>C.</v>
      </c>
      <c r="Y64" s="3" t="str">
        <f>IFERROR(__xludf.DUMMYFUNCTION("""COMPUTED_VALUE"""),"Tillman")</f>
        <v>Tillman</v>
      </c>
      <c r="AA64" s="8">
        <v>47.0</v>
      </c>
      <c r="AB64" s="3">
        <f t="shared" si="7"/>
        <v>0</v>
      </c>
      <c r="AC64" s="3">
        <f t="shared" si="8"/>
        <v>1</v>
      </c>
      <c r="AD64" s="3">
        <f t="shared" si="9"/>
        <v>0.8474576271</v>
      </c>
      <c r="AE64" s="3">
        <f t="shared" si="10"/>
        <v>0.8474576271</v>
      </c>
      <c r="AF64" s="3">
        <f t="shared" si="11"/>
        <v>2.542372881</v>
      </c>
      <c r="AG64" s="3">
        <f t="shared" si="12"/>
        <v>0.1681415929</v>
      </c>
    </row>
    <row r="65">
      <c r="A65" s="1" t="s">
        <v>10</v>
      </c>
      <c r="B65" s="1" t="s">
        <v>632</v>
      </c>
      <c r="C65" s="1" t="s">
        <v>19</v>
      </c>
      <c r="D65" s="1" t="s">
        <v>89</v>
      </c>
      <c r="E65" s="1" t="s">
        <v>58</v>
      </c>
      <c r="F65" s="1" t="s">
        <v>687</v>
      </c>
      <c r="G65" s="1">
        <v>62.5</v>
      </c>
      <c r="H65" s="1" t="s">
        <v>60</v>
      </c>
      <c r="I65" s="1">
        <v>-118.0</v>
      </c>
      <c r="J65" s="1">
        <v>-0.105593727249289</v>
      </c>
      <c r="K65" s="1" t="s">
        <v>61</v>
      </c>
      <c r="L65" s="1" t="s">
        <v>61</v>
      </c>
      <c r="M65" s="1" t="s">
        <v>62</v>
      </c>
      <c r="N65" s="1">
        <v>-113.0</v>
      </c>
      <c r="O65" s="1">
        <v>0.0337623861592732</v>
      </c>
      <c r="P65" s="1" t="s">
        <v>61</v>
      </c>
      <c r="Q65" s="1" t="s">
        <v>61</v>
      </c>
      <c r="R65" s="1">
        <f t="shared" si="1"/>
        <v>0.03376238616</v>
      </c>
      <c r="S65" s="1">
        <f t="shared" si="2"/>
        <v>-113</v>
      </c>
      <c r="T65" s="1">
        <f t="shared" si="3"/>
        <v>1.884955752</v>
      </c>
      <c r="U65" s="1">
        <f t="shared" si="4"/>
        <v>0</v>
      </c>
      <c r="V65" s="3">
        <f t="shared" si="5"/>
        <v>1</v>
      </c>
      <c r="W65" s="3">
        <f t="shared" si="6"/>
        <v>2</v>
      </c>
      <c r="X65" s="3" t="str">
        <f>IFERROR(__xludf.DUMMYFUNCTION("split(B65,"" "")"),"N.")</f>
        <v>N.</v>
      </c>
      <c r="Y65" s="3" t="str">
        <f>IFERROR(__xludf.DUMMYFUNCTION("""COMPUTED_VALUE"""),"Chubb")</f>
        <v>Chubb</v>
      </c>
      <c r="AA65" s="8">
        <v>50.0</v>
      </c>
      <c r="AB65" s="3">
        <f t="shared" si="7"/>
        <v>0</v>
      </c>
      <c r="AC65" s="3">
        <f t="shared" si="8"/>
        <v>1</v>
      </c>
      <c r="AD65" s="3">
        <f t="shared" si="9"/>
        <v>0.8849557522</v>
      </c>
      <c r="AE65" s="3">
        <f t="shared" si="10"/>
        <v>0.8849557522</v>
      </c>
      <c r="AF65" s="3">
        <f t="shared" si="11"/>
        <v>1.769911504</v>
      </c>
      <c r="AG65" s="3">
        <f t="shared" si="12"/>
        <v>0.2</v>
      </c>
    </row>
    <row r="66">
      <c r="A66" s="1" t="s">
        <v>9</v>
      </c>
      <c r="B66" s="1" t="s">
        <v>632</v>
      </c>
      <c r="C66" s="1" t="s">
        <v>19</v>
      </c>
      <c r="D66" s="1" t="s">
        <v>89</v>
      </c>
      <c r="E66" s="1" t="s">
        <v>58</v>
      </c>
      <c r="F66" s="1" t="s">
        <v>687</v>
      </c>
      <c r="G66" s="1">
        <v>71.5</v>
      </c>
      <c r="H66" s="1" t="s">
        <v>60</v>
      </c>
      <c r="I66" s="1">
        <v>-118.0</v>
      </c>
      <c r="J66" s="1">
        <v>-0.0964010913698206</v>
      </c>
      <c r="K66" s="1" t="s">
        <v>61</v>
      </c>
      <c r="L66" s="1" t="s">
        <v>61</v>
      </c>
      <c r="M66" s="1" t="s">
        <v>62</v>
      </c>
      <c r="N66" s="1">
        <v>-115.0</v>
      </c>
      <c r="O66" s="1">
        <v>0.0202357377042512</v>
      </c>
      <c r="P66" s="1" t="s">
        <v>61</v>
      </c>
      <c r="Q66" s="1" t="s">
        <v>61</v>
      </c>
      <c r="R66" s="1">
        <f t="shared" si="1"/>
        <v>0.0202357377</v>
      </c>
      <c r="S66" s="1">
        <f t="shared" si="2"/>
        <v>-115</v>
      </c>
      <c r="T66" s="1">
        <f t="shared" si="3"/>
        <v>1.869565217</v>
      </c>
      <c r="U66" s="1">
        <f t="shared" si="4"/>
        <v>0</v>
      </c>
      <c r="V66" s="3">
        <f t="shared" si="5"/>
        <v>1</v>
      </c>
      <c r="W66" s="3">
        <f t="shared" si="6"/>
        <v>2</v>
      </c>
      <c r="X66" s="3" t="str">
        <f>IFERROR(__xludf.DUMMYFUNCTION("split(B66,"" "")"),"N.")</f>
        <v>N.</v>
      </c>
      <c r="Y66" s="3" t="str">
        <f>IFERROR(__xludf.DUMMYFUNCTION("""COMPUTED_VALUE"""),"Chubb")</f>
        <v>Chubb</v>
      </c>
      <c r="AA66" s="8">
        <v>50.0</v>
      </c>
      <c r="AB66" s="3">
        <f t="shared" si="7"/>
        <v>0</v>
      </c>
      <c r="AC66" s="3">
        <f t="shared" si="8"/>
        <v>1</v>
      </c>
      <c r="AD66" s="3">
        <f t="shared" si="9"/>
        <v>0.8695652174</v>
      </c>
      <c r="AE66" s="3">
        <f t="shared" si="10"/>
        <v>0.8695652174</v>
      </c>
      <c r="AF66" s="3">
        <f t="shared" si="11"/>
        <v>1.739130435</v>
      </c>
      <c r="AG66" s="3">
        <f t="shared" si="12"/>
        <v>0.3006993007</v>
      </c>
    </row>
    <row r="67">
      <c r="A67" s="1" t="s">
        <v>12</v>
      </c>
      <c r="B67" s="1" t="s">
        <v>632</v>
      </c>
      <c r="C67" s="1" t="s">
        <v>19</v>
      </c>
      <c r="D67" s="1" t="s">
        <v>89</v>
      </c>
      <c r="E67" s="1" t="s">
        <v>58</v>
      </c>
      <c r="F67" s="1" t="s">
        <v>687</v>
      </c>
      <c r="G67" s="1">
        <v>1.5</v>
      </c>
      <c r="H67" s="1" t="s">
        <v>60</v>
      </c>
      <c r="I67" s="1">
        <v>128.0</v>
      </c>
      <c r="J67" s="1">
        <v>-0.0869993418105263</v>
      </c>
      <c r="K67" s="1" t="s">
        <v>61</v>
      </c>
      <c r="L67" s="1" t="s">
        <v>61</v>
      </c>
      <c r="M67" s="1" t="s">
        <v>62</v>
      </c>
      <c r="N67" s="1">
        <v>-169.0</v>
      </c>
      <c r="O67" s="1">
        <v>0.0201623094401487</v>
      </c>
      <c r="P67" s="1" t="s">
        <v>61</v>
      </c>
      <c r="Q67" s="1" t="s">
        <v>61</v>
      </c>
      <c r="R67" s="1">
        <f t="shared" si="1"/>
        <v>0.02016230944</v>
      </c>
      <c r="S67" s="1">
        <f t="shared" si="2"/>
        <v>-169</v>
      </c>
      <c r="T67" s="1">
        <f t="shared" si="3"/>
        <v>1.591715976</v>
      </c>
      <c r="U67" s="1">
        <f t="shared" si="4"/>
        <v>0</v>
      </c>
      <c r="V67" s="3">
        <f t="shared" si="5"/>
        <v>1</v>
      </c>
      <c r="W67" s="3">
        <f t="shared" si="6"/>
        <v>3</v>
      </c>
      <c r="X67" s="3" t="str">
        <f>IFERROR(__xludf.DUMMYFUNCTION("split(B67,"" "")"),"N.")</f>
        <v>N.</v>
      </c>
      <c r="Y67" s="3" t="str">
        <f>IFERROR(__xludf.DUMMYFUNCTION("""COMPUTED_VALUE"""),"Chubb")</f>
        <v>Chubb</v>
      </c>
      <c r="AA67" s="8">
        <v>0.0</v>
      </c>
      <c r="AB67" s="3">
        <f t="shared" si="7"/>
        <v>0</v>
      </c>
      <c r="AC67" s="3">
        <f t="shared" si="8"/>
        <v>1</v>
      </c>
      <c r="AD67" s="3">
        <f t="shared" si="9"/>
        <v>0.5917159763</v>
      </c>
      <c r="AE67" s="3">
        <f t="shared" si="10"/>
        <v>0.5917159763</v>
      </c>
      <c r="AF67" s="3">
        <f t="shared" si="11"/>
        <v>1.775147929</v>
      </c>
      <c r="AG67" s="3">
        <f t="shared" si="12"/>
        <v>1</v>
      </c>
    </row>
    <row r="68">
      <c r="A68" s="1" t="s">
        <v>9</v>
      </c>
      <c r="B68" s="1" t="s">
        <v>299</v>
      </c>
      <c r="C68" s="1" t="s">
        <v>18</v>
      </c>
      <c r="D68" s="1" t="s">
        <v>89</v>
      </c>
      <c r="E68" s="1" t="s">
        <v>58</v>
      </c>
      <c r="F68" s="1" t="s">
        <v>687</v>
      </c>
      <c r="G68" s="1">
        <v>48.5</v>
      </c>
      <c r="H68" s="1" t="s">
        <v>60</v>
      </c>
      <c r="I68" s="1">
        <v>-117.0</v>
      </c>
      <c r="J68" s="1">
        <v>0.0172853678038794</v>
      </c>
      <c r="K68" s="1" t="s">
        <v>61</v>
      </c>
      <c r="L68" s="1" t="s">
        <v>61</v>
      </c>
      <c r="M68" s="1" t="s">
        <v>62</v>
      </c>
      <c r="N68" s="1">
        <v>-115.0</v>
      </c>
      <c r="O68" s="1">
        <v>-0.0912682257463167</v>
      </c>
      <c r="P68" s="1" t="s">
        <v>61</v>
      </c>
      <c r="Q68" s="1" t="s">
        <v>61</v>
      </c>
      <c r="R68" s="1">
        <f t="shared" si="1"/>
        <v>0.0172853678</v>
      </c>
      <c r="S68" s="1">
        <f t="shared" si="2"/>
        <v>-117</v>
      </c>
      <c r="T68" s="1">
        <f t="shared" si="3"/>
        <v>1.854700855</v>
      </c>
      <c r="U68" s="1">
        <f t="shared" si="4"/>
        <v>1</v>
      </c>
      <c r="V68" s="3">
        <f t="shared" si="5"/>
        <v>1</v>
      </c>
      <c r="W68" s="3">
        <f t="shared" si="6"/>
        <v>2</v>
      </c>
      <c r="X68" s="3" t="str">
        <f>IFERROR(__xludf.DUMMYFUNCTION("split(B68,"" "")"),"J.")</f>
        <v>J.</v>
      </c>
      <c r="Y68" s="3" t="str">
        <f>IFERROR(__xludf.DUMMYFUNCTION("""COMPUTED_VALUE"""),"Jeudy")</f>
        <v>Jeudy</v>
      </c>
      <c r="AA68" s="8">
        <v>142.0</v>
      </c>
      <c r="AB68" s="3">
        <f t="shared" si="7"/>
        <v>1</v>
      </c>
      <c r="AC68" s="3">
        <f t="shared" si="8"/>
        <v>1</v>
      </c>
      <c r="AD68" s="3">
        <f t="shared" si="9"/>
        <v>0.8547008547</v>
      </c>
      <c r="AE68" s="3">
        <f t="shared" si="10"/>
        <v>0.8547008547</v>
      </c>
      <c r="AF68" s="3">
        <f t="shared" si="11"/>
        <v>1.709401709</v>
      </c>
      <c r="AG68" s="3">
        <f t="shared" si="12"/>
        <v>1.927835052</v>
      </c>
    </row>
    <row r="69">
      <c r="A69" s="1" t="s">
        <v>11</v>
      </c>
      <c r="B69" s="1" t="s">
        <v>414</v>
      </c>
      <c r="C69" s="1" t="s">
        <v>18</v>
      </c>
      <c r="D69" s="1" t="s">
        <v>89</v>
      </c>
      <c r="E69" s="1" t="s">
        <v>58</v>
      </c>
      <c r="F69" s="1" t="s">
        <v>687</v>
      </c>
      <c r="G69" s="1">
        <v>35.5</v>
      </c>
      <c r="H69" s="1" t="s">
        <v>60</v>
      </c>
      <c r="I69" s="1">
        <v>-118.0</v>
      </c>
      <c r="J69" s="1">
        <v>-0.0793388036204588</v>
      </c>
      <c r="K69" s="1" t="s">
        <v>61</v>
      </c>
      <c r="L69" s="1" t="s">
        <v>61</v>
      </c>
      <c r="M69" s="1" t="s">
        <v>62</v>
      </c>
      <c r="N69" s="1">
        <v>-109.0</v>
      </c>
      <c r="O69" s="1">
        <v>0.0165024855362844</v>
      </c>
      <c r="P69" s="1" t="s">
        <v>61</v>
      </c>
      <c r="Q69" s="1" t="s">
        <v>61</v>
      </c>
      <c r="R69" s="1">
        <f t="shared" si="1"/>
        <v>0.01650248554</v>
      </c>
      <c r="S69" s="1">
        <f t="shared" si="2"/>
        <v>-109</v>
      </c>
      <c r="T69" s="1">
        <f t="shared" si="3"/>
        <v>1.917431193</v>
      </c>
      <c r="U69" s="1">
        <f t="shared" si="4"/>
        <v>0</v>
      </c>
      <c r="V69" s="3">
        <f t="shared" si="5"/>
        <v>1</v>
      </c>
      <c r="W69" s="3">
        <f t="shared" si="6"/>
        <v>2</v>
      </c>
      <c r="X69" s="3" t="str">
        <f>IFERROR(__xludf.DUMMYFUNCTION("split(B69,"" "")"),"E.")</f>
        <v>E.</v>
      </c>
      <c r="Y69" s="3" t="str">
        <f>IFERROR(__xludf.DUMMYFUNCTION("""COMPUTED_VALUE"""),"Moore")</f>
        <v>Moore</v>
      </c>
      <c r="AA69" s="8">
        <v>66.0</v>
      </c>
      <c r="AB69" s="3">
        <f t="shared" si="7"/>
        <v>1</v>
      </c>
      <c r="AC69" s="3">
        <f t="shared" si="8"/>
        <v>0</v>
      </c>
      <c r="AD69" s="3">
        <f t="shared" si="9"/>
        <v>0.9174311927</v>
      </c>
      <c r="AE69" s="3">
        <f t="shared" si="10"/>
        <v>-1</v>
      </c>
      <c r="AF69" s="3">
        <f t="shared" si="11"/>
        <v>-2</v>
      </c>
      <c r="AG69" s="3">
        <f t="shared" si="12"/>
        <v>-0.8591549296</v>
      </c>
    </row>
    <row r="70">
      <c r="A70" s="1" t="s">
        <v>9</v>
      </c>
      <c r="B70" s="1" t="s">
        <v>414</v>
      </c>
      <c r="C70" s="1" t="s">
        <v>18</v>
      </c>
      <c r="D70" s="1" t="s">
        <v>89</v>
      </c>
      <c r="E70" s="1" t="s">
        <v>58</v>
      </c>
      <c r="F70" s="1" t="s">
        <v>687</v>
      </c>
      <c r="G70" s="1">
        <v>36.5</v>
      </c>
      <c r="H70" s="1" t="s">
        <v>60</v>
      </c>
      <c r="I70" s="1">
        <v>-113.0</v>
      </c>
      <c r="J70" s="1">
        <v>0.0137214336150363</v>
      </c>
      <c r="K70" s="1" t="s">
        <v>61</v>
      </c>
      <c r="L70" s="1" t="s">
        <v>61</v>
      </c>
      <c r="M70" s="1" t="s">
        <v>62</v>
      </c>
      <c r="N70" s="1">
        <v>-120.0</v>
      </c>
      <c r="O70" s="1">
        <v>-0.0896661746909239</v>
      </c>
      <c r="P70" s="1" t="s">
        <v>61</v>
      </c>
      <c r="Q70" s="1" t="s">
        <v>61</v>
      </c>
      <c r="R70" s="1">
        <f t="shared" si="1"/>
        <v>0.01372143362</v>
      </c>
      <c r="S70" s="1">
        <f t="shared" si="2"/>
        <v>-113</v>
      </c>
      <c r="T70" s="1">
        <f t="shared" si="3"/>
        <v>1.884955752</v>
      </c>
      <c r="U70" s="1">
        <f t="shared" si="4"/>
        <v>1</v>
      </c>
      <c r="V70" s="3">
        <f t="shared" si="5"/>
        <v>1</v>
      </c>
      <c r="W70" s="3">
        <f t="shared" si="6"/>
        <v>2</v>
      </c>
      <c r="X70" s="3" t="str">
        <f>IFERROR(__xludf.DUMMYFUNCTION("split(B70,"" "")"),"E.")</f>
        <v>E.</v>
      </c>
      <c r="Y70" s="3" t="str">
        <f>IFERROR(__xludf.DUMMYFUNCTION("""COMPUTED_VALUE"""),"Moore")</f>
        <v>Moore</v>
      </c>
      <c r="AA70" s="8">
        <v>66.0</v>
      </c>
      <c r="AB70" s="3">
        <f t="shared" si="7"/>
        <v>1</v>
      </c>
      <c r="AC70" s="3">
        <f t="shared" si="8"/>
        <v>1</v>
      </c>
      <c r="AD70" s="3">
        <f t="shared" si="9"/>
        <v>0.8849557522</v>
      </c>
      <c r="AE70" s="3">
        <f t="shared" si="10"/>
        <v>0.8849557522</v>
      </c>
      <c r="AF70" s="3">
        <f t="shared" si="11"/>
        <v>1.769911504</v>
      </c>
      <c r="AG70" s="3">
        <f t="shared" si="12"/>
        <v>0.8082191781</v>
      </c>
    </row>
    <row r="71">
      <c r="A71" s="1" t="s">
        <v>12</v>
      </c>
      <c r="B71" s="1" t="s">
        <v>435</v>
      </c>
      <c r="C71" s="1" t="s">
        <v>20</v>
      </c>
      <c r="D71" s="1" t="s">
        <v>89</v>
      </c>
      <c r="E71" s="1" t="s">
        <v>58</v>
      </c>
      <c r="F71" s="1" t="s">
        <v>687</v>
      </c>
      <c r="G71" s="1">
        <v>5.5</v>
      </c>
      <c r="H71" s="1" t="s">
        <v>60</v>
      </c>
      <c r="I71" s="1">
        <v>-102.0</v>
      </c>
      <c r="J71" s="1">
        <v>0.013049504950495</v>
      </c>
      <c r="K71" s="1" t="s">
        <v>61</v>
      </c>
      <c r="L71" s="1" t="s">
        <v>61</v>
      </c>
      <c r="M71" s="1" t="s">
        <v>62</v>
      </c>
      <c r="N71" s="1">
        <v>-130.0</v>
      </c>
      <c r="O71" s="1">
        <v>-0.0832173913043479</v>
      </c>
      <c r="P71" s="1" t="s">
        <v>61</v>
      </c>
      <c r="Q71" s="1" t="s">
        <v>61</v>
      </c>
      <c r="R71" s="1">
        <f t="shared" si="1"/>
        <v>0.01304950495</v>
      </c>
      <c r="S71" s="1">
        <f t="shared" si="2"/>
        <v>-102</v>
      </c>
      <c r="T71" s="1">
        <f t="shared" si="3"/>
        <v>1.980392157</v>
      </c>
      <c r="U71" s="1">
        <f t="shared" si="4"/>
        <v>1</v>
      </c>
      <c r="V71" s="3">
        <f t="shared" si="5"/>
        <v>1</v>
      </c>
      <c r="W71" s="3">
        <f t="shared" si="6"/>
        <v>2</v>
      </c>
      <c r="X71" s="3" t="str">
        <f>IFERROR(__xludf.DUMMYFUNCTION("split(B71,"" "")"),"D.")</f>
        <v>D.</v>
      </c>
      <c r="Y71" s="3" t="str">
        <f>IFERROR(__xludf.DUMMYFUNCTION("""COMPUTED_VALUE"""),"Njoku")</f>
        <v>Njoku</v>
      </c>
      <c r="AA71" s="8">
        <v>9.0</v>
      </c>
      <c r="AB71" s="3">
        <f t="shared" si="7"/>
        <v>1</v>
      </c>
      <c r="AC71" s="3">
        <f t="shared" si="8"/>
        <v>1</v>
      </c>
      <c r="AD71" s="3">
        <f t="shared" si="9"/>
        <v>0.9803921569</v>
      </c>
      <c r="AE71" s="3">
        <f t="shared" si="10"/>
        <v>0.9803921569</v>
      </c>
      <c r="AF71" s="3">
        <f t="shared" si="11"/>
        <v>1.960784314</v>
      </c>
      <c r="AG71" s="3">
        <f t="shared" si="12"/>
        <v>0.6363636364</v>
      </c>
    </row>
    <row r="72">
      <c r="A72" s="1" t="s">
        <v>10</v>
      </c>
      <c r="B72" s="1" t="s">
        <v>650</v>
      </c>
      <c r="C72" s="1" t="s">
        <v>21</v>
      </c>
      <c r="D72" s="1" t="s">
        <v>89</v>
      </c>
      <c r="E72" s="1" t="s">
        <v>58</v>
      </c>
      <c r="F72" s="1" t="s">
        <v>687</v>
      </c>
      <c r="G72" s="1">
        <v>12.5</v>
      </c>
      <c r="H72" s="1" t="s">
        <v>60</v>
      </c>
      <c r="I72" s="1">
        <v>-109.0</v>
      </c>
      <c r="J72" s="1">
        <v>-0.0769632944654394</v>
      </c>
      <c r="K72" s="1" t="s">
        <v>61</v>
      </c>
      <c r="L72" s="1" t="s">
        <v>61</v>
      </c>
      <c r="M72" s="1" t="s">
        <v>62</v>
      </c>
      <c r="N72" s="1">
        <v>-120.0</v>
      </c>
      <c r="O72" s="1">
        <v>0.010010155690601</v>
      </c>
      <c r="P72" s="1" t="s">
        <v>61</v>
      </c>
      <c r="Q72" s="1" t="s">
        <v>61</v>
      </c>
      <c r="R72" s="1">
        <f t="shared" si="1"/>
        <v>0.01001015569</v>
      </c>
      <c r="S72" s="1">
        <f t="shared" si="2"/>
        <v>-120</v>
      </c>
      <c r="T72" s="1">
        <f t="shared" si="3"/>
        <v>1.833333333</v>
      </c>
      <c r="U72" s="1">
        <f t="shared" si="4"/>
        <v>0</v>
      </c>
      <c r="V72" s="3">
        <f t="shared" si="5"/>
        <v>1</v>
      </c>
      <c r="W72" s="3">
        <f t="shared" si="6"/>
        <v>3</v>
      </c>
      <c r="X72" s="3" t="str">
        <f>IFERROR(__xludf.DUMMYFUNCTION("split(B72,"" "")"),"J.")</f>
        <v>J.</v>
      </c>
      <c r="Y72" s="3" t="str">
        <f>IFERROR(__xludf.DUMMYFUNCTION("""COMPUTED_VALUE"""),"Winston")</f>
        <v>Winston</v>
      </c>
      <c r="AA72" s="8">
        <v>8.0</v>
      </c>
      <c r="AB72" s="3">
        <f t="shared" si="7"/>
        <v>0</v>
      </c>
      <c r="AC72" s="3">
        <f t="shared" si="8"/>
        <v>1</v>
      </c>
      <c r="AD72" s="3">
        <f t="shared" si="9"/>
        <v>0.8333333333</v>
      </c>
      <c r="AE72" s="3">
        <f t="shared" si="10"/>
        <v>0.8333333333</v>
      </c>
      <c r="AF72" s="3">
        <f t="shared" si="11"/>
        <v>2.5</v>
      </c>
      <c r="AG72" s="3">
        <f t="shared" si="12"/>
        <v>0.36</v>
      </c>
    </row>
    <row r="73">
      <c r="A73" s="1" t="s">
        <v>11</v>
      </c>
      <c r="B73" s="1" t="s">
        <v>435</v>
      </c>
      <c r="C73" s="1" t="s">
        <v>20</v>
      </c>
      <c r="D73" s="1" t="s">
        <v>89</v>
      </c>
      <c r="E73" s="1" t="s">
        <v>58</v>
      </c>
      <c r="F73" s="1" t="s">
        <v>687</v>
      </c>
      <c r="G73" s="1">
        <v>52.5</v>
      </c>
      <c r="H73" s="1" t="s">
        <v>60</v>
      </c>
      <c r="I73" s="1">
        <v>-111.0</v>
      </c>
      <c r="J73" s="1">
        <v>-0.0745187618259335</v>
      </c>
      <c r="K73" s="1" t="s">
        <v>61</v>
      </c>
      <c r="L73" s="1" t="s">
        <v>61</v>
      </c>
      <c r="M73" s="1" t="s">
        <v>62</v>
      </c>
      <c r="N73" s="1">
        <v>-117.0</v>
      </c>
      <c r="O73" s="1">
        <v>0.00927507506207359</v>
      </c>
      <c r="P73" s="1" t="s">
        <v>61</v>
      </c>
      <c r="Q73" s="1" t="s">
        <v>61</v>
      </c>
      <c r="R73" s="1">
        <f t="shared" si="1"/>
        <v>0.009275075062</v>
      </c>
      <c r="S73" s="1">
        <f t="shared" si="2"/>
        <v>-117</v>
      </c>
      <c r="T73" s="1">
        <f t="shared" si="3"/>
        <v>1.854700855</v>
      </c>
      <c r="U73" s="1">
        <f t="shared" si="4"/>
        <v>0</v>
      </c>
      <c r="V73" s="3">
        <f t="shared" si="5"/>
        <v>1</v>
      </c>
      <c r="W73" s="3">
        <f t="shared" si="6"/>
        <v>2</v>
      </c>
      <c r="X73" s="3" t="str">
        <f>IFERROR(__xludf.DUMMYFUNCTION("split(B73,"" "")"),"D.")</f>
        <v>D.</v>
      </c>
      <c r="Y73" s="3" t="str">
        <f>IFERROR(__xludf.DUMMYFUNCTION("""COMPUTED_VALUE"""),"Njoku")</f>
        <v>Njoku</v>
      </c>
      <c r="AA73" s="8">
        <v>81.0</v>
      </c>
      <c r="AB73" s="3">
        <f t="shared" si="7"/>
        <v>1</v>
      </c>
      <c r="AC73" s="3">
        <f t="shared" si="8"/>
        <v>0</v>
      </c>
      <c r="AD73" s="3">
        <f t="shared" si="9"/>
        <v>0.8547008547</v>
      </c>
      <c r="AE73" s="3">
        <f t="shared" si="10"/>
        <v>-1</v>
      </c>
      <c r="AF73" s="3">
        <f t="shared" si="11"/>
        <v>-2</v>
      </c>
      <c r="AG73" s="3">
        <f t="shared" si="12"/>
        <v>-0.5428571429</v>
      </c>
    </row>
    <row r="74">
      <c r="A74" s="1" t="s">
        <v>12</v>
      </c>
      <c r="B74" s="1" t="s">
        <v>152</v>
      </c>
      <c r="C74" s="1" t="s">
        <v>19</v>
      </c>
      <c r="D74" s="1" t="s">
        <v>88</v>
      </c>
      <c r="E74" s="1" t="s">
        <v>72</v>
      </c>
      <c r="F74" s="1" t="s">
        <v>690</v>
      </c>
      <c r="G74" s="1">
        <v>2.5</v>
      </c>
      <c r="H74" s="1" t="s">
        <v>60</v>
      </c>
      <c r="I74" s="1">
        <v>-156.0</v>
      </c>
      <c r="J74" s="1">
        <v>-0.279873774804687</v>
      </c>
      <c r="K74" s="1" t="s">
        <v>61</v>
      </c>
      <c r="L74" s="1" t="s">
        <v>61</v>
      </c>
      <c r="M74" s="1" t="s">
        <v>62</v>
      </c>
      <c r="N74" s="1">
        <v>121.0</v>
      </c>
      <c r="O74" s="1">
        <v>0.218009892986425</v>
      </c>
      <c r="P74" s="1" t="s">
        <v>61</v>
      </c>
      <c r="Q74" s="1" t="s">
        <v>61</v>
      </c>
      <c r="R74" s="1">
        <f t="shared" si="1"/>
        <v>0.218009893</v>
      </c>
      <c r="S74" s="1">
        <f t="shared" si="2"/>
        <v>121</v>
      </c>
      <c r="T74" s="1">
        <f t="shared" si="3"/>
        <v>2.21</v>
      </c>
      <c r="U74" s="1">
        <f t="shared" si="4"/>
        <v>0</v>
      </c>
      <c r="V74" s="3">
        <f t="shared" si="5"/>
        <v>3</v>
      </c>
      <c r="W74" s="3">
        <f t="shared" si="6"/>
        <v>1</v>
      </c>
      <c r="X74" s="3" t="str">
        <f>IFERROR(__xludf.DUMMYFUNCTION("split(B74,"" "")"),"R.")</f>
        <v>R.</v>
      </c>
      <c r="Y74" s="3" t="str">
        <f>IFERROR(__xludf.DUMMYFUNCTION("""COMPUTED_VALUE"""),"Dowdle")</f>
        <v>Dowdle</v>
      </c>
      <c r="AA74" s="8">
        <v>0.0</v>
      </c>
      <c r="AB74" s="3">
        <f t="shared" si="7"/>
        <v>0</v>
      </c>
      <c r="AC74" s="3">
        <f t="shared" si="8"/>
        <v>1</v>
      </c>
      <c r="AD74" s="3">
        <f t="shared" si="9"/>
        <v>3.63</v>
      </c>
      <c r="AE74" s="3">
        <f t="shared" si="10"/>
        <v>3.63</v>
      </c>
      <c r="AF74" s="3">
        <f t="shared" si="11"/>
        <v>1.21</v>
      </c>
      <c r="AG74" s="3">
        <f t="shared" si="12"/>
        <v>1</v>
      </c>
    </row>
    <row r="75">
      <c r="A75" s="1" t="s">
        <v>9</v>
      </c>
      <c r="B75" s="1" t="s">
        <v>572</v>
      </c>
      <c r="C75" s="1" t="s">
        <v>18</v>
      </c>
      <c r="D75" s="1" t="s">
        <v>88</v>
      </c>
      <c r="E75" s="1" t="s">
        <v>72</v>
      </c>
      <c r="F75" s="1" t="s">
        <v>690</v>
      </c>
      <c r="G75" s="1">
        <v>9.5</v>
      </c>
      <c r="H75" s="1" t="s">
        <v>60</v>
      </c>
      <c r="I75" s="1">
        <v>-110.0</v>
      </c>
      <c r="J75" s="1">
        <v>0.20594753821942</v>
      </c>
      <c r="K75" s="1" t="s">
        <v>61</v>
      </c>
      <c r="L75" s="1" t="s">
        <v>61</v>
      </c>
      <c r="M75" s="1" t="s">
        <v>62</v>
      </c>
      <c r="N75" s="1">
        <v>-120.0</v>
      </c>
      <c r="O75" s="1">
        <v>-0.275190816505881</v>
      </c>
      <c r="P75" s="1" t="s">
        <v>61</v>
      </c>
      <c r="Q75" s="1" t="s">
        <v>61</v>
      </c>
      <c r="R75" s="1">
        <f t="shared" si="1"/>
        <v>0.2059475382</v>
      </c>
      <c r="S75" s="1">
        <f t="shared" si="2"/>
        <v>-110</v>
      </c>
      <c r="T75" s="1">
        <f t="shared" si="3"/>
        <v>1.909090909</v>
      </c>
      <c r="U75" s="1">
        <f t="shared" si="4"/>
        <v>1</v>
      </c>
      <c r="V75" s="3">
        <f t="shared" si="5"/>
        <v>3</v>
      </c>
      <c r="W75" s="3">
        <f t="shared" si="6"/>
        <v>2</v>
      </c>
      <c r="X75" s="3" t="str">
        <f>IFERROR(__xludf.DUMMYFUNCTION("split(B75,"" "")"),"J.")</f>
        <v>J.</v>
      </c>
      <c r="Y75" s="3" t="str">
        <f>IFERROR(__xludf.DUMMYFUNCTION("""COMPUTED_VALUE"""),"Brooks")</f>
        <v>Brooks</v>
      </c>
      <c r="AA75" s="8">
        <v>0.0</v>
      </c>
      <c r="AB75" s="3">
        <f t="shared" si="7"/>
        <v>0</v>
      </c>
      <c r="AC75" s="3">
        <f t="shared" si="8"/>
        <v>0</v>
      </c>
      <c r="AD75" s="3">
        <f t="shared" si="9"/>
        <v>2.727272727</v>
      </c>
      <c r="AE75" s="3">
        <f t="shared" si="10"/>
        <v>-3</v>
      </c>
      <c r="AF75" s="3">
        <f t="shared" si="11"/>
        <v>-2</v>
      </c>
      <c r="AG75" s="3">
        <f t="shared" si="12"/>
        <v>-1</v>
      </c>
    </row>
    <row r="76">
      <c r="A76" s="1" t="s">
        <v>9</v>
      </c>
      <c r="B76" s="1" t="s">
        <v>571</v>
      </c>
      <c r="C76" s="1" t="s">
        <v>18</v>
      </c>
      <c r="D76" s="1" t="s">
        <v>88</v>
      </c>
      <c r="E76" s="1" t="s">
        <v>72</v>
      </c>
      <c r="F76" s="1" t="s">
        <v>690</v>
      </c>
      <c r="G76" s="1">
        <v>17.5</v>
      </c>
      <c r="H76" s="1" t="s">
        <v>60</v>
      </c>
      <c r="I76" s="1">
        <v>-116.0</v>
      </c>
      <c r="J76" s="1">
        <v>0.135276727480823</v>
      </c>
      <c r="K76" s="1" t="s">
        <v>61</v>
      </c>
      <c r="L76" s="1" t="s">
        <v>61</v>
      </c>
      <c r="M76" s="1" t="s">
        <v>62</v>
      </c>
      <c r="N76" s="1">
        <v>-117.0</v>
      </c>
      <c r="O76" s="1">
        <v>-0.211453615525131</v>
      </c>
      <c r="P76" s="1" t="s">
        <v>61</v>
      </c>
      <c r="Q76" s="1" t="s">
        <v>61</v>
      </c>
      <c r="R76" s="1">
        <f t="shared" si="1"/>
        <v>0.1352767275</v>
      </c>
      <c r="S76" s="1">
        <f t="shared" si="2"/>
        <v>-116</v>
      </c>
      <c r="T76" s="1">
        <f t="shared" si="3"/>
        <v>1.862068966</v>
      </c>
      <c r="U76" s="1">
        <f t="shared" si="4"/>
        <v>1</v>
      </c>
      <c r="V76" s="3">
        <f t="shared" si="5"/>
        <v>3</v>
      </c>
      <c r="W76" s="3">
        <f t="shared" si="6"/>
        <v>2</v>
      </c>
      <c r="X76" s="3" t="str">
        <f>IFERROR(__xludf.DUMMYFUNCTION("split(B76,"" "")"),"K.")</f>
        <v>K.</v>
      </c>
      <c r="Y76" s="3" t="str">
        <f>IFERROR(__xludf.DUMMYFUNCTION("""COMPUTED_VALUE"""),"Turpin")</f>
        <v>Turpin</v>
      </c>
      <c r="AA76" s="8">
        <v>86.0</v>
      </c>
      <c r="AB76" s="3">
        <f t="shared" si="7"/>
        <v>1</v>
      </c>
      <c r="AC76" s="3">
        <f t="shared" si="8"/>
        <v>1</v>
      </c>
      <c r="AD76" s="3">
        <f t="shared" si="9"/>
        <v>2.586206897</v>
      </c>
      <c r="AE76" s="3">
        <f t="shared" si="10"/>
        <v>2.586206897</v>
      </c>
      <c r="AF76" s="3">
        <f t="shared" si="11"/>
        <v>1.724137931</v>
      </c>
      <c r="AG76" s="3">
        <f t="shared" si="12"/>
        <v>3.914285714</v>
      </c>
    </row>
    <row r="77">
      <c r="A77" s="1" t="s">
        <v>12</v>
      </c>
      <c r="B77" s="1" t="s">
        <v>571</v>
      </c>
      <c r="C77" s="1" t="s">
        <v>18</v>
      </c>
      <c r="D77" s="1" t="s">
        <v>88</v>
      </c>
      <c r="E77" s="1" t="s">
        <v>72</v>
      </c>
      <c r="F77" s="1" t="s">
        <v>690</v>
      </c>
      <c r="G77" s="1">
        <v>1.5</v>
      </c>
      <c r="H77" s="1" t="s">
        <v>60</v>
      </c>
      <c r="I77" s="1">
        <v>-123.0</v>
      </c>
      <c r="J77" s="1">
        <v>-0.198106634004484</v>
      </c>
      <c r="K77" s="1" t="s">
        <v>61</v>
      </c>
      <c r="L77" s="1" t="s">
        <v>61</v>
      </c>
      <c r="M77" s="1" t="s">
        <v>62</v>
      </c>
      <c r="N77" s="1">
        <v>-107.0</v>
      </c>
      <c r="O77" s="1">
        <v>0.129634584250289</v>
      </c>
      <c r="P77" s="1" t="s">
        <v>61</v>
      </c>
      <c r="Q77" s="1" t="s">
        <v>61</v>
      </c>
      <c r="R77" s="1">
        <f t="shared" si="1"/>
        <v>0.1296345843</v>
      </c>
      <c r="S77" s="1">
        <f t="shared" si="2"/>
        <v>-107</v>
      </c>
      <c r="T77" s="1">
        <f t="shared" si="3"/>
        <v>1.934579439</v>
      </c>
      <c r="U77" s="1">
        <f t="shared" si="4"/>
        <v>0</v>
      </c>
      <c r="V77" s="3">
        <f t="shared" si="5"/>
        <v>3</v>
      </c>
      <c r="W77" s="3">
        <f t="shared" si="6"/>
        <v>2</v>
      </c>
      <c r="X77" s="3" t="str">
        <f>IFERROR(__xludf.DUMMYFUNCTION("split(B77,"" "")"),"K.")</f>
        <v>K.</v>
      </c>
      <c r="Y77" s="3" t="str">
        <f>IFERROR(__xludf.DUMMYFUNCTION("""COMPUTED_VALUE"""),"Turpin")</f>
        <v>Turpin</v>
      </c>
      <c r="AA77" s="8">
        <v>3.0</v>
      </c>
      <c r="AB77" s="3">
        <f t="shared" si="7"/>
        <v>1</v>
      </c>
      <c r="AC77" s="3">
        <f t="shared" si="8"/>
        <v>0</v>
      </c>
      <c r="AD77" s="3">
        <f t="shared" si="9"/>
        <v>2.803738318</v>
      </c>
      <c r="AE77" s="3">
        <f t="shared" si="10"/>
        <v>-3</v>
      </c>
      <c r="AF77" s="3">
        <f t="shared" si="11"/>
        <v>-2</v>
      </c>
      <c r="AG77" s="3">
        <f t="shared" si="12"/>
        <v>-1</v>
      </c>
    </row>
    <row r="78">
      <c r="A78" s="1" t="s">
        <v>8</v>
      </c>
      <c r="B78" s="1" t="s">
        <v>152</v>
      </c>
      <c r="C78" s="1" t="s">
        <v>19</v>
      </c>
      <c r="D78" s="1" t="s">
        <v>88</v>
      </c>
      <c r="E78" s="1" t="s">
        <v>72</v>
      </c>
      <c r="F78" s="1" t="s">
        <v>690</v>
      </c>
      <c r="G78" s="1">
        <v>13.5</v>
      </c>
      <c r="H78" s="1" t="s">
        <v>60</v>
      </c>
      <c r="I78" s="1">
        <v>-125.0</v>
      </c>
      <c r="J78" s="1">
        <v>-0.163698402764</v>
      </c>
      <c r="K78" s="1" t="s">
        <v>61</v>
      </c>
      <c r="L78" s="1" t="s">
        <v>61</v>
      </c>
      <c r="M78" s="1" t="s">
        <v>62</v>
      </c>
      <c r="N78" s="1">
        <v>-107.0</v>
      </c>
      <c r="O78" s="1">
        <v>0.0912416206059565</v>
      </c>
      <c r="P78" s="1" t="s">
        <v>61</v>
      </c>
      <c r="Q78" s="1" t="s">
        <v>61</v>
      </c>
      <c r="R78" s="1">
        <f t="shared" si="1"/>
        <v>0.09124162061</v>
      </c>
      <c r="S78" s="1">
        <f t="shared" si="2"/>
        <v>-107</v>
      </c>
      <c r="T78" s="1">
        <f t="shared" si="3"/>
        <v>1.934579439</v>
      </c>
      <c r="U78" s="1">
        <f t="shared" si="4"/>
        <v>0</v>
      </c>
      <c r="V78" s="3">
        <f t="shared" si="5"/>
        <v>2</v>
      </c>
      <c r="W78" s="3">
        <f t="shared" si="6"/>
        <v>2</v>
      </c>
      <c r="X78" s="3" t="str">
        <f>IFERROR(__xludf.DUMMYFUNCTION("split(B78,"" "")"),"R.")</f>
        <v>R.</v>
      </c>
      <c r="Y78" s="3" t="str">
        <f>IFERROR(__xludf.DUMMYFUNCTION("""COMPUTED_VALUE"""),"Dowdle")</f>
        <v>Dowdle</v>
      </c>
      <c r="AA78" s="8">
        <v>10.0</v>
      </c>
      <c r="AB78" s="3">
        <f t="shared" si="7"/>
        <v>0</v>
      </c>
      <c r="AC78" s="3">
        <f t="shared" si="8"/>
        <v>1</v>
      </c>
      <c r="AD78" s="3">
        <f t="shared" si="9"/>
        <v>1.869158879</v>
      </c>
      <c r="AE78" s="3">
        <f t="shared" si="10"/>
        <v>1.869158879</v>
      </c>
      <c r="AF78" s="3">
        <f t="shared" si="11"/>
        <v>1.869158879</v>
      </c>
      <c r="AG78" s="3">
        <f t="shared" si="12"/>
        <v>0.2592592593</v>
      </c>
    </row>
    <row r="79">
      <c r="A79" s="1" t="s">
        <v>9</v>
      </c>
      <c r="B79" s="1" t="s">
        <v>87</v>
      </c>
      <c r="C79" s="1" t="s">
        <v>18</v>
      </c>
      <c r="D79" s="1" t="s">
        <v>88</v>
      </c>
      <c r="E79" s="1" t="s">
        <v>72</v>
      </c>
      <c r="F79" s="1" t="s">
        <v>690</v>
      </c>
      <c r="G79" s="1">
        <v>25.5</v>
      </c>
      <c r="H79" s="1" t="s">
        <v>60</v>
      </c>
      <c r="I79" s="1">
        <v>-115.0</v>
      </c>
      <c r="J79" s="1">
        <v>0.0832663360871729</v>
      </c>
      <c r="K79" s="1" t="s">
        <v>61</v>
      </c>
      <c r="L79" s="1" t="s">
        <v>61</v>
      </c>
      <c r="M79" s="1" t="s">
        <v>62</v>
      </c>
      <c r="N79" s="1">
        <v>-117.0</v>
      </c>
      <c r="O79" s="1">
        <v>-0.157328533837457</v>
      </c>
      <c r="P79" s="1" t="s">
        <v>61</v>
      </c>
      <c r="Q79" s="1" t="s">
        <v>61</v>
      </c>
      <c r="R79" s="1">
        <f t="shared" si="1"/>
        <v>0.08326633609</v>
      </c>
      <c r="S79" s="1">
        <f t="shared" si="2"/>
        <v>-115</v>
      </c>
      <c r="T79" s="1">
        <f t="shared" si="3"/>
        <v>1.869565217</v>
      </c>
      <c r="U79" s="1">
        <f t="shared" si="4"/>
        <v>1</v>
      </c>
      <c r="V79" s="3">
        <f t="shared" si="5"/>
        <v>2</v>
      </c>
      <c r="W79" s="3">
        <f t="shared" si="6"/>
        <v>2</v>
      </c>
      <c r="X79" s="3" t="str">
        <f>IFERROR(__xludf.DUMMYFUNCTION("split(B79,"" "")"),"J.")</f>
        <v>J.</v>
      </c>
      <c r="Y79" s="3" t="str">
        <f>IFERROR(__xludf.DUMMYFUNCTION("""COMPUTED_VALUE"""),"Tolbert")</f>
        <v>Tolbert</v>
      </c>
      <c r="AA79" s="8">
        <v>21.0</v>
      </c>
      <c r="AB79" s="3">
        <f t="shared" si="7"/>
        <v>0</v>
      </c>
      <c r="AC79" s="3">
        <f t="shared" si="8"/>
        <v>0</v>
      </c>
      <c r="AD79" s="3">
        <f t="shared" si="9"/>
        <v>1.739130435</v>
      </c>
      <c r="AE79" s="3">
        <f t="shared" si="10"/>
        <v>-2</v>
      </c>
      <c r="AF79" s="3">
        <f t="shared" si="11"/>
        <v>-2</v>
      </c>
      <c r="AG79" s="3">
        <f t="shared" si="12"/>
        <v>-0.1764705882</v>
      </c>
    </row>
    <row r="80">
      <c r="A80" s="1" t="s">
        <v>12</v>
      </c>
      <c r="B80" s="1" t="s">
        <v>412</v>
      </c>
      <c r="C80" s="1" t="s">
        <v>20</v>
      </c>
      <c r="D80" s="1" t="s">
        <v>88</v>
      </c>
      <c r="E80" s="1" t="s">
        <v>72</v>
      </c>
      <c r="F80" s="1" t="s">
        <v>690</v>
      </c>
      <c r="G80" s="1">
        <v>3.5</v>
      </c>
      <c r="H80" s="1" t="s">
        <v>60</v>
      </c>
      <c r="I80" s="1">
        <v>-149.0</v>
      </c>
      <c r="J80" s="1">
        <v>-0.146993574297188</v>
      </c>
      <c r="K80" s="1" t="s">
        <v>61</v>
      </c>
      <c r="L80" s="1" t="s">
        <v>61</v>
      </c>
      <c r="M80" s="1" t="s">
        <v>62</v>
      </c>
      <c r="N80" s="1">
        <v>114.0</v>
      </c>
      <c r="O80" s="1">
        <v>0.0813102803738317</v>
      </c>
      <c r="P80" s="1" t="s">
        <v>61</v>
      </c>
      <c r="Q80" s="1" t="s">
        <v>61</v>
      </c>
      <c r="R80" s="1">
        <f t="shared" si="1"/>
        <v>0.08131028037</v>
      </c>
      <c r="S80" s="1">
        <f t="shared" si="2"/>
        <v>114</v>
      </c>
      <c r="T80" s="1">
        <f t="shared" si="3"/>
        <v>2.14</v>
      </c>
      <c r="U80" s="1">
        <f t="shared" si="4"/>
        <v>0</v>
      </c>
      <c r="V80" s="3">
        <f t="shared" si="5"/>
        <v>2</v>
      </c>
      <c r="W80" s="3">
        <f t="shared" si="6"/>
        <v>1</v>
      </c>
      <c r="X80" s="3" t="str">
        <f>IFERROR(__xludf.DUMMYFUNCTION("split(B80,"" "")"),"J.")</f>
        <v>J.</v>
      </c>
      <c r="Y80" s="3" t="str">
        <f>IFERROR(__xludf.DUMMYFUNCTION("""COMPUTED_VALUE"""),"Ferguson")</f>
        <v>Ferguson</v>
      </c>
      <c r="AA80" s="8">
        <v>1.0</v>
      </c>
      <c r="AB80" s="3">
        <f t="shared" si="7"/>
        <v>0</v>
      </c>
      <c r="AC80" s="3">
        <f t="shared" si="8"/>
        <v>1</v>
      </c>
      <c r="AD80" s="3">
        <f t="shared" si="9"/>
        <v>2.28</v>
      </c>
      <c r="AE80" s="3">
        <f t="shared" si="10"/>
        <v>2.28</v>
      </c>
      <c r="AF80" s="3">
        <f t="shared" si="11"/>
        <v>1.14</v>
      </c>
      <c r="AG80" s="3">
        <f t="shared" si="12"/>
        <v>0.7142857143</v>
      </c>
    </row>
    <row r="81">
      <c r="A81" s="1" t="s">
        <v>14</v>
      </c>
      <c r="B81" s="1" t="s">
        <v>681</v>
      </c>
      <c r="C81" s="1" t="s">
        <v>21</v>
      </c>
      <c r="D81" s="1" t="s">
        <v>88</v>
      </c>
      <c r="E81" s="1" t="s">
        <v>72</v>
      </c>
      <c r="F81" s="1" t="s">
        <v>690</v>
      </c>
      <c r="G81" s="1">
        <v>0.5</v>
      </c>
      <c r="H81" s="1" t="s">
        <v>60</v>
      </c>
      <c r="I81" s="1">
        <v>-164.0</v>
      </c>
      <c r="J81" s="1">
        <v>-0.130972343446969</v>
      </c>
      <c r="K81" s="1" t="s">
        <v>61</v>
      </c>
      <c r="L81" s="1" t="s">
        <v>61</v>
      </c>
      <c r="M81" s="1" t="s">
        <v>62</v>
      </c>
      <c r="N81" s="1">
        <v>124.0</v>
      </c>
      <c r="O81" s="1">
        <v>0.0633245476339286</v>
      </c>
      <c r="P81" s="1" t="s">
        <v>61</v>
      </c>
      <c r="Q81" s="1" t="s">
        <v>61</v>
      </c>
      <c r="R81" s="1">
        <f t="shared" si="1"/>
        <v>0.06332454763</v>
      </c>
      <c r="S81" s="1">
        <f t="shared" si="2"/>
        <v>124</v>
      </c>
      <c r="T81" s="1">
        <f t="shared" si="3"/>
        <v>2.24</v>
      </c>
      <c r="U81" s="1">
        <f t="shared" si="4"/>
        <v>0</v>
      </c>
      <c r="V81" s="3">
        <f t="shared" si="5"/>
        <v>2</v>
      </c>
      <c r="W81" s="3">
        <f t="shared" si="6"/>
        <v>1</v>
      </c>
      <c r="X81" s="3" t="str">
        <f>IFERROR(__xludf.DUMMYFUNCTION("split(B81,"" "")"),"C.")</f>
        <v>C.</v>
      </c>
      <c r="Y81" s="3" t="str">
        <f>IFERROR(__xludf.DUMMYFUNCTION("""COMPUTED_VALUE"""),"Rush")</f>
        <v>Rush</v>
      </c>
      <c r="AA81" s="8">
        <v>1.0</v>
      </c>
      <c r="AB81" s="3">
        <f t="shared" si="7"/>
        <v>1</v>
      </c>
      <c r="AC81" s="3">
        <f t="shared" si="8"/>
        <v>0</v>
      </c>
      <c r="AD81" s="3">
        <f t="shared" si="9"/>
        <v>2.48</v>
      </c>
      <c r="AE81" s="3">
        <f t="shared" si="10"/>
        <v>-2</v>
      </c>
      <c r="AF81" s="3">
        <f t="shared" si="11"/>
        <v>-1</v>
      </c>
      <c r="AG81" s="3">
        <f t="shared" si="12"/>
        <v>-1</v>
      </c>
    </row>
    <row r="82">
      <c r="A82" s="1" t="s">
        <v>17</v>
      </c>
      <c r="B82" s="1" t="s">
        <v>681</v>
      </c>
      <c r="C82" s="1" t="s">
        <v>21</v>
      </c>
      <c r="D82" s="1" t="s">
        <v>88</v>
      </c>
      <c r="E82" s="1" t="s">
        <v>72</v>
      </c>
      <c r="F82" s="1" t="s">
        <v>690</v>
      </c>
      <c r="G82" s="1">
        <v>0.5</v>
      </c>
      <c r="H82" s="1" t="s">
        <v>60</v>
      </c>
      <c r="I82" s="1">
        <v>-145.0</v>
      </c>
      <c r="J82" s="1">
        <v>-0.127977551020408</v>
      </c>
      <c r="K82" s="1" t="s">
        <v>61</v>
      </c>
      <c r="L82" s="1" t="s">
        <v>61</v>
      </c>
      <c r="M82" s="1" t="s">
        <v>62</v>
      </c>
      <c r="N82" s="1">
        <v>111.0</v>
      </c>
      <c r="O82" s="1">
        <v>0.0622137440758294</v>
      </c>
      <c r="P82" s="1" t="s">
        <v>61</v>
      </c>
      <c r="Q82" s="1" t="s">
        <v>61</v>
      </c>
      <c r="R82" s="1">
        <f t="shared" si="1"/>
        <v>0.06221374408</v>
      </c>
      <c r="S82" s="1">
        <f t="shared" si="2"/>
        <v>111</v>
      </c>
      <c r="T82" s="1">
        <f t="shared" si="3"/>
        <v>2.11</v>
      </c>
      <c r="U82" s="1">
        <f t="shared" si="4"/>
        <v>0</v>
      </c>
      <c r="V82" s="3">
        <f t="shared" si="5"/>
        <v>2</v>
      </c>
      <c r="W82" s="3">
        <f t="shared" si="6"/>
        <v>1</v>
      </c>
      <c r="X82" s="3" t="str">
        <f>IFERROR(__xludf.DUMMYFUNCTION("split(B82,"" "")"),"C.")</f>
        <v>C.</v>
      </c>
      <c r="Y82" s="3" t="str">
        <f>IFERROR(__xludf.DUMMYFUNCTION("""COMPUTED_VALUE"""),"Rush")</f>
        <v>Rush</v>
      </c>
      <c r="AA82" s="8">
        <v>1.0</v>
      </c>
      <c r="AB82" s="3">
        <f t="shared" si="7"/>
        <v>1</v>
      </c>
      <c r="AC82" s="3">
        <f t="shared" si="8"/>
        <v>0</v>
      </c>
      <c r="AD82" s="3">
        <f t="shared" si="9"/>
        <v>2.22</v>
      </c>
      <c r="AE82" s="3">
        <f t="shared" si="10"/>
        <v>-2</v>
      </c>
      <c r="AF82" s="3">
        <f t="shared" si="11"/>
        <v>-1</v>
      </c>
      <c r="AG82" s="3">
        <f t="shared" si="12"/>
        <v>-1</v>
      </c>
    </row>
    <row r="83">
      <c r="A83" s="1" t="s">
        <v>10</v>
      </c>
      <c r="B83" s="1" t="s">
        <v>681</v>
      </c>
      <c r="C83" s="1" t="s">
        <v>21</v>
      </c>
      <c r="D83" s="1" t="s">
        <v>88</v>
      </c>
      <c r="E83" s="1" t="s">
        <v>72</v>
      </c>
      <c r="F83" s="1" t="s">
        <v>690</v>
      </c>
      <c r="G83" s="1">
        <v>2.5</v>
      </c>
      <c r="H83" s="1" t="s">
        <v>60</v>
      </c>
      <c r="I83" s="1">
        <v>-123.0</v>
      </c>
      <c r="J83" s="1">
        <v>0.0468331430264655</v>
      </c>
      <c r="K83" s="1" t="s">
        <v>61</v>
      </c>
      <c r="L83" s="1" t="s">
        <v>61</v>
      </c>
      <c r="M83" s="1" t="s">
        <v>62</v>
      </c>
      <c r="N83" s="1">
        <v>-105.0</v>
      </c>
      <c r="O83" s="1">
        <v>-0.110598148486082</v>
      </c>
      <c r="P83" s="1" t="s">
        <v>61</v>
      </c>
      <c r="Q83" s="1" t="s">
        <v>61</v>
      </c>
      <c r="R83" s="1">
        <f t="shared" si="1"/>
        <v>0.04683314303</v>
      </c>
      <c r="S83" s="1">
        <f t="shared" si="2"/>
        <v>-123</v>
      </c>
      <c r="T83" s="1">
        <f t="shared" si="3"/>
        <v>1.81300813</v>
      </c>
      <c r="U83" s="1">
        <f t="shared" si="4"/>
        <v>1</v>
      </c>
      <c r="V83" s="3">
        <f t="shared" si="5"/>
        <v>1</v>
      </c>
      <c r="W83" s="3">
        <f t="shared" si="6"/>
        <v>3</v>
      </c>
      <c r="X83" s="3" t="str">
        <f>IFERROR(__xludf.DUMMYFUNCTION("split(B83,"" "")"),"C.")</f>
        <v>C.</v>
      </c>
      <c r="Y83" s="3" t="str">
        <f>IFERROR(__xludf.DUMMYFUNCTION("""COMPUTED_VALUE"""),"Rush")</f>
        <v>Rush</v>
      </c>
      <c r="AA83" s="8">
        <v>2.0</v>
      </c>
      <c r="AB83" s="3">
        <f t="shared" si="7"/>
        <v>0</v>
      </c>
      <c r="AC83" s="3">
        <f t="shared" si="8"/>
        <v>0</v>
      </c>
      <c r="AD83" s="3">
        <f t="shared" si="9"/>
        <v>0.8130081301</v>
      </c>
      <c r="AE83" s="3">
        <f t="shared" si="10"/>
        <v>-1</v>
      </c>
      <c r="AF83" s="3">
        <f t="shared" si="11"/>
        <v>-3</v>
      </c>
      <c r="AG83" s="3">
        <f t="shared" si="12"/>
        <v>-0.2</v>
      </c>
    </row>
    <row r="84">
      <c r="A84" s="1" t="s">
        <v>10</v>
      </c>
      <c r="B84" s="1" t="s">
        <v>395</v>
      </c>
      <c r="C84" s="1" t="s">
        <v>18</v>
      </c>
      <c r="D84" s="1" t="s">
        <v>88</v>
      </c>
      <c r="E84" s="1" t="s">
        <v>72</v>
      </c>
      <c r="F84" s="1" t="s">
        <v>690</v>
      </c>
      <c r="G84" s="1">
        <v>2.5</v>
      </c>
      <c r="H84" s="1" t="s">
        <v>60</v>
      </c>
      <c r="I84" s="1">
        <v>-115.0</v>
      </c>
      <c r="J84" s="1">
        <v>0.0462196778842998</v>
      </c>
      <c r="K84" s="1" t="s">
        <v>61</v>
      </c>
      <c r="L84" s="1" t="s">
        <v>61</v>
      </c>
      <c r="M84" s="1" t="s">
        <v>62</v>
      </c>
      <c r="N84" s="1">
        <v>-110.0</v>
      </c>
      <c r="O84" s="1">
        <v>-0.104900732474466</v>
      </c>
      <c r="P84" s="1" t="s">
        <v>61</v>
      </c>
      <c r="Q84" s="1" t="s">
        <v>61</v>
      </c>
      <c r="R84" s="1">
        <f t="shared" si="1"/>
        <v>0.04621967788</v>
      </c>
      <c r="S84" s="1">
        <f t="shared" si="2"/>
        <v>-115</v>
      </c>
      <c r="T84" s="1">
        <f t="shared" si="3"/>
        <v>1.869565217</v>
      </c>
      <c r="U84" s="1">
        <f t="shared" si="4"/>
        <v>1</v>
      </c>
      <c r="V84" s="3">
        <f t="shared" si="5"/>
        <v>1</v>
      </c>
      <c r="W84" s="3">
        <f t="shared" si="6"/>
        <v>2</v>
      </c>
      <c r="X84" s="3" t="str">
        <f>IFERROR(__xludf.DUMMYFUNCTION("split(B84,"" "")"),"C.")</f>
        <v>C.</v>
      </c>
      <c r="Y84" s="3" t="str">
        <f>IFERROR(__xludf.DUMMYFUNCTION("""COMPUTED_VALUE"""),"Lamb")</f>
        <v>Lamb</v>
      </c>
      <c r="AA84" s="8">
        <v>13.0</v>
      </c>
      <c r="AB84" s="3">
        <f t="shared" si="7"/>
        <v>1</v>
      </c>
      <c r="AC84" s="3">
        <f t="shared" si="8"/>
        <v>1</v>
      </c>
      <c r="AD84" s="3">
        <f t="shared" si="9"/>
        <v>0.8695652174</v>
      </c>
      <c r="AE84" s="3">
        <f t="shared" si="10"/>
        <v>0.8695652174</v>
      </c>
      <c r="AF84" s="3">
        <f t="shared" si="11"/>
        <v>1.739130435</v>
      </c>
      <c r="AG84" s="3">
        <f t="shared" si="12"/>
        <v>4.2</v>
      </c>
    </row>
    <row r="85">
      <c r="A85" s="1" t="s">
        <v>12</v>
      </c>
      <c r="B85" s="1" t="s">
        <v>87</v>
      </c>
      <c r="C85" s="1" t="s">
        <v>18</v>
      </c>
      <c r="D85" s="1" t="s">
        <v>88</v>
      </c>
      <c r="E85" s="1" t="s">
        <v>72</v>
      </c>
      <c r="F85" s="1" t="s">
        <v>690</v>
      </c>
      <c r="G85" s="1">
        <v>2.5</v>
      </c>
      <c r="H85" s="1" t="s">
        <v>60</v>
      </c>
      <c r="I85" s="1">
        <v>-118.0</v>
      </c>
      <c r="J85" s="1">
        <v>-0.115126338348623</v>
      </c>
      <c r="K85" s="1" t="s">
        <v>61</v>
      </c>
      <c r="L85" s="1" t="s">
        <v>61</v>
      </c>
      <c r="M85" s="1" t="s">
        <v>62</v>
      </c>
      <c r="N85" s="1">
        <v>-112.0</v>
      </c>
      <c r="O85" s="1">
        <v>0.0455464092981132</v>
      </c>
      <c r="P85" s="1" t="s">
        <v>61</v>
      </c>
      <c r="Q85" s="1" t="s">
        <v>61</v>
      </c>
      <c r="R85" s="1">
        <f t="shared" si="1"/>
        <v>0.0455464093</v>
      </c>
      <c r="S85" s="1">
        <f t="shared" si="2"/>
        <v>-112</v>
      </c>
      <c r="T85" s="1">
        <f t="shared" si="3"/>
        <v>1.892857143</v>
      </c>
      <c r="U85" s="1">
        <f t="shared" si="4"/>
        <v>0</v>
      </c>
      <c r="V85" s="3">
        <f t="shared" si="5"/>
        <v>1</v>
      </c>
      <c r="W85" s="3">
        <f t="shared" si="6"/>
        <v>2</v>
      </c>
      <c r="X85" s="3" t="str">
        <f>IFERROR(__xludf.DUMMYFUNCTION("split(B85,"" "")"),"J.")</f>
        <v>J.</v>
      </c>
      <c r="Y85" s="3" t="str">
        <f>IFERROR(__xludf.DUMMYFUNCTION("""COMPUTED_VALUE"""),"Tolbert")</f>
        <v>Tolbert</v>
      </c>
      <c r="AA85" s="8">
        <v>2.0</v>
      </c>
      <c r="AB85" s="3">
        <f t="shared" si="7"/>
        <v>0</v>
      </c>
      <c r="AC85" s="3">
        <f t="shared" si="8"/>
        <v>1</v>
      </c>
      <c r="AD85" s="3">
        <f t="shared" si="9"/>
        <v>0.8928571429</v>
      </c>
      <c r="AE85" s="3">
        <f t="shared" si="10"/>
        <v>0.8928571429</v>
      </c>
      <c r="AF85" s="3">
        <f t="shared" si="11"/>
        <v>1.785714286</v>
      </c>
      <c r="AG85" s="3">
        <f t="shared" si="12"/>
        <v>0.2</v>
      </c>
    </row>
    <row r="86">
      <c r="A86" s="1" t="s">
        <v>9</v>
      </c>
      <c r="B86" s="1" t="s">
        <v>152</v>
      </c>
      <c r="C86" s="1" t="s">
        <v>19</v>
      </c>
      <c r="D86" s="1" t="s">
        <v>88</v>
      </c>
      <c r="E86" s="1" t="s">
        <v>72</v>
      </c>
      <c r="F86" s="1" t="s">
        <v>690</v>
      </c>
      <c r="G86" s="1">
        <v>80.5</v>
      </c>
      <c r="H86" s="1" t="s">
        <v>60</v>
      </c>
      <c r="I86" s="1">
        <v>-109.0</v>
      </c>
      <c r="J86" s="1">
        <v>-0.114105713113807</v>
      </c>
      <c r="K86" s="1" t="s">
        <v>61</v>
      </c>
      <c r="L86" s="1" t="s">
        <v>61</v>
      </c>
      <c r="M86" s="1" t="s">
        <v>62</v>
      </c>
      <c r="N86" s="1">
        <v>-124.0</v>
      </c>
      <c r="O86" s="1">
        <v>0.0390148955829211</v>
      </c>
      <c r="P86" s="1" t="s">
        <v>61</v>
      </c>
      <c r="Q86" s="1" t="s">
        <v>61</v>
      </c>
      <c r="R86" s="1">
        <f t="shared" si="1"/>
        <v>0.03901489558</v>
      </c>
      <c r="S86" s="1">
        <f t="shared" si="2"/>
        <v>-124</v>
      </c>
      <c r="T86" s="1">
        <f t="shared" si="3"/>
        <v>1.806451613</v>
      </c>
      <c r="U86" s="1">
        <f t="shared" si="4"/>
        <v>0</v>
      </c>
      <c r="V86" s="3">
        <f t="shared" si="5"/>
        <v>1</v>
      </c>
      <c r="W86" s="3">
        <f t="shared" si="6"/>
        <v>3</v>
      </c>
      <c r="X86" s="3" t="str">
        <f>IFERROR(__xludf.DUMMYFUNCTION("split(B86,"" "")"),"R.")</f>
        <v>R.</v>
      </c>
      <c r="Y86" s="3" t="str">
        <f>IFERROR(__xludf.DUMMYFUNCTION("""COMPUTED_VALUE"""),"Dowdle")</f>
        <v>Dowdle</v>
      </c>
      <c r="AA86" s="8">
        <v>34.0</v>
      </c>
      <c r="AB86" s="3">
        <f t="shared" si="7"/>
        <v>0</v>
      </c>
      <c r="AC86" s="3">
        <f t="shared" si="8"/>
        <v>1</v>
      </c>
      <c r="AD86" s="3">
        <f t="shared" si="9"/>
        <v>0.8064516129</v>
      </c>
      <c r="AE86" s="3">
        <f t="shared" si="10"/>
        <v>0.8064516129</v>
      </c>
      <c r="AF86" s="3">
        <f t="shared" si="11"/>
        <v>2.419354839</v>
      </c>
      <c r="AG86" s="3">
        <f t="shared" si="12"/>
        <v>0.5776397516</v>
      </c>
    </row>
    <row r="87">
      <c r="A87" s="1" t="s">
        <v>11</v>
      </c>
      <c r="B87" s="1" t="s">
        <v>572</v>
      </c>
      <c r="C87" s="1" t="s">
        <v>18</v>
      </c>
      <c r="D87" s="1" t="s">
        <v>88</v>
      </c>
      <c r="E87" s="1" t="s">
        <v>72</v>
      </c>
      <c r="F87" s="1" t="s">
        <v>690</v>
      </c>
      <c r="G87" s="1">
        <v>9.5</v>
      </c>
      <c r="H87" s="1" t="s">
        <v>60</v>
      </c>
      <c r="I87" s="1">
        <v>-108.0</v>
      </c>
      <c r="J87" s="1">
        <v>0.0380630967865899</v>
      </c>
      <c r="K87" s="1" t="s">
        <v>61</v>
      </c>
      <c r="L87" s="1" t="s">
        <v>61</v>
      </c>
      <c r="M87" s="1" t="s">
        <v>62</v>
      </c>
      <c r="N87" s="1">
        <v>-117.0</v>
      </c>
      <c r="O87" s="1">
        <v>-0.0964393328755047</v>
      </c>
      <c r="P87" s="1" t="s">
        <v>61</v>
      </c>
      <c r="Q87" s="1" t="s">
        <v>61</v>
      </c>
      <c r="R87" s="1">
        <f t="shared" si="1"/>
        <v>0.03806309679</v>
      </c>
      <c r="S87" s="1">
        <f t="shared" si="2"/>
        <v>-108</v>
      </c>
      <c r="T87" s="1">
        <f t="shared" si="3"/>
        <v>1.925925926</v>
      </c>
      <c r="U87" s="1">
        <f t="shared" si="4"/>
        <v>1</v>
      </c>
      <c r="V87" s="3">
        <f t="shared" si="5"/>
        <v>1</v>
      </c>
      <c r="W87" s="3">
        <f t="shared" si="6"/>
        <v>2</v>
      </c>
      <c r="X87" s="3" t="str">
        <f>IFERROR(__xludf.DUMMYFUNCTION("split(B87,"" "")"),"J.")</f>
        <v>J.</v>
      </c>
      <c r="Y87" s="3" t="str">
        <f>IFERROR(__xludf.DUMMYFUNCTION("""COMPUTED_VALUE"""),"Brooks")</f>
        <v>Brooks</v>
      </c>
      <c r="AA87" s="8">
        <v>0.0</v>
      </c>
      <c r="AB87" s="3">
        <f t="shared" si="7"/>
        <v>0</v>
      </c>
      <c r="AC87" s="3">
        <f t="shared" si="8"/>
        <v>0</v>
      </c>
      <c r="AD87" s="3">
        <f t="shared" si="9"/>
        <v>0.9259259259</v>
      </c>
      <c r="AE87" s="3">
        <f t="shared" si="10"/>
        <v>-1</v>
      </c>
      <c r="AF87" s="3">
        <f t="shared" si="11"/>
        <v>-2</v>
      </c>
      <c r="AG87" s="3">
        <f t="shared" si="12"/>
        <v>-1</v>
      </c>
    </row>
    <row r="88">
      <c r="A88" s="1" t="s">
        <v>12</v>
      </c>
      <c r="B88" s="1" t="s">
        <v>395</v>
      </c>
      <c r="C88" s="1" t="s">
        <v>18</v>
      </c>
      <c r="D88" s="1" t="s">
        <v>88</v>
      </c>
      <c r="E88" s="1" t="s">
        <v>72</v>
      </c>
      <c r="F88" s="1" t="s">
        <v>690</v>
      </c>
      <c r="G88" s="1">
        <v>5.5</v>
      </c>
      <c r="H88" s="1" t="s">
        <v>60</v>
      </c>
      <c r="I88" s="1">
        <v>-145.0</v>
      </c>
      <c r="J88" s="1">
        <v>0.0254632653061225</v>
      </c>
      <c r="K88" s="1" t="s">
        <v>61</v>
      </c>
      <c r="L88" s="1" t="s">
        <v>61</v>
      </c>
      <c r="M88" s="1" t="s">
        <v>62</v>
      </c>
      <c r="N88" s="1">
        <v>111.0</v>
      </c>
      <c r="O88" s="1">
        <v>-0.0912336492890995</v>
      </c>
      <c r="P88" s="1" t="s">
        <v>61</v>
      </c>
      <c r="Q88" s="1" t="s">
        <v>61</v>
      </c>
      <c r="R88" s="1">
        <f t="shared" si="1"/>
        <v>0.02546326531</v>
      </c>
      <c r="S88" s="1">
        <f t="shared" si="2"/>
        <v>-145</v>
      </c>
      <c r="T88" s="1">
        <f t="shared" si="3"/>
        <v>1.689655172</v>
      </c>
      <c r="U88" s="1">
        <f t="shared" si="4"/>
        <v>1</v>
      </c>
      <c r="V88" s="3">
        <f t="shared" si="5"/>
        <v>1</v>
      </c>
      <c r="W88" s="3">
        <f t="shared" si="6"/>
        <v>3</v>
      </c>
      <c r="X88" s="3" t="str">
        <f>IFERROR(__xludf.DUMMYFUNCTION("split(B88,"" "")"),"C.")</f>
        <v>C.</v>
      </c>
      <c r="Y88" s="3" t="str">
        <f>IFERROR(__xludf.DUMMYFUNCTION("""COMPUTED_VALUE"""),"Lamb")</f>
        <v>Lamb</v>
      </c>
      <c r="AA88" s="8">
        <v>8.0</v>
      </c>
      <c r="AB88" s="3">
        <f t="shared" si="7"/>
        <v>1</v>
      </c>
      <c r="AC88" s="3">
        <f t="shared" si="8"/>
        <v>1</v>
      </c>
      <c r="AD88" s="3">
        <f t="shared" si="9"/>
        <v>0.6896551724</v>
      </c>
      <c r="AE88" s="3">
        <f t="shared" si="10"/>
        <v>0.6896551724</v>
      </c>
      <c r="AF88" s="3">
        <f t="shared" si="11"/>
        <v>2.068965517</v>
      </c>
      <c r="AG88" s="3">
        <f t="shared" si="12"/>
        <v>0.4545454545</v>
      </c>
    </row>
    <row r="89">
      <c r="A89" s="1" t="s">
        <v>10</v>
      </c>
      <c r="B89" s="1" t="s">
        <v>152</v>
      </c>
      <c r="C89" s="1" t="s">
        <v>19</v>
      </c>
      <c r="D89" s="1" t="s">
        <v>88</v>
      </c>
      <c r="E89" s="1" t="s">
        <v>72</v>
      </c>
      <c r="F89" s="1" t="s">
        <v>690</v>
      </c>
      <c r="G89" s="1">
        <v>57.5</v>
      </c>
      <c r="H89" s="1" t="s">
        <v>60</v>
      </c>
      <c r="I89" s="1">
        <v>-109.0</v>
      </c>
      <c r="J89" s="1">
        <v>-0.0792263259045071</v>
      </c>
      <c r="K89" s="1" t="s">
        <v>61</v>
      </c>
      <c r="L89" s="1" t="s">
        <v>61</v>
      </c>
      <c r="M89" s="1" t="s">
        <v>62</v>
      </c>
      <c r="N89" s="1">
        <v>-117.0</v>
      </c>
      <c r="O89" s="1">
        <v>0.0185356085510066</v>
      </c>
      <c r="P89" s="1" t="s">
        <v>61</v>
      </c>
      <c r="Q89" s="1" t="s">
        <v>61</v>
      </c>
      <c r="R89" s="1">
        <f t="shared" si="1"/>
        <v>0.01853560855</v>
      </c>
      <c r="S89" s="1">
        <f t="shared" si="2"/>
        <v>-117</v>
      </c>
      <c r="T89" s="1">
        <f t="shared" si="3"/>
        <v>1.854700855</v>
      </c>
      <c r="U89" s="1">
        <f t="shared" si="4"/>
        <v>0</v>
      </c>
      <c r="V89" s="3">
        <f t="shared" si="5"/>
        <v>1</v>
      </c>
      <c r="W89" s="3">
        <f t="shared" si="6"/>
        <v>2</v>
      </c>
      <c r="X89" s="3" t="str">
        <f>IFERROR(__xludf.DUMMYFUNCTION("split(B89,"" "")"),"R.")</f>
        <v>R.</v>
      </c>
      <c r="Y89" s="3" t="str">
        <f>IFERROR(__xludf.DUMMYFUNCTION("""COMPUTED_VALUE"""),"Dowdle")</f>
        <v>Dowdle</v>
      </c>
      <c r="AA89" s="8">
        <v>28.0</v>
      </c>
      <c r="AB89" s="3">
        <f t="shared" si="7"/>
        <v>0</v>
      </c>
      <c r="AC89" s="3">
        <f t="shared" si="8"/>
        <v>1</v>
      </c>
      <c r="AD89" s="3">
        <f t="shared" si="9"/>
        <v>0.8547008547</v>
      </c>
      <c r="AE89" s="3">
        <f t="shared" si="10"/>
        <v>0.8547008547</v>
      </c>
      <c r="AF89" s="3">
        <f t="shared" si="11"/>
        <v>1.709401709</v>
      </c>
      <c r="AG89" s="3">
        <f t="shared" si="12"/>
        <v>0.5130434783</v>
      </c>
    </row>
    <row r="90">
      <c r="A90" s="1" t="s">
        <v>11</v>
      </c>
      <c r="B90" s="1" t="s">
        <v>152</v>
      </c>
      <c r="C90" s="1" t="s">
        <v>19</v>
      </c>
      <c r="D90" s="1" t="s">
        <v>88</v>
      </c>
      <c r="E90" s="1" t="s">
        <v>72</v>
      </c>
      <c r="F90" s="1" t="s">
        <v>690</v>
      </c>
      <c r="G90" s="1">
        <v>18.5</v>
      </c>
      <c r="H90" s="1" t="s">
        <v>60</v>
      </c>
      <c r="I90" s="1">
        <v>-114.0</v>
      </c>
      <c r="J90" s="1">
        <v>-0.0853248112797242</v>
      </c>
      <c r="K90" s="1" t="s">
        <v>61</v>
      </c>
      <c r="L90" s="1" t="s">
        <v>61</v>
      </c>
      <c r="M90" s="1" t="s">
        <v>62</v>
      </c>
      <c r="N90" s="1">
        <v>-115.0</v>
      </c>
      <c r="O90" s="1">
        <v>0.0177618421206517</v>
      </c>
      <c r="P90" s="1" t="s">
        <v>61</v>
      </c>
      <c r="Q90" s="1" t="s">
        <v>61</v>
      </c>
      <c r="R90" s="1">
        <f t="shared" si="1"/>
        <v>0.01776184212</v>
      </c>
      <c r="S90" s="1">
        <f t="shared" si="2"/>
        <v>-115</v>
      </c>
      <c r="T90" s="1">
        <f t="shared" si="3"/>
        <v>1.869565217</v>
      </c>
      <c r="U90" s="1">
        <f t="shared" si="4"/>
        <v>0</v>
      </c>
      <c r="V90" s="3">
        <f t="shared" si="5"/>
        <v>1</v>
      </c>
      <c r="W90" s="3">
        <f t="shared" si="6"/>
        <v>2</v>
      </c>
      <c r="X90" s="3" t="str">
        <f>IFERROR(__xludf.DUMMYFUNCTION("split(B90,"" "")"),"R.")</f>
        <v>R.</v>
      </c>
      <c r="Y90" s="3" t="str">
        <f>IFERROR(__xludf.DUMMYFUNCTION("""COMPUTED_VALUE"""),"Dowdle")</f>
        <v>Dowdle</v>
      </c>
      <c r="AA90" s="8">
        <v>6.0</v>
      </c>
      <c r="AB90" s="3">
        <f t="shared" si="7"/>
        <v>0</v>
      </c>
      <c r="AC90" s="3">
        <f t="shared" si="8"/>
        <v>1</v>
      </c>
      <c r="AD90" s="3">
        <f t="shared" si="9"/>
        <v>0.8695652174</v>
      </c>
      <c r="AE90" s="3">
        <f t="shared" si="10"/>
        <v>0.8695652174</v>
      </c>
      <c r="AF90" s="3">
        <f t="shared" si="11"/>
        <v>1.739130435</v>
      </c>
      <c r="AG90" s="3">
        <f t="shared" si="12"/>
        <v>0.6756756757</v>
      </c>
    </row>
    <row r="91">
      <c r="A91" s="1" t="s">
        <v>11</v>
      </c>
      <c r="B91" s="1" t="s">
        <v>412</v>
      </c>
      <c r="C91" s="1" t="s">
        <v>20</v>
      </c>
      <c r="D91" s="1" t="s">
        <v>88</v>
      </c>
      <c r="E91" s="1" t="s">
        <v>72</v>
      </c>
      <c r="F91" s="1" t="s">
        <v>690</v>
      </c>
      <c r="G91" s="1">
        <v>34.5</v>
      </c>
      <c r="H91" s="1" t="s">
        <v>60</v>
      </c>
      <c r="I91" s="1">
        <v>-114.0</v>
      </c>
      <c r="J91" s="1">
        <v>-0.0837450858647197</v>
      </c>
      <c r="K91" s="1" t="s">
        <v>61</v>
      </c>
      <c r="L91" s="1" t="s">
        <v>61</v>
      </c>
      <c r="M91" s="1" t="s">
        <v>62</v>
      </c>
      <c r="N91" s="1">
        <v>-115.0</v>
      </c>
      <c r="O91" s="1">
        <v>0.0161547512204071</v>
      </c>
      <c r="P91" s="1" t="s">
        <v>61</v>
      </c>
      <c r="Q91" s="1" t="s">
        <v>61</v>
      </c>
      <c r="R91" s="1">
        <f t="shared" si="1"/>
        <v>0.01615475122</v>
      </c>
      <c r="S91" s="1">
        <f t="shared" si="2"/>
        <v>-115</v>
      </c>
      <c r="T91" s="1">
        <f t="shared" si="3"/>
        <v>1.869565217</v>
      </c>
      <c r="U91" s="1">
        <f t="shared" si="4"/>
        <v>0</v>
      </c>
      <c r="V91" s="3">
        <f t="shared" si="5"/>
        <v>1</v>
      </c>
      <c r="W91" s="3">
        <f t="shared" si="6"/>
        <v>2</v>
      </c>
      <c r="X91" s="3" t="str">
        <f>IFERROR(__xludf.DUMMYFUNCTION("split(B91,"" "")"),"J.")</f>
        <v>J.</v>
      </c>
      <c r="Y91" s="3" t="str">
        <f>IFERROR(__xludf.DUMMYFUNCTION("""COMPUTED_VALUE"""),"Ferguson")</f>
        <v>Ferguson</v>
      </c>
      <c r="AA91" s="8">
        <v>11.0</v>
      </c>
      <c r="AB91" s="3">
        <f t="shared" si="7"/>
        <v>0</v>
      </c>
      <c r="AC91" s="3">
        <f t="shared" si="8"/>
        <v>1</v>
      </c>
      <c r="AD91" s="3">
        <f t="shared" si="9"/>
        <v>0.8695652174</v>
      </c>
      <c r="AE91" s="3">
        <f t="shared" si="10"/>
        <v>0.8695652174</v>
      </c>
      <c r="AF91" s="3">
        <f t="shared" si="11"/>
        <v>1.739130435</v>
      </c>
      <c r="AG91" s="3">
        <f t="shared" si="12"/>
        <v>0.6811594203</v>
      </c>
    </row>
    <row r="92">
      <c r="A92" s="1" t="s">
        <v>13</v>
      </c>
      <c r="B92" s="1" t="s">
        <v>681</v>
      </c>
      <c r="C92" s="1" t="s">
        <v>21</v>
      </c>
      <c r="D92" s="1" t="s">
        <v>88</v>
      </c>
      <c r="E92" s="1" t="s">
        <v>72</v>
      </c>
      <c r="F92" s="1" t="s">
        <v>690</v>
      </c>
      <c r="G92" s="1">
        <v>176.5</v>
      </c>
      <c r="H92" s="1" t="s">
        <v>60</v>
      </c>
      <c r="I92" s="1">
        <v>-114.0</v>
      </c>
      <c r="J92" s="1">
        <v>0.0149636184766354</v>
      </c>
      <c r="K92" s="1" t="s">
        <v>61</v>
      </c>
      <c r="L92" s="1" t="s">
        <v>61</v>
      </c>
      <c r="M92" s="1" t="s">
        <v>62</v>
      </c>
      <c r="N92" s="1">
        <v>-115.0</v>
      </c>
      <c r="O92" s="1">
        <v>-0.082423658172558</v>
      </c>
      <c r="P92" s="1" t="s">
        <v>61</v>
      </c>
      <c r="Q92" s="1" t="s">
        <v>61</v>
      </c>
      <c r="R92" s="1">
        <f t="shared" si="1"/>
        <v>0.01496361848</v>
      </c>
      <c r="S92" s="1">
        <f t="shared" si="2"/>
        <v>-114</v>
      </c>
      <c r="T92" s="1">
        <f t="shared" si="3"/>
        <v>1.877192982</v>
      </c>
      <c r="U92" s="1">
        <f t="shared" si="4"/>
        <v>1</v>
      </c>
      <c r="V92" s="3">
        <f t="shared" si="5"/>
        <v>1</v>
      </c>
      <c r="W92" s="3">
        <f t="shared" si="6"/>
        <v>2</v>
      </c>
      <c r="X92" s="3" t="str">
        <f>IFERROR(__xludf.DUMMYFUNCTION("split(B92,"" "")"),"C.")</f>
        <v>C.</v>
      </c>
      <c r="Y92" s="3" t="str">
        <f>IFERROR(__xludf.DUMMYFUNCTION("""COMPUTED_VALUE"""),"Rush")</f>
        <v>Rush</v>
      </c>
      <c r="AA92" s="8">
        <v>354.0</v>
      </c>
      <c r="AB92" s="3">
        <f t="shared" si="7"/>
        <v>1</v>
      </c>
      <c r="AC92" s="3">
        <f t="shared" si="8"/>
        <v>1</v>
      </c>
      <c r="AD92" s="3">
        <f t="shared" si="9"/>
        <v>0.8771929825</v>
      </c>
      <c r="AE92" s="3">
        <f t="shared" si="10"/>
        <v>0.8771929825</v>
      </c>
      <c r="AF92" s="3">
        <f t="shared" si="11"/>
        <v>1.754385965</v>
      </c>
      <c r="AG92" s="3">
        <f t="shared" si="12"/>
        <v>1.005665722</v>
      </c>
    </row>
    <row r="93">
      <c r="A93" s="1" t="s">
        <v>10</v>
      </c>
      <c r="B93" s="1" t="s">
        <v>375</v>
      </c>
      <c r="C93" s="1" t="s">
        <v>19</v>
      </c>
      <c r="D93" s="1" t="s">
        <v>88</v>
      </c>
      <c r="E93" s="1" t="s">
        <v>72</v>
      </c>
      <c r="F93" s="1" t="s">
        <v>690</v>
      </c>
      <c r="G93" s="1">
        <v>15.5</v>
      </c>
      <c r="H93" s="1" t="s">
        <v>60</v>
      </c>
      <c r="I93" s="1">
        <v>-106.0</v>
      </c>
      <c r="J93" s="1">
        <v>-0.0694009505018484</v>
      </c>
      <c r="K93" s="1" t="s">
        <v>61</v>
      </c>
      <c r="L93" s="1" t="s">
        <v>61</v>
      </c>
      <c r="M93" s="1" t="s">
        <v>62</v>
      </c>
      <c r="N93" s="1">
        <v>-121.0</v>
      </c>
      <c r="O93" s="1">
        <v>0.00733137068819322</v>
      </c>
      <c r="P93" s="1" t="s">
        <v>61</v>
      </c>
      <c r="Q93" s="1" t="s">
        <v>61</v>
      </c>
      <c r="R93" s="1">
        <f t="shared" si="1"/>
        <v>0.007331370688</v>
      </c>
      <c r="S93" s="1">
        <f t="shared" si="2"/>
        <v>-121</v>
      </c>
      <c r="T93" s="1">
        <f t="shared" si="3"/>
        <v>1.826446281</v>
      </c>
      <c r="U93" s="1">
        <f t="shared" si="4"/>
        <v>0</v>
      </c>
      <c r="V93" s="3">
        <f t="shared" si="5"/>
        <v>1</v>
      </c>
      <c r="W93" s="3">
        <f t="shared" si="6"/>
        <v>3</v>
      </c>
      <c r="X93" s="3" t="str">
        <f>IFERROR(__xludf.DUMMYFUNCTION("split(B93,"" "")"),"E.")</f>
        <v>E.</v>
      </c>
      <c r="Y93" s="3" t="str">
        <f>IFERROR(__xludf.DUMMYFUNCTION("""COMPUTED_VALUE"""),"Elliott")</f>
        <v>Elliott</v>
      </c>
      <c r="AA93" s="8">
        <v>8.0</v>
      </c>
      <c r="AB93" s="3">
        <f t="shared" si="7"/>
        <v>0</v>
      </c>
      <c r="AC93" s="3">
        <f t="shared" si="8"/>
        <v>1</v>
      </c>
      <c r="AD93" s="3">
        <f t="shared" si="9"/>
        <v>0.826446281</v>
      </c>
      <c r="AE93" s="3">
        <f t="shared" si="10"/>
        <v>0.826446281</v>
      </c>
      <c r="AF93" s="3">
        <f t="shared" si="11"/>
        <v>2.479338843</v>
      </c>
      <c r="AG93" s="3">
        <f t="shared" si="12"/>
        <v>0.4838709677</v>
      </c>
    </row>
    <row r="94">
      <c r="A94" s="1" t="s">
        <v>12</v>
      </c>
      <c r="B94" s="1" t="s">
        <v>448</v>
      </c>
      <c r="C94" s="1" t="s">
        <v>18</v>
      </c>
      <c r="D94" s="1" t="s">
        <v>83</v>
      </c>
      <c r="E94" s="1" t="s">
        <v>109</v>
      </c>
      <c r="F94" s="1" t="s">
        <v>686</v>
      </c>
      <c r="G94" s="1">
        <v>1.5</v>
      </c>
      <c r="H94" s="1" t="s">
        <v>60</v>
      </c>
      <c r="I94" s="1">
        <v>-165.0</v>
      </c>
      <c r="J94" s="1">
        <v>-0.294105137833962</v>
      </c>
      <c r="K94" s="1" t="s">
        <v>61</v>
      </c>
      <c r="L94" s="1" t="s">
        <v>61</v>
      </c>
      <c r="M94" s="1" t="s">
        <v>62</v>
      </c>
      <c r="N94" s="1">
        <v>125.0</v>
      </c>
      <c r="O94" s="1">
        <v>0.227030495671111</v>
      </c>
      <c r="P94" s="1" t="s">
        <v>61</v>
      </c>
      <c r="Q94" s="1" t="s">
        <v>61</v>
      </c>
      <c r="R94" s="1">
        <f t="shared" si="1"/>
        <v>0.2270304957</v>
      </c>
      <c r="S94" s="1">
        <f t="shared" si="2"/>
        <v>125</v>
      </c>
      <c r="T94" s="1">
        <f t="shared" si="3"/>
        <v>2.25</v>
      </c>
      <c r="U94" s="1">
        <f t="shared" si="4"/>
        <v>0</v>
      </c>
      <c r="V94" s="3">
        <f t="shared" si="5"/>
        <v>3</v>
      </c>
      <c r="W94" s="3">
        <f t="shared" si="6"/>
        <v>1</v>
      </c>
      <c r="X94" s="3" t="str">
        <f>IFERROR(__xludf.DUMMYFUNCTION("split(B94,"" "")"),"M.")</f>
        <v>M.</v>
      </c>
      <c r="Y94" s="3" t="str">
        <f>IFERROR(__xludf.DUMMYFUNCTION("""COMPUTED_VALUE"""),"Mims")</f>
        <v>Mims</v>
      </c>
      <c r="Z94" s="3" t="str">
        <f>IFERROR(__xludf.DUMMYFUNCTION("""COMPUTED_VALUE"""),"Jr.")</f>
        <v>Jr.</v>
      </c>
      <c r="AA94" s="8">
        <v>2.0</v>
      </c>
      <c r="AB94" s="3">
        <f t="shared" si="7"/>
        <v>1</v>
      </c>
      <c r="AC94" s="3">
        <f t="shared" si="8"/>
        <v>0</v>
      </c>
      <c r="AD94" s="3">
        <f t="shared" si="9"/>
        <v>3.75</v>
      </c>
      <c r="AE94" s="3">
        <f t="shared" si="10"/>
        <v>-3</v>
      </c>
      <c r="AF94" s="3">
        <f t="shared" si="11"/>
        <v>-1</v>
      </c>
      <c r="AG94" s="3">
        <f t="shared" si="12"/>
        <v>-0.3333333333</v>
      </c>
    </row>
    <row r="95">
      <c r="A95" s="1" t="s">
        <v>10</v>
      </c>
      <c r="B95" s="1" t="s">
        <v>691</v>
      </c>
      <c r="C95" s="1" t="s">
        <v>19</v>
      </c>
      <c r="D95" s="1" t="s">
        <v>83</v>
      </c>
      <c r="E95" s="1" t="s">
        <v>109</v>
      </c>
      <c r="F95" s="1" t="s">
        <v>686</v>
      </c>
      <c r="G95" s="1">
        <v>57.5</v>
      </c>
      <c r="H95" s="1" t="s">
        <v>60</v>
      </c>
      <c r="I95" s="1">
        <v>-114.0</v>
      </c>
      <c r="J95" s="1">
        <v>-0.221321104591943</v>
      </c>
      <c r="K95" s="1" t="s">
        <v>61</v>
      </c>
      <c r="L95" s="1" t="s">
        <v>61</v>
      </c>
      <c r="M95" s="1" t="s">
        <v>62</v>
      </c>
      <c r="N95" s="1">
        <v>-112.0</v>
      </c>
      <c r="O95" s="1">
        <v>0.16036244630191</v>
      </c>
      <c r="P95" s="1" t="s">
        <v>61</v>
      </c>
      <c r="Q95" s="1" t="s">
        <v>61</v>
      </c>
      <c r="R95" s="1">
        <f t="shared" si="1"/>
        <v>0.1603624463</v>
      </c>
      <c r="S95" s="1">
        <f t="shared" si="2"/>
        <v>-112</v>
      </c>
      <c r="T95" s="1">
        <f t="shared" si="3"/>
        <v>1.892857143</v>
      </c>
      <c r="U95" s="1">
        <f t="shared" si="4"/>
        <v>0</v>
      </c>
      <c r="V95" s="3">
        <f t="shared" si="5"/>
        <v>3</v>
      </c>
      <c r="W95" s="3">
        <f t="shared" si="6"/>
        <v>2</v>
      </c>
      <c r="X95" s="3" t="str">
        <f>IFERROR(__xludf.DUMMYFUNCTION("split(B95,"" "")"),"A.")</f>
        <v>A.</v>
      </c>
      <c r="Y95" s="3" t="str">
        <f>IFERROR(__xludf.DUMMYFUNCTION("""COMPUTED_VALUE"""),"Estime")</f>
        <v>Estime</v>
      </c>
      <c r="AA95" s="8">
        <v>16.0</v>
      </c>
      <c r="AB95" s="3">
        <f t="shared" si="7"/>
        <v>0</v>
      </c>
      <c r="AC95" s="3">
        <f t="shared" si="8"/>
        <v>1</v>
      </c>
      <c r="AD95" s="3">
        <f t="shared" si="9"/>
        <v>2.678571429</v>
      </c>
      <c r="AE95" s="3">
        <f t="shared" si="10"/>
        <v>2.678571429</v>
      </c>
      <c r="AF95" s="3">
        <f t="shared" si="11"/>
        <v>1.785714286</v>
      </c>
      <c r="AG95" s="3">
        <f t="shared" si="12"/>
        <v>0.7217391304</v>
      </c>
    </row>
    <row r="96">
      <c r="A96" s="1" t="s">
        <v>8</v>
      </c>
      <c r="B96" s="1" t="s">
        <v>464</v>
      </c>
      <c r="C96" s="1" t="s">
        <v>21</v>
      </c>
      <c r="D96" s="1" t="s">
        <v>83</v>
      </c>
      <c r="E96" s="1" t="s">
        <v>109</v>
      </c>
      <c r="F96" s="1" t="s">
        <v>686</v>
      </c>
      <c r="G96" s="1">
        <v>6.5</v>
      </c>
      <c r="H96" s="1" t="s">
        <v>60</v>
      </c>
      <c r="I96" s="1">
        <v>108.0</v>
      </c>
      <c r="J96" s="1">
        <v>-0.16851111782053</v>
      </c>
      <c r="K96" s="1" t="s">
        <v>61</v>
      </c>
      <c r="L96" s="1" t="s">
        <v>61</v>
      </c>
      <c r="M96" s="1" t="s">
        <v>62</v>
      </c>
      <c r="N96" s="1">
        <v>-144.0</v>
      </c>
      <c r="O96" s="1">
        <v>0.0975836748998382</v>
      </c>
      <c r="P96" s="1" t="s">
        <v>61</v>
      </c>
      <c r="Q96" s="1" t="s">
        <v>61</v>
      </c>
      <c r="R96" s="1">
        <f t="shared" si="1"/>
        <v>0.0975836749</v>
      </c>
      <c r="S96" s="1">
        <f t="shared" si="2"/>
        <v>-144</v>
      </c>
      <c r="T96" s="1">
        <f t="shared" si="3"/>
        <v>1.694444444</v>
      </c>
      <c r="U96" s="1">
        <f t="shared" si="4"/>
        <v>0</v>
      </c>
      <c r="V96" s="3">
        <f t="shared" si="5"/>
        <v>2</v>
      </c>
      <c r="W96" s="3">
        <f t="shared" si="6"/>
        <v>3</v>
      </c>
      <c r="X96" s="3" t="str">
        <f>IFERROR(__xludf.DUMMYFUNCTION("split(B96,"" "")"),"B.")</f>
        <v>B.</v>
      </c>
      <c r="Y96" s="3" t="str">
        <f>IFERROR(__xludf.DUMMYFUNCTION("""COMPUTED_VALUE"""),"Nix")</f>
        <v>Nix</v>
      </c>
      <c r="AA96" s="8">
        <v>2.0</v>
      </c>
      <c r="AB96" s="3">
        <f t="shared" si="7"/>
        <v>0</v>
      </c>
      <c r="AC96" s="3">
        <f t="shared" si="8"/>
        <v>1</v>
      </c>
      <c r="AD96" s="3">
        <f t="shared" si="9"/>
        <v>1.388888889</v>
      </c>
      <c r="AE96" s="3">
        <f t="shared" si="10"/>
        <v>1.388888889</v>
      </c>
      <c r="AF96" s="3">
        <f t="shared" si="11"/>
        <v>2.083333333</v>
      </c>
      <c r="AG96" s="3">
        <f t="shared" si="12"/>
        <v>0.6923076923</v>
      </c>
    </row>
    <row r="97">
      <c r="A97" s="1" t="s">
        <v>11</v>
      </c>
      <c r="B97" s="1" t="s">
        <v>448</v>
      </c>
      <c r="C97" s="1" t="s">
        <v>18</v>
      </c>
      <c r="D97" s="1" t="s">
        <v>83</v>
      </c>
      <c r="E97" s="1" t="s">
        <v>109</v>
      </c>
      <c r="F97" s="1" t="s">
        <v>686</v>
      </c>
      <c r="G97" s="1">
        <v>8.5</v>
      </c>
      <c r="H97" s="1" t="s">
        <v>60</v>
      </c>
      <c r="I97" s="1">
        <v>-115.0</v>
      </c>
      <c r="J97" s="1">
        <v>0.0469102261129812</v>
      </c>
      <c r="K97" s="1" t="s">
        <v>61</v>
      </c>
      <c r="L97" s="1" t="s">
        <v>61</v>
      </c>
      <c r="M97" s="1" t="s">
        <v>62</v>
      </c>
      <c r="N97" s="1">
        <v>-115.0</v>
      </c>
      <c r="O97" s="1">
        <v>-0.116661760029928</v>
      </c>
      <c r="P97" s="1" t="s">
        <v>61</v>
      </c>
      <c r="Q97" s="1" t="s">
        <v>61</v>
      </c>
      <c r="R97" s="1">
        <f t="shared" si="1"/>
        <v>0.04691022611</v>
      </c>
      <c r="S97" s="1">
        <f t="shared" si="2"/>
        <v>-115</v>
      </c>
      <c r="T97" s="1">
        <f t="shared" si="3"/>
        <v>1.869565217</v>
      </c>
      <c r="U97" s="1">
        <f t="shared" si="4"/>
        <v>1</v>
      </c>
      <c r="V97" s="3">
        <f t="shared" si="5"/>
        <v>1</v>
      </c>
      <c r="W97" s="3">
        <f t="shared" si="6"/>
        <v>2</v>
      </c>
      <c r="X97" s="3" t="str">
        <f>IFERROR(__xludf.DUMMYFUNCTION("split(B97,"" "")"),"M.")</f>
        <v>M.</v>
      </c>
      <c r="Y97" s="3" t="str">
        <f>IFERROR(__xludf.DUMMYFUNCTION("""COMPUTED_VALUE"""),"Mims")</f>
        <v>Mims</v>
      </c>
      <c r="Z97" s="3" t="str">
        <f>IFERROR(__xludf.DUMMYFUNCTION("""COMPUTED_VALUE"""),"Jr.")</f>
        <v>Jr.</v>
      </c>
      <c r="AA97" s="8">
        <v>49.0</v>
      </c>
      <c r="AB97" s="3">
        <f t="shared" si="7"/>
        <v>1</v>
      </c>
      <c r="AC97" s="3">
        <f t="shared" si="8"/>
        <v>1</v>
      </c>
      <c r="AD97" s="3">
        <f t="shared" si="9"/>
        <v>0.8695652174</v>
      </c>
      <c r="AE97" s="3">
        <f t="shared" si="10"/>
        <v>0.8695652174</v>
      </c>
      <c r="AF97" s="3">
        <f t="shared" si="11"/>
        <v>1.739130435</v>
      </c>
      <c r="AG97" s="3">
        <f t="shared" si="12"/>
        <v>4.764705882</v>
      </c>
    </row>
    <row r="98">
      <c r="A98" s="1" t="s">
        <v>10</v>
      </c>
      <c r="B98" s="1" t="s">
        <v>464</v>
      </c>
      <c r="C98" s="1" t="s">
        <v>21</v>
      </c>
      <c r="D98" s="1" t="s">
        <v>83</v>
      </c>
      <c r="E98" s="1" t="s">
        <v>109</v>
      </c>
      <c r="F98" s="1" t="s">
        <v>686</v>
      </c>
      <c r="G98" s="1">
        <v>28.5</v>
      </c>
      <c r="H98" s="1" t="s">
        <v>60</v>
      </c>
      <c r="I98" s="1">
        <v>-114.0</v>
      </c>
      <c r="J98" s="1">
        <v>-0.113922264085928</v>
      </c>
      <c r="K98" s="1" t="s">
        <v>61</v>
      </c>
      <c r="L98" s="1" t="s">
        <v>61</v>
      </c>
      <c r="M98" s="1" t="s">
        <v>62</v>
      </c>
      <c r="N98" s="1">
        <v>-118.0</v>
      </c>
      <c r="O98" s="1">
        <v>0.0398978079219204</v>
      </c>
      <c r="P98" s="1" t="s">
        <v>61</v>
      </c>
      <c r="Q98" s="1" t="s">
        <v>61</v>
      </c>
      <c r="R98" s="1">
        <f t="shared" si="1"/>
        <v>0.03989780792</v>
      </c>
      <c r="S98" s="1">
        <f t="shared" si="2"/>
        <v>-118</v>
      </c>
      <c r="T98" s="1">
        <f t="shared" si="3"/>
        <v>1.847457627</v>
      </c>
      <c r="U98" s="1">
        <f t="shared" si="4"/>
        <v>0</v>
      </c>
      <c r="V98" s="3">
        <f t="shared" si="5"/>
        <v>1</v>
      </c>
      <c r="W98" s="3">
        <f t="shared" si="6"/>
        <v>3</v>
      </c>
      <c r="X98" s="3" t="str">
        <f>IFERROR(__xludf.DUMMYFUNCTION("split(B98,"" "")"),"B.")</f>
        <v>B.</v>
      </c>
      <c r="Y98" s="3" t="str">
        <f>IFERROR(__xludf.DUMMYFUNCTION("""COMPUTED_VALUE"""),"Nix")</f>
        <v>Nix</v>
      </c>
      <c r="AA98" s="8">
        <v>5.0</v>
      </c>
      <c r="AB98" s="3">
        <f t="shared" si="7"/>
        <v>0</v>
      </c>
      <c r="AC98" s="3">
        <f t="shared" si="8"/>
        <v>1</v>
      </c>
      <c r="AD98" s="3">
        <f t="shared" si="9"/>
        <v>0.8474576271</v>
      </c>
      <c r="AE98" s="3">
        <f t="shared" si="10"/>
        <v>0.8474576271</v>
      </c>
      <c r="AF98" s="3">
        <f t="shared" si="11"/>
        <v>2.542372881</v>
      </c>
      <c r="AG98" s="3">
        <f t="shared" si="12"/>
        <v>0.8245614035</v>
      </c>
    </row>
    <row r="99">
      <c r="A99" s="1" t="s">
        <v>17</v>
      </c>
      <c r="B99" s="1" t="s">
        <v>464</v>
      </c>
      <c r="C99" s="1" t="s">
        <v>21</v>
      </c>
      <c r="D99" s="1" t="s">
        <v>83</v>
      </c>
      <c r="E99" s="1" t="s">
        <v>109</v>
      </c>
      <c r="F99" s="1" t="s">
        <v>686</v>
      </c>
      <c r="G99" s="1">
        <v>0.5</v>
      </c>
      <c r="H99" s="1" t="s">
        <v>60</v>
      </c>
      <c r="I99" s="1">
        <v>-111.0</v>
      </c>
      <c r="J99" s="1">
        <v>-0.0909189573459715</v>
      </c>
      <c r="K99" s="1" t="s">
        <v>61</v>
      </c>
      <c r="L99" s="1" t="s">
        <v>61</v>
      </c>
      <c r="M99" s="1" t="s">
        <v>62</v>
      </c>
      <c r="N99" s="1">
        <v>-117.0</v>
      </c>
      <c r="O99" s="1">
        <v>0.0256755760368664</v>
      </c>
      <c r="P99" s="1" t="s">
        <v>61</v>
      </c>
      <c r="Q99" s="1" t="s">
        <v>61</v>
      </c>
      <c r="R99" s="1">
        <f t="shared" si="1"/>
        <v>0.02567557604</v>
      </c>
      <c r="S99" s="1">
        <f t="shared" si="2"/>
        <v>-117</v>
      </c>
      <c r="T99" s="1">
        <f t="shared" si="3"/>
        <v>1.854700855</v>
      </c>
      <c r="U99" s="1">
        <f t="shared" si="4"/>
        <v>0</v>
      </c>
      <c r="V99" s="3">
        <f t="shared" si="5"/>
        <v>1</v>
      </c>
      <c r="W99" s="3">
        <f t="shared" si="6"/>
        <v>2</v>
      </c>
      <c r="X99" s="3" t="str">
        <f>IFERROR(__xludf.DUMMYFUNCTION("split(B99,"" "")"),"B.")</f>
        <v>B.</v>
      </c>
      <c r="Y99" s="3" t="str">
        <f>IFERROR(__xludf.DUMMYFUNCTION("""COMPUTED_VALUE"""),"Nix")</f>
        <v>Nix</v>
      </c>
      <c r="AA99" s="8">
        <v>0.0</v>
      </c>
      <c r="AB99" s="3">
        <f t="shared" si="7"/>
        <v>0</v>
      </c>
      <c r="AC99" s="3">
        <f t="shared" si="8"/>
        <v>1</v>
      </c>
      <c r="AD99" s="3">
        <f t="shared" si="9"/>
        <v>0.8547008547</v>
      </c>
      <c r="AE99" s="3">
        <f t="shared" si="10"/>
        <v>0.8547008547</v>
      </c>
      <c r="AF99" s="3">
        <f t="shared" si="11"/>
        <v>1.709401709</v>
      </c>
      <c r="AG99" s="3">
        <f t="shared" si="12"/>
        <v>1</v>
      </c>
    </row>
    <row r="100">
      <c r="A100" s="1" t="s">
        <v>11</v>
      </c>
      <c r="B100" s="1" t="s">
        <v>401</v>
      </c>
      <c r="C100" s="1" t="s">
        <v>18</v>
      </c>
      <c r="D100" s="1" t="s">
        <v>83</v>
      </c>
      <c r="E100" s="1" t="s">
        <v>109</v>
      </c>
      <c r="F100" s="1" t="s">
        <v>686</v>
      </c>
      <c r="G100" s="1">
        <v>54.5</v>
      </c>
      <c r="H100" s="1" t="s">
        <v>60</v>
      </c>
      <c r="I100" s="1">
        <v>-113.0</v>
      </c>
      <c r="J100" s="1">
        <v>-0.0800217050780516</v>
      </c>
      <c r="K100" s="1" t="s">
        <v>61</v>
      </c>
      <c r="L100" s="1" t="s">
        <v>61</v>
      </c>
      <c r="M100" s="1" t="s">
        <v>62</v>
      </c>
      <c r="N100" s="1">
        <v>-118.0</v>
      </c>
      <c r="O100" s="1">
        <v>0.00820615194238538</v>
      </c>
      <c r="P100" s="1" t="s">
        <v>61</v>
      </c>
      <c r="Q100" s="1" t="s">
        <v>61</v>
      </c>
      <c r="R100" s="1">
        <f t="shared" si="1"/>
        <v>0.008206151942</v>
      </c>
      <c r="S100" s="1">
        <f t="shared" si="2"/>
        <v>-118</v>
      </c>
      <c r="T100" s="1">
        <f t="shared" si="3"/>
        <v>1.847457627</v>
      </c>
      <c r="U100" s="1">
        <f t="shared" si="4"/>
        <v>0</v>
      </c>
      <c r="V100" s="3">
        <f t="shared" si="5"/>
        <v>1</v>
      </c>
      <c r="W100" s="3">
        <f t="shared" si="6"/>
        <v>3</v>
      </c>
      <c r="X100" s="3" t="str">
        <f>IFERROR(__xludf.DUMMYFUNCTION("split(B100,"" "")"),"C.")</f>
        <v>C.</v>
      </c>
      <c r="Y100" s="3" t="str">
        <f>IFERROR(__xludf.DUMMYFUNCTION("""COMPUTED_VALUE"""),"Sutton")</f>
        <v>Sutton</v>
      </c>
      <c r="AA100" s="8">
        <v>78.0</v>
      </c>
      <c r="AB100" s="3">
        <f t="shared" si="7"/>
        <v>1</v>
      </c>
      <c r="AC100" s="3">
        <f t="shared" si="8"/>
        <v>0</v>
      </c>
      <c r="AD100" s="3">
        <f t="shared" si="9"/>
        <v>0.8474576271</v>
      </c>
      <c r="AE100" s="3">
        <f t="shared" si="10"/>
        <v>-1</v>
      </c>
      <c r="AF100" s="3">
        <f t="shared" si="11"/>
        <v>-3</v>
      </c>
      <c r="AG100" s="3">
        <f t="shared" si="12"/>
        <v>-0.4311926606</v>
      </c>
    </row>
    <row r="101">
      <c r="A101" s="1" t="s">
        <v>10</v>
      </c>
      <c r="B101" s="1" t="s">
        <v>385</v>
      </c>
      <c r="C101" s="1" t="s">
        <v>18</v>
      </c>
      <c r="D101" s="1" t="s">
        <v>197</v>
      </c>
      <c r="E101" s="1" t="s">
        <v>93</v>
      </c>
      <c r="F101" s="1" t="s">
        <v>687</v>
      </c>
      <c r="G101" s="1">
        <v>0.5</v>
      </c>
      <c r="H101" s="1" t="s">
        <v>60</v>
      </c>
      <c r="I101" s="1">
        <v>733.0</v>
      </c>
      <c r="J101" s="1">
        <v>0.498446883608775</v>
      </c>
      <c r="K101" s="1" t="s">
        <v>61</v>
      </c>
      <c r="L101" s="1" t="s">
        <v>61</v>
      </c>
      <c r="M101" s="1" t="s">
        <v>62</v>
      </c>
      <c r="N101" s="1">
        <v>-1628.0</v>
      </c>
      <c r="O101" s="1">
        <v>-0.560546445975338</v>
      </c>
      <c r="P101" s="1" t="s">
        <v>61</v>
      </c>
      <c r="Q101" s="1" t="s">
        <v>61</v>
      </c>
      <c r="R101" s="1">
        <f t="shared" si="1"/>
        <v>0.4984468836</v>
      </c>
      <c r="S101" s="1">
        <f t="shared" si="2"/>
        <v>733</v>
      </c>
      <c r="T101" s="1">
        <f t="shared" si="3"/>
        <v>8.33</v>
      </c>
      <c r="U101" s="1">
        <f t="shared" si="4"/>
        <v>1</v>
      </c>
      <c r="V101" s="3">
        <f t="shared" si="5"/>
        <v>3</v>
      </c>
      <c r="W101" s="3">
        <f t="shared" si="6"/>
        <v>1</v>
      </c>
      <c r="X101" s="3" t="str">
        <f>IFERROR(__xludf.DUMMYFUNCTION("split(B101,"" "")"),"A.")</f>
        <v>A.</v>
      </c>
      <c r="Y101" s="3" t="str">
        <f>IFERROR(__xludf.DUMMYFUNCTION("""COMPUTED_VALUE"""),"St.")</f>
        <v>St.</v>
      </c>
      <c r="Z101" s="3" t="str">
        <f>IFERROR(__xludf.DUMMYFUNCTION("""COMPUTED_VALUE"""),"Brown")</f>
        <v>Brown</v>
      </c>
      <c r="AA101" s="8">
        <v>-4.0</v>
      </c>
      <c r="AB101" s="3">
        <f t="shared" si="7"/>
        <v>0</v>
      </c>
      <c r="AC101" s="3">
        <f t="shared" si="8"/>
        <v>0</v>
      </c>
      <c r="AD101" s="3">
        <f t="shared" si="9"/>
        <v>21.99</v>
      </c>
      <c r="AE101" s="3">
        <f t="shared" si="10"/>
        <v>0</v>
      </c>
      <c r="AF101" s="3">
        <f t="shared" si="11"/>
        <v>-1</v>
      </c>
      <c r="AG101" s="3">
        <f t="shared" si="12"/>
        <v>-9</v>
      </c>
    </row>
    <row r="102">
      <c r="A102" s="1" t="s">
        <v>10</v>
      </c>
      <c r="B102" s="1" t="s">
        <v>241</v>
      </c>
      <c r="C102" s="1" t="s">
        <v>21</v>
      </c>
      <c r="D102" s="1" t="s">
        <v>197</v>
      </c>
      <c r="E102" s="1" t="s">
        <v>93</v>
      </c>
      <c r="F102" s="1" t="s">
        <v>687</v>
      </c>
      <c r="G102" s="1">
        <v>0.5</v>
      </c>
      <c r="H102" s="1" t="s">
        <v>60</v>
      </c>
      <c r="I102" s="1">
        <v>-104.0</v>
      </c>
      <c r="J102" s="1">
        <v>0.139451780433301</v>
      </c>
      <c r="K102" s="1" t="s">
        <v>61</v>
      </c>
      <c r="L102" s="1" t="s">
        <v>61</v>
      </c>
      <c r="M102" s="1" t="s">
        <v>62</v>
      </c>
      <c r="N102" s="1">
        <v>-127.0</v>
      </c>
      <c r="O102" s="1">
        <v>-0.20873493953866</v>
      </c>
      <c r="P102" s="1" t="s">
        <v>61</v>
      </c>
      <c r="Q102" s="1" t="s">
        <v>61</v>
      </c>
      <c r="R102" s="1">
        <f t="shared" si="1"/>
        <v>0.1394517804</v>
      </c>
      <c r="S102" s="1">
        <f t="shared" si="2"/>
        <v>-104</v>
      </c>
      <c r="T102" s="1">
        <f t="shared" si="3"/>
        <v>1.961538462</v>
      </c>
      <c r="U102" s="1">
        <f t="shared" si="4"/>
        <v>1</v>
      </c>
      <c r="V102" s="3">
        <f t="shared" si="5"/>
        <v>3</v>
      </c>
      <c r="W102" s="3">
        <f t="shared" si="6"/>
        <v>2</v>
      </c>
      <c r="X102" s="3" t="str">
        <f>IFERROR(__xludf.DUMMYFUNCTION("split(B102,"" "")"),"J.")</f>
        <v>J.</v>
      </c>
      <c r="Y102" s="3" t="str">
        <f>IFERROR(__xludf.DUMMYFUNCTION("""COMPUTED_VALUE"""),"Goff")</f>
        <v>Goff</v>
      </c>
      <c r="AA102" s="8">
        <v>21.0</v>
      </c>
      <c r="AB102" s="3">
        <f t="shared" si="7"/>
        <v>1</v>
      </c>
      <c r="AC102" s="3">
        <f t="shared" si="8"/>
        <v>1</v>
      </c>
      <c r="AD102" s="3">
        <f t="shared" si="9"/>
        <v>2.884615385</v>
      </c>
      <c r="AE102" s="3">
        <f t="shared" si="10"/>
        <v>2.884615385</v>
      </c>
      <c r="AF102" s="3">
        <f t="shared" si="11"/>
        <v>1.923076923</v>
      </c>
      <c r="AG102" s="3">
        <f t="shared" si="12"/>
        <v>41</v>
      </c>
    </row>
    <row r="103">
      <c r="A103" s="1" t="s">
        <v>12</v>
      </c>
      <c r="B103" s="1" t="s">
        <v>385</v>
      </c>
      <c r="C103" s="1" t="s">
        <v>18</v>
      </c>
      <c r="D103" s="1" t="s">
        <v>197</v>
      </c>
      <c r="E103" s="1" t="s">
        <v>93</v>
      </c>
      <c r="F103" s="1" t="s">
        <v>687</v>
      </c>
      <c r="G103" s="1">
        <v>6.5</v>
      </c>
      <c r="H103" s="1" t="s">
        <v>60</v>
      </c>
      <c r="I103" s="1">
        <v>-131.0</v>
      </c>
      <c r="J103" s="1">
        <v>0.0884138528138527</v>
      </c>
      <c r="K103" s="1" t="s">
        <v>61</v>
      </c>
      <c r="L103" s="1" t="s">
        <v>61</v>
      </c>
      <c r="M103" s="1" t="s">
        <v>62</v>
      </c>
      <c r="N103" s="1">
        <v>100.0</v>
      </c>
      <c r="O103" s="1">
        <v>-0.155499999999999</v>
      </c>
      <c r="P103" s="1" t="s">
        <v>61</v>
      </c>
      <c r="Q103" s="1" t="s">
        <v>61</v>
      </c>
      <c r="R103" s="1">
        <f t="shared" si="1"/>
        <v>0.08841385281</v>
      </c>
      <c r="S103" s="1">
        <f t="shared" si="2"/>
        <v>-131</v>
      </c>
      <c r="T103" s="1">
        <f t="shared" si="3"/>
        <v>1.763358779</v>
      </c>
      <c r="U103" s="1">
        <f t="shared" si="4"/>
        <v>1</v>
      </c>
      <c r="V103" s="3">
        <f t="shared" si="5"/>
        <v>2</v>
      </c>
      <c r="W103" s="3">
        <f t="shared" si="6"/>
        <v>3</v>
      </c>
      <c r="X103" s="3" t="str">
        <f>IFERROR(__xludf.DUMMYFUNCTION("split(B103,"" "")"),"A.")</f>
        <v>A.</v>
      </c>
      <c r="Y103" s="3" t="str">
        <f>IFERROR(__xludf.DUMMYFUNCTION("""COMPUTED_VALUE"""),"St.")</f>
        <v>St.</v>
      </c>
      <c r="Z103" s="3" t="str">
        <f>IFERROR(__xludf.DUMMYFUNCTION("""COMPUTED_VALUE"""),"Brown")</f>
        <v>Brown</v>
      </c>
      <c r="AA103" s="8">
        <v>11.0</v>
      </c>
      <c r="AB103" s="3">
        <f t="shared" si="7"/>
        <v>1</v>
      </c>
      <c r="AC103" s="3">
        <f t="shared" si="8"/>
        <v>1</v>
      </c>
      <c r="AD103" s="3">
        <f t="shared" si="9"/>
        <v>1.526717557</v>
      </c>
      <c r="AE103" s="3">
        <f t="shared" si="10"/>
        <v>1.526717557</v>
      </c>
      <c r="AF103" s="3">
        <f t="shared" si="11"/>
        <v>2.290076336</v>
      </c>
      <c r="AG103" s="3">
        <f t="shared" si="12"/>
        <v>0.6923076923</v>
      </c>
    </row>
    <row r="104">
      <c r="A104" s="1" t="s">
        <v>15</v>
      </c>
      <c r="B104" s="1" t="s">
        <v>241</v>
      </c>
      <c r="C104" s="1" t="s">
        <v>21</v>
      </c>
      <c r="D104" s="1" t="s">
        <v>197</v>
      </c>
      <c r="E104" s="1" t="s">
        <v>93</v>
      </c>
      <c r="F104" s="1" t="s">
        <v>687</v>
      </c>
      <c r="G104" s="1">
        <v>20.5</v>
      </c>
      <c r="H104" s="1" t="s">
        <v>60</v>
      </c>
      <c r="I104" s="1">
        <v>106.0</v>
      </c>
      <c r="J104" s="1">
        <v>0.0672087378640777</v>
      </c>
      <c r="K104" s="1" t="s">
        <v>61</v>
      </c>
      <c r="L104" s="1" t="s">
        <v>61</v>
      </c>
      <c r="M104" s="1" t="s">
        <v>62</v>
      </c>
      <c r="N104" s="1">
        <v>-136.0</v>
      </c>
      <c r="O104" s="1">
        <v>-0.128898305084745</v>
      </c>
      <c r="P104" s="1" t="s">
        <v>61</v>
      </c>
      <c r="Q104" s="1" t="s">
        <v>61</v>
      </c>
      <c r="R104" s="1">
        <f t="shared" si="1"/>
        <v>0.06720873786</v>
      </c>
      <c r="S104" s="1">
        <f t="shared" si="2"/>
        <v>106</v>
      </c>
      <c r="T104" s="1">
        <f t="shared" si="3"/>
        <v>2.06</v>
      </c>
      <c r="U104" s="1">
        <f t="shared" si="4"/>
        <v>1</v>
      </c>
      <c r="V104" s="3">
        <f t="shared" si="5"/>
        <v>2</v>
      </c>
      <c r="W104" s="3">
        <f t="shared" si="6"/>
        <v>2</v>
      </c>
      <c r="X104" s="3" t="str">
        <f>IFERROR(__xludf.DUMMYFUNCTION("split(B104,"" "")"),"J.")</f>
        <v>J.</v>
      </c>
      <c r="Y104" s="3" t="str">
        <f>IFERROR(__xludf.DUMMYFUNCTION("""COMPUTED_VALUE"""),"Goff")</f>
        <v>Goff</v>
      </c>
      <c r="AA104" s="8">
        <v>24.0</v>
      </c>
      <c r="AB104" s="3">
        <f t="shared" si="7"/>
        <v>1</v>
      </c>
      <c r="AC104" s="3">
        <f t="shared" si="8"/>
        <v>1</v>
      </c>
      <c r="AD104" s="3">
        <f t="shared" si="9"/>
        <v>2.12</v>
      </c>
      <c r="AE104" s="3">
        <f t="shared" si="10"/>
        <v>2.12</v>
      </c>
      <c r="AF104" s="3">
        <f t="shared" si="11"/>
        <v>2.12</v>
      </c>
      <c r="AG104" s="3">
        <f t="shared" si="12"/>
        <v>0.1707317073</v>
      </c>
    </row>
    <row r="105">
      <c r="A105" s="1" t="s">
        <v>8</v>
      </c>
      <c r="B105" s="1" t="s">
        <v>241</v>
      </c>
      <c r="C105" s="1" t="s">
        <v>21</v>
      </c>
      <c r="D105" s="1" t="s">
        <v>197</v>
      </c>
      <c r="E105" s="1" t="s">
        <v>93</v>
      </c>
      <c r="F105" s="1" t="s">
        <v>687</v>
      </c>
      <c r="G105" s="1">
        <v>1.5</v>
      </c>
      <c r="H105" s="1" t="s">
        <v>60</v>
      </c>
      <c r="I105" s="1">
        <v>-172.0</v>
      </c>
      <c r="J105" s="1">
        <v>-0.124517645826171</v>
      </c>
      <c r="K105" s="1" t="s">
        <v>61</v>
      </c>
      <c r="L105" s="1" t="s">
        <v>61</v>
      </c>
      <c r="M105" s="1" t="s">
        <v>62</v>
      </c>
      <c r="N105" s="1">
        <v>128.0</v>
      </c>
      <c r="O105" s="1">
        <v>0.0535807002838536</v>
      </c>
      <c r="P105" s="1" t="s">
        <v>61</v>
      </c>
      <c r="Q105" s="1" t="s">
        <v>61</v>
      </c>
      <c r="R105" s="1">
        <f t="shared" si="1"/>
        <v>0.05358070028</v>
      </c>
      <c r="S105" s="1">
        <f t="shared" si="2"/>
        <v>128</v>
      </c>
      <c r="T105" s="1">
        <f t="shared" si="3"/>
        <v>2.28</v>
      </c>
      <c r="U105" s="1">
        <f t="shared" si="4"/>
        <v>0</v>
      </c>
      <c r="V105" s="3">
        <f t="shared" si="5"/>
        <v>2</v>
      </c>
      <c r="W105" s="3">
        <f t="shared" si="6"/>
        <v>1</v>
      </c>
      <c r="X105" s="3" t="str">
        <f>IFERROR(__xludf.DUMMYFUNCTION("split(B105,"" "")"),"J.")</f>
        <v>J.</v>
      </c>
      <c r="Y105" s="3" t="str">
        <f>IFERROR(__xludf.DUMMYFUNCTION("""COMPUTED_VALUE"""),"Goff")</f>
        <v>Goff</v>
      </c>
      <c r="AA105" s="8">
        <v>4.0</v>
      </c>
      <c r="AB105" s="3">
        <f t="shared" si="7"/>
        <v>1</v>
      </c>
      <c r="AC105" s="3">
        <f t="shared" si="8"/>
        <v>0</v>
      </c>
      <c r="AD105" s="3">
        <f t="shared" si="9"/>
        <v>2.56</v>
      </c>
      <c r="AE105" s="3">
        <f t="shared" si="10"/>
        <v>-2</v>
      </c>
      <c r="AF105" s="3">
        <f t="shared" si="11"/>
        <v>-1</v>
      </c>
      <c r="AG105" s="3">
        <f t="shared" si="12"/>
        <v>-1.666666667</v>
      </c>
    </row>
    <row r="106">
      <c r="A106" s="1" t="s">
        <v>14</v>
      </c>
      <c r="B106" s="1" t="s">
        <v>241</v>
      </c>
      <c r="C106" s="1" t="s">
        <v>21</v>
      </c>
      <c r="D106" s="1" t="s">
        <v>197</v>
      </c>
      <c r="E106" s="1" t="s">
        <v>93</v>
      </c>
      <c r="F106" s="1" t="s">
        <v>687</v>
      </c>
      <c r="G106" s="1">
        <v>1.5</v>
      </c>
      <c r="H106" s="1" t="s">
        <v>60</v>
      </c>
      <c r="I106" s="1">
        <v>-125.0</v>
      </c>
      <c r="J106" s="1">
        <v>-0.104599999999999</v>
      </c>
      <c r="K106" s="1" t="s">
        <v>61</v>
      </c>
      <c r="L106" s="1" t="s">
        <v>61</v>
      </c>
      <c r="M106" s="1" t="s">
        <v>62</v>
      </c>
      <c r="N106" s="1">
        <v>-105.0</v>
      </c>
      <c r="O106" s="1">
        <v>0.0368560975609755</v>
      </c>
      <c r="P106" s="1" t="s">
        <v>61</v>
      </c>
      <c r="Q106" s="1" t="s">
        <v>61</v>
      </c>
      <c r="R106" s="1">
        <f t="shared" si="1"/>
        <v>0.03685609756</v>
      </c>
      <c r="S106" s="1">
        <f t="shared" si="2"/>
        <v>-105</v>
      </c>
      <c r="T106" s="1">
        <f t="shared" si="3"/>
        <v>1.952380952</v>
      </c>
      <c r="U106" s="1">
        <f t="shared" si="4"/>
        <v>0</v>
      </c>
      <c r="V106" s="3">
        <f t="shared" si="5"/>
        <v>1</v>
      </c>
      <c r="W106" s="3">
        <f t="shared" si="6"/>
        <v>2</v>
      </c>
      <c r="X106" s="3" t="str">
        <f>IFERROR(__xludf.DUMMYFUNCTION("split(B106,"" "")"),"J.")</f>
        <v>J.</v>
      </c>
      <c r="Y106" s="3" t="str">
        <f>IFERROR(__xludf.DUMMYFUNCTION("""COMPUTED_VALUE"""),"Goff")</f>
        <v>Goff</v>
      </c>
      <c r="AA106" s="8">
        <v>4.0</v>
      </c>
      <c r="AB106" s="3">
        <f t="shared" si="7"/>
        <v>1</v>
      </c>
      <c r="AC106" s="3">
        <f t="shared" si="8"/>
        <v>0</v>
      </c>
      <c r="AD106" s="3">
        <f t="shared" si="9"/>
        <v>0.9523809524</v>
      </c>
      <c r="AE106" s="3">
        <f t="shared" si="10"/>
        <v>-1</v>
      </c>
      <c r="AF106" s="3">
        <f t="shared" si="11"/>
        <v>-2</v>
      </c>
      <c r="AG106" s="3">
        <f t="shared" si="12"/>
        <v>-1.666666667</v>
      </c>
    </row>
    <row r="107">
      <c r="A107" s="1" t="s">
        <v>16</v>
      </c>
      <c r="B107" s="1" t="s">
        <v>241</v>
      </c>
      <c r="C107" s="1" t="s">
        <v>21</v>
      </c>
      <c r="D107" s="1" t="s">
        <v>197</v>
      </c>
      <c r="E107" s="1" t="s">
        <v>93</v>
      </c>
      <c r="F107" s="1" t="s">
        <v>687</v>
      </c>
      <c r="G107" s="1">
        <v>28.5</v>
      </c>
      <c r="H107" s="1" t="s">
        <v>60</v>
      </c>
      <c r="I107" s="1">
        <v>-120.0</v>
      </c>
      <c r="J107" s="1">
        <v>-0.0956079234545453</v>
      </c>
      <c r="K107" s="1" t="s">
        <v>61</v>
      </c>
      <c r="L107" s="1" t="s">
        <v>61</v>
      </c>
      <c r="M107" s="1" t="s">
        <v>62</v>
      </c>
      <c r="N107" s="1">
        <v>-109.0</v>
      </c>
      <c r="O107" s="1">
        <v>0.0286154069110048</v>
      </c>
      <c r="P107" s="1" t="s">
        <v>61</v>
      </c>
      <c r="Q107" s="1" t="s">
        <v>61</v>
      </c>
      <c r="R107" s="1">
        <f t="shared" si="1"/>
        <v>0.02861540691</v>
      </c>
      <c r="S107" s="1">
        <f t="shared" si="2"/>
        <v>-109</v>
      </c>
      <c r="T107" s="1">
        <f t="shared" si="3"/>
        <v>1.917431193</v>
      </c>
      <c r="U107" s="1">
        <f t="shared" si="4"/>
        <v>0</v>
      </c>
      <c r="V107" s="3">
        <f t="shared" si="5"/>
        <v>1</v>
      </c>
      <c r="W107" s="3">
        <f t="shared" si="6"/>
        <v>2</v>
      </c>
      <c r="X107" s="3" t="str">
        <f>IFERROR(__xludf.DUMMYFUNCTION("split(B107,"" "")"),"J.")</f>
        <v>J.</v>
      </c>
      <c r="Y107" s="3" t="str">
        <f>IFERROR(__xludf.DUMMYFUNCTION("""COMPUTED_VALUE"""),"Goff")</f>
        <v>Goff</v>
      </c>
      <c r="AA107" s="8">
        <v>29.0</v>
      </c>
      <c r="AB107" s="3">
        <f t="shared" si="7"/>
        <v>1</v>
      </c>
      <c r="AC107" s="3">
        <f t="shared" si="8"/>
        <v>0</v>
      </c>
      <c r="AD107" s="3">
        <f t="shared" si="9"/>
        <v>0.9174311927</v>
      </c>
      <c r="AE107" s="3">
        <f t="shared" si="10"/>
        <v>-1</v>
      </c>
      <c r="AF107" s="3">
        <f t="shared" si="11"/>
        <v>-2</v>
      </c>
      <c r="AG107" s="3">
        <f t="shared" si="12"/>
        <v>-0.01754385965</v>
      </c>
    </row>
    <row r="108">
      <c r="A108" s="1" t="s">
        <v>9</v>
      </c>
      <c r="B108" s="1" t="s">
        <v>385</v>
      </c>
      <c r="C108" s="1" t="s">
        <v>18</v>
      </c>
      <c r="D108" s="1" t="s">
        <v>197</v>
      </c>
      <c r="E108" s="1" t="s">
        <v>93</v>
      </c>
      <c r="F108" s="1" t="s">
        <v>687</v>
      </c>
      <c r="G108" s="1">
        <v>78.5</v>
      </c>
      <c r="H108" s="1" t="s">
        <v>60</v>
      </c>
      <c r="I108" s="1">
        <v>-115.0</v>
      </c>
      <c r="J108" s="1">
        <v>-0.0971576430769516</v>
      </c>
      <c r="K108" s="1" t="s">
        <v>61</v>
      </c>
      <c r="L108" s="1" t="s">
        <v>61</v>
      </c>
      <c r="M108" s="1" t="s">
        <v>62</v>
      </c>
      <c r="N108" s="1">
        <v>-120.0</v>
      </c>
      <c r="O108" s="1">
        <v>0.0168321450629704</v>
      </c>
      <c r="P108" s="1" t="s">
        <v>61</v>
      </c>
      <c r="Q108" s="1" t="s">
        <v>61</v>
      </c>
      <c r="R108" s="1">
        <f t="shared" si="1"/>
        <v>0.01683214506</v>
      </c>
      <c r="S108" s="1">
        <f t="shared" si="2"/>
        <v>-120</v>
      </c>
      <c r="T108" s="1">
        <f t="shared" si="3"/>
        <v>1.833333333</v>
      </c>
      <c r="U108" s="1">
        <f t="shared" si="4"/>
        <v>0</v>
      </c>
      <c r="V108" s="3">
        <f t="shared" si="5"/>
        <v>1</v>
      </c>
      <c r="W108" s="3">
        <f t="shared" si="6"/>
        <v>3</v>
      </c>
      <c r="X108" s="3" t="str">
        <f>IFERROR(__xludf.DUMMYFUNCTION("split(B108,"" "")"),"A.")</f>
        <v>A.</v>
      </c>
      <c r="Y108" s="3" t="str">
        <f>IFERROR(__xludf.DUMMYFUNCTION("""COMPUTED_VALUE"""),"St.")</f>
        <v>St.</v>
      </c>
      <c r="Z108" s="3" t="str">
        <f>IFERROR(__xludf.DUMMYFUNCTION("""COMPUTED_VALUE"""),"Brown")</f>
        <v>Brown</v>
      </c>
      <c r="AA108" s="8">
        <v>157.0</v>
      </c>
      <c r="AB108" s="3">
        <f t="shared" si="7"/>
        <v>1</v>
      </c>
      <c r="AC108" s="3">
        <f t="shared" si="8"/>
        <v>0</v>
      </c>
      <c r="AD108" s="3">
        <f t="shared" si="9"/>
        <v>0.8333333333</v>
      </c>
      <c r="AE108" s="3">
        <f t="shared" si="10"/>
        <v>-1</v>
      </c>
      <c r="AF108" s="3">
        <f t="shared" si="11"/>
        <v>-3</v>
      </c>
      <c r="AG108" s="3">
        <f t="shared" si="12"/>
        <v>-1</v>
      </c>
    </row>
    <row r="109">
      <c r="A109" s="1" t="s">
        <v>17</v>
      </c>
      <c r="B109" s="1" t="s">
        <v>241</v>
      </c>
      <c r="C109" s="1" t="s">
        <v>21</v>
      </c>
      <c r="D109" s="1" t="s">
        <v>197</v>
      </c>
      <c r="E109" s="1" t="s">
        <v>93</v>
      </c>
      <c r="F109" s="1" t="s">
        <v>687</v>
      </c>
      <c r="G109" s="1">
        <v>0.5</v>
      </c>
      <c r="H109" s="1" t="s">
        <v>60</v>
      </c>
      <c r="I109" s="1">
        <v>133.0</v>
      </c>
      <c r="J109" s="1">
        <v>0.0145154506437767</v>
      </c>
      <c r="K109" s="1" t="s">
        <v>61</v>
      </c>
      <c r="L109" s="1" t="s">
        <v>61</v>
      </c>
      <c r="M109" s="1" t="s">
        <v>62</v>
      </c>
      <c r="N109" s="1">
        <v>-176.0</v>
      </c>
      <c r="O109" s="1">
        <v>-0.0813811594202897</v>
      </c>
      <c r="P109" s="1" t="s">
        <v>61</v>
      </c>
      <c r="Q109" s="1" t="s">
        <v>61</v>
      </c>
      <c r="R109" s="1">
        <f t="shared" si="1"/>
        <v>0.01451545064</v>
      </c>
      <c r="S109" s="1">
        <f t="shared" si="2"/>
        <v>133</v>
      </c>
      <c r="T109" s="1">
        <f t="shared" si="3"/>
        <v>2.33</v>
      </c>
      <c r="U109" s="1">
        <f t="shared" si="4"/>
        <v>1</v>
      </c>
      <c r="V109" s="3">
        <f t="shared" si="5"/>
        <v>1</v>
      </c>
      <c r="W109" s="3">
        <f t="shared" si="6"/>
        <v>1</v>
      </c>
      <c r="X109" s="3" t="str">
        <f>IFERROR(__xludf.DUMMYFUNCTION("split(B109,"" "")"),"J.")</f>
        <v>J.</v>
      </c>
      <c r="Y109" s="3" t="str">
        <f>IFERROR(__xludf.DUMMYFUNCTION("""COMPUTED_VALUE"""),"Goff")</f>
        <v>Goff</v>
      </c>
      <c r="AA109" s="8">
        <v>0.0</v>
      </c>
      <c r="AB109" s="3">
        <f t="shared" si="7"/>
        <v>0</v>
      </c>
      <c r="AC109" s="3">
        <f t="shared" si="8"/>
        <v>0</v>
      </c>
      <c r="AD109" s="3">
        <f t="shared" si="9"/>
        <v>1.33</v>
      </c>
      <c r="AE109" s="3">
        <f t="shared" si="10"/>
        <v>-1</v>
      </c>
      <c r="AF109" s="3">
        <f t="shared" si="11"/>
        <v>-1</v>
      </c>
      <c r="AG109" s="3">
        <f t="shared" si="12"/>
        <v>-1</v>
      </c>
    </row>
    <row r="110">
      <c r="A110" s="1" t="s">
        <v>12</v>
      </c>
      <c r="B110" s="1" t="s">
        <v>344</v>
      </c>
      <c r="C110" s="1" t="s">
        <v>18</v>
      </c>
      <c r="D110" s="1" t="s">
        <v>157</v>
      </c>
      <c r="E110" s="1" t="s">
        <v>99</v>
      </c>
      <c r="F110" s="1" t="s">
        <v>687</v>
      </c>
      <c r="G110" s="1">
        <v>2.5</v>
      </c>
      <c r="H110" s="1" t="s">
        <v>60</v>
      </c>
      <c r="I110" s="1">
        <v>-161.0</v>
      </c>
      <c r="J110" s="1">
        <v>-0.300218887394636</v>
      </c>
      <c r="K110" s="1" t="s">
        <v>61</v>
      </c>
      <c r="L110" s="1" t="s">
        <v>61</v>
      </c>
      <c r="M110" s="1" t="s">
        <v>62</v>
      </c>
      <c r="N110" s="1">
        <v>122.0</v>
      </c>
      <c r="O110" s="1">
        <v>0.232903286531531</v>
      </c>
      <c r="P110" s="1" t="s">
        <v>61</v>
      </c>
      <c r="Q110" s="1" t="s">
        <v>61</v>
      </c>
      <c r="R110" s="1">
        <f t="shared" si="1"/>
        <v>0.2329032865</v>
      </c>
      <c r="S110" s="1">
        <f t="shared" si="2"/>
        <v>122</v>
      </c>
      <c r="T110" s="1">
        <f t="shared" si="3"/>
        <v>2.22</v>
      </c>
      <c r="U110" s="1">
        <f t="shared" si="4"/>
        <v>0</v>
      </c>
      <c r="V110" s="3">
        <f t="shared" si="5"/>
        <v>3</v>
      </c>
      <c r="W110" s="3">
        <f t="shared" si="6"/>
        <v>1</v>
      </c>
      <c r="X110" s="3" t="str">
        <f>IFERROR(__xludf.DUMMYFUNCTION("split(B110,"" "")"),"C.")</f>
        <v>C.</v>
      </c>
      <c r="Y110" s="3" t="str">
        <f>IFERROR(__xludf.DUMMYFUNCTION("""COMPUTED_VALUE"""),"Watson")</f>
        <v>Watson</v>
      </c>
      <c r="AA110" s="8">
        <v>4.0</v>
      </c>
      <c r="AB110" s="3">
        <f t="shared" si="7"/>
        <v>1</v>
      </c>
      <c r="AC110" s="3">
        <f t="shared" si="8"/>
        <v>0</v>
      </c>
      <c r="AD110" s="3">
        <f t="shared" si="9"/>
        <v>3.66</v>
      </c>
      <c r="AE110" s="3">
        <f t="shared" si="10"/>
        <v>-3</v>
      </c>
      <c r="AF110" s="3">
        <f t="shared" si="11"/>
        <v>-1</v>
      </c>
      <c r="AG110" s="3">
        <f t="shared" si="12"/>
        <v>-0.6</v>
      </c>
    </row>
    <row r="111">
      <c r="A111" s="1" t="s">
        <v>12</v>
      </c>
      <c r="B111" s="1" t="s">
        <v>482</v>
      </c>
      <c r="C111" s="1" t="s">
        <v>18</v>
      </c>
      <c r="D111" s="1" t="s">
        <v>157</v>
      </c>
      <c r="E111" s="1" t="s">
        <v>99</v>
      </c>
      <c r="F111" s="1" t="s">
        <v>687</v>
      </c>
      <c r="G111" s="1">
        <v>3.5</v>
      </c>
      <c r="H111" s="1" t="s">
        <v>60</v>
      </c>
      <c r="I111" s="1">
        <v>-146.0</v>
      </c>
      <c r="J111" s="1">
        <v>-0.208836585365853</v>
      </c>
      <c r="K111" s="1" t="s">
        <v>61</v>
      </c>
      <c r="L111" s="1" t="s">
        <v>61</v>
      </c>
      <c r="M111" s="1" t="s">
        <v>62</v>
      </c>
      <c r="N111" s="1">
        <v>111.0</v>
      </c>
      <c r="O111" s="1">
        <v>0.141413744075829</v>
      </c>
      <c r="P111" s="1" t="s">
        <v>61</v>
      </c>
      <c r="Q111" s="1" t="s">
        <v>61</v>
      </c>
      <c r="R111" s="1">
        <f t="shared" si="1"/>
        <v>0.1414137441</v>
      </c>
      <c r="S111" s="1">
        <f t="shared" si="2"/>
        <v>111</v>
      </c>
      <c r="T111" s="1">
        <f t="shared" si="3"/>
        <v>2.11</v>
      </c>
      <c r="U111" s="1">
        <f t="shared" si="4"/>
        <v>0</v>
      </c>
      <c r="V111" s="3">
        <f t="shared" si="5"/>
        <v>3</v>
      </c>
      <c r="W111" s="3">
        <f t="shared" si="6"/>
        <v>1</v>
      </c>
      <c r="X111" s="3" t="str">
        <f>IFERROR(__xludf.DUMMYFUNCTION("split(B111,"" "")"),"R.")</f>
        <v>R.</v>
      </c>
      <c r="Y111" s="3" t="str">
        <f>IFERROR(__xludf.DUMMYFUNCTION("""COMPUTED_VALUE"""),"Doubs")</f>
        <v>Doubs</v>
      </c>
      <c r="AA111" s="8">
        <v>1.0</v>
      </c>
      <c r="AB111" s="3">
        <f t="shared" si="7"/>
        <v>0</v>
      </c>
      <c r="AC111" s="3">
        <f t="shared" si="8"/>
        <v>1</v>
      </c>
      <c r="AD111" s="3">
        <f t="shared" si="9"/>
        <v>3.33</v>
      </c>
      <c r="AE111" s="3">
        <f t="shared" si="10"/>
        <v>3.33</v>
      </c>
      <c r="AF111" s="3">
        <f t="shared" si="11"/>
        <v>1.11</v>
      </c>
      <c r="AG111" s="3">
        <f t="shared" si="12"/>
        <v>0.7142857143</v>
      </c>
    </row>
    <row r="112">
      <c r="A112" s="1" t="s">
        <v>12</v>
      </c>
      <c r="B112" s="1" t="s">
        <v>187</v>
      </c>
      <c r="C112" s="1" t="s">
        <v>19</v>
      </c>
      <c r="D112" s="1" t="s">
        <v>157</v>
      </c>
      <c r="E112" s="1" t="s">
        <v>99</v>
      </c>
      <c r="F112" s="1" t="s">
        <v>687</v>
      </c>
      <c r="G112" s="1">
        <v>2.5</v>
      </c>
      <c r="H112" s="1" t="s">
        <v>60</v>
      </c>
      <c r="I112" s="1">
        <v>-109.0</v>
      </c>
      <c r="J112" s="1">
        <v>-0.187181669617224</v>
      </c>
      <c r="K112" s="1" t="s">
        <v>61</v>
      </c>
      <c r="L112" s="1" t="s">
        <v>61</v>
      </c>
      <c r="M112" s="1" t="s">
        <v>62</v>
      </c>
      <c r="N112" s="1">
        <v>-120.0</v>
      </c>
      <c r="O112" s="1">
        <v>0.120189103363636</v>
      </c>
      <c r="P112" s="1" t="s">
        <v>61</v>
      </c>
      <c r="Q112" s="1" t="s">
        <v>61</v>
      </c>
      <c r="R112" s="1">
        <f t="shared" si="1"/>
        <v>0.1201891034</v>
      </c>
      <c r="S112" s="1">
        <f t="shared" si="2"/>
        <v>-120</v>
      </c>
      <c r="T112" s="1">
        <f t="shared" si="3"/>
        <v>1.833333333</v>
      </c>
      <c r="U112" s="1">
        <f t="shared" si="4"/>
        <v>0</v>
      </c>
      <c r="V112" s="3">
        <f t="shared" si="5"/>
        <v>3</v>
      </c>
      <c r="W112" s="3">
        <f t="shared" si="6"/>
        <v>3</v>
      </c>
      <c r="X112" s="3" t="str">
        <f>IFERROR(__xludf.DUMMYFUNCTION("split(B112,"" "")"),"J.")</f>
        <v>J.</v>
      </c>
      <c r="Y112" s="3" t="str">
        <f>IFERROR(__xludf.DUMMYFUNCTION("""COMPUTED_VALUE"""),"Jacobs")</f>
        <v>Jacobs</v>
      </c>
      <c r="AA112" s="8">
        <v>4.0</v>
      </c>
      <c r="AB112" s="3">
        <f t="shared" si="7"/>
        <v>1</v>
      </c>
      <c r="AC112" s="3">
        <f t="shared" si="8"/>
        <v>0</v>
      </c>
      <c r="AD112" s="3">
        <f t="shared" si="9"/>
        <v>2.5</v>
      </c>
      <c r="AE112" s="3">
        <f t="shared" si="10"/>
        <v>-3</v>
      </c>
      <c r="AF112" s="3">
        <f t="shared" si="11"/>
        <v>-3</v>
      </c>
      <c r="AG112" s="3">
        <f t="shared" si="12"/>
        <v>-0.6</v>
      </c>
    </row>
    <row r="113">
      <c r="A113" s="1" t="s">
        <v>8</v>
      </c>
      <c r="B113" s="1" t="s">
        <v>297</v>
      </c>
      <c r="C113" s="1" t="s">
        <v>21</v>
      </c>
      <c r="D113" s="1" t="s">
        <v>157</v>
      </c>
      <c r="E113" s="1" t="s">
        <v>99</v>
      </c>
      <c r="F113" s="1" t="s">
        <v>687</v>
      </c>
      <c r="G113" s="1">
        <v>2.5</v>
      </c>
      <c r="H113" s="1" t="s">
        <v>60</v>
      </c>
      <c r="I113" s="1">
        <v>-103.0</v>
      </c>
      <c r="J113" s="1">
        <v>-0.146829760651129</v>
      </c>
      <c r="K113" s="1" t="s">
        <v>61</v>
      </c>
      <c r="L113" s="1" t="s">
        <v>61</v>
      </c>
      <c r="M113" s="1" t="s">
        <v>62</v>
      </c>
      <c r="N113" s="1">
        <v>-130.0</v>
      </c>
      <c r="O113" s="1">
        <v>0.0742291905905787</v>
      </c>
      <c r="P113" s="1" t="s">
        <v>61</v>
      </c>
      <c r="Q113" s="1" t="s">
        <v>61</v>
      </c>
      <c r="R113" s="1">
        <f t="shared" si="1"/>
        <v>0.07422919059</v>
      </c>
      <c r="S113" s="1">
        <f t="shared" si="2"/>
        <v>-130</v>
      </c>
      <c r="T113" s="1">
        <f t="shared" si="3"/>
        <v>1.769230769</v>
      </c>
      <c r="U113" s="1">
        <f t="shared" si="4"/>
        <v>0</v>
      </c>
      <c r="V113" s="3">
        <f t="shared" si="5"/>
        <v>2</v>
      </c>
      <c r="W113" s="3">
        <f t="shared" si="6"/>
        <v>3</v>
      </c>
      <c r="X113" s="3" t="str">
        <f>IFERROR(__xludf.DUMMYFUNCTION("split(B113,"" "")"),"J.")</f>
        <v>J.</v>
      </c>
      <c r="Y113" s="3" t="str">
        <f>IFERROR(__xludf.DUMMYFUNCTION("""COMPUTED_VALUE"""),"Love")</f>
        <v>Love</v>
      </c>
      <c r="AA113" s="8">
        <v>4.0</v>
      </c>
      <c r="AB113" s="3">
        <f t="shared" si="7"/>
        <v>1</v>
      </c>
      <c r="AC113" s="3">
        <f t="shared" si="8"/>
        <v>0</v>
      </c>
      <c r="AD113" s="3">
        <f t="shared" si="9"/>
        <v>1.538461538</v>
      </c>
      <c r="AE113" s="3">
        <f t="shared" si="10"/>
        <v>-2</v>
      </c>
      <c r="AF113" s="3">
        <f t="shared" si="11"/>
        <v>-3</v>
      </c>
      <c r="AG113" s="3">
        <f t="shared" si="12"/>
        <v>-0.6</v>
      </c>
    </row>
    <row r="114">
      <c r="A114" s="1" t="s">
        <v>17</v>
      </c>
      <c r="B114" s="1" t="s">
        <v>297</v>
      </c>
      <c r="C114" s="1" t="s">
        <v>21</v>
      </c>
      <c r="D114" s="1" t="s">
        <v>157</v>
      </c>
      <c r="E114" s="1" t="s">
        <v>99</v>
      </c>
      <c r="F114" s="1" t="s">
        <v>687</v>
      </c>
      <c r="G114" s="1">
        <v>0.5</v>
      </c>
      <c r="H114" s="1" t="s">
        <v>60</v>
      </c>
      <c r="I114" s="1">
        <v>-141.0</v>
      </c>
      <c r="J114" s="1">
        <v>-0.128103734439834</v>
      </c>
      <c r="K114" s="1" t="s">
        <v>61</v>
      </c>
      <c r="L114" s="1" t="s">
        <v>61</v>
      </c>
      <c r="M114" s="1" t="s">
        <v>62</v>
      </c>
      <c r="N114" s="1">
        <v>108.0</v>
      </c>
      <c r="O114" s="1">
        <v>0.0622788461538462</v>
      </c>
      <c r="P114" s="1" t="s">
        <v>61</v>
      </c>
      <c r="Q114" s="1" t="s">
        <v>61</v>
      </c>
      <c r="R114" s="1">
        <f t="shared" si="1"/>
        <v>0.06227884615</v>
      </c>
      <c r="S114" s="1">
        <f t="shared" si="2"/>
        <v>108</v>
      </c>
      <c r="T114" s="1">
        <f t="shared" si="3"/>
        <v>2.08</v>
      </c>
      <c r="U114" s="1">
        <f t="shared" si="4"/>
        <v>0</v>
      </c>
      <c r="V114" s="3">
        <f t="shared" si="5"/>
        <v>2</v>
      </c>
      <c r="W114" s="3">
        <f t="shared" si="6"/>
        <v>2</v>
      </c>
      <c r="X114" s="3" t="str">
        <f>IFERROR(__xludf.DUMMYFUNCTION("split(B114,"" "")"),"J.")</f>
        <v>J.</v>
      </c>
      <c r="Y114" s="3" t="str">
        <f>IFERROR(__xludf.DUMMYFUNCTION("""COMPUTED_VALUE"""),"Love")</f>
        <v>Love</v>
      </c>
      <c r="AA114" s="8">
        <v>1.0</v>
      </c>
      <c r="AB114" s="3">
        <f t="shared" si="7"/>
        <v>1</v>
      </c>
      <c r="AC114" s="3">
        <f t="shared" si="8"/>
        <v>0</v>
      </c>
      <c r="AD114" s="3">
        <f t="shared" si="9"/>
        <v>2.16</v>
      </c>
      <c r="AE114" s="3">
        <f t="shared" si="10"/>
        <v>-2</v>
      </c>
      <c r="AF114" s="3">
        <f t="shared" si="11"/>
        <v>-2</v>
      </c>
      <c r="AG114" s="3">
        <f t="shared" si="12"/>
        <v>-1</v>
      </c>
    </row>
    <row r="115">
      <c r="A115" s="1" t="s">
        <v>11</v>
      </c>
      <c r="B115" s="1" t="s">
        <v>344</v>
      </c>
      <c r="C115" s="1" t="s">
        <v>18</v>
      </c>
      <c r="D115" s="1" t="s">
        <v>157</v>
      </c>
      <c r="E115" s="1" t="s">
        <v>99</v>
      </c>
      <c r="F115" s="1" t="s">
        <v>687</v>
      </c>
      <c r="G115" s="1">
        <v>33.5</v>
      </c>
      <c r="H115" s="1" t="s">
        <v>60</v>
      </c>
      <c r="I115" s="1">
        <v>-115.0</v>
      </c>
      <c r="J115" s="1">
        <v>-0.109547633585674</v>
      </c>
      <c r="K115" s="1" t="s">
        <v>61</v>
      </c>
      <c r="L115" s="1" t="s">
        <v>61</v>
      </c>
      <c r="M115" s="1" t="s">
        <v>62</v>
      </c>
      <c r="N115" s="1">
        <v>-114.0</v>
      </c>
      <c r="O115" s="1">
        <v>0.0419767798598077</v>
      </c>
      <c r="P115" s="1" t="s">
        <v>61</v>
      </c>
      <c r="Q115" s="1" t="s">
        <v>61</v>
      </c>
      <c r="R115" s="1">
        <f t="shared" si="1"/>
        <v>0.04197677986</v>
      </c>
      <c r="S115" s="1">
        <f t="shared" si="2"/>
        <v>-114</v>
      </c>
      <c r="T115" s="1">
        <f t="shared" si="3"/>
        <v>1.877192982</v>
      </c>
      <c r="U115" s="1">
        <f t="shared" si="4"/>
        <v>0</v>
      </c>
      <c r="V115" s="3">
        <f t="shared" si="5"/>
        <v>1</v>
      </c>
      <c r="W115" s="3">
        <f t="shared" si="6"/>
        <v>2</v>
      </c>
      <c r="X115" s="3" t="str">
        <f>IFERROR(__xludf.DUMMYFUNCTION("split(B115,"" "")"),"C.")</f>
        <v>C.</v>
      </c>
      <c r="Y115" s="3" t="str">
        <f>IFERROR(__xludf.DUMMYFUNCTION("""COMPUTED_VALUE"""),"Watson")</f>
        <v>Watson</v>
      </c>
      <c r="AA115" s="8">
        <v>150.0</v>
      </c>
      <c r="AB115" s="3">
        <f t="shared" si="7"/>
        <v>1</v>
      </c>
      <c r="AC115" s="3">
        <f t="shared" si="8"/>
        <v>0</v>
      </c>
      <c r="AD115" s="3">
        <f t="shared" si="9"/>
        <v>0.8771929825</v>
      </c>
      <c r="AE115" s="3">
        <f t="shared" si="10"/>
        <v>-1</v>
      </c>
      <c r="AF115" s="3">
        <f t="shared" si="11"/>
        <v>-2</v>
      </c>
      <c r="AG115" s="3">
        <f t="shared" si="12"/>
        <v>-3.47761194</v>
      </c>
    </row>
    <row r="116">
      <c r="A116" s="1" t="s">
        <v>11</v>
      </c>
      <c r="B116" s="1" t="s">
        <v>482</v>
      </c>
      <c r="C116" s="1" t="s">
        <v>18</v>
      </c>
      <c r="D116" s="1" t="s">
        <v>157</v>
      </c>
      <c r="E116" s="1" t="s">
        <v>99</v>
      </c>
      <c r="F116" s="1" t="s">
        <v>687</v>
      </c>
      <c r="G116" s="1">
        <v>45.5</v>
      </c>
      <c r="H116" s="1" t="s">
        <v>60</v>
      </c>
      <c r="I116" s="1">
        <v>-115.0</v>
      </c>
      <c r="J116" s="1">
        <v>-0.0956755102765117</v>
      </c>
      <c r="K116" s="1" t="s">
        <v>61</v>
      </c>
      <c r="L116" s="1" t="s">
        <v>61</v>
      </c>
      <c r="M116" s="1" t="s">
        <v>62</v>
      </c>
      <c r="N116" s="1">
        <v>-115.0</v>
      </c>
      <c r="O116" s="1">
        <v>0.0259207954894884</v>
      </c>
      <c r="P116" s="1" t="s">
        <v>61</v>
      </c>
      <c r="Q116" s="1" t="s">
        <v>61</v>
      </c>
      <c r="R116" s="1">
        <f t="shared" si="1"/>
        <v>0.02592079549</v>
      </c>
      <c r="S116" s="1">
        <f t="shared" si="2"/>
        <v>-115</v>
      </c>
      <c r="T116" s="1">
        <f t="shared" si="3"/>
        <v>1.869565217</v>
      </c>
      <c r="U116" s="1">
        <f t="shared" si="4"/>
        <v>0</v>
      </c>
      <c r="V116" s="3">
        <f t="shared" si="5"/>
        <v>1</v>
      </c>
      <c r="W116" s="3">
        <f t="shared" si="6"/>
        <v>2</v>
      </c>
      <c r="X116" s="3" t="str">
        <f>IFERROR(__xludf.DUMMYFUNCTION("split(B116,"" "")"),"R.")</f>
        <v>R.</v>
      </c>
      <c r="Y116" s="3" t="str">
        <f>IFERROR(__xludf.DUMMYFUNCTION("""COMPUTED_VALUE"""),"Doubs")</f>
        <v>Doubs</v>
      </c>
      <c r="AA116" s="8">
        <v>17.0</v>
      </c>
      <c r="AB116" s="3">
        <f t="shared" si="7"/>
        <v>0</v>
      </c>
      <c r="AC116" s="3">
        <f t="shared" si="8"/>
        <v>1</v>
      </c>
      <c r="AD116" s="3">
        <f t="shared" si="9"/>
        <v>0.8695652174</v>
      </c>
      <c r="AE116" s="3">
        <f t="shared" si="10"/>
        <v>0.8695652174</v>
      </c>
      <c r="AF116" s="3">
        <f t="shared" si="11"/>
        <v>1.739130435</v>
      </c>
      <c r="AG116" s="3">
        <f t="shared" si="12"/>
        <v>0.6263736264</v>
      </c>
    </row>
    <row r="117">
      <c r="A117" s="1" t="s">
        <v>10</v>
      </c>
      <c r="B117" s="1" t="s">
        <v>297</v>
      </c>
      <c r="C117" s="1" t="s">
        <v>21</v>
      </c>
      <c r="D117" s="1" t="s">
        <v>157</v>
      </c>
      <c r="E117" s="1" t="s">
        <v>99</v>
      </c>
      <c r="F117" s="1" t="s">
        <v>687</v>
      </c>
      <c r="G117" s="1">
        <v>5.5</v>
      </c>
      <c r="H117" s="1" t="s">
        <v>60</v>
      </c>
      <c r="I117" s="1">
        <v>-110.0</v>
      </c>
      <c r="J117" s="1">
        <v>0.0246356300274245</v>
      </c>
      <c r="K117" s="1" t="s">
        <v>61</v>
      </c>
      <c r="L117" s="1" t="s">
        <v>61</v>
      </c>
      <c r="M117" s="1" t="s">
        <v>62</v>
      </c>
      <c r="N117" s="1">
        <v>-119.0</v>
      </c>
      <c r="O117" s="1">
        <v>-0.091844629880609</v>
      </c>
      <c r="P117" s="1" t="s">
        <v>61</v>
      </c>
      <c r="Q117" s="1" t="s">
        <v>61</v>
      </c>
      <c r="R117" s="1">
        <f t="shared" si="1"/>
        <v>0.02463563003</v>
      </c>
      <c r="S117" s="1">
        <f t="shared" si="2"/>
        <v>-110</v>
      </c>
      <c r="T117" s="1">
        <f t="shared" si="3"/>
        <v>1.909090909</v>
      </c>
      <c r="U117" s="1">
        <f t="shared" si="4"/>
        <v>1</v>
      </c>
      <c r="V117" s="3">
        <f t="shared" si="5"/>
        <v>1</v>
      </c>
      <c r="W117" s="3">
        <f t="shared" si="6"/>
        <v>2</v>
      </c>
      <c r="X117" s="3" t="str">
        <f>IFERROR(__xludf.DUMMYFUNCTION("split(B117,"" "")"),"J.")</f>
        <v>J.</v>
      </c>
      <c r="Y117" s="3" t="str">
        <f>IFERROR(__xludf.DUMMYFUNCTION("""COMPUTED_VALUE"""),"Love")</f>
        <v>Love</v>
      </c>
      <c r="AA117" s="8">
        <v>18.0</v>
      </c>
      <c r="AB117" s="3">
        <f t="shared" si="7"/>
        <v>1</v>
      </c>
      <c r="AC117" s="3">
        <f t="shared" si="8"/>
        <v>1</v>
      </c>
      <c r="AD117" s="3">
        <f t="shared" si="9"/>
        <v>0.9090909091</v>
      </c>
      <c r="AE117" s="3">
        <f t="shared" si="10"/>
        <v>0.9090909091</v>
      </c>
      <c r="AF117" s="3">
        <f t="shared" si="11"/>
        <v>1.818181818</v>
      </c>
      <c r="AG117" s="3">
        <f t="shared" si="12"/>
        <v>2.272727273</v>
      </c>
    </row>
    <row r="118">
      <c r="A118" s="1" t="s">
        <v>10</v>
      </c>
      <c r="B118" s="1" t="s">
        <v>187</v>
      </c>
      <c r="C118" s="1" t="s">
        <v>19</v>
      </c>
      <c r="D118" s="1" t="s">
        <v>157</v>
      </c>
      <c r="E118" s="1" t="s">
        <v>99</v>
      </c>
      <c r="F118" s="1" t="s">
        <v>687</v>
      </c>
      <c r="G118" s="1">
        <v>70.5</v>
      </c>
      <c r="H118" s="1" t="s">
        <v>60</v>
      </c>
      <c r="I118" s="1">
        <v>-113.0</v>
      </c>
      <c r="J118" s="1">
        <v>-0.0679313635890619</v>
      </c>
      <c r="K118" s="1" t="s">
        <v>61</v>
      </c>
      <c r="L118" s="1" t="s">
        <v>61</v>
      </c>
      <c r="M118" s="1" t="s">
        <v>62</v>
      </c>
      <c r="N118" s="1">
        <v>-112.0</v>
      </c>
      <c r="O118" s="1">
        <v>0.00908818596898919</v>
      </c>
      <c r="P118" s="1" t="s">
        <v>61</v>
      </c>
      <c r="Q118" s="1" t="s">
        <v>61</v>
      </c>
      <c r="R118" s="1">
        <f t="shared" si="1"/>
        <v>0.009088185969</v>
      </c>
      <c r="S118" s="1">
        <f t="shared" si="2"/>
        <v>-112</v>
      </c>
      <c r="T118" s="1">
        <f t="shared" si="3"/>
        <v>1.892857143</v>
      </c>
      <c r="U118" s="1">
        <f t="shared" si="4"/>
        <v>0</v>
      </c>
      <c r="V118" s="3">
        <f t="shared" si="5"/>
        <v>1</v>
      </c>
      <c r="W118" s="3">
        <f t="shared" si="6"/>
        <v>2</v>
      </c>
      <c r="X118" s="3" t="str">
        <f>IFERROR(__xludf.DUMMYFUNCTION("split(B118,"" "")"),"J.")</f>
        <v>J.</v>
      </c>
      <c r="Y118" s="3" t="str">
        <f>IFERROR(__xludf.DUMMYFUNCTION("""COMPUTED_VALUE"""),"Jacobs")</f>
        <v>Jacobs</v>
      </c>
      <c r="AA118" s="8">
        <v>76.0</v>
      </c>
      <c r="AB118" s="3">
        <f t="shared" si="7"/>
        <v>1</v>
      </c>
      <c r="AC118" s="3">
        <f t="shared" si="8"/>
        <v>0</v>
      </c>
      <c r="AD118" s="3">
        <f t="shared" si="9"/>
        <v>0.8928571429</v>
      </c>
      <c r="AE118" s="3">
        <f t="shared" si="10"/>
        <v>-1</v>
      </c>
      <c r="AF118" s="3">
        <f t="shared" si="11"/>
        <v>-2</v>
      </c>
      <c r="AG118" s="3">
        <f t="shared" si="12"/>
        <v>-0.0780141844</v>
      </c>
    </row>
    <row r="119">
      <c r="A119" s="1" t="s">
        <v>9</v>
      </c>
      <c r="B119" s="1" t="s">
        <v>187</v>
      </c>
      <c r="C119" s="1" t="s">
        <v>19</v>
      </c>
      <c r="D119" s="1" t="s">
        <v>157</v>
      </c>
      <c r="E119" s="1" t="s">
        <v>99</v>
      </c>
      <c r="F119" s="1" t="s">
        <v>687</v>
      </c>
      <c r="G119" s="1">
        <v>88.5</v>
      </c>
      <c r="H119" s="1" t="s">
        <v>60</v>
      </c>
      <c r="I119" s="1">
        <v>-116.0</v>
      </c>
      <c r="J119" s="1">
        <v>-0.0750194029559819</v>
      </c>
      <c r="K119" s="1" t="s">
        <v>61</v>
      </c>
      <c r="L119" s="1" t="s">
        <v>61</v>
      </c>
      <c r="M119" s="1" t="s">
        <v>62</v>
      </c>
      <c r="N119" s="1">
        <v>-116.0</v>
      </c>
      <c r="O119" s="1">
        <v>9.57548820939013E-4</v>
      </c>
      <c r="P119" s="1" t="s">
        <v>61</v>
      </c>
      <c r="Q119" s="1" t="s">
        <v>61</v>
      </c>
      <c r="R119" s="1">
        <f t="shared" si="1"/>
        <v>0.0009575488209</v>
      </c>
      <c r="S119" s="1">
        <f t="shared" si="2"/>
        <v>-116</v>
      </c>
      <c r="T119" s="1">
        <f t="shared" si="3"/>
        <v>1.862068966</v>
      </c>
      <c r="U119" s="1">
        <f t="shared" si="4"/>
        <v>0</v>
      </c>
      <c r="V119" s="3">
        <f t="shared" si="5"/>
        <v>1</v>
      </c>
      <c r="W119" s="3">
        <f t="shared" si="6"/>
        <v>2</v>
      </c>
      <c r="X119" s="3" t="str">
        <f>IFERROR(__xludf.DUMMYFUNCTION("split(B119,"" "")"),"J.")</f>
        <v>J.</v>
      </c>
      <c r="Y119" s="3" t="str">
        <f>IFERROR(__xludf.DUMMYFUNCTION("""COMPUTED_VALUE"""),"Jacobs")</f>
        <v>Jacobs</v>
      </c>
      <c r="AA119" s="8">
        <v>134.0</v>
      </c>
      <c r="AB119" s="3">
        <f t="shared" si="7"/>
        <v>1</v>
      </c>
      <c r="AC119" s="3">
        <f t="shared" si="8"/>
        <v>0</v>
      </c>
      <c r="AD119" s="3">
        <f t="shared" si="9"/>
        <v>0.8620689655</v>
      </c>
      <c r="AE119" s="3">
        <f t="shared" si="10"/>
        <v>-1</v>
      </c>
      <c r="AF119" s="3">
        <f t="shared" si="11"/>
        <v>-2</v>
      </c>
      <c r="AG119" s="3">
        <f t="shared" si="12"/>
        <v>-0.5141242938</v>
      </c>
    </row>
    <row r="120">
      <c r="A120" s="1" t="s">
        <v>14</v>
      </c>
      <c r="B120" s="1" t="s">
        <v>297</v>
      </c>
      <c r="C120" s="1" t="s">
        <v>21</v>
      </c>
      <c r="D120" s="1" t="s">
        <v>157</v>
      </c>
      <c r="E120" s="1" t="s">
        <v>99</v>
      </c>
      <c r="F120" s="1" t="s">
        <v>687</v>
      </c>
      <c r="G120" s="1">
        <v>1.5</v>
      </c>
      <c r="H120" s="1" t="s">
        <v>60</v>
      </c>
      <c r="I120" s="1">
        <v>-110.0</v>
      </c>
      <c r="J120" s="1">
        <v>-0.0677095238095238</v>
      </c>
      <c r="K120" s="1" t="s">
        <v>61</v>
      </c>
      <c r="L120" s="1" t="s">
        <v>61</v>
      </c>
      <c r="M120" s="1" t="s">
        <v>62</v>
      </c>
      <c r="N120" s="1">
        <v>-119.0</v>
      </c>
      <c r="O120" s="1">
        <v>5.21004566210181E-4</v>
      </c>
      <c r="P120" s="1" t="s">
        <v>61</v>
      </c>
      <c r="Q120" s="1" t="s">
        <v>61</v>
      </c>
      <c r="R120" s="1">
        <f t="shared" si="1"/>
        <v>0.0005210045662</v>
      </c>
      <c r="S120" s="1">
        <f t="shared" si="2"/>
        <v>-119</v>
      </c>
      <c r="T120" s="1">
        <f t="shared" si="3"/>
        <v>1.840336134</v>
      </c>
      <c r="U120" s="1">
        <f t="shared" si="4"/>
        <v>0</v>
      </c>
      <c r="V120" s="3">
        <f t="shared" si="5"/>
        <v>1</v>
      </c>
      <c r="W120" s="3">
        <f t="shared" si="6"/>
        <v>3</v>
      </c>
      <c r="X120" s="3" t="str">
        <f>IFERROR(__xludf.DUMMYFUNCTION("split(B120,"" "")"),"J.")</f>
        <v>J.</v>
      </c>
      <c r="Y120" s="3" t="str">
        <f>IFERROR(__xludf.DUMMYFUNCTION("""COMPUTED_VALUE"""),"Love")</f>
        <v>Love</v>
      </c>
      <c r="AA120" s="8">
        <v>1.0</v>
      </c>
      <c r="AB120" s="3">
        <f t="shared" si="7"/>
        <v>0</v>
      </c>
      <c r="AC120" s="3">
        <f t="shared" si="8"/>
        <v>1</v>
      </c>
      <c r="AD120" s="3">
        <f t="shared" si="9"/>
        <v>0.8403361345</v>
      </c>
      <c r="AE120" s="3">
        <f t="shared" si="10"/>
        <v>0.8403361345</v>
      </c>
      <c r="AF120" s="3">
        <f t="shared" si="11"/>
        <v>2.521008403</v>
      </c>
      <c r="AG120" s="3">
        <f t="shared" si="12"/>
        <v>0.3333333333</v>
      </c>
    </row>
    <row r="121">
      <c r="A121" s="1" t="s">
        <v>10</v>
      </c>
      <c r="B121" s="1" t="s">
        <v>129</v>
      </c>
      <c r="C121" s="1" t="s">
        <v>18</v>
      </c>
      <c r="D121" s="1" t="s">
        <v>72</v>
      </c>
      <c r="E121" s="1" t="s">
        <v>88</v>
      </c>
      <c r="F121" s="1" t="s">
        <v>690</v>
      </c>
      <c r="G121" s="1">
        <v>0.5</v>
      </c>
      <c r="H121" s="1" t="s">
        <v>60</v>
      </c>
      <c r="I121" s="1">
        <v>126.0</v>
      </c>
      <c r="J121" s="1">
        <v>0.197813789071011</v>
      </c>
      <c r="K121" s="1" t="s">
        <v>61</v>
      </c>
      <c r="L121" s="1" t="s">
        <v>61</v>
      </c>
      <c r="M121" s="1" t="s">
        <v>62</v>
      </c>
      <c r="N121" s="1">
        <v>-163.0</v>
      </c>
      <c r="O121" s="1">
        <v>-0.260051432475639</v>
      </c>
      <c r="P121" s="1" t="s">
        <v>61</v>
      </c>
      <c r="Q121" s="1" t="s">
        <v>61</v>
      </c>
      <c r="R121" s="1">
        <f t="shared" si="1"/>
        <v>0.1978137891</v>
      </c>
      <c r="S121" s="1">
        <f t="shared" si="2"/>
        <v>126</v>
      </c>
      <c r="T121" s="1">
        <f t="shared" si="3"/>
        <v>2.26</v>
      </c>
      <c r="U121" s="1">
        <f t="shared" si="4"/>
        <v>1</v>
      </c>
      <c r="V121" s="3">
        <f t="shared" si="5"/>
        <v>3</v>
      </c>
      <c r="W121" s="3">
        <f t="shared" si="6"/>
        <v>1</v>
      </c>
      <c r="X121" s="3" t="str">
        <f>IFERROR(__xludf.DUMMYFUNCTION("split(B121,"" "")"),"T.")</f>
        <v>T.</v>
      </c>
      <c r="Y121" s="3" t="str">
        <f>IFERROR(__xludf.DUMMYFUNCTION("""COMPUTED_VALUE"""),"Dell")</f>
        <v>Dell</v>
      </c>
      <c r="AA121" s="8">
        <v>4.0</v>
      </c>
      <c r="AB121" s="3">
        <f t="shared" si="7"/>
        <v>1</v>
      </c>
      <c r="AC121" s="3">
        <f t="shared" si="8"/>
        <v>1</v>
      </c>
      <c r="AD121" s="3">
        <f t="shared" si="9"/>
        <v>3.78</v>
      </c>
      <c r="AE121" s="3">
        <f t="shared" si="10"/>
        <v>3.78</v>
      </c>
      <c r="AF121" s="3">
        <f t="shared" si="11"/>
        <v>1.26</v>
      </c>
      <c r="AG121" s="3">
        <f t="shared" si="12"/>
        <v>7</v>
      </c>
    </row>
    <row r="122">
      <c r="A122" s="1" t="s">
        <v>8</v>
      </c>
      <c r="B122" s="1" t="s">
        <v>369</v>
      </c>
      <c r="C122" s="1" t="s">
        <v>21</v>
      </c>
      <c r="D122" s="1" t="s">
        <v>72</v>
      </c>
      <c r="E122" s="1" t="s">
        <v>88</v>
      </c>
      <c r="F122" s="1" t="s">
        <v>690</v>
      </c>
      <c r="G122" s="1">
        <v>2.5</v>
      </c>
      <c r="H122" s="1" t="s">
        <v>60</v>
      </c>
      <c r="I122" s="1">
        <v>-173.0</v>
      </c>
      <c r="J122" s="1">
        <v>-0.25172789398194</v>
      </c>
      <c r="K122" s="1" t="s">
        <v>61</v>
      </c>
      <c r="L122" s="1" t="s">
        <v>61</v>
      </c>
      <c r="M122" s="1" t="s">
        <v>62</v>
      </c>
      <c r="N122" s="1">
        <v>128.0</v>
      </c>
      <c r="O122" s="1">
        <v>0.179437346741534</v>
      </c>
      <c r="P122" s="1" t="s">
        <v>61</v>
      </c>
      <c r="Q122" s="1" t="s">
        <v>61</v>
      </c>
      <c r="R122" s="1">
        <f t="shared" si="1"/>
        <v>0.1794373467</v>
      </c>
      <c r="S122" s="1">
        <f t="shared" si="2"/>
        <v>128</v>
      </c>
      <c r="T122" s="1">
        <f t="shared" si="3"/>
        <v>2.28</v>
      </c>
      <c r="U122" s="1">
        <f t="shared" si="4"/>
        <v>0</v>
      </c>
      <c r="V122" s="3">
        <f t="shared" si="5"/>
        <v>3</v>
      </c>
      <c r="W122" s="3">
        <f t="shared" si="6"/>
        <v>1</v>
      </c>
      <c r="X122" s="3" t="str">
        <f>IFERROR(__xludf.DUMMYFUNCTION("split(B122,"" "")"),"C.")</f>
        <v>C.</v>
      </c>
      <c r="Y122" s="3" t="str">
        <f>IFERROR(__xludf.DUMMYFUNCTION("""COMPUTED_VALUE"""),"Stroud")</f>
        <v>Stroud</v>
      </c>
      <c r="AA122" s="8">
        <v>3.0</v>
      </c>
      <c r="AB122" s="3">
        <f t="shared" si="7"/>
        <v>1</v>
      </c>
      <c r="AC122" s="3">
        <f t="shared" si="8"/>
        <v>0</v>
      </c>
      <c r="AD122" s="3">
        <f t="shared" si="9"/>
        <v>3.84</v>
      </c>
      <c r="AE122" s="3">
        <f t="shared" si="10"/>
        <v>-3</v>
      </c>
      <c r="AF122" s="3">
        <f t="shared" si="11"/>
        <v>-1</v>
      </c>
      <c r="AG122" s="3">
        <f t="shared" si="12"/>
        <v>-0.2</v>
      </c>
    </row>
    <row r="123">
      <c r="A123" s="1" t="s">
        <v>12</v>
      </c>
      <c r="B123" s="1" t="s">
        <v>359</v>
      </c>
      <c r="C123" s="1" t="s">
        <v>19</v>
      </c>
      <c r="D123" s="1" t="s">
        <v>72</v>
      </c>
      <c r="E123" s="1" t="s">
        <v>88</v>
      </c>
      <c r="F123" s="1" t="s">
        <v>690</v>
      </c>
      <c r="G123" s="1">
        <v>2.5</v>
      </c>
      <c r="H123" s="1" t="s">
        <v>60</v>
      </c>
      <c r="I123" s="1">
        <v>-115.0</v>
      </c>
      <c r="J123" s="1">
        <v>-0.219624374558139</v>
      </c>
      <c r="K123" s="1" t="s">
        <v>61</v>
      </c>
      <c r="L123" s="1" t="s">
        <v>61</v>
      </c>
      <c r="M123" s="1" t="s">
        <v>62</v>
      </c>
      <c r="N123" s="1">
        <v>-115.0</v>
      </c>
      <c r="O123" s="1">
        <v>0.14986303074186</v>
      </c>
      <c r="P123" s="1" t="s">
        <v>61</v>
      </c>
      <c r="Q123" s="1" t="s">
        <v>61</v>
      </c>
      <c r="R123" s="1">
        <f t="shared" si="1"/>
        <v>0.1498630307</v>
      </c>
      <c r="S123" s="1">
        <f t="shared" si="2"/>
        <v>-115</v>
      </c>
      <c r="T123" s="1">
        <f t="shared" si="3"/>
        <v>1.869565217</v>
      </c>
      <c r="U123" s="1">
        <f t="shared" si="4"/>
        <v>0</v>
      </c>
      <c r="V123" s="3">
        <f t="shared" si="5"/>
        <v>3</v>
      </c>
      <c r="W123" s="3">
        <f t="shared" si="6"/>
        <v>2</v>
      </c>
      <c r="X123" s="3" t="str">
        <f>IFERROR(__xludf.DUMMYFUNCTION("split(B123,"" "")"),"J.")</f>
        <v>J.</v>
      </c>
      <c r="Y123" s="3" t="str">
        <f>IFERROR(__xludf.DUMMYFUNCTION("""COMPUTED_VALUE"""),"Mixon")</f>
        <v>Mixon</v>
      </c>
      <c r="AA123" s="8">
        <v>2.0</v>
      </c>
      <c r="AB123" s="3">
        <f t="shared" si="7"/>
        <v>0</v>
      </c>
      <c r="AC123" s="3">
        <f t="shared" si="8"/>
        <v>1</v>
      </c>
      <c r="AD123" s="3">
        <f t="shared" si="9"/>
        <v>2.608695652</v>
      </c>
      <c r="AE123" s="3">
        <f t="shared" si="10"/>
        <v>2.608695652</v>
      </c>
      <c r="AF123" s="3">
        <f t="shared" si="11"/>
        <v>1.739130435</v>
      </c>
      <c r="AG123" s="3">
        <f t="shared" si="12"/>
        <v>0.2</v>
      </c>
    </row>
    <row r="124">
      <c r="A124" s="1" t="s">
        <v>11</v>
      </c>
      <c r="B124" s="1" t="s">
        <v>619</v>
      </c>
      <c r="C124" s="1" t="s">
        <v>18</v>
      </c>
      <c r="D124" s="1" t="s">
        <v>72</v>
      </c>
      <c r="E124" s="1" t="s">
        <v>88</v>
      </c>
      <c r="F124" s="1" t="s">
        <v>690</v>
      </c>
      <c r="G124" s="1">
        <v>3.5</v>
      </c>
      <c r="H124" s="1" t="s">
        <v>60</v>
      </c>
      <c r="I124" s="1">
        <v>-115.0</v>
      </c>
      <c r="J124" s="1">
        <v>0.135399793929752</v>
      </c>
      <c r="K124" s="1" t="s">
        <v>61</v>
      </c>
      <c r="L124" s="1" t="s">
        <v>61</v>
      </c>
      <c r="M124" s="1" t="s">
        <v>62</v>
      </c>
      <c r="N124" s="1">
        <v>-111.0</v>
      </c>
      <c r="O124" s="1">
        <v>-0.196334601048983</v>
      </c>
      <c r="P124" s="1" t="s">
        <v>61</v>
      </c>
      <c r="Q124" s="1" t="s">
        <v>61</v>
      </c>
      <c r="R124" s="1">
        <f t="shared" si="1"/>
        <v>0.1353997939</v>
      </c>
      <c r="S124" s="1">
        <f t="shared" si="2"/>
        <v>-115</v>
      </c>
      <c r="T124" s="1">
        <f t="shared" si="3"/>
        <v>1.869565217</v>
      </c>
      <c r="U124" s="1">
        <f t="shared" si="4"/>
        <v>1</v>
      </c>
      <c r="V124" s="3">
        <f t="shared" si="5"/>
        <v>3</v>
      </c>
      <c r="W124" s="3">
        <f t="shared" si="6"/>
        <v>2</v>
      </c>
      <c r="X124" s="3" t="str">
        <f>IFERROR(__xludf.DUMMYFUNCTION("split(B124,"" "")"),"X.")</f>
        <v>X.</v>
      </c>
      <c r="Y124" s="3" t="str">
        <f>IFERROR(__xludf.DUMMYFUNCTION("""COMPUTED_VALUE"""),"Hutchinson")</f>
        <v>Hutchinson</v>
      </c>
      <c r="AA124" s="8">
        <v>0.0</v>
      </c>
      <c r="AB124" s="3">
        <f t="shared" si="7"/>
        <v>0</v>
      </c>
      <c r="AC124" s="3">
        <f t="shared" si="8"/>
        <v>0</v>
      </c>
      <c r="AD124" s="3">
        <f t="shared" si="9"/>
        <v>2.608695652</v>
      </c>
      <c r="AE124" s="3">
        <f t="shared" si="10"/>
        <v>-3</v>
      </c>
      <c r="AF124" s="3">
        <f t="shared" si="11"/>
        <v>-2</v>
      </c>
      <c r="AG124" s="3">
        <f t="shared" si="12"/>
        <v>-1</v>
      </c>
    </row>
    <row r="125">
      <c r="A125" s="1" t="s">
        <v>9</v>
      </c>
      <c r="B125" s="1" t="s">
        <v>634</v>
      </c>
      <c r="C125" s="1" t="s">
        <v>18</v>
      </c>
      <c r="D125" s="1" t="s">
        <v>72</v>
      </c>
      <c r="E125" s="1" t="s">
        <v>88</v>
      </c>
      <c r="F125" s="1" t="s">
        <v>690</v>
      </c>
      <c r="G125" s="1">
        <v>16.5</v>
      </c>
      <c r="H125" s="1" t="s">
        <v>60</v>
      </c>
      <c r="I125" s="1">
        <v>-116.0</v>
      </c>
      <c r="J125" s="1">
        <v>0.134236579969574</v>
      </c>
      <c r="K125" s="1" t="s">
        <v>61</v>
      </c>
      <c r="L125" s="1" t="s">
        <v>61</v>
      </c>
      <c r="M125" s="1" t="s">
        <v>62</v>
      </c>
      <c r="N125" s="1">
        <v>-116.0</v>
      </c>
      <c r="O125" s="1">
        <v>-0.208274432764706</v>
      </c>
      <c r="P125" s="1" t="s">
        <v>61</v>
      </c>
      <c r="Q125" s="1" t="s">
        <v>61</v>
      </c>
      <c r="R125" s="1">
        <f t="shared" si="1"/>
        <v>0.13423658</v>
      </c>
      <c r="S125" s="1">
        <f t="shared" si="2"/>
        <v>-116</v>
      </c>
      <c r="T125" s="1">
        <f t="shared" si="3"/>
        <v>1.862068966</v>
      </c>
      <c r="U125" s="1">
        <f t="shared" si="4"/>
        <v>1</v>
      </c>
      <c r="V125" s="3">
        <f t="shared" si="5"/>
        <v>3</v>
      </c>
      <c r="W125" s="3">
        <f t="shared" si="6"/>
        <v>2</v>
      </c>
      <c r="X125" s="3" t="str">
        <f>IFERROR(__xludf.DUMMYFUNCTION("split(B125,"" "")"),"J.")</f>
        <v>J.</v>
      </c>
      <c r="Y125" s="3" t="str">
        <f>IFERROR(__xludf.DUMMYFUNCTION("""COMPUTED_VALUE"""),"Metchie")</f>
        <v>Metchie</v>
      </c>
      <c r="Z125" s="3" t="str">
        <f>IFERROR(__xludf.DUMMYFUNCTION("""COMPUTED_VALUE"""),"III")</f>
        <v>III</v>
      </c>
      <c r="AA125" s="8">
        <v>33.0</v>
      </c>
      <c r="AB125" s="3">
        <f t="shared" si="7"/>
        <v>1</v>
      </c>
      <c r="AC125" s="3">
        <f t="shared" si="8"/>
        <v>1</v>
      </c>
      <c r="AD125" s="3">
        <f t="shared" si="9"/>
        <v>2.586206897</v>
      </c>
      <c r="AE125" s="3">
        <f t="shared" si="10"/>
        <v>2.586206897</v>
      </c>
      <c r="AF125" s="3">
        <f t="shared" si="11"/>
        <v>1.724137931</v>
      </c>
      <c r="AG125" s="3">
        <f t="shared" si="12"/>
        <v>1</v>
      </c>
    </row>
    <row r="126">
      <c r="A126" s="1" t="s">
        <v>12</v>
      </c>
      <c r="B126" s="1" t="s">
        <v>129</v>
      </c>
      <c r="C126" s="1" t="s">
        <v>18</v>
      </c>
      <c r="D126" s="1" t="s">
        <v>72</v>
      </c>
      <c r="E126" s="1" t="s">
        <v>88</v>
      </c>
      <c r="F126" s="1" t="s">
        <v>690</v>
      </c>
      <c r="G126" s="1">
        <v>3.5</v>
      </c>
      <c r="H126" s="1" t="s">
        <v>60</v>
      </c>
      <c r="I126" s="1">
        <v>-173.0</v>
      </c>
      <c r="J126" s="1">
        <v>-0.196299633699633</v>
      </c>
      <c r="K126" s="1" t="s">
        <v>61</v>
      </c>
      <c r="L126" s="1" t="s">
        <v>61</v>
      </c>
      <c r="M126" s="1" t="s">
        <v>62</v>
      </c>
      <c r="N126" s="1">
        <v>132.0</v>
      </c>
      <c r="O126" s="1">
        <v>0.131565517241379</v>
      </c>
      <c r="P126" s="1" t="s">
        <v>61</v>
      </c>
      <c r="Q126" s="1" t="s">
        <v>61</v>
      </c>
      <c r="R126" s="1">
        <f t="shared" si="1"/>
        <v>0.1315655172</v>
      </c>
      <c r="S126" s="1">
        <f t="shared" si="2"/>
        <v>132</v>
      </c>
      <c r="T126" s="1">
        <f t="shared" si="3"/>
        <v>2.32</v>
      </c>
      <c r="U126" s="1">
        <f t="shared" si="4"/>
        <v>0</v>
      </c>
      <c r="V126" s="3">
        <f t="shared" si="5"/>
        <v>3</v>
      </c>
      <c r="W126" s="3">
        <f t="shared" si="6"/>
        <v>1</v>
      </c>
      <c r="X126" s="3" t="str">
        <f>IFERROR(__xludf.DUMMYFUNCTION("split(B126,"" "")"),"T.")</f>
        <v>T.</v>
      </c>
      <c r="Y126" s="3" t="str">
        <f>IFERROR(__xludf.DUMMYFUNCTION("""COMPUTED_VALUE"""),"Dell")</f>
        <v>Dell</v>
      </c>
      <c r="AA126" s="8">
        <v>4.0</v>
      </c>
      <c r="AB126" s="3">
        <f t="shared" si="7"/>
        <v>1</v>
      </c>
      <c r="AC126" s="3">
        <f t="shared" si="8"/>
        <v>0</v>
      </c>
      <c r="AD126" s="3">
        <f t="shared" si="9"/>
        <v>3.96</v>
      </c>
      <c r="AE126" s="3">
        <f t="shared" si="10"/>
        <v>-3</v>
      </c>
      <c r="AF126" s="3">
        <f t="shared" si="11"/>
        <v>-1</v>
      </c>
      <c r="AG126" s="3">
        <f t="shared" si="12"/>
        <v>-0.1428571429</v>
      </c>
    </row>
    <row r="127">
      <c r="A127" s="1" t="s">
        <v>12</v>
      </c>
      <c r="B127" s="1" t="s">
        <v>634</v>
      </c>
      <c r="C127" s="1" t="s">
        <v>18</v>
      </c>
      <c r="D127" s="1" t="s">
        <v>72</v>
      </c>
      <c r="E127" s="1" t="s">
        <v>88</v>
      </c>
      <c r="F127" s="1" t="s">
        <v>690</v>
      </c>
      <c r="G127" s="1">
        <v>1.5</v>
      </c>
      <c r="H127" s="1" t="s">
        <v>60</v>
      </c>
      <c r="I127" s="1">
        <v>-115.0</v>
      </c>
      <c r="J127" s="1">
        <v>-0.194030414153488</v>
      </c>
      <c r="K127" s="1" t="s">
        <v>61</v>
      </c>
      <c r="L127" s="1" t="s">
        <v>61</v>
      </c>
      <c r="M127" s="1" t="s">
        <v>62</v>
      </c>
      <c r="N127" s="1">
        <v>-116.0</v>
      </c>
      <c r="O127" s="1">
        <v>0.122101413379073</v>
      </c>
      <c r="P127" s="1" t="s">
        <v>61</v>
      </c>
      <c r="Q127" s="1" t="s">
        <v>61</v>
      </c>
      <c r="R127" s="1">
        <f t="shared" si="1"/>
        <v>0.1221014134</v>
      </c>
      <c r="S127" s="1">
        <f t="shared" si="2"/>
        <v>-116</v>
      </c>
      <c r="T127" s="1">
        <f t="shared" si="3"/>
        <v>1.862068966</v>
      </c>
      <c r="U127" s="1">
        <f t="shared" si="4"/>
        <v>0</v>
      </c>
      <c r="V127" s="3">
        <f t="shared" si="5"/>
        <v>3</v>
      </c>
      <c r="W127" s="3">
        <f t="shared" si="6"/>
        <v>2</v>
      </c>
      <c r="X127" s="3" t="str">
        <f>IFERROR(__xludf.DUMMYFUNCTION("split(B127,"" "")"),"J.")</f>
        <v>J.</v>
      </c>
      <c r="Y127" s="3" t="str">
        <f>IFERROR(__xludf.DUMMYFUNCTION("""COMPUTED_VALUE"""),"Metchie")</f>
        <v>Metchie</v>
      </c>
      <c r="Z127" s="3" t="str">
        <f>IFERROR(__xludf.DUMMYFUNCTION("""COMPUTED_VALUE"""),"III")</f>
        <v>III</v>
      </c>
      <c r="AA127" s="8">
        <v>3.0</v>
      </c>
      <c r="AB127" s="3">
        <f t="shared" si="7"/>
        <v>1</v>
      </c>
      <c r="AC127" s="3">
        <f t="shared" si="8"/>
        <v>0</v>
      </c>
      <c r="AD127" s="3">
        <f t="shared" si="9"/>
        <v>2.586206897</v>
      </c>
      <c r="AE127" s="3">
        <f t="shared" si="10"/>
        <v>-3</v>
      </c>
      <c r="AF127" s="3">
        <f t="shared" si="11"/>
        <v>-2</v>
      </c>
      <c r="AG127" s="3">
        <f t="shared" si="12"/>
        <v>-1</v>
      </c>
    </row>
    <row r="128">
      <c r="A128" s="1" t="s">
        <v>12</v>
      </c>
      <c r="B128" s="1" t="s">
        <v>410</v>
      </c>
      <c r="C128" s="1" t="s">
        <v>20</v>
      </c>
      <c r="D128" s="1" t="s">
        <v>72</v>
      </c>
      <c r="E128" s="1" t="s">
        <v>88</v>
      </c>
      <c r="F128" s="1" t="s">
        <v>690</v>
      </c>
      <c r="G128" s="1">
        <v>2.5</v>
      </c>
      <c r="H128" s="1" t="s">
        <v>60</v>
      </c>
      <c r="I128" s="1">
        <v>-136.0</v>
      </c>
      <c r="J128" s="1">
        <v>-0.190568752288135</v>
      </c>
      <c r="K128" s="1" t="s">
        <v>61</v>
      </c>
      <c r="L128" s="1" t="s">
        <v>61</v>
      </c>
      <c r="M128" s="1" t="s">
        <v>62</v>
      </c>
      <c r="N128" s="1">
        <v>103.0</v>
      </c>
      <c r="O128" s="1">
        <v>0.121686332709359</v>
      </c>
      <c r="P128" s="1" t="s">
        <v>61</v>
      </c>
      <c r="Q128" s="1" t="s">
        <v>61</v>
      </c>
      <c r="R128" s="1">
        <f t="shared" si="1"/>
        <v>0.1216863327</v>
      </c>
      <c r="S128" s="1">
        <f t="shared" si="2"/>
        <v>103</v>
      </c>
      <c r="T128" s="1">
        <f t="shared" si="3"/>
        <v>2.03</v>
      </c>
      <c r="U128" s="1">
        <f t="shared" si="4"/>
        <v>0</v>
      </c>
      <c r="V128" s="3">
        <f t="shared" si="5"/>
        <v>3</v>
      </c>
      <c r="W128" s="3">
        <f t="shared" si="6"/>
        <v>2</v>
      </c>
      <c r="X128" s="3" t="str">
        <f>IFERROR(__xludf.DUMMYFUNCTION("split(B128,"" "")"),"D.")</f>
        <v>D.</v>
      </c>
      <c r="Y128" s="3" t="str">
        <f>IFERROR(__xludf.DUMMYFUNCTION("""COMPUTED_VALUE"""),"Schultz")</f>
        <v>Schultz</v>
      </c>
      <c r="AA128" s="8">
        <v>5.0</v>
      </c>
      <c r="AB128" s="3">
        <f t="shared" si="7"/>
        <v>1</v>
      </c>
      <c r="AC128" s="3">
        <f t="shared" si="8"/>
        <v>0</v>
      </c>
      <c r="AD128" s="3">
        <f t="shared" si="9"/>
        <v>3.09</v>
      </c>
      <c r="AE128" s="3">
        <f t="shared" si="10"/>
        <v>-3</v>
      </c>
      <c r="AF128" s="3">
        <f t="shared" si="11"/>
        <v>-2</v>
      </c>
      <c r="AG128" s="3">
        <f t="shared" si="12"/>
        <v>-1</v>
      </c>
    </row>
    <row r="129">
      <c r="A129" s="1" t="s">
        <v>11</v>
      </c>
      <c r="B129" s="1" t="s">
        <v>665</v>
      </c>
      <c r="C129" s="1" t="s">
        <v>20</v>
      </c>
      <c r="D129" s="1" t="s">
        <v>72</v>
      </c>
      <c r="E129" s="1" t="s">
        <v>88</v>
      </c>
      <c r="F129" s="1" t="s">
        <v>690</v>
      </c>
      <c r="G129" s="1">
        <v>5.5</v>
      </c>
      <c r="H129" s="1" t="s">
        <v>60</v>
      </c>
      <c r="I129" s="1">
        <v>-108.0</v>
      </c>
      <c r="J129" s="1">
        <v>0.101847566650213</v>
      </c>
      <c r="K129" s="1" t="s">
        <v>61</v>
      </c>
      <c r="L129" s="1" t="s">
        <v>61</v>
      </c>
      <c r="M129" s="1" t="s">
        <v>62</v>
      </c>
      <c r="N129" s="1">
        <v>-117.0</v>
      </c>
      <c r="O129" s="1">
        <v>-0.160246211152054</v>
      </c>
      <c r="P129" s="1" t="s">
        <v>61</v>
      </c>
      <c r="Q129" s="1" t="s">
        <v>61</v>
      </c>
      <c r="R129" s="1">
        <f t="shared" si="1"/>
        <v>0.1018475667</v>
      </c>
      <c r="S129" s="1">
        <f t="shared" si="2"/>
        <v>-108</v>
      </c>
      <c r="T129" s="1">
        <f t="shared" si="3"/>
        <v>1.925925926</v>
      </c>
      <c r="U129" s="1">
        <f t="shared" si="4"/>
        <v>1</v>
      </c>
      <c r="V129" s="3">
        <f t="shared" si="5"/>
        <v>3</v>
      </c>
      <c r="W129" s="3">
        <f t="shared" si="6"/>
        <v>2</v>
      </c>
      <c r="X129" s="3" t="str">
        <f>IFERROR(__xludf.DUMMYFUNCTION("split(B129,"" "")"),"C.")</f>
        <v>C.</v>
      </c>
      <c r="Y129" s="3" t="str">
        <f>IFERROR(__xludf.DUMMYFUNCTION("""COMPUTED_VALUE"""),"Stover")</f>
        <v>Stover</v>
      </c>
      <c r="AA129" s="8">
        <v>15.0</v>
      </c>
      <c r="AB129" s="3">
        <f t="shared" si="7"/>
        <v>1</v>
      </c>
      <c r="AC129" s="3">
        <f t="shared" si="8"/>
        <v>1</v>
      </c>
      <c r="AD129" s="3">
        <f t="shared" si="9"/>
        <v>2.777777778</v>
      </c>
      <c r="AE129" s="3">
        <f t="shared" si="10"/>
        <v>2.777777778</v>
      </c>
      <c r="AF129" s="3">
        <f t="shared" si="11"/>
        <v>1.851851852</v>
      </c>
      <c r="AG129" s="3">
        <f t="shared" si="12"/>
        <v>1.727272727</v>
      </c>
    </row>
    <row r="130">
      <c r="A130" s="1" t="s">
        <v>8</v>
      </c>
      <c r="B130" s="1" t="s">
        <v>359</v>
      </c>
      <c r="C130" s="1" t="s">
        <v>19</v>
      </c>
      <c r="D130" s="1" t="s">
        <v>72</v>
      </c>
      <c r="E130" s="1" t="s">
        <v>88</v>
      </c>
      <c r="F130" s="1" t="s">
        <v>690</v>
      </c>
      <c r="G130" s="1">
        <v>21.5</v>
      </c>
      <c r="H130" s="1" t="s">
        <v>60</v>
      </c>
      <c r="I130" s="1">
        <v>-139.0</v>
      </c>
      <c r="J130" s="1">
        <v>0.038382541771548</v>
      </c>
      <c r="K130" s="1" t="s">
        <v>61</v>
      </c>
      <c r="L130" s="1" t="s">
        <v>61</v>
      </c>
      <c r="M130" s="1" t="s">
        <v>62</v>
      </c>
      <c r="N130" s="1">
        <v>103.0</v>
      </c>
      <c r="O130" s="1">
        <v>-0.112561329368472</v>
      </c>
      <c r="P130" s="1" t="s">
        <v>61</v>
      </c>
      <c r="Q130" s="1" t="s">
        <v>61</v>
      </c>
      <c r="R130" s="1">
        <f t="shared" si="1"/>
        <v>0.03838254177</v>
      </c>
      <c r="S130" s="1">
        <f t="shared" si="2"/>
        <v>-139</v>
      </c>
      <c r="T130" s="1">
        <f t="shared" si="3"/>
        <v>1.71942446</v>
      </c>
      <c r="U130" s="1">
        <f t="shared" si="4"/>
        <v>1</v>
      </c>
      <c r="V130" s="3">
        <f t="shared" si="5"/>
        <v>1</v>
      </c>
      <c r="W130" s="3">
        <f t="shared" si="6"/>
        <v>3</v>
      </c>
      <c r="X130" s="3" t="str">
        <f>IFERROR(__xludf.DUMMYFUNCTION("split(B130,"" "")"),"J.")</f>
        <v>J.</v>
      </c>
      <c r="Y130" s="3" t="str">
        <f>IFERROR(__xludf.DUMMYFUNCTION("""COMPUTED_VALUE"""),"Mixon")</f>
        <v>Mixon</v>
      </c>
      <c r="AA130" s="8">
        <v>20.0</v>
      </c>
      <c r="AB130" s="3">
        <f t="shared" si="7"/>
        <v>0</v>
      </c>
      <c r="AC130" s="3">
        <f t="shared" si="8"/>
        <v>0</v>
      </c>
      <c r="AD130" s="3">
        <f t="shared" si="9"/>
        <v>0.7194244604</v>
      </c>
      <c r="AE130" s="3">
        <f t="shared" si="10"/>
        <v>-1</v>
      </c>
      <c r="AF130" s="3">
        <f t="shared" si="11"/>
        <v>-3</v>
      </c>
      <c r="AG130" s="3">
        <f t="shared" si="12"/>
        <v>-0.06976744186</v>
      </c>
    </row>
    <row r="131">
      <c r="A131" s="1" t="s">
        <v>12</v>
      </c>
      <c r="B131" s="1" t="s">
        <v>495</v>
      </c>
      <c r="C131" s="1" t="s">
        <v>18</v>
      </c>
      <c r="D131" s="1" t="s">
        <v>72</v>
      </c>
      <c r="E131" s="1" t="s">
        <v>88</v>
      </c>
      <c r="F131" s="1" t="s">
        <v>690</v>
      </c>
      <c r="G131" s="1">
        <v>5.5</v>
      </c>
      <c r="H131" s="1" t="s">
        <v>60</v>
      </c>
      <c r="I131" s="1">
        <v>-115.0</v>
      </c>
      <c r="J131" s="1">
        <v>0.0343093023255812</v>
      </c>
      <c r="K131" s="1" t="s">
        <v>61</v>
      </c>
      <c r="L131" s="1" t="s">
        <v>61</v>
      </c>
      <c r="M131" s="1" t="s">
        <v>62</v>
      </c>
      <c r="N131" s="1">
        <v>-113.0</v>
      </c>
      <c r="O131" s="1">
        <v>-0.0997225352112676</v>
      </c>
      <c r="P131" s="1" t="s">
        <v>61</v>
      </c>
      <c r="Q131" s="1" t="s">
        <v>61</v>
      </c>
      <c r="R131" s="1">
        <f t="shared" si="1"/>
        <v>0.03430930233</v>
      </c>
      <c r="S131" s="1">
        <f t="shared" si="2"/>
        <v>-115</v>
      </c>
      <c r="T131" s="1">
        <f t="shared" si="3"/>
        <v>1.869565217</v>
      </c>
      <c r="U131" s="1">
        <f t="shared" si="4"/>
        <v>1</v>
      </c>
      <c r="V131" s="3">
        <f t="shared" si="5"/>
        <v>1</v>
      </c>
      <c r="W131" s="3">
        <f t="shared" si="6"/>
        <v>2</v>
      </c>
      <c r="X131" s="3" t="str">
        <f>IFERROR(__xludf.DUMMYFUNCTION("split(B131,"" "")"),"N.")</f>
        <v>N.</v>
      </c>
      <c r="Y131" s="3" t="str">
        <f>IFERROR(__xludf.DUMMYFUNCTION("""COMPUTED_VALUE"""),"Collins")</f>
        <v>Collins</v>
      </c>
      <c r="AA131" s="8">
        <v>4.0</v>
      </c>
      <c r="AB131" s="3">
        <f t="shared" si="7"/>
        <v>0</v>
      </c>
      <c r="AC131" s="3">
        <f t="shared" si="8"/>
        <v>0</v>
      </c>
      <c r="AD131" s="3">
        <f t="shared" si="9"/>
        <v>0.8695652174</v>
      </c>
      <c r="AE131" s="3">
        <f t="shared" si="10"/>
        <v>-1</v>
      </c>
      <c r="AF131" s="3">
        <f t="shared" si="11"/>
        <v>-2</v>
      </c>
      <c r="AG131" s="3">
        <f t="shared" si="12"/>
        <v>-0.2727272727</v>
      </c>
    </row>
    <row r="132">
      <c r="A132" s="1" t="s">
        <v>11</v>
      </c>
      <c r="B132" s="1" t="s">
        <v>359</v>
      </c>
      <c r="C132" s="1" t="s">
        <v>19</v>
      </c>
      <c r="D132" s="1" t="s">
        <v>72</v>
      </c>
      <c r="E132" s="1" t="s">
        <v>88</v>
      </c>
      <c r="F132" s="1" t="s">
        <v>690</v>
      </c>
      <c r="G132" s="1">
        <v>18.5</v>
      </c>
      <c r="H132" s="1" t="s">
        <v>60</v>
      </c>
      <c r="I132" s="1">
        <v>-117.0</v>
      </c>
      <c r="J132" s="1">
        <v>-0.0903732813380091</v>
      </c>
      <c r="K132" s="1" t="s">
        <v>61</v>
      </c>
      <c r="L132" s="1" t="s">
        <v>61</v>
      </c>
      <c r="M132" s="1" t="s">
        <v>62</v>
      </c>
      <c r="N132" s="1">
        <v>-111.0</v>
      </c>
      <c r="O132" s="1">
        <v>0.0251792856677074</v>
      </c>
      <c r="P132" s="1" t="s">
        <v>61</v>
      </c>
      <c r="Q132" s="1" t="s">
        <v>61</v>
      </c>
      <c r="R132" s="1">
        <f t="shared" si="1"/>
        <v>0.02517928567</v>
      </c>
      <c r="S132" s="1">
        <f t="shared" si="2"/>
        <v>-111</v>
      </c>
      <c r="T132" s="1">
        <f t="shared" si="3"/>
        <v>1.900900901</v>
      </c>
      <c r="U132" s="1">
        <f t="shared" si="4"/>
        <v>0</v>
      </c>
      <c r="V132" s="3">
        <f t="shared" si="5"/>
        <v>1</v>
      </c>
      <c r="W132" s="3">
        <f t="shared" si="6"/>
        <v>2</v>
      </c>
      <c r="X132" s="3" t="str">
        <f>IFERROR(__xludf.DUMMYFUNCTION("split(B132,"" "")"),"J.")</f>
        <v>J.</v>
      </c>
      <c r="Y132" s="3" t="str">
        <f>IFERROR(__xludf.DUMMYFUNCTION("""COMPUTED_VALUE"""),"Mixon")</f>
        <v>Mixon</v>
      </c>
      <c r="AA132" s="8">
        <v>44.0</v>
      </c>
      <c r="AB132" s="3">
        <f t="shared" si="7"/>
        <v>1</v>
      </c>
      <c r="AC132" s="3">
        <f t="shared" si="8"/>
        <v>0</v>
      </c>
      <c r="AD132" s="3">
        <f t="shared" si="9"/>
        <v>0.9009009009</v>
      </c>
      <c r="AE132" s="3">
        <f t="shared" si="10"/>
        <v>-1</v>
      </c>
      <c r="AF132" s="3">
        <f t="shared" si="11"/>
        <v>-2</v>
      </c>
      <c r="AG132" s="3">
        <f t="shared" si="12"/>
        <v>-1.378378378</v>
      </c>
    </row>
    <row r="133">
      <c r="A133" s="1" t="s">
        <v>14</v>
      </c>
      <c r="B133" s="1" t="s">
        <v>369</v>
      </c>
      <c r="C133" s="1" t="s">
        <v>21</v>
      </c>
      <c r="D133" s="1" t="s">
        <v>72</v>
      </c>
      <c r="E133" s="1" t="s">
        <v>88</v>
      </c>
      <c r="F133" s="1" t="s">
        <v>690</v>
      </c>
      <c r="G133" s="1">
        <v>1.5</v>
      </c>
      <c r="H133" s="1" t="s">
        <v>60</v>
      </c>
      <c r="I133" s="1">
        <v>-110.0</v>
      </c>
      <c r="J133" s="1">
        <v>-0.0931095238095238</v>
      </c>
      <c r="K133" s="1" t="s">
        <v>61</v>
      </c>
      <c r="L133" s="1" t="s">
        <v>61</v>
      </c>
      <c r="M133" s="1" t="s">
        <v>62</v>
      </c>
      <c r="N133" s="1">
        <v>-120.0</v>
      </c>
      <c r="O133" s="1">
        <v>0.0238454545454546</v>
      </c>
      <c r="P133" s="1" t="s">
        <v>61</v>
      </c>
      <c r="Q133" s="1" t="s">
        <v>61</v>
      </c>
      <c r="R133" s="1">
        <f t="shared" si="1"/>
        <v>0.02384545455</v>
      </c>
      <c r="S133" s="1">
        <f t="shared" si="2"/>
        <v>-120</v>
      </c>
      <c r="T133" s="1">
        <f t="shared" si="3"/>
        <v>1.833333333</v>
      </c>
      <c r="U133" s="1">
        <f t="shared" si="4"/>
        <v>0</v>
      </c>
      <c r="V133" s="3">
        <f t="shared" si="5"/>
        <v>1</v>
      </c>
      <c r="W133" s="3">
        <f t="shared" si="6"/>
        <v>3</v>
      </c>
      <c r="X133" s="3" t="str">
        <f>IFERROR(__xludf.DUMMYFUNCTION("split(B133,"" "")"),"C.")</f>
        <v>C.</v>
      </c>
      <c r="Y133" s="3" t="str">
        <f>IFERROR(__xludf.DUMMYFUNCTION("""COMPUTED_VALUE"""),"Stroud")</f>
        <v>Stroud</v>
      </c>
      <c r="AA133" s="8">
        <v>0.0</v>
      </c>
      <c r="AB133" s="3">
        <f t="shared" si="7"/>
        <v>0</v>
      </c>
      <c r="AC133" s="3">
        <f t="shared" si="8"/>
        <v>1</v>
      </c>
      <c r="AD133" s="3">
        <f t="shared" si="9"/>
        <v>0.8333333333</v>
      </c>
      <c r="AE133" s="3">
        <f t="shared" si="10"/>
        <v>0.8333333333</v>
      </c>
      <c r="AF133" s="3">
        <f t="shared" si="11"/>
        <v>2.5</v>
      </c>
      <c r="AG133" s="3">
        <f t="shared" si="12"/>
        <v>1</v>
      </c>
    </row>
    <row r="134">
      <c r="A134" s="1" t="s">
        <v>9</v>
      </c>
      <c r="B134" s="1" t="s">
        <v>359</v>
      </c>
      <c r="C134" s="1" t="s">
        <v>19</v>
      </c>
      <c r="D134" s="1" t="s">
        <v>72</v>
      </c>
      <c r="E134" s="1" t="s">
        <v>88</v>
      </c>
      <c r="F134" s="1" t="s">
        <v>690</v>
      </c>
      <c r="G134" s="1">
        <v>112.5</v>
      </c>
      <c r="H134" s="1" t="s">
        <v>60</v>
      </c>
      <c r="I134" s="1">
        <v>-118.0</v>
      </c>
      <c r="J134" s="1">
        <v>-0.087793630405437</v>
      </c>
      <c r="K134" s="1" t="s">
        <v>61</v>
      </c>
      <c r="L134" s="1" t="s">
        <v>61</v>
      </c>
      <c r="M134" s="1" t="s">
        <v>62</v>
      </c>
      <c r="N134" s="1">
        <v>-113.0</v>
      </c>
      <c r="O134" s="1">
        <v>0.0159628686070225</v>
      </c>
      <c r="P134" s="1" t="s">
        <v>61</v>
      </c>
      <c r="Q134" s="1" t="s">
        <v>61</v>
      </c>
      <c r="R134" s="1">
        <f t="shared" si="1"/>
        <v>0.01596286861</v>
      </c>
      <c r="S134" s="1">
        <f t="shared" si="2"/>
        <v>-113</v>
      </c>
      <c r="T134" s="1">
        <f t="shared" si="3"/>
        <v>1.884955752</v>
      </c>
      <c r="U134" s="1">
        <f t="shared" si="4"/>
        <v>0</v>
      </c>
      <c r="V134" s="3">
        <f t="shared" si="5"/>
        <v>1</v>
      </c>
      <c r="W134" s="3">
        <f t="shared" si="6"/>
        <v>2</v>
      </c>
      <c r="X134" s="3" t="str">
        <f>IFERROR(__xludf.DUMMYFUNCTION("split(B134,"" "")"),"J.")</f>
        <v>J.</v>
      </c>
      <c r="Y134" s="3" t="str">
        <f>IFERROR(__xludf.DUMMYFUNCTION("""COMPUTED_VALUE"""),"Mixon")</f>
        <v>Mixon</v>
      </c>
      <c r="AA134" s="8">
        <v>153.0</v>
      </c>
      <c r="AB134" s="3">
        <f t="shared" si="7"/>
        <v>1</v>
      </c>
      <c r="AC134" s="3">
        <f t="shared" si="8"/>
        <v>0</v>
      </c>
      <c r="AD134" s="3">
        <f t="shared" si="9"/>
        <v>0.8849557522</v>
      </c>
      <c r="AE134" s="3">
        <f t="shared" si="10"/>
        <v>-1</v>
      </c>
      <c r="AF134" s="3">
        <f t="shared" si="11"/>
        <v>-2</v>
      </c>
      <c r="AG134" s="3">
        <f t="shared" si="12"/>
        <v>-0.36</v>
      </c>
    </row>
    <row r="135">
      <c r="A135" s="1" t="s">
        <v>15</v>
      </c>
      <c r="B135" s="1" t="s">
        <v>369</v>
      </c>
      <c r="C135" s="1" t="s">
        <v>21</v>
      </c>
      <c r="D135" s="1" t="s">
        <v>72</v>
      </c>
      <c r="E135" s="1" t="s">
        <v>88</v>
      </c>
      <c r="F135" s="1" t="s">
        <v>690</v>
      </c>
      <c r="G135" s="1">
        <v>19.5</v>
      </c>
      <c r="H135" s="1" t="s">
        <v>60</v>
      </c>
      <c r="I135" s="1">
        <v>-133.0</v>
      </c>
      <c r="J135" s="1">
        <v>-0.0728133209871244</v>
      </c>
      <c r="K135" s="1" t="s">
        <v>61</v>
      </c>
      <c r="L135" s="1" t="s">
        <v>61</v>
      </c>
      <c r="M135" s="1" t="s">
        <v>62</v>
      </c>
      <c r="N135" s="1">
        <v>104.0</v>
      </c>
      <c r="O135" s="1">
        <v>0.0118014891666666</v>
      </c>
      <c r="P135" s="1" t="s">
        <v>61</v>
      </c>
      <c r="Q135" s="1" t="s">
        <v>61</v>
      </c>
      <c r="R135" s="1">
        <f t="shared" si="1"/>
        <v>0.01180148917</v>
      </c>
      <c r="S135" s="1">
        <f t="shared" si="2"/>
        <v>104</v>
      </c>
      <c r="T135" s="1">
        <f t="shared" si="3"/>
        <v>2.04</v>
      </c>
      <c r="U135" s="1">
        <f t="shared" si="4"/>
        <v>0</v>
      </c>
      <c r="V135" s="3">
        <f t="shared" si="5"/>
        <v>1</v>
      </c>
      <c r="W135" s="3">
        <f t="shared" si="6"/>
        <v>2</v>
      </c>
      <c r="X135" s="3" t="str">
        <f>IFERROR(__xludf.DUMMYFUNCTION("split(B135,"" "")"),"C.")</f>
        <v>C.</v>
      </c>
      <c r="Y135" s="3" t="str">
        <f>IFERROR(__xludf.DUMMYFUNCTION("""COMPUTED_VALUE"""),"Stroud")</f>
        <v>Stroud</v>
      </c>
      <c r="AA135" s="8">
        <v>23.0</v>
      </c>
      <c r="AB135" s="3">
        <f t="shared" si="7"/>
        <v>1</v>
      </c>
      <c r="AC135" s="3">
        <f t="shared" si="8"/>
        <v>0</v>
      </c>
      <c r="AD135" s="3">
        <f t="shared" si="9"/>
        <v>1.04</v>
      </c>
      <c r="AE135" s="3">
        <f t="shared" si="10"/>
        <v>-1</v>
      </c>
      <c r="AF135" s="3">
        <f t="shared" si="11"/>
        <v>-2</v>
      </c>
      <c r="AG135" s="3">
        <f t="shared" si="12"/>
        <v>-0.1794871795</v>
      </c>
    </row>
    <row r="136">
      <c r="A136" s="1" t="s">
        <v>11</v>
      </c>
      <c r="B136" s="1" t="s">
        <v>129</v>
      </c>
      <c r="C136" s="1" t="s">
        <v>18</v>
      </c>
      <c r="D136" s="1" t="s">
        <v>72</v>
      </c>
      <c r="E136" s="1" t="s">
        <v>88</v>
      </c>
      <c r="F136" s="1" t="s">
        <v>690</v>
      </c>
      <c r="G136" s="1">
        <v>49.5</v>
      </c>
      <c r="H136" s="1" t="s">
        <v>60</v>
      </c>
      <c r="I136" s="1">
        <v>-118.0</v>
      </c>
      <c r="J136" s="1">
        <v>-0.0740931216763669</v>
      </c>
      <c r="K136" s="1" t="s">
        <v>61</v>
      </c>
      <c r="L136" s="1" t="s">
        <v>61</v>
      </c>
      <c r="M136" s="1" t="s">
        <v>62</v>
      </c>
      <c r="N136" s="1">
        <v>-109.0</v>
      </c>
      <c r="O136" s="1">
        <v>0.0112647580583302</v>
      </c>
      <c r="P136" s="1" t="s">
        <v>61</v>
      </c>
      <c r="Q136" s="1" t="s">
        <v>61</v>
      </c>
      <c r="R136" s="1">
        <f t="shared" si="1"/>
        <v>0.01126475806</v>
      </c>
      <c r="S136" s="1">
        <f t="shared" si="2"/>
        <v>-109</v>
      </c>
      <c r="T136" s="1">
        <f t="shared" si="3"/>
        <v>1.917431193</v>
      </c>
      <c r="U136" s="1">
        <f t="shared" si="4"/>
        <v>0</v>
      </c>
      <c r="V136" s="3">
        <f t="shared" si="5"/>
        <v>1</v>
      </c>
      <c r="W136" s="3">
        <f t="shared" si="6"/>
        <v>2</v>
      </c>
      <c r="X136" s="3" t="str">
        <f>IFERROR(__xludf.DUMMYFUNCTION("split(B136,"" "")"),"T.")</f>
        <v>T.</v>
      </c>
      <c r="Y136" s="3" t="str">
        <f>IFERROR(__xludf.DUMMYFUNCTION("""COMPUTED_VALUE"""),"Dell")</f>
        <v>Dell</v>
      </c>
      <c r="AA136" s="8">
        <v>54.0</v>
      </c>
      <c r="AB136" s="3">
        <f t="shared" si="7"/>
        <v>1</v>
      </c>
      <c r="AC136" s="3">
        <f t="shared" si="8"/>
        <v>0</v>
      </c>
      <c r="AD136" s="3">
        <f t="shared" si="9"/>
        <v>0.9174311927</v>
      </c>
      <c r="AE136" s="3">
        <f t="shared" si="10"/>
        <v>-1</v>
      </c>
      <c r="AF136" s="3">
        <f t="shared" si="11"/>
        <v>-2</v>
      </c>
      <c r="AG136" s="3">
        <f t="shared" si="12"/>
        <v>-0.09090909091</v>
      </c>
    </row>
    <row r="137">
      <c r="A137" s="1" t="s">
        <v>11</v>
      </c>
      <c r="B137" s="1" t="s">
        <v>410</v>
      </c>
      <c r="C137" s="1" t="s">
        <v>20</v>
      </c>
      <c r="D137" s="1" t="s">
        <v>72</v>
      </c>
      <c r="E137" s="1" t="s">
        <v>88</v>
      </c>
      <c r="F137" s="1" t="s">
        <v>690</v>
      </c>
      <c r="G137" s="1">
        <v>27.5</v>
      </c>
      <c r="H137" s="1" t="s">
        <v>60</v>
      </c>
      <c r="I137" s="1">
        <v>-118.0</v>
      </c>
      <c r="J137" s="1">
        <v>-0.0718913815938073</v>
      </c>
      <c r="K137" s="1" t="s">
        <v>61</v>
      </c>
      <c r="L137" s="1" t="s">
        <v>61</v>
      </c>
      <c r="M137" s="1" t="s">
        <v>62</v>
      </c>
      <c r="N137" s="1">
        <v>-109.0</v>
      </c>
      <c r="O137" s="1">
        <v>0.00908917873769632</v>
      </c>
      <c r="P137" s="1" t="s">
        <v>61</v>
      </c>
      <c r="Q137" s="1" t="s">
        <v>61</v>
      </c>
      <c r="R137" s="1">
        <f t="shared" si="1"/>
        <v>0.009089178738</v>
      </c>
      <c r="S137" s="1">
        <f t="shared" si="2"/>
        <v>-109</v>
      </c>
      <c r="T137" s="1">
        <f t="shared" si="3"/>
        <v>1.917431193</v>
      </c>
      <c r="U137" s="1">
        <f t="shared" si="4"/>
        <v>0</v>
      </c>
      <c r="V137" s="3">
        <f t="shared" si="5"/>
        <v>1</v>
      </c>
      <c r="W137" s="3">
        <f t="shared" si="6"/>
        <v>2</v>
      </c>
      <c r="X137" s="3" t="str">
        <f>IFERROR(__xludf.DUMMYFUNCTION("split(B137,"" "")"),"D.")</f>
        <v>D.</v>
      </c>
      <c r="Y137" s="3" t="str">
        <f>IFERROR(__xludf.DUMMYFUNCTION("""COMPUTED_VALUE"""),"Schultz")</f>
        <v>Schultz</v>
      </c>
      <c r="AA137" s="8">
        <v>33.0</v>
      </c>
      <c r="AB137" s="3">
        <f t="shared" si="7"/>
        <v>1</v>
      </c>
      <c r="AC137" s="3">
        <f t="shared" si="8"/>
        <v>0</v>
      </c>
      <c r="AD137" s="3">
        <f t="shared" si="9"/>
        <v>0.9174311927</v>
      </c>
      <c r="AE137" s="3">
        <f t="shared" si="10"/>
        <v>-1</v>
      </c>
      <c r="AF137" s="3">
        <f t="shared" si="11"/>
        <v>-2</v>
      </c>
      <c r="AG137" s="3">
        <f t="shared" si="12"/>
        <v>-0.2</v>
      </c>
    </row>
    <row r="138">
      <c r="A138" s="1" t="s">
        <v>10</v>
      </c>
      <c r="B138" s="1" t="s">
        <v>359</v>
      </c>
      <c r="C138" s="1" t="s">
        <v>19</v>
      </c>
      <c r="D138" s="1" t="s">
        <v>72</v>
      </c>
      <c r="E138" s="1" t="s">
        <v>88</v>
      </c>
      <c r="F138" s="1" t="s">
        <v>690</v>
      </c>
      <c r="G138" s="1">
        <v>90.5</v>
      </c>
      <c r="H138" s="1" t="s">
        <v>60</v>
      </c>
      <c r="I138" s="1">
        <v>-123.0</v>
      </c>
      <c r="J138" s="1">
        <v>-0.0786863115659551</v>
      </c>
      <c r="K138" s="1" t="s">
        <v>61</v>
      </c>
      <c r="L138" s="1" t="s">
        <v>61</v>
      </c>
      <c r="M138" s="1" t="s">
        <v>62</v>
      </c>
      <c r="N138" s="1">
        <v>-108.0</v>
      </c>
      <c r="O138" s="1">
        <v>0.00787087300532951</v>
      </c>
      <c r="P138" s="1" t="s">
        <v>61</v>
      </c>
      <c r="Q138" s="1" t="s">
        <v>61</v>
      </c>
      <c r="R138" s="1">
        <f t="shared" si="1"/>
        <v>0.007870873005</v>
      </c>
      <c r="S138" s="1">
        <f t="shared" si="2"/>
        <v>-108</v>
      </c>
      <c r="T138" s="1">
        <f t="shared" si="3"/>
        <v>1.925925926</v>
      </c>
      <c r="U138" s="1">
        <f t="shared" si="4"/>
        <v>0</v>
      </c>
      <c r="V138" s="3">
        <f t="shared" si="5"/>
        <v>1</v>
      </c>
      <c r="W138" s="3">
        <f t="shared" si="6"/>
        <v>2</v>
      </c>
      <c r="X138" s="3" t="str">
        <f>IFERROR(__xludf.DUMMYFUNCTION("split(B138,"" "")"),"J.")</f>
        <v>J.</v>
      </c>
      <c r="Y138" s="3" t="str">
        <f>IFERROR(__xludf.DUMMYFUNCTION("""COMPUTED_VALUE"""),"Mixon")</f>
        <v>Mixon</v>
      </c>
      <c r="AA138" s="8">
        <v>109.0</v>
      </c>
      <c r="AB138" s="3">
        <f t="shared" si="7"/>
        <v>1</v>
      </c>
      <c r="AC138" s="3">
        <f t="shared" si="8"/>
        <v>0</v>
      </c>
      <c r="AD138" s="3">
        <f t="shared" si="9"/>
        <v>0.9259259259</v>
      </c>
      <c r="AE138" s="3">
        <f t="shared" si="10"/>
        <v>-1</v>
      </c>
      <c r="AF138" s="3">
        <f t="shared" si="11"/>
        <v>-2</v>
      </c>
      <c r="AG138" s="3">
        <f t="shared" si="12"/>
        <v>-0.2044198895</v>
      </c>
    </row>
    <row r="139">
      <c r="A139" s="1" t="s">
        <v>12</v>
      </c>
      <c r="B139" s="1" t="s">
        <v>444</v>
      </c>
      <c r="C139" s="1" t="s">
        <v>19</v>
      </c>
      <c r="D139" s="1" t="s">
        <v>71</v>
      </c>
      <c r="E139" s="1" t="s">
        <v>165</v>
      </c>
      <c r="F139" s="1" t="s">
        <v>687</v>
      </c>
      <c r="G139" s="1">
        <v>1.5</v>
      </c>
      <c r="H139" s="1" t="s">
        <v>60</v>
      </c>
      <c r="I139" s="1">
        <v>-171.0</v>
      </c>
      <c r="J139" s="1">
        <v>-0.228795249494464</v>
      </c>
      <c r="K139" s="1" t="s">
        <v>61</v>
      </c>
      <c r="L139" s="1" t="s">
        <v>61</v>
      </c>
      <c r="M139" s="1" t="s">
        <v>62</v>
      </c>
      <c r="N139" s="1">
        <v>130.0</v>
      </c>
      <c r="O139" s="1">
        <v>0.163016141795652</v>
      </c>
      <c r="P139" s="1" t="s">
        <v>61</v>
      </c>
      <c r="Q139" s="1" t="s">
        <v>61</v>
      </c>
      <c r="R139" s="1">
        <f t="shared" si="1"/>
        <v>0.1630161418</v>
      </c>
      <c r="S139" s="1">
        <f t="shared" si="2"/>
        <v>130</v>
      </c>
      <c r="T139" s="1">
        <f t="shared" si="3"/>
        <v>2.3</v>
      </c>
      <c r="U139" s="1">
        <f t="shared" si="4"/>
        <v>0</v>
      </c>
      <c r="V139" s="3">
        <f t="shared" si="5"/>
        <v>3</v>
      </c>
      <c r="W139" s="3">
        <f t="shared" si="6"/>
        <v>1</v>
      </c>
      <c r="X139" s="3" t="str">
        <f>IFERROR(__xludf.DUMMYFUNCTION("split(B139,"" "")"),"J.")</f>
        <v>J.</v>
      </c>
      <c r="Y139" s="3" t="str">
        <f>IFERROR(__xludf.DUMMYFUNCTION("""COMPUTED_VALUE"""),"Taylor")</f>
        <v>Taylor</v>
      </c>
      <c r="AA139" s="8">
        <v>1.0</v>
      </c>
      <c r="AB139" s="3">
        <f t="shared" si="7"/>
        <v>0</v>
      </c>
      <c r="AC139" s="3">
        <f t="shared" si="8"/>
        <v>1</v>
      </c>
      <c r="AD139" s="3">
        <f t="shared" si="9"/>
        <v>3.9</v>
      </c>
      <c r="AE139" s="3">
        <f t="shared" si="10"/>
        <v>3.9</v>
      </c>
      <c r="AF139" s="3">
        <f t="shared" si="11"/>
        <v>1.3</v>
      </c>
      <c r="AG139" s="3">
        <f t="shared" si="12"/>
        <v>0.3333333333</v>
      </c>
    </row>
    <row r="140">
      <c r="A140" s="1" t="s">
        <v>8</v>
      </c>
      <c r="B140" s="1" t="s">
        <v>200</v>
      </c>
      <c r="C140" s="1" t="s">
        <v>21</v>
      </c>
      <c r="D140" s="1" t="s">
        <v>71</v>
      </c>
      <c r="E140" s="1" t="s">
        <v>165</v>
      </c>
      <c r="F140" s="1" t="s">
        <v>687</v>
      </c>
      <c r="G140" s="1">
        <v>7.5</v>
      </c>
      <c r="H140" s="1" t="s">
        <v>60</v>
      </c>
      <c r="I140" s="1">
        <v>100.0</v>
      </c>
      <c r="J140" s="1">
        <v>-0.209980603669839</v>
      </c>
      <c r="K140" s="1" t="s">
        <v>61</v>
      </c>
      <c r="L140" s="1" t="s">
        <v>61</v>
      </c>
      <c r="M140" s="1" t="s">
        <v>62</v>
      </c>
      <c r="N140" s="1">
        <v>-133.0</v>
      </c>
      <c r="O140" s="1">
        <v>0.139176568996468</v>
      </c>
      <c r="P140" s="1" t="s">
        <v>61</v>
      </c>
      <c r="Q140" s="1" t="s">
        <v>61</v>
      </c>
      <c r="R140" s="1">
        <f t="shared" si="1"/>
        <v>0.139176569</v>
      </c>
      <c r="S140" s="1">
        <f t="shared" si="2"/>
        <v>-133</v>
      </c>
      <c r="T140" s="1">
        <f t="shared" si="3"/>
        <v>1.751879699</v>
      </c>
      <c r="U140" s="1">
        <f t="shared" si="4"/>
        <v>0</v>
      </c>
      <c r="V140" s="3">
        <f t="shared" si="5"/>
        <v>3</v>
      </c>
      <c r="W140" s="3">
        <f t="shared" si="6"/>
        <v>3</v>
      </c>
      <c r="X140" s="3" t="str">
        <f>IFERROR(__xludf.DUMMYFUNCTION("split(B140,"" "")"),"A.")</f>
        <v>A.</v>
      </c>
      <c r="Y140" s="3" t="str">
        <f>IFERROR(__xludf.DUMMYFUNCTION("""COMPUTED_VALUE"""),"Richardson")</f>
        <v>Richardson</v>
      </c>
      <c r="AA140" s="8">
        <v>10.0</v>
      </c>
      <c r="AB140" s="3">
        <f t="shared" si="7"/>
        <v>1</v>
      </c>
      <c r="AC140" s="3">
        <f t="shared" si="8"/>
        <v>0</v>
      </c>
      <c r="AD140" s="3">
        <f t="shared" si="9"/>
        <v>2.255639098</v>
      </c>
      <c r="AE140" s="3">
        <f t="shared" si="10"/>
        <v>-3</v>
      </c>
      <c r="AF140" s="3">
        <f t="shared" si="11"/>
        <v>-3</v>
      </c>
      <c r="AG140" s="3">
        <f t="shared" si="12"/>
        <v>-0.3333333333</v>
      </c>
    </row>
    <row r="141">
      <c r="A141" s="1" t="s">
        <v>14</v>
      </c>
      <c r="B141" s="1" t="s">
        <v>200</v>
      </c>
      <c r="C141" s="1" t="s">
        <v>21</v>
      </c>
      <c r="D141" s="1" t="s">
        <v>71</v>
      </c>
      <c r="E141" s="1" t="s">
        <v>165</v>
      </c>
      <c r="F141" s="1" t="s">
        <v>687</v>
      </c>
      <c r="G141" s="1">
        <v>0.5</v>
      </c>
      <c r="H141" s="1" t="s">
        <v>60</v>
      </c>
      <c r="I141" s="1">
        <v>-200.0</v>
      </c>
      <c r="J141" s="1">
        <v>-0.196265487066666</v>
      </c>
      <c r="K141" s="1" t="s">
        <v>61</v>
      </c>
      <c r="L141" s="1" t="s">
        <v>61</v>
      </c>
      <c r="M141" s="1" t="s">
        <v>62</v>
      </c>
      <c r="N141" s="1">
        <v>151.0</v>
      </c>
      <c r="O141" s="1">
        <v>0.131192215617529</v>
      </c>
      <c r="P141" s="1" t="s">
        <v>61</v>
      </c>
      <c r="Q141" s="1" t="s">
        <v>61</v>
      </c>
      <c r="R141" s="1">
        <f t="shared" si="1"/>
        <v>0.1311922156</v>
      </c>
      <c r="S141" s="1">
        <f t="shared" si="2"/>
        <v>151</v>
      </c>
      <c r="T141" s="1">
        <f t="shared" si="3"/>
        <v>2.51</v>
      </c>
      <c r="U141" s="1">
        <f t="shared" si="4"/>
        <v>0</v>
      </c>
      <c r="V141" s="3">
        <f t="shared" si="5"/>
        <v>3</v>
      </c>
      <c r="W141" s="3">
        <f t="shared" si="6"/>
        <v>1</v>
      </c>
      <c r="X141" s="3" t="str">
        <f>IFERROR(__xludf.DUMMYFUNCTION("split(B141,"" "")"),"A.")</f>
        <v>A.</v>
      </c>
      <c r="Y141" s="3" t="str">
        <f>IFERROR(__xludf.DUMMYFUNCTION("""COMPUTED_VALUE"""),"Richardson")</f>
        <v>Richardson</v>
      </c>
      <c r="AA141" s="8">
        <v>1.0</v>
      </c>
      <c r="AB141" s="3">
        <f t="shared" si="7"/>
        <v>1</v>
      </c>
      <c r="AC141" s="3">
        <f t="shared" si="8"/>
        <v>0</v>
      </c>
      <c r="AD141" s="3">
        <f t="shared" si="9"/>
        <v>4.53</v>
      </c>
      <c r="AE141" s="3">
        <f t="shared" si="10"/>
        <v>-3</v>
      </c>
      <c r="AF141" s="3">
        <f t="shared" si="11"/>
        <v>-1</v>
      </c>
      <c r="AG141" s="3">
        <f t="shared" si="12"/>
        <v>-1</v>
      </c>
    </row>
    <row r="142">
      <c r="A142" s="1" t="s">
        <v>17</v>
      </c>
      <c r="B142" s="1" t="s">
        <v>200</v>
      </c>
      <c r="C142" s="1" t="s">
        <v>21</v>
      </c>
      <c r="D142" s="1" t="s">
        <v>71</v>
      </c>
      <c r="E142" s="1" t="s">
        <v>165</v>
      </c>
      <c r="F142" s="1" t="s">
        <v>687</v>
      </c>
      <c r="G142" s="1">
        <v>0.5</v>
      </c>
      <c r="H142" s="1" t="s">
        <v>60</v>
      </c>
      <c r="I142" s="1">
        <v>-162.0</v>
      </c>
      <c r="J142" s="1">
        <v>-0.163820610687022</v>
      </c>
      <c r="K142" s="1" t="s">
        <v>61</v>
      </c>
      <c r="L142" s="1" t="s">
        <v>61</v>
      </c>
      <c r="M142" s="1" t="s">
        <v>62</v>
      </c>
      <c r="N142" s="1">
        <v>123.0</v>
      </c>
      <c r="O142" s="1">
        <v>0.0970695067264573</v>
      </c>
      <c r="P142" s="1" t="s">
        <v>61</v>
      </c>
      <c r="Q142" s="1" t="s">
        <v>61</v>
      </c>
      <c r="R142" s="1">
        <f t="shared" si="1"/>
        <v>0.09706950673</v>
      </c>
      <c r="S142" s="1">
        <f t="shared" si="2"/>
        <v>123</v>
      </c>
      <c r="T142" s="1">
        <f t="shared" si="3"/>
        <v>2.23</v>
      </c>
      <c r="U142" s="1">
        <f t="shared" si="4"/>
        <v>0</v>
      </c>
      <c r="V142" s="3">
        <f t="shared" si="5"/>
        <v>2</v>
      </c>
      <c r="W142" s="3">
        <f t="shared" si="6"/>
        <v>1</v>
      </c>
      <c r="X142" s="3" t="str">
        <f>IFERROR(__xludf.DUMMYFUNCTION("split(B142,"" "")"),"A.")</f>
        <v>A.</v>
      </c>
      <c r="Y142" s="3" t="str">
        <f>IFERROR(__xludf.DUMMYFUNCTION("""COMPUTED_VALUE"""),"Richardson")</f>
        <v>Richardson</v>
      </c>
      <c r="AA142" s="8">
        <v>0.0</v>
      </c>
      <c r="AB142" s="3">
        <f t="shared" si="7"/>
        <v>0</v>
      </c>
      <c r="AC142" s="3">
        <f t="shared" si="8"/>
        <v>1</v>
      </c>
      <c r="AD142" s="3">
        <f t="shared" si="9"/>
        <v>2.46</v>
      </c>
      <c r="AE142" s="3">
        <f t="shared" si="10"/>
        <v>2.46</v>
      </c>
      <c r="AF142" s="3">
        <f t="shared" si="11"/>
        <v>1.23</v>
      </c>
      <c r="AG142" s="3">
        <f t="shared" si="12"/>
        <v>1</v>
      </c>
    </row>
    <row r="143">
      <c r="A143" s="1" t="s">
        <v>8</v>
      </c>
      <c r="B143" s="1" t="s">
        <v>444</v>
      </c>
      <c r="C143" s="1" t="s">
        <v>19</v>
      </c>
      <c r="D143" s="1" t="s">
        <v>71</v>
      </c>
      <c r="E143" s="1" t="s">
        <v>165</v>
      </c>
      <c r="F143" s="1" t="s">
        <v>687</v>
      </c>
      <c r="G143" s="1">
        <v>18.5</v>
      </c>
      <c r="H143" s="1" t="s">
        <v>60</v>
      </c>
      <c r="I143" s="1">
        <v>-113.0</v>
      </c>
      <c r="J143" s="1">
        <v>0.0646279871948356</v>
      </c>
      <c r="K143" s="1" t="s">
        <v>61</v>
      </c>
      <c r="L143" s="1" t="s">
        <v>61</v>
      </c>
      <c r="M143" s="1" t="s">
        <v>62</v>
      </c>
      <c r="N143" s="1">
        <v>-118.0</v>
      </c>
      <c r="O143" s="1">
        <v>-0.136436345183486</v>
      </c>
      <c r="P143" s="1" t="s">
        <v>61</v>
      </c>
      <c r="Q143" s="1" t="s">
        <v>61</v>
      </c>
      <c r="R143" s="1">
        <f t="shared" si="1"/>
        <v>0.06462798719</v>
      </c>
      <c r="S143" s="1">
        <f t="shared" si="2"/>
        <v>-113</v>
      </c>
      <c r="T143" s="1">
        <f t="shared" si="3"/>
        <v>1.884955752</v>
      </c>
      <c r="U143" s="1">
        <f t="shared" si="4"/>
        <v>1</v>
      </c>
      <c r="V143" s="3">
        <f t="shared" si="5"/>
        <v>2</v>
      </c>
      <c r="W143" s="3">
        <f t="shared" si="6"/>
        <v>2</v>
      </c>
      <c r="X143" s="3" t="str">
        <f>IFERROR(__xludf.DUMMYFUNCTION("split(B143,"" "")"),"J.")</f>
        <v>J.</v>
      </c>
      <c r="Y143" s="3" t="str">
        <f>IFERROR(__xludf.DUMMYFUNCTION("""COMPUTED_VALUE"""),"Taylor")</f>
        <v>Taylor</v>
      </c>
      <c r="AA143" s="8">
        <v>24.0</v>
      </c>
      <c r="AB143" s="3">
        <f t="shared" si="7"/>
        <v>1</v>
      </c>
      <c r="AC143" s="3">
        <f t="shared" si="8"/>
        <v>1</v>
      </c>
      <c r="AD143" s="3">
        <f t="shared" si="9"/>
        <v>1.769911504</v>
      </c>
      <c r="AE143" s="3">
        <f t="shared" si="10"/>
        <v>1.769911504</v>
      </c>
      <c r="AF143" s="3">
        <f t="shared" si="11"/>
        <v>1.769911504</v>
      </c>
      <c r="AG143" s="3">
        <f t="shared" si="12"/>
        <v>0.2972972973</v>
      </c>
    </row>
    <row r="144">
      <c r="A144" s="1" t="s">
        <v>16</v>
      </c>
      <c r="B144" s="1" t="s">
        <v>200</v>
      </c>
      <c r="C144" s="1" t="s">
        <v>21</v>
      </c>
      <c r="D144" s="1" t="s">
        <v>71</v>
      </c>
      <c r="E144" s="1" t="s">
        <v>165</v>
      </c>
      <c r="F144" s="1" t="s">
        <v>687</v>
      </c>
      <c r="G144" s="1">
        <v>27.5</v>
      </c>
      <c r="H144" s="1" t="s">
        <v>60</v>
      </c>
      <c r="I144" s="1">
        <v>-114.0</v>
      </c>
      <c r="J144" s="1">
        <v>-0.12740986256542</v>
      </c>
      <c r="K144" s="1" t="s">
        <v>61</v>
      </c>
      <c r="L144" s="1" t="s">
        <v>61</v>
      </c>
      <c r="M144" s="1" t="s">
        <v>62</v>
      </c>
      <c r="N144" s="1">
        <v>-115.0</v>
      </c>
      <c r="O144" s="1">
        <v>0.0598158008248836</v>
      </c>
      <c r="P144" s="1" t="s">
        <v>61</v>
      </c>
      <c r="Q144" s="1" t="s">
        <v>61</v>
      </c>
      <c r="R144" s="1">
        <f t="shared" si="1"/>
        <v>0.05981580082</v>
      </c>
      <c r="S144" s="1">
        <f t="shared" si="2"/>
        <v>-115</v>
      </c>
      <c r="T144" s="1">
        <f t="shared" si="3"/>
        <v>1.869565217</v>
      </c>
      <c r="U144" s="1">
        <f t="shared" si="4"/>
        <v>0</v>
      </c>
      <c r="V144" s="3">
        <f t="shared" si="5"/>
        <v>2</v>
      </c>
      <c r="W144" s="3">
        <f t="shared" si="6"/>
        <v>2</v>
      </c>
      <c r="X144" s="3" t="str">
        <f>IFERROR(__xludf.DUMMYFUNCTION("split(B144,"" "")"),"A.")</f>
        <v>A.</v>
      </c>
      <c r="Y144" s="3" t="str">
        <f>IFERROR(__xludf.DUMMYFUNCTION("""COMPUTED_VALUE"""),"Richardson")</f>
        <v>Richardson</v>
      </c>
      <c r="AA144" s="8">
        <v>30.0</v>
      </c>
      <c r="AB144" s="3">
        <f t="shared" si="7"/>
        <v>1</v>
      </c>
      <c r="AC144" s="3">
        <f t="shared" si="8"/>
        <v>0</v>
      </c>
      <c r="AD144" s="3">
        <f t="shared" si="9"/>
        <v>1.739130435</v>
      </c>
      <c r="AE144" s="3">
        <f t="shared" si="10"/>
        <v>-2</v>
      </c>
      <c r="AF144" s="3">
        <f t="shared" si="11"/>
        <v>-2</v>
      </c>
      <c r="AG144" s="3">
        <f t="shared" si="12"/>
        <v>-0.09090909091</v>
      </c>
    </row>
    <row r="145">
      <c r="A145" s="1" t="s">
        <v>15</v>
      </c>
      <c r="B145" s="1" t="s">
        <v>200</v>
      </c>
      <c r="C145" s="1" t="s">
        <v>21</v>
      </c>
      <c r="D145" s="1" t="s">
        <v>71</v>
      </c>
      <c r="E145" s="1" t="s">
        <v>165</v>
      </c>
      <c r="F145" s="1" t="s">
        <v>687</v>
      </c>
      <c r="G145" s="1">
        <v>13.5</v>
      </c>
      <c r="H145" s="1" t="s">
        <v>60</v>
      </c>
      <c r="I145" s="1">
        <v>-125.0</v>
      </c>
      <c r="J145" s="1">
        <v>-0.126399860167066</v>
      </c>
      <c r="K145" s="1" t="s">
        <v>61</v>
      </c>
      <c r="L145" s="1" t="s">
        <v>61</v>
      </c>
      <c r="M145" s="1" t="s">
        <v>62</v>
      </c>
      <c r="N145" s="1">
        <v>-106.0</v>
      </c>
      <c r="O145" s="1">
        <v>0.0562724109215796</v>
      </c>
      <c r="P145" s="1" t="s">
        <v>61</v>
      </c>
      <c r="Q145" s="1" t="s">
        <v>61</v>
      </c>
      <c r="R145" s="1">
        <f t="shared" si="1"/>
        <v>0.05627241092</v>
      </c>
      <c r="S145" s="1">
        <f t="shared" si="2"/>
        <v>-106</v>
      </c>
      <c r="T145" s="1">
        <f t="shared" si="3"/>
        <v>1.943396226</v>
      </c>
      <c r="U145" s="1">
        <f t="shared" si="4"/>
        <v>0</v>
      </c>
      <c r="V145" s="3">
        <f t="shared" si="5"/>
        <v>2</v>
      </c>
      <c r="W145" s="3">
        <f t="shared" si="6"/>
        <v>2</v>
      </c>
      <c r="X145" s="3" t="str">
        <f>IFERROR(__xludf.DUMMYFUNCTION("split(B145,"" "")"),"A.")</f>
        <v>A.</v>
      </c>
      <c r="Y145" s="3" t="str">
        <f>IFERROR(__xludf.DUMMYFUNCTION("""COMPUTED_VALUE"""),"Richardson")</f>
        <v>Richardson</v>
      </c>
      <c r="AA145" s="8">
        <v>20.0</v>
      </c>
      <c r="AB145" s="3">
        <f t="shared" si="7"/>
        <v>1</v>
      </c>
      <c r="AC145" s="3">
        <f t="shared" si="8"/>
        <v>0</v>
      </c>
      <c r="AD145" s="3">
        <f t="shared" si="9"/>
        <v>1.886792453</v>
      </c>
      <c r="AE145" s="3">
        <f t="shared" si="10"/>
        <v>-2</v>
      </c>
      <c r="AF145" s="3">
        <f t="shared" si="11"/>
        <v>-2</v>
      </c>
      <c r="AG145" s="3">
        <f t="shared" si="12"/>
        <v>-0.4814814815</v>
      </c>
    </row>
    <row r="146">
      <c r="A146" s="1" t="s">
        <v>10</v>
      </c>
      <c r="B146" s="1" t="s">
        <v>200</v>
      </c>
      <c r="C146" s="1" t="s">
        <v>21</v>
      </c>
      <c r="D146" s="1" t="s">
        <v>71</v>
      </c>
      <c r="E146" s="1" t="s">
        <v>165</v>
      </c>
      <c r="F146" s="1" t="s">
        <v>687</v>
      </c>
      <c r="G146" s="1">
        <v>38.5</v>
      </c>
      <c r="H146" s="1" t="s">
        <v>60</v>
      </c>
      <c r="I146" s="1">
        <v>-118.0</v>
      </c>
      <c r="J146" s="1">
        <v>-0.120938646188206</v>
      </c>
      <c r="K146" s="1" t="s">
        <v>61</v>
      </c>
      <c r="L146" s="1" t="s">
        <v>61</v>
      </c>
      <c r="M146" s="1" t="s">
        <v>62</v>
      </c>
      <c r="N146" s="1">
        <v>-112.0</v>
      </c>
      <c r="O146" s="1">
        <v>0.0513898668039274</v>
      </c>
      <c r="P146" s="1" t="s">
        <v>61</v>
      </c>
      <c r="Q146" s="1" t="s">
        <v>61</v>
      </c>
      <c r="R146" s="1">
        <f t="shared" si="1"/>
        <v>0.0513898668</v>
      </c>
      <c r="S146" s="1">
        <f t="shared" si="2"/>
        <v>-112</v>
      </c>
      <c r="T146" s="1">
        <f t="shared" si="3"/>
        <v>1.892857143</v>
      </c>
      <c r="U146" s="1">
        <f t="shared" si="4"/>
        <v>0</v>
      </c>
      <c r="V146" s="3">
        <f t="shared" si="5"/>
        <v>2</v>
      </c>
      <c r="W146" s="3">
        <f t="shared" si="6"/>
        <v>2</v>
      </c>
      <c r="X146" s="3" t="str">
        <f>IFERROR(__xludf.DUMMYFUNCTION("split(B146,"" "")"),"A.")</f>
        <v>A.</v>
      </c>
      <c r="Y146" s="3" t="str">
        <f>IFERROR(__xludf.DUMMYFUNCTION("""COMPUTED_VALUE"""),"Richardson")</f>
        <v>Richardson</v>
      </c>
      <c r="AA146" s="8">
        <v>32.0</v>
      </c>
      <c r="AB146" s="3">
        <f t="shared" si="7"/>
        <v>0</v>
      </c>
      <c r="AC146" s="3">
        <f t="shared" si="8"/>
        <v>1</v>
      </c>
      <c r="AD146" s="3">
        <f t="shared" si="9"/>
        <v>1.785714286</v>
      </c>
      <c r="AE146" s="3">
        <f t="shared" si="10"/>
        <v>1.785714286</v>
      </c>
      <c r="AF146" s="3">
        <f t="shared" si="11"/>
        <v>1.785714286</v>
      </c>
      <c r="AG146" s="3">
        <f t="shared" si="12"/>
        <v>0.1688311688</v>
      </c>
    </row>
    <row r="147">
      <c r="A147" s="1" t="s">
        <v>11</v>
      </c>
      <c r="B147" s="1" t="s">
        <v>444</v>
      </c>
      <c r="C147" s="1" t="s">
        <v>19</v>
      </c>
      <c r="D147" s="1" t="s">
        <v>71</v>
      </c>
      <c r="E147" s="1" t="s">
        <v>165</v>
      </c>
      <c r="F147" s="1" t="s">
        <v>687</v>
      </c>
      <c r="G147" s="1">
        <v>11.5</v>
      </c>
      <c r="H147" s="1" t="s">
        <v>60</v>
      </c>
      <c r="I147" s="1">
        <v>-109.0</v>
      </c>
      <c r="J147" s="1">
        <v>0.0117619949540822</v>
      </c>
      <c r="K147" s="1" t="s">
        <v>61</v>
      </c>
      <c r="L147" s="1" t="s">
        <v>61</v>
      </c>
      <c r="M147" s="1" t="s">
        <v>62</v>
      </c>
      <c r="N147" s="1">
        <v>-120.0</v>
      </c>
      <c r="O147" s="1">
        <v>-0.0787326742476537</v>
      </c>
      <c r="P147" s="1" t="s">
        <v>61</v>
      </c>
      <c r="Q147" s="1" t="s">
        <v>61</v>
      </c>
      <c r="R147" s="1">
        <f t="shared" si="1"/>
        <v>0.01176199495</v>
      </c>
      <c r="S147" s="1">
        <f t="shared" si="2"/>
        <v>-109</v>
      </c>
      <c r="T147" s="1">
        <f t="shared" si="3"/>
        <v>1.917431193</v>
      </c>
      <c r="U147" s="1">
        <f t="shared" si="4"/>
        <v>1</v>
      </c>
      <c r="V147" s="3">
        <f t="shared" si="5"/>
        <v>1</v>
      </c>
      <c r="W147" s="3">
        <f t="shared" si="6"/>
        <v>2</v>
      </c>
      <c r="X147" s="3" t="str">
        <f>IFERROR(__xludf.DUMMYFUNCTION("split(B147,"" "")"),"J.")</f>
        <v>J.</v>
      </c>
      <c r="Y147" s="3" t="str">
        <f>IFERROR(__xludf.DUMMYFUNCTION("""COMPUTED_VALUE"""),"Taylor")</f>
        <v>Taylor</v>
      </c>
      <c r="AA147" s="8">
        <v>3.0</v>
      </c>
      <c r="AB147" s="3">
        <f t="shared" si="7"/>
        <v>0</v>
      </c>
      <c r="AC147" s="3">
        <f t="shared" si="8"/>
        <v>0</v>
      </c>
      <c r="AD147" s="3">
        <f t="shared" si="9"/>
        <v>0.9174311927</v>
      </c>
      <c r="AE147" s="3">
        <f t="shared" si="10"/>
        <v>-1</v>
      </c>
      <c r="AF147" s="3">
        <f t="shared" si="11"/>
        <v>-2</v>
      </c>
      <c r="AG147" s="3">
        <f t="shared" si="12"/>
        <v>-0.7391304348</v>
      </c>
    </row>
    <row r="148">
      <c r="A148" s="1" t="s">
        <v>13</v>
      </c>
      <c r="B148" s="1" t="s">
        <v>200</v>
      </c>
      <c r="C148" s="1" t="s">
        <v>21</v>
      </c>
      <c r="D148" s="1" t="s">
        <v>71</v>
      </c>
      <c r="E148" s="1" t="s">
        <v>165</v>
      </c>
      <c r="F148" s="1" t="s">
        <v>687</v>
      </c>
      <c r="G148" s="1">
        <v>172.5</v>
      </c>
      <c r="H148" s="1" t="s">
        <v>60</v>
      </c>
      <c r="I148" s="1">
        <v>-115.0</v>
      </c>
      <c r="J148" s="1">
        <v>0.0109554170697671</v>
      </c>
      <c r="K148" s="1" t="s">
        <v>61</v>
      </c>
      <c r="L148" s="1" t="s">
        <v>61</v>
      </c>
      <c r="M148" s="1" t="s">
        <v>62</v>
      </c>
      <c r="N148" s="1">
        <v>-115.0</v>
      </c>
      <c r="O148" s="1">
        <v>-0.0807587296302322</v>
      </c>
      <c r="P148" s="1" t="s">
        <v>61</v>
      </c>
      <c r="Q148" s="1" t="s">
        <v>61</v>
      </c>
      <c r="R148" s="1">
        <f t="shared" si="1"/>
        <v>0.01095541707</v>
      </c>
      <c r="S148" s="1">
        <f t="shared" si="2"/>
        <v>-115</v>
      </c>
      <c r="T148" s="1">
        <f t="shared" si="3"/>
        <v>1.869565217</v>
      </c>
      <c r="U148" s="1">
        <f t="shared" si="4"/>
        <v>1</v>
      </c>
      <c r="V148" s="3">
        <f t="shared" si="5"/>
        <v>1</v>
      </c>
      <c r="W148" s="3">
        <f t="shared" si="6"/>
        <v>2</v>
      </c>
      <c r="X148" s="3" t="str">
        <f>IFERROR(__xludf.DUMMYFUNCTION("split(B148,"" "")"),"A.")</f>
        <v>A.</v>
      </c>
      <c r="Y148" s="3" t="str">
        <f>IFERROR(__xludf.DUMMYFUNCTION("""COMPUTED_VALUE"""),"Richardson")</f>
        <v>Richardson</v>
      </c>
      <c r="AA148" s="8">
        <v>272.0</v>
      </c>
      <c r="AB148" s="3">
        <f t="shared" si="7"/>
        <v>1</v>
      </c>
      <c r="AC148" s="3">
        <f t="shared" si="8"/>
        <v>1</v>
      </c>
      <c r="AD148" s="3">
        <f t="shared" si="9"/>
        <v>0.8695652174</v>
      </c>
      <c r="AE148" s="3">
        <f t="shared" si="10"/>
        <v>0.8695652174</v>
      </c>
      <c r="AF148" s="3">
        <f t="shared" si="11"/>
        <v>1.739130435</v>
      </c>
      <c r="AG148" s="3">
        <f t="shared" si="12"/>
        <v>0.5768115942</v>
      </c>
    </row>
    <row r="149">
      <c r="A149" s="1" t="s">
        <v>12</v>
      </c>
      <c r="B149" s="1" t="s">
        <v>467</v>
      </c>
      <c r="C149" s="1" t="s">
        <v>18</v>
      </c>
      <c r="D149" s="1" t="s">
        <v>93</v>
      </c>
      <c r="E149" s="1" t="s">
        <v>197</v>
      </c>
      <c r="F149" s="1" t="s">
        <v>687</v>
      </c>
      <c r="G149" s="1">
        <v>2.5</v>
      </c>
      <c r="H149" s="1" t="s">
        <v>60</v>
      </c>
      <c r="I149" s="1">
        <v>-175.0</v>
      </c>
      <c r="J149" s="1">
        <v>-0.285725828727272</v>
      </c>
      <c r="K149" s="1" t="s">
        <v>61</v>
      </c>
      <c r="L149" s="1" t="s">
        <v>61</v>
      </c>
      <c r="M149" s="1" t="s">
        <v>62</v>
      </c>
      <c r="N149" s="1">
        <v>133.0</v>
      </c>
      <c r="O149" s="1">
        <v>0.220170827896995</v>
      </c>
      <c r="P149" s="1" t="s">
        <v>61</v>
      </c>
      <c r="Q149" s="1" t="s">
        <v>61</v>
      </c>
      <c r="R149" s="1">
        <f t="shared" si="1"/>
        <v>0.2201708279</v>
      </c>
      <c r="S149" s="1">
        <f t="shared" si="2"/>
        <v>133</v>
      </c>
      <c r="T149" s="1">
        <f t="shared" si="3"/>
        <v>2.33</v>
      </c>
      <c r="U149" s="1">
        <f t="shared" si="4"/>
        <v>0</v>
      </c>
      <c r="V149" s="3">
        <f t="shared" si="5"/>
        <v>3</v>
      </c>
      <c r="W149" s="3">
        <f t="shared" si="6"/>
        <v>1</v>
      </c>
      <c r="X149" s="3" t="str">
        <f>IFERROR(__xludf.DUMMYFUNCTION("split(B149,"" "")"),"G.")</f>
        <v>G.</v>
      </c>
      <c r="Y149" s="3" t="str">
        <f>IFERROR(__xludf.DUMMYFUNCTION("""COMPUTED_VALUE"""),"Davis")</f>
        <v>Davis</v>
      </c>
      <c r="AA149" s="8">
        <v>1.0</v>
      </c>
      <c r="AB149" s="3">
        <f t="shared" si="7"/>
        <v>0</v>
      </c>
      <c r="AC149" s="3">
        <f t="shared" si="8"/>
        <v>1</v>
      </c>
      <c r="AD149" s="3">
        <f t="shared" si="9"/>
        <v>3.99</v>
      </c>
      <c r="AE149" s="3">
        <f t="shared" si="10"/>
        <v>3.99</v>
      </c>
      <c r="AF149" s="3">
        <f t="shared" si="11"/>
        <v>1.33</v>
      </c>
      <c r="AG149" s="3">
        <f t="shared" si="12"/>
        <v>0.6</v>
      </c>
    </row>
    <row r="150">
      <c r="A150" s="1" t="s">
        <v>14</v>
      </c>
      <c r="B150" s="1" t="s">
        <v>677</v>
      </c>
      <c r="C150" s="1" t="s">
        <v>21</v>
      </c>
      <c r="D150" s="1" t="s">
        <v>93</v>
      </c>
      <c r="E150" s="1" t="s">
        <v>197</v>
      </c>
      <c r="F150" s="1" t="s">
        <v>687</v>
      </c>
      <c r="G150" s="1">
        <v>0.5</v>
      </c>
      <c r="H150" s="1" t="s">
        <v>60</v>
      </c>
      <c r="I150" s="1">
        <v>-185.0</v>
      </c>
      <c r="J150" s="1">
        <v>-0.175821501263157</v>
      </c>
      <c r="K150" s="1" t="s">
        <v>61</v>
      </c>
      <c r="L150" s="1" t="s">
        <v>61</v>
      </c>
      <c r="M150" s="1" t="s">
        <v>62</v>
      </c>
      <c r="N150" s="1">
        <v>140.0</v>
      </c>
      <c r="O150" s="1">
        <v>0.110031782749999</v>
      </c>
      <c r="P150" s="1" t="s">
        <v>61</v>
      </c>
      <c r="Q150" s="1" t="s">
        <v>61</v>
      </c>
      <c r="R150" s="1">
        <f t="shared" si="1"/>
        <v>0.1100317827</v>
      </c>
      <c r="S150" s="1">
        <f t="shared" si="2"/>
        <v>140</v>
      </c>
      <c r="T150" s="1">
        <f t="shared" si="3"/>
        <v>2.4</v>
      </c>
      <c r="U150" s="1">
        <f t="shared" si="4"/>
        <v>0</v>
      </c>
      <c r="V150" s="3">
        <f t="shared" si="5"/>
        <v>3</v>
      </c>
      <c r="W150" s="3">
        <f t="shared" si="6"/>
        <v>1</v>
      </c>
      <c r="X150" s="3" t="str">
        <f>IFERROR(__xludf.DUMMYFUNCTION("split(B150,"" "")"),"M.")</f>
        <v>M.</v>
      </c>
      <c r="Y150" s="3" t="str">
        <f>IFERROR(__xludf.DUMMYFUNCTION("""COMPUTED_VALUE"""),"Jones")</f>
        <v>Jones</v>
      </c>
      <c r="AA150" s="8">
        <v>0.0</v>
      </c>
      <c r="AB150" s="3">
        <f t="shared" si="7"/>
        <v>0</v>
      </c>
      <c r="AC150" s="3">
        <f t="shared" si="8"/>
        <v>1</v>
      </c>
      <c r="AD150" s="3">
        <f t="shared" si="9"/>
        <v>4.2</v>
      </c>
      <c r="AE150" s="3">
        <f t="shared" si="10"/>
        <v>4.2</v>
      </c>
      <c r="AF150" s="3">
        <f t="shared" si="11"/>
        <v>1.4</v>
      </c>
      <c r="AG150" s="3">
        <f t="shared" si="12"/>
        <v>1</v>
      </c>
    </row>
    <row r="151">
      <c r="A151" s="1" t="s">
        <v>17</v>
      </c>
      <c r="B151" s="1" t="s">
        <v>677</v>
      </c>
      <c r="C151" s="1" t="s">
        <v>21</v>
      </c>
      <c r="D151" s="1" t="s">
        <v>93</v>
      </c>
      <c r="E151" s="1" t="s">
        <v>197</v>
      </c>
      <c r="F151" s="1" t="s">
        <v>687</v>
      </c>
      <c r="G151" s="1">
        <v>0.5</v>
      </c>
      <c r="H151" s="1" t="s">
        <v>60</v>
      </c>
      <c r="I151" s="1">
        <v>-161.0</v>
      </c>
      <c r="J151" s="1">
        <v>-0.158958237547892</v>
      </c>
      <c r="K151" s="1" t="s">
        <v>61</v>
      </c>
      <c r="L151" s="1" t="s">
        <v>61</v>
      </c>
      <c r="M151" s="1" t="s">
        <v>62</v>
      </c>
      <c r="N151" s="1">
        <v>124.0</v>
      </c>
      <c r="O151" s="1">
        <v>0.0956714285714286</v>
      </c>
      <c r="P151" s="1" t="s">
        <v>61</v>
      </c>
      <c r="Q151" s="1" t="s">
        <v>61</v>
      </c>
      <c r="R151" s="1">
        <f t="shared" si="1"/>
        <v>0.09567142857</v>
      </c>
      <c r="S151" s="1">
        <f t="shared" si="2"/>
        <v>124</v>
      </c>
      <c r="T151" s="1">
        <f t="shared" si="3"/>
        <v>2.24</v>
      </c>
      <c r="U151" s="1">
        <f t="shared" si="4"/>
        <v>0</v>
      </c>
      <c r="V151" s="3">
        <f t="shared" si="5"/>
        <v>2</v>
      </c>
      <c r="W151" s="3">
        <f t="shared" si="6"/>
        <v>1</v>
      </c>
      <c r="X151" s="3" t="str">
        <f>IFERROR(__xludf.DUMMYFUNCTION("split(B151,"" "")"),"M.")</f>
        <v>M.</v>
      </c>
      <c r="Y151" s="3" t="str">
        <f>IFERROR(__xludf.DUMMYFUNCTION("""COMPUTED_VALUE"""),"Jones")</f>
        <v>Jones</v>
      </c>
      <c r="AA151" s="8">
        <v>1.0</v>
      </c>
      <c r="AB151" s="3">
        <f t="shared" si="7"/>
        <v>1</v>
      </c>
      <c r="AC151" s="3">
        <f t="shared" si="8"/>
        <v>0</v>
      </c>
      <c r="AD151" s="3">
        <f t="shared" si="9"/>
        <v>2.48</v>
      </c>
      <c r="AE151" s="3">
        <f t="shared" si="10"/>
        <v>-2</v>
      </c>
      <c r="AF151" s="3">
        <f t="shared" si="11"/>
        <v>-1</v>
      </c>
      <c r="AG151" s="3">
        <f t="shared" si="12"/>
        <v>-1</v>
      </c>
    </row>
    <row r="152">
      <c r="A152" s="1" t="s">
        <v>11</v>
      </c>
      <c r="B152" s="1" t="s">
        <v>363</v>
      </c>
      <c r="C152" s="1" t="s">
        <v>20</v>
      </c>
      <c r="D152" s="1" t="s">
        <v>93</v>
      </c>
      <c r="E152" s="1" t="s">
        <v>197</v>
      </c>
      <c r="F152" s="1" t="s">
        <v>687</v>
      </c>
      <c r="G152" s="1">
        <v>42.5</v>
      </c>
      <c r="H152" s="1" t="s">
        <v>60</v>
      </c>
      <c r="I152" s="1">
        <v>-114.0</v>
      </c>
      <c r="J152" s="1">
        <v>-0.105542856869719</v>
      </c>
      <c r="K152" s="1" t="s">
        <v>61</v>
      </c>
      <c r="L152" s="1" t="s">
        <v>61</v>
      </c>
      <c r="M152" s="1" t="s">
        <v>62</v>
      </c>
      <c r="N152" s="1">
        <v>-115.0</v>
      </c>
      <c r="O152" s="1">
        <v>0.0379806958781395</v>
      </c>
      <c r="P152" s="1" t="s">
        <v>61</v>
      </c>
      <c r="Q152" s="1" t="s">
        <v>61</v>
      </c>
      <c r="R152" s="1">
        <f t="shared" si="1"/>
        <v>0.03798069588</v>
      </c>
      <c r="S152" s="1">
        <f t="shared" si="2"/>
        <v>-115</v>
      </c>
      <c r="T152" s="1">
        <f t="shared" si="3"/>
        <v>1.869565217</v>
      </c>
      <c r="U152" s="1">
        <f t="shared" si="4"/>
        <v>0</v>
      </c>
      <c r="V152" s="3">
        <f t="shared" si="5"/>
        <v>1</v>
      </c>
      <c r="W152" s="3">
        <f t="shared" si="6"/>
        <v>2</v>
      </c>
      <c r="X152" s="3" t="str">
        <f>IFERROR(__xludf.DUMMYFUNCTION("split(B152,"" "")"),"E.")</f>
        <v>E.</v>
      </c>
      <c r="Y152" s="3" t="str">
        <f>IFERROR(__xludf.DUMMYFUNCTION("""COMPUTED_VALUE"""),"Engram")</f>
        <v>Engram</v>
      </c>
      <c r="AA152" s="8">
        <v>28.0</v>
      </c>
      <c r="AB152" s="3">
        <f t="shared" si="7"/>
        <v>0</v>
      </c>
      <c r="AC152" s="3">
        <f t="shared" si="8"/>
        <v>1</v>
      </c>
      <c r="AD152" s="3">
        <f t="shared" si="9"/>
        <v>0.8695652174</v>
      </c>
      <c r="AE152" s="3">
        <f t="shared" si="10"/>
        <v>0.8695652174</v>
      </c>
      <c r="AF152" s="3">
        <f t="shared" si="11"/>
        <v>1.739130435</v>
      </c>
      <c r="AG152" s="3">
        <f t="shared" si="12"/>
        <v>0.3411764706</v>
      </c>
    </row>
    <row r="153">
      <c r="A153" s="1" t="s">
        <v>9</v>
      </c>
      <c r="B153" s="1" t="s">
        <v>467</v>
      </c>
      <c r="C153" s="1" t="s">
        <v>18</v>
      </c>
      <c r="D153" s="1" t="s">
        <v>93</v>
      </c>
      <c r="E153" s="1" t="s">
        <v>197</v>
      </c>
      <c r="F153" s="1" t="s">
        <v>687</v>
      </c>
      <c r="G153" s="1">
        <v>29.5</v>
      </c>
      <c r="H153" s="1" t="s">
        <v>60</v>
      </c>
      <c r="I153" s="1">
        <v>-120.0</v>
      </c>
      <c r="J153" s="1">
        <v>0.0258528894351681</v>
      </c>
      <c r="K153" s="1" t="s">
        <v>61</v>
      </c>
      <c r="L153" s="1" t="s">
        <v>61</v>
      </c>
      <c r="M153" s="1" t="s">
        <v>62</v>
      </c>
      <c r="N153" s="1">
        <v>-113.0</v>
      </c>
      <c r="O153" s="1">
        <v>-0.10182510945344</v>
      </c>
      <c r="P153" s="1" t="s">
        <v>61</v>
      </c>
      <c r="Q153" s="1" t="s">
        <v>61</v>
      </c>
      <c r="R153" s="1">
        <f t="shared" si="1"/>
        <v>0.02585288944</v>
      </c>
      <c r="S153" s="1">
        <f t="shared" si="2"/>
        <v>-120</v>
      </c>
      <c r="T153" s="1">
        <f t="shared" si="3"/>
        <v>1.833333333</v>
      </c>
      <c r="U153" s="1">
        <f t="shared" si="4"/>
        <v>1</v>
      </c>
      <c r="V153" s="3">
        <f t="shared" si="5"/>
        <v>1</v>
      </c>
      <c r="W153" s="3">
        <f t="shared" si="6"/>
        <v>3</v>
      </c>
      <c r="X153" s="3" t="str">
        <f>IFERROR(__xludf.DUMMYFUNCTION("split(B153,"" "")"),"G.")</f>
        <v>G.</v>
      </c>
      <c r="Y153" s="3" t="str">
        <f>IFERROR(__xludf.DUMMYFUNCTION("""COMPUTED_VALUE"""),"Davis")</f>
        <v>Davis</v>
      </c>
      <c r="AA153" s="8">
        <v>3.0</v>
      </c>
      <c r="AB153" s="3">
        <f t="shared" si="7"/>
        <v>0</v>
      </c>
      <c r="AC153" s="3">
        <f t="shared" si="8"/>
        <v>0</v>
      </c>
      <c r="AD153" s="3">
        <f t="shared" si="9"/>
        <v>0.8333333333</v>
      </c>
      <c r="AE153" s="3">
        <f t="shared" si="10"/>
        <v>-1</v>
      </c>
      <c r="AF153" s="3">
        <f t="shared" si="11"/>
        <v>-3</v>
      </c>
      <c r="AG153" s="3">
        <f t="shared" si="12"/>
        <v>-0.8983050847</v>
      </c>
    </row>
    <row r="154">
      <c r="A154" s="1" t="s">
        <v>12</v>
      </c>
      <c r="B154" s="1" t="s">
        <v>466</v>
      </c>
      <c r="C154" s="1" t="s">
        <v>18</v>
      </c>
      <c r="D154" s="1" t="s">
        <v>93</v>
      </c>
      <c r="E154" s="1" t="s">
        <v>197</v>
      </c>
      <c r="F154" s="1" t="s">
        <v>687</v>
      </c>
      <c r="G154" s="1">
        <v>4.5</v>
      </c>
      <c r="H154" s="1" t="s">
        <v>60</v>
      </c>
      <c r="I154" s="1">
        <v>-121.0</v>
      </c>
      <c r="J154" s="1">
        <v>-0.0879113122171946</v>
      </c>
      <c r="K154" s="1" t="s">
        <v>61</v>
      </c>
      <c r="L154" s="1" t="s">
        <v>61</v>
      </c>
      <c r="M154" s="1" t="s">
        <v>62</v>
      </c>
      <c r="N154" s="1">
        <v>-108.0</v>
      </c>
      <c r="O154" s="1">
        <v>0.0211692307692308</v>
      </c>
      <c r="P154" s="1" t="s">
        <v>61</v>
      </c>
      <c r="Q154" s="1" t="s">
        <v>61</v>
      </c>
      <c r="R154" s="1">
        <f t="shared" si="1"/>
        <v>0.02116923077</v>
      </c>
      <c r="S154" s="1">
        <f t="shared" si="2"/>
        <v>-108</v>
      </c>
      <c r="T154" s="1">
        <f t="shared" si="3"/>
        <v>1.925925926</v>
      </c>
      <c r="U154" s="1">
        <f t="shared" si="4"/>
        <v>0</v>
      </c>
      <c r="V154" s="3">
        <f t="shared" si="5"/>
        <v>1</v>
      </c>
      <c r="W154" s="3">
        <f t="shared" si="6"/>
        <v>2</v>
      </c>
      <c r="X154" s="3" t="str">
        <f>IFERROR(__xludf.DUMMYFUNCTION("split(B154,"" "")"),"B.")</f>
        <v>B.</v>
      </c>
      <c r="Y154" s="3" t="str">
        <f>IFERROR(__xludf.DUMMYFUNCTION("""COMPUTED_VALUE"""),"Thomas")</f>
        <v>Thomas</v>
      </c>
      <c r="Z154" s="3" t="str">
        <f>IFERROR(__xludf.DUMMYFUNCTION("""COMPUTED_VALUE"""),"Jr.")</f>
        <v>Jr.</v>
      </c>
      <c r="AA154" s="8">
        <v>5.0</v>
      </c>
      <c r="AB154" s="3">
        <f t="shared" si="7"/>
        <v>1</v>
      </c>
      <c r="AC154" s="3">
        <f t="shared" si="8"/>
        <v>0</v>
      </c>
      <c r="AD154" s="3">
        <f t="shared" si="9"/>
        <v>0.9259259259</v>
      </c>
      <c r="AE154" s="3">
        <f t="shared" si="10"/>
        <v>-1</v>
      </c>
      <c r="AF154" s="3">
        <f t="shared" si="11"/>
        <v>-2</v>
      </c>
      <c r="AG154" s="3">
        <f t="shared" si="12"/>
        <v>-0.1111111111</v>
      </c>
    </row>
    <row r="155">
      <c r="A155" s="1" t="s">
        <v>9</v>
      </c>
      <c r="B155" s="1" t="s">
        <v>466</v>
      </c>
      <c r="C155" s="1" t="s">
        <v>18</v>
      </c>
      <c r="D155" s="1" t="s">
        <v>93</v>
      </c>
      <c r="E155" s="1" t="s">
        <v>197</v>
      </c>
      <c r="F155" s="1" t="s">
        <v>687</v>
      </c>
      <c r="G155" s="1">
        <v>48.5</v>
      </c>
      <c r="H155" s="1" t="s">
        <v>60</v>
      </c>
      <c r="I155" s="1">
        <v>-113.0</v>
      </c>
      <c r="J155" s="1">
        <v>0.0129206736574797</v>
      </c>
      <c r="K155" s="1" t="s">
        <v>61</v>
      </c>
      <c r="L155" s="1" t="s">
        <v>61</v>
      </c>
      <c r="M155" s="1" t="s">
        <v>62</v>
      </c>
      <c r="N155" s="1">
        <v>-120.0</v>
      </c>
      <c r="O155" s="1">
        <v>-0.0888491099402356</v>
      </c>
      <c r="P155" s="1" t="s">
        <v>61</v>
      </c>
      <c r="Q155" s="1" t="s">
        <v>61</v>
      </c>
      <c r="R155" s="1">
        <f t="shared" si="1"/>
        <v>0.01292067366</v>
      </c>
      <c r="S155" s="1">
        <f t="shared" si="2"/>
        <v>-113</v>
      </c>
      <c r="T155" s="1">
        <f t="shared" si="3"/>
        <v>1.884955752</v>
      </c>
      <c r="U155" s="1">
        <f t="shared" si="4"/>
        <v>1</v>
      </c>
      <c r="V155" s="3">
        <f t="shared" si="5"/>
        <v>1</v>
      </c>
      <c r="W155" s="3">
        <f t="shared" si="6"/>
        <v>2</v>
      </c>
      <c r="X155" s="3" t="str">
        <f>IFERROR(__xludf.DUMMYFUNCTION("split(B155,"" "")"),"B.")</f>
        <v>B.</v>
      </c>
      <c r="Y155" s="3" t="str">
        <f>IFERROR(__xludf.DUMMYFUNCTION("""COMPUTED_VALUE"""),"Thomas")</f>
        <v>Thomas</v>
      </c>
      <c r="Z155" s="3" t="str">
        <f>IFERROR(__xludf.DUMMYFUNCTION("""COMPUTED_VALUE"""),"Jr.")</f>
        <v>Jr.</v>
      </c>
      <c r="AA155" s="8">
        <v>86.0</v>
      </c>
      <c r="AB155" s="3">
        <f t="shared" si="7"/>
        <v>1</v>
      </c>
      <c r="AC155" s="3">
        <f t="shared" si="8"/>
        <v>1</v>
      </c>
      <c r="AD155" s="3">
        <f t="shared" si="9"/>
        <v>0.8849557522</v>
      </c>
      <c r="AE155" s="3">
        <f t="shared" si="10"/>
        <v>0.8849557522</v>
      </c>
      <c r="AF155" s="3">
        <f t="shared" si="11"/>
        <v>1.769911504</v>
      </c>
      <c r="AG155" s="3">
        <f t="shared" si="12"/>
        <v>0.7731958763</v>
      </c>
    </row>
    <row r="156">
      <c r="A156" s="1" t="s">
        <v>11</v>
      </c>
      <c r="B156" s="1" t="s">
        <v>467</v>
      </c>
      <c r="C156" s="1" t="s">
        <v>18</v>
      </c>
      <c r="D156" s="1" t="s">
        <v>93</v>
      </c>
      <c r="E156" s="1" t="s">
        <v>197</v>
      </c>
      <c r="F156" s="1" t="s">
        <v>687</v>
      </c>
      <c r="G156" s="1">
        <v>29.5</v>
      </c>
      <c r="H156" s="1" t="s">
        <v>60</v>
      </c>
      <c r="I156" s="1">
        <v>-117.0</v>
      </c>
      <c r="J156" s="1">
        <v>-0.0845344790101845</v>
      </c>
      <c r="K156" s="1" t="s">
        <v>61</v>
      </c>
      <c r="L156" s="1" t="s">
        <v>61</v>
      </c>
      <c r="M156" s="1" t="s">
        <v>62</v>
      </c>
      <c r="N156" s="1">
        <v>-114.0</v>
      </c>
      <c r="O156" s="1">
        <v>0.0126625397164833</v>
      </c>
      <c r="P156" s="1" t="s">
        <v>61</v>
      </c>
      <c r="Q156" s="1" t="s">
        <v>61</v>
      </c>
      <c r="R156" s="1">
        <f t="shared" si="1"/>
        <v>0.01266253972</v>
      </c>
      <c r="S156" s="1">
        <f t="shared" si="2"/>
        <v>-114</v>
      </c>
      <c r="T156" s="1">
        <f t="shared" si="3"/>
        <v>1.877192982</v>
      </c>
      <c r="U156" s="1">
        <f t="shared" si="4"/>
        <v>0</v>
      </c>
      <c r="V156" s="3">
        <f t="shared" si="5"/>
        <v>1</v>
      </c>
      <c r="W156" s="3">
        <f t="shared" si="6"/>
        <v>2</v>
      </c>
      <c r="X156" s="3" t="str">
        <f>IFERROR(__xludf.DUMMYFUNCTION("split(B156,"" "")"),"G.")</f>
        <v>G.</v>
      </c>
      <c r="Y156" s="3" t="str">
        <f>IFERROR(__xludf.DUMMYFUNCTION("""COMPUTED_VALUE"""),"Davis")</f>
        <v>Davis</v>
      </c>
      <c r="AA156" s="8">
        <v>3.0</v>
      </c>
      <c r="AB156" s="3">
        <f t="shared" si="7"/>
        <v>0</v>
      </c>
      <c r="AC156" s="3">
        <f t="shared" si="8"/>
        <v>1</v>
      </c>
      <c r="AD156" s="3">
        <f t="shared" si="9"/>
        <v>0.8771929825</v>
      </c>
      <c r="AE156" s="3">
        <f t="shared" si="10"/>
        <v>0.8771929825</v>
      </c>
      <c r="AF156" s="3">
        <f t="shared" si="11"/>
        <v>1.754385965</v>
      </c>
      <c r="AG156" s="3">
        <f t="shared" si="12"/>
        <v>0.8983050847</v>
      </c>
    </row>
    <row r="157">
      <c r="A157" s="1" t="s">
        <v>12</v>
      </c>
      <c r="B157" s="1" t="s">
        <v>326</v>
      </c>
      <c r="C157" s="1" t="s">
        <v>20</v>
      </c>
      <c r="D157" s="1" t="s">
        <v>76</v>
      </c>
      <c r="E157" s="1" t="s">
        <v>104</v>
      </c>
      <c r="F157" s="1" t="s">
        <v>688</v>
      </c>
      <c r="G157" s="1">
        <v>6.5</v>
      </c>
      <c r="H157" s="1" t="s">
        <v>60</v>
      </c>
      <c r="I157" s="1">
        <v>-120.0</v>
      </c>
      <c r="J157" s="1">
        <v>0.160599999999999</v>
      </c>
      <c r="K157" s="1" t="s">
        <v>61</v>
      </c>
      <c r="L157" s="1" t="s">
        <v>61</v>
      </c>
      <c r="M157" s="1" t="s">
        <v>62</v>
      </c>
      <c r="N157" s="1">
        <v>-109.0</v>
      </c>
      <c r="O157" s="1">
        <v>-0.227578947368421</v>
      </c>
      <c r="P157" s="1" t="s">
        <v>61</v>
      </c>
      <c r="Q157" s="1" t="s">
        <v>61</v>
      </c>
      <c r="R157" s="1">
        <f t="shared" si="1"/>
        <v>0.1606</v>
      </c>
      <c r="S157" s="1">
        <f t="shared" si="2"/>
        <v>-120</v>
      </c>
      <c r="T157" s="1">
        <f t="shared" si="3"/>
        <v>1.833333333</v>
      </c>
      <c r="U157" s="1">
        <f t="shared" si="4"/>
        <v>1</v>
      </c>
      <c r="V157" s="3">
        <f t="shared" si="5"/>
        <v>3</v>
      </c>
      <c r="W157" s="3">
        <f t="shared" si="6"/>
        <v>3</v>
      </c>
      <c r="X157" s="3" t="str">
        <f>IFERROR(__xludf.DUMMYFUNCTION("split(B157,"" "")"),"T.")</f>
        <v>T.</v>
      </c>
      <c r="Y157" s="3" t="str">
        <f>IFERROR(__xludf.DUMMYFUNCTION("""COMPUTED_VALUE"""),"Kelce")</f>
        <v>Kelce</v>
      </c>
      <c r="AA157" s="8">
        <v>2.0</v>
      </c>
      <c r="AB157" s="3">
        <f t="shared" si="7"/>
        <v>0</v>
      </c>
      <c r="AC157" s="3">
        <f t="shared" si="8"/>
        <v>0</v>
      </c>
      <c r="AD157" s="3">
        <f t="shared" si="9"/>
        <v>2.5</v>
      </c>
      <c r="AE157" s="3">
        <f t="shared" si="10"/>
        <v>-3</v>
      </c>
      <c r="AF157" s="3">
        <f t="shared" si="11"/>
        <v>-3</v>
      </c>
      <c r="AG157" s="3">
        <f t="shared" si="12"/>
        <v>-0.6923076923</v>
      </c>
    </row>
    <row r="158">
      <c r="A158" s="1" t="s">
        <v>10</v>
      </c>
      <c r="B158" s="1" t="s">
        <v>295</v>
      </c>
      <c r="C158" s="1" t="s">
        <v>18</v>
      </c>
      <c r="D158" s="1" t="s">
        <v>76</v>
      </c>
      <c r="E158" s="1" t="s">
        <v>104</v>
      </c>
      <c r="F158" s="1" t="s">
        <v>688</v>
      </c>
      <c r="G158" s="1">
        <v>0.5</v>
      </c>
      <c r="H158" s="1" t="s">
        <v>60</v>
      </c>
      <c r="I158" s="1">
        <v>109.0</v>
      </c>
      <c r="J158" s="1">
        <v>0.157277272392916</v>
      </c>
      <c r="K158" s="1" t="s">
        <v>61</v>
      </c>
      <c r="L158" s="1" t="s">
        <v>61</v>
      </c>
      <c r="M158" s="1" t="s">
        <v>62</v>
      </c>
      <c r="N158" s="1">
        <v>-142.0</v>
      </c>
      <c r="O158" s="1">
        <v>-0.222478768546659</v>
      </c>
      <c r="P158" s="1" t="s">
        <v>61</v>
      </c>
      <c r="Q158" s="1" t="s">
        <v>61</v>
      </c>
      <c r="R158" s="1">
        <f t="shared" si="1"/>
        <v>0.1572772724</v>
      </c>
      <c r="S158" s="1">
        <f t="shared" si="2"/>
        <v>109</v>
      </c>
      <c r="T158" s="1">
        <f t="shared" si="3"/>
        <v>2.09</v>
      </c>
      <c r="U158" s="1">
        <f t="shared" si="4"/>
        <v>1</v>
      </c>
      <c r="V158" s="3">
        <f t="shared" si="5"/>
        <v>3</v>
      </c>
      <c r="W158" s="3">
        <f t="shared" si="6"/>
        <v>2</v>
      </c>
      <c r="X158" s="3" t="str">
        <f>IFERROR(__xludf.DUMMYFUNCTION("split(B158,"" "")"),"X.")</f>
        <v>X.</v>
      </c>
      <c r="Y158" s="3" t="str">
        <f>IFERROR(__xludf.DUMMYFUNCTION("""COMPUTED_VALUE"""),"Worthy")</f>
        <v>Worthy</v>
      </c>
      <c r="AA158" s="8">
        <v>7.0</v>
      </c>
      <c r="AB158" s="3">
        <f t="shared" si="7"/>
        <v>1</v>
      </c>
      <c r="AC158" s="3">
        <f t="shared" si="8"/>
        <v>1</v>
      </c>
      <c r="AD158" s="3">
        <f t="shared" si="9"/>
        <v>3.27</v>
      </c>
      <c r="AE158" s="3">
        <f t="shared" si="10"/>
        <v>3.27</v>
      </c>
      <c r="AF158" s="3">
        <f t="shared" si="11"/>
        <v>2.18</v>
      </c>
      <c r="AG158" s="3">
        <f t="shared" si="12"/>
        <v>13</v>
      </c>
    </row>
    <row r="159">
      <c r="A159" s="1" t="s">
        <v>8</v>
      </c>
      <c r="B159" s="1" t="s">
        <v>75</v>
      </c>
      <c r="C159" s="1" t="s">
        <v>21</v>
      </c>
      <c r="D159" s="1" t="s">
        <v>76</v>
      </c>
      <c r="E159" s="1" t="s">
        <v>104</v>
      </c>
      <c r="F159" s="1" t="s">
        <v>688</v>
      </c>
      <c r="G159" s="1">
        <v>3.5</v>
      </c>
      <c r="H159" s="1" t="s">
        <v>60</v>
      </c>
      <c r="I159" s="1">
        <v>-138.0</v>
      </c>
      <c r="J159" s="1">
        <v>-0.211511995947494</v>
      </c>
      <c r="K159" s="1" t="s">
        <v>61</v>
      </c>
      <c r="L159" s="1" t="s">
        <v>61</v>
      </c>
      <c r="M159" s="1" t="s">
        <v>62</v>
      </c>
      <c r="N159" s="1">
        <v>103.0</v>
      </c>
      <c r="O159" s="1">
        <v>0.139083029731544</v>
      </c>
      <c r="P159" s="1" t="s">
        <v>61</v>
      </c>
      <c r="Q159" s="1" t="s">
        <v>61</v>
      </c>
      <c r="R159" s="1">
        <f t="shared" si="1"/>
        <v>0.1390830297</v>
      </c>
      <c r="S159" s="1">
        <f t="shared" si="2"/>
        <v>103</v>
      </c>
      <c r="T159" s="1">
        <f t="shared" si="3"/>
        <v>2.03</v>
      </c>
      <c r="U159" s="1">
        <f t="shared" si="4"/>
        <v>0</v>
      </c>
      <c r="V159" s="3">
        <f t="shared" si="5"/>
        <v>3</v>
      </c>
      <c r="W159" s="3">
        <f t="shared" si="6"/>
        <v>2</v>
      </c>
      <c r="X159" s="3" t="str">
        <f>IFERROR(__xludf.DUMMYFUNCTION("split(B159,"" "")"),"P.")</f>
        <v>P.</v>
      </c>
      <c r="Y159" s="3" t="str">
        <f>IFERROR(__xludf.DUMMYFUNCTION("""COMPUTED_VALUE"""),"Mahomes")</f>
        <v>Mahomes</v>
      </c>
      <c r="AA159" s="8">
        <v>0.0</v>
      </c>
      <c r="AB159" s="3">
        <f t="shared" si="7"/>
        <v>0</v>
      </c>
      <c r="AC159" s="3">
        <f t="shared" si="8"/>
        <v>1</v>
      </c>
      <c r="AD159" s="3">
        <f t="shared" si="9"/>
        <v>3.09</v>
      </c>
      <c r="AE159" s="3">
        <f t="shared" si="10"/>
        <v>3.09</v>
      </c>
      <c r="AF159" s="3">
        <f t="shared" si="11"/>
        <v>2.06</v>
      </c>
      <c r="AG159" s="3">
        <f t="shared" si="12"/>
        <v>1</v>
      </c>
    </row>
    <row r="160">
      <c r="A160" s="1" t="s">
        <v>12</v>
      </c>
      <c r="B160" s="1" t="s">
        <v>468</v>
      </c>
      <c r="C160" s="1" t="s">
        <v>20</v>
      </c>
      <c r="D160" s="1" t="s">
        <v>76</v>
      </c>
      <c r="E160" s="1" t="s">
        <v>104</v>
      </c>
      <c r="F160" s="1" t="s">
        <v>688</v>
      </c>
      <c r="G160" s="1">
        <v>1.5</v>
      </c>
      <c r="H160" s="1" t="s">
        <v>60</v>
      </c>
      <c r="I160" s="1">
        <v>-140.0</v>
      </c>
      <c r="J160" s="1">
        <v>-0.175273708283333</v>
      </c>
      <c r="K160" s="1" t="s">
        <v>61</v>
      </c>
      <c r="L160" s="1" t="s">
        <v>61</v>
      </c>
      <c r="M160" s="1" t="s">
        <v>62</v>
      </c>
      <c r="N160" s="1">
        <v>107.0</v>
      </c>
      <c r="O160" s="1">
        <v>0.108855024096618</v>
      </c>
      <c r="P160" s="1" t="s">
        <v>61</v>
      </c>
      <c r="Q160" s="1" t="s">
        <v>61</v>
      </c>
      <c r="R160" s="1">
        <f t="shared" si="1"/>
        <v>0.1088550241</v>
      </c>
      <c r="S160" s="1">
        <f t="shared" si="2"/>
        <v>107</v>
      </c>
      <c r="T160" s="1">
        <f t="shared" si="3"/>
        <v>2.07</v>
      </c>
      <c r="U160" s="1">
        <f t="shared" si="4"/>
        <v>0</v>
      </c>
      <c r="V160" s="3">
        <f t="shared" si="5"/>
        <v>3</v>
      </c>
      <c r="W160" s="3">
        <f t="shared" si="6"/>
        <v>2</v>
      </c>
      <c r="X160" s="3" t="str">
        <f>IFERROR(__xludf.DUMMYFUNCTION("split(B160,"" "")"),"N.")</f>
        <v>N.</v>
      </c>
      <c r="Y160" s="3" t="str">
        <f>IFERROR(__xludf.DUMMYFUNCTION("""COMPUTED_VALUE"""),"Gray")</f>
        <v>Gray</v>
      </c>
      <c r="AA160" s="8">
        <v>4.0</v>
      </c>
      <c r="AB160" s="3">
        <f t="shared" si="7"/>
        <v>1</v>
      </c>
      <c r="AC160" s="3">
        <f t="shared" si="8"/>
        <v>0</v>
      </c>
      <c r="AD160" s="3">
        <f t="shared" si="9"/>
        <v>3.21</v>
      </c>
      <c r="AE160" s="3">
        <f t="shared" si="10"/>
        <v>-3</v>
      </c>
      <c r="AF160" s="3">
        <f t="shared" si="11"/>
        <v>-2</v>
      </c>
      <c r="AG160" s="3">
        <f t="shared" si="12"/>
        <v>-1.666666667</v>
      </c>
    </row>
    <row r="161">
      <c r="A161" s="1" t="s">
        <v>15</v>
      </c>
      <c r="B161" s="1" t="s">
        <v>75</v>
      </c>
      <c r="C161" s="1" t="s">
        <v>21</v>
      </c>
      <c r="D161" s="1" t="s">
        <v>76</v>
      </c>
      <c r="E161" s="1" t="s">
        <v>104</v>
      </c>
      <c r="F161" s="1" t="s">
        <v>688</v>
      </c>
      <c r="G161" s="1">
        <v>22.5</v>
      </c>
      <c r="H161" s="1" t="s">
        <v>60</v>
      </c>
      <c r="I161" s="1">
        <v>-117.0</v>
      </c>
      <c r="J161" s="1">
        <v>0.103091244239631</v>
      </c>
      <c r="K161" s="1" t="s">
        <v>61</v>
      </c>
      <c r="L161" s="1" t="s">
        <v>61</v>
      </c>
      <c r="M161" s="1" t="s">
        <v>62</v>
      </c>
      <c r="N161" s="1">
        <v>-112.0</v>
      </c>
      <c r="O161" s="1">
        <v>-0.170543396226415</v>
      </c>
      <c r="P161" s="1" t="s">
        <v>61</v>
      </c>
      <c r="Q161" s="1" t="s">
        <v>61</v>
      </c>
      <c r="R161" s="1">
        <f t="shared" si="1"/>
        <v>0.1030912442</v>
      </c>
      <c r="S161" s="1">
        <f t="shared" si="2"/>
        <v>-117</v>
      </c>
      <c r="T161" s="1">
        <f t="shared" si="3"/>
        <v>1.854700855</v>
      </c>
      <c r="U161" s="1">
        <f t="shared" si="4"/>
        <v>1</v>
      </c>
      <c r="V161" s="3">
        <f t="shared" si="5"/>
        <v>3</v>
      </c>
      <c r="W161" s="3">
        <f t="shared" si="6"/>
        <v>2</v>
      </c>
      <c r="X161" s="3" t="str">
        <f>IFERROR(__xludf.DUMMYFUNCTION("split(B161,"" "")"),"P.")</f>
        <v>P.</v>
      </c>
      <c r="Y161" s="3" t="str">
        <f>IFERROR(__xludf.DUMMYFUNCTION("""COMPUTED_VALUE"""),"Mahomes")</f>
        <v>Mahomes</v>
      </c>
      <c r="AA161" s="8">
        <v>23.0</v>
      </c>
      <c r="AB161" s="3">
        <f t="shared" si="7"/>
        <v>1</v>
      </c>
      <c r="AC161" s="3">
        <f t="shared" si="8"/>
        <v>1</v>
      </c>
      <c r="AD161" s="3">
        <f t="shared" si="9"/>
        <v>2.564102564</v>
      </c>
      <c r="AE161" s="3">
        <f t="shared" si="10"/>
        <v>2.564102564</v>
      </c>
      <c r="AF161" s="3">
        <f t="shared" si="11"/>
        <v>1.709401709</v>
      </c>
      <c r="AG161" s="3">
        <f t="shared" si="12"/>
        <v>0.02222222222</v>
      </c>
    </row>
    <row r="162">
      <c r="A162" s="1" t="s">
        <v>12</v>
      </c>
      <c r="B162" s="1" t="s">
        <v>591</v>
      </c>
      <c r="C162" s="1" t="s">
        <v>19</v>
      </c>
      <c r="D162" s="1" t="s">
        <v>76</v>
      </c>
      <c r="E162" s="1" t="s">
        <v>104</v>
      </c>
      <c r="F162" s="1" t="s">
        <v>688</v>
      </c>
      <c r="G162" s="1">
        <v>2.5</v>
      </c>
      <c r="H162" s="1" t="s">
        <v>60</v>
      </c>
      <c r="I162" s="1">
        <v>-109.0</v>
      </c>
      <c r="J162" s="1">
        <v>-0.164676915550239</v>
      </c>
      <c r="K162" s="1" t="s">
        <v>61</v>
      </c>
      <c r="L162" s="1" t="s">
        <v>61</v>
      </c>
      <c r="M162" s="1" t="s">
        <v>62</v>
      </c>
      <c r="N162" s="1">
        <v>-120.0</v>
      </c>
      <c r="O162" s="1">
        <v>0.0976976837272727</v>
      </c>
      <c r="P162" s="1" t="s">
        <v>61</v>
      </c>
      <c r="Q162" s="1" t="s">
        <v>61</v>
      </c>
      <c r="R162" s="1">
        <f t="shared" si="1"/>
        <v>0.09769768373</v>
      </c>
      <c r="S162" s="1">
        <f t="shared" si="2"/>
        <v>-120</v>
      </c>
      <c r="T162" s="1">
        <f t="shared" si="3"/>
        <v>1.833333333</v>
      </c>
      <c r="U162" s="1">
        <f t="shared" si="4"/>
        <v>0</v>
      </c>
      <c r="V162" s="3">
        <f t="shared" si="5"/>
        <v>2</v>
      </c>
      <c r="W162" s="3">
        <f t="shared" si="6"/>
        <v>3</v>
      </c>
      <c r="X162" s="3" t="str">
        <f>IFERROR(__xludf.DUMMYFUNCTION("split(B162,"" "")"),"K.")</f>
        <v>K.</v>
      </c>
      <c r="Y162" s="3" t="str">
        <f>IFERROR(__xludf.DUMMYFUNCTION("""COMPUTED_VALUE"""),"Hunt")</f>
        <v>Hunt</v>
      </c>
      <c r="AA162" s="8">
        <v>0.0</v>
      </c>
      <c r="AB162" s="3">
        <f t="shared" si="7"/>
        <v>0</v>
      </c>
      <c r="AC162" s="3">
        <f t="shared" si="8"/>
        <v>1</v>
      </c>
      <c r="AD162" s="3">
        <f t="shared" si="9"/>
        <v>1.666666667</v>
      </c>
      <c r="AE162" s="3">
        <f t="shared" si="10"/>
        <v>1.666666667</v>
      </c>
      <c r="AF162" s="3">
        <f t="shared" si="11"/>
        <v>2.5</v>
      </c>
      <c r="AG162" s="3">
        <f t="shared" si="12"/>
        <v>1</v>
      </c>
    </row>
    <row r="163">
      <c r="A163" s="1" t="s">
        <v>9</v>
      </c>
      <c r="B163" s="1" t="s">
        <v>295</v>
      </c>
      <c r="C163" s="1" t="s">
        <v>18</v>
      </c>
      <c r="D163" s="1" t="s">
        <v>76</v>
      </c>
      <c r="E163" s="1" t="s">
        <v>104</v>
      </c>
      <c r="F163" s="1" t="s">
        <v>688</v>
      </c>
      <c r="G163" s="1">
        <v>30.5</v>
      </c>
      <c r="H163" s="1" t="s">
        <v>60</v>
      </c>
      <c r="I163" s="1">
        <v>-115.0</v>
      </c>
      <c r="J163" s="1">
        <v>0.080578624071809</v>
      </c>
      <c r="K163" s="1" t="s">
        <v>61</v>
      </c>
      <c r="L163" s="1" t="s">
        <v>61</v>
      </c>
      <c r="M163" s="1" t="s">
        <v>62</v>
      </c>
      <c r="N163" s="1">
        <v>-117.0</v>
      </c>
      <c r="O163" s="1">
        <v>-0.154595013296145</v>
      </c>
      <c r="P163" s="1" t="s">
        <v>61</v>
      </c>
      <c r="Q163" s="1" t="s">
        <v>61</v>
      </c>
      <c r="R163" s="1">
        <f t="shared" si="1"/>
        <v>0.08057862407</v>
      </c>
      <c r="S163" s="1">
        <f t="shared" si="2"/>
        <v>-115</v>
      </c>
      <c r="T163" s="1">
        <f t="shared" si="3"/>
        <v>1.869565217</v>
      </c>
      <c r="U163" s="1">
        <f t="shared" si="4"/>
        <v>1</v>
      </c>
      <c r="V163" s="3">
        <f t="shared" si="5"/>
        <v>2</v>
      </c>
      <c r="W163" s="3">
        <f t="shared" si="6"/>
        <v>2</v>
      </c>
      <c r="X163" s="3" t="str">
        <f>IFERROR(__xludf.DUMMYFUNCTION("split(B163,"" "")"),"X.")</f>
        <v>X.</v>
      </c>
      <c r="Y163" s="3" t="str">
        <f>IFERROR(__xludf.DUMMYFUNCTION("""COMPUTED_VALUE"""),"Worthy")</f>
        <v>Worthy</v>
      </c>
      <c r="AA163" s="8">
        <v>68.0</v>
      </c>
      <c r="AB163" s="3">
        <f t="shared" si="7"/>
        <v>1</v>
      </c>
      <c r="AC163" s="3">
        <f t="shared" si="8"/>
        <v>1</v>
      </c>
      <c r="AD163" s="3">
        <f t="shared" si="9"/>
        <v>1.739130435</v>
      </c>
      <c r="AE163" s="3">
        <f t="shared" si="10"/>
        <v>1.739130435</v>
      </c>
      <c r="AF163" s="3">
        <f t="shared" si="11"/>
        <v>1.739130435</v>
      </c>
      <c r="AG163" s="3">
        <f t="shared" si="12"/>
        <v>1.229508197</v>
      </c>
    </row>
    <row r="164">
      <c r="A164" s="1" t="s">
        <v>16</v>
      </c>
      <c r="B164" s="1" t="s">
        <v>75</v>
      </c>
      <c r="C164" s="1" t="s">
        <v>21</v>
      </c>
      <c r="D164" s="1" t="s">
        <v>76</v>
      </c>
      <c r="E164" s="1" t="s">
        <v>104</v>
      </c>
      <c r="F164" s="1" t="s">
        <v>688</v>
      </c>
      <c r="G164" s="1">
        <v>34.5</v>
      </c>
      <c r="H164" s="1" t="s">
        <v>60</v>
      </c>
      <c r="I164" s="1">
        <v>-109.0</v>
      </c>
      <c r="J164" s="1">
        <v>0.0615773710805264</v>
      </c>
      <c r="K164" s="1" t="s">
        <v>61</v>
      </c>
      <c r="L164" s="1" t="s">
        <v>61</v>
      </c>
      <c r="M164" s="1" t="s">
        <v>62</v>
      </c>
      <c r="N164" s="1">
        <v>-120.0</v>
      </c>
      <c r="O164" s="1">
        <v>-0.128536240849999</v>
      </c>
      <c r="P164" s="1" t="s">
        <v>61</v>
      </c>
      <c r="Q164" s="1" t="s">
        <v>61</v>
      </c>
      <c r="R164" s="1">
        <f t="shared" si="1"/>
        <v>0.06157737108</v>
      </c>
      <c r="S164" s="1">
        <f t="shared" si="2"/>
        <v>-109</v>
      </c>
      <c r="T164" s="1">
        <f t="shared" si="3"/>
        <v>1.917431193</v>
      </c>
      <c r="U164" s="1">
        <f t="shared" si="4"/>
        <v>1</v>
      </c>
      <c r="V164" s="3">
        <f t="shared" si="5"/>
        <v>2</v>
      </c>
      <c r="W164" s="3">
        <f t="shared" si="6"/>
        <v>2</v>
      </c>
      <c r="X164" s="3" t="str">
        <f>IFERROR(__xludf.DUMMYFUNCTION("split(B164,"" "")"),"P.")</f>
        <v>P.</v>
      </c>
      <c r="Y164" s="3" t="str">
        <f>IFERROR(__xludf.DUMMYFUNCTION("""COMPUTED_VALUE"""),"Mahomes")</f>
        <v>Mahomes</v>
      </c>
      <c r="AA164" s="8">
        <v>33.0</v>
      </c>
      <c r="AB164" s="3">
        <f t="shared" si="7"/>
        <v>0</v>
      </c>
      <c r="AC164" s="3">
        <f t="shared" si="8"/>
        <v>0</v>
      </c>
      <c r="AD164" s="3">
        <f t="shared" si="9"/>
        <v>1.834862385</v>
      </c>
      <c r="AE164" s="3">
        <f t="shared" si="10"/>
        <v>-2</v>
      </c>
      <c r="AF164" s="3">
        <f t="shared" si="11"/>
        <v>-2</v>
      </c>
      <c r="AG164" s="3">
        <f t="shared" si="12"/>
        <v>-0.04347826087</v>
      </c>
    </row>
    <row r="165">
      <c r="A165" s="1" t="s">
        <v>17</v>
      </c>
      <c r="B165" s="1" t="s">
        <v>75</v>
      </c>
      <c r="C165" s="1" t="s">
        <v>21</v>
      </c>
      <c r="D165" s="1" t="s">
        <v>76</v>
      </c>
      <c r="E165" s="1" t="s">
        <v>104</v>
      </c>
      <c r="F165" s="1" t="s">
        <v>688</v>
      </c>
      <c r="G165" s="1">
        <v>0.5</v>
      </c>
      <c r="H165" s="1" t="s">
        <v>60</v>
      </c>
      <c r="I165" s="1">
        <v>-137.0</v>
      </c>
      <c r="J165" s="1">
        <v>-0.131859071729957</v>
      </c>
      <c r="K165" s="1" t="s">
        <v>61</v>
      </c>
      <c r="L165" s="1" t="s">
        <v>61</v>
      </c>
      <c r="M165" s="1" t="s">
        <v>62</v>
      </c>
      <c r="N165" s="1">
        <v>103.0</v>
      </c>
      <c r="O165" s="1">
        <v>0.0611891625615764</v>
      </c>
      <c r="P165" s="1" t="s">
        <v>61</v>
      </c>
      <c r="Q165" s="1" t="s">
        <v>61</v>
      </c>
      <c r="R165" s="1">
        <f t="shared" si="1"/>
        <v>0.06118916256</v>
      </c>
      <c r="S165" s="1">
        <f t="shared" si="2"/>
        <v>103</v>
      </c>
      <c r="T165" s="1">
        <f t="shared" si="3"/>
        <v>2.03</v>
      </c>
      <c r="U165" s="1">
        <f t="shared" si="4"/>
        <v>0</v>
      </c>
      <c r="V165" s="3">
        <f t="shared" si="5"/>
        <v>2</v>
      </c>
      <c r="W165" s="3">
        <f t="shared" si="6"/>
        <v>2</v>
      </c>
      <c r="X165" s="3" t="str">
        <f>IFERROR(__xludf.DUMMYFUNCTION("split(B165,"" "")"),"P.")</f>
        <v>P.</v>
      </c>
      <c r="Y165" s="3" t="str">
        <f>IFERROR(__xludf.DUMMYFUNCTION("""COMPUTED_VALUE"""),"Mahomes")</f>
        <v>Mahomes</v>
      </c>
      <c r="AA165" s="8">
        <v>2.0</v>
      </c>
      <c r="AB165" s="3">
        <f t="shared" si="7"/>
        <v>1</v>
      </c>
      <c r="AC165" s="3">
        <f t="shared" si="8"/>
        <v>0</v>
      </c>
      <c r="AD165" s="3">
        <f t="shared" si="9"/>
        <v>2.06</v>
      </c>
      <c r="AE165" s="3">
        <f t="shared" si="10"/>
        <v>-2</v>
      </c>
      <c r="AF165" s="3">
        <f t="shared" si="11"/>
        <v>-2</v>
      </c>
      <c r="AG165" s="3">
        <f t="shared" si="12"/>
        <v>-3</v>
      </c>
    </row>
    <row r="166">
      <c r="A166" s="1" t="s">
        <v>10</v>
      </c>
      <c r="B166" s="1" t="s">
        <v>591</v>
      </c>
      <c r="C166" s="1" t="s">
        <v>19</v>
      </c>
      <c r="D166" s="1" t="s">
        <v>76</v>
      </c>
      <c r="E166" s="1" t="s">
        <v>104</v>
      </c>
      <c r="F166" s="1" t="s">
        <v>688</v>
      </c>
      <c r="G166" s="1">
        <v>65.5</v>
      </c>
      <c r="H166" s="1" t="s">
        <v>60</v>
      </c>
      <c r="I166" s="1">
        <v>-116.0</v>
      </c>
      <c r="J166" s="1">
        <v>-0.128510688815696</v>
      </c>
      <c r="K166" s="1" t="s">
        <v>61</v>
      </c>
      <c r="L166" s="1" t="s">
        <v>61</v>
      </c>
      <c r="M166" s="1" t="s">
        <v>62</v>
      </c>
      <c r="N166" s="1">
        <v>-113.0</v>
      </c>
      <c r="O166" s="1">
        <v>0.0609966447511393</v>
      </c>
      <c r="P166" s="1" t="s">
        <v>61</v>
      </c>
      <c r="Q166" s="1" t="s">
        <v>61</v>
      </c>
      <c r="R166" s="1">
        <f t="shared" si="1"/>
        <v>0.06099664475</v>
      </c>
      <c r="S166" s="1">
        <f t="shared" si="2"/>
        <v>-113</v>
      </c>
      <c r="T166" s="1">
        <f t="shared" si="3"/>
        <v>1.884955752</v>
      </c>
      <c r="U166" s="1">
        <f t="shared" si="4"/>
        <v>0</v>
      </c>
      <c r="V166" s="3">
        <f t="shared" si="5"/>
        <v>2</v>
      </c>
      <c r="W166" s="3">
        <f t="shared" si="6"/>
        <v>2</v>
      </c>
      <c r="X166" s="3" t="str">
        <f>IFERROR(__xludf.DUMMYFUNCTION("split(B166,"" "")"),"K.")</f>
        <v>K.</v>
      </c>
      <c r="Y166" s="3" t="str">
        <f>IFERROR(__xludf.DUMMYFUNCTION("""COMPUTED_VALUE"""),"Hunt")</f>
        <v>Hunt</v>
      </c>
      <c r="AA166" s="8">
        <v>60.0</v>
      </c>
      <c r="AB166" s="3">
        <f t="shared" si="7"/>
        <v>0</v>
      </c>
      <c r="AC166" s="3">
        <f t="shared" si="8"/>
        <v>1</v>
      </c>
      <c r="AD166" s="3">
        <f t="shared" si="9"/>
        <v>1.769911504</v>
      </c>
      <c r="AE166" s="3">
        <f t="shared" si="10"/>
        <v>1.769911504</v>
      </c>
      <c r="AF166" s="3">
        <f t="shared" si="11"/>
        <v>1.769911504</v>
      </c>
      <c r="AG166" s="3">
        <f t="shared" si="12"/>
        <v>0.08396946565</v>
      </c>
    </row>
    <row r="167">
      <c r="A167" s="1" t="s">
        <v>9</v>
      </c>
      <c r="B167" s="1" t="s">
        <v>591</v>
      </c>
      <c r="C167" s="1" t="s">
        <v>19</v>
      </c>
      <c r="D167" s="1" t="s">
        <v>76</v>
      </c>
      <c r="E167" s="1" t="s">
        <v>104</v>
      </c>
      <c r="F167" s="1" t="s">
        <v>688</v>
      </c>
      <c r="G167" s="1">
        <v>84.5</v>
      </c>
      <c r="H167" s="1" t="s">
        <v>60</v>
      </c>
      <c r="I167" s="1">
        <v>-115.0</v>
      </c>
      <c r="J167" s="1">
        <v>-0.130288554163136</v>
      </c>
      <c r="K167" s="1" t="s">
        <v>61</v>
      </c>
      <c r="L167" s="1" t="s">
        <v>61</v>
      </c>
      <c r="M167" s="1" t="s">
        <v>62</v>
      </c>
      <c r="N167" s="1">
        <v>-117.0</v>
      </c>
      <c r="O167" s="1">
        <v>0.0562828608282809</v>
      </c>
      <c r="P167" s="1" t="s">
        <v>61</v>
      </c>
      <c r="Q167" s="1" t="s">
        <v>61</v>
      </c>
      <c r="R167" s="1">
        <f t="shared" si="1"/>
        <v>0.05628286083</v>
      </c>
      <c r="S167" s="1">
        <f t="shared" si="2"/>
        <v>-117</v>
      </c>
      <c r="T167" s="1">
        <f t="shared" si="3"/>
        <v>1.854700855</v>
      </c>
      <c r="U167" s="1">
        <f t="shared" si="4"/>
        <v>0</v>
      </c>
      <c r="V167" s="3">
        <f t="shared" si="5"/>
        <v>2</v>
      </c>
      <c r="W167" s="3">
        <f t="shared" si="6"/>
        <v>2</v>
      </c>
      <c r="X167" s="3" t="str">
        <f>IFERROR(__xludf.DUMMYFUNCTION("split(B167,"" "")"),"K.")</f>
        <v>K.</v>
      </c>
      <c r="Y167" s="3" t="str">
        <f>IFERROR(__xludf.DUMMYFUNCTION("""COMPUTED_VALUE"""),"Hunt")</f>
        <v>Hunt</v>
      </c>
      <c r="AA167" s="8">
        <v>60.0</v>
      </c>
      <c r="AB167" s="3">
        <f t="shared" si="7"/>
        <v>0</v>
      </c>
      <c r="AC167" s="3">
        <f t="shared" si="8"/>
        <v>1</v>
      </c>
      <c r="AD167" s="3">
        <f t="shared" si="9"/>
        <v>1.709401709</v>
      </c>
      <c r="AE167" s="3">
        <f t="shared" si="10"/>
        <v>1.709401709</v>
      </c>
      <c r="AF167" s="3">
        <f t="shared" si="11"/>
        <v>1.709401709</v>
      </c>
      <c r="AG167" s="3">
        <f t="shared" si="12"/>
        <v>0.2899408284</v>
      </c>
    </row>
    <row r="168">
      <c r="A168" s="1" t="s">
        <v>10</v>
      </c>
      <c r="B168" s="1" t="s">
        <v>75</v>
      </c>
      <c r="C168" s="1" t="s">
        <v>21</v>
      </c>
      <c r="D168" s="1" t="s">
        <v>76</v>
      </c>
      <c r="E168" s="1" t="s">
        <v>104</v>
      </c>
      <c r="F168" s="1" t="s">
        <v>688</v>
      </c>
      <c r="G168" s="1">
        <v>21.5</v>
      </c>
      <c r="H168" s="1" t="s">
        <v>60</v>
      </c>
      <c r="I168" s="1">
        <v>-118.0</v>
      </c>
      <c r="J168" s="1">
        <v>-0.127439925556748</v>
      </c>
      <c r="K168" s="1" t="s">
        <v>61</v>
      </c>
      <c r="L168" s="1" t="s">
        <v>61</v>
      </c>
      <c r="M168" s="1" t="s">
        <v>62</v>
      </c>
      <c r="N168" s="1">
        <v>-113.0</v>
      </c>
      <c r="O168" s="1">
        <v>0.0556790857354432</v>
      </c>
      <c r="P168" s="1" t="s">
        <v>61</v>
      </c>
      <c r="Q168" s="1" t="s">
        <v>61</v>
      </c>
      <c r="R168" s="1">
        <f t="shared" si="1"/>
        <v>0.05567908574</v>
      </c>
      <c r="S168" s="1">
        <f t="shared" si="2"/>
        <v>-113</v>
      </c>
      <c r="T168" s="1">
        <f t="shared" si="3"/>
        <v>1.884955752</v>
      </c>
      <c r="U168" s="1">
        <f t="shared" si="4"/>
        <v>0</v>
      </c>
      <c r="V168" s="3">
        <f t="shared" si="5"/>
        <v>2</v>
      </c>
      <c r="W168" s="3">
        <f t="shared" si="6"/>
        <v>2</v>
      </c>
      <c r="X168" s="3" t="str">
        <f>IFERROR(__xludf.DUMMYFUNCTION("split(B168,"" "")"),"P.")</f>
        <v>P.</v>
      </c>
      <c r="Y168" s="3" t="str">
        <f>IFERROR(__xludf.DUMMYFUNCTION("""COMPUTED_VALUE"""),"Mahomes")</f>
        <v>Mahomes</v>
      </c>
      <c r="AA168" s="8">
        <v>0.0</v>
      </c>
      <c r="AB168" s="3">
        <f t="shared" si="7"/>
        <v>0</v>
      </c>
      <c r="AC168" s="3">
        <f t="shared" si="8"/>
        <v>1</v>
      </c>
      <c r="AD168" s="3">
        <f t="shared" si="9"/>
        <v>1.769911504</v>
      </c>
      <c r="AE168" s="3">
        <f t="shared" si="10"/>
        <v>1.769911504</v>
      </c>
      <c r="AF168" s="3">
        <f t="shared" si="11"/>
        <v>1.769911504</v>
      </c>
      <c r="AG168" s="3">
        <f t="shared" si="12"/>
        <v>1</v>
      </c>
    </row>
    <row r="169">
      <c r="A169" s="1" t="s">
        <v>8</v>
      </c>
      <c r="B169" s="1" t="s">
        <v>591</v>
      </c>
      <c r="C169" s="1" t="s">
        <v>19</v>
      </c>
      <c r="D169" s="1" t="s">
        <v>76</v>
      </c>
      <c r="E169" s="1" t="s">
        <v>104</v>
      </c>
      <c r="F169" s="1" t="s">
        <v>688</v>
      </c>
      <c r="G169" s="1">
        <v>17.5</v>
      </c>
      <c r="H169" s="1" t="s">
        <v>60</v>
      </c>
      <c r="I169" s="1">
        <v>-108.0</v>
      </c>
      <c r="J169" s="1">
        <v>-0.108125767596153</v>
      </c>
      <c r="K169" s="1" t="s">
        <v>61</v>
      </c>
      <c r="L169" s="1" t="s">
        <v>61</v>
      </c>
      <c r="M169" s="1" t="s">
        <v>62</v>
      </c>
      <c r="N169" s="1">
        <v>-127.0</v>
      </c>
      <c r="O169" s="1">
        <v>0.0294391840008809</v>
      </c>
      <c r="P169" s="1" t="s">
        <v>61</v>
      </c>
      <c r="Q169" s="1" t="s">
        <v>61</v>
      </c>
      <c r="R169" s="1">
        <f t="shared" si="1"/>
        <v>0.029439184</v>
      </c>
      <c r="S169" s="1">
        <f t="shared" si="2"/>
        <v>-127</v>
      </c>
      <c r="T169" s="1">
        <f t="shared" si="3"/>
        <v>1.787401575</v>
      </c>
      <c r="U169" s="1">
        <f t="shared" si="4"/>
        <v>0</v>
      </c>
      <c r="V169" s="3">
        <f t="shared" si="5"/>
        <v>1</v>
      </c>
      <c r="W169" s="3">
        <f t="shared" si="6"/>
        <v>3</v>
      </c>
      <c r="X169" s="3" t="str">
        <f>IFERROR(__xludf.DUMMYFUNCTION("split(B169,"" "")"),"K.")</f>
        <v>K.</v>
      </c>
      <c r="Y169" s="3" t="str">
        <f>IFERROR(__xludf.DUMMYFUNCTION("""COMPUTED_VALUE"""),"Hunt")</f>
        <v>Hunt</v>
      </c>
      <c r="AA169" s="8">
        <v>14.0</v>
      </c>
      <c r="AB169" s="3">
        <f t="shared" si="7"/>
        <v>0</v>
      </c>
      <c r="AC169" s="3">
        <f t="shared" si="8"/>
        <v>1</v>
      </c>
      <c r="AD169" s="3">
        <f t="shared" si="9"/>
        <v>0.7874015748</v>
      </c>
      <c r="AE169" s="3">
        <f t="shared" si="10"/>
        <v>0.7874015748</v>
      </c>
      <c r="AF169" s="3">
        <f t="shared" si="11"/>
        <v>2.362204724</v>
      </c>
      <c r="AG169" s="3">
        <f t="shared" si="12"/>
        <v>0.2</v>
      </c>
    </row>
    <row r="170">
      <c r="A170" s="1" t="s">
        <v>13</v>
      </c>
      <c r="B170" s="1" t="s">
        <v>75</v>
      </c>
      <c r="C170" s="1" t="s">
        <v>21</v>
      </c>
      <c r="D170" s="1" t="s">
        <v>76</v>
      </c>
      <c r="E170" s="1" t="s">
        <v>104</v>
      </c>
      <c r="F170" s="1" t="s">
        <v>688</v>
      </c>
      <c r="G170" s="1">
        <v>240.5</v>
      </c>
      <c r="H170" s="1" t="s">
        <v>60</v>
      </c>
      <c r="I170" s="1">
        <v>-119.0</v>
      </c>
      <c r="J170" s="1">
        <v>0.00768630136986314</v>
      </c>
      <c r="K170" s="1" t="s">
        <v>61</v>
      </c>
      <c r="L170" s="1" t="s">
        <v>61</v>
      </c>
      <c r="M170" s="1" t="s">
        <v>62</v>
      </c>
      <c r="N170" s="1">
        <v>-113.0</v>
      </c>
      <c r="O170" s="1">
        <v>-0.0816408450704225</v>
      </c>
      <c r="P170" s="1" t="s">
        <v>61</v>
      </c>
      <c r="Q170" s="1" t="s">
        <v>61</v>
      </c>
      <c r="R170" s="1">
        <f t="shared" si="1"/>
        <v>0.00768630137</v>
      </c>
      <c r="S170" s="1">
        <f t="shared" si="2"/>
        <v>-119</v>
      </c>
      <c r="T170" s="1">
        <f t="shared" si="3"/>
        <v>1.840336134</v>
      </c>
      <c r="U170" s="1">
        <f t="shared" si="4"/>
        <v>1</v>
      </c>
      <c r="V170" s="3">
        <f t="shared" si="5"/>
        <v>1</v>
      </c>
      <c r="W170" s="3">
        <f t="shared" si="6"/>
        <v>3</v>
      </c>
      <c r="X170" s="3" t="str">
        <f>IFERROR(__xludf.DUMMYFUNCTION("split(B170,"" "")"),"P.")</f>
        <v>P.</v>
      </c>
      <c r="Y170" s="3" t="str">
        <f>IFERROR(__xludf.DUMMYFUNCTION("""COMPUTED_VALUE"""),"Mahomes")</f>
        <v>Mahomes</v>
      </c>
      <c r="AA170" s="8">
        <v>196.0</v>
      </c>
      <c r="AB170" s="3">
        <f t="shared" si="7"/>
        <v>0</v>
      </c>
      <c r="AC170" s="3">
        <f t="shared" si="8"/>
        <v>0</v>
      </c>
      <c r="AD170" s="3">
        <f t="shared" si="9"/>
        <v>0.8403361345</v>
      </c>
      <c r="AE170" s="3">
        <f t="shared" si="10"/>
        <v>-1</v>
      </c>
      <c r="AF170" s="3">
        <f t="shared" si="11"/>
        <v>-3</v>
      </c>
      <c r="AG170" s="3">
        <f t="shared" si="12"/>
        <v>-0.185031185</v>
      </c>
    </row>
    <row r="171">
      <c r="A171" s="1" t="s">
        <v>14</v>
      </c>
      <c r="B171" s="1" t="s">
        <v>75</v>
      </c>
      <c r="C171" s="1" t="s">
        <v>21</v>
      </c>
      <c r="D171" s="1" t="s">
        <v>76</v>
      </c>
      <c r="E171" s="1" t="s">
        <v>104</v>
      </c>
      <c r="F171" s="1" t="s">
        <v>688</v>
      </c>
      <c r="G171" s="1">
        <v>1.5</v>
      </c>
      <c r="H171" s="1" t="s">
        <v>60</v>
      </c>
      <c r="I171" s="1">
        <v>-102.0</v>
      </c>
      <c r="J171" s="1">
        <v>0.00619900990099009</v>
      </c>
      <c r="K171" s="1" t="s">
        <v>61</v>
      </c>
      <c r="L171" s="1" t="s">
        <v>61</v>
      </c>
      <c r="M171" s="1" t="s">
        <v>62</v>
      </c>
      <c r="N171" s="1">
        <v>-129.0</v>
      </c>
      <c r="O171" s="1">
        <v>-0.0744751091703056</v>
      </c>
      <c r="P171" s="1" t="s">
        <v>61</v>
      </c>
      <c r="Q171" s="1" t="s">
        <v>61</v>
      </c>
      <c r="R171" s="1">
        <f t="shared" si="1"/>
        <v>0.006199009901</v>
      </c>
      <c r="S171" s="1">
        <f t="shared" si="2"/>
        <v>-102</v>
      </c>
      <c r="T171" s="1">
        <f t="shared" si="3"/>
        <v>1.980392157</v>
      </c>
      <c r="U171" s="1">
        <f t="shared" si="4"/>
        <v>1</v>
      </c>
      <c r="V171" s="3">
        <f t="shared" si="5"/>
        <v>1</v>
      </c>
      <c r="W171" s="3">
        <f t="shared" si="6"/>
        <v>2</v>
      </c>
      <c r="X171" s="3" t="str">
        <f>IFERROR(__xludf.DUMMYFUNCTION("split(B171,"" "")"),"P.")</f>
        <v>P.</v>
      </c>
      <c r="Y171" s="3" t="str">
        <f>IFERROR(__xludf.DUMMYFUNCTION("""COMPUTED_VALUE"""),"Mahomes")</f>
        <v>Mahomes</v>
      </c>
      <c r="AA171" s="8">
        <v>3.0</v>
      </c>
      <c r="AB171" s="3">
        <f t="shared" si="7"/>
        <v>1</v>
      </c>
      <c r="AC171" s="3">
        <f t="shared" si="8"/>
        <v>1</v>
      </c>
      <c r="AD171" s="3">
        <f t="shared" si="9"/>
        <v>0.9803921569</v>
      </c>
      <c r="AE171" s="3">
        <f t="shared" si="10"/>
        <v>0.9803921569</v>
      </c>
      <c r="AF171" s="3">
        <f t="shared" si="11"/>
        <v>1.960784314</v>
      </c>
      <c r="AG171" s="3">
        <f t="shared" si="12"/>
        <v>1</v>
      </c>
    </row>
    <row r="172">
      <c r="A172" s="1" t="s">
        <v>11</v>
      </c>
      <c r="B172" s="1" t="s">
        <v>295</v>
      </c>
      <c r="C172" s="1" t="s">
        <v>18</v>
      </c>
      <c r="D172" s="1" t="s">
        <v>76</v>
      </c>
      <c r="E172" s="1" t="s">
        <v>104</v>
      </c>
      <c r="F172" s="1" t="s">
        <v>688</v>
      </c>
      <c r="G172" s="1">
        <v>23.5</v>
      </c>
      <c r="H172" s="1" t="s">
        <v>60</v>
      </c>
      <c r="I172" s="1">
        <v>-117.0</v>
      </c>
      <c r="J172" s="1">
        <v>3.91762947926088E-4</v>
      </c>
      <c r="K172" s="1" t="s">
        <v>61</v>
      </c>
      <c r="L172" s="1" t="s">
        <v>61</v>
      </c>
      <c r="M172" s="1" t="s">
        <v>62</v>
      </c>
      <c r="N172" s="1">
        <v>-109.0</v>
      </c>
      <c r="O172" s="1">
        <v>-0.0610499300221432</v>
      </c>
      <c r="P172" s="1" t="s">
        <v>61</v>
      </c>
      <c r="Q172" s="1" t="s">
        <v>61</v>
      </c>
      <c r="R172" s="1">
        <f t="shared" si="1"/>
        <v>0.0003917629479</v>
      </c>
      <c r="S172" s="1">
        <f t="shared" si="2"/>
        <v>-117</v>
      </c>
      <c r="T172" s="1">
        <f t="shared" si="3"/>
        <v>1.854700855</v>
      </c>
      <c r="U172" s="1">
        <f t="shared" si="4"/>
        <v>1</v>
      </c>
      <c r="V172" s="3">
        <f t="shared" si="5"/>
        <v>1</v>
      </c>
      <c r="W172" s="3">
        <f t="shared" si="6"/>
        <v>2</v>
      </c>
      <c r="X172" s="3" t="str">
        <f>IFERROR(__xludf.DUMMYFUNCTION("split(B172,"" "")"),"X.")</f>
        <v>X.</v>
      </c>
      <c r="Y172" s="3" t="str">
        <f>IFERROR(__xludf.DUMMYFUNCTION("""COMPUTED_VALUE"""),"Worthy")</f>
        <v>Worthy</v>
      </c>
      <c r="AA172" s="8">
        <v>61.0</v>
      </c>
      <c r="AB172" s="3">
        <f t="shared" si="7"/>
        <v>1</v>
      </c>
      <c r="AC172" s="3">
        <f t="shared" si="8"/>
        <v>1</v>
      </c>
      <c r="AD172" s="3">
        <f t="shared" si="9"/>
        <v>0.8547008547</v>
      </c>
      <c r="AE172" s="3">
        <f t="shared" si="10"/>
        <v>0.8547008547</v>
      </c>
      <c r="AF172" s="3">
        <f t="shared" si="11"/>
        <v>1.709401709</v>
      </c>
      <c r="AG172" s="3">
        <f t="shared" si="12"/>
        <v>1.595744681</v>
      </c>
    </row>
    <row r="173">
      <c r="A173" s="1" t="s">
        <v>12</v>
      </c>
      <c r="B173" s="1" t="s">
        <v>469</v>
      </c>
      <c r="C173" s="1" t="s">
        <v>18</v>
      </c>
      <c r="D173" s="1" t="s">
        <v>196</v>
      </c>
      <c r="E173" s="1" t="s">
        <v>66</v>
      </c>
      <c r="F173" s="1" t="s">
        <v>687</v>
      </c>
      <c r="G173" s="1">
        <v>6.5</v>
      </c>
      <c r="H173" s="1" t="s">
        <v>60</v>
      </c>
      <c r="I173" s="1">
        <v>102.0</v>
      </c>
      <c r="J173" s="1">
        <v>0.1683</v>
      </c>
      <c r="K173" s="1" t="s">
        <v>61</v>
      </c>
      <c r="L173" s="1" t="s">
        <v>61</v>
      </c>
      <c r="M173" s="1" t="s">
        <v>62</v>
      </c>
      <c r="N173" s="1">
        <v>-134.0</v>
      </c>
      <c r="O173" s="1">
        <v>-0.235992307692307</v>
      </c>
      <c r="P173" s="1" t="s">
        <v>61</v>
      </c>
      <c r="Q173" s="1" t="s">
        <v>61</v>
      </c>
      <c r="R173" s="1">
        <f t="shared" si="1"/>
        <v>0.1683</v>
      </c>
      <c r="S173" s="1">
        <f t="shared" si="2"/>
        <v>102</v>
      </c>
      <c r="T173" s="1">
        <f t="shared" si="3"/>
        <v>2.02</v>
      </c>
      <c r="U173" s="1">
        <f t="shared" si="4"/>
        <v>1</v>
      </c>
      <c r="V173" s="3">
        <f t="shared" si="5"/>
        <v>3</v>
      </c>
      <c r="W173" s="3">
        <f t="shared" si="6"/>
        <v>2</v>
      </c>
      <c r="X173" s="3" t="str">
        <f>IFERROR(__xludf.DUMMYFUNCTION("split(B173,"" "")"),"C.")</f>
        <v>C.</v>
      </c>
      <c r="Y173" s="3" t="str">
        <f>IFERROR(__xludf.DUMMYFUNCTION("""COMPUTED_VALUE"""),"Kupp")</f>
        <v>Kupp</v>
      </c>
      <c r="AA173" s="8">
        <v>6.0</v>
      </c>
      <c r="AB173" s="3">
        <f t="shared" si="7"/>
        <v>0</v>
      </c>
      <c r="AC173" s="3">
        <f t="shared" si="8"/>
        <v>0</v>
      </c>
      <c r="AD173" s="3">
        <f t="shared" si="9"/>
        <v>3.06</v>
      </c>
      <c r="AE173" s="3">
        <f t="shared" si="10"/>
        <v>-3</v>
      </c>
      <c r="AF173" s="3">
        <f t="shared" si="11"/>
        <v>-2</v>
      </c>
      <c r="AG173" s="3">
        <f t="shared" si="12"/>
        <v>-0.07692307692</v>
      </c>
    </row>
    <row r="174">
      <c r="A174" s="1" t="s">
        <v>12</v>
      </c>
      <c r="B174" s="1" t="s">
        <v>368</v>
      </c>
      <c r="C174" s="1" t="s">
        <v>19</v>
      </c>
      <c r="D174" s="1" t="s">
        <v>196</v>
      </c>
      <c r="E174" s="1" t="s">
        <v>66</v>
      </c>
      <c r="F174" s="1" t="s">
        <v>687</v>
      </c>
      <c r="G174" s="1">
        <v>2.5</v>
      </c>
      <c r="H174" s="1" t="s">
        <v>60</v>
      </c>
      <c r="I174" s="1">
        <v>103.0</v>
      </c>
      <c r="J174" s="1">
        <v>-0.165109282595073</v>
      </c>
      <c r="K174" s="1" t="s">
        <v>61</v>
      </c>
      <c r="L174" s="1" t="s">
        <v>61</v>
      </c>
      <c r="M174" s="1" t="s">
        <v>62</v>
      </c>
      <c r="N174" s="1">
        <v>-136.0</v>
      </c>
      <c r="O174" s="1">
        <v>0.0962270476338984</v>
      </c>
      <c r="P174" s="1" t="s">
        <v>61</v>
      </c>
      <c r="Q174" s="1" t="s">
        <v>61</v>
      </c>
      <c r="R174" s="1">
        <f t="shared" si="1"/>
        <v>0.09622704763</v>
      </c>
      <c r="S174" s="1">
        <f t="shared" si="2"/>
        <v>-136</v>
      </c>
      <c r="T174" s="1">
        <f t="shared" si="3"/>
        <v>1.735294118</v>
      </c>
      <c r="U174" s="1">
        <f t="shared" si="4"/>
        <v>0</v>
      </c>
      <c r="V174" s="3">
        <f t="shared" si="5"/>
        <v>2</v>
      </c>
      <c r="W174" s="3">
        <f t="shared" si="6"/>
        <v>3</v>
      </c>
      <c r="X174" s="3" t="str">
        <f>IFERROR(__xludf.DUMMYFUNCTION("split(B174,"" "")"),"K.")</f>
        <v>K.</v>
      </c>
      <c r="Y174" s="3" t="str">
        <f>IFERROR(__xludf.DUMMYFUNCTION("""COMPUTED_VALUE"""),"Williams")</f>
        <v>Williams</v>
      </c>
      <c r="AA174" s="8">
        <v>0.0</v>
      </c>
      <c r="AB174" s="3">
        <f t="shared" si="7"/>
        <v>0</v>
      </c>
      <c r="AC174" s="3">
        <f t="shared" si="8"/>
        <v>1</v>
      </c>
      <c r="AD174" s="3">
        <f t="shared" si="9"/>
        <v>1.470588235</v>
      </c>
      <c r="AE174" s="3">
        <f t="shared" si="10"/>
        <v>1.470588235</v>
      </c>
      <c r="AF174" s="3">
        <f t="shared" si="11"/>
        <v>2.205882353</v>
      </c>
      <c r="AG174" s="3">
        <f t="shared" si="12"/>
        <v>1</v>
      </c>
    </row>
    <row r="175">
      <c r="A175" s="1" t="s">
        <v>15</v>
      </c>
      <c r="B175" s="1" t="s">
        <v>247</v>
      </c>
      <c r="C175" s="1" t="s">
        <v>21</v>
      </c>
      <c r="D175" s="1" t="s">
        <v>196</v>
      </c>
      <c r="E175" s="1" t="s">
        <v>66</v>
      </c>
      <c r="F175" s="1" t="s">
        <v>687</v>
      </c>
      <c r="G175" s="1">
        <v>22.5</v>
      </c>
      <c r="H175" s="1" t="s">
        <v>60</v>
      </c>
      <c r="I175" s="1">
        <v>-108.0</v>
      </c>
      <c r="J175" s="1">
        <v>0.0390692307692307</v>
      </c>
      <c r="K175" s="1" t="s">
        <v>61</v>
      </c>
      <c r="L175" s="1" t="s">
        <v>61</v>
      </c>
      <c r="M175" s="1" t="s">
        <v>62</v>
      </c>
      <c r="N175" s="1">
        <v>-121.0</v>
      </c>
      <c r="O175" s="1">
        <v>-0.105811312217194</v>
      </c>
      <c r="P175" s="1" t="s">
        <v>61</v>
      </c>
      <c r="Q175" s="1" t="s">
        <v>61</v>
      </c>
      <c r="R175" s="1">
        <f t="shared" si="1"/>
        <v>0.03906923077</v>
      </c>
      <c r="S175" s="1">
        <f t="shared" si="2"/>
        <v>-108</v>
      </c>
      <c r="T175" s="1">
        <f t="shared" si="3"/>
        <v>1.925925926</v>
      </c>
      <c r="U175" s="1">
        <f t="shared" si="4"/>
        <v>1</v>
      </c>
      <c r="V175" s="3">
        <f t="shared" si="5"/>
        <v>1</v>
      </c>
      <c r="W175" s="3">
        <f t="shared" si="6"/>
        <v>2</v>
      </c>
      <c r="X175" s="3" t="str">
        <f>IFERROR(__xludf.DUMMYFUNCTION("split(B175,"" "")"),"M.")</f>
        <v>M.</v>
      </c>
      <c r="Y175" s="3" t="str">
        <f>IFERROR(__xludf.DUMMYFUNCTION("""COMPUTED_VALUE"""),"Stafford")</f>
        <v>Stafford</v>
      </c>
      <c r="AA175" s="8">
        <v>18.0</v>
      </c>
      <c r="AB175" s="3">
        <f t="shared" si="7"/>
        <v>0</v>
      </c>
      <c r="AC175" s="3">
        <f t="shared" si="8"/>
        <v>0</v>
      </c>
      <c r="AD175" s="3">
        <f t="shared" si="9"/>
        <v>0.9259259259</v>
      </c>
      <c r="AE175" s="3">
        <f t="shared" si="10"/>
        <v>-1</v>
      </c>
      <c r="AF175" s="3">
        <f t="shared" si="11"/>
        <v>-2</v>
      </c>
      <c r="AG175" s="3">
        <f t="shared" si="12"/>
        <v>-0.2</v>
      </c>
    </row>
    <row r="176">
      <c r="A176" s="1" t="s">
        <v>17</v>
      </c>
      <c r="B176" s="1" t="s">
        <v>247</v>
      </c>
      <c r="C176" s="1" t="s">
        <v>21</v>
      </c>
      <c r="D176" s="1" t="s">
        <v>196</v>
      </c>
      <c r="E176" s="1" t="s">
        <v>66</v>
      </c>
      <c r="F176" s="1" t="s">
        <v>687</v>
      </c>
      <c r="G176" s="1">
        <v>0.5</v>
      </c>
      <c r="H176" s="1" t="s">
        <v>60</v>
      </c>
      <c r="I176" s="1">
        <v>-108.0</v>
      </c>
      <c r="J176" s="1">
        <v>-0.0729307692307691</v>
      </c>
      <c r="K176" s="1" t="s">
        <v>61</v>
      </c>
      <c r="L176" s="1" t="s">
        <v>61</v>
      </c>
      <c r="M176" s="1" t="s">
        <v>62</v>
      </c>
      <c r="N176" s="1">
        <v>-120.0</v>
      </c>
      <c r="O176" s="1">
        <v>0.00824545454545455</v>
      </c>
      <c r="P176" s="1" t="s">
        <v>61</v>
      </c>
      <c r="Q176" s="1" t="s">
        <v>61</v>
      </c>
      <c r="R176" s="1">
        <f t="shared" si="1"/>
        <v>0.008245454545</v>
      </c>
      <c r="S176" s="1">
        <f t="shared" si="2"/>
        <v>-120</v>
      </c>
      <c r="T176" s="1">
        <f t="shared" si="3"/>
        <v>1.833333333</v>
      </c>
      <c r="U176" s="1">
        <f t="shared" si="4"/>
        <v>0</v>
      </c>
      <c r="V176" s="3">
        <f t="shared" si="5"/>
        <v>1</v>
      </c>
      <c r="W176" s="3">
        <f t="shared" si="6"/>
        <v>3</v>
      </c>
      <c r="X176" s="3" t="str">
        <f>IFERROR(__xludf.DUMMYFUNCTION("split(B176,"" "")"),"M.")</f>
        <v>M.</v>
      </c>
      <c r="Y176" s="3" t="str">
        <f>IFERROR(__xludf.DUMMYFUNCTION("""COMPUTED_VALUE"""),"Stafford")</f>
        <v>Stafford</v>
      </c>
      <c r="AA176" s="8">
        <v>0.0</v>
      </c>
      <c r="AB176" s="3">
        <f t="shared" si="7"/>
        <v>0</v>
      </c>
      <c r="AC176" s="3">
        <f t="shared" si="8"/>
        <v>1</v>
      </c>
      <c r="AD176" s="3">
        <f t="shared" si="9"/>
        <v>0.8333333333</v>
      </c>
      <c r="AE176" s="3">
        <f t="shared" si="10"/>
        <v>0.8333333333</v>
      </c>
      <c r="AF176" s="3">
        <f t="shared" si="11"/>
        <v>2.5</v>
      </c>
      <c r="AG176" s="3">
        <f t="shared" si="12"/>
        <v>1</v>
      </c>
    </row>
    <row r="177">
      <c r="A177" s="1" t="s">
        <v>9</v>
      </c>
      <c r="B177" s="1" t="s">
        <v>368</v>
      </c>
      <c r="C177" s="1" t="s">
        <v>19</v>
      </c>
      <c r="D177" s="1" t="s">
        <v>196</v>
      </c>
      <c r="E177" s="1" t="s">
        <v>66</v>
      </c>
      <c r="F177" s="1" t="s">
        <v>687</v>
      </c>
      <c r="G177" s="1">
        <v>103.5</v>
      </c>
      <c r="H177" s="1" t="s">
        <v>60</v>
      </c>
      <c r="I177" s="1">
        <v>-114.0</v>
      </c>
      <c r="J177" s="1">
        <v>-0.0842085522148707</v>
      </c>
      <c r="K177" s="1" t="s">
        <v>61</v>
      </c>
      <c r="L177" s="1" t="s">
        <v>61</v>
      </c>
      <c r="M177" s="1" t="s">
        <v>62</v>
      </c>
      <c r="N177" s="1">
        <v>-119.0</v>
      </c>
      <c r="O177" s="1">
        <v>0.00811877466633348</v>
      </c>
      <c r="P177" s="1" t="s">
        <v>61</v>
      </c>
      <c r="Q177" s="1" t="s">
        <v>61</v>
      </c>
      <c r="R177" s="1">
        <f t="shared" si="1"/>
        <v>0.008118774666</v>
      </c>
      <c r="S177" s="1">
        <f t="shared" si="2"/>
        <v>-119</v>
      </c>
      <c r="T177" s="1">
        <f t="shared" si="3"/>
        <v>1.840336134</v>
      </c>
      <c r="U177" s="1">
        <f t="shared" si="4"/>
        <v>0</v>
      </c>
      <c r="V177" s="3">
        <f t="shared" si="5"/>
        <v>1</v>
      </c>
      <c r="W177" s="3">
        <f t="shared" si="6"/>
        <v>3</v>
      </c>
      <c r="X177" s="3" t="str">
        <f>IFERROR(__xludf.DUMMYFUNCTION("split(B177,"" "")"),"K.")</f>
        <v>K.</v>
      </c>
      <c r="Y177" s="3" t="str">
        <f>IFERROR(__xludf.DUMMYFUNCTION("""COMPUTED_VALUE"""),"Williams")</f>
        <v>Williams</v>
      </c>
      <c r="AA177" s="8">
        <v>86.0</v>
      </c>
      <c r="AB177" s="3">
        <f t="shared" si="7"/>
        <v>0</v>
      </c>
      <c r="AC177" s="3">
        <f t="shared" si="8"/>
        <v>1</v>
      </c>
      <c r="AD177" s="3">
        <f t="shared" si="9"/>
        <v>0.8403361345</v>
      </c>
      <c r="AE177" s="3">
        <f t="shared" si="10"/>
        <v>0.8403361345</v>
      </c>
      <c r="AF177" s="3">
        <f t="shared" si="11"/>
        <v>2.521008403</v>
      </c>
      <c r="AG177" s="3">
        <f t="shared" si="12"/>
        <v>0.1690821256</v>
      </c>
    </row>
    <row r="178">
      <c r="A178" s="1" t="s">
        <v>12</v>
      </c>
      <c r="B178" s="1" t="s">
        <v>397</v>
      </c>
      <c r="C178" s="1" t="s">
        <v>18</v>
      </c>
      <c r="D178" s="1" t="s">
        <v>196</v>
      </c>
      <c r="E178" s="1" t="s">
        <v>66</v>
      </c>
      <c r="F178" s="1" t="s">
        <v>687</v>
      </c>
      <c r="G178" s="1">
        <v>5.5</v>
      </c>
      <c r="H178" s="1" t="s">
        <v>60</v>
      </c>
      <c r="I178" s="1">
        <v>-142.0</v>
      </c>
      <c r="J178" s="1">
        <v>0.00682314049586774</v>
      </c>
      <c r="K178" s="1" t="s">
        <v>61</v>
      </c>
      <c r="L178" s="1" t="s">
        <v>61</v>
      </c>
      <c r="M178" s="1" t="s">
        <v>62</v>
      </c>
      <c r="N178" s="1">
        <v>108.0</v>
      </c>
      <c r="O178" s="1">
        <v>-0.0743692307692306</v>
      </c>
      <c r="P178" s="1" t="s">
        <v>61</v>
      </c>
      <c r="Q178" s="1" t="s">
        <v>61</v>
      </c>
      <c r="R178" s="1">
        <f t="shared" si="1"/>
        <v>0.006823140496</v>
      </c>
      <c r="S178" s="1">
        <f t="shared" si="2"/>
        <v>-142</v>
      </c>
      <c r="T178" s="1">
        <f t="shared" si="3"/>
        <v>1.704225352</v>
      </c>
      <c r="U178" s="1">
        <f t="shared" si="4"/>
        <v>1</v>
      </c>
      <c r="V178" s="3">
        <f t="shared" si="5"/>
        <v>1</v>
      </c>
      <c r="W178" s="3">
        <f t="shared" si="6"/>
        <v>3</v>
      </c>
      <c r="X178" s="3" t="str">
        <f>IFERROR(__xludf.DUMMYFUNCTION("split(B178,"" "")"),"P.")</f>
        <v>P.</v>
      </c>
      <c r="Y178" s="3" t="str">
        <f>IFERROR(__xludf.DUMMYFUNCTION("""COMPUTED_VALUE"""),"Nacua")</f>
        <v>Nacua</v>
      </c>
      <c r="AA178" s="8">
        <v>7.0</v>
      </c>
      <c r="AB178" s="3">
        <f t="shared" si="7"/>
        <v>1</v>
      </c>
      <c r="AC178" s="3">
        <f t="shared" si="8"/>
        <v>1</v>
      </c>
      <c r="AD178" s="3">
        <f t="shared" si="9"/>
        <v>0.7042253521</v>
      </c>
      <c r="AE178" s="3">
        <f t="shared" si="10"/>
        <v>0.7042253521</v>
      </c>
      <c r="AF178" s="3">
        <f t="shared" si="11"/>
        <v>2.112676056</v>
      </c>
      <c r="AG178" s="3">
        <f t="shared" si="12"/>
        <v>0.2727272727</v>
      </c>
    </row>
    <row r="179">
      <c r="A179" s="1" t="s">
        <v>10</v>
      </c>
      <c r="B179" s="1" t="s">
        <v>368</v>
      </c>
      <c r="C179" s="1" t="s">
        <v>19</v>
      </c>
      <c r="D179" s="1" t="s">
        <v>196</v>
      </c>
      <c r="E179" s="1" t="s">
        <v>66</v>
      </c>
      <c r="F179" s="1" t="s">
        <v>687</v>
      </c>
      <c r="G179" s="1">
        <v>84.5</v>
      </c>
      <c r="H179" s="1" t="s">
        <v>60</v>
      </c>
      <c r="I179" s="1">
        <v>-110.0</v>
      </c>
      <c r="J179" s="1">
        <v>-0.0658523702877001</v>
      </c>
      <c r="K179" s="1" t="s">
        <v>61</v>
      </c>
      <c r="L179" s="1" t="s">
        <v>61</v>
      </c>
      <c r="M179" s="1" t="s">
        <v>62</v>
      </c>
      <c r="N179" s="1">
        <v>-118.0</v>
      </c>
      <c r="O179" s="1">
        <v>7.76687259771535E-4</v>
      </c>
      <c r="P179" s="1" t="s">
        <v>61</v>
      </c>
      <c r="Q179" s="1" t="s">
        <v>61</v>
      </c>
      <c r="R179" s="1">
        <f t="shared" si="1"/>
        <v>0.0007766872598</v>
      </c>
      <c r="S179" s="1">
        <f t="shared" si="2"/>
        <v>-118</v>
      </c>
      <c r="T179" s="1">
        <f t="shared" si="3"/>
        <v>1.847457627</v>
      </c>
      <c r="U179" s="1">
        <f t="shared" si="4"/>
        <v>0</v>
      </c>
      <c r="V179" s="3">
        <f t="shared" si="5"/>
        <v>1</v>
      </c>
      <c r="W179" s="3">
        <f t="shared" si="6"/>
        <v>3</v>
      </c>
      <c r="X179" s="3" t="str">
        <f>IFERROR(__xludf.DUMMYFUNCTION("split(B179,"" "")"),"K.")</f>
        <v>K.</v>
      </c>
      <c r="Y179" s="3" t="str">
        <f>IFERROR(__xludf.DUMMYFUNCTION("""COMPUTED_VALUE"""),"Williams")</f>
        <v>Williams</v>
      </c>
      <c r="AA179" s="8">
        <v>86.0</v>
      </c>
      <c r="AB179" s="3">
        <f t="shared" si="7"/>
        <v>1</v>
      </c>
      <c r="AC179" s="3">
        <f t="shared" si="8"/>
        <v>0</v>
      </c>
      <c r="AD179" s="3">
        <f t="shared" si="9"/>
        <v>0.8474576271</v>
      </c>
      <c r="AE179" s="3">
        <f t="shared" si="10"/>
        <v>-1</v>
      </c>
      <c r="AF179" s="3">
        <f t="shared" si="11"/>
        <v>-3</v>
      </c>
      <c r="AG179" s="3">
        <f t="shared" si="12"/>
        <v>-0.01775147929</v>
      </c>
    </row>
    <row r="180">
      <c r="A180" s="1" t="s">
        <v>8</v>
      </c>
      <c r="B180" s="1" t="s">
        <v>405</v>
      </c>
      <c r="C180" s="1" t="s">
        <v>21</v>
      </c>
      <c r="D180" s="1" t="s">
        <v>135</v>
      </c>
      <c r="E180" s="1" t="s">
        <v>67</v>
      </c>
      <c r="F180" s="1" t="s">
        <v>689</v>
      </c>
      <c r="G180" s="1">
        <v>3.5</v>
      </c>
      <c r="H180" s="1" t="s">
        <v>60</v>
      </c>
      <c r="I180" s="1">
        <v>-127.0</v>
      </c>
      <c r="J180" s="1">
        <v>-0.229277879887288</v>
      </c>
      <c r="K180" s="1" t="s">
        <v>61</v>
      </c>
      <c r="L180" s="1" t="s">
        <v>61</v>
      </c>
      <c r="M180" s="1" t="s">
        <v>62</v>
      </c>
      <c r="N180" s="1">
        <v>-106.0</v>
      </c>
      <c r="O180" s="1">
        <v>0.155227696400385</v>
      </c>
      <c r="P180" s="1" t="s">
        <v>61</v>
      </c>
      <c r="Q180" s="1" t="s">
        <v>61</v>
      </c>
      <c r="R180" s="1">
        <f t="shared" si="1"/>
        <v>0.1552276964</v>
      </c>
      <c r="S180" s="1">
        <f t="shared" si="2"/>
        <v>-106</v>
      </c>
      <c r="T180" s="1">
        <f t="shared" si="3"/>
        <v>1.943396226</v>
      </c>
      <c r="U180" s="1">
        <f t="shared" si="4"/>
        <v>0</v>
      </c>
      <c r="V180" s="3">
        <f t="shared" si="5"/>
        <v>3</v>
      </c>
      <c r="W180" s="3">
        <f t="shared" si="6"/>
        <v>2</v>
      </c>
      <c r="X180" s="3" t="str">
        <f>IFERROR(__xludf.DUMMYFUNCTION("split(B180,"" "")"),"J.")</f>
        <v>J.</v>
      </c>
      <c r="Y180" s="3" t="str">
        <f>IFERROR(__xludf.DUMMYFUNCTION("""COMPUTED_VALUE"""),"Herbert")</f>
        <v>Herbert</v>
      </c>
      <c r="AA180" s="8">
        <v>5.0</v>
      </c>
      <c r="AB180" s="3">
        <f t="shared" si="7"/>
        <v>1</v>
      </c>
      <c r="AC180" s="3">
        <f t="shared" si="8"/>
        <v>0</v>
      </c>
      <c r="AD180" s="3">
        <f t="shared" si="9"/>
        <v>2.830188679</v>
      </c>
      <c r="AE180" s="3">
        <f t="shared" si="10"/>
        <v>-3</v>
      </c>
      <c r="AF180" s="3">
        <f t="shared" si="11"/>
        <v>-2</v>
      </c>
      <c r="AG180" s="3">
        <f t="shared" si="12"/>
        <v>-0.4285714286</v>
      </c>
    </row>
    <row r="181">
      <c r="A181" s="1" t="s">
        <v>11</v>
      </c>
      <c r="B181" s="1" t="s">
        <v>471</v>
      </c>
      <c r="C181" s="1" t="s">
        <v>20</v>
      </c>
      <c r="D181" s="1" t="s">
        <v>135</v>
      </c>
      <c r="E181" s="1" t="s">
        <v>67</v>
      </c>
      <c r="F181" s="1" t="s">
        <v>689</v>
      </c>
      <c r="G181" s="1">
        <v>32.5</v>
      </c>
      <c r="H181" s="1" t="s">
        <v>60</v>
      </c>
      <c r="I181" s="1">
        <v>-114.0</v>
      </c>
      <c r="J181" s="1">
        <v>-0.133822358552289</v>
      </c>
      <c r="K181" s="1" t="s">
        <v>61</v>
      </c>
      <c r="L181" s="1" t="s">
        <v>61</v>
      </c>
      <c r="M181" s="1" t="s">
        <v>62</v>
      </c>
      <c r="N181" s="1">
        <v>-115.0</v>
      </c>
      <c r="O181" s="1">
        <v>0.0662432299594347</v>
      </c>
      <c r="P181" s="1" t="s">
        <v>61</v>
      </c>
      <c r="Q181" s="1" t="s">
        <v>61</v>
      </c>
      <c r="R181" s="1">
        <f t="shared" si="1"/>
        <v>0.06624322996</v>
      </c>
      <c r="S181" s="1">
        <f t="shared" si="2"/>
        <v>-115</v>
      </c>
      <c r="T181" s="1">
        <f t="shared" si="3"/>
        <v>1.869565217</v>
      </c>
      <c r="U181" s="1">
        <f t="shared" si="4"/>
        <v>0</v>
      </c>
      <c r="V181" s="3">
        <f t="shared" si="5"/>
        <v>2</v>
      </c>
      <c r="W181" s="3">
        <f t="shared" si="6"/>
        <v>2</v>
      </c>
      <c r="X181" s="3" t="str">
        <f>IFERROR(__xludf.DUMMYFUNCTION("split(B181,"" "")"),"W.")</f>
        <v>W.</v>
      </c>
      <c r="Y181" s="3" t="str">
        <f>IFERROR(__xludf.DUMMYFUNCTION("""COMPUTED_VALUE"""),"Dissly")</f>
        <v>Dissly</v>
      </c>
      <c r="AA181" s="8">
        <v>80.0</v>
      </c>
      <c r="AB181" s="3">
        <f t="shared" si="7"/>
        <v>1</v>
      </c>
      <c r="AC181" s="3">
        <f t="shared" si="8"/>
        <v>0</v>
      </c>
      <c r="AD181" s="3">
        <f t="shared" si="9"/>
        <v>1.739130435</v>
      </c>
      <c r="AE181" s="3">
        <f t="shared" si="10"/>
        <v>-2</v>
      </c>
      <c r="AF181" s="3">
        <f t="shared" si="11"/>
        <v>-2</v>
      </c>
      <c r="AG181" s="3">
        <f t="shared" si="12"/>
        <v>-1.461538462</v>
      </c>
    </row>
    <row r="182">
      <c r="A182" s="1" t="s">
        <v>8</v>
      </c>
      <c r="B182" s="1" t="s">
        <v>485</v>
      </c>
      <c r="C182" s="1" t="s">
        <v>19</v>
      </c>
      <c r="D182" s="1" t="s">
        <v>135</v>
      </c>
      <c r="E182" s="1" t="s">
        <v>67</v>
      </c>
      <c r="F182" s="1" t="s">
        <v>689</v>
      </c>
      <c r="G182" s="1">
        <v>14.5</v>
      </c>
      <c r="H182" s="1" t="s">
        <v>60</v>
      </c>
      <c r="I182" s="1">
        <v>-101.0</v>
      </c>
      <c r="J182" s="1">
        <v>-0.118633766447761</v>
      </c>
      <c r="K182" s="1" t="s">
        <v>61</v>
      </c>
      <c r="L182" s="1" t="s">
        <v>61</v>
      </c>
      <c r="M182" s="1" t="s">
        <v>62</v>
      </c>
      <c r="N182" s="1">
        <v>-132.0</v>
      </c>
      <c r="O182" s="1">
        <v>0.0471873229048275</v>
      </c>
      <c r="P182" s="1" t="s">
        <v>61</v>
      </c>
      <c r="Q182" s="1" t="s">
        <v>61</v>
      </c>
      <c r="R182" s="1">
        <f t="shared" si="1"/>
        <v>0.0471873229</v>
      </c>
      <c r="S182" s="1">
        <f t="shared" si="2"/>
        <v>-132</v>
      </c>
      <c r="T182" s="1">
        <f t="shared" si="3"/>
        <v>1.757575758</v>
      </c>
      <c r="U182" s="1">
        <f t="shared" si="4"/>
        <v>0</v>
      </c>
      <c r="V182" s="3">
        <f t="shared" si="5"/>
        <v>1</v>
      </c>
      <c r="W182" s="3">
        <f t="shared" si="6"/>
        <v>3</v>
      </c>
      <c r="X182" s="3" t="str">
        <f>IFERROR(__xludf.DUMMYFUNCTION("split(B182,"" "")"),"J.")</f>
        <v>J.</v>
      </c>
      <c r="Y182" s="3" t="str">
        <f>IFERROR(__xludf.DUMMYFUNCTION("""COMPUTED_VALUE"""),"Dobbins")</f>
        <v>Dobbins</v>
      </c>
      <c r="AA182" s="8">
        <v>11.0</v>
      </c>
      <c r="AB182" s="3">
        <f t="shared" si="7"/>
        <v>0</v>
      </c>
      <c r="AC182" s="3">
        <f t="shared" si="8"/>
        <v>1</v>
      </c>
      <c r="AD182" s="3">
        <f t="shared" si="9"/>
        <v>0.7575757576</v>
      </c>
      <c r="AE182" s="3">
        <f t="shared" si="10"/>
        <v>0.7575757576</v>
      </c>
      <c r="AF182" s="3">
        <f t="shared" si="11"/>
        <v>2.272727273</v>
      </c>
      <c r="AG182" s="3">
        <f t="shared" si="12"/>
        <v>0.2413793103</v>
      </c>
    </row>
    <row r="183">
      <c r="A183" s="1" t="s">
        <v>10</v>
      </c>
      <c r="B183" s="1" t="s">
        <v>405</v>
      </c>
      <c r="C183" s="1" t="s">
        <v>21</v>
      </c>
      <c r="D183" s="1" t="s">
        <v>135</v>
      </c>
      <c r="E183" s="1" t="s">
        <v>67</v>
      </c>
      <c r="F183" s="1" t="s">
        <v>689</v>
      </c>
      <c r="G183" s="1">
        <v>12.5</v>
      </c>
      <c r="H183" s="1" t="s">
        <v>60</v>
      </c>
      <c r="I183" s="1">
        <v>-115.0</v>
      </c>
      <c r="J183" s="1">
        <v>-0.10154422761858</v>
      </c>
      <c r="K183" s="1" t="s">
        <v>61</v>
      </c>
      <c r="L183" s="1" t="s">
        <v>61</v>
      </c>
      <c r="M183" s="1" t="s">
        <v>62</v>
      </c>
      <c r="N183" s="1">
        <v>-114.0</v>
      </c>
      <c r="O183" s="1">
        <v>0.0339154214453929</v>
      </c>
      <c r="P183" s="1" t="s">
        <v>61</v>
      </c>
      <c r="Q183" s="1" t="s">
        <v>61</v>
      </c>
      <c r="R183" s="1">
        <f t="shared" si="1"/>
        <v>0.03391542145</v>
      </c>
      <c r="S183" s="1">
        <f t="shared" si="2"/>
        <v>-114</v>
      </c>
      <c r="T183" s="1">
        <f t="shared" si="3"/>
        <v>1.877192982</v>
      </c>
      <c r="U183" s="1">
        <f t="shared" si="4"/>
        <v>0</v>
      </c>
      <c r="V183" s="3">
        <f t="shared" si="5"/>
        <v>1</v>
      </c>
      <c r="W183" s="3">
        <f t="shared" si="6"/>
        <v>2</v>
      </c>
      <c r="X183" s="3" t="str">
        <f>IFERROR(__xludf.DUMMYFUNCTION("split(B183,"" "")"),"J.")</f>
        <v>J.</v>
      </c>
      <c r="Y183" s="3" t="str">
        <f>IFERROR(__xludf.DUMMYFUNCTION("""COMPUTED_VALUE"""),"Herbert")</f>
        <v>Herbert</v>
      </c>
      <c r="AA183" s="8">
        <v>65.0</v>
      </c>
      <c r="AB183" s="3">
        <f t="shared" si="7"/>
        <v>1</v>
      </c>
      <c r="AC183" s="3">
        <f t="shared" si="8"/>
        <v>0</v>
      </c>
      <c r="AD183" s="3">
        <f t="shared" si="9"/>
        <v>0.8771929825</v>
      </c>
      <c r="AE183" s="3">
        <f t="shared" si="10"/>
        <v>-1</v>
      </c>
      <c r="AF183" s="3">
        <f t="shared" si="11"/>
        <v>-2</v>
      </c>
      <c r="AG183" s="3">
        <f t="shared" si="12"/>
        <v>-4.2</v>
      </c>
    </row>
    <row r="184">
      <c r="A184" s="1" t="s">
        <v>15</v>
      </c>
      <c r="B184" s="1" t="s">
        <v>405</v>
      </c>
      <c r="C184" s="1" t="s">
        <v>21</v>
      </c>
      <c r="D184" s="1" t="s">
        <v>135</v>
      </c>
      <c r="E184" s="1" t="s">
        <v>67</v>
      </c>
      <c r="F184" s="1" t="s">
        <v>689</v>
      </c>
      <c r="G184" s="1">
        <v>20.5</v>
      </c>
      <c r="H184" s="1" t="s">
        <v>60</v>
      </c>
      <c r="I184" s="1">
        <v>-104.0</v>
      </c>
      <c r="J184" s="1">
        <v>0.028243137254902</v>
      </c>
      <c r="K184" s="1" t="s">
        <v>61</v>
      </c>
      <c r="L184" s="1" t="s">
        <v>61</v>
      </c>
      <c r="M184" s="1" t="s">
        <v>62</v>
      </c>
      <c r="N184" s="1">
        <v>-126.0</v>
      </c>
      <c r="O184" s="1">
        <v>-0.0955893805309734</v>
      </c>
      <c r="P184" s="1" t="s">
        <v>61</v>
      </c>
      <c r="Q184" s="1" t="s">
        <v>61</v>
      </c>
      <c r="R184" s="1">
        <f t="shared" si="1"/>
        <v>0.02824313725</v>
      </c>
      <c r="S184" s="1">
        <f t="shared" si="2"/>
        <v>-104</v>
      </c>
      <c r="T184" s="1">
        <f t="shared" si="3"/>
        <v>1.961538462</v>
      </c>
      <c r="U184" s="1">
        <f t="shared" si="4"/>
        <v>1</v>
      </c>
      <c r="V184" s="3">
        <f t="shared" si="5"/>
        <v>1</v>
      </c>
      <c r="W184" s="3">
        <f t="shared" si="6"/>
        <v>2</v>
      </c>
      <c r="X184" s="3" t="str">
        <f>IFERROR(__xludf.DUMMYFUNCTION("split(B184,"" "")"),"J.")</f>
        <v>J.</v>
      </c>
      <c r="Y184" s="3" t="str">
        <f>IFERROR(__xludf.DUMMYFUNCTION("""COMPUTED_VALUE"""),"Herbert")</f>
        <v>Herbert</v>
      </c>
      <c r="AA184" s="8">
        <v>17.0</v>
      </c>
      <c r="AB184" s="3">
        <f t="shared" si="7"/>
        <v>0</v>
      </c>
      <c r="AC184" s="3">
        <f t="shared" si="8"/>
        <v>0</v>
      </c>
      <c r="AD184" s="3">
        <f t="shared" si="9"/>
        <v>0.9615384615</v>
      </c>
      <c r="AE184" s="3">
        <f t="shared" si="10"/>
        <v>-1</v>
      </c>
      <c r="AF184" s="3">
        <f t="shared" si="11"/>
        <v>-2</v>
      </c>
      <c r="AG184" s="3">
        <f t="shared" si="12"/>
        <v>-0.1707317073</v>
      </c>
    </row>
    <row r="185">
      <c r="A185" s="1" t="s">
        <v>11</v>
      </c>
      <c r="B185" s="1" t="s">
        <v>506</v>
      </c>
      <c r="C185" s="1" t="s">
        <v>18</v>
      </c>
      <c r="D185" s="1" t="s">
        <v>135</v>
      </c>
      <c r="E185" s="1" t="s">
        <v>67</v>
      </c>
      <c r="F185" s="1" t="s">
        <v>689</v>
      </c>
      <c r="G185" s="1">
        <v>40.5</v>
      </c>
      <c r="H185" s="1" t="s">
        <v>60</v>
      </c>
      <c r="I185" s="1">
        <v>-116.0</v>
      </c>
      <c r="J185" s="1">
        <v>-0.0967887827128704</v>
      </c>
      <c r="K185" s="1" t="s">
        <v>61</v>
      </c>
      <c r="L185" s="1" t="s">
        <v>61</v>
      </c>
      <c r="M185" s="1" t="s">
        <v>62</v>
      </c>
      <c r="N185" s="1">
        <v>-114.0</v>
      </c>
      <c r="O185" s="1">
        <v>0.0270186514487758</v>
      </c>
      <c r="P185" s="1" t="s">
        <v>61</v>
      </c>
      <c r="Q185" s="1" t="s">
        <v>61</v>
      </c>
      <c r="R185" s="1">
        <f t="shared" si="1"/>
        <v>0.02701865145</v>
      </c>
      <c r="S185" s="1">
        <f t="shared" si="2"/>
        <v>-114</v>
      </c>
      <c r="T185" s="1">
        <f t="shared" si="3"/>
        <v>1.877192982</v>
      </c>
      <c r="U185" s="1">
        <f t="shared" si="4"/>
        <v>0</v>
      </c>
      <c r="V185" s="3">
        <f t="shared" si="5"/>
        <v>1</v>
      </c>
      <c r="W185" s="3">
        <f t="shared" si="6"/>
        <v>2</v>
      </c>
      <c r="X185" s="3" t="str">
        <f>IFERROR(__xludf.DUMMYFUNCTION("split(B185,"" "")"),"Q.")</f>
        <v>Q.</v>
      </c>
      <c r="Y185" s="3" t="str">
        <f>IFERROR(__xludf.DUMMYFUNCTION("""COMPUTED_VALUE"""),"Johnston")</f>
        <v>Johnston</v>
      </c>
      <c r="AA185" s="8">
        <v>48.0</v>
      </c>
      <c r="AB185" s="3">
        <f t="shared" si="7"/>
        <v>1</v>
      </c>
      <c r="AC185" s="3">
        <f t="shared" si="8"/>
        <v>0</v>
      </c>
      <c r="AD185" s="3">
        <f t="shared" si="9"/>
        <v>0.8771929825</v>
      </c>
      <c r="AE185" s="3">
        <f t="shared" si="10"/>
        <v>-1</v>
      </c>
      <c r="AF185" s="3">
        <f t="shared" si="11"/>
        <v>-2</v>
      </c>
      <c r="AG185" s="3">
        <f t="shared" si="12"/>
        <v>-0.1851851852</v>
      </c>
    </row>
    <row r="186">
      <c r="A186" s="1" t="s">
        <v>10</v>
      </c>
      <c r="B186" s="1" t="s">
        <v>485</v>
      </c>
      <c r="C186" s="1" t="s">
        <v>19</v>
      </c>
      <c r="D186" s="1" t="s">
        <v>135</v>
      </c>
      <c r="E186" s="1" t="s">
        <v>67</v>
      </c>
      <c r="F186" s="1" t="s">
        <v>689</v>
      </c>
      <c r="G186" s="1">
        <v>60.5</v>
      </c>
      <c r="H186" s="1" t="s">
        <v>60</v>
      </c>
      <c r="I186" s="1">
        <v>-110.0</v>
      </c>
      <c r="J186" s="1">
        <v>-0.086010038661758</v>
      </c>
      <c r="K186" s="1" t="s">
        <v>61</v>
      </c>
      <c r="L186" s="1" t="s">
        <v>61</v>
      </c>
      <c r="M186" s="1" t="s">
        <v>62</v>
      </c>
      <c r="N186" s="1">
        <v>-117.0</v>
      </c>
      <c r="O186" s="1">
        <v>0.0230160430323227</v>
      </c>
      <c r="P186" s="1" t="s">
        <v>61</v>
      </c>
      <c r="Q186" s="1" t="s">
        <v>61</v>
      </c>
      <c r="R186" s="1">
        <f t="shared" si="1"/>
        <v>0.02301604303</v>
      </c>
      <c r="S186" s="1">
        <f t="shared" si="2"/>
        <v>-117</v>
      </c>
      <c r="T186" s="1">
        <f t="shared" si="3"/>
        <v>1.854700855</v>
      </c>
      <c r="U186" s="1">
        <f t="shared" si="4"/>
        <v>0</v>
      </c>
      <c r="V186" s="3">
        <f t="shared" si="5"/>
        <v>1</v>
      </c>
      <c r="W186" s="3">
        <f t="shared" si="6"/>
        <v>2</v>
      </c>
      <c r="X186" s="3" t="str">
        <f>IFERROR(__xludf.DUMMYFUNCTION("split(B186,"" "")"),"J.")</f>
        <v>J.</v>
      </c>
      <c r="Y186" s="3" t="str">
        <f>IFERROR(__xludf.DUMMYFUNCTION("""COMPUTED_VALUE"""),"Dobbins")</f>
        <v>Dobbins</v>
      </c>
      <c r="AA186" s="8">
        <v>56.0</v>
      </c>
      <c r="AB186" s="3">
        <f t="shared" si="7"/>
        <v>0</v>
      </c>
      <c r="AC186" s="3">
        <f t="shared" si="8"/>
        <v>1</v>
      </c>
      <c r="AD186" s="3">
        <f t="shared" si="9"/>
        <v>0.8547008547</v>
      </c>
      <c r="AE186" s="3">
        <f t="shared" si="10"/>
        <v>0.8547008547</v>
      </c>
      <c r="AF186" s="3">
        <f t="shared" si="11"/>
        <v>1.709401709</v>
      </c>
      <c r="AG186" s="3">
        <f t="shared" si="12"/>
        <v>0.07438016529</v>
      </c>
    </row>
    <row r="187">
      <c r="A187" s="1" t="s">
        <v>10</v>
      </c>
      <c r="B187" s="1" t="s">
        <v>278</v>
      </c>
      <c r="C187" s="1" t="s">
        <v>18</v>
      </c>
      <c r="D187" s="1" t="s">
        <v>134</v>
      </c>
      <c r="E187" s="1" t="s">
        <v>94</v>
      </c>
      <c r="F187" s="1" t="s">
        <v>687</v>
      </c>
      <c r="G187" s="1">
        <v>0.5</v>
      </c>
      <c r="H187" s="1" t="s">
        <v>60</v>
      </c>
      <c r="I187" s="1">
        <v>626.0</v>
      </c>
      <c r="J187" s="1">
        <v>0.474974231436445</v>
      </c>
      <c r="K187" s="1" t="s">
        <v>61</v>
      </c>
      <c r="L187" s="1" t="s">
        <v>61</v>
      </c>
      <c r="M187" s="1" t="s">
        <v>62</v>
      </c>
      <c r="N187" s="1">
        <v>-1251.0</v>
      </c>
      <c r="O187" s="1">
        <v>-0.538660211842366</v>
      </c>
      <c r="P187" s="1" t="s">
        <v>61</v>
      </c>
      <c r="Q187" s="1" t="s">
        <v>61</v>
      </c>
      <c r="R187" s="1">
        <f t="shared" si="1"/>
        <v>0.4749742314</v>
      </c>
      <c r="S187" s="1">
        <f t="shared" si="2"/>
        <v>626</v>
      </c>
      <c r="T187" s="1">
        <f t="shared" si="3"/>
        <v>7.26</v>
      </c>
      <c r="U187" s="1">
        <f t="shared" si="4"/>
        <v>1</v>
      </c>
      <c r="V187" s="3">
        <f t="shared" si="5"/>
        <v>3</v>
      </c>
      <c r="W187" s="3">
        <f t="shared" si="6"/>
        <v>1</v>
      </c>
      <c r="X187" s="3" t="str">
        <f>IFERROR(__xludf.DUMMYFUNCTION("split(B187,"" "")"),"J.")</f>
        <v>J.</v>
      </c>
      <c r="Y187" s="3" t="str">
        <f>IFERROR(__xludf.DUMMYFUNCTION("""COMPUTED_VALUE"""),"Meyers")</f>
        <v>Meyers</v>
      </c>
      <c r="AA187" s="8">
        <v>20.0</v>
      </c>
      <c r="AB187" s="3">
        <f t="shared" si="7"/>
        <v>1</v>
      </c>
      <c r="AC187" s="3">
        <f t="shared" si="8"/>
        <v>1</v>
      </c>
      <c r="AD187" s="3">
        <f t="shared" si="9"/>
        <v>18.78</v>
      </c>
      <c r="AE187" s="3">
        <f t="shared" si="10"/>
        <v>0</v>
      </c>
      <c r="AF187" s="3">
        <f t="shared" si="11"/>
        <v>6.26</v>
      </c>
      <c r="AG187" s="3">
        <f t="shared" si="12"/>
        <v>39</v>
      </c>
    </row>
    <row r="188">
      <c r="A188" s="1" t="s">
        <v>14</v>
      </c>
      <c r="B188" s="1" t="s">
        <v>474</v>
      </c>
      <c r="C188" s="1" t="s">
        <v>21</v>
      </c>
      <c r="D188" s="1" t="s">
        <v>134</v>
      </c>
      <c r="E188" s="1" t="s">
        <v>94</v>
      </c>
      <c r="F188" s="1" t="s">
        <v>687</v>
      </c>
      <c r="G188" s="1">
        <v>0.5</v>
      </c>
      <c r="H188" s="1" t="s">
        <v>60</v>
      </c>
      <c r="I188" s="1">
        <v>-242.0</v>
      </c>
      <c r="J188" s="1">
        <v>-0.21010067874269</v>
      </c>
      <c r="K188" s="1" t="s">
        <v>61</v>
      </c>
      <c r="L188" s="1" t="s">
        <v>61</v>
      </c>
      <c r="M188" s="1" t="s">
        <v>62</v>
      </c>
      <c r="N188" s="1">
        <v>178.0</v>
      </c>
      <c r="O188" s="1">
        <v>0.14278572708633</v>
      </c>
      <c r="P188" s="1" t="s">
        <v>61</v>
      </c>
      <c r="Q188" s="1" t="s">
        <v>61</v>
      </c>
      <c r="R188" s="1">
        <f t="shared" si="1"/>
        <v>0.1427857271</v>
      </c>
      <c r="S188" s="1">
        <f t="shared" si="2"/>
        <v>178</v>
      </c>
      <c r="T188" s="1">
        <f t="shared" si="3"/>
        <v>2.78</v>
      </c>
      <c r="U188" s="1">
        <f t="shared" si="4"/>
        <v>0</v>
      </c>
      <c r="V188" s="3">
        <f t="shared" si="5"/>
        <v>3</v>
      </c>
      <c r="W188" s="3">
        <f t="shared" si="6"/>
        <v>1</v>
      </c>
      <c r="X188" s="3" t="str">
        <f>IFERROR(__xludf.DUMMYFUNCTION("split(B188,"" "")"),"G.")</f>
        <v>G.</v>
      </c>
      <c r="Y188" s="3" t="str">
        <f>IFERROR(__xludf.DUMMYFUNCTION("""COMPUTED_VALUE"""),"Minshew")</f>
        <v>Minshew</v>
      </c>
      <c r="AA188" s="8">
        <v>2.0</v>
      </c>
      <c r="AB188" s="3">
        <f t="shared" si="7"/>
        <v>1</v>
      </c>
      <c r="AC188" s="3">
        <f t="shared" si="8"/>
        <v>0</v>
      </c>
      <c r="AD188" s="3">
        <f t="shared" si="9"/>
        <v>5.34</v>
      </c>
      <c r="AE188" s="3">
        <f t="shared" si="10"/>
        <v>-3</v>
      </c>
      <c r="AF188" s="3">
        <f t="shared" si="11"/>
        <v>-1</v>
      </c>
      <c r="AG188" s="3">
        <f t="shared" si="12"/>
        <v>-3</v>
      </c>
    </row>
    <row r="189">
      <c r="A189" s="1" t="s">
        <v>12</v>
      </c>
      <c r="B189" s="1" t="s">
        <v>494</v>
      </c>
      <c r="C189" s="1" t="s">
        <v>20</v>
      </c>
      <c r="D189" s="1" t="s">
        <v>134</v>
      </c>
      <c r="E189" s="1" t="s">
        <v>94</v>
      </c>
      <c r="F189" s="1" t="s">
        <v>687</v>
      </c>
      <c r="G189" s="1">
        <v>5.5</v>
      </c>
      <c r="H189" s="1" t="s">
        <v>60</v>
      </c>
      <c r="I189" s="1">
        <v>103.0</v>
      </c>
      <c r="J189" s="1">
        <v>0.0810384236453202</v>
      </c>
      <c r="K189" s="1" t="s">
        <v>61</v>
      </c>
      <c r="L189" s="1" t="s">
        <v>61</v>
      </c>
      <c r="M189" s="1" t="s">
        <v>62</v>
      </c>
      <c r="N189" s="1">
        <v>-135.0</v>
      </c>
      <c r="O189" s="1">
        <v>-0.148110638297872</v>
      </c>
      <c r="P189" s="1" t="s">
        <v>61</v>
      </c>
      <c r="Q189" s="1" t="s">
        <v>61</v>
      </c>
      <c r="R189" s="1">
        <f t="shared" si="1"/>
        <v>0.08103842365</v>
      </c>
      <c r="S189" s="1">
        <f t="shared" si="2"/>
        <v>103</v>
      </c>
      <c r="T189" s="1">
        <f t="shared" si="3"/>
        <v>2.03</v>
      </c>
      <c r="U189" s="1">
        <f t="shared" si="4"/>
        <v>1</v>
      </c>
      <c r="V189" s="3">
        <f t="shared" si="5"/>
        <v>2</v>
      </c>
      <c r="W189" s="3">
        <f t="shared" si="6"/>
        <v>2</v>
      </c>
      <c r="X189" s="3" t="str">
        <f>IFERROR(__xludf.DUMMYFUNCTION("split(B189,"" "")"),"B.")</f>
        <v>B.</v>
      </c>
      <c r="Y189" s="3" t="str">
        <f>IFERROR(__xludf.DUMMYFUNCTION("""COMPUTED_VALUE"""),"Bowers")</f>
        <v>Bowers</v>
      </c>
      <c r="AA189" s="8">
        <v>13.0</v>
      </c>
      <c r="AB189" s="3">
        <f t="shared" si="7"/>
        <v>1</v>
      </c>
      <c r="AC189" s="3">
        <f t="shared" si="8"/>
        <v>1</v>
      </c>
      <c r="AD189" s="3">
        <f t="shared" si="9"/>
        <v>2.06</v>
      </c>
      <c r="AE189" s="3">
        <f t="shared" si="10"/>
        <v>2.06</v>
      </c>
      <c r="AF189" s="3">
        <f t="shared" si="11"/>
        <v>2.06</v>
      </c>
      <c r="AG189" s="3">
        <f t="shared" si="12"/>
        <v>1.363636364</v>
      </c>
    </row>
    <row r="190">
      <c r="A190" s="1" t="s">
        <v>17</v>
      </c>
      <c r="B190" s="1" t="s">
        <v>474</v>
      </c>
      <c r="C190" s="1" t="s">
        <v>21</v>
      </c>
      <c r="D190" s="1" t="s">
        <v>134</v>
      </c>
      <c r="E190" s="1" t="s">
        <v>94</v>
      </c>
      <c r="F190" s="1" t="s">
        <v>687</v>
      </c>
      <c r="G190" s="1">
        <v>0.5</v>
      </c>
      <c r="H190" s="1" t="s">
        <v>60</v>
      </c>
      <c r="I190" s="1">
        <v>-126.0</v>
      </c>
      <c r="J190" s="1">
        <v>-0.106866371681416</v>
      </c>
      <c r="K190" s="1" t="s">
        <v>61</v>
      </c>
      <c r="L190" s="1" t="s">
        <v>61</v>
      </c>
      <c r="M190" s="1" t="s">
        <v>62</v>
      </c>
      <c r="N190" s="1">
        <v>-103.0</v>
      </c>
      <c r="O190" s="1">
        <v>0.0419615763546797</v>
      </c>
      <c r="P190" s="1" t="s">
        <v>61</v>
      </c>
      <c r="Q190" s="1" t="s">
        <v>61</v>
      </c>
      <c r="R190" s="1">
        <f t="shared" si="1"/>
        <v>0.04196157635</v>
      </c>
      <c r="S190" s="1">
        <f t="shared" si="2"/>
        <v>-103</v>
      </c>
      <c r="T190" s="1">
        <f t="shared" si="3"/>
        <v>1.970873786</v>
      </c>
      <c r="U190" s="1">
        <f t="shared" si="4"/>
        <v>0</v>
      </c>
      <c r="V190" s="3">
        <f t="shared" si="5"/>
        <v>1</v>
      </c>
      <c r="W190" s="3">
        <f t="shared" si="6"/>
        <v>2</v>
      </c>
      <c r="X190" s="3" t="str">
        <f>IFERROR(__xludf.DUMMYFUNCTION("split(B190,"" "")"),"G.")</f>
        <v>G.</v>
      </c>
      <c r="Y190" s="3" t="str">
        <f>IFERROR(__xludf.DUMMYFUNCTION("""COMPUTED_VALUE"""),"Minshew")</f>
        <v>Minshew</v>
      </c>
      <c r="AA190" s="8">
        <v>1.0</v>
      </c>
      <c r="AB190" s="3">
        <f t="shared" si="7"/>
        <v>1</v>
      </c>
      <c r="AC190" s="3">
        <f t="shared" si="8"/>
        <v>0</v>
      </c>
      <c r="AD190" s="3">
        <f t="shared" si="9"/>
        <v>0.9708737864</v>
      </c>
      <c r="AE190" s="3">
        <f t="shared" si="10"/>
        <v>-1</v>
      </c>
      <c r="AF190" s="3">
        <f t="shared" si="11"/>
        <v>-2</v>
      </c>
      <c r="AG190" s="3">
        <f t="shared" si="12"/>
        <v>-1</v>
      </c>
    </row>
    <row r="191">
      <c r="A191" s="1" t="s">
        <v>11</v>
      </c>
      <c r="B191" s="1" t="s">
        <v>278</v>
      </c>
      <c r="C191" s="1" t="s">
        <v>18</v>
      </c>
      <c r="D191" s="1" t="s">
        <v>134</v>
      </c>
      <c r="E191" s="1" t="s">
        <v>94</v>
      </c>
      <c r="F191" s="1" t="s">
        <v>687</v>
      </c>
      <c r="G191" s="1">
        <v>56.5</v>
      </c>
      <c r="H191" s="1" t="s">
        <v>60</v>
      </c>
      <c r="I191" s="1">
        <v>-113.0</v>
      </c>
      <c r="J191" s="1">
        <v>-0.0959562980248027</v>
      </c>
      <c r="K191" s="1" t="s">
        <v>61</v>
      </c>
      <c r="L191" s="1" t="s">
        <v>61</v>
      </c>
      <c r="M191" s="1" t="s">
        <v>62</v>
      </c>
      <c r="N191" s="1">
        <v>-114.0</v>
      </c>
      <c r="O191" s="1">
        <v>0.032748231863271</v>
      </c>
      <c r="P191" s="1" t="s">
        <v>61</v>
      </c>
      <c r="Q191" s="1" t="s">
        <v>61</v>
      </c>
      <c r="R191" s="1">
        <f t="shared" si="1"/>
        <v>0.03274823186</v>
      </c>
      <c r="S191" s="1">
        <f t="shared" si="2"/>
        <v>-114</v>
      </c>
      <c r="T191" s="1">
        <f t="shared" si="3"/>
        <v>1.877192982</v>
      </c>
      <c r="U191" s="1">
        <f t="shared" si="4"/>
        <v>0</v>
      </c>
      <c r="V191" s="3">
        <f t="shared" si="5"/>
        <v>1</v>
      </c>
      <c r="W191" s="3">
        <f t="shared" si="6"/>
        <v>2</v>
      </c>
      <c r="X191" s="3" t="str">
        <f>IFERROR(__xludf.DUMMYFUNCTION("split(B191,"" "")"),"J.")</f>
        <v>J.</v>
      </c>
      <c r="Y191" s="3" t="str">
        <f>IFERROR(__xludf.DUMMYFUNCTION("""COMPUTED_VALUE"""),"Meyers")</f>
        <v>Meyers</v>
      </c>
      <c r="AA191" s="8">
        <v>28.0</v>
      </c>
      <c r="AB191" s="3">
        <f t="shared" si="7"/>
        <v>0</v>
      </c>
      <c r="AC191" s="3">
        <f t="shared" si="8"/>
        <v>1</v>
      </c>
      <c r="AD191" s="3">
        <f t="shared" si="9"/>
        <v>0.8771929825</v>
      </c>
      <c r="AE191" s="3">
        <f t="shared" si="10"/>
        <v>0.8771929825</v>
      </c>
      <c r="AF191" s="3">
        <f t="shared" si="11"/>
        <v>1.754385965</v>
      </c>
      <c r="AG191" s="3">
        <f t="shared" si="12"/>
        <v>0.5044247788</v>
      </c>
    </row>
    <row r="192">
      <c r="A192" s="1" t="s">
        <v>10</v>
      </c>
      <c r="B192" s="1" t="s">
        <v>473</v>
      </c>
      <c r="C192" s="1" t="s">
        <v>19</v>
      </c>
      <c r="D192" s="1" t="s">
        <v>134</v>
      </c>
      <c r="E192" s="1" t="s">
        <v>94</v>
      </c>
      <c r="F192" s="1" t="s">
        <v>687</v>
      </c>
      <c r="G192" s="1">
        <v>38.5</v>
      </c>
      <c r="H192" s="1" t="s">
        <v>60</v>
      </c>
      <c r="I192" s="1">
        <v>-109.0</v>
      </c>
      <c r="J192" s="1">
        <v>-0.0867495341335788</v>
      </c>
      <c r="K192" s="1" t="s">
        <v>61</v>
      </c>
      <c r="L192" s="1" t="s">
        <v>61</v>
      </c>
      <c r="M192" s="1" t="s">
        <v>62</v>
      </c>
      <c r="N192" s="1">
        <v>-118.0</v>
      </c>
      <c r="O192" s="1">
        <v>0.0239751049439964</v>
      </c>
      <c r="P192" s="1" t="s">
        <v>61</v>
      </c>
      <c r="Q192" s="1" t="s">
        <v>61</v>
      </c>
      <c r="R192" s="1">
        <f t="shared" si="1"/>
        <v>0.02397510494</v>
      </c>
      <c r="S192" s="1">
        <f t="shared" si="2"/>
        <v>-118</v>
      </c>
      <c r="T192" s="1">
        <f t="shared" si="3"/>
        <v>1.847457627</v>
      </c>
      <c r="U192" s="1">
        <f t="shared" si="4"/>
        <v>0</v>
      </c>
      <c r="V192" s="3">
        <f t="shared" si="5"/>
        <v>1</v>
      </c>
      <c r="W192" s="3">
        <f t="shared" si="6"/>
        <v>3</v>
      </c>
      <c r="X192" s="3" t="str">
        <f>IFERROR(__xludf.DUMMYFUNCTION("split(B192,"" "")"),"A.")</f>
        <v>A.</v>
      </c>
      <c r="Y192" s="3" t="str">
        <f>IFERROR(__xludf.DUMMYFUNCTION("""COMPUTED_VALUE"""),"Mattison")</f>
        <v>Mattison</v>
      </c>
      <c r="AA192" s="8">
        <v>19.0</v>
      </c>
      <c r="AB192" s="3">
        <f t="shared" si="7"/>
        <v>0</v>
      </c>
      <c r="AC192" s="3">
        <f t="shared" si="8"/>
        <v>1</v>
      </c>
      <c r="AD192" s="3">
        <f t="shared" si="9"/>
        <v>0.8474576271</v>
      </c>
      <c r="AE192" s="3">
        <f t="shared" si="10"/>
        <v>0.8474576271</v>
      </c>
      <c r="AF192" s="3">
        <f t="shared" si="11"/>
        <v>2.542372881</v>
      </c>
      <c r="AG192" s="3">
        <f t="shared" si="12"/>
        <v>0.5064935065</v>
      </c>
    </row>
    <row r="193">
      <c r="A193" s="1" t="s">
        <v>16</v>
      </c>
      <c r="B193" s="1" t="s">
        <v>474</v>
      </c>
      <c r="C193" s="1" t="s">
        <v>21</v>
      </c>
      <c r="D193" s="1" t="s">
        <v>134</v>
      </c>
      <c r="E193" s="1" t="s">
        <v>94</v>
      </c>
      <c r="F193" s="1" t="s">
        <v>687</v>
      </c>
      <c r="G193" s="1">
        <v>29.5</v>
      </c>
      <c r="H193" s="1" t="s">
        <v>60</v>
      </c>
      <c r="I193" s="1">
        <v>-121.0</v>
      </c>
      <c r="J193" s="1">
        <v>-0.0822090541176471</v>
      </c>
      <c r="K193" s="1" t="s">
        <v>61</v>
      </c>
      <c r="L193" s="1" t="s">
        <v>61</v>
      </c>
      <c r="M193" s="1" t="s">
        <v>62</v>
      </c>
      <c r="N193" s="1">
        <v>-108.0</v>
      </c>
      <c r="O193" s="1">
        <v>0.0154666396</v>
      </c>
      <c r="P193" s="1" t="s">
        <v>61</v>
      </c>
      <c r="Q193" s="1" t="s">
        <v>61</v>
      </c>
      <c r="R193" s="1">
        <f t="shared" si="1"/>
        <v>0.0154666396</v>
      </c>
      <c r="S193" s="1">
        <f t="shared" si="2"/>
        <v>-108</v>
      </c>
      <c r="T193" s="1">
        <f t="shared" si="3"/>
        <v>1.925925926</v>
      </c>
      <c r="U193" s="1">
        <f t="shared" si="4"/>
        <v>0</v>
      </c>
      <c r="V193" s="3">
        <f t="shared" si="5"/>
        <v>1</v>
      </c>
      <c r="W193" s="3">
        <f t="shared" si="6"/>
        <v>2</v>
      </c>
      <c r="X193" s="3" t="str">
        <f>IFERROR(__xludf.DUMMYFUNCTION("split(B193,"" "")"),"G.")</f>
        <v>G.</v>
      </c>
      <c r="Y193" s="3" t="str">
        <f>IFERROR(__xludf.DUMMYFUNCTION("""COMPUTED_VALUE"""),"Minshew")</f>
        <v>Minshew</v>
      </c>
      <c r="AA193" s="8">
        <v>43.0</v>
      </c>
      <c r="AB193" s="3">
        <f t="shared" si="7"/>
        <v>1</v>
      </c>
      <c r="AC193" s="3">
        <f t="shared" si="8"/>
        <v>0</v>
      </c>
      <c r="AD193" s="3">
        <f t="shared" si="9"/>
        <v>0.9259259259</v>
      </c>
      <c r="AE193" s="3">
        <f t="shared" si="10"/>
        <v>-1</v>
      </c>
      <c r="AF193" s="3">
        <f t="shared" si="11"/>
        <v>-2</v>
      </c>
      <c r="AG193" s="3">
        <f t="shared" si="12"/>
        <v>-0.4576271186</v>
      </c>
    </row>
    <row r="194">
      <c r="A194" s="1" t="s">
        <v>11</v>
      </c>
      <c r="B194" s="1" t="s">
        <v>494</v>
      </c>
      <c r="C194" s="1" t="s">
        <v>20</v>
      </c>
      <c r="D194" s="1" t="s">
        <v>134</v>
      </c>
      <c r="E194" s="1" t="s">
        <v>94</v>
      </c>
      <c r="F194" s="1" t="s">
        <v>687</v>
      </c>
      <c r="G194" s="1">
        <v>52.5</v>
      </c>
      <c r="H194" s="1" t="s">
        <v>60</v>
      </c>
      <c r="I194" s="1">
        <v>-114.0</v>
      </c>
      <c r="J194" s="1">
        <v>-0.0676097195991867</v>
      </c>
      <c r="K194" s="1" t="s">
        <v>61</v>
      </c>
      <c r="L194" s="1" t="s">
        <v>61</v>
      </c>
      <c r="M194" s="1" t="s">
        <v>62</v>
      </c>
      <c r="N194" s="1">
        <v>-113.0</v>
      </c>
      <c r="O194" s="1">
        <v>0.00438270258192485</v>
      </c>
      <c r="P194" s="1" t="s">
        <v>61</v>
      </c>
      <c r="Q194" s="1" t="s">
        <v>61</v>
      </c>
      <c r="R194" s="1">
        <f t="shared" si="1"/>
        <v>0.004382702582</v>
      </c>
      <c r="S194" s="1">
        <f t="shared" si="2"/>
        <v>-113</v>
      </c>
      <c r="T194" s="1">
        <f t="shared" si="3"/>
        <v>1.884955752</v>
      </c>
      <c r="U194" s="1">
        <f t="shared" si="4"/>
        <v>0</v>
      </c>
      <c r="V194" s="3">
        <f t="shared" si="5"/>
        <v>1</v>
      </c>
      <c r="W194" s="3">
        <f t="shared" si="6"/>
        <v>2</v>
      </c>
      <c r="X194" s="3" t="str">
        <f>IFERROR(__xludf.DUMMYFUNCTION("split(B194,"" "")"),"B.")</f>
        <v>B.</v>
      </c>
      <c r="Y194" s="3" t="str">
        <f>IFERROR(__xludf.DUMMYFUNCTION("""COMPUTED_VALUE"""),"Bowers")</f>
        <v>Bowers</v>
      </c>
      <c r="AA194" s="8">
        <v>126.0</v>
      </c>
      <c r="AB194" s="3">
        <f t="shared" si="7"/>
        <v>1</v>
      </c>
      <c r="AC194" s="3">
        <f t="shared" si="8"/>
        <v>0</v>
      </c>
      <c r="AD194" s="3">
        <f t="shared" si="9"/>
        <v>0.8849557522</v>
      </c>
      <c r="AE194" s="3">
        <f t="shared" si="10"/>
        <v>-1</v>
      </c>
      <c r="AF194" s="3">
        <f t="shared" si="11"/>
        <v>-2</v>
      </c>
      <c r="AG194" s="3">
        <f t="shared" si="12"/>
        <v>-1.4</v>
      </c>
    </row>
    <row r="195">
      <c r="A195" s="1" t="s">
        <v>10</v>
      </c>
      <c r="B195" s="1" t="s">
        <v>316</v>
      </c>
      <c r="C195" s="1" t="s">
        <v>21</v>
      </c>
      <c r="D195" s="1" t="s">
        <v>94</v>
      </c>
      <c r="E195" s="1" t="s">
        <v>134</v>
      </c>
      <c r="F195" s="1" t="s">
        <v>687</v>
      </c>
      <c r="G195" s="1">
        <v>3.5</v>
      </c>
      <c r="H195" s="1" t="s">
        <v>60</v>
      </c>
      <c r="I195" s="1">
        <v>-105.0</v>
      </c>
      <c r="J195" s="1">
        <v>0.0911583605439284</v>
      </c>
      <c r="K195" s="1" t="s">
        <v>61</v>
      </c>
      <c r="L195" s="1" t="s">
        <v>61</v>
      </c>
      <c r="M195" s="1" t="s">
        <v>62</v>
      </c>
      <c r="N195" s="1">
        <v>-125.0</v>
      </c>
      <c r="O195" s="1">
        <v>-0.158874799508362</v>
      </c>
      <c r="P195" s="1" t="s">
        <v>61</v>
      </c>
      <c r="Q195" s="1" t="s">
        <v>61</v>
      </c>
      <c r="R195" s="1">
        <f t="shared" si="1"/>
        <v>0.09115836054</v>
      </c>
      <c r="S195" s="1">
        <f t="shared" si="2"/>
        <v>-105</v>
      </c>
      <c r="T195" s="1">
        <f t="shared" si="3"/>
        <v>1.952380952</v>
      </c>
      <c r="U195" s="1">
        <f t="shared" si="4"/>
        <v>1</v>
      </c>
      <c r="V195" s="3">
        <f t="shared" si="5"/>
        <v>2</v>
      </c>
      <c r="W195" s="3">
        <f t="shared" si="6"/>
        <v>2</v>
      </c>
      <c r="X195" s="3" t="str">
        <f>IFERROR(__xludf.DUMMYFUNCTION("split(B195,"" "")"),"T.")</f>
        <v>T.</v>
      </c>
      <c r="Y195" s="3" t="str">
        <f>IFERROR(__xludf.DUMMYFUNCTION("""COMPUTED_VALUE"""),"Tagovailoa")</f>
        <v>Tagovailoa</v>
      </c>
      <c r="AA195" s="8">
        <v>0.0</v>
      </c>
      <c r="AB195" s="3">
        <f t="shared" si="7"/>
        <v>0</v>
      </c>
      <c r="AC195" s="3">
        <f t="shared" si="8"/>
        <v>0</v>
      </c>
      <c r="AD195" s="3">
        <f t="shared" si="9"/>
        <v>1.904761905</v>
      </c>
      <c r="AE195" s="3">
        <f t="shared" si="10"/>
        <v>-2</v>
      </c>
      <c r="AF195" s="3">
        <f t="shared" si="11"/>
        <v>-2</v>
      </c>
      <c r="AG195" s="3">
        <f t="shared" si="12"/>
        <v>-1</v>
      </c>
    </row>
    <row r="196">
      <c r="A196" s="1" t="s">
        <v>11</v>
      </c>
      <c r="B196" s="1" t="s">
        <v>289</v>
      </c>
      <c r="C196" s="1" t="s">
        <v>19</v>
      </c>
      <c r="D196" s="1" t="s">
        <v>94</v>
      </c>
      <c r="E196" s="1" t="s">
        <v>134</v>
      </c>
      <c r="F196" s="1" t="s">
        <v>687</v>
      </c>
      <c r="G196" s="1">
        <v>36.5</v>
      </c>
      <c r="H196" s="1" t="s">
        <v>60</v>
      </c>
      <c r="I196" s="1">
        <v>-109.0</v>
      </c>
      <c r="J196" s="1">
        <v>-0.0999145673890909</v>
      </c>
      <c r="K196" s="1" t="s">
        <v>61</v>
      </c>
      <c r="L196" s="1" t="s">
        <v>61</v>
      </c>
      <c r="M196" s="1" t="s">
        <v>62</v>
      </c>
      <c r="N196" s="1">
        <v>-117.0</v>
      </c>
      <c r="O196" s="1">
        <v>0.0392223329622831</v>
      </c>
      <c r="P196" s="1" t="s">
        <v>61</v>
      </c>
      <c r="Q196" s="1" t="s">
        <v>61</v>
      </c>
      <c r="R196" s="1">
        <f t="shared" si="1"/>
        <v>0.03922233296</v>
      </c>
      <c r="S196" s="1">
        <f t="shared" si="2"/>
        <v>-117</v>
      </c>
      <c r="T196" s="1">
        <f t="shared" si="3"/>
        <v>1.854700855</v>
      </c>
      <c r="U196" s="1">
        <f t="shared" si="4"/>
        <v>0</v>
      </c>
      <c r="V196" s="3">
        <f t="shared" si="5"/>
        <v>1</v>
      </c>
      <c r="W196" s="3">
        <f t="shared" si="6"/>
        <v>2</v>
      </c>
      <c r="X196" s="3" t="str">
        <f>IFERROR(__xludf.DUMMYFUNCTION("split(B196,"" "")"),"D.")</f>
        <v>D.</v>
      </c>
      <c r="Y196" s="3" t="str">
        <f>IFERROR(__xludf.DUMMYFUNCTION("""COMPUTED_VALUE"""),"Achane")</f>
        <v>Achane</v>
      </c>
      <c r="AA196" s="8">
        <v>32.0</v>
      </c>
      <c r="AB196" s="3">
        <f t="shared" si="7"/>
        <v>0</v>
      </c>
      <c r="AC196" s="3">
        <f t="shared" si="8"/>
        <v>1</v>
      </c>
      <c r="AD196" s="3">
        <f t="shared" si="9"/>
        <v>0.8547008547</v>
      </c>
      <c r="AE196" s="3">
        <f t="shared" si="10"/>
        <v>0.8547008547</v>
      </c>
      <c r="AF196" s="3">
        <f t="shared" si="11"/>
        <v>1.709401709</v>
      </c>
      <c r="AG196" s="3">
        <f t="shared" si="12"/>
        <v>0.1232876712</v>
      </c>
    </row>
    <row r="197">
      <c r="A197" s="1" t="s">
        <v>11</v>
      </c>
      <c r="B197" s="1" t="s">
        <v>220</v>
      </c>
      <c r="C197" s="1" t="s">
        <v>20</v>
      </c>
      <c r="D197" s="1" t="s">
        <v>94</v>
      </c>
      <c r="E197" s="1" t="s">
        <v>134</v>
      </c>
      <c r="F197" s="1" t="s">
        <v>687</v>
      </c>
      <c r="G197" s="1">
        <v>34.5</v>
      </c>
      <c r="H197" s="1" t="s">
        <v>60</v>
      </c>
      <c r="I197" s="1">
        <v>-113.0</v>
      </c>
      <c r="J197" s="1">
        <v>-0.101375372481596</v>
      </c>
      <c r="K197" s="1" t="s">
        <v>61</v>
      </c>
      <c r="L197" s="1" t="s">
        <v>61</v>
      </c>
      <c r="M197" s="1" t="s">
        <v>62</v>
      </c>
      <c r="N197" s="1">
        <v>-116.0</v>
      </c>
      <c r="O197" s="1">
        <v>0.0338717168107813</v>
      </c>
      <c r="P197" s="1" t="s">
        <v>61</v>
      </c>
      <c r="Q197" s="1" t="s">
        <v>61</v>
      </c>
      <c r="R197" s="1">
        <f t="shared" si="1"/>
        <v>0.03387171681</v>
      </c>
      <c r="S197" s="1">
        <f t="shared" si="2"/>
        <v>-116</v>
      </c>
      <c r="T197" s="1">
        <f t="shared" si="3"/>
        <v>1.862068966</v>
      </c>
      <c r="U197" s="1">
        <f t="shared" si="4"/>
        <v>0</v>
      </c>
      <c r="V197" s="3">
        <f t="shared" si="5"/>
        <v>1</v>
      </c>
      <c r="W197" s="3">
        <f t="shared" si="6"/>
        <v>2</v>
      </c>
      <c r="X197" s="3" t="str">
        <f>IFERROR(__xludf.DUMMYFUNCTION("split(B197,"" "")"),"J.")</f>
        <v>J.</v>
      </c>
      <c r="Y197" s="3" t="str">
        <f>IFERROR(__xludf.DUMMYFUNCTION("""COMPUTED_VALUE"""),"Smith")</f>
        <v>Smith</v>
      </c>
      <c r="AA197" s="8">
        <v>101.0</v>
      </c>
      <c r="AB197" s="3">
        <f t="shared" si="7"/>
        <v>1</v>
      </c>
      <c r="AC197" s="3">
        <f t="shared" si="8"/>
        <v>0</v>
      </c>
      <c r="AD197" s="3">
        <f t="shared" si="9"/>
        <v>0.8620689655</v>
      </c>
      <c r="AE197" s="3">
        <f t="shared" si="10"/>
        <v>-1</v>
      </c>
      <c r="AF197" s="3">
        <f t="shared" si="11"/>
        <v>-2</v>
      </c>
      <c r="AG197" s="3">
        <f t="shared" si="12"/>
        <v>-1.927536232</v>
      </c>
    </row>
    <row r="198">
      <c r="A198" s="1" t="s">
        <v>14</v>
      </c>
      <c r="B198" s="1" t="s">
        <v>316</v>
      </c>
      <c r="C198" s="1" t="s">
        <v>21</v>
      </c>
      <c r="D198" s="1" t="s">
        <v>94</v>
      </c>
      <c r="E198" s="1" t="s">
        <v>134</v>
      </c>
      <c r="F198" s="1" t="s">
        <v>687</v>
      </c>
      <c r="G198" s="1">
        <v>1.5</v>
      </c>
      <c r="H198" s="1" t="s">
        <v>60</v>
      </c>
      <c r="I198" s="1">
        <v>-119.0</v>
      </c>
      <c r="J198" s="1">
        <v>-0.100178995433789</v>
      </c>
      <c r="K198" s="1" t="s">
        <v>61</v>
      </c>
      <c r="L198" s="1" t="s">
        <v>61</v>
      </c>
      <c r="M198" s="1" t="s">
        <v>62</v>
      </c>
      <c r="N198" s="1">
        <v>-110.0</v>
      </c>
      <c r="O198" s="1">
        <v>0.0329904761904761</v>
      </c>
      <c r="P198" s="1" t="s">
        <v>61</v>
      </c>
      <c r="Q198" s="1" t="s">
        <v>61</v>
      </c>
      <c r="R198" s="1">
        <f t="shared" si="1"/>
        <v>0.03299047619</v>
      </c>
      <c r="S198" s="1">
        <f t="shared" si="2"/>
        <v>-110</v>
      </c>
      <c r="T198" s="1">
        <f t="shared" si="3"/>
        <v>1.909090909</v>
      </c>
      <c r="U198" s="1">
        <f t="shared" si="4"/>
        <v>0</v>
      </c>
      <c r="V198" s="3">
        <f t="shared" si="5"/>
        <v>1</v>
      </c>
      <c r="W198" s="3">
        <f t="shared" si="6"/>
        <v>2</v>
      </c>
      <c r="X198" s="3" t="str">
        <f>IFERROR(__xludf.DUMMYFUNCTION("split(B198,"" "")"),"T.")</f>
        <v>T.</v>
      </c>
      <c r="Y198" s="3" t="str">
        <f>IFERROR(__xludf.DUMMYFUNCTION("""COMPUTED_VALUE"""),"Tagovailoa")</f>
        <v>Tagovailoa</v>
      </c>
      <c r="AA198" s="8">
        <v>3.0</v>
      </c>
      <c r="AB198" s="3">
        <f t="shared" si="7"/>
        <v>1</v>
      </c>
      <c r="AC198" s="3">
        <f t="shared" si="8"/>
        <v>0</v>
      </c>
      <c r="AD198" s="3">
        <f t="shared" si="9"/>
        <v>0.9090909091</v>
      </c>
      <c r="AE198" s="3">
        <f t="shared" si="10"/>
        <v>-1</v>
      </c>
      <c r="AF198" s="3">
        <f t="shared" si="11"/>
        <v>-2</v>
      </c>
      <c r="AG198" s="3">
        <f t="shared" si="12"/>
        <v>-1</v>
      </c>
    </row>
    <row r="199">
      <c r="A199" s="1" t="s">
        <v>16</v>
      </c>
      <c r="B199" s="1" t="s">
        <v>316</v>
      </c>
      <c r="C199" s="1" t="s">
        <v>21</v>
      </c>
      <c r="D199" s="1" t="s">
        <v>94</v>
      </c>
      <c r="E199" s="1" t="s">
        <v>134</v>
      </c>
      <c r="F199" s="1" t="s">
        <v>687</v>
      </c>
      <c r="G199" s="1">
        <v>29.5</v>
      </c>
      <c r="H199" s="1" t="s">
        <v>60</v>
      </c>
      <c r="I199" s="1">
        <v>-124.0</v>
      </c>
      <c r="J199" s="1">
        <v>-0.0871584541517858</v>
      </c>
      <c r="K199" s="1" t="s">
        <v>61</v>
      </c>
      <c r="L199" s="1" t="s">
        <v>61</v>
      </c>
      <c r="M199" s="1" t="s">
        <v>62</v>
      </c>
      <c r="N199" s="1">
        <v>-106.0</v>
      </c>
      <c r="O199" s="1">
        <v>0.0190372007466019</v>
      </c>
      <c r="P199" s="1" t="s">
        <v>61</v>
      </c>
      <c r="Q199" s="1" t="s">
        <v>61</v>
      </c>
      <c r="R199" s="1">
        <f t="shared" si="1"/>
        <v>0.01903720075</v>
      </c>
      <c r="S199" s="1">
        <f t="shared" si="2"/>
        <v>-106</v>
      </c>
      <c r="T199" s="1">
        <f t="shared" si="3"/>
        <v>1.943396226</v>
      </c>
      <c r="U199" s="1">
        <f t="shared" si="4"/>
        <v>0</v>
      </c>
      <c r="V199" s="3">
        <f t="shared" si="5"/>
        <v>1</v>
      </c>
      <c r="W199" s="3">
        <f t="shared" si="6"/>
        <v>2</v>
      </c>
      <c r="X199" s="3" t="str">
        <f>IFERROR(__xludf.DUMMYFUNCTION("split(B199,"" "")"),"T.")</f>
        <v>T.</v>
      </c>
      <c r="Y199" s="3" t="str">
        <f>IFERROR(__xludf.DUMMYFUNCTION("""COMPUTED_VALUE"""),"Tagovailoa")</f>
        <v>Tagovailoa</v>
      </c>
      <c r="AA199" s="8">
        <v>36.0</v>
      </c>
      <c r="AB199" s="3">
        <f t="shared" si="7"/>
        <v>1</v>
      </c>
      <c r="AC199" s="3">
        <f t="shared" si="8"/>
        <v>0</v>
      </c>
      <c r="AD199" s="3">
        <f t="shared" si="9"/>
        <v>0.9433962264</v>
      </c>
      <c r="AE199" s="3">
        <f t="shared" si="10"/>
        <v>-1</v>
      </c>
      <c r="AF199" s="3">
        <f t="shared" si="11"/>
        <v>-2</v>
      </c>
      <c r="AG199" s="3">
        <f t="shared" si="12"/>
        <v>-0.2203389831</v>
      </c>
    </row>
    <row r="200">
      <c r="A200" s="1" t="s">
        <v>9</v>
      </c>
      <c r="B200" s="1" t="s">
        <v>289</v>
      </c>
      <c r="C200" s="1" t="s">
        <v>19</v>
      </c>
      <c r="D200" s="1" t="s">
        <v>94</v>
      </c>
      <c r="E200" s="1" t="s">
        <v>134</v>
      </c>
      <c r="F200" s="1" t="s">
        <v>687</v>
      </c>
      <c r="G200" s="1">
        <v>101.5</v>
      </c>
      <c r="H200" s="1" t="s">
        <v>60</v>
      </c>
      <c r="I200" s="1">
        <v>-115.0</v>
      </c>
      <c r="J200" s="1">
        <v>-0.0893755703698029</v>
      </c>
      <c r="K200" s="1" t="s">
        <v>61</v>
      </c>
      <c r="L200" s="1" t="s">
        <v>61</v>
      </c>
      <c r="M200" s="1" t="s">
        <v>62</v>
      </c>
      <c r="N200" s="1">
        <v>-117.0</v>
      </c>
      <c r="O200" s="1">
        <v>0.0153357096175525</v>
      </c>
      <c r="P200" s="1" t="s">
        <v>61</v>
      </c>
      <c r="Q200" s="1" t="s">
        <v>61</v>
      </c>
      <c r="R200" s="1">
        <f t="shared" si="1"/>
        <v>0.01533570962</v>
      </c>
      <c r="S200" s="1">
        <f t="shared" si="2"/>
        <v>-117</v>
      </c>
      <c r="T200" s="1">
        <f t="shared" si="3"/>
        <v>1.854700855</v>
      </c>
      <c r="U200" s="1">
        <f t="shared" si="4"/>
        <v>0</v>
      </c>
      <c r="V200" s="3">
        <f t="shared" si="5"/>
        <v>1</v>
      </c>
      <c r="W200" s="3">
        <f t="shared" si="6"/>
        <v>2</v>
      </c>
      <c r="X200" s="3" t="str">
        <f>IFERROR(__xludf.DUMMYFUNCTION("split(B200,"" "")"),"D.")</f>
        <v>D.</v>
      </c>
      <c r="Y200" s="3" t="str">
        <f>IFERROR(__xludf.DUMMYFUNCTION("""COMPUTED_VALUE"""),"Achane")</f>
        <v>Achane</v>
      </c>
      <c r="AA200" s="8">
        <v>105.0</v>
      </c>
      <c r="AB200" s="3">
        <f t="shared" si="7"/>
        <v>1</v>
      </c>
      <c r="AC200" s="3">
        <f t="shared" si="8"/>
        <v>0</v>
      </c>
      <c r="AD200" s="3">
        <f t="shared" si="9"/>
        <v>0.8547008547</v>
      </c>
      <c r="AE200" s="3">
        <f t="shared" si="10"/>
        <v>-1</v>
      </c>
      <c r="AF200" s="3">
        <f t="shared" si="11"/>
        <v>-2</v>
      </c>
      <c r="AG200" s="3">
        <f t="shared" si="12"/>
        <v>-0.03448275862</v>
      </c>
    </row>
    <row r="201">
      <c r="A201" s="1" t="s">
        <v>10</v>
      </c>
      <c r="B201" s="1" t="s">
        <v>289</v>
      </c>
      <c r="C201" s="1" t="s">
        <v>19</v>
      </c>
      <c r="D201" s="1" t="s">
        <v>94</v>
      </c>
      <c r="E201" s="1" t="s">
        <v>134</v>
      </c>
      <c r="F201" s="1" t="s">
        <v>687</v>
      </c>
      <c r="G201" s="1">
        <v>61.5</v>
      </c>
      <c r="H201" s="1" t="s">
        <v>60</v>
      </c>
      <c r="I201" s="1">
        <v>-113.0</v>
      </c>
      <c r="J201" s="1">
        <v>-0.0729717541382138</v>
      </c>
      <c r="K201" s="1" t="s">
        <v>61</v>
      </c>
      <c r="L201" s="1" t="s">
        <v>61</v>
      </c>
      <c r="M201" s="1" t="s">
        <v>62</v>
      </c>
      <c r="N201" s="1">
        <v>-114.0</v>
      </c>
      <c r="O201" s="1">
        <v>0.00972506157068164</v>
      </c>
      <c r="P201" s="1" t="s">
        <v>61</v>
      </c>
      <c r="Q201" s="1" t="s">
        <v>61</v>
      </c>
      <c r="R201" s="1">
        <f t="shared" si="1"/>
        <v>0.009725061571</v>
      </c>
      <c r="S201" s="1">
        <f t="shared" si="2"/>
        <v>-114</v>
      </c>
      <c r="T201" s="1">
        <f t="shared" si="3"/>
        <v>1.877192982</v>
      </c>
      <c r="U201" s="1">
        <f t="shared" si="4"/>
        <v>0</v>
      </c>
      <c r="V201" s="3">
        <f t="shared" si="5"/>
        <v>1</v>
      </c>
      <c r="W201" s="3">
        <f t="shared" si="6"/>
        <v>2</v>
      </c>
      <c r="X201" s="3" t="str">
        <f>IFERROR(__xludf.DUMMYFUNCTION("split(B201,"" "")"),"D.")</f>
        <v>D.</v>
      </c>
      <c r="Y201" s="3" t="str">
        <f>IFERROR(__xludf.DUMMYFUNCTION("""COMPUTED_VALUE"""),"Achane")</f>
        <v>Achane</v>
      </c>
      <c r="AA201" s="8">
        <v>73.0</v>
      </c>
      <c r="AB201" s="3">
        <f t="shared" si="7"/>
        <v>1</v>
      </c>
      <c r="AC201" s="3">
        <f t="shared" si="8"/>
        <v>0</v>
      </c>
      <c r="AD201" s="3">
        <f t="shared" si="9"/>
        <v>0.8771929825</v>
      </c>
      <c r="AE201" s="3">
        <f t="shared" si="10"/>
        <v>-1</v>
      </c>
      <c r="AF201" s="3">
        <f t="shared" si="11"/>
        <v>-2</v>
      </c>
      <c r="AG201" s="3">
        <f t="shared" si="12"/>
        <v>-0.1869918699</v>
      </c>
    </row>
    <row r="202">
      <c r="A202" s="1" t="s">
        <v>9</v>
      </c>
      <c r="B202" s="1" t="s">
        <v>475</v>
      </c>
      <c r="C202" s="1" t="s">
        <v>18</v>
      </c>
      <c r="D202" s="1" t="s">
        <v>94</v>
      </c>
      <c r="E202" s="1" t="s">
        <v>134</v>
      </c>
      <c r="F202" s="1" t="s">
        <v>687</v>
      </c>
      <c r="G202" s="1">
        <v>44.5</v>
      </c>
      <c r="H202" s="1" t="s">
        <v>60</v>
      </c>
      <c r="I202" s="1">
        <v>-117.0</v>
      </c>
      <c r="J202" s="1">
        <v>0.00525690289476998</v>
      </c>
      <c r="K202" s="1" t="s">
        <v>61</v>
      </c>
      <c r="L202" s="1" t="s">
        <v>61</v>
      </c>
      <c r="M202" s="1" t="s">
        <v>62</v>
      </c>
      <c r="N202" s="1">
        <v>-115.0</v>
      </c>
      <c r="O202" s="1">
        <v>-0.0792994656622784</v>
      </c>
      <c r="P202" s="1" t="s">
        <v>61</v>
      </c>
      <c r="Q202" s="1" t="s">
        <v>61</v>
      </c>
      <c r="R202" s="1">
        <f t="shared" si="1"/>
        <v>0.005256902895</v>
      </c>
      <c r="S202" s="1">
        <f t="shared" si="2"/>
        <v>-117</v>
      </c>
      <c r="T202" s="1">
        <f t="shared" si="3"/>
        <v>1.854700855</v>
      </c>
      <c r="U202" s="1">
        <f t="shared" si="4"/>
        <v>1</v>
      </c>
      <c r="V202" s="3">
        <f t="shared" si="5"/>
        <v>1</v>
      </c>
      <c r="W202" s="3">
        <f t="shared" si="6"/>
        <v>2</v>
      </c>
      <c r="X202" s="3" t="str">
        <f>IFERROR(__xludf.DUMMYFUNCTION("split(B202,"" "")"),"J.")</f>
        <v>J.</v>
      </c>
      <c r="Y202" s="3" t="str">
        <f>IFERROR(__xludf.DUMMYFUNCTION("""COMPUTED_VALUE"""),"Waddle")</f>
        <v>Waddle</v>
      </c>
      <c r="AA202" s="8">
        <v>37.0</v>
      </c>
      <c r="AB202" s="3">
        <f t="shared" si="7"/>
        <v>0</v>
      </c>
      <c r="AC202" s="3">
        <f t="shared" si="8"/>
        <v>0</v>
      </c>
      <c r="AD202" s="3">
        <f t="shared" si="9"/>
        <v>0.8547008547</v>
      </c>
      <c r="AE202" s="3">
        <f t="shared" si="10"/>
        <v>-1</v>
      </c>
      <c r="AF202" s="3">
        <f t="shared" si="11"/>
        <v>-2</v>
      </c>
      <c r="AG202" s="3">
        <f t="shared" si="12"/>
        <v>-0.1685393258</v>
      </c>
    </row>
    <row r="203">
      <c r="A203" s="1" t="s">
        <v>10</v>
      </c>
      <c r="B203" s="1" t="s">
        <v>145</v>
      </c>
      <c r="C203" s="1" t="s">
        <v>21</v>
      </c>
      <c r="D203" s="1" t="s">
        <v>146</v>
      </c>
      <c r="E203" s="1" t="s">
        <v>100</v>
      </c>
      <c r="F203" s="1" t="s">
        <v>687</v>
      </c>
      <c r="G203" s="1">
        <v>13.5</v>
      </c>
      <c r="H203" s="1" t="s">
        <v>60</v>
      </c>
      <c r="I203" s="1">
        <v>-118.0</v>
      </c>
      <c r="J203" s="1">
        <v>-0.119568403535706</v>
      </c>
      <c r="K203" s="1" t="s">
        <v>61</v>
      </c>
      <c r="L203" s="1" t="s">
        <v>61</v>
      </c>
      <c r="M203" s="1" t="s">
        <v>62</v>
      </c>
      <c r="N203" s="1">
        <v>-109.0</v>
      </c>
      <c r="O203" s="1">
        <v>0.0567644021442799</v>
      </c>
      <c r="P203" s="1" t="s">
        <v>61</v>
      </c>
      <c r="Q203" s="1" t="s">
        <v>61</v>
      </c>
      <c r="R203" s="1">
        <f t="shared" si="1"/>
        <v>0.05676440214</v>
      </c>
      <c r="S203" s="1">
        <f t="shared" si="2"/>
        <v>-109</v>
      </c>
      <c r="T203" s="1">
        <f t="shared" si="3"/>
        <v>1.917431193</v>
      </c>
      <c r="U203" s="1">
        <f t="shared" si="4"/>
        <v>0</v>
      </c>
      <c r="V203" s="3">
        <f t="shared" si="5"/>
        <v>2</v>
      </c>
      <c r="W203" s="3">
        <f t="shared" si="6"/>
        <v>2</v>
      </c>
      <c r="X203" s="3" t="str">
        <f>IFERROR(__xludf.DUMMYFUNCTION("split(B203,"" "")"),"S.")</f>
        <v>S.</v>
      </c>
      <c r="Y203" s="3" t="str">
        <f>IFERROR(__xludf.DUMMYFUNCTION("""COMPUTED_VALUE"""),"Darnold")</f>
        <v>Darnold</v>
      </c>
      <c r="AA203" s="8">
        <v>18.0</v>
      </c>
      <c r="AB203" s="3">
        <f t="shared" si="7"/>
        <v>1</v>
      </c>
      <c r="AC203" s="3">
        <f t="shared" si="8"/>
        <v>0</v>
      </c>
      <c r="AD203" s="3">
        <f t="shared" si="9"/>
        <v>1.834862385</v>
      </c>
      <c r="AE203" s="3">
        <f t="shared" si="10"/>
        <v>-2</v>
      </c>
      <c r="AF203" s="3">
        <f t="shared" si="11"/>
        <v>-2</v>
      </c>
      <c r="AG203" s="3">
        <f t="shared" si="12"/>
        <v>-0.3333333333</v>
      </c>
    </row>
    <row r="204">
      <c r="A204" s="1" t="s">
        <v>16</v>
      </c>
      <c r="B204" s="1" t="s">
        <v>145</v>
      </c>
      <c r="C204" s="1" t="s">
        <v>21</v>
      </c>
      <c r="D204" s="1" t="s">
        <v>146</v>
      </c>
      <c r="E204" s="1" t="s">
        <v>100</v>
      </c>
      <c r="F204" s="1" t="s">
        <v>687</v>
      </c>
      <c r="G204" s="1">
        <v>29.5</v>
      </c>
      <c r="H204" s="1" t="s">
        <v>60</v>
      </c>
      <c r="I204" s="1">
        <v>-126.0</v>
      </c>
      <c r="J204" s="1">
        <v>-0.114143362433628</v>
      </c>
      <c r="K204" s="1" t="s">
        <v>61</v>
      </c>
      <c r="L204" s="1" t="s">
        <v>61</v>
      </c>
      <c r="M204" s="1" t="s">
        <v>62</v>
      </c>
      <c r="N204" s="1">
        <v>-103.0</v>
      </c>
      <c r="O204" s="1">
        <v>0.0492058517600985</v>
      </c>
      <c r="P204" s="1" t="s">
        <v>61</v>
      </c>
      <c r="Q204" s="1" t="s">
        <v>61</v>
      </c>
      <c r="R204" s="1">
        <f t="shared" si="1"/>
        <v>0.04920585176</v>
      </c>
      <c r="S204" s="1">
        <f t="shared" si="2"/>
        <v>-103</v>
      </c>
      <c r="T204" s="1">
        <f t="shared" si="3"/>
        <v>1.970873786</v>
      </c>
      <c r="U204" s="1">
        <f t="shared" si="4"/>
        <v>0</v>
      </c>
      <c r="V204" s="3">
        <f t="shared" si="5"/>
        <v>1</v>
      </c>
      <c r="W204" s="3">
        <f t="shared" si="6"/>
        <v>2</v>
      </c>
      <c r="X204" s="3" t="str">
        <f>IFERROR(__xludf.DUMMYFUNCTION("split(B204,"" "")"),"S.")</f>
        <v>S.</v>
      </c>
      <c r="Y204" s="3" t="str">
        <f>IFERROR(__xludf.DUMMYFUNCTION("""COMPUTED_VALUE"""),"Darnold")</f>
        <v>Darnold</v>
      </c>
      <c r="AA204" s="8">
        <v>32.0</v>
      </c>
      <c r="AB204" s="3">
        <f t="shared" si="7"/>
        <v>1</v>
      </c>
      <c r="AC204" s="3">
        <f t="shared" si="8"/>
        <v>0</v>
      </c>
      <c r="AD204" s="3">
        <f t="shared" si="9"/>
        <v>0.9708737864</v>
      </c>
      <c r="AE204" s="3">
        <f t="shared" si="10"/>
        <v>-1</v>
      </c>
      <c r="AF204" s="3">
        <f t="shared" si="11"/>
        <v>-2</v>
      </c>
      <c r="AG204" s="3">
        <f t="shared" si="12"/>
        <v>-0.08474576271</v>
      </c>
    </row>
    <row r="205">
      <c r="A205" s="1" t="s">
        <v>11</v>
      </c>
      <c r="B205" s="1" t="s">
        <v>654</v>
      </c>
      <c r="C205" s="1" t="s">
        <v>20</v>
      </c>
      <c r="D205" s="1" t="s">
        <v>146</v>
      </c>
      <c r="E205" s="1" t="s">
        <v>100</v>
      </c>
      <c r="F205" s="1" t="s">
        <v>687</v>
      </c>
      <c r="G205" s="1">
        <v>46.5</v>
      </c>
      <c r="H205" s="1" t="s">
        <v>60</v>
      </c>
      <c r="I205" s="1">
        <v>-113.0</v>
      </c>
      <c r="J205" s="1">
        <v>-0.100566472945774</v>
      </c>
      <c r="K205" s="1" t="s">
        <v>61</v>
      </c>
      <c r="L205" s="1" t="s">
        <v>61</v>
      </c>
      <c r="M205" s="1" t="s">
        <v>62</v>
      </c>
      <c r="N205" s="1">
        <v>-114.0</v>
      </c>
      <c r="O205" s="1">
        <v>0.0373456111704768</v>
      </c>
      <c r="P205" s="1" t="s">
        <v>61</v>
      </c>
      <c r="Q205" s="1" t="s">
        <v>61</v>
      </c>
      <c r="R205" s="1">
        <f t="shared" si="1"/>
        <v>0.03734561117</v>
      </c>
      <c r="S205" s="1">
        <f t="shared" si="2"/>
        <v>-114</v>
      </c>
      <c r="T205" s="1">
        <f t="shared" si="3"/>
        <v>1.877192982</v>
      </c>
      <c r="U205" s="1">
        <f t="shared" si="4"/>
        <v>0</v>
      </c>
      <c r="V205" s="3">
        <f t="shared" si="5"/>
        <v>1</v>
      </c>
      <c r="W205" s="3">
        <f t="shared" si="6"/>
        <v>2</v>
      </c>
      <c r="X205" s="3" t="str">
        <f>IFERROR(__xludf.DUMMYFUNCTION("split(B205,"" "")"),"T.")</f>
        <v>T.</v>
      </c>
      <c r="Y205" s="3" t="str">
        <f>IFERROR(__xludf.DUMMYFUNCTION("""COMPUTED_VALUE"""),"Hockenson")</f>
        <v>Hockenson</v>
      </c>
      <c r="AA205" s="8">
        <v>13.0</v>
      </c>
      <c r="AB205" s="3">
        <f t="shared" si="7"/>
        <v>0</v>
      </c>
      <c r="AC205" s="3">
        <f t="shared" si="8"/>
        <v>1</v>
      </c>
      <c r="AD205" s="3">
        <f t="shared" si="9"/>
        <v>0.8771929825</v>
      </c>
      <c r="AE205" s="3">
        <f t="shared" si="10"/>
        <v>0.8771929825</v>
      </c>
      <c r="AF205" s="3">
        <f t="shared" si="11"/>
        <v>1.754385965</v>
      </c>
      <c r="AG205" s="3">
        <f t="shared" si="12"/>
        <v>0.7204301075</v>
      </c>
    </row>
    <row r="206">
      <c r="A206" s="1" t="s">
        <v>12</v>
      </c>
      <c r="B206" s="1" t="s">
        <v>379</v>
      </c>
      <c r="C206" s="1" t="s">
        <v>18</v>
      </c>
      <c r="D206" s="1" t="s">
        <v>146</v>
      </c>
      <c r="E206" s="1" t="s">
        <v>100</v>
      </c>
      <c r="F206" s="1" t="s">
        <v>687</v>
      </c>
      <c r="G206" s="1">
        <v>5.5</v>
      </c>
      <c r="H206" s="1" t="s">
        <v>60</v>
      </c>
      <c r="I206" s="1">
        <v>-138.0</v>
      </c>
      <c r="J206" s="1">
        <v>0.0172680672268907</v>
      </c>
      <c r="K206" s="1" t="s">
        <v>61</v>
      </c>
      <c r="L206" s="1" t="s">
        <v>61</v>
      </c>
      <c r="M206" s="1" t="s">
        <v>62</v>
      </c>
      <c r="N206" s="1">
        <v>106.0</v>
      </c>
      <c r="O206" s="1">
        <v>-0.0825368932038834</v>
      </c>
      <c r="P206" s="1" t="s">
        <v>61</v>
      </c>
      <c r="Q206" s="1" t="s">
        <v>61</v>
      </c>
      <c r="R206" s="1">
        <f t="shared" si="1"/>
        <v>0.01726806723</v>
      </c>
      <c r="S206" s="1">
        <f t="shared" si="2"/>
        <v>-138</v>
      </c>
      <c r="T206" s="1">
        <f t="shared" si="3"/>
        <v>1.724637681</v>
      </c>
      <c r="U206" s="1">
        <f t="shared" si="4"/>
        <v>1</v>
      </c>
      <c r="V206" s="3">
        <f t="shared" si="5"/>
        <v>1</v>
      </c>
      <c r="W206" s="3">
        <f t="shared" si="6"/>
        <v>3</v>
      </c>
      <c r="X206" s="3" t="str">
        <f>IFERROR(__xludf.DUMMYFUNCTION("split(B206,"" "")"),"J.")</f>
        <v>J.</v>
      </c>
      <c r="Y206" s="3" t="str">
        <f>IFERROR(__xludf.DUMMYFUNCTION("""COMPUTED_VALUE"""),"Jefferson")</f>
        <v>Jefferson</v>
      </c>
      <c r="AA206" s="8">
        <v>6.0</v>
      </c>
      <c r="AB206" s="3">
        <f t="shared" si="7"/>
        <v>1</v>
      </c>
      <c r="AC206" s="3">
        <f t="shared" si="8"/>
        <v>1</v>
      </c>
      <c r="AD206" s="3">
        <f t="shared" si="9"/>
        <v>0.7246376812</v>
      </c>
      <c r="AE206" s="3">
        <f t="shared" si="10"/>
        <v>0.7246376812</v>
      </c>
      <c r="AF206" s="3">
        <f t="shared" si="11"/>
        <v>2.173913043</v>
      </c>
      <c r="AG206" s="3">
        <f t="shared" si="12"/>
        <v>0.09090909091</v>
      </c>
    </row>
    <row r="207">
      <c r="A207" s="1" t="s">
        <v>17</v>
      </c>
      <c r="B207" s="1" t="s">
        <v>145</v>
      </c>
      <c r="C207" s="1" t="s">
        <v>21</v>
      </c>
      <c r="D207" s="1" t="s">
        <v>146</v>
      </c>
      <c r="E207" s="1" t="s">
        <v>100</v>
      </c>
      <c r="F207" s="1" t="s">
        <v>687</v>
      </c>
      <c r="G207" s="1">
        <v>0.5</v>
      </c>
      <c r="H207" s="1" t="s">
        <v>60</v>
      </c>
      <c r="I207" s="1">
        <v>-117.0</v>
      </c>
      <c r="J207" s="1">
        <v>-0.0805244239631337</v>
      </c>
      <c r="K207" s="1" t="s">
        <v>61</v>
      </c>
      <c r="L207" s="1" t="s">
        <v>61</v>
      </c>
      <c r="M207" s="1" t="s">
        <v>62</v>
      </c>
      <c r="N207" s="1">
        <v>-112.0</v>
      </c>
      <c r="O207" s="1">
        <v>0.0130452830188677</v>
      </c>
      <c r="P207" s="1" t="s">
        <v>61</v>
      </c>
      <c r="Q207" s="1" t="s">
        <v>61</v>
      </c>
      <c r="R207" s="1">
        <f t="shared" si="1"/>
        <v>0.01304528302</v>
      </c>
      <c r="S207" s="1">
        <f t="shared" si="2"/>
        <v>-112</v>
      </c>
      <c r="T207" s="1">
        <f t="shared" si="3"/>
        <v>1.892857143</v>
      </c>
      <c r="U207" s="1">
        <f t="shared" si="4"/>
        <v>0</v>
      </c>
      <c r="V207" s="3">
        <f t="shared" si="5"/>
        <v>1</v>
      </c>
      <c r="W207" s="3">
        <f t="shared" si="6"/>
        <v>2</v>
      </c>
      <c r="X207" s="3" t="str">
        <f>IFERROR(__xludf.DUMMYFUNCTION("split(B207,"" "")"),"S.")</f>
        <v>S.</v>
      </c>
      <c r="Y207" s="3" t="str">
        <f>IFERROR(__xludf.DUMMYFUNCTION("""COMPUTED_VALUE"""),"Darnold")</f>
        <v>Darnold</v>
      </c>
      <c r="AA207" s="8">
        <v>0.0</v>
      </c>
      <c r="AB207" s="3">
        <f t="shared" si="7"/>
        <v>0</v>
      </c>
      <c r="AC207" s="3">
        <f t="shared" si="8"/>
        <v>1</v>
      </c>
      <c r="AD207" s="3">
        <f t="shared" si="9"/>
        <v>0.8928571429</v>
      </c>
      <c r="AE207" s="3">
        <f t="shared" si="10"/>
        <v>0.8928571429</v>
      </c>
      <c r="AF207" s="3">
        <f t="shared" si="11"/>
        <v>1.785714286</v>
      </c>
      <c r="AG207" s="3">
        <f t="shared" si="12"/>
        <v>1</v>
      </c>
    </row>
    <row r="208">
      <c r="A208" s="1" t="s">
        <v>14</v>
      </c>
      <c r="B208" s="1" t="s">
        <v>145</v>
      </c>
      <c r="C208" s="1" t="s">
        <v>21</v>
      </c>
      <c r="D208" s="1" t="s">
        <v>146</v>
      </c>
      <c r="E208" s="1" t="s">
        <v>100</v>
      </c>
      <c r="F208" s="1" t="s">
        <v>687</v>
      </c>
      <c r="G208" s="1">
        <v>1.5</v>
      </c>
      <c r="H208" s="1" t="s">
        <v>60</v>
      </c>
      <c r="I208" s="1">
        <v>101.0</v>
      </c>
      <c r="J208" s="1">
        <v>-0.0775621890547264</v>
      </c>
      <c r="K208" s="1" t="s">
        <v>61</v>
      </c>
      <c r="L208" s="1" t="s">
        <v>61</v>
      </c>
      <c r="M208" s="1" t="s">
        <v>62</v>
      </c>
      <c r="N208" s="1">
        <v>-131.0</v>
      </c>
      <c r="O208" s="1">
        <v>0.012943722943723</v>
      </c>
      <c r="P208" s="1" t="s">
        <v>61</v>
      </c>
      <c r="Q208" s="1" t="s">
        <v>61</v>
      </c>
      <c r="R208" s="1">
        <f t="shared" si="1"/>
        <v>0.01294372294</v>
      </c>
      <c r="S208" s="1">
        <f t="shared" si="2"/>
        <v>-131</v>
      </c>
      <c r="T208" s="1">
        <f t="shared" si="3"/>
        <v>1.763358779</v>
      </c>
      <c r="U208" s="1">
        <f t="shared" si="4"/>
        <v>0</v>
      </c>
      <c r="V208" s="3">
        <f t="shared" si="5"/>
        <v>1</v>
      </c>
      <c r="W208" s="3">
        <f t="shared" si="6"/>
        <v>3</v>
      </c>
      <c r="X208" s="3" t="str">
        <f>IFERROR(__xludf.DUMMYFUNCTION("split(B208,"" "")"),"S.")</f>
        <v>S.</v>
      </c>
      <c r="Y208" s="3" t="str">
        <f>IFERROR(__xludf.DUMMYFUNCTION("""COMPUTED_VALUE"""),"Darnold")</f>
        <v>Darnold</v>
      </c>
      <c r="AA208" s="8">
        <v>2.0</v>
      </c>
      <c r="AB208" s="3">
        <f t="shared" si="7"/>
        <v>1</v>
      </c>
      <c r="AC208" s="3">
        <f t="shared" si="8"/>
        <v>0</v>
      </c>
      <c r="AD208" s="3">
        <f t="shared" si="9"/>
        <v>0.7633587786</v>
      </c>
      <c r="AE208" s="3">
        <f t="shared" si="10"/>
        <v>-1</v>
      </c>
      <c r="AF208" s="3">
        <f t="shared" si="11"/>
        <v>-3</v>
      </c>
      <c r="AG208" s="3">
        <f t="shared" si="12"/>
        <v>-0.3333333333</v>
      </c>
    </row>
    <row r="209">
      <c r="A209" s="1" t="s">
        <v>13</v>
      </c>
      <c r="B209" s="1" t="s">
        <v>145</v>
      </c>
      <c r="C209" s="1" t="s">
        <v>21</v>
      </c>
      <c r="D209" s="1" t="s">
        <v>146</v>
      </c>
      <c r="E209" s="1" t="s">
        <v>100</v>
      </c>
      <c r="F209" s="1" t="s">
        <v>687</v>
      </c>
      <c r="G209" s="1">
        <v>239.5</v>
      </c>
      <c r="H209" s="1" t="s">
        <v>60</v>
      </c>
      <c r="I209" s="1">
        <v>-113.0</v>
      </c>
      <c r="J209" s="1">
        <v>-0.0748633802816899</v>
      </c>
      <c r="K209" s="1" t="s">
        <v>61</v>
      </c>
      <c r="L209" s="1" t="s">
        <v>61</v>
      </c>
      <c r="M209" s="1" t="s">
        <v>62</v>
      </c>
      <c r="N209" s="1">
        <v>-114.0</v>
      </c>
      <c r="O209" s="1">
        <v>0.0116429906542054</v>
      </c>
      <c r="P209" s="1" t="s">
        <v>61</v>
      </c>
      <c r="Q209" s="1" t="s">
        <v>61</v>
      </c>
      <c r="R209" s="1">
        <f t="shared" si="1"/>
        <v>0.01164299065</v>
      </c>
      <c r="S209" s="1">
        <f t="shared" si="2"/>
        <v>-114</v>
      </c>
      <c r="T209" s="1">
        <f t="shared" si="3"/>
        <v>1.877192982</v>
      </c>
      <c r="U209" s="1">
        <f t="shared" si="4"/>
        <v>0</v>
      </c>
      <c r="V209" s="3">
        <f t="shared" si="5"/>
        <v>1</v>
      </c>
      <c r="W209" s="3">
        <f t="shared" si="6"/>
        <v>2</v>
      </c>
      <c r="X209" s="3" t="str">
        <f>IFERROR(__xludf.DUMMYFUNCTION("split(B209,"" "")"),"S.")</f>
        <v>S.</v>
      </c>
      <c r="Y209" s="3" t="str">
        <f>IFERROR(__xludf.DUMMYFUNCTION("""COMPUTED_VALUE"""),"Darnold")</f>
        <v>Darnold</v>
      </c>
      <c r="AA209" s="8">
        <v>246.0</v>
      </c>
      <c r="AB209" s="3">
        <f t="shared" si="7"/>
        <v>1</v>
      </c>
      <c r="AC209" s="3">
        <f t="shared" si="8"/>
        <v>0</v>
      </c>
      <c r="AD209" s="3">
        <f t="shared" si="9"/>
        <v>0.8771929825</v>
      </c>
      <c r="AE209" s="3">
        <f t="shared" si="10"/>
        <v>-1</v>
      </c>
      <c r="AF209" s="3">
        <f t="shared" si="11"/>
        <v>-2</v>
      </c>
      <c r="AG209" s="3">
        <f t="shared" si="12"/>
        <v>-0.02713987474</v>
      </c>
    </row>
    <row r="210">
      <c r="A210" s="1" t="s">
        <v>15</v>
      </c>
      <c r="B210" s="1" t="s">
        <v>145</v>
      </c>
      <c r="C210" s="1" t="s">
        <v>21</v>
      </c>
      <c r="D210" s="1" t="s">
        <v>146</v>
      </c>
      <c r="E210" s="1" t="s">
        <v>100</v>
      </c>
      <c r="F210" s="1" t="s">
        <v>687</v>
      </c>
      <c r="G210" s="1">
        <v>20.5</v>
      </c>
      <c r="H210" s="1" t="s">
        <v>60</v>
      </c>
      <c r="I210" s="1">
        <v>100.0</v>
      </c>
      <c r="J210" s="1">
        <v>0.0115549238</v>
      </c>
      <c r="K210" s="1" t="s">
        <v>61</v>
      </c>
      <c r="L210" s="1" t="s">
        <v>61</v>
      </c>
      <c r="M210" s="1" t="s">
        <v>62</v>
      </c>
      <c r="N210" s="1">
        <v>-132.0</v>
      </c>
      <c r="O210" s="1">
        <v>-0.0805004305310345</v>
      </c>
      <c r="P210" s="1" t="s">
        <v>61</v>
      </c>
      <c r="Q210" s="1" t="s">
        <v>61</v>
      </c>
      <c r="R210" s="1">
        <f t="shared" si="1"/>
        <v>0.0115549238</v>
      </c>
      <c r="S210" s="1">
        <f t="shared" si="2"/>
        <v>100</v>
      </c>
      <c r="T210" s="1">
        <f t="shared" si="3"/>
        <v>2</v>
      </c>
      <c r="U210" s="1">
        <f t="shared" si="4"/>
        <v>1</v>
      </c>
      <c r="V210" s="3">
        <f t="shared" si="5"/>
        <v>1</v>
      </c>
      <c r="W210" s="3">
        <f t="shared" si="6"/>
        <v>2</v>
      </c>
      <c r="X210" s="3" t="str">
        <f>IFERROR(__xludf.DUMMYFUNCTION("split(B210,"" "")"),"S.")</f>
        <v>S.</v>
      </c>
      <c r="Y210" s="3" t="str">
        <f>IFERROR(__xludf.DUMMYFUNCTION("""COMPUTED_VALUE"""),"Darnold")</f>
        <v>Darnold</v>
      </c>
      <c r="AA210" s="8">
        <v>20.0</v>
      </c>
      <c r="AB210" s="3">
        <f t="shared" si="7"/>
        <v>0</v>
      </c>
      <c r="AC210" s="3">
        <f t="shared" si="8"/>
        <v>0</v>
      </c>
      <c r="AD210" s="3">
        <f t="shared" si="9"/>
        <v>1</v>
      </c>
      <c r="AE210" s="3">
        <f t="shared" si="10"/>
        <v>-1</v>
      </c>
      <c r="AF210" s="3">
        <f t="shared" si="11"/>
        <v>-2</v>
      </c>
      <c r="AG210" s="3">
        <f t="shared" si="12"/>
        <v>-0.0243902439</v>
      </c>
    </row>
    <row r="211">
      <c r="A211" s="1" t="s">
        <v>12</v>
      </c>
      <c r="B211" s="1" t="s">
        <v>476</v>
      </c>
      <c r="C211" s="1" t="s">
        <v>19</v>
      </c>
      <c r="D211" s="1" t="s">
        <v>66</v>
      </c>
      <c r="E211" s="1" t="s">
        <v>196</v>
      </c>
      <c r="F211" s="1" t="s">
        <v>687</v>
      </c>
      <c r="G211" s="1">
        <v>2.5</v>
      </c>
      <c r="H211" s="1" t="s">
        <v>60</v>
      </c>
      <c r="I211" s="1">
        <v>-114.0</v>
      </c>
      <c r="J211" s="1">
        <v>-0.212162229158878</v>
      </c>
      <c r="K211" s="1" t="s">
        <v>61</v>
      </c>
      <c r="L211" s="1" t="s">
        <v>61</v>
      </c>
      <c r="M211" s="1" t="s">
        <v>62</v>
      </c>
      <c r="N211" s="1">
        <v>-116.0</v>
      </c>
      <c r="O211" s="1">
        <v>0.142407739659259</v>
      </c>
      <c r="P211" s="1" t="s">
        <v>61</v>
      </c>
      <c r="Q211" s="1" t="s">
        <v>61</v>
      </c>
      <c r="R211" s="1">
        <f t="shared" si="1"/>
        <v>0.1424077397</v>
      </c>
      <c r="S211" s="1">
        <f t="shared" si="2"/>
        <v>-116</v>
      </c>
      <c r="T211" s="1">
        <f t="shared" si="3"/>
        <v>1.862068966</v>
      </c>
      <c r="U211" s="1">
        <f t="shared" si="4"/>
        <v>0</v>
      </c>
      <c r="V211" s="3">
        <f t="shared" si="5"/>
        <v>3</v>
      </c>
      <c r="W211" s="3">
        <f t="shared" si="6"/>
        <v>2</v>
      </c>
      <c r="X211" s="3" t="str">
        <f>IFERROR(__xludf.DUMMYFUNCTION("split(B211,"" "")"),"R.")</f>
        <v>R.</v>
      </c>
      <c r="Y211" s="3" t="str">
        <f>IFERROR(__xludf.DUMMYFUNCTION("""COMPUTED_VALUE"""),"Stevenson")</f>
        <v>Stevenson</v>
      </c>
      <c r="AA211" s="8">
        <v>4.0</v>
      </c>
      <c r="AB211" s="3">
        <f t="shared" si="7"/>
        <v>1</v>
      </c>
      <c r="AC211" s="3">
        <f t="shared" si="8"/>
        <v>0</v>
      </c>
      <c r="AD211" s="3">
        <f t="shared" si="9"/>
        <v>2.586206897</v>
      </c>
      <c r="AE211" s="3">
        <f t="shared" si="10"/>
        <v>-3</v>
      </c>
      <c r="AF211" s="3">
        <f t="shared" si="11"/>
        <v>-2</v>
      </c>
      <c r="AG211" s="3">
        <f t="shared" si="12"/>
        <v>-0.6</v>
      </c>
    </row>
    <row r="212">
      <c r="A212" s="1" t="s">
        <v>12</v>
      </c>
      <c r="B212" s="1" t="s">
        <v>628</v>
      </c>
      <c r="C212" s="1" t="s">
        <v>18</v>
      </c>
      <c r="D212" s="1" t="s">
        <v>66</v>
      </c>
      <c r="E212" s="1" t="s">
        <v>196</v>
      </c>
      <c r="F212" s="1" t="s">
        <v>687</v>
      </c>
      <c r="G212" s="1">
        <v>2.5</v>
      </c>
      <c r="H212" s="1" t="s">
        <v>60</v>
      </c>
      <c r="I212" s="1">
        <v>-117.0</v>
      </c>
      <c r="J212" s="1">
        <v>-0.200561070368663</v>
      </c>
      <c r="K212" s="1" t="s">
        <v>61</v>
      </c>
      <c r="L212" s="1" t="s">
        <v>61</v>
      </c>
      <c r="M212" s="1" t="s">
        <v>62</v>
      </c>
      <c r="N212" s="1">
        <v>-112.0</v>
      </c>
      <c r="O212" s="1">
        <v>0.133101936520754</v>
      </c>
      <c r="P212" s="1" t="s">
        <v>61</v>
      </c>
      <c r="Q212" s="1" t="s">
        <v>61</v>
      </c>
      <c r="R212" s="1">
        <f t="shared" si="1"/>
        <v>0.1331019365</v>
      </c>
      <c r="S212" s="1">
        <f t="shared" si="2"/>
        <v>-112</v>
      </c>
      <c r="T212" s="1">
        <f t="shared" si="3"/>
        <v>1.892857143</v>
      </c>
      <c r="U212" s="1">
        <f t="shared" si="4"/>
        <v>0</v>
      </c>
      <c r="V212" s="3">
        <f t="shared" si="5"/>
        <v>3</v>
      </c>
      <c r="W212" s="3">
        <f t="shared" si="6"/>
        <v>2</v>
      </c>
      <c r="X212" s="3" t="str">
        <f>IFERROR(__xludf.DUMMYFUNCTION("split(B212,"" "")"),"K.")</f>
        <v>K.</v>
      </c>
      <c r="Y212" s="3" t="str">
        <f>IFERROR(__xludf.DUMMYFUNCTION("""COMPUTED_VALUE"""),"Boutte")</f>
        <v>Boutte</v>
      </c>
      <c r="AA212" s="8">
        <v>4.0</v>
      </c>
      <c r="AB212" s="3">
        <f t="shared" si="7"/>
        <v>1</v>
      </c>
      <c r="AC212" s="3">
        <f t="shared" si="8"/>
        <v>0</v>
      </c>
      <c r="AD212" s="3">
        <f t="shared" si="9"/>
        <v>2.678571429</v>
      </c>
      <c r="AE212" s="3">
        <f t="shared" si="10"/>
        <v>-3</v>
      </c>
      <c r="AF212" s="3">
        <f t="shared" si="11"/>
        <v>-2</v>
      </c>
      <c r="AG212" s="3">
        <f t="shared" si="12"/>
        <v>-0.6</v>
      </c>
    </row>
    <row r="213">
      <c r="A213" s="1" t="s">
        <v>12</v>
      </c>
      <c r="B213" s="1" t="s">
        <v>140</v>
      </c>
      <c r="C213" s="1" t="s">
        <v>20</v>
      </c>
      <c r="D213" s="1" t="s">
        <v>66</v>
      </c>
      <c r="E213" s="1" t="s">
        <v>196</v>
      </c>
      <c r="F213" s="1" t="s">
        <v>687</v>
      </c>
      <c r="G213" s="1">
        <v>3.5</v>
      </c>
      <c r="H213" s="1" t="s">
        <v>60</v>
      </c>
      <c r="I213" s="1">
        <v>-119.0</v>
      </c>
      <c r="J213" s="1">
        <v>-0.144478995433789</v>
      </c>
      <c r="K213" s="1" t="s">
        <v>61</v>
      </c>
      <c r="L213" s="1" t="s">
        <v>61</v>
      </c>
      <c r="M213" s="1" t="s">
        <v>62</v>
      </c>
      <c r="N213" s="1">
        <v>-110.0</v>
      </c>
      <c r="O213" s="1">
        <v>0.0772904761904761</v>
      </c>
      <c r="P213" s="1" t="s">
        <v>61</v>
      </c>
      <c r="Q213" s="1" t="s">
        <v>61</v>
      </c>
      <c r="R213" s="1">
        <f t="shared" si="1"/>
        <v>0.07729047619</v>
      </c>
      <c r="S213" s="1">
        <f t="shared" si="2"/>
        <v>-110</v>
      </c>
      <c r="T213" s="1">
        <f t="shared" si="3"/>
        <v>1.909090909</v>
      </c>
      <c r="U213" s="1">
        <f t="shared" si="4"/>
        <v>0</v>
      </c>
      <c r="V213" s="3">
        <f t="shared" si="5"/>
        <v>2</v>
      </c>
      <c r="W213" s="3">
        <f t="shared" si="6"/>
        <v>2</v>
      </c>
      <c r="X213" s="3" t="str">
        <f>IFERROR(__xludf.DUMMYFUNCTION("split(B213,"" "")"),"H.")</f>
        <v>H.</v>
      </c>
      <c r="Y213" s="3" t="str">
        <f>IFERROR(__xludf.DUMMYFUNCTION("""COMPUTED_VALUE"""),"Henry")</f>
        <v>Henry</v>
      </c>
      <c r="AA213" s="8">
        <v>6.0</v>
      </c>
      <c r="AB213" s="3">
        <f t="shared" si="7"/>
        <v>1</v>
      </c>
      <c r="AC213" s="3">
        <f t="shared" si="8"/>
        <v>0</v>
      </c>
      <c r="AD213" s="3">
        <f t="shared" si="9"/>
        <v>1.818181818</v>
      </c>
      <c r="AE213" s="3">
        <f t="shared" si="10"/>
        <v>-2</v>
      </c>
      <c r="AF213" s="3">
        <f t="shared" si="11"/>
        <v>-2</v>
      </c>
      <c r="AG213" s="3">
        <f t="shared" si="12"/>
        <v>-0.7142857143</v>
      </c>
    </row>
    <row r="214">
      <c r="A214" s="1" t="s">
        <v>9</v>
      </c>
      <c r="B214" s="1" t="s">
        <v>476</v>
      </c>
      <c r="C214" s="1" t="s">
        <v>19</v>
      </c>
      <c r="D214" s="1" t="s">
        <v>66</v>
      </c>
      <c r="E214" s="1" t="s">
        <v>196</v>
      </c>
      <c r="F214" s="1" t="s">
        <v>687</v>
      </c>
      <c r="G214" s="1">
        <v>75.5</v>
      </c>
      <c r="H214" s="1" t="s">
        <v>60</v>
      </c>
      <c r="I214" s="1">
        <v>-115.0</v>
      </c>
      <c r="J214" s="1">
        <v>-0.138401821893983</v>
      </c>
      <c r="K214" s="1" t="s">
        <v>61</v>
      </c>
      <c r="L214" s="1" t="s">
        <v>61</v>
      </c>
      <c r="M214" s="1" t="s">
        <v>62</v>
      </c>
      <c r="N214" s="1">
        <v>-118.0</v>
      </c>
      <c r="O214" s="1">
        <v>0.06223666153442</v>
      </c>
      <c r="P214" s="1" t="s">
        <v>61</v>
      </c>
      <c r="Q214" s="1" t="s">
        <v>61</v>
      </c>
      <c r="R214" s="1">
        <f t="shared" si="1"/>
        <v>0.06223666153</v>
      </c>
      <c r="S214" s="1">
        <f t="shared" si="2"/>
        <v>-118</v>
      </c>
      <c r="T214" s="1">
        <f t="shared" si="3"/>
        <v>1.847457627</v>
      </c>
      <c r="U214" s="1">
        <f t="shared" si="4"/>
        <v>0</v>
      </c>
      <c r="V214" s="3">
        <f t="shared" si="5"/>
        <v>2</v>
      </c>
      <c r="W214" s="3">
        <f t="shared" si="6"/>
        <v>3</v>
      </c>
      <c r="X214" s="3" t="str">
        <f>IFERROR(__xludf.DUMMYFUNCTION("split(B214,"" "")"),"R.")</f>
        <v>R.</v>
      </c>
      <c r="Y214" s="3" t="str">
        <f>IFERROR(__xludf.DUMMYFUNCTION("""COMPUTED_VALUE"""),"Stevenson")</f>
        <v>Stevenson</v>
      </c>
      <c r="AA214" s="8">
        <v>89.0</v>
      </c>
      <c r="AB214" s="3">
        <f t="shared" si="7"/>
        <v>1</v>
      </c>
      <c r="AC214" s="3">
        <f t="shared" si="8"/>
        <v>0</v>
      </c>
      <c r="AD214" s="3">
        <f t="shared" si="9"/>
        <v>1.694915254</v>
      </c>
      <c r="AE214" s="3">
        <f t="shared" si="10"/>
        <v>-2</v>
      </c>
      <c r="AF214" s="3">
        <f t="shared" si="11"/>
        <v>-3</v>
      </c>
      <c r="AG214" s="3">
        <f t="shared" si="12"/>
        <v>-0.178807947</v>
      </c>
    </row>
    <row r="215">
      <c r="A215" s="1" t="s">
        <v>16</v>
      </c>
      <c r="B215" s="1" t="s">
        <v>621</v>
      </c>
      <c r="C215" s="1" t="s">
        <v>21</v>
      </c>
      <c r="D215" s="1" t="s">
        <v>66</v>
      </c>
      <c r="E215" s="1" t="s">
        <v>196</v>
      </c>
      <c r="F215" s="1" t="s">
        <v>687</v>
      </c>
      <c r="G215" s="1">
        <v>30.5</v>
      </c>
      <c r="H215" s="1" t="s">
        <v>60</v>
      </c>
      <c r="I215" s="1">
        <v>-119.0</v>
      </c>
      <c r="J215" s="1">
        <v>-0.126476744109589</v>
      </c>
      <c r="K215" s="1" t="s">
        <v>61</v>
      </c>
      <c r="L215" s="1" t="s">
        <v>61</v>
      </c>
      <c r="M215" s="1" t="s">
        <v>62</v>
      </c>
      <c r="N215" s="1">
        <v>-110.0</v>
      </c>
      <c r="O215" s="1">
        <v>0.0592878935999998</v>
      </c>
      <c r="P215" s="1" t="s">
        <v>61</v>
      </c>
      <c r="Q215" s="1" t="s">
        <v>61</v>
      </c>
      <c r="R215" s="1">
        <f t="shared" si="1"/>
        <v>0.0592878936</v>
      </c>
      <c r="S215" s="1">
        <f t="shared" si="2"/>
        <v>-110</v>
      </c>
      <c r="T215" s="1">
        <f t="shared" si="3"/>
        <v>1.909090909</v>
      </c>
      <c r="U215" s="1">
        <f t="shared" si="4"/>
        <v>0</v>
      </c>
      <c r="V215" s="3">
        <f t="shared" si="5"/>
        <v>2</v>
      </c>
      <c r="W215" s="3">
        <f t="shared" si="6"/>
        <v>2</v>
      </c>
      <c r="X215" s="3" t="str">
        <f>IFERROR(__xludf.DUMMYFUNCTION("split(B215,"" "")"),"D.")</f>
        <v>D.</v>
      </c>
      <c r="Y215" s="3" t="str">
        <f>IFERROR(__xludf.DUMMYFUNCTION("""COMPUTED_VALUE"""),"Maye")</f>
        <v>Maye</v>
      </c>
      <c r="AA215" s="8">
        <v>39.0</v>
      </c>
      <c r="AB215" s="3">
        <f t="shared" si="7"/>
        <v>1</v>
      </c>
      <c r="AC215" s="3">
        <f t="shared" si="8"/>
        <v>0</v>
      </c>
      <c r="AD215" s="3">
        <f t="shared" si="9"/>
        <v>1.818181818</v>
      </c>
      <c r="AE215" s="3">
        <f t="shared" si="10"/>
        <v>-2</v>
      </c>
      <c r="AF215" s="3">
        <f t="shared" si="11"/>
        <v>-2</v>
      </c>
      <c r="AG215" s="3">
        <f t="shared" si="12"/>
        <v>-0.2786885246</v>
      </c>
    </row>
    <row r="216">
      <c r="A216" s="1" t="s">
        <v>10</v>
      </c>
      <c r="B216" s="1" t="s">
        <v>476</v>
      </c>
      <c r="C216" s="1" t="s">
        <v>19</v>
      </c>
      <c r="D216" s="1" t="s">
        <v>66</v>
      </c>
      <c r="E216" s="1" t="s">
        <v>196</v>
      </c>
      <c r="F216" s="1" t="s">
        <v>687</v>
      </c>
      <c r="G216" s="1">
        <v>55.5</v>
      </c>
      <c r="H216" s="1" t="s">
        <v>60</v>
      </c>
      <c r="I216" s="1">
        <v>-114.0</v>
      </c>
      <c r="J216" s="1">
        <v>-0.124979609777283</v>
      </c>
      <c r="K216" s="1" t="s">
        <v>61</v>
      </c>
      <c r="L216" s="1" t="s">
        <v>61</v>
      </c>
      <c r="M216" s="1" t="s">
        <v>62</v>
      </c>
      <c r="N216" s="1">
        <v>-116.0</v>
      </c>
      <c r="O216" s="1">
        <v>0.0552711527912263</v>
      </c>
      <c r="P216" s="1" t="s">
        <v>61</v>
      </c>
      <c r="Q216" s="1" t="s">
        <v>61</v>
      </c>
      <c r="R216" s="1">
        <f t="shared" si="1"/>
        <v>0.05527115279</v>
      </c>
      <c r="S216" s="1">
        <f t="shared" si="2"/>
        <v>-116</v>
      </c>
      <c r="T216" s="1">
        <f t="shared" si="3"/>
        <v>1.862068966</v>
      </c>
      <c r="U216" s="1">
        <f t="shared" si="4"/>
        <v>0</v>
      </c>
      <c r="V216" s="3">
        <f t="shared" si="5"/>
        <v>2</v>
      </c>
      <c r="W216" s="3">
        <f t="shared" si="6"/>
        <v>2</v>
      </c>
      <c r="X216" s="3" t="str">
        <f>IFERROR(__xludf.DUMMYFUNCTION("split(B216,"" "")"),"R.")</f>
        <v>R.</v>
      </c>
      <c r="Y216" s="3" t="str">
        <f>IFERROR(__xludf.DUMMYFUNCTION("""COMPUTED_VALUE"""),"Stevenson")</f>
        <v>Stevenson</v>
      </c>
      <c r="AA216" s="8">
        <v>73.0</v>
      </c>
      <c r="AB216" s="3">
        <f t="shared" si="7"/>
        <v>1</v>
      </c>
      <c r="AC216" s="3">
        <f t="shared" si="8"/>
        <v>0</v>
      </c>
      <c r="AD216" s="3">
        <f t="shared" si="9"/>
        <v>1.724137931</v>
      </c>
      <c r="AE216" s="3">
        <f t="shared" si="10"/>
        <v>-2</v>
      </c>
      <c r="AF216" s="3">
        <f t="shared" si="11"/>
        <v>-2</v>
      </c>
      <c r="AG216" s="3">
        <f t="shared" si="12"/>
        <v>-0.3153153153</v>
      </c>
    </row>
    <row r="217">
      <c r="A217" s="1" t="s">
        <v>12</v>
      </c>
      <c r="B217" s="1" t="s">
        <v>131</v>
      </c>
      <c r="C217" s="1" t="s">
        <v>18</v>
      </c>
      <c r="D217" s="1" t="s">
        <v>66</v>
      </c>
      <c r="E217" s="1" t="s">
        <v>196</v>
      </c>
      <c r="F217" s="1" t="s">
        <v>687</v>
      </c>
      <c r="G217" s="1">
        <v>3.5</v>
      </c>
      <c r="H217" s="1" t="s">
        <v>60</v>
      </c>
      <c r="I217" s="1">
        <v>-118.0</v>
      </c>
      <c r="J217" s="1">
        <v>-0.121830275229357</v>
      </c>
      <c r="K217" s="1" t="s">
        <v>61</v>
      </c>
      <c r="L217" s="1" t="s">
        <v>61</v>
      </c>
      <c r="M217" s="1" t="s">
        <v>62</v>
      </c>
      <c r="N217" s="1">
        <v>-112.0</v>
      </c>
      <c r="O217" s="1">
        <v>0.0522509433962263</v>
      </c>
      <c r="P217" s="1" t="s">
        <v>61</v>
      </c>
      <c r="Q217" s="1" t="s">
        <v>61</v>
      </c>
      <c r="R217" s="1">
        <f t="shared" si="1"/>
        <v>0.0522509434</v>
      </c>
      <c r="S217" s="1">
        <f t="shared" si="2"/>
        <v>-112</v>
      </c>
      <c r="T217" s="1">
        <f t="shared" si="3"/>
        <v>1.892857143</v>
      </c>
      <c r="U217" s="1">
        <f t="shared" si="4"/>
        <v>0</v>
      </c>
      <c r="V217" s="3">
        <f t="shared" si="5"/>
        <v>2</v>
      </c>
      <c r="W217" s="3">
        <f t="shared" si="6"/>
        <v>2</v>
      </c>
      <c r="X217" s="3" t="str">
        <f>IFERROR(__xludf.DUMMYFUNCTION("split(B217,"" "")"),"D.")</f>
        <v>D.</v>
      </c>
      <c r="Y217" s="3" t="str">
        <f>IFERROR(__xludf.DUMMYFUNCTION("""COMPUTED_VALUE"""),"Douglas")</f>
        <v>Douglas</v>
      </c>
      <c r="AA217" s="8">
        <v>4.0</v>
      </c>
      <c r="AB217" s="3">
        <f t="shared" si="7"/>
        <v>1</v>
      </c>
      <c r="AC217" s="3">
        <f t="shared" si="8"/>
        <v>0</v>
      </c>
      <c r="AD217" s="3">
        <f t="shared" si="9"/>
        <v>1.785714286</v>
      </c>
      <c r="AE217" s="3">
        <f t="shared" si="10"/>
        <v>-2</v>
      </c>
      <c r="AF217" s="3">
        <f t="shared" si="11"/>
        <v>-2</v>
      </c>
      <c r="AG217" s="3">
        <f t="shared" si="12"/>
        <v>-0.1428571429</v>
      </c>
    </row>
    <row r="218">
      <c r="A218" s="1" t="s">
        <v>9</v>
      </c>
      <c r="B218" s="1" t="s">
        <v>131</v>
      </c>
      <c r="C218" s="1" t="s">
        <v>18</v>
      </c>
      <c r="D218" s="1" t="s">
        <v>66</v>
      </c>
      <c r="E218" s="1" t="s">
        <v>196</v>
      </c>
      <c r="F218" s="1" t="s">
        <v>687</v>
      </c>
      <c r="G218" s="1">
        <v>35.5</v>
      </c>
      <c r="H218" s="1" t="s">
        <v>60</v>
      </c>
      <c r="I218" s="1">
        <v>-114.0</v>
      </c>
      <c r="J218" s="1">
        <v>0.0345637324877841</v>
      </c>
      <c r="K218" s="1" t="s">
        <v>61</v>
      </c>
      <c r="L218" s="1" t="s">
        <v>61</v>
      </c>
      <c r="M218" s="1" t="s">
        <v>62</v>
      </c>
      <c r="N218" s="1">
        <v>-118.0</v>
      </c>
      <c r="O218" s="1">
        <v>-0.108570136366125</v>
      </c>
      <c r="P218" s="1" t="s">
        <v>61</v>
      </c>
      <c r="Q218" s="1" t="s">
        <v>61</v>
      </c>
      <c r="R218" s="1">
        <f t="shared" si="1"/>
        <v>0.03456373249</v>
      </c>
      <c r="S218" s="1">
        <f t="shared" si="2"/>
        <v>-114</v>
      </c>
      <c r="T218" s="1">
        <f t="shared" si="3"/>
        <v>1.877192982</v>
      </c>
      <c r="U218" s="1">
        <f t="shared" si="4"/>
        <v>1</v>
      </c>
      <c r="V218" s="3">
        <f t="shared" si="5"/>
        <v>1</v>
      </c>
      <c r="W218" s="3">
        <f t="shared" si="6"/>
        <v>2</v>
      </c>
      <c r="X218" s="3" t="str">
        <f>IFERROR(__xludf.DUMMYFUNCTION("split(B218,"" "")"),"D.")</f>
        <v>D.</v>
      </c>
      <c r="Y218" s="3" t="str">
        <f>IFERROR(__xludf.DUMMYFUNCTION("""COMPUTED_VALUE"""),"Douglas")</f>
        <v>Douglas</v>
      </c>
      <c r="AA218" s="8">
        <v>59.0</v>
      </c>
      <c r="AB218" s="3">
        <f t="shared" si="7"/>
        <v>1</v>
      </c>
      <c r="AC218" s="3">
        <f t="shared" si="8"/>
        <v>1</v>
      </c>
      <c r="AD218" s="3">
        <f t="shared" si="9"/>
        <v>0.8771929825</v>
      </c>
      <c r="AE218" s="3">
        <f t="shared" si="10"/>
        <v>0.8771929825</v>
      </c>
      <c r="AF218" s="3">
        <f t="shared" si="11"/>
        <v>1.754385965</v>
      </c>
      <c r="AG218" s="3">
        <f t="shared" si="12"/>
        <v>0.661971831</v>
      </c>
    </row>
    <row r="219">
      <c r="A219" s="1" t="s">
        <v>14</v>
      </c>
      <c r="B219" s="1" t="s">
        <v>621</v>
      </c>
      <c r="C219" s="1" t="s">
        <v>21</v>
      </c>
      <c r="D219" s="1" t="s">
        <v>66</v>
      </c>
      <c r="E219" s="1" t="s">
        <v>196</v>
      </c>
      <c r="F219" s="1" t="s">
        <v>687</v>
      </c>
      <c r="G219" s="1">
        <v>1.5</v>
      </c>
      <c r="H219" s="1" t="s">
        <v>60</v>
      </c>
      <c r="I219" s="1">
        <v>182.0</v>
      </c>
      <c r="J219" s="1">
        <v>0.034154609929078</v>
      </c>
      <c r="K219" s="1" t="s">
        <v>61</v>
      </c>
      <c r="L219" s="1" t="s">
        <v>61</v>
      </c>
      <c r="M219" s="1" t="s">
        <v>62</v>
      </c>
      <c r="N219" s="1">
        <v>-249.0</v>
      </c>
      <c r="O219" s="1">
        <v>-0.102238395415472</v>
      </c>
      <c r="P219" s="1" t="s">
        <v>61</v>
      </c>
      <c r="Q219" s="1" t="s">
        <v>61</v>
      </c>
      <c r="R219" s="1">
        <f t="shared" si="1"/>
        <v>0.03415460993</v>
      </c>
      <c r="S219" s="1">
        <f t="shared" si="2"/>
        <v>182</v>
      </c>
      <c r="T219" s="1">
        <f t="shared" si="3"/>
        <v>2.82</v>
      </c>
      <c r="U219" s="1">
        <f t="shared" si="4"/>
        <v>1</v>
      </c>
      <c r="V219" s="3">
        <f t="shared" si="5"/>
        <v>1</v>
      </c>
      <c r="W219" s="3">
        <f t="shared" si="6"/>
        <v>1</v>
      </c>
      <c r="X219" s="3" t="str">
        <f>IFERROR(__xludf.DUMMYFUNCTION("split(B219,"" "")"),"D.")</f>
        <v>D.</v>
      </c>
      <c r="Y219" s="3" t="str">
        <f>IFERROR(__xludf.DUMMYFUNCTION("""COMPUTED_VALUE"""),"Maye")</f>
        <v>Maye</v>
      </c>
      <c r="AA219" s="8">
        <v>2.0</v>
      </c>
      <c r="AB219" s="3">
        <f t="shared" si="7"/>
        <v>1</v>
      </c>
      <c r="AC219" s="3">
        <f t="shared" si="8"/>
        <v>1</v>
      </c>
      <c r="AD219" s="3">
        <f t="shared" si="9"/>
        <v>1.82</v>
      </c>
      <c r="AE219" s="3">
        <f t="shared" si="10"/>
        <v>1.82</v>
      </c>
      <c r="AF219" s="3">
        <f t="shared" si="11"/>
        <v>1.82</v>
      </c>
      <c r="AG219" s="3">
        <f t="shared" si="12"/>
        <v>0.3333333333</v>
      </c>
    </row>
    <row r="220">
      <c r="A220" s="1" t="s">
        <v>17</v>
      </c>
      <c r="B220" s="1" t="s">
        <v>621</v>
      </c>
      <c r="C220" s="1" t="s">
        <v>21</v>
      </c>
      <c r="D220" s="1" t="s">
        <v>66</v>
      </c>
      <c r="E220" s="1" t="s">
        <v>196</v>
      </c>
      <c r="F220" s="1" t="s">
        <v>687</v>
      </c>
      <c r="G220" s="1">
        <v>0.5</v>
      </c>
      <c r="H220" s="1" t="s">
        <v>60</v>
      </c>
      <c r="I220" s="1">
        <v>-133.0</v>
      </c>
      <c r="J220" s="1">
        <v>-0.101572532188841</v>
      </c>
      <c r="K220" s="1" t="s">
        <v>61</v>
      </c>
      <c r="L220" s="1" t="s">
        <v>61</v>
      </c>
      <c r="M220" s="1" t="s">
        <v>62</v>
      </c>
      <c r="N220" s="1">
        <v>101.0</v>
      </c>
      <c r="O220" s="1">
        <v>0.0332378109452735</v>
      </c>
      <c r="P220" s="1" t="s">
        <v>61</v>
      </c>
      <c r="Q220" s="1" t="s">
        <v>61</v>
      </c>
      <c r="R220" s="1">
        <f t="shared" si="1"/>
        <v>0.03323781095</v>
      </c>
      <c r="S220" s="1">
        <f t="shared" si="2"/>
        <v>101</v>
      </c>
      <c r="T220" s="1">
        <f t="shared" si="3"/>
        <v>2.01</v>
      </c>
      <c r="U220" s="1">
        <f t="shared" si="4"/>
        <v>0</v>
      </c>
      <c r="V220" s="3">
        <f t="shared" si="5"/>
        <v>1</v>
      </c>
      <c r="W220" s="3">
        <f t="shared" si="6"/>
        <v>2</v>
      </c>
      <c r="X220" s="3" t="str">
        <f>IFERROR(__xludf.DUMMYFUNCTION("split(B220,"" "")"),"D.")</f>
        <v>D.</v>
      </c>
      <c r="Y220" s="3" t="str">
        <f>IFERROR(__xludf.DUMMYFUNCTION("""COMPUTED_VALUE"""),"Maye")</f>
        <v>Maye</v>
      </c>
      <c r="AA220" s="8">
        <v>1.0</v>
      </c>
      <c r="AB220" s="3">
        <f t="shared" si="7"/>
        <v>1</v>
      </c>
      <c r="AC220" s="3">
        <f t="shared" si="8"/>
        <v>0</v>
      </c>
      <c r="AD220" s="3">
        <f t="shared" si="9"/>
        <v>1.01</v>
      </c>
      <c r="AE220" s="3">
        <f t="shared" si="10"/>
        <v>-1</v>
      </c>
      <c r="AF220" s="3">
        <f t="shared" si="11"/>
        <v>-2</v>
      </c>
      <c r="AG220" s="3">
        <f t="shared" si="12"/>
        <v>-1</v>
      </c>
    </row>
    <row r="221">
      <c r="A221" s="1" t="s">
        <v>11</v>
      </c>
      <c r="B221" s="1" t="s">
        <v>628</v>
      </c>
      <c r="C221" s="1" t="s">
        <v>18</v>
      </c>
      <c r="D221" s="1" t="s">
        <v>66</v>
      </c>
      <c r="E221" s="1" t="s">
        <v>196</v>
      </c>
      <c r="F221" s="1" t="s">
        <v>687</v>
      </c>
      <c r="G221" s="1">
        <v>32.5</v>
      </c>
      <c r="H221" s="1" t="s">
        <v>60</v>
      </c>
      <c r="I221" s="1">
        <v>-115.0</v>
      </c>
      <c r="J221" s="1">
        <v>-0.0903532605952095</v>
      </c>
      <c r="K221" s="1" t="s">
        <v>61</v>
      </c>
      <c r="L221" s="1" t="s">
        <v>61</v>
      </c>
      <c r="M221" s="1" t="s">
        <v>62</v>
      </c>
      <c r="N221" s="1">
        <v>-114.0</v>
      </c>
      <c r="O221" s="1">
        <v>0.0227687487389525</v>
      </c>
      <c r="P221" s="1" t="s">
        <v>61</v>
      </c>
      <c r="Q221" s="1" t="s">
        <v>61</v>
      </c>
      <c r="R221" s="1">
        <f t="shared" si="1"/>
        <v>0.02276874874</v>
      </c>
      <c r="S221" s="1">
        <f t="shared" si="2"/>
        <v>-114</v>
      </c>
      <c r="T221" s="1">
        <f t="shared" si="3"/>
        <v>1.877192982</v>
      </c>
      <c r="U221" s="1">
        <f t="shared" si="4"/>
        <v>0</v>
      </c>
      <c r="V221" s="3">
        <f t="shared" si="5"/>
        <v>1</v>
      </c>
      <c r="W221" s="3">
        <f t="shared" si="6"/>
        <v>2</v>
      </c>
      <c r="X221" s="3" t="str">
        <f>IFERROR(__xludf.DUMMYFUNCTION("split(B221,"" "")"),"K.")</f>
        <v>K.</v>
      </c>
      <c r="Y221" s="3" t="str">
        <f>IFERROR(__xludf.DUMMYFUNCTION("""COMPUTED_VALUE"""),"Boutte")</f>
        <v>Boutte</v>
      </c>
      <c r="AA221" s="8">
        <v>33.0</v>
      </c>
      <c r="AB221" s="3">
        <f t="shared" si="7"/>
        <v>1</v>
      </c>
      <c r="AC221" s="3">
        <f t="shared" si="8"/>
        <v>0</v>
      </c>
      <c r="AD221" s="3">
        <f t="shared" si="9"/>
        <v>0.8771929825</v>
      </c>
      <c r="AE221" s="3">
        <f t="shared" si="10"/>
        <v>-1</v>
      </c>
      <c r="AF221" s="3">
        <f t="shared" si="11"/>
        <v>-2</v>
      </c>
      <c r="AG221" s="3">
        <f t="shared" si="12"/>
        <v>-0.01538461538</v>
      </c>
    </row>
    <row r="222">
      <c r="A222" s="1" t="s">
        <v>15</v>
      </c>
      <c r="B222" s="1" t="s">
        <v>621</v>
      </c>
      <c r="C222" s="1" t="s">
        <v>21</v>
      </c>
      <c r="D222" s="1" t="s">
        <v>66</v>
      </c>
      <c r="E222" s="1" t="s">
        <v>196</v>
      </c>
      <c r="F222" s="1" t="s">
        <v>687</v>
      </c>
      <c r="G222" s="1">
        <v>19.5</v>
      </c>
      <c r="H222" s="1" t="s">
        <v>60</v>
      </c>
      <c r="I222" s="1">
        <v>-115.0</v>
      </c>
      <c r="J222" s="1">
        <v>-0.0848822455813954</v>
      </c>
      <c r="K222" s="1" t="s">
        <v>61</v>
      </c>
      <c r="L222" s="1" t="s">
        <v>61</v>
      </c>
      <c r="M222" s="1" t="s">
        <v>62</v>
      </c>
      <c r="N222" s="1">
        <v>-115.0</v>
      </c>
      <c r="O222" s="1">
        <v>0.0151145824186045</v>
      </c>
      <c r="P222" s="1" t="s">
        <v>61</v>
      </c>
      <c r="Q222" s="1" t="s">
        <v>61</v>
      </c>
      <c r="R222" s="1">
        <f t="shared" si="1"/>
        <v>0.01511458242</v>
      </c>
      <c r="S222" s="1">
        <f t="shared" si="2"/>
        <v>-115</v>
      </c>
      <c r="T222" s="1">
        <f t="shared" si="3"/>
        <v>1.869565217</v>
      </c>
      <c r="U222" s="1">
        <f t="shared" si="4"/>
        <v>0</v>
      </c>
      <c r="V222" s="3">
        <f t="shared" si="5"/>
        <v>1</v>
      </c>
      <c r="W222" s="3">
        <f t="shared" si="6"/>
        <v>2</v>
      </c>
      <c r="X222" s="3" t="str">
        <f>IFERROR(__xludf.DUMMYFUNCTION("split(B222,"" "")"),"D.")</f>
        <v>D.</v>
      </c>
      <c r="Y222" s="3" t="str">
        <f>IFERROR(__xludf.DUMMYFUNCTION("""COMPUTED_VALUE"""),"Maye")</f>
        <v>Maye</v>
      </c>
      <c r="AA222" s="8">
        <v>29.0</v>
      </c>
      <c r="AB222" s="3">
        <f t="shared" si="7"/>
        <v>1</v>
      </c>
      <c r="AC222" s="3">
        <f t="shared" si="8"/>
        <v>0</v>
      </c>
      <c r="AD222" s="3">
        <f t="shared" si="9"/>
        <v>0.8695652174</v>
      </c>
      <c r="AE222" s="3">
        <f t="shared" si="10"/>
        <v>-1</v>
      </c>
      <c r="AF222" s="3">
        <f t="shared" si="11"/>
        <v>-2</v>
      </c>
      <c r="AG222" s="3">
        <f t="shared" si="12"/>
        <v>-0.4871794872</v>
      </c>
    </row>
    <row r="223">
      <c r="A223" s="1" t="s">
        <v>11</v>
      </c>
      <c r="B223" s="1" t="s">
        <v>140</v>
      </c>
      <c r="C223" s="1" t="s">
        <v>20</v>
      </c>
      <c r="D223" s="1" t="s">
        <v>66</v>
      </c>
      <c r="E223" s="1" t="s">
        <v>196</v>
      </c>
      <c r="F223" s="1" t="s">
        <v>687</v>
      </c>
      <c r="G223" s="1">
        <v>36.5</v>
      </c>
      <c r="H223" s="1" t="s">
        <v>60</v>
      </c>
      <c r="I223" s="1">
        <v>-113.0</v>
      </c>
      <c r="J223" s="1">
        <v>-0.0828673500408921</v>
      </c>
      <c r="K223" s="1" t="s">
        <v>61</v>
      </c>
      <c r="L223" s="1" t="s">
        <v>61</v>
      </c>
      <c r="M223" s="1" t="s">
        <v>62</v>
      </c>
      <c r="N223" s="1">
        <v>-117.0</v>
      </c>
      <c r="O223" s="1">
        <v>0.0131573253638144</v>
      </c>
      <c r="P223" s="1" t="s">
        <v>61</v>
      </c>
      <c r="Q223" s="1" t="s">
        <v>61</v>
      </c>
      <c r="R223" s="1">
        <f t="shared" si="1"/>
        <v>0.01315732536</v>
      </c>
      <c r="S223" s="1">
        <f t="shared" si="2"/>
        <v>-117</v>
      </c>
      <c r="T223" s="1">
        <f t="shared" si="3"/>
        <v>1.854700855</v>
      </c>
      <c r="U223" s="1">
        <f t="shared" si="4"/>
        <v>0</v>
      </c>
      <c r="V223" s="3">
        <f t="shared" si="5"/>
        <v>1</v>
      </c>
      <c r="W223" s="3">
        <f t="shared" si="6"/>
        <v>2</v>
      </c>
      <c r="X223" s="3" t="str">
        <f>IFERROR(__xludf.DUMMYFUNCTION("split(B223,"" "")"),"H.")</f>
        <v>H.</v>
      </c>
      <c r="Y223" s="3" t="str">
        <f>IFERROR(__xludf.DUMMYFUNCTION("""COMPUTED_VALUE"""),"Henry")</f>
        <v>Henry</v>
      </c>
      <c r="AA223" s="8">
        <v>63.0</v>
      </c>
      <c r="AB223" s="3">
        <f t="shared" si="7"/>
        <v>1</v>
      </c>
      <c r="AC223" s="3">
        <f t="shared" si="8"/>
        <v>0</v>
      </c>
      <c r="AD223" s="3">
        <f t="shared" si="9"/>
        <v>0.8547008547</v>
      </c>
      <c r="AE223" s="3">
        <f t="shared" si="10"/>
        <v>-1</v>
      </c>
      <c r="AF223" s="3">
        <f t="shared" si="11"/>
        <v>-2</v>
      </c>
      <c r="AG223" s="3">
        <f t="shared" si="12"/>
        <v>-0.7260273973</v>
      </c>
    </row>
    <row r="224">
      <c r="A224" s="1" t="s">
        <v>9</v>
      </c>
      <c r="B224" s="1" t="s">
        <v>628</v>
      </c>
      <c r="C224" s="1" t="s">
        <v>18</v>
      </c>
      <c r="D224" s="1" t="s">
        <v>66</v>
      </c>
      <c r="E224" s="1" t="s">
        <v>196</v>
      </c>
      <c r="F224" s="1" t="s">
        <v>687</v>
      </c>
      <c r="G224" s="1">
        <v>32.5</v>
      </c>
      <c r="H224" s="1" t="s">
        <v>60</v>
      </c>
      <c r="I224" s="1">
        <v>-118.0</v>
      </c>
      <c r="J224" s="1">
        <v>0.0122259957144302</v>
      </c>
      <c r="K224" s="1" t="s">
        <v>61</v>
      </c>
      <c r="L224" s="1" t="s">
        <v>61</v>
      </c>
      <c r="M224" s="1" t="s">
        <v>62</v>
      </c>
      <c r="N224" s="1">
        <v>-115.0</v>
      </c>
      <c r="O224" s="1">
        <v>-0.0883792424446868</v>
      </c>
      <c r="P224" s="1" t="s">
        <v>61</v>
      </c>
      <c r="Q224" s="1" t="s">
        <v>61</v>
      </c>
      <c r="R224" s="1">
        <f t="shared" si="1"/>
        <v>0.01222599571</v>
      </c>
      <c r="S224" s="1">
        <f t="shared" si="2"/>
        <v>-118</v>
      </c>
      <c r="T224" s="1">
        <f t="shared" si="3"/>
        <v>1.847457627</v>
      </c>
      <c r="U224" s="1">
        <f t="shared" si="4"/>
        <v>1</v>
      </c>
      <c r="V224" s="3">
        <f t="shared" si="5"/>
        <v>1</v>
      </c>
      <c r="W224" s="3">
        <f t="shared" si="6"/>
        <v>3</v>
      </c>
      <c r="X224" s="3" t="str">
        <f>IFERROR(__xludf.DUMMYFUNCTION("split(B224,"" "")"),"K.")</f>
        <v>K.</v>
      </c>
      <c r="Y224" s="3" t="str">
        <f>IFERROR(__xludf.DUMMYFUNCTION("""COMPUTED_VALUE"""),"Boutte")</f>
        <v>Boutte</v>
      </c>
      <c r="AA224" s="8">
        <v>33.0</v>
      </c>
      <c r="AB224" s="3">
        <f t="shared" si="7"/>
        <v>1</v>
      </c>
      <c r="AC224" s="3">
        <f t="shared" si="8"/>
        <v>1</v>
      </c>
      <c r="AD224" s="3">
        <f t="shared" si="9"/>
        <v>0.8474576271</v>
      </c>
      <c r="AE224" s="3">
        <f t="shared" si="10"/>
        <v>0.8474576271</v>
      </c>
      <c r="AF224" s="3">
        <f t="shared" si="11"/>
        <v>2.542372881</v>
      </c>
      <c r="AG224" s="3">
        <f t="shared" si="12"/>
        <v>0.01538461538</v>
      </c>
    </row>
    <row r="225">
      <c r="A225" s="1" t="s">
        <v>10</v>
      </c>
      <c r="B225" s="1" t="s">
        <v>621</v>
      </c>
      <c r="C225" s="1" t="s">
        <v>21</v>
      </c>
      <c r="D225" s="1" t="s">
        <v>66</v>
      </c>
      <c r="E225" s="1" t="s">
        <v>196</v>
      </c>
      <c r="F225" s="1" t="s">
        <v>687</v>
      </c>
      <c r="G225" s="1">
        <v>27.5</v>
      </c>
      <c r="H225" s="1" t="s">
        <v>60</v>
      </c>
      <c r="I225" s="1">
        <v>-112.0</v>
      </c>
      <c r="J225" s="1">
        <v>-0.0751293683401996</v>
      </c>
      <c r="K225" s="1" t="s">
        <v>61</v>
      </c>
      <c r="L225" s="1" t="s">
        <v>61</v>
      </c>
      <c r="M225" s="1" t="s">
        <v>62</v>
      </c>
      <c r="N225" s="1">
        <v>-116.0</v>
      </c>
      <c r="O225" s="1">
        <v>0.00983580676954565</v>
      </c>
      <c r="P225" s="1" t="s">
        <v>61</v>
      </c>
      <c r="Q225" s="1" t="s">
        <v>61</v>
      </c>
      <c r="R225" s="1">
        <f t="shared" si="1"/>
        <v>0.00983580677</v>
      </c>
      <c r="S225" s="1">
        <f t="shared" si="2"/>
        <v>-116</v>
      </c>
      <c r="T225" s="1">
        <f t="shared" si="3"/>
        <v>1.862068966</v>
      </c>
      <c r="U225" s="1">
        <f t="shared" si="4"/>
        <v>0</v>
      </c>
      <c r="V225" s="3">
        <f t="shared" si="5"/>
        <v>1</v>
      </c>
      <c r="W225" s="3">
        <f t="shared" si="6"/>
        <v>2</v>
      </c>
      <c r="X225" s="3" t="str">
        <f>IFERROR(__xludf.DUMMYFUNCTION("split(B225,"" "")"),"D.")</f>
        <v>D.</v>
      </c>
      <c r="Y225" s="3" t="str">
        <f>IFERROR(__xludf.DUMMYFUNCTION("""COMPUTED_VALUE"""),"Maye")</f>
        <v>Maye</v>
      </c>
      <c r="AA225" s="8">
        <v>27.0</v>
      </c>
      <c r="AB225" s="3">
        <f t="shared" si="7"/>
        <v>0</v>
      </c>
      <c r="AC225" s="3">
        <f t="shared" si="8"/>
        <v>1</v>
      </c>
      <c r="AD225" s="3">
        <f t="shared" si="9"/>
        <v>0.8620689655</v>
      </c>
      <c r="AE225" s="3">
        <f t="shared" si="10"/>
        <v>0.8620689655</v>
      </c>
      <c r="AF225" s="3">
        <f t="shared" si="11"/>
        <v>1.724137931</v>
      </c>
      <c r="AG225" s="3">
        <f t="shared" si="12"/>
        <v>0.01818181818</v>
      </c>
    </row>
    <row r="226">
      <c r="A226" s="1" t="s">
        <v>12</v>
      </c>
      <c r="B226" s="1" t="s">
        <v>193</v>
      </c>
      <c r="C226" s="1" t="s">
        <v>20</v>
      </c>
      <c r="D226" s="1" t="s">
        <v>58</v>
      </c>
      <c r="E226" s="1" t="s">
        <v>89</v>
      </c>
      <c r="F226" s="1" t="s">
        <v>687</v>
      </c>
      <c r="G226" s="1">
        <v>2.5</v>
      </c>
      <c r="H226" s="1" t="s">
        <v>60</v>
      </c>
      <c r="I226" s="1">
        <v>-113.0</v>
      </c>
      <c r="J226" s="1">
        <v>-0.20346805140845</v>
      </c>
      <c r="K226" s="1" t="s">
        <v>61</v>
      </c>
      <c r="L226" s="1" t="s">
        <v>61</v>
      </c>
      <c r="M226" s="1" t="s">
        <v>62</v>
      </c>
      <c r="N226" s="1">
        <v>-118.0</v>
      </c>
      <c r="O226" s="1">
        <v>0.131659816701835</v>
      </c>
      <c r="P226" s="1" t="s">
        <v>61</v>
      </c>
      <c r="Q226" s="1" t="s">
        <v>61</v>
      </c>
      <c r="R226" s="1">
        <f t="shared" si="1"/>
        <v>0.1316598167</v>
      </c>
      <c r="S226" s="1">
        <f t="shared" si="2"/>
        <v>-118</v>
      </c>
      <c r="T226" s="1">
        <f t="shared" si="3"/>
        <v>1.847457627</v>
      </c>
      <c r="U226" s="1">
        <f t="shared" si="4"/>
        <v>0</v>
      </c>
      <c r="V226" s="3">
        <f t="shared" si="5"/>
        <v>3</v>
      </c>
      <c r="W226" s="3">
        <f t="shared" si="6"/>
        <v>3</v>
      </c>
      <c r="X226" s="3" t="str">
        <f>IFERROR(__xludf.DUMMYFUNCTION("split(B226,"" "")"),"J.")</f>
        <v>J.</v>
      </c>
      <c r="Y226" s="3" t="str">
        <f>IFERROR(__xludf.DUMMYFUNCTION("""COMPUTED_VALUE"""),"Johnson")</f>
        <v>Johnson</v>
      </c>
      <c r="AA226" s="8">
        <v>3.0</v>
      </c>
      <c r="AB226" s="3">
        <f t="shared" si="7"/>
        <v>1</v>
      </c>
      <c r="AC226" s="3">
        <f t="shared" si="8"/>
        <v>0</v>
      </c>
      <c r="AD226" s="3">
        <f t="shared" si="9"/>
        <v>2.542372881</v>
      </c>
      <c r="AE226" s="3">
        <f t="shared" si="10"/>
        <v>-3</v>
      </c>
      <c r="AF226" s="3">
        <f t="shared" si="11"/>
        <v>-3</v>
      </c>
      <c r="AG226" s="3">
        <f t="shared" si="12"/>
        <v>-0.2</v>
      </c>
    </row>
    <row r="227">
      <c r="A227" s="1" t="s">
        <v>10</v>
      </c>
      <c r="B227" s="1" t="s">
        <v>287</v>
      </c>
      <c r="C227" s="1" t="s">
        <v>21</v>
      </c>
      <c r="D227" s="1" t="s">
        <v>58</v>
      </c>
      <c r="E227" s="1" t="s">
        <v>89</v>
      </c>
      <c r="F227" s="1" t="s">
        <v>687</v>
      </c>
      <c r="G227" s="1">
        <v>0.5</v>
      </c>
      <c r="H227" s="1" t="s">
        <v>60</v>
      </c>
      <c r="I227" s="1">
        <v>-119.0</v>
      </c>
      <c r="J227" s="1">
        <v>0.109569182114363</v>
      </c>
      <c r="K227" s="1" t="s">
        <v>61</v>
      </c>
      <c r="L227" s="1" t="s">
        <v>61</v>
      </c>
      <c r="M227" s="1" t="s">
        <v>62</v>
      </c>
      <c r="N227" s="1">
        <v>-110.0</v>
      </c>
      <c r="O227" s="1">
        <v>-0.176750076054455</v>
      </c>
      <c r="P227" s="1" t="s">
        <v>61</v>
      </c>
      <c r="Q227" s="1" t="s">
        <v>61</v>
      </c>
      <c r="R227" s="1">
        <f t="shared" si="1"/>
        <v>0.1095691821</v>
      </c>
      <c r="S227" s="1">
        <f t="shared" si="2"/>
        <v>-119</v>
      </c>
      <c r="T227" s="1">
        <f t="shared" si="3"/>
        <v>1.840336134</v>
      </c>
      <c r="U227" s="1">
        <f t="shared" si="4"/>
        <v>1</v>
      </c>
      <c r="V227" s="3">
        <f t="shared" si="5"/>
        <v>3</v>
      </c>
      <c r="W227" s="3">
        <f t="shared" si="6"/>
        <v>3</v>
      </c>
      <c r="X227" s="3" t="str">
        <f>IFERROR(__xludf.DUMMYFUNCTION("split(B227,"" "")"),"D.")</f>
        <v>D.</v>
      </c>
      <c r="Y227" s="3" t="str">
        <f>IFERROR(__xludf.DUMMYFUNCTION("""COMPUTED_VALUE"""),"Carr")</f>
        <v>Carr</v>
      </c>
      <c r="AA227" s="8">
        <v>8.0</v>
      </c>
      <c r="AB227" s="3">
        <f t="shared" si="7"/>
        <v>1</v>
      </c>
      <c r="AC227" s="3">
        <f t="shared" si="8"/>
        <v>1</v>
      </c>
      <c r="AD227" s="3">
        <f t="shared" si="9"/>
        <v>2.521008403</v>
      </c>
      <c r="AE227" s="3">
        <f t="shared" si="10"/>
        <v>2.521008403</v>
      </c>
      <c r="AF227" s="3">
        <f t="shared" si="11"/>
        <v>2.521008403</v>
      </c>
      <c r="AG227" s="3">
        <f t="shared" si="12"/>
        <v>15</v>
      </c>
    </row>
    <row r="228">
      <c r="A228" s="1" t="s">
        <v>14</v>
      </c>
      <c r="B228" s="1" t="s">
        <v>287</v>
      </c>
      <c r="C228" s="1" t="s">
        <v>21</v>
      </c>
      <c r="D228" s="1" t="s">
        <v>58</v>
      </c>
      <c r="E228" s="1" t="s">
        <v>89</v>
      </c>
      <c r="F228" s="1" t="s">
        <v>687</v>
      </c>
      <c r="G228" s="1">
        <v>1.5</v>
      </c>
      <c r="H228" s="1" t="s">
        <v>60</v>
      </c>
      <c r="I228" s="1">
        <v>189.0</v>
      </c>
      <c r="J228" s="1">
        <v>0.0834792387543252</v>
      </c>
      <c r="K228" s="1" t="s">
        <v>61</v>
      </c>
      <c r="L228" s="1" t="s">
        <v>61</v>
      </c>
      <c r="M228" s="1" t="s">
        <v>62</v>
      </c>
      <c r="N228" s="1">
        <v>-257.0</v>
      </c>
      <c r="O228" s="1">
        <v>-0.149387955182072</v>
      </c>
      <c r="P228" s="1" t="s">
        <v>61</v>
      </c>
      <c r="Q228" s="1" t="s">
        <v>61</v>
      </c>
      <c r="R228" s="1">
        <f t="shared" si="1"/>
        <v>0.08347923875</v>
      </c>
      <c r="S228" s="1">
        <f t="shared" si="2"/>
        <v>189</v>
      </c>
      <c r="T228" s="1">
        <f t="shared" si="3"/>
        <v>2.89</v>
      </c>
      <c r="U228" s="1">
        <f t="shared" si="4"/>
        <v>1</v>
      </c>
      <c r="V228" s="3">
        <f t="shared" si="5"/>
        <v>2</v>
      </c>
      <c r="W228" s="3">
        <f t="shared" si="6"/>
        <v>1</v>
      </c>
      <c r="X228" s="3" t="str">
        <f>IFERROR(__xludf.DUMMYFUNCTION("split(B228,"" "")"),"D.")</f>
        <v>D.</v>
      </c>
      <c r="Y228" s="3" t="str">
        <f>IFERROR(__xludf.DUMMYFUNCTION("""COMPUTED_VALUE"""),"Carr")</f>
        <v>Carr</v>
      </c>
      <c r="AA228" s="8">
        <v>2.0</v>
      </c>
      <c r="AB228" s="3">
        <f t="shared" si="7"/>
        <v>1</v>
      </c>
      <c r="AC228" s="3">
        <f t="shared" si="8"/>
        <v>1</v>
      </c>
      <c r="AD228" s="3">
        <f t="shared" si="9"/>
        <v>3.78</v>
      </c>
      <c r="AE228" s="3">
        <f t="shared" si="10"/>
        <v>3.78</v>
      </c>
      <c r="AF228" s="3">
        <f t="shared" si="11"/>
        <v>1.89</v>
      </c>
      <c r="AG228" s="3">
        <f t="shared" si="12"/>
        <v>0.3333333333</v>
      </c>
    </row>
    <row r="229">
      <c r="A229" s="1" t="s">
        <v>10</v>
      </c>
      <c r="B229" s="1" t="s">
        <v>441</v>
      </c>
      <c r="C229" s="1" t="s">
        <v>20</v>
      </c>
      <c r="D229" s="1" t="s">
        <v>58</v>
      </c>
      <c r="E229" s="1" t="s">
        <v>89</v>
      </c>
      <c r="F229" s="1" t="s">
        <v>687</v>
      </c>
      <c r="G229" s="1">
        <v>24.5</v>
      </c>
      <c r="H229" s="1" t="s">
        <v>60</v>
      </c>
      <c r="I229" s="1">
        <v>-115.0</v>
      </c>
      <c r="J229" s="1">
        <v>-0.146144382243896</v>
      </c>
      <c r="K229" s="1" t="s">
        <v>61</v>
      </c>
      <c r="L229" s="1" t="s">
        <v>61</v>
      </c>
      <c r="M229" s="1" t="s">
        <v>62</v>
      </c>
      <c r="N229" s="1">
        <v>-114.0</v>
      </c>
      <c r="O229" s="1">
        <v>0.078573729383079</v>
      </c>
      <c r="P229" s="1" t="s">
        <v>61</v>
      </c>
      <c r="Q229" s="1" t="s">
        <v>61</v>
      </c>
      <c r="R229" s="1">
        <f t="shared" si="1"/>
        <v>0.07857372938</v>
      </c>
      <c r="S229" s="1">
        <f t="shared" si="2"/>
        <v>-114</v>
      </c>
      <c r="T229" s="1">
        <f t="shared" si="3"/>
        <v>1.877192982</v>
      </c>
      <c r="U229" s="1">
        <f t="shared" si="4"/>
        <v>0</v>
      </c>
      <c r="V229" s="3">
        <f t="shared" si="5"/>
        <v>2</v>
      </c>
      <c r="W229" s="3">
        <f t="shared" si="6"/>
        <v>2</v>
      </c>
      <c r="X229" s="3" t="str">
        <f>IFERROR(__xludf.DUMMYFUNCTION("split(B229,"" "")"),"T.")</f>
        <v>T.</v>
      </c>
      <c r="Y229" s="3" t="str">
        <f>IFERROR(__xludf.DUMMYFUNCTION("""COMPUTED_VALUE"""),"Hill")</f>
        <v>Hill</v>
      </c>
      <c r="AA229" s="8">
        <v>138.0</v>
      </c>
      <c r="AB229" s="3">
        <f t="shared" si="7"/>
        <v>1</v>
      </c>
      <c r="AC229" s="3">
        <f t="shared" si="8"/>
        <v>0</v>
      </c>
      <c r="AD229" s="3">
        <f t="shared" si="9"/>
        <v>1.754385965</v>
      </c>
      <c r="AE229" s="3">
        <f t="shared" si="10"/>
        <v>-2</v>
      </c>
      <c r="AF229" s="3">
        <f t="shared" si="11"/>
        <v>-2</v>
      </c>
      <c r="AG229" s="3">
        <f t="shared" si="12"/>
        <v>-4.632653061</v>
      </c>
    </row>
    <row r="230">
      <c r="A230" s="1" t="s">
        <v>11</v>
      </c>
      <c r="B230" s="1" t="s">
        <v>282</v>
      </c>
      <c r="C230" s="1" t="s">
        <v>19</v>
      </c>
      <c r="D230" s="1" t="s">
        <v>58</v>
      </c>
      <c r="E230" s="1" t="s">
        <v>89</v>
      </c>
      <c r="F230" s="1" t="s">
        <v>687</v>
      </c>
      <c r="G230" s="1">
        <v>39.5</v>
      </c>
      <c r="H230" s="1" t="s">
        <v>60</v>
      </c>
      <c r="I230" s="1">
        <v>-116.0</v>
      </c>
      <c r="J230" s="1">
        <v>-0.118212547131805</v>
      </c>
      <c r="K230" s="1" t="s">
        <v>61</v>
      </c>
      <c r="L230" s="1" t="s">
        <v>61</v>
      </c>
      <c r="M230" s="1" t="s">
        <v>62</v>
      </c>
      <c r="N230" s="1">
        <v>-113.0</v>
      </c>
      <c r="O230" s="1">
        <v>0.0506838834235452</v>
      </c>
      <c r="P230" s="1" t="s">
        <v>61</v>
      </c>
      <c r="Q230" s="1" t="s">
        <v>61</v>
      </c>
      <c r="R230" s="1">
        <f t="shared" si="1"/>
        <v>0.05068388342</v>
      </c>
      <c r="S230" s="1">
        <f t="shared" si="2"/>
        <v>-113</v>
      </c>
      <c r="T230" s="1">
        <f t="shared" si="3"/>
        <v>1.884955752</v>
      </c>
      <c r="U230" s="1">
        <f t="shared" si="4"/>
        <v>0</v>
      </c>
      <c r="V230" s="3">
        <f t="shared" si="5"/>
        <v>2</v>
      </c>
      <c r="W230" s="3">
        <f t="shared" si="6"/>
        <v>2</v>
      </c>
      <c r="X230" s="3" t="str">
        <f>IFERROR(__xludf.DUMMYFUNCTION("split(B230,"" "")"),"A.")</f>
        <v>A.</v>
      </c>
      <c r="Y230" s="3" t="str">
        <f>IFERROR(__xludf.DUMMYFUNCTION("""COMPUTED_VALUE"""),"Kamara")</f>
        <v>Kamara</v>
      </c>
      <c r="AA230" s="8">
        <v>22.0</v>
      </c>
      <c r="AB230" s="3">
        <f t="shared" si="7"/>
        <v>0</v>
      </c>
      <c r="AC230" s="3">
        <f t="shared" si="8"/>
        <v>1</v>
      </c>
      <c r="AD230" s="3">
        <f t="shared" si="9"/>
        <v>1.769911504</v>
      </c>
      <c r="AE230" s="3">
        <f t="shared" si="10"/>
        <v>1.769911504</v>
      </c>
      <c r="AF230" s="3">
        <f t="shared" si="11"/>
        <v>1.769911504</v>
      </c>
      <c r="AG230" s="3">
        <f t="shared" si="12"/>
        <v>0.4430379747</v>
      </c>
    </row>
    <row r="231">
      <c r="A231" s="1" t="s">
        <v>13</v>
      </c>
      <c r="B231" s="1" t="s">
        <v>287</v>
      </c>
      <c r="C231" s="1" t="s">
        <v>21</v>
      </c>
      <c r="D231" s="1" t="s">
        <v>58</v>
      </c>
      <c r="E231" s="1" t="s">
        <v>89</v>
      </c>
      <c r="F231" s="1" t="s">
        <v>687</v>
      </c>
      <c r="G231" s="1">
        <v>202.5</v>
      </c>
      <c r="H231" s="1" t="s">
        <v>60</v>
      </c>
      <c r="I231" s="1">
        <v>-113.0</v>
      </c>
      <c r="J231" s="1">
        <v>0.0315534589201873</v>
      </c>
      <c r="K231" s="1" t="s">
        <v>61</v>
      </c>
      <c r="L231" s="1" t="s">
        <v>61</v>
      </c>
      <c r="M231" s="1" t="s">
        <v>62</v>
      </c>
      <c r="N231" s="1">
        <v>-112.0</v>
      </c>
      <c r="O231" s="1">
        <v>-0.0903554771698108</v>
      </c>
      <c r="P231" s="1" t="s">
        <v>61</v>
      </c>
      <c r="Q231" s="1" t="s">
        <v>61</v>
      </c>
      <c r="R231" s="1">
        <f t="shared" si="1"/>
        <v>0.03155345892</v>
      </c>
      <c r="S231" s="1">
        <f t="shared" si="2"/>
        <v>-113</v>
      </c>
      <c r="T231" s="1">
        <f t="shared" si="3"/>
        <v>1.884955752</v>
      </c>
      <c r="U231" s="1">
        <f t="shared" si="4"/>
        <v>1</v>
      </c>
      <c r="V231" s="3">
        <f t="shared" si="5"/>
        <v>1</v>
      </c>
      <c r="W231" s="3">
        <f t="shared" si="6"/>
        <v>2</v>
      </c>
      <c r="X231" s="3" t="str">
        <f>IFERROR(__xludf.DUMMYFUNCTION("split(B231,"" "")"),"D.")</f>
        <v>D.</v>
      </c>
      <c r="Y231" s="3" t="str">
        <f>IFERROR(__xludf.DUMMYFUNCTION("""COMPUTED_VALUE"""),"Carr")</f>
        <v>Carr</v>
      </c>
      <c r="AA231" s="8">
        <v>248.0</v>
      </c>
      <c r="AB231" s="3">
        <f t="shared" si="7"/>
        <v>1</v>
      </c>
      <c r="AC231" s="3">
        <f t="shared" si="8"/>
        <v>1</v>
      </c>
      <c r="AD231" s="3">
        <f t="shared" si="9"/>
        <v>0.8849557522</v>
      </c>
      <c r="AE231" s="3">
        <f t="shared" si="10"/>
        <v>0.8849557522</v>
      </c>
      <c r="AF231" s="3">
        <f t="shared" si="11"/>
        <v>1.769911504</v>
      </c>
      <c r="AG231" s="3">
        <f t="shared" si="12"/>
        <v>0.224691358</v>
      </c>
    </row>
    <row r="232">
      <c r="A232" s="1" t="s">
        <v>10</v>
      </c>
      <c r="B232" s="1" t="s">
        <v>282</v>
      </c>
      <c r="C232" s="1" t="s">
        <v>19</v>
      </c>
      <c r="D232" s="1" t="s">
        <v>58</v>
      </c>
      <c r="E232" s="1" t="s">
        <v>89</v>
      </c>
      <c r="F232" s="1" t="s">
        <v>687</v>
      </c>
      <c r="G232" s="1">
        <v>72.5</v>
      </c>
      <c r="H232" s="1" t="s">
        <v>60</v>
      </c>
      <c r="I232" s="1">
        <v>-114.0</v>
      </c>
      <c r="J232" s="1">
        <v>-0.0944262904807922</v>
      </c>
      <c r="K232" s="1" t="s">
        <v>61</v>
      </c>
      <c r="L232" s="1" t="s">
        <v>61</v>
      </c>
      <c r="M232" s="1" t="s">
        <v>62</v>
      </c>
      <c r="N232" s="1">
        <v>-113.0</v>
      </c>
      <c r="O232" s="1">
        <v>0.0311728510960471</v>
      </c>
      <c r="P232" s="1" t="s">
        <v>61</v>
      </c>
      <c r="Q232" s="1" t="s">
        <v>61</v>
      </c>
      <c r="R232" s="1">
        <f t="shared" si="1"/>
        <v>0.0311728511</v>
      </c>
      <c r="S232" s="1">
        <f t="shared" si="2"/>
        <v>-113</v>
      </c>
      <c r="T232" s="1">
        <f t="shared" si="3"/>
        <v>1.884955752</v>
      </c>
      <c r="U232" s="1">
        <f t="shared" si="4"/>
        <v>0</v>
      </c>
      <c r="V232" s="3">
        <f t="shared" si="5"/>
        <v>1</v>
      </c>
      <c r="W232" s="3">
        <f t="shared" si="6"/>
        <v>2</v>
      </c>
      <c r="X232" s="3" t="str">
        <f>IFERROR(__xludf.DUMMYFUNCTION("split(B232,"" "")"),"A.")</f>
        <v>A.</v>
      </c>
      <c r="Y232" s="3" t="str">
        <f>IFERROR(__xludf.DUMMYFUNCTION("""COMPUTED_VALUE"""),"Kamara")</f>
        <v>Kamara</v>
      </c>
      <c r="AA232" s="8">
        <v>67.0</v>
      </c>
      <c r="AB232" s="3">
        <f t="shared" si="7"/>
        <v>0</v>
      </c>
      <c r="AC232" s="3">
        <f t="shared" si="8"/>
        <v>1</v>
      </c>
      <c r="AD232" s="3">
        <f t="shared" si="9"/>
        <v>0.8849557522</v>
      </c>
      <c r="AE232" s="3">
        <f t="shared" si="10"/>
        <v>0.8849557522</v>
      </c>
      <c r="AF232" s="3">
        <f t="shared" si="11"/>
        <v>1.769911504</v>
      </c>
      <c r="AG232" s="3">
        <f t="shared" si="12"/>
        <v>0.07586206897</v>
      </c>
    </row>
    <row r="233">
      <c r="A233" s="1" t="s">
        <v>17</v>
      </c>
      <c r="B233" s="1" t="s">
        <v>287</v>
      </c>
      <c r="C233" s="1" t="s">
        <v>21</v>
      </c>
      <c r="D233" s="1" t="s">
        <v>58</v>
      </c>
      <c r="E233" s="1" t="s">
        <v>89</v>
      </c>
      <c r="F233" s="1" t="s">
        <v>687</v>
      </c>
      <c r="G233" s="1">
        <v>0.5</v>
      </c>
      <c r="H233" s="1" t="s">
        <v>60</v>
      </c>
      <c r="I233" s="1">
        <v>-116.0</v>
      </c>
      <c r="J233" s="1">
        <v>-0.097537037037037</v>
      </c>
      <c r="K233" s="1" t="s">
        <v>61</v>
      </c>
      <c r="L233" s="1" t="s">
        <v>61</v>
      </c>
      <c r="M233" s="1" t="s">
        <v>62</v>
      </c>
      <c r="N233" s="1">
        <v>-113.0</v>
      </c>
      <c r="O233" s="1">
        <v>0.0299835680751173</v>
      </c>
      <c r="P233" s="1" t="s">
        <v>61</v>
      </c>
      <c r="Q233" s="1" t="s">
        <v>61</v>
      </c>
      <c r="R233" s="1">
        <f t="shared" si="1"/>
        <v>0.02998356808</v>
      </c>
      <c r="S233" s="1">
        <f t="shared" si="2"/>
        <v>-113</v>
      </c>
      <c r="T233" s="1">
        <f t="shared" si="3"/>
        <v>1.884955752</v>
      </c>
      <c r="U233" s="1">
        <f t="shared" si="4"/>
        <v>0</v>
      </c>
      <c r="V233" s="3">
        <f t="shared" si="5"/>
        <v>1</v>
      </c>
      <c r="W233" s="3">
        <f t="shared" si="6"/>
        <v>2</v>
      </c>
      <c r="X233" s="3" t="str">
        <f>IFERROR(__xludf.DUMMYFUNCTION("split(B233,"" "")"),"D.")</f>
        <v>D.</v>
      </c>
      <c r="Y233" s="3" t="str">
        <f>IFERROR(__xludf.DUMMYFUNCTION("""COMPUTED_VALUE"""),"Carr")</f>
        <v>Carr</v>
      </c>
      <c r="AA233" s="8">
        <v>0.0</v>
      </c>
      <c r="AB233" s="3">
        <f t="shared" si="7"/>
        <v>0</v>
      </c>
      <c r="AC233" s="3">
        <f t="shared" si="8"/>
        <v>1</v>
      </c>
      <c r="AD233" s="3">
        <f t="shared" si="9"/>
        <v>0.8849557522</v>
      </c>
      <c r="AE233" s="3">
        <f t="shared" si="10"/>
        <v>0.8849557522</v>
      </c>
      <c r="AF233" s="3">
        <f t="shared" si="11"/>
        <v>1.769911504</v>
      </c>
      <c r="AG233" s="3">
        <f t="shared" si="12"/>
        <v>1</v>
      </c>
    </row>
    <row r="234">
      <c r="A234" s="1" t="s">
        <v>11</v>
      </c>
      <c r="B234" s="1" t="s">
        <v>193</v>
      </c>
      <c r="C234" s="1" t="s">
        <v>20</v>
      </c>
      <c r="D234" s="1" t="s">
        <v>58</v>
      </c>
      <c r="E234" s="1" t="s">
        <v>89</v>
      </c>
      <c r="F234" s="1" t="s">
        <v>687</v>
      </c>
      <c r="G234" s="1">
        <v>24.5</v>
      </c>
      <c r="H234" s="1" t="s">
        <v>60</v>
      </c>
      <c r="I234" s="1">
        <v>-118.0</v>
      </c>
      <c r="J234" s="1">
        <v>-0.0957481362918715</v>
      </c>
      <c r="K234" s="1" t="s">
        <v>61</v>
      </c>
      <c r="L234" s="1" t="s">
        <v>61</v>
      </c>
      <c r="M234" s="1" t="s">
        <v>62</v>
      </c>
      <c r="N234" s="1">
        <v>-111.0</v>
      </c>
      <c r="O234" s="1">
        <v>0.0284214218952942</v>
      </c>
      <c r="P234" s="1" t="s">
        <v>61</v>
      </c>
      <c r="Q234" s="1" t="s">
        <v>61</v>
      </c>
      <c r="R234" s="1">
        <f t="shared" si="1"/>
        <v>0.0284214219</v>
      </c>
      <c r="S234" s="1">
        <f t="shared" si="2"/>
        <v>-111</v>
      </c>
      <c r="T234" s="1">
        <f t="shared" si="3"/>
        <v>1.900900901</v>
      </c>
      <c r="U234" s="1">
        <f t="shared" si="4"/>
        <v>0</v>
      </c>
      <c r="V234" s="3">
        <f t="shared" si="5"/>
        <v>1</v>
      </c>
      <c r="W234" s="3">
        <f t="shared" si="6"/>
        <v>2</v>
      </c>
      <c r="X234" s="3" t="str">
        <f>IFERROR(__xludf.DUMMYFUNCTION("split(B234,"" "")"),"J.")</f>
        <v>J.</v>
      </c>
      <c r="Y234" s="3" t="str">
        <f>IFERROR(__xludf.DUMMYFUNCTION("""COMPUTED_VALUE"""),"Johnson")</f>
        <v>Johnson</v>
      </c>
      <c r="AA234" s="8">
        <v>30.0</v>
      </c>
      <c r="AB234" s="3">
        <f t="shared" si="7"/>
        <v>1</v>
      </c>
      <c r="AC234" s="3">
        <f t="shared" si="8"/>
        <v>0</v>
      </c>
      <c r="AD234" s="3">
        <f t="shared" si="9"/>
        <v>0.9009009009</v>
      </c>
      <c r="AE234" s="3">
        <f t="shared" si="10"/>
        <v>-1</v>
      </c>
      <c r="AF234" s="3">
        <f t="shared" si="11"/>
        <v>-2</v>
      </c>
      <c r="AG234" s="3">
        <f t="shared" si="12"/>
        <v>-0.2244897959</v>
      </c>
    </row>
    <row r="235">
      <c r="A235" s="1" t="s">
        <v>12</v>
      </c>
      <c r="B235" s="1" t="s">
        <v>282</v>
      </c>
      <c r="C235" s="1" t="s">
        <v>19</v>
      </c>
      <c r="D235" s="1" t="s">
        <v>58</v>
      </c>
      <c r="E235" s="1" t="s">
        <v>89</v>
      </c>
      <c r="F235" s="1" t="s">
        <v>687</v>
      </c>
      <c r="G235" s="1">
        <v>5.5</v>
      </c>
      <c r="H235" s="1" t="s">
        <v>60</v>
      </c>
      <c r="I235" s="1">
        <v>122.0</v>
      </c>
      <c r="J235" s="1">
        <v>0.0163594594594594</v>
      </c>
      <c r="K235" s="1" t="s">
        <v>61</v>
      </c>
      <c r="L235" s="1" t="s">
        <v>61</v>
      </c>
      <c r="M235" s="1" t="s">
        <v>62</v>
      </c>
      <c r="N235" s="1">
        <v>-157.0</v>
      </c>
      <c r="O235" s="1">
        <v>-0.077717120622568</v>
      </c>
      <c r="P235" s="1" t="s">
        <v>61</v>
      </c>
      <c r="Q235" s="1" t="s">
        <v>61</v>
      </c>
      <c r="R235" s="1">
        <f t="shared" si="1"/>
        <v>0.01635945946</v>
      </c>
      <c r="S235" s="1">
        <f t="shared" si="2"/>
        <v>122</v>
      </c>
      <c r="T235" s="1">
        <f t="shared" si="3"/>
        <v>2.22</v>
      </c>
      <c r="U235" s="1">
        <f t="shared" si="4"/>
        <v>1</v>
      </c>
      <c r="V235" s="3">
        <f t="shared" si="5"/>
        <v>1</v>
      </c>
      <c r="W235" s="3">
        <f t="shared" si="6"/>
        <v>1</v>
      </c>
      <c r="X235" s="3" t="str">
        <f>IFERROR(__xludf.DUMMYFUNCTION("split(B235,"" "")"),"A.")</f>
        <v>A.</v>
      </c>
      <c r="Y235" s="3" t="str">
        <f>IFERROR(__xludf.DUMMYFUNCTION("""COMPUTED_VALUE"""),"Kamara")</f>
        <v>Kamara</v>
      </c>
      <c r="AA235" s="8">
        <v>4.0</v>
      </c>
      <c r="AB235" s="3">
        <f t="shared" si="7"/>
        <v>0</v>
      </c>
      <c r="AC235" s="3">
        <f t="shared" si="8"/>
        <v>0</v>
      </c>
      <c r="AD235" s="3">
        <f t="shared" si="9"/>
        <v>1.22</v>
      </c>
      <c r="AE235" s="3">
        <f t="shared" si="10"/>
        <v>-1</v>
      </c>
      <c r="AF235" s="3">
        <f t="shared" si="11"/>
        <v>-1</v>
      </c>
      <c r="AG235" s="3">
        <f t="shared" si="12"/>
        <v>-0.2727272727</v>
      </c>
    </row>
    <row r="236">
      <c r="A236" s="1" t="s">
        <v>15</v>
      </c>
      <c r="B236" s="1" t="s">
        <v>287</v>
      </c>
      <c r="C236" s="1" t="s">
        <v>21</v>
      </c>
      <c r="D236" s="1" t="s">
        <v>58</v>
      </c>
      <c r="E236" s="1" t="s">
        <v>89</v>
      </c>
      <c r="F236" s="1" t="s">
        <v>687</v>
      </c>
      <c r="G236" s="1">
        <v>19.5</v>
      </c>
      <c r="H236" s="1" t="s">
        <v>60</v>
      </c>
      <c r="I236" s="1">
        <v>-101.0</v>
      </c>
      <c r="J236" s="1">
        <v>0.00826496706467661</v>
      </c>
      <c r="K236" s="1" t="s">
        <v>61</v>
      </c>
      <c r="L236" s="1" t="s">
        <v>61</v>
      </c>
      <c r="M236" s="1" t="s">
        <v>62</v>
      </c>
      <c r="N236" s="1">
        <v>-130.0</v>
      </c>
      <c r="O236" s="1">
        <v>-0.0759770691043478</v>
      </c>
      <c r="P236" s="1" t="s">
        <v>61</v>
      </c>
      <c r="Q236" s="1" t="s">
        <v>61</v>
      </c>
      <c r="R236" s="1">
        <f t="shared" si="1"/>
        <v>0.008264967065</v>
      </c>
      <c r="S236" s="1">
        <f t="shared" si="2"/>
        <v>-101</v>
      </c>
      <c r="T236" s="1">
        <f t="shared" si="3"/>
        <v>1.99009901</v>
      </c>
      <c r="U236" s="1">
        <f t="shared" si="4"/>
        <v>1</v>
      </c>
      <c r="V236" s="3">
        <f t="shared" si="5"/>
        <v>1</v>
      </c>
      <c r="W236" s="3">
        <f t="shared" si="6"/>
        <v>2</v>
      </c>
      <c r="X236" s="3" t="str">
        <f>IFERROR(__xludf.DUMMYFUNCTION("split(B236,"" "")"),"D.")</f>
        <v>D.</v>
      </c>
      <c r="Y236" s="3" t="str">
        <f>IFERROR(__xludf.DUMMYFUNCTION("""COMPUTED_VALUE"""),"Carr")</f>
        <v>Carr</v>
      </c>
      <c r="AA236" s="8">
        <v>21.0</v>
      </c>
      <c r="AB236" s="3">
        <f t="shared" si="7"/>
        <v>1</v>
      </c>
      <c r="AC236" s="3">
        <f t="shared" si="8"/>
        <v>1</v>
      </c>
      <c r="AD236" s="3">
        <f t="shared" si="9"/>
        <v>0.9900990099</v>
      </c>
      <c r="AE236" s="3">
        <f t="shared" si="10"/>
        <v>0.9900990099</v>
      </c>
      <c r="AF236" s="3">
        <f t="shared" si="11"/>
        <v>1.98019802</v>
      </c>
      <c r="AG236" s="3">
        <f t="shared" si="12"/>
        <v>0.07692307692</v>
      </c>
    </row>
    <row r="237">
      <c r="A237" s="1" t="s">
        <v>12</v>
      </c>
      <c r="B237" s="1" t="s">
        <v>479</v>
      </c>
      <c r="C237" s="1" t="s">
        <v>18</v>
      </c>
      <c r="D237" s="1" t="s">
        <v>165</v>
      </c>
      <c r="E237" s="1" t="s">
        <v>71</v>
      </c>
      <c r="F237" s="1" t="s">
        <v>687</v>
      </c>
      <c r="G237" s="1">
        <v>6.5</v>
      </c>
      <c r="H237" s="1" t="s">
        <v>60</v>
      </c>
      <c r="I237" s="1">
        <v>114.0</v>
      </c>
      <c r="J237" s="1">
        <v>0.184810280373831</v>
      </c>
      <c r="K237" s="1" t="s">
        <v>61</v>
      </c>
      <c r="L237" s="1" t="s">
        <v>61</v>
      </c>
      <c r="M237" s="1" t="s">
        <v>62</v>
      </c>
      <c r="N237" s="1">
        <v>-149.0</v>
      </c>
      <c r="O237" s="1">
        <v>-0.250493574297188</v>
      </c>
      <c r="P237" s="1" t="s">
        <v>61</v>
      </c>
      <c r="Q237" s="1" t="s">
        <v>61</v>
      </c>
      <c r="R237" s="1">
        <f t="shared" si="1"/>
        <v>0.1848102804</v>
      </c>
      <c r="S237" s="1">
        <f t="shared" si="2"/>
        <v>114</v>
      </c>
      <c r="T237" s="1">
        <f t="shared" si="3"/>
        <v>2.14</v>
      </c>
      <c r="U237" s="1">
        <f t="shared" si="4"/>
        <v>1</v>
      </c>
      <c r="V237" s="3">
        <f t="shared" si="5"/>
        <v>3</v>
      </c>
      <c r="W237" s="3">
        <f t="shared" si="6"/>
        <v>1</v>
      </c>
      <c r="X237" s="3" t="str">
        <f>IFERROR(__xludf.DUMMYFUNCTION("split(B237,"" "")"),"G.")</f>
        <v>G.</v>
      </c>
      <c r="Y237" s="3" t="str">
        <f>IFERROR(__xludf.DUMMYFUNCTION("""COMPUTED_VALUE"""),"Wilson")</f>
        <v>Wilson</v>
      </c>
      <c r="AA237" s="8">
        <v>4.0</v>
      </c>
      <c r="AB237" s="3">
        <f t="shared" si="7"/>
        <v>0</v>
      </c>
      <c r="AC237" s="3">
        <f t="shared" si="8"/>
        <v>0</v>
      </c>
      <c r="AD237" s="3">
        <f t="shared" si="9"/>
        <v>3.42</v>
      </c>
      <c r="AE237" s="3">
        <f t="shared" si="10"/>
        <v>-3</v>
      </c>
      <c r="AF237" s="3">
        <f t="shared" si="11"/>
        <v>-1</v>
      </c>
      <c r="AG237" s="3">
        <f t="shared" si="12"/>
        <v>-0.3846153846</v>
      </c>
    </row>
    <row r="238">
      <c r="A238" s="1" t="s">
        <v>12</v>
      </c>
      <c r="B238" s="1" t="s">
        <v>322</v>
      </c>
      <c r="C238" s="1" t="s">
        <v>18</v>
      </c>
      <c r="D238" s="1" t="s">
        <v>165</v>
      </c>
      <c r="E238" s="1" t="s">
        <v>71</v>
      </c>
      <c r="F238" s="1" t="s">
        <v>687</v>
      </c>
      <c r="G238" s="1">
        <v>5.5</v>
      </c>
      <c r="H238" s="1" t="s">
        <v>60</v>
      </c>
      <c r="I238" s="1">
        <v>-114.0</v>
      </c>
      <c r="J238" s="1">
        <v>0.0502364485981308</v>
      </c>
      <c r="K238" s="1" t="s">
        <v>61</v>
      </c>
      <c r="L238" s="1" t="s">
        <v>61</v>
      </c>
      <c r="M238" s="1" t="s">
        <v>62</v>
      </c>
      <c r="N238" s="1">
        <v>-115.0</v>
      </c>
      <c r="O238" s="1">
        <v>-0.117837209302325</v>
      </c>
      <c r="P238" s="1" t="s">
        <v>61</v>
      </c>
      <c r="Q238" s="1" t="s">
        <v>61</v>
      </c>
      <c r="R238" s="1">
        <f t="shared" si="1"/>
        <v>0.0502364486</v>
      </c>
      <c r="S238" s="1">
        <f t="shared" si="2"/>
        <v>-114</v>
      </c>
      <c r="T238" s="1">
        <f t="shared" si="3"/>
        <v>1.877192982</v>
      </c>
      <c r="U238" s="1">
        <f t="shared" si="4"/>
        <v>1</v>
      </c>
      <c r="V238" s="3">
        <f t="shared" si="5"/>
        <v>2</v>
      </c>
      <c r="W238" s="3">
        <f t="shared" si="6"/>
        <v>2</v>
      </c>
      <c r="X238" s="3" t="str">
        <f>IFERROR(__xludf.DUMMYFUNCTION("split(B238,"" "")"),"D.")</f>
        <v>D.</v>
      </c>
      <c r="Y238" s="3" t="str">
        <f>IFERROR(__xludf.DUMMYFUNCTION("""COMPUTED_VALUE"""),"Adams")</f>
        <v>Adams</v>
      </c>
      <c r="AA238" s="8">
        <v>6.0</v>
      </c>
      <c r="AB238" s="3">
        <f t="shared" si="7"/>
        <v>1</v>
      </c>
      <c r="AC238" s="3">
        <f t="shared" si="8"/>
        <v>1</v>
      </c>
      <c r="AD238" s="3">
        <f t="shared" si="9"/>
        <v>1.754385965</v>
      </c>
      <c r="AE238" s="3">
        <f t="shared" si="10"/>
        <v>1.754385965</v>
      </c>
      <c r="AF238" s="3">
        <f t="shared" si="11"/>
        <v>1.754385965</v>
      </c>
      <c r="AG238" s="3">
        <f t="shared" si="12"/>
        <v>0.09090909091</v>
      </c>
    </row>
    <row r="239">
      <c r="A239" s="1" t="s">
        <v>10</v>
      </c>
      <c r="B239" s="1" t="s">
        <v>336</v>
      </c>
      <c r="C239" s="1" t="s">
        <v>19</v>
      </c>
      <c r="D239" s="1" t="s">
        <v>165</v>
      </c>
      <c r="E239" s="1" t="s">
        <v>71</v>
      </c>
      <c r="F239" s="1" t="s">
        <v>687</v>
      </c>
      <c r="G239" s="1">
        <v>68.5</v>
      </c>
      <c r="H239" s="1" t="s">
        <v>60</v>
      </c>
      <c r="I239" s="1">
        <v>-114.0</v>
      </c>
      <c r="J239" s="1">
        <v>-0.106419005666482</v>
      </c>
      <c r="K239" s="1" t="s">
        <v>61</v>
      </c>
      <c r="L239" s="1" t="s">
        <v>61</v>
      </c>
      <c r="M239" s="1" t="s">
        <v>62</v>
      </c>
      <c r="N239" s="1">
        <v>-115.0</v>
      </c>
      <c r="O239" s="1">
        <v>0.0387970974974121</v>
      </c>
      <c r="P239" s="1" t="s">
        <v>61</v>
      </c>
      <c r="Q239" s="1" t="s">
        <v>61</v>
      </c>
      <c r="R239" s="1">
        <f t="shared" si="1"/>
        <v>0.0387970975</v>
      </c>
      <c r="S239" s="1">
        <f t="shared" si="2"/>
        <v>-115</v>
      </c>
      <c r="T239" s="1">
        <f t="shared" si="3"/>
        <v>1.869565217</v>
      </c>
      <c r="U239" s="1">
        <f t="shared" si="4"/>
        <v>0</v>
      </c>
      <c r="V239" s="3">
        <f t="shared" si="5"/>
        <v>1</v>
      </c>
      <c r="W239" s="3">
        <f t="shared" si="6"/>
        <v>2</v>
      </c>
      <c r="X239" s="3" t="str">
        <f>IFERROR(__xludf.DUMMYFUNCTION("split(B239,"" "")"),"B.")</f>
        <v>B.</v>
      </c>
      <c r="Y239" s="3" t="str">
        <f>IFERROR(__xludf.DUMMYFUNCTION("""COMPUTED_VALUE"""),"Hall")</f>
        <v>Hall</v>
      </c>
      <c r="AA239" s="8">
        <v>78.0</v>
      </c>
      <c r="AB239" s="3">
        <f t="shared" si="7"/>
        <v>1</v>
      </c>
      <c r="AC239" s="3">
        <f t="shared" si="8"/>
        <v>0</v>
      </c>
      <c r="AD239" s="3">
        <f t="shared" si="9"/>
        <v>0.8695652174</v>
      </c>
      <c r="AE239" s="3">
        <f t="shared" si="10"/>
        <v>-1</v>
      </c>
      <c r="AF239" s="3">
        <f t="shared" si="11"/>
        <v>-2</v>
      </c>
      <c r="AG239" s="3">
        <f t="shared" si="12"/>
        <v>-0.1386861314</v>
      </c>
    </row>
    <row r="240">
      <c r="A240" s="1" t="s">
        <v>8</v>
      </c>
      <c r="B240" s="1" t="s">
        <v>336</v>
      </c>
      <c r="C240" s="1" t="s">
        <v>19</v>
      </c>
      <c r="D240" s="1" t="s">
        <v>165</v>
      </c>
      <c r="E240" s="1" t="s">
        <v>71</v>
      </c>
      <c r="F240" s="1" t="s">
        <v>687</v>
      </c>
      <c r="G240" s="1">
        <v>15.5</v>
      </c>
      <c r="H240" s="1" t="s">
        <v>60</v>
      </c>
      <c r="I240" s="1">
        <v>-128.0</v>
      </c>
      <c r="J240" s="1">
        <v>-0.107047097842105</v>
      </c>
      <c r="K240" s="1" t="s">
        <v>61</v>
      </c>
      <c r="L240" s="1" t="s">
        <v>61</v>
      </c>
      <c r="M240" s="1" t="s">
        <v>62</v>
      </c>
      <c r="N240" s="1">
        <v>-105.0</v>
      </c>
      <c r="O240" s="1">
        <v>0.0334557815775609</v>
      </c>
      <c r="P240" s="1" t="s">
        <v>61</v>
      </c>
      <c r="Q240" s="1" t="s">
        <v>61</v>
      </c>
      <c r="R240" s="1">
        <f t="shared" si="1"/>
        <v>0.03345578158</v>
      </c>
      <c r="S240" s="1">
        <f t="shared" si="2"/>
        <v>-105</v>
      </c>
      <c r="T240" s="1">
        <f t="shared" si="3"/>
        <v>1.952380952</v>
      </c>
      <c r="U240" s="1">
        <f t="shared" si="4"/>
        <v>0</v>
      </c>
      <c r="V240" s="3">
        <f t="shared" si="5"/>
        <v>1</v>
      </c>
      <c r="W240" s="3">
        <f t="shared" si="6"/>
        <v>2</v>
      </c>
      <c r="X240" s="3" t="str">
        <f>IFERROR(__xludf.DUMMYFUNCTION("split(B240,"" "")"),"B.")</f>
        <v>B.</v>
      </c>
      <c r="Y240" s="3" t="str">
        <f>IFERROR(__xludf.DUMMYFUNCTION("""COMPUTED_VALUE"""),"Hall")</f>
        <v>Hall</v>
      </c>
      <c r="AA240" s="8">
        <v>16.0</v>
      </c>
      <c r="AB240" s="3">
        <f t="shared" si="7"/>
        <v>1</v>
      </c>
      <c r="AC240" s="3">
        <f t="shared" si="8"/>
        <v>0</v>
      </c>
      <c r="AD240" s="3">
        <f t="shared" si="9"/>
        <v>0.9523809524</v>
      </c>
      <c r="AE240" s="3">
        <f t="shared" si="10"/>
        <v>-1</v>
      </c>
      <c r="AF240" s="3">
        <f t="shared" si="11"/>
        <v>-2</v>
      </c>
      <c r="AG240" s="3">
        <f t="shared" si="12"/>
        <v>-0.03225806452</v>
      </c>
    </row>
    <row r="241">
      <c r="A241" s="1" t="s">
        <v>9</v>
      </c>
      <c r="B241" s="1" t="s">
        <v>336</v>
      </c>
      <c r="C241" s="1" t="s">
        <v>19</v>
      </c>
      <c r="D241" s="1" t="s">
        <v>165</v>
      </c>
      <c r="E241" s="1" t="s">
        <v>71</v>
      </c>
      <c r="F241" s="1" t="s">
        <v>687</v>
      </c>
      <c r="G241" s="1">
        <v>101.5</v>
      </c>
      <c r="H241" s="1" t="s">
        <v>60</v>
      </c>
      <c r="I241" s="1">
        <v>-119.0</v>
      </c>
      <c r="J241" s="1">
        <v>-0.108406552123108</v>
      </c>
      <c r="K241" s="1" t="s">
        <v>61</v>
      </c>
      <c r="L241" s="1" t="s">
        <v>61</v>
      </c>
      <c r="M241" s="1" t="s">
        <v>62</v>
      </c>
      <c r="N241" s="1">
        <v>-114.0</v>
      </c>
      <c r="O241" s="1">
        <v>0.0323548896485291</v>
      </c>
      <c r="P241" s="1" t="s">
        <v>61</v>
      </c>
      <c r="Q241" s="1" t="s">
        <v>61</v>
      </c>
      <c r="R241" s="1">
        <f t="shared" si="1"/>
        <v>0.03235488965</v>
      </c>
      <c r="S241" s="1">
        <f t="shared" si="2"/>
        <v>-114</v>
      </c>
      <c r="T241" s="1">
        <f t="shared" si="3"/>
        <v>1.877192982</v>
      </c>
      <c r="U241" s="1">
        <f t="shared" si="4"/>
        <v>0</v>
      </c>
      <c r="V241" s="3">
        <f t="shared" si="5"/>
        <v>1</v>
      </c>
      <c r="W241" s="3">
        <f t="shared" si="6"/>
        <v>2</v>
      </c>
      <c r="X241" s="3" t="str">
        <f>IFERROR(__xludf.DUMMYFUNCTION("split(B241,"" "")"),"B.")</f>
        <v>B.</v>
      </c>
      <c r="Y241" s="3" t="str">
        <f>IFERROR(__xludf.DUMMYFUNCTION("""COMPUTED_VALUE"""),"Hall")</f>
        <v>Hall</v>
      </c>
      <c r="AA241" s="8">
        <v>121.0</v>
      </c>
      <c r="AB241" s="3">
        <f t="shared" si="7"/>
        <v>1</v>
      </c>
      <c r="AC241" s="3">
        <f t="shared" si="8"/>
        <v>0</v>
      </c>
      <c r="AD241" s="3">
        <f t="shared" si="9"/>
        <v>0.8771929825</v>
      </c>
      <c r="AE241" s="3">
        <f t="shared" si="10"/>
        <v>-1</v>
      </c>
      <c r="AF241" s="3">
        <f t="shared" si="11"/>
        <v>-2</v>
      </c>
      <c r="AG241" s="3">
        <f t="shared" si="12"/>
        <v>-0.1921182266</v>
      </c>
    </row>
    <row r="242">
      <c r="A242" s="1" t="s">
        <v>11</v>
      </c>
      <c r="B242" s="1" t="s">
        <v>336</v>
      </c>
      <c r="C242" s="1" t="s">
        <v>19</v>
      </c>
      <c r="D242" s="1" t="s">
        <v>165</v>
      </c>
      <c r="E242" s="1" t="s">
        <v>71</v>
      </c>
      <c r="F242" s="1" t="s">
        <v>687</v>
      </c>
      <c r="G242" s="1">
        <v>28.5</v>
      </c>
      <c r="H242" s="1" t="s">
        <v>60</v>
      </c>
      <c r="I242" s="1">
        <v>-115.0</v>
      </c>
      <c r="J242" s="1">
        <v>-0.0876213781819535</v>
      </c>
      <c r="K242" s="1" t="s">
        <v>61</v>
      </c>
      <c r="L242" s="1" t="s">
        <v>61</v>
      </c>
      <c r="M242" s="1" t="s">
        <v>62</v>
      </c>
      <c r="N242" s="1">
        <v>-114.0</v>
      </c>
      <c r="O242" s="1">
        <v>0.0200764476280225</v>
      </c>
      <c r="P242" s="1" t="s">
        <v>61</v>
      </c>
      <c r="Q242" s="1" t="s">
        <v>61</v>
      </c>
      <c r="R242" s="1">
        <f t="shared" si="1"/>
        <v>0.02007644763</v>
      </c>
      <c r="S242" s="1">
        <f t="shared" si="2"/>
        <v>-114</v>
      </c>
      <c r="T242" s="1">
        <f t="shared" si="3"/>
        <v>1.877192982</v>
      </c>
      <c r="U242" s="1">
        <f t="shared" si="4"/>
        <v>0</v>
      </c>
      <c r="V242" s="3">
        <f t="shared" si="5"/>
        <v>1</v>
      </c>
      <c r="W242" s="3">
        <f t="shared" si="6"/>
        <v>2</v>
      </c>
      <c r="X242" s="3" t="str">
        <f>IFERROR(__xludf.DUMMYFUNCTION("split(B242,"" "")"),"B.")</f>
        <v>B.</v>
      </c>
      <c r="Y242" s="3" t="str">
        <f>IFERROR(__xludf.DUMMYFUNCTION("""COMPUTED_VALUE"""),"Hall")</f>
        <v>Hall</v>
      </c>
      <c r="AA242" s="8">
        <v>43.0</v>
      </c>
      <c r="AB242" s="3">
        <f t="shared" si="7"/>
        <v>1</v>
      </c>
      <c r="AC242" s="3">
        <f t="shared" si="8"/>
        <v>0</v>
      </c>
      <c r="AD242" s="3">
        <f t="shared" si="9"/>
        <v>0.8771929825</v>
      </c>
      <c r="AE242" s="3">
        <f t="shared" si="10"/>
        <v>-1</v>
      </c>
      <c r="AF242" s="3">
        <f t="shared" si="11"/>
        <v>-2</v>
      </c>
      <c r="AG242" s="3">
        <f t="shared" si="12"/>
        <v>-0.5087719298</v>
      </c>
    </row>
    <row r="243">
      <c r="A243" s="1" t="s">
        <v>9</v>
      </c>
      <c r="B243" s="1" t="s">
        <v>210</v>
      </c>
      <c r="C243" s="1" t="s">
        <v>18</v>
      </c>
      <c r="D243" s="1" t="s">
        <v>156</v>
      </c>
      <c r="E243" s="1" t="s">
        <v>114</v>
      </c>
      <c r="F243" s="1" t="s">
        <v>692</v>
      </c>
      <c r="G243" s="1">
        <v>8.5</v>
      </c>
      <c r="H243" s="1" t="s">
        <v>60</v>
      </c>
      <c r="I243" s="1">
        <v>-115.0</v>
      </c>
      <c r="J243" s="1">
        <v>0.194091775204677</v>
      </c>
      <c r="K243" s="1" t="s">
        <v>61</v>
      </c>
      <c r="L243" s="1" t="s">
        <v>61</v>
      </c>
      <c r="M243" s="1" t="s">
        <v>62</v>
      </c>
      <c r="N243" s="1">
        <v>-115.0</v>
      </c>
      <c r="O243" s="1">
        <v>-0.263825541485378</v>
      </c>
      <c r="P243" s="1" t="s">
        <v>61</v>
      </c>
      <c r="Q243" s="1" t="s">
        <v>61</v>
      </c>
      <c r="R243" s="1">
        <f t="shared" si="1"/>
        <v>0.1940917752</v>
      </c>
      <c r="S243" s="1">
        <f t="shared" si="2"/>
        <v>-115</v>
      </c>
      <c r="T243" s="1">
        <f t="shared" si="3"/>
        <v>1.869565217</v>
      </c>
      <c r="U243" s="1">
        <f t="shared" si="4"/>
        <v>1</v>
      </c>
      <c r="V243" s="3">
        <f t="shared" si="5"/>
        <v>3</v>
      </c>
      <c r="W243" s="3">
        <f t="shared" si="6"/>
        <v>2</v>
      </c>
      <c r="X243" s="3" t="str">
        <f>IFERROR(__xludf.DUMMYFUNCTION("split(B243,"" "")"),"J.")</f>
        <v>J.</v>
      </c>
      <c r="Y243" s="3" t="str">
        <f>IFERROR(__xludf.DUMMYFUNCTION("""COMPUTED_VALUE"""),"Dotson")</f>
        <v>Dotson</v>
      </c>
      <c r="AA243" s="8">
        <v>8.0</v>
      </c>
      <c r="AB243" s="3">
        <f t="shared" si="7"/>
        <v>0</v>
      </c>
      <c r="AC243" s="3">
        <f t="shared" si="8"/>
        <v>0</v>
      </c>
      <c r="AD243" s="3">
        <f t="shared" si="9"/>
        <v>2.608695652</v>
      </c>
      <c r="AE243" s="3">
        <f t="shared" si="10"/>
        <v>-3</v>
      </c>
      <c r="AF243" s="3">
        <f t="shared" si="11"/>
        <v>-2</v>
      </c>
      <c r="AG243" s="3">
        <f t="shared" si="12"/>
        <v>-0.05882352941</v>
      </c>
    </row>
    <row r="244">
      <c r="A244" s="1" t="s">
        <v>12</v>
      </c>
      <c r="B244" s="1" t="s">
        <v>492</v>
      </c>
      <c r="C244" s="1" t="s">
        <v>18</v>
      </c>
      <c r="D244" s="1" t="s">
        <v>156</v>
      </c>
      <c r="E244" s="1" t="s">
        <v>114</v>
      </c>
      <c r="F244" s="1" t="s">
        <v>692</v>
      </c>
      <c r="G244" s="1">
        <v>5.5</v>
      </c>
      <c r="H244" s="1" t="s">
        <v>60</v>
      </c>
      <c r="I244" s="1">
        <v>120.0</v>
      </c>
      <c r="J244" s="1">
        <v>0.1543</v>
      </c>
      <c r="K244" s="1" t="s">
        <v>61</v>
      </c>
      <c r="L244" s="1" t="s">
        <v>61</v>
      </c>
      <c r="M244" s="1" t="s">
        <v>62</v>
      </c>
      <c r="N244" s="1">
        <v>-156.0</v>
      </c>
      <c r="O244" s="1">
        <v>-0.2182140625</v>
      </c>
      <c r="P244" s="1" t="s">
        <v>61</v>
      </c>
      <c r="Q244" s="1" t="s">
        <v>61</v>
      </c>
      <c r="R244" s="1">
        <f t="shared" si="1"/>
        <v>0.1543</v>
      </c>
      <c r="S244" s="1">
        <f t="shared" si="2"/>
        <v>120</v>
      </c>
      <c r="T244" s="1">
        <f t="shared" si="3"/>
        <v>2.2</v>
      </c>
      <c r="U244" s="1">
        <f t="shared" si="4"/>
        <v>1</v>
      </c>
      <c r="V244" s="3">
        <f t="shared" si="5"/>
        <v>3</v>
      </c>
      <c r="W244" s="3">
        <f t="shared" si="6"/>
        <v>1</v>
      </c>
      <c r="X244" s="3" t="str">
        <f>IFERROR(__xludf.DUMMYFUNCTION("split(B244,"" "")"),"A.")</f>
        <v>A.</v>
      </c>
      <c r="Y244" s="3" t="str">
        <f>IFERROR(__xludf.DUMMYFUNCTION("""COMPUTED_VALUE"""),"Brown")</f>
        <v>Brown</v>
      </c>
      <c r="AA244" s="8">
        <v>1.0</v>
      </c>
      <c r="AB244" s="3">
        <f t="shared" si="7"/>
        <v>0</v>
      </c>
      <c r="AC244" s="3">
        <f t="shared" si="8"/>
        <v>0</v>
      </c>
      <c r="AD244" s="3">
        <f t="shared" si="9"/>
        <v>3.6</v>
      </c>
      <c r="AE244" s="3">
        <f t="shared" si="10"/>
        <v>-3</v>
      </c>
      <c r="AF244" s="3">
        <f t="shared" si="11"/>
        <v>-1</v>
      </c>
      <c r="AG244" s="3">
        <f t="shared" si="12"/>
        <v>-0.8181818182</v>
      </c>
    </row>
    <row r="245">
      <c r="A245" s="1" t="s">
        <v>8</v>
      </c>
      <c r="B245" s="1" t="s">
        <v>155</v>
      </c>
      <c r="C245" s="1" t="s">
        <v>19</v>
      </c>
      <c r="D245" s="1" t="s">
        <v>156</v>
      </c>
      <c r="E245" s="1" t="s">
        <v>114</v>
      </c>
      <c r="F245" s="1" t="s">
        <v>692</v>
      </c>
      <c r="G245" s="1">
        <v>19.5</v>
      </c>
      <c r="H245" s="1" t="s">
        <v>60</v>
      </c>
      <c r="I245" s="1">
        <v>107.0</v>
      </c>
      <c r="J245" s="1">
        <v>0.139107350821256</v>
      </c>
      <c r="K245" s="1" t="s">
        <v>61</v>
      </c>
      <c r="L245" s="1" t="s">
        <v>61</v>
      </c>
      <c r="M245" s="1" t="s">
        <v>62</v>
      </c>
      <c r="N245" s="1">
        <v>-143.0</v>
      </c>
      <c r="O245" s="1">
        <v>-0.21067663218107</v>
      </c>
      <c r="P245" s="1" t="s">
        <v>61</v>
      </c>
      <c r="Q245" s="1" t="s">
        <v>61</v>
      </c>
      <c r="R245" s="1">
        <f t="shared" si="1"/>
        <v>0.1391073508</v>
      </c>
      <c r="S245" s="1">
        <f t="shared" si="2"/>
        <v>107</v>
      </c>
      <c r="T245" s="1">
        <f t="shared" si="3"/>
        <v>2.07</v>
      </c>
      <c r="U245" s="1">
        <f t="shared" si="4"/>
        <v>1</v>
      </c>
      <c r="V245" s="3">
        <f t="shared" si="5"/>
        <v>3</v>
      </c>
      <c r="W245" s="3">
        <f t="shared" si="6"/>
        <v>2</v>
      </c>
      <c r="X245" s="3" t="str">
        <f>IFERROR(__xludf.DUMMYFUNCTION("split(B245,"" "")"),"S.")</f>
        <v>S.</v>
      </c>
      <c r="Y245" s="3" t="str">
        <f>IFERROR(__xludf.DUMMYFUNCTION("""COMPUTED_VALUE"""),"Barkley")</f>
        <v>Barkley</v>
      </c>
      <c r="AA245" s="8">
        <v>26.0</v>
      </c>
      <c r="AB245" s="3">
        <f t="shared" si="7"/>
        <v>1</v>
      </c>
      <c r="AC245" s="3">
        <f t="shared" si="8"/>
        <v>1</v>
      </c>
      <c r="AD245" s="3">
        <f t="shared" si="9"/>
        <v>3.21</v>
      </c>
      <c r="AE245" s="3">
        <f t="shared" si="10"/>
        <v>3.21</v>
      </c>
      <c r="AF245" s="3">
        <f t="shared" si="11"/>
        <v>2.14</v>
      </c>
      <c r="AG245" s="3">
        <f t="shared" si="12"/>
        <v>0.3333333333</v>
      </c>
    </row>
    <row r="246">
      <c r="A246" s="1" t="s">
        <v>8</v>
      </c>
      <c r="B246" s="1" t="s">
        <v>338</v>
      </c>
      <c r="C246" s="1" t="s">
        <v>21</v>
      </c>
      <c r="D246" s="1" t="s">
        <v>156</v>
      </c>
      <c r="E246" s="1" t="s">
        <v>114</v>
      </c>
      <c r="F246" s="1" t="s">
        <v>692</v>
      </c>
      <c r="G246" s="1">
        <v>9.5</v>
      </c>
      <c r="H246" s="1" t="s">
        <v>60</v>
      </c>
      <c r="I246" s="1">
        <v>-114.0</v>
      </c>
      <c r="J246" s="1">
        <v>-0.170253841366518</v>
      </c>
      <c r="K246" s="1" t="s">
        <v>61</v>
      </c>
      <c r="L246" s="1" t="s">
        <v>61</v>
      </c>
      <c r="M246" s="1" t="s">
        <v>62</v>
      </c>
      <c r="N246" s="1">
        <v>-117.0</v>
      </c>
      <c r="O246" s="1">
        <v>0.098379754844926</v>
      </c>
      <c r="P246" s="1" t="s">
        <v>61</v>
      </c>
      <c r="Q246" s="1" t="s">
        <v>61</v>
      </c>
      <c r="R246" s="1">
        <f t="shared" si="1"/>
        <v>0.09837975484</v>
      </c>
      <c r="S246" s="1">
        <f t="shared" si="2"/>
        <v>-117</v>
      </c>
      <c r="T246" s="1">
        <f t="shared" si="3"/>
        <v>1.854700855</v>
      </c>
      <c r="U246" s="1">
        <f t="shared" si="4"/>
        <v>0</v>
      </c>
      <c r="V246" s="3">
        <f t="shared" si="5"/>
        <v>2</v>
      </c>
      <c r="W246" s="3">
        <f t="shared" si="6"/>
        <v>2</v>
      </c>
      <c r="X246" s="3" t="str">
        <f>IFERROR(__xludf.DUMMYFUNCTION("split(B246,"" "")"),"J.")</f>
        <v>J.</v>
      </c>
      <c r="Y246" s="3" t="str">
        <f>IFERROR(__xludf.DUMMYFUNCTION("""COMPUTED_VALUE"""),"Hurts")</f>
        <v>Hurts</v>
      </c>
      <c r="AA246" s="8">
        <v>10.0</v>
      </c>
      <c r="AB246" s="3">
        <f t="shared" si="7"/>
        <v>1</v>
      </c>
      <c r="AC246" s="3">
        <f t="shared" si="8"/>
        <v>0</v>
      </c>
      <c r="AD246" s="3">
        <f t="shared" si="9"/>
        <v>1.709401709</v>
      </c>
      <c r="AE246" s="3">
        <f t="shared" si="10"/>
        <v>-2</v>
      </c>
      <c r="AF246" s="3">
        <f t="shared" si="11"/>
        <v>-2</v>
      </c>
      <c r="AG246" s="3">
        <f t="shared" si="12"/>
        <v>-0.05263157895</v>
      </c>
    </row>
    <row r="247">
      <c r="A247" s="1" t="s">
        <v>10</v>
      </c>
      <c r="B247" s="1" t="s">
        <v>243</v>
      </c>
      <c r="C247" s="1" t="s">
        <v>19</v>
      </c>
      <c r="D247" s="1" t="s">
        <v>156</v>
      </c>
      <c r="E247" s="1" t="s">
        <v>114</v>
      </c>
      <c r="F247" s="1" t="s">
        <v>692</v>
      </c>
      <c r="G247" s="1">
        <v>13.5</v>
      </c>
      <c r="H247" s="1" t="s">
        <v>60</v>
      </c>
      <c r="I247" s="1">
        <v>-114.0</v>
      </c>
      <c r="J247" s="1">
        <v>-0.149549112882319</v>
      </c>
      <c r="K247" s="1" t="s">
        <v>61</v>
      </c>
      <c r="L247" s="1" t="s">
        <v>61</v>
      </c>
      <c r="M247" s="1" t="s">
        <v>62</v>
      </c>
      <c r="N247" s="1">
        <v>-115.0</v>
      </c>
      <c r="O247" s="1">
        <v>0.0819462636294826</v>
      </c>
      <c r="P247" s="1" t="s">
        <v>61</v>
      </c>
      <c r="Q247" s="1" t="s">
        <v>61</v>
      </c>
      <c r="R247" s="1">
        <f t="shared" si="1"/>
        <v>0.08194626363</v>
      </c>
      <c r="S247" s="1">
        <f t="shared" si="2"/>
        <v>-115</v>
      </c>
      <c r="T247" s="1">
        <f t="shared" si="3"/>
        <v>1.869565217</v>
      </c>
      <c r="U247" s="1">
        <f t="shared" si="4"/>
        <v>0</v>
      </c>
      <c r="V247" s="3">
        <f t="shared" si="5"/>
        <v>2</v>
      </c>
      <c r="W247" s="3">
        <f t="shared" si="6"/>
        <v>2</v>
      </c>
      <c r="X247" s="3" t="str">
        <f>IFERROR(__xludf.DUMMYFUNCTION("split(B247,"" "")"),"K.")</f>
        <v>K.</v>
      </c>
      <c r="Y247" s="3" t="str">
        <f>IFERROR(__xludf.DUMMYFUNCTION("""COMPUTED_VALUE"""),"Gainwell")</f>
        <v>Gainwell</v>
      </c>
      <c r="AA247" s="8">
        <v>43.0</v>
      </c>
      <c r="AB247" s="3">
        <f t="shared" si="7"/>
        <v>1</v>
      </c>
      <c r="AC247" s="3">
        <f t="shared" si="8"/>
        <v>0</v>
      </c>
      <c r="AD247" s="3">
        <f t="shared" si="9"/>
        <v>1.739130435</v>
      </c>
      <c r="AE247" s="3">
        <f t="shared" si="10"/>
        <v>-2</v>
      </c>
      <c r="AF247" s="3">
        <f t="shared" si="11"/>
        <v>-2</v>
      </c>
      <c r="AG247" s="3">
        <f t="shared" si="12"/>
        <v>-2.185185185</v>
      </c>
    </row>
    <row r="248">
      <c r="A248" s="1" t="s">
        <v>11</v>
      </c>
      <c r="B248" s="1" t="s">
        <v>633</v>
      </c>
      <c r="C248" s="1" t="s">
        <v>20</v>
      </c>
      <c r="D248" s="1" t="s">
        <v>156</v>
      </c>
      <c r="E248" s="1" t="s">
        <v>114</v>
      </c>
      <c r="F248" s="1" t="s">
        <v>692</v>
      </c>
      <c r="G248" s="1">
        <v>5.5</v>
      </c>
      <c r="H248" s="1" t="s">
        <v>60</v>
      </c>
      <c r="I248" s="1">
        <v>-116.0</v>
      </c>
      <c r="J248" s="1">
        <v>0.0760582623972855</v>
      </c>
      <c r="K248" s="1" t="s">
        <v>61</v>
      </c>
      <c r="L248" s="1" t="s">
        <v>61</v>
      </c>
      <c r="M248" s="1" t="s">
        <v>62</v>
      </c>
      <c r="N248" s="1">
        <v>-112.0</v>
      </c>
      <c r="O248" s="1">
        <v>-0.141354183203543</v>
      </c>
      <c r="P248" s="1" t="s">
        <v>61</v>
      </c>
      <c r="Q248" s="1" t="s">
        <v>61</v>
      </c>
      <c r="R248" s="1">
        <f t="shared" si="1"/>
        <v>0.0760582624</v>
      </c>
      <c r="S248" s="1">
        <f t="shared" si="2"/>
        <v>-116</v>
      </c>
      <c r="T248" s="1">
        <f t="shared" si="3"/>
        <v>1.862068966</v>
      </c>
      <c r="U248" s="1">
        <f t="shared" si="4"/>
        <v>1</v>
      </c>
      <c r="V248" s="3">
        <f t="shared" si="5"/>
        <v>2</v>
      </c>
      <c r="W248" s="3">
        <f t="shared" si="6"/>
        <v>2</v>
      </c>
      <c r="X248" s="3" t="str">
        <f>IFERROR(__xludf.DUMMYFUNCTION("split(B248,"" "")"),"G.")</f>
        <v>G.</v>
      </c>
      <c r="Y248" s="3" t="str">
        <f>IFERROR(__xludf.DUMMYFUNCTION("""COMPUTED_VALUE"""),"Calcaterra")</f>
        <v>Calcaterra</v>
      </c>
      <c r="AA248" s="8">
        <v>0.0</v>
      </c>
      <c r="AB248" s="3">
        <f t="shared" si="7"/>
        <v>0</v>
      </c>
      <c r="AC248" s="3">
        <f t="shared" si="8"/>
        <v>0</v>
      </c>
      <c r="AD248" s="3">
        <f t="shared" si="9"/>
        <v>1.724137931</v>
      </c>
      <c r="AE248" s="3">
        <f t="shared" si="10"/>
        <v>-2</v>
      </c>
      <c r="AF248" s="3">
        <f t="shared" si="11"/>
        <v>-2</v>
      </c>
      <c r="AG248" s="3">
        <f t="shared" si="12"/>
        <v>-1</v>
      </c>
    </row>
    <row r="249">
      <c r="A249" s="1" t="s">
        <v>9</v>
      </c>
      <c r="B249" s="1" t="s">
        <v>243</v>
      </c>
      <c r="C249" s="1" t="s">
        <v>19</v>
      </c>
      <c r="D249" s="1" t="s">
        <v>156</v>
      </c>
      <c r="E249" s="1" t="s">
        <v>114</v>
      </c>
      <c r="F249" s="1" t="s">
        <v>692</v>
      </c>
      <c r="G249" s="1">
        <v>20.5</v>
      </c>
      <c r="H249" s="1" t="s">
        <v>60</v>
      </c>
      <c r="I249" s="1">
        <v>-116.0</v>
      </c>
      <c r="J249" s="1">
        <v>0.074589403026655</v>
      </c>
      <c r="K249" s="1" t="s">
        <v>61</v>
      </c>
      <c r="L249" s="1" t="s">
        <v>61</v>
      </c>
      <c r="M249" s="1" t="s">
        <v>62</v>
      </c>
      <c r="N249" s="1">
        <v>-117.0</v>
      </c>
      <c r="O249" s="1">
        <v>-0.150735455911964</v>
      </c>
      <c r="P249" s="1" t="s">
        <v>61</v>
      </c>
      <c r="Q249" s="1" t="s">
        <v>61</v>
      </c>
      <c r="R249" s="1">
        <f t="shared" si="1"/>
        <v>0.07458940303</v>
      </c>
      <c r="S249" s="1">
        <f t="shared" si="2"/>
        <v>-116</v>
      </c>
      <c r="T249" s="1">
        <f t="shared" si="3"/>
        <v>1.862068966</v>
      </c>
      <c r="U249" s="1">
        <f t="shared" si="4"/>
        <v>1</v>
      </c>
      <c r="V249" s="3">
        <f t="shared" si="5"/>
        <v>2</v>
      </c>
      <c r="W249" s="3">
        <f t="shared" si="6"/>
        <v>2</v>
      </c>
      <c r="X249" s="3" t="str">
        <f>IFERROR(__xludf.DUMMYFUNCTION("split(B249,"" "")"),"K.")</f>
        <v>K.</v>
      </c>
      <c r="Y249" s="3" t="str">
        <f>IFERROR(__xludf.DUMMYFUNCTION("""COMPUTED_VALUE"""),"Gainwell")</f>
        <v>Gainwell</v>
      </c>
      <c r="AA249" s="8">
        <v>49.0</v>
      </c>
      <c r="AB249" s="3">
        <f t="shared" si="7"/>
        <v>1</v>
      </c>
      <c r="AC249" s="3">
        <f t="shared" si="8"/>
        <v>1</v>
      </c>
      <c r="AD249" s="3">
        <f t="shared" si="9"/>
        <v>1.724137931</v>
      </c>
      <c r="AE249" s="3">
        <f t="shared" si="10"/>
        <v>1.724137931</v>
      </c>
      <c r="AF249" s="3">
        <f t="shared" si="11"/>
        <v>1.724137931</v>
      </c>
      <c r="AG249" s="3">
        <f t="shared" si="12"/>
        <v>1.390243902</v>
      </c>
    </row>
    <row r="250">
      <c r="A250" s="1" t="s">
        <v>12</v>
      </c>
      <c r="B250" s="1" t="s">
        <v>507</v>
      </c>
      <c r="C250" s="1" t="s">
        <v>18</v>
      </c>
      <c r="D250" s="1" t="s">
        <v>156</v>
      </c>
      <c r="E250" s="1" t="s">
        <v>114</v>
      </c>
      <c r="F250" s="1" t="s">
        <v>692</v>
      </c>
      <c r="G250" s="1">
        <v>4.5</v>
      </c>
      <c r="H250" s="1" t="s">
        <v>60</v>
      </c>
      <c r="I250" s="1">
        <v>113.0</v>
      </c>
      <c r="J250" s="1">
        <v>0.0649103286384976</v>
      </c>
      <c r="K250" s="1" t="s">
        <v>61</v>
      </c>
      <c r="L250" s="1" t="s">
        <v>61</v>
      </c>
      <c r="M250" s="1" t="s">
        <v>62</v>
      </c>
      <c r="N250" s="1">
        <v>-149.0</v>
      </c>
      <c r="O250" s="1">
        <v>-0.132773895582329</v>
      </c>
      <c r="P250" s="1" t="s">
        <v>61</v>
      </c>
      <c r="Q250" s="1" t="s">
        <v>61</v>
      </c>
      <c r="R250" s="1">
        <f t="shared" si="1"/>
        <v>0.06491032864</v>
      </c>
      <c r="S250" s="1">
        <f t="shared" si="2"/>
        <v>113</v>
      </c>
      <c r="T250" s="1">
        <f t="shared" si="3"/>
        <v>2.13</v>
      </c>
      <c r="U250" s="1">
        <f t="shared" si="4"/>
        <v>1</v>
      </c>
      <c r="V250" s="3">
        <f t="shared" si="5"/>
        <v>2</v>
      </c>
      <c r="W250" s="3">
        <f t="shared" si="6"/>
        <v>1</v>
      </c>
      <c r="X250" s="3" t="str">
        <f>IFERROR(__xludf.DUMMYFUNCTION("split(B250,"" "")"),"D.")</f>
        <v>D.</v>
      </c>
      <c r="Y250" s="3" t="str">
        <f>IFERROR(__xludf.DUMMYFUNCTION("""COMPUTED_VALUE"""),"Smith")</f>
        <v>Smith</v>
      </c>
      <c r="AA250" s="8">
        <v>4.0</v>
      </c>
      <c r="AB250" s="3">
        <f t="shared" si="7"/>
        <v>0</v>
      </c>
      <c r="AC250" s="3">
        <f t="shared" si="8"/>
        <v>0</v>
      </c>
      <c r="AD250" s="3">
        <f t="shared" si="9"/>
        <v>2.26</v>
      </c>
      <c r="AE250" s="3">
        <f t="shared" si="10"/>
        <v>-2</v>
      </c>
      <c r="AF250" s="3">
        <f t="shared" si="11"/>
        <v>-1</v>
      </c>
      <c r="AG250" s="3">
        <f t="shared" si="12"/>
        <v>-0.1111111111</v>
      </c>
    </row>
    <row r="251">
      <c r="A251" s="1" t="s">
        <v>11</v>
      </c>
      <c r="B251" s="1" t="s">
        <v>210</v>
      </c>
      <c r="C251" s="1" t="s">
        <v>18</v>
      </c>
      <c r="D251" s="1" t="s">
        <v>156</v>
      </c>
      <c r="E251" s="1" t="s">
        <v>114</v>
      </c>
      <c r="F251" s="1" t="s">
        <v>692</v>
      </c>
      <c r="G251" s="1">
        <v>8.5</v>
      </c>
      <c r="H251" s="1" t="s">
        <v>60</v>
      </c>
      <c r="I251" s="1">
        <v>-109.0</v>
      </c>
      <c r="J251" s="1">
        <v>0.0627745511830367</v>
      </c>
      <c r="K251" s="1" t="s">
        <v>61</v>
      </c>
      <c r="L251" s="1" t="s">
        <v>61</v>
      </c>
      <c r="M251" s="1" t="s">
        <v>62</v>
      </c>
      <c r="N251" s="1">
        <v>-119.0</v>
      </c>
      <c r="O251" s="1">
        <v>-0.127617582761338</v>
      </c>
      <c r="P251" s="1" t="s">
        <v>61</v>
      </c>
      <c r="Q251" s="1" t="s">
        <v>61</v>
      </c>
      <c r="R251" s="1">
        <f t="shared" si="1"/>
        <v>0.06277455118</v>
      </c>
      <c r="S251" s="1">
        <f t="shared" si="2"/>
        <v>-109</v>
      </c>
      <c r="T251" s="1">
        <f t="shared" si="3"/>
        <v>1.917431193</v>
      </c>
      <c r="U251" s="1">
        <f t="shared" si="4"/>
        <v>1</v>
      </c>
      <c r="V251" s="3">
        <f t="shared" si="5"/>
        <v>2</v>
      </c>
      <c r="W251" s="3">
        <f t="shared" si="6"/>
        <v>2</v>
      </c>
      <c r="X251" s="3" t="str">
        <f>IFERROR(__xludf.DUMMYFUNCTION("split(B251,"" "")"),"J.")</f>
        <v>J.</v>
      </c>
      <c r="Y251" s="3" t="str">
        <f>IFERROR(__xludf.DUMMYFUNCTION("""COMPUTED_VALUE"""),"Dotson")</f>
        <v>Dotson</v>
      </c>
      <c r="AA251" s="8">
        <v>8.0</v>
      </c>
      <c r="AB251" s="3">
        <f t="shared" si="7"/>
        <v>0</v>
      </c>
      <c r="AC251" s="3">
        <f t="shared" si="8"/>
        <v>0</v>
      </c>
      <c r="AD251" s="3">
        <f t="shared" si="9"/>
        <v>1.834862385</v>
      </c>
      <c r="AE251" s="3">
        <f t="shared" si="10"/>
        <v>-2</v>
      </c>
      <c r="AF251" s="3">
        <f t="shared" si="11"/>
        <v>-2</v>
      </c>
      <c r="AG251" s="3">
        <f t="shared" si="12"/>
        <v>-0.05882352941</v>
      </c>
    </row>
    <row r="252">
      <c r="A252" s="1" t="s">
        <v>15</v>
      </c>
      <c r="B252" s="1" t="s">
        <v>338</v>
      </c>
      <c r="C252" s="1" t="s">
        <v>21</v>
      </c>
      <c r="D252" s="1" t="s">
        <v>156</v>
      </c>
      <c r="E252" s="1" t="s">
        <v>114</v>
      </c>
      <c r="F252" s="1" t="s">
        <v>692</v>
      </c>
      <c r="G252" s="1">
        <v>18.5</v>
      </c>
      <c r="H252" s="1" t="s">
        <v>60</v>
      </c>
      <c r="I252" s="1">
        <v>-105.0</v>
      </c>
      <c r="J252" s="1">
        <v>0.0234019150243901</v>
      </c>
      <c r="K252" s="1" t="s">
        <v>61</v>
      </c>
      <c r="L252" s="1" t="s">
        <v>61</v>
      </c>
      <c r="M252" s="1" t="s">
        <v>62</v>
      </c>
      <c r="N252" s="1">
        <v>-126.0</v>
      </c>
      <c r="O252" s="1">
        <v>-0.0931473214637169</v>
      </c>
      <c r="P252" s="1" t="s">
        <v>61</v>
      </c>
      <c r="Q252" s="1" t="s">
        <v>61</v>
      </c>
      <c r="R252" s="1">
        <f t="shared" si="1"/>
        <v>0.02340191502</v>
      </c>
      <c r="S252" s="1">
        <f t="shared" si="2"/>
        <v>-105</v>
      </c>
      <c r="T252" s="1">
        <f t="shared" si="3"/>
        <v>1.952380952</v>
      </c>
      <c r="U252" s="1">
        <f t="shared" si="4"/>
        <v>1</v>
      </c>
      <c r="V252" s="3">
        <f t="shared" si="5"/>
        <v>1</v>
      </c>
      <c r="W252" s="3">
        <f t="shared" si="6"/>
        <v>2</v>
      </c>
      <c r="X252" s="3" t="str">
        <f>IFERROR(__xludf.DUMMYFUNCTION("split(B252,"" "")"),"J.")</f>
        <v>J.</v>
      </c>
      <c r="Y252" s="3" t="str">
        <f>IFERROR(__xludf.DUMMYFUNCTION("""COMPUTED_VALUE"""),"Hurts")</f>
        <v>Hurts</v>
      </c>
      <c r="AA252" s="8">
        <v>18.0</v>
      </c>
      <c r="AB252" s="3">
        <f t="shared" si="7"/>
        <v>0</v>
      </c>
      <c r="AC252" s="3">
        <f t="shared" si="8"/>
        <v>0</v>
      </c>
      <c r="AD252" s="3">
        <f t="shared" si="9"/>
        <v>0.9523809524</v>
      </c>
      <c r="AE252" s="3">
        <f t="shared" si="10"/>
        <v>-1</v>
      </c>
      <c r="AF252" s="3">
        <f t="shared" si="11"/>
        <v>-2</v>
      </c>
      <c r="AG252" s="3">
        <f t="shared" si="12"/>
        <v>-0.02702702703</v>
      </c>
    </row>
    <row r="253">
      <c r="A253" s="1" t="s">
        <v>10</v>
      </c>
      <c r="B253" s="1" t="s">
        <v>338</v>
      </c>
      <c r="C253" s="1" t="s">
        <v>21</v>
      </c>
      <c r="D253" s="1" t="s">
        <v>156</v>
      </c>
      <c r="E253" s="1" t="s">
        <v>114</v>
      </c>
      <c r="F253" s="1" t="s">
        <v>692</v>
      </c>
      <c r="G253" s="1">
        <v>40.5</v>
      </c>
      <c r="H253" s="1" t="s">
        <v>60</v>
      </c>
      <c r="I253" s="1">
        <v>-110.0</v>
      </c>
      <c r="J253" s="1">
        <v>-0.0879315396615048</v>
      </c>
      <c r="K253" s="1" t="s">
        <v>61</v>
      </c>
      <c r="L253" s="1" t="s">
        <v>61</v>
      </c>
      <c r="M253" s="1" t="s">
        <v>62</v>
      </c>
      <c r="N253" s="1">
        <v>-120.0</v>
      </c>
      <c r="O253" s="1">
        <v>0.01872833452136</v>
      </c>
      <c r="P253" s="1" t="s">
        <v>61</v>
      </c>
      <c r="Q253" s="1" t="s">
        <v>61</v>
      </c>
      <c r="R253" s="1">
        <f t="shared" si="1"/>
        <v>0.01872833452</v>
      </c>
      <c r="S253" s="1">
        <f t="shared" si="2"/>
        <v>-120</v>
      </c>
      <c r="T253" s="1">
        <f t="shared" si="3"/>
        <v>1.833333333</v>
      </c>
      <c r="U253" s="1">
        <f t="shared" si="4"/>
        <v>0</v>
      </c>
      <c r="V253" s="3">
        <f t="shared" si="5"/>
        <v>1</v>
      </c>
      <c r="W253" s="3">
        <f t="shared" si="6"/>
        <v>3</v>
      </c>
      <c r="X253" s="3" t="str">
        <f>IFERROR(__xludf.DUMMYFUNCTION("split(B253,"" "")"),"J.")</f>
        <v>J.</v>
      </c>
      <c r="Y253" s="3" t="str">
        <f>IFERROR(__xludf.DUMMYFUNCTION("""COMPUTED_VALUE"""),"Hurts")</f>
        <v>Hurts</v>
      </c>
      <c r="AA253" s="8">
        <v>39.0</v>
      </c>
      <c r="AB253" s="3">
        <f t="shared" si="7"/>
        <v>0</v>
      </c>
      <c r="AC253" s="3">
        <f t="shared" si="8"/>
        <v>1</v>
      </c>
      <c r="AD253" s="3">
        <f t="shared" si="9"/>
        <v>0.8333333333</v>
      </c>
      <c r="AE253" s="3">
        <f t="shared" si="10"/>
        <v>0.8333333333</v>
      </c>
      <c r="AF253" s="3">
        <f t="shared" si="11"/>
        <v>2.5</v>
      </c>
      <c r="AG253" s="3">
        <f t="shared" si="12"/>
        <v>0.03703703704</v>
      </c>
    </row>
    <row r="254">
      <c r="A254" s="1" t="s">
        <v>11</v>
      </c>
      <c r="B254" s="1" t="s">
        <v>366</v>
      </c>
      <c r="C254" s="1" t="s">
        <v>20</v>
      </c>
      <c r="D254" s="1" t="s">
        <v>156</v>
      </c>
      <c r="E254" s="1" t="s">
        <v>114</v>
      </c>
      <c r="F254" s="1" t="s">
        <v>692</v>
      </c>
      <c r="G254" s="1">
        <v>30.5</v>
      </c>
      <c r="H254" s="1" t="s">
        <v>60</v>
      </c>
      <c r="I254" s="1">
        <v>-122.0</v>
      </c>
      <c r="J254" s="1">
        <v>-0.0781269350007657</v>
      </c>
      <c r="K254" s="1" t="s">
        <v>61</v>
      </c>
      <c r="L254" s="1" t="s">
        <v>61</v>
      </c>
      <c r="M254" s="1" t="s">
        <v>62</v>
      </c>
      <c r="N254" s="1">
        <v>-105.0</v>
      </c>
      <c r="O254" s="1">
        <v>0.0163785823247732</v>
      </c>
      <c r="P254" s="1" t="s">
        <v>61</v>
      </c>
      <c r="Q254" s="1" t="s">
        <v>61</v>
      </c>
      <c r="R254" s="1">
        <f t="shared" si="1"/>
        <v>0.01637858232</v>
      </c>
      <c r="S254" s="1">
        <f t="shared" si="2"/>
        <v>-105</v>
      </c>
      <c r="T254" s="1">
        <f t="shared" si="3"/>
        <v>1.952380952</v>
      </c>
      <c r="U254" s="1">
        <f t="shared" si="4"/>
        <v>0</v>
      </c>
      <c r="V254" s="3">
        <f t="shared" si="5"/>
        <v>1</v>
      </c>
      <c r="W254" s="3">
        <f t="shared" si="6"/>
        <v>2</v>
      </c>
      <c r="X254" s="3" t="str">
        <f>IFERROR(__xludf.DUMMYFUNCTION("split(B254,"" "")"),"D.")</f>
        <v>D.</v>
      </c>
      <c r="Y254" s="3" t="str">
        <f>IFERROR(__xludf.DUMMYFUNCTION("""COMPUTED_VALUE"""),"Goedert")</f>
        <v>Goedert</v>
      </c>
      <c r="AA254" s="8">
        <v>61.0</v>
      </c>
      <c r="AB254" s="3">
        <f t="shared" si="7"/>
        <v>1</v>
      </c>
      <c r="AC254" s="3">
        <f t="shared" si="8"/>
        <v>0</v>
      </c>
      <c r="AD254" s="3">
        <f t="shared" si="9"/>
        <v>0.9523809524</v>
      </c>
      <c r="AE254" s="3">
        <f t="shared" si="10"/>
        <v>-1</v>
      </c>
      <c r="AF254" s="3">
        <f t="shared" si="11"/>
        <v>-2</v>
      </c>
      <c r="AG254" s="3">
        <f t="shared" si="12"/>
        <v>-1</v>
      </c>
    </row>
    <row r="255">
      <c r="A255" s="1" t="s">
        <v>9</v>
      </c>
      <c r="B255" s="1" t="s">
        <v>507</v>
      </c>
      <c r="C255" s="1" t="s">
        <v>18</v>
      </c>
      <c r="D255" s="1" t="s">
        <v>156</v>
      </c>
      <c r="E255" s="1" t="s">
        <v>114</v>
      </c>
      <c r="F255" s="1" t="s">
        <v>692</v>
      </c>
      <c r="G255" s="1">
        <v>54.5</v>
      </c>
      <c r="H255" s="1" t="s">
        <v>60</v>
      </c>
      <c r="I255" s="1">
        <v>-116.0</v>
      </c>
      <c r="J255" s="1">
        <v>0.015840651156716</v>
      </c>
      <c r="K255" s="1" t="s">
        <v>61</v>
      </c>
      <c r="L255" s="1" t="s">
        <v>61</v>
      </c>
      <c r="M255" s="1" t="s">
        <v>62</v>
      </c>
      <c r="N255" s="1">
        <v>-116.0</v>
      </c>
      <c r="O255" s="1">
        <v>-0.0898951553417907</v>
      </c>
      <c r="P255" s="1" t="s">
        <v>61</v>
      </c>
      <c r="Q255" s="1" t="s">
        <v>61</v>
      </c>
      <c r="R255" s="1">
        <f t="shared" si="1"/>
        <v>0.01584065116</v>
      </c>
      <c r="S255" s="1">
        <f t="shared" si="2"/>
        <v>-116</v>
      </c>
      <c r="T255" s="1">
        <f t="shared" si="3"/>
        <v>1.862068966</v>
      </c>
      <c r="U255" s="1">
        <f t="shared" si="4"/>
        <v>1</v>
      </c>
      <c r="V255" s="3">
        <f t="shared" si="5"/>
        <v>1</v>
      </c>
      <c r="W255" s="3">
        <f t="shared" si="6"/>
        <v>2</v>
      </c>
      <c r="X255" s="3" t="str">
        <f>IFERROR(__xludf.DUMMYFUNCTION("split(B255,"" "")"),"D.")</f>
        <v>D.</v>
      </c>
      <c r="Y255" s="3" t="str">
        <f>IFERROR(__xludf.DUMMYFUNCTION("""COMPUTED_VALUE"""),"Smith")</f>
        <v>Smith</v>
      </c>
      <c r="AA255" s="8">
        <v>29.0</v>
      </c>
      <c r="AB255" s="3">
        <f t="shared" si="7"/>
        <v>0</v>
      </c>
      <c r="AC255" s="3">
        <f t="shared" si="8"/>
        <v>0</v>
      </c>
      <c r="AD255" s="3">
        <f t="shared" si="9"/>
        <v>0.8620689655</v>
      </c>
      <c r="AE255" s="3">
        <f t="shared" si="10"/>
        <v>-1</v>
      </c>
      <c r="AF255" s="3">
        <f t="shared" si="11"/>
        <v>-2</v>
      </c>
      <c r="AG255" s="3">
        <f t="shared" si="12"/>
        <v>-0.4678899083</v>
      </c>
    </row>
    <row r="256">
      <c r="A256" s="1" t="s">
        <v>17</v>
      </c>
      <c r="B256" s="1" t="s">
        <v>338</v>
      </c>
      <c r="C256" s="1" t="s">
        <v>21</v>
      </c>
      <c r="D256" s="1" t="s">
        <v>156</v>
      </c>
      <c r="E256" s="1" t="s">
        <v>114</v>
      </c>
      <c r="F256" s="1" t="s">
        <v>692</v>
      </c>
      <c r="G256" s="1">
        <v>0.5</v>
      </c>
      <c r="H256" s="1" t="s">
        <v>60</v>
      </c>
      <c r="I256" s="1">
        <v>127.0</v>
      </c>
      <c r="J256" s="1">
        <v>0.00405947136563877</v>
      </c>
      <c r="K256" s="1" t="s">
        <v>61</v>
      </c>
      <c r="L256" s="1" t="s">
        <v>61</v>
      </c>
      <c r="M256" s="1" t="s">
        <v>62</v>
      </c>
      <c r="N256" s="1">
        <v>-167.0</v>
      </c>
      <c r="O256" s="1">
        <v>-0.0700430711610488</v>
      </c>
      <c r="P256" s="1" t="s">
        <v>61</v>
      </c>
      <c r="Q256" s="1" t="s">
        <v>61</v>
      </c>
      <c r="R256" s="1">
        <f t="shared" si="1"/>
        <v>0.004059471366</v>
      </c>
      <c r="S256" s="1">
        <f t="shared" si="2"/>
        <v>127</v>
      </c>
      <c r="T256" s="1">
        <f t="shared" si="3"/>
        <v>2.27</v>
      </c>
      <c r="U256" s="1">
        <f t="shared" si="4"/>
        <v>1</v>
      </c>
      <c r="V256" s="3">
        <f t="shared" si="5"/>
        <v>1</v>
      </c>
      <c r="W256" s="3">
        <f t="shared" si="6"/>
        <v>1</v>
      </c>
      <c r="X256" s="3" t="str">
        <f>IFERROR(__xludf.DUMMYFUNCTION("split(B256,"" "")"),"J.")</f>
        <v>J.</v>
      </c>
      <c r="Y256" s="3" t="str">
        <f>IFERROR(__xludf.DUMMYFUNCTION("""COMPUTED_VALUE"""),"Hurts")</f>
        <v>Hurts</v>
      </c>
      <c r="AA256" s="8">
        <v>0.0</v>
      </c>
      <c r="AB256" s="3">
        <f t="shared" si="7"/>
        <v>0</v>
      </c>
      <c r="AC256" s="3">
        <f t="shared" si="8"/>
        <v>0</v>
      </c>
      <c r="AD256" s="3">
        <f t="shared" si="9"/>
        <v>1.27</v>
      </c>
      <c r="AE256" s="3">
        <f t="shared" si="10"/>
        <v>-1</v>
      </c>
      <c r="AF256" s="3">
        <f t="shared" si="11"/>
        <v>-1</v>
      </c>
      <c r="AG256" s="3">
        <f t="shared" si="12"/>
        <v>-1</v>
      </c>
    </row>
    <row r="257">
      <c r="A257" s="1" t="s">
        <v>12</v>
      </c>
      <c r="B257" s="1" t="s">
        <v>600</v>
      </c>
      <c r="C257" s="1" t="s">
        <v>18</v>
      </c>
      <c r="D257" s="1" t="s">
        <v>110</v>
      </c>
      <c r="E257" s="1" t="s">
        <v>77</v>
      </c>
      <c r="F257" s="1" t="s">
        <v>687</v>
      </c>
      <c r="G257" s="1">
        <v>1.5</v>
      </c>
      <c r="H257" s="1" t="s">
        <v>60</v>
      </c>
      <c r="I257" s="1">
        <v>-185.0</v>
      </c>
      <c r="J257" s="1">
        <v>-0.286851149094736</v>
      </c>
      <c r="K257" s="1" t="s">
        <v>61</v>
      </c>
      <c r="L257" s="1" t="s">
        <v>61</v>
      </c>
      <c r="M257" s="1" t="s">
        <v>62</v>
      </c>
      <c r="N257" s="1">
        <v>139.0</v>
      </c>
      <c r="O257" s="1">
        <v>0.219323755196652</v>
      </c>
      <c r="P257" s="1" t="s">
        <v>61</v>
      </c>
      <c r="Q257" s="1" t="s">
        <v>61</v>
      </c>
      <c r="R257" s="1">
        <f t="shared" si="1"/>
        <v>0.2193237552</v>
      </c>
      <c r="S257" s="1">
        <f t="shared" si="2"/>
        <v>139</v>
      </c>
      <c r="T257" s="1">
        <f t="shared" si="3"/>
        <v>2.39</v>
      </c>
      <c r="U257" s="1">
        <f t="shared" si="4"/>
        <v>0</v>
      </c>
      <c r="V257" s="3">
        <f t="shared" si="5"/>
        <v>3</v>
      </c>
      <c r="W257" s="3">
        <f t="shared" si="6"/>
        <v>1</v>
      </c>
      <c r="X257" s="3" t="str">
        <f>IFERROR(__xludf.DUMMYFUNCTION("split(B257,"" "")"),"C.")</f>
        <v>C.</v>
      </c>
      <c r="Y257" s="3" t="str">
        <f>IFERROR(__xludf.DUMMYFUNCTION("""COMPUTED_VALUE"""),"Austin")</f>
        <v>Austin</v>
      </c>
      <c r="Z257" s="3" t="str">
        <f>IFERROR(__xludf.DUMMYFUNCTION("""COMPUTED_VALUE"""),"III")</f>
        <v>III</v>
      </c>
      <c r="AA257" s="8">
        <v>1.0</v>
      </c>
      <c r="AB257" s="3">
        <f t="shared" si="7"/>
        <v>0</v>
      </c>
      <c r="AC257" s="3">
        <f t="shared" si="8"/>
        <v>1</v>
      </c>
      <c r="AD257" s="3">
        <f t="shared" si="9"/>
        <v>4.17</v>
      </c>
      <c r="AE257" s="3">
        <f t="shared" si="10"/>
        <v>4.17</v>
      </c>
      <c r="AF257" s="3">
        <f t="shared" si="11"/>
        <v>1.39</v>
      </c>
      <c r="AG257" s="3">
        <f t="shared" si="12"/>
        <v>0.3333333333</v>
      </c>
    </row>
    <row r="258">
      <c r="A258" s="1" t="s">
        <v>12</v>
      </c>
      <c r="B258" s="1" t="s">
        <v>489</v>
      </c>
      <c r="C258" s="1" t="s">
        <v>20</v>
      </c>
      <c r="D258" s="1" t="s">
        <v>110</v>
      </c>
      <c r="E258" s="1" t="s">
        <v>77</v>
      </c>
      <c r="F258" s="1" t="s">
        <v>687</v>
      </c>
      <c r="G258" s="1">
        <v>2.5</v>
      </c>
      <c r="H258" s="1" t="s">
        <v>60</v>
      </c>
      <c r="I258" s="1">
        <v>-129.0</v>
      </c>
      <c r="J258" s="1">
        <v>-0.135914990436681</v>
      </c>
      <c r="K258" s="1" t="s">
        <v>61</v>
      </c>
      <c r="L258" s="1" t="s">
        <v>61</v>
      </c>
      <c r="M258" s="1" t="s">
        <v>62</v>
      </c>
      <c r="N258" s="1">
        <v>-101.0</v>
      </c>
      <c r="O258" s="1">
        <v>0.0701080802890548</v>
      </c>
      <c r="P258" s="1" t="s">
        <v>61</v>
      </c>
      <c r="Q258" s="1" t="s">
        <v>61</v>
      </c>
      <c r="R258" s="1">
        <f t="shared" si="1"/>
        <v>0.07010808029</v>
      </c>
      <c r="S258" s="1">
        <f t="shared" si="2"/>
        <v>-101</v>
      </c>
      <c r="T258" s="1">
        <f t="shared" si="3"/>
        <v>1.99009901</v>
      </c>
      <c r="U258" s="1">
        <f t="shared" si="4"/>
        <v>0</v>
      </c>
      <c r="V258" s="3">
        <f t="shared" si="5"/>
        <v>2</v>
      </c>
      <c r="W258" s="3">
        <f t="shared" si="6"/>
        <v>2</v>
      </c>
      <c r="X258" s="3" t="str">
        <f>IFERROR(__xludf.DUMMYFUNCTION("split(B258,"" "")"),"P.")</f>
        <v>P.</v>
      </c>
      <c r="Y258" s="3" t="str">
        <f>IFERROR(__xludf.DUMMYFUNCTION("""COMPUTED_VALUE"""),"Freiermuth")</f>
        <v>Freiermuth</v>
      </c>
      <c r="AA258" s="8">
        <v>2.0</v>
      </c>
      <c r="AB258" s="3">
        <f t="shared" si="7"/>
        <v>0</v>
      </c>
      <c r="AC258" s="3">
        <f t="shared" si="8"/>
        <v>1</v>
      </c>
      <c r="AD258" s="3">
        <f t="shared" si="9"/>
        <v>1.98019802</v>
      </c>
      <c r="AE258" s="3">
        <f t="shared" si="10"/>
        <v>1.98019802</v>
      </c>
      <c r="AF258" s="3">
        <f t="shared" si="11"/>
        <v>1.98019802</v>
      </c>
      <c r="AG258" s="3">
        <f t="shared" si="12"/>
        <v>0.2</v>
      </c>
    </row>
    <row r="259">
      <c r="A259" s="1" t="s">
        <v>11</v>
      </c>
      <c r="B259" s="1" t="s">
        <v>602</v>
      </c>
      <c r="C259" s="1" t="s">
        <v>20</v>
      </c>
      <c r="D259" s="1" t="s">
        <v>110</v>
      </c>
      <c r="E259" s="1" t="s">
        <v>77</v>
      </c>
      <c r="F259" s="1" t="s">
        <v>687</v>
      </c>
      <c r="G259" s="1">
        <v>8.5</v>
      </c>
      <c r="H259" s="1" t="s">
        <v>60</v>
      </c>
      <c r="I259" s="1">
        <v>-111.0</v>
      </c>
      <c r="J259" s="1">
        <v>0.0457861801404858</v>
      </c>
      <c r="K259" s="1" t="s">
        <v>61</v>
      </c>
      <c r="L259" s="1" t="s">
        <v>61</v>
      </c>
      <c r="M259" s="1" t="s">
        <v>62</v>
      </c>
      <c r="N259" s="1">
        <v>-116.0</v>
      </c>
      <c r="O259" s="1">
        <v>-0.108829988199932</v>
      </c>
      <c r="P259" s="1" t="s">
        <v>61</v>
      </c>
      <c r="Q259" s="1" t="s">
        <v>61</v>
      </c>
      <c r="R259" s="1">
        <f t="shared" si="1"/>
        <v>0.04578618014</v>
      </c>
      <c r="S259" s="1">
        <f t="shared" si="2"/>
        <v>-111</v>
      </c>
      <c r="T259" s="1">
        <f t="shared" si="3"/>
        <v>1.900900901</v>
      </c>
      <c r="U259" s="1">
        <f t="shared" si="4"/>
        <v>1</v>
      </c>
      <c r="V259" s="3">
        <f t="shared" si="5"/>
        <v>1</v>
      </c>
      <c r="W259" s="3">
        <f t="shared" si="6"/>
        <v>2</v>
      </c>
      <c r="X259" s="3" t="str">
        <f>IFERROR(__xludf.DUMMYFUNCTION("split(B259,"" "")"),"D.")</f>
        <v>D.</v>
      </c>
      <c r="Y259" s="3" t="str">
        <f>IFERROR(__xludf.DUMMYFUNCTION("""COMPUTED_VALUE"""),"Washington")</f>
        <v>Washington</v>
      </c>
      <c r="AA259" s="8">
        <v>42.0</v>
      </c>
      <c r="AB259" s="3">
        <f t="shared" si="7"/>
        <v>1</v>
      </c>
      <c r="AC259" s="3">
        <f t="shared" si="8"/>
        <v>1</v>
      </c>
      <c r="AD259" s="3">
        <f t="shared" si="9"/>
        <v>0.9009009009</v>
      </c>
      <c r="AE259" s="3">
        <f t="shared" si="10"/>
        <v>0.9009009009</v>
      </c>
      <c r="AF259" s="3">
        <f t="shared" si="11"/>
        <v>1.801801802</v>
      </c>
      <c r="AG259" s="3">
        <f t="shared" si="12"/>
        <v>3.941176471</v>
      </c>
    </row>
    <row r="260">
      <c r="A260" s="1" t="s">
        <v>17</v>
      </c>
      <c r="B260" s="1" t="s">
        <v>214</v>
      </c>
      <c r="C260" s="1" t="s">
        <v>21</v>
      </c>
      <c r="D260" s="1" t="s">
        <v>110</v>
      </c>
      <c r="E260" s="1" t="s">
        <v>77</v>
      </c>
      <c r="F260" s="1" t="s">
        <v>687</v>
      </c>
      <c r="G260" s="1">
        <v>0.5</v>
      </c>
      <c r="H260" s="1" t="s">
        <v>60</v>
      </c>
      <c r="I260" s="1">
        <v>-113.0</v>
      </c>
      <c r="J260" s="1">
        <v>-0.0937694835680751</v>
      </c>
      <c r="K260" s="1" t="s">
        <v>61</v>
      </c>
      <c r="L260" s="1" t="s">
        <v>61</v>
      </c>
      <c r="M260" s="1" t="s">
        <v>62</v>
      </c>
      <c r="N260" s="1">
        <v>-117.0</v>
      </c>
      <c r="O260" s="1">
        <v>0.0240755760368663</v>
      </c>
      <c r="P260" s="1" t="s">
        <v>61</v>
      </c>
      <c r="Q260" s="1" t="s">
        <v>61</v>
      </c>
      <c r="R260" s="1">
        <f t="shared" si="1"/>
        <v>0.02407557604</v>
      </c>
      <c r="S260" s="1">
        <f t="shared" si="2"/>
        <v>-117</v>
      </c>
      <c r="T260" s="1">
        <f t="shared" si="3"/>
        <v>1.854700855</v>
      </c>
      <c r="U260" s="1">
        <f t="shared" si="4"/>
        <v>0</v>
      </c>
      <c r="V260" s="3">
        <f t="shared" si="5"/>
        <v>1</v>
      </c>
      <c r="W260" s="3">
        <f t="shared" si="6"/>
        <v>2</v>
      </c>
      <c r="X260" s="3" t="str">
        <f>IFERROR(__xludf.DUMMYFUNCTION("split(B260,"" "")"),"R.")</f>
        <v>R.</v>
      </c>
      <c r="Y260" s="3" t="str">
        <f>IFERROR(__xludf.DUMMYFUNCTION("""COMPUTED_VALUE"""),"Wilson")</f>
        <v>Wilson</v>
      </c>
      <c r="AA260" s="8">
        <v>1.0</v>
      </c>
      <c r="AB260" s="3">
        <f t="shared" si="7"/>
        <v>1</v>
      </c>
      <c r="AC260" s="3">
        <f t="shared" si="8"/>
        <v>0</v>
      </c>
      <c r="AD260" s="3">
        <f t="shared" si="9"/>
        <v>0.8547008547</v>
      </c>
      <c r="AE260" s="3">
        <f t="shared" si="10"/>
        <v>-1</v>
      </c>
      <c r="AF260" s="3">
        <f t="shared" si="11"/>
        <v>-2</v>
      </c>
      <c r="AG260" s="3">
        <f t="shared" si="12"/>
        <v>-1</v>
      </c>
    </row>
    <row r="261">
      <c r="A261" s="1" t="s">
        <v>10</v>
      </c>
      <c r="B261" s="1" t="s">
        <v>214</v>
      </c>
      <c r="C261" s="1" t="s">
        <v>21</v>
      </c>
      <c r="D261" s="1" t="s">
        <v>110</v>
      </c>
      <c r="E261" s="1" t="s">
        <v>77</v>
      </c>
      <c r="F261" s="1" t="s">
        <v>687</v>
      </c>
      <c r="G261" s="1">
        <v>13.5</v>
      </c>
      <c r="H261" s="1" t="s">
        <v>60</v>
      </c>
      <c r="I261" s="1">
        <v>-115.0</v>
      </c>
      <c r="J261" s="1">
        <v>-0.0826630552880802</v>
      </c>
      <c r="K261" s="1" t="s">
        <v>61</v>
      </c>
      <c r="L261" s="1" t="s">
        <v>61</v>
      </c>
      <c r="M261" s="1" t="s">
        <v>62</v>
      </c>
      <c r="N261" s="1">
        <v>-115.0</v>
      </c>
      <c r="O261" s="1">
        <v>0.0129225135812922</v>
      </c>
      <c r="P261" s="1" t="s">
        <v>61</v>
      </c>
      <c r="Q261" s="1" t="s">
        <v>61</v>
      </c>
      <c r="R261" s="1">
        <f t="shared" si="1"/>
        <v>0.01292251358</v>
      </c>
      <c r="S261" s="1">
        <f t="shared" si="2"/>
        <v>-115</v>
      </c>
      <c r="T261" s="1">
        <f t="shared" si="3"/>
        <v>1.869565217</v>
      </c>
      <c r="U261" s="1">
        <f t="shared" si="4"/>
        <v>0</v>
      </c>
      <c r="V261" s="3">
        <f t="shared" si="5"/>
        <v>1</v>
      </c>
      <c r="W261" s="3">
        <f t="shared" si="6"/>
        <v>2</v>
      </c>
      <c r="X261" s="3" t="str">
        <f>IFERROR(__xludf.DUMMYFUNCTION("split(B261,"" "")"),"R.")</f>
        <v>R.</v>
      </c>
      <c r="Y261" s="3" t="str">
        <f>IFERROR(__xludf.DUMMYFUNCTION("""COMPUTED_VALUE"""),"Wilson")</f>
        <v>Wilson</v>
      </c>
      <c r="AA261" s="8">
        <v>1.0</v>
      </c>
      <c r="AB261" s="3">
        <f t="shared" si="7"/>
        <v>0</v>
      </c>
      <c r="AC261" s="3">
        <f t="shared" si="8"/>
        <v>1</v>
      </c>
      <c r="AD261" s="3">
        <f t="shared" si="9"/>
        <v>0.8695652174</v>
      </c>
      <c r="AE261" s="3">
        <f t="shared" si="10"/>
        <v>0.8695652174</v>
      </c>
      <c r="AF261" s="3">
        <f t="shared" si="11"/>
        <v>1.739130435</v>
      </c>
      <c r="AG261" s="3">
        <f t="shared" si="12"/>
        <v>0.9259259259</v>
      </c>
    </row>
    <row r="262">
      <c r="A262" s="1" t="s">
        <v>11</v>
      </c>
      <c r="B262" s="1" t="s">
        <v>600</v>
      </c>
      <c r="C262" s="1" t="s">
        <v>18</v>
      </c>
      <c r="D262" s="1" t="s">
        <v>110</v>
      </c>
      <c r="E262" s="1" t="s">
        <v>77</v>
      </c>
      <c r="F262" s="1" t="s">
        <v>687</v>
      </c>
      <c r="G262" s="1">
        <v>20.5</v>
      </c>
      <c r="H262" s="1" t="s">
        <v>60</v>
      </c>
      <c r="I262" s="1">
        <v>-118.0</v>
      </c>
      <c r="J262" s="1">
        <v>-0.0742909003595413</v>
      </c>
      <c r="K262" s="1" t="s">
        <v>61</v>
      </c>
      <c r="L262" s="1" t="s">
        <v>61</v>
      </c>
      <c r="M262" s="1" t="s">
        <v>62</v>
      </c>
      <c r="N262" s="1">
        <v>-111.0</v>
      </c>
      <c r="O262" s="1">
        <v>0.00697046478199925</v>
      </c>
      <c r="P262" s="1" t="s">
        <v>61</v>
      </c>
      <c r="Q262" s="1" t="s">
        <v>61</v>
      </c>
      <c r="R262" s="1">
        <f t="shared" si="1"/>
        <v>0.006970464782</v>
      </c>
      <c r="S262" s="1">
        <f t="shared" si="2"/>
        <v>-111</v>
      </c>
      <c r="T262" s="1">
        <f t="shared" si="3"/>
        <v>1.900900901</v>
      </c>
      <c r="U262" s="1">
        <f t="shared" si="4"/>
        <v>0</v>
      </c>
      <c r="V262" s="3">
        <f t="shared" si="5"/>
        <v>1</v>
      </c>
      <c r="W262" s="3">
        <f t="shared" si="6"/>
        <v>2</v>
      </c>
      <c r="X262" s="3" t="str">
        <f>IFERROR(__xludf.DUMMYFUNCTION("split(B262,"" "")"),"C.")</f>
        <v>C.</v>
      </c>
      <c r="Y262" s="3" t="str">
        <f>IFERROR(__xludf.DUMMYFUNCTION("""COMPUTED_VALUE"""),"Austin")</f>
        <v>Austin</v>
      </c>
      <c r="Z262" s="3" t="str">
        <f>IFERROR(__xludf.DUMMYFUNCTION("""COMPUTED_VALUE"""),"III")</f>
        <v>III</v>
      </c>
      <c r="AA262" s="8">
        <v>-1.0</v>
      </c>
      <c r="AB262" s="3">
        <f t="shared" si="7"/>
        <v>0</v>
      </c>
      <c r="AC262" s="3">
        <f t="shared" si="8"/>
        <v>1</v>
      </c>
      <c r="AD262" s="3">
        <f t="shared" si="9"/>
        <v>0.9009009009</v>
      </c>
      <c r="AE262" s="3">
        <f t="shared" si="10"/>
        <v>0.9009009009</v>
      </c>
      <c r="AF262" s="3">
        <f t="shared" si="11"/>
        <v>1.801801802</v>
      </c>
      <c r="AG262" s="3">
        <f t="shared" si="12"/>
        <v>1.048780488</v>
      </c>
    </row>
    <row r="263">
      <c r="A263" s="1" t="s">
        <v>15</v>
      </c>
      <c r="B263" s="1" t="s">
        <v>214</v>
      </c>
      <c r="C263" s="1" t="s">
        <v>21</v>
      </c>
      <c r="D263" s="1" t="s">
        <v>110</v>
      </c>
      <c r="E263" s="1" t="s">
        <v>77</v>
      </c>
      <c r="F263" s="1" t="s">
        <v>687</v>
      </c>
      <c r="G263" s="1">
        <v>19.5</v>
      </c>
      <c r="H263" s="1" t="s">
        <v>60</v>
      </c>
      <c r="I263" s="1">
        <v>-101.0</v>
      </c>
      <c r="J263" s="1">
        <v>0.00661517049751236</v>
      </c>
      <c r="K263" s="1" t="s">
        <v>61</v>
      </c>
      <c r="L263" s="1" t="s">
        <v>61</v>
      </c>
      <c r="M263" s="1" t="s">
        <v>62</v>
      </c>
      <c r="N263" s="1">
        <v>-131.0</v>
      </c>
      <c r="O263" s="1">
        <v>-0.0762026820073592</v>
      </c>
      <c r="P263" s="1" t="s">
        <v>61</v>
      </c>
      <c r="Q263" s="1" t="s">
        <v>61</v>
      </c>
      <c r="R263" s="1">
        <f t="shared" si="1"/>
        <v>0.006615170498</v>
      </c>
      <c r="S263" s="1">
        <f t="shared" si="2"/>
        <v>-101</v>
      </c>
      <c r="T263" s="1">
        <f t="shared" si="3"/>
        <v>1.99009901</v>
      </c>
      <c r="U263" s="1">
        <f t="shared" si="4"/>
        <v>1</v>
      </c>
      <c r="V263" s="3">
        <f t="shared" si="5"/>
        <v>1</v>
      </c>
      <c r="W263" s="3">
        <f t="shared" si="6"/>
        <v>2</v>
      </c>
      <c r="X263" s="3" t="str">
        <f>IFERROR(__xludf.DUMMYFUNCTION("split(B263,"" "")"),"R.")</f>
        <v>R.</v>
      </c>
      <c r="Y263" s="3" t="str">
        <f>IFERROR(__xludf.DUMMYFUNCTION("""COMPUTED_VALUE"""),"Wilson")</f>
        <v>Wilson</v>
      </c>
      <c r="AA263" s="8">
        <v>23.0</v>
      </c>
      <c r="AB263" s="3">
        <f t="shared" si="7"/>
        <v>1</v>
      </c>
      <c r="AC263" s="3">
        <f t="shared" si="8"/>
        <v>1</v>
      </c>
      <c r="AD263" s="3">
        <f t="shared" si="9"/>
        <v>0.9900990099</v>
      </c>
      <c r="AE263" s="3">
        <f t="shared" si="10"/>
        <v>0.9900990099</v>
      </c>
      <c r="AF263" s="3">
        <f t="shared" si="11"/>
        <v>1.98019802</v>
      </c>
      <c r="AG263" s="3">
        <f t="shared" si="12"/>
        <v>0.1794871795</v>
      </c>
    </row>
    <row r="264">
      <c r="A264" s="1" t="s">
        <v>14</v>
      </c>
      <c r="B264" s="1" t="s">
        <v>214</v>
      </c>
      <c r="C264" s="1" t="s">
        <v>21</v>
      </c>
      <c r="D264" s="1" t="s">
        <v>110</v>
      </c>
      <c r="E264" s="1" t="s">
        <v>77</v>
      </c>
      <c r="F264" s="1" t="s">
        <v>687</v>
      </c>
      <c r="G264" s="1">
        <v>1.5</v>
      </c>
      <c r="H264" s="1" t="s">
        <v>60</v>
      </c>
      <c r="I264" s="1">
        <v>113.0</v>
      </c>
      <c r="J264" s="1">
        <v>0.00571643192488263</v>
      </c>
      <c r="K264" s="1" t="s">
        <v>61</v>
      </c>
      <c r="L264" s="1" t="s">
        <v>61</v>
      </c>
      <c r="M264" s="1" t="s">
        <v>62</v>
      </c>
      <c r="N264" s="1">
        <v>-149.0</v>
      </c>
      <c r="O264" s="1">
        <v>-0.0735935742971887</v>
      </c>
      <c r="P264" s="1" t="s">
        <v>61</v>
      </c>
      <c r="Q264" s="1" t="s">
        <v>61</v>
      </c>
      <c r="R264" s="1">
        <f t="shared" si="1"/>
        <v>0.005716431925</v>
      </c>
      <c r="S264" s="1">
        <f t="shared" si="2"/>
        <v>113</v>
      </c>
      <c r="T264" s="1">
        <f t="shared" si="3"/>
        <v>2.13</v>
      </c>
      <c r="U264" s="1">
        <f t="shared" si="4"/>
        <v>1</v>
      </c>
      <c r="V264" s="3">
        <f t="shared" si="5"/>
        <v>1</v>
      </c>
      <c r="W264" s="3">
        <f t="shared" si="6"/>
        <v>1</v>
      </c>
      <c r="X264" s="3" t="str">
        <f>IFERROR(__xludf.DUMMYFUNCTION("split(B264,"" "")"),"R.")</f>
        <v>R.</v>
      </c>
      <c r="Y264" s="3" t="str">
        <f>IFERROR(__xludf.DUMMYFUNCTION("""COMPUTED_VALUE"""),"Wilson")</f>
        <v>Wilson</v>
      </c>
      <c r="AA264" s="8">
        <v>0.0</v>
      </c>
      <c r="AB264" s="3">
        <f t="shared" si="7"/>
        <v>0</v>
      </c>
      <c r="AC264" s="3">
        <f t="shared" si="8"/>
        <v>0</v>
      </c>
      <c r="AD264" s="3">
        <f t="shared" si="9"/>
        <v>1.13</v>
      </c>
      <c r="AE264" s="3">
        <f t="shared" si="10"/>
        <v>-1</v>
      </c>
      <c r="AF264" s="3">
        <f t="shared" si="11"/>
        <v>-1</v>
      </c>
      <c r="AG264" s="3">
        <f t="shared" si="12"/>
        <v>-1</v>
      </c>
    </row>
    <row r="265">
      <c r="A265" s="1" t="s">
        <v>16</v>
      </c>
      <c r="B265" s="1" t="s">
        <v>214</v>
      </c>
      <c r="C265" s="1" t="s">
        <v>21</v>
      </c>
      <c r="D265" s="1" t="s">
        <v>110</v>
      </c>
      <c r="E265" s="1" t="s">
        <v>77</v>
      </c>
      <c r="F265" s="1" t="s">
        <v>687</v>
      </c>
      <c r="G265" s="1">
        <v>30.5</v>
      </c>
      <c r="H265" s="1" t="s">
        <v>60</v>
      </c>
      <c r="I265" s="1">
        <v>-109.0</v>
      </c>
      <c r="J265" s="1">
        <v>-0.070827760430622</v>
      </c>
      <c r="K265" s="1" t="s">
        <v>61</v>
      </c>
      <c r="L265" s="1" t="s">
        <v>61</v>
      </c>
      <c r="M265" s="1" t="s">
        <v>62</v>
      </c>
      <c r="N265" s="1">
        <v>-120.0</v>
      </c>
      <c r="O265" s="1">
        <v>0.00384164689090926</v>
      </c>
      <c r="P265" s="1" t="s">
        <v>61</v>
      </c>
      <c r="Q265" s="1" t="s">
        <v>61</v>
      </c>
      <c r="R265" s="1">
        <f t="shared" si="1"/>
        <v>0.003841646891</v>
      </c>
      <c r="S265" s="1">
        <f t="shared" si="2"/>
        <v>-120</v>
      </c>
      <c r="T265" s="1">
        <f t="shared" si="3"/>
        <v>1.833333333</v>
      </c>
      <c r="U265" s="1">
        <f t="shared" si="4"/>
        <v>0</v>
      </c>
      <c r="V265" s="3">
        <f t="shared" si="5"/>
        <v>1</v>
      </c>
      <c r="W265" s="3">
        <f t="shared" si="6"/>
        <v>3</v>
      </c>
      <c r="X265" s="3" t="str">
        <f>IFERROR(__xludf.DUMMYFUNCTION("split(B265,"" "")"),"R.")</f>
        <v>R.</v>
      </c>
      <c r="Y265" s="3" t="str">
        <f>IFERROR(__xludf.DUMMYFUNCTION("""COMPUTED_VALUE"""),"Wilson")</f>
        <v>Wilson</v>
      </c>
      <c r="AA265" s="8">
        <v>36.0</v>
      </c>
      <c r="AB265" s="3">
        <f t="shared" si="7"/>
        <v>1</v>
      </c>
      <c r="AC265" s="3">
        <f t="shared" si="8"/>
        <v>0</v>
      </c>
      <c r="AD265" s="3">
        <f t="shared" si="9"/>
        <v>0.8333333333</v>
      </c>
      <c r="AE265" s="3">
        <f t="shared" si="10"/>
        <v>-1</v>
      </c>
      <c r="AF265" s="3">
        <f t="shared" si="11"/>
        <v>-3</v>
      </c>
      <c r="AG265" s="3">
        <f t="shared" si="12"/>
        <v>-0.1803278689</v>
      </c>
    </row>
    <row r="266">
      <c r="A266" s="1" t="s">
        <v>17</v>
      </c>
      <c r="B266" s="1" t="s">
        <v>500</v>
      </c>
      <c r="C266" s="1" t="s">
        <v>21</v>
      </c>
      <c r="D266" s="1" t="s">
        <v>82</v>
      </c>
      <c r="E266" s="1" t="s">
        <v>164</v>
      </c>
      <c r="F266" s="1" t="s">
        <v>686</v>
      </c>
      <c r="G266" s="1">
        <v>0.5</v>
      </c>
      <c r="H266" s="1" t="s">
        <v>60</v>
      </c>
      <c r="I266" s="1">
        <v>-136.0</v>
      </c>
      <c r="J266" s="1">
        <v>-0.123013559322033</v>
      </c>
      <c r="K266" s="1" t="s">
        <v>61</v>
      </c>
      <c r="L266" s="1" t="s">
        <v>61</v>
      </c>
      <c r="M266" s="1" t="s">
        <v>62</v>
      </c>
      <c r="N266" s="1">
        <v>104.0</v>
      </c>
      <c r="O266" s="1">
        <v>0.0565529411764705</v>
      </c>
      <c r="P266" s="1" t="s">
        <v>61</v>
      </c>
      <c r="Q266" s="1" t="s">
        <v>61</v>
      </c>
      <c r="R266" s="1">
        <f t="shared" si="1"/>
        <v>0.05655294118</v>
      </c>
      <c r="S266" s="1">
        <f t="shared" si="2"/>
        <v>104</v>
      </c>
      <c r="T266" s="1">
        <f t="shared" si="3"/>
        <v>2.04</v>
      </c>
      <c r="U266" s="1">
        <f t="shared" si="4"/>
        <v>0</v>
      </c>
      <c r="V266" s="3">
        <f t="shared" si="5"/>
        <v>2</v>
      </c>
      <c r="W266" s="3">
        <f t="shared" si="6"/>
        <v>2</v>
      </c>
      <c r="X266" s="3" t="str">
        <f>IFERROR(__xludf.DUMMYFUNCTION("split(B266,"" "")"),"G.")</f>
        <v>G.</v>
      </c>
      <c r="Y266" s="3" t="str">
        <f>IFERROR(__xludf.DUMMYFUNCTION("""COMPUTED_VALUE"""),"Smith")</f>
        <v>Smith</v>
      </c>
      <c r="AA266" s="8">
        <v>1.0</v>
      </c>
      <c r="AB266" s="3">
        <f t="shared" si="7"/>
        <v>1</v>
      </c>
      <c r="AC266" s="3">
        <f t="shared" si="8"/>
        <v>0</v>
      </c>
      <c r="AD266" s="3">
        <f t="shared" si="9"/>
        <v>2.08</v>
      </c>
      <c r="AE266" s="3">
        <f t="shared" si="10"/>
        <v>-2</v>
      </c>
      <c r="AF266" s="3">
        <f t="shared" si="11"/>
        <v>-2</v>
      </c>
      <c r="AG266" s="3">
        <f t="shared" si="12"/>
        <v>-1</v>
      </c>
    </row>
    <row r="267">
      <c r="A267" s="1" t="s">
        <v>9</v>
      </c>
      <c r="B267" s="1" t="s">
        <v>490</v>
      </c>
      <c r="C267" s="1" t="s">
        <v>19</v>
      </c>
      <c r="D267" s="1" t="s">
        <v>82</v>
      </c>
      <c r="E267" s="1" t="s">
        <v>164</v>
      </c>
      <c r="F267" s="1" t="s">
        <v>686</v>
      </c>
      <c r="G267" s="1">
        <v>81.5</v>
      </c>
      <c r="H267" s="1" t="s">
        <v>60</v>
      </c>
      <c r="I267" s="1">
        <v>-116.0</v>
      </c>
      <c r="J267" s="1">
        <v>-0.118939747419371</v>
      </c>
      <c r="K267" s="1" t="s">
        <v>61</v>
      </c>
      <c r="L267" s="1" t="s">
        <v>61</v>
      </c>
      <c r="M267" s="1" t="s">
        <v>62</v>
      </c>
      <c r="N267" s="1">
        <v>-116.0</v>
      </c>
      <c r="O267" s="1">
        <v>0.0449141070064705</v>
      </c>
      <c r="P267" s="1" t="s">
        <v>61</v>
      </c>
      <c r="Q267" s="1" t="s">
        <v>61</v>
      </c>
      <c r="R267" s="1">
        <f t="shared" si="1"/>
        <v>0.04491410701</v>
      </c>
      <c r="S267" s="1">
        <f t="shared" si="2"/>
        <v>-116</v>
      </c>
      <c r="T267" s="1">
        <f t="shared" si="3"/>
        <v>1.862068966</v>
      </c>
      <c r="U267" s="1">
        <f t="shared" si="4"/>
        <v>0</v>
      </c>
      <c r="V267" s="3">
        <f t="shared" si="5"/>
        <v>1</v>
      </c>
      <c r="W267" s="3">
        <f t="shared" si="6"/>
        <v>2</v>
      </c>
      <c r="X267" s="3" t="str">
        <f>IFERROR(__xludf.DUMMYFUNCTION("split(B267,"" "")"),"K.")</f>
        <v>K.</v>
      </c>
      <c r="Y267" s="3" t="str">
        <f>IFERROR(__xludf.DUMMYFUNCTION("""COMPUTED_VALUE"""),"Walker")</f>
        <v>Walker</v>
      </c>
      <c r="Z267" s="3" t="str">
        <f>IFERROR(__xludf.DUMMYFUNCTION("""COMPUTED_VALUE"""),"III")</f>
        <v>III</v>
      </c>
      <c r="AA267" s="8">
        <v>59.0</v>
      </c>
      <c r="AB267" s="3">
        <f t="shared" si="7"/>
        <v>0</v>
      </c>
      <c r="AC267" s="3">
        <f t="shared" si="8"/>
        <v>1</v>
      </c>
      <c r="AD267" s="3">
        <f t="shared" si="9"/>
        <v>0.8620689655</v>
      </c>
      <c r="AE267" s="3">
        <f t="shared" si="10"/>
        <v>0.8620689655</v>
      </c>
      <c r="AF267" s="3">
        <f t="shared" si="11"/>
        <v>1.724137931</v>
      </c>
      <c r="AG267" s="3">
        <f t="shared" si="12"/>
        <v>0.2760736196</v>
      </c>
    </row>
    <row r="268">
      <c r="A268" s="1" t="s">
        <v>11</v>
      </c>
      <c r="B268" s="1" t="s">
        <v>490</v>
      </c>
      <c r="C268" s="1" t="s">
        <v>19</v>
      </c>
      <c r="D268" s="1" t="s">
        <v>82</v>
      </c>
      <c r="E268" s="1" t="s">
        <v>164</v>
      </c>
      <c r="F268" s="1" t="s">
        <v>686</v>
      </c>
      <c r="G268" s="1">
        <v>24.5</v>
      </c>
      <c r="H268" s="1" t="s">
        <v>60</v>
      </c>
      <c r="I268" s="1">
        <v>-116.0</v>
      </c>
      <c r="J268" s="1">
        <v>-0.113552227041162</v>
      </c>
      <c r="K268" s="1" t="s">
        <v>61</v>
      </c>
      <c r="L268" s="1" t="s">
        <v>61</v>
      </c>
      <c r="M268" s="1" t="s">
        <v>62</v>
      </c>
      <c r="N268" s="1">
        <v>-116.0</v>
      </c>
      <c r="O268" s="1">
        <v>0.0395125833677478</v>
      </c>
      <c r="P268" s="1" t="s">
        <v>61</v>
      </c>
      <c r="Q268" s="1" t="s">
        <v>61</v>
      </c>
      <c r="R268" s="1">
        <f t="shared" si="1"/>
        <v>0.03951258337</v>
      </c>
      <c r="S268" s="1">
        <f t="shared" si="2"/>
        <v>-116</v>
      </c>
      <c r="T268" s="1">
        <f t="shared" si="3"/>
        <v>1.862068966</v>
      </c>
      <c r="U268" s="1">
        <f t="shared" si="4"/>
        <v>0</v>
      </c>
      <c r="V268" s="3">
        <f t="shared" si="5"/>
        <v>1</v>
      </c>
      <c r="W268" s="3">
        <f t="shared" si="6"/>
        <v>2</v>
      </c>
      <c r="X268" s="3" t="str">
        <f>IFERROR(__xludf.DUMMYFUNCTION("split(B268,"" "")"),"K.")</f>
        <v>K.</v>
      </c>
      <c r="Y268" s="3" t="str">
        <f>IFERROR(__xludf.DUMMYFUNCTION("""COMPUTED_VALUE"""),"Walker")</f>
        <v>Walker</v>
      </c>
      <c r="Z268" s="3" t="str">
        <f>IFERROR(__xludf.DUMMYFUNCTION("""COMPUTED_VALUE"""),"III")</f>
        <v>III</v>
      </c>
      <c r="AA268" s="8">
        <v>5.0</v>
      </c>
      <c r="AB268" s="3">
        <f t="shared" si="7"/>
        <v>0</v>
      </c>
      <c r="AC268" s="3">
        <f t="shared" si="8"/>
        <v>1</v>
      </c>
      <c r="AD268" s="3">
        <f t="shared" si="9"/>
        <v>0.8620689655</v>
      </c>
      <c r="AE268" s="3">
        <f t="shared" si="10"/>
        <v>0.8620689655</v>
      </c>
      <c r="AF268" s="3">
        <f t="shared" si="11"/>
        <v>1.724137931</v>
      </c>
      <c r="AG268" s="3">
        <f t="shared" si="12"/>
        <v>0.7959183673</v>
      </c>
    </row>
    <row r="269">
      <c r="A269" s="1" t="s">
        <v>10</v>
      </c>
      <c r="B269" s="1" t="s">
        <v>490</v>
      </c>
      <c r="C269" s="1" t="s">
        <v>19</v>
      </c>
      <c r="D269" s="1" t="s">
        <v>82</v>
      </c>
      <c r="E269" s="1" t="s">
        <v>164</v>
      </c>
      <c r="F269" s="1" t="s">
        <v>686</v>
      </c>
      <c r="G269" s="1">
        <v>53.5</v>
      </c>
      <c r="H269" s="1" t="s">
        <v>60</v>
      </c>
      <c r="I269" s="1">
        <v>-115.0</v>
      </c>
      <c r="J269" s="1">
        <v>-0.075286934247802</v>
      </c>
      <c r="K269" s="1" t="s">
        <v>61</v>
      </c>
      <c r="L269" s="1" t="s">
        <v>61</v>
      </c>
      <c r="M269" s="1" t="s">
        <v>62</v>
      </c>
      <c r="N269" s="1">
        <v>-116.0</v>
      </c>
      <c r="O269" s="1">
        <v>0.00336460578277686</v>
      </c>
      <c r="P269" s="1" t="s">
        <v>61</v>
      </c>
      <c r="Q269" s="1" t="s">
        <v>61</v>
      </c>
      <c r="R269" s="1">
        <f t="shared" si="1"/>
        <v>0.003364605783</v>
      </c>
      <c r="S269" s="1">
        <f t="shared" si="2"/>
        <v>-116</v>
      </c>
      <c r="T269" s="1">
        <f t="shared" si="3"/>
        <v>1.862068966</v>
      </c>
      <c r="U269" s="1">
        <f t="shared" si="4"/>
        <v>0</v>
      </c>
      <c r="V269" s="3">
        <f t="shared" si="5"/>
        <v>1</v>
      </c>
      <c r="W269" s="3">
        <f t="shared" si="6"/>
        <v>2</v>
      </c>
      <c r="X269" s="3" t="str">
        <f>IFERROR(__xludf.DUMMYFUNCTION("split(B269,"" "")"),"K.")</f>
        <v>K.</v>
      </c>
      <c r="Y269" s="3" t="str">
        <f>IFERROR(__xludf.DUMMYFUNCTION("""COMPUTED_VALUE"""),"Walker")</f>
        <v>Walker</v>
      </c>
      <c r="Z269" s="3" t="str">
        <f>IFERROR(__xludf.DUMMYFUNCTION("""COMPUTED_VALUE"""),"III")</f>
        <v>III</v>
      </c>
      <c r="AA269" s="8">
        <v>54.0</v>
      </c>
      <c r="AB269" s="3">
        <f t="shared" si="7"/>
        <v>1</v>
      </c>
      <c r="AC269" s="3">
        <f t="shared" si="8"/>
        <v>0</v>
      </c>
      <c r="AD269" s="3">
        <f t="shared" si="9"/>
        <v>0.8620689655</v>
      </c>
      <c r="AE269" s="3">
        <f t="shared" si="10"/>
        <v>-1</v>
      </c>
      <c r="AF269" s="3">
        <f t="shared" si="11"/>
        <v>-2</v>
      </c>
      <c r="AG269" s="3">
        <f t="shared" si="12"/>
        <v>-0.009345794393</v>
      </c>
    </row>
    <row r="270">
      <c r="A270" s="1" t="s">
        <v>14</v>
      </c>
      <c r="B270" s="1" t="s">
        <v>262</v>
      </c>
      <c r="C270" s="1" t="s">
        <v>21</v>
      </c>
      <c r="D270" s="1" t="s">
        <v>164</v>
      </c>
      <c r="E270" s="1" t="s">
        <v>82</v>
      </c>
      <c r="F270" s="1" t="s">
        <v>686</v>
      </c>
      <c r="G270" s="1">
        <v>1.5</v>
      </c>
      <c r="H270" s="1" t="s">
        <v>60</v>
      </c>
      <c r="I270" s="1">
        <v>-148.0</v>
      </c>
      <c r="J270" s="1">
        <v>-0.139374193548387</v>
      </c>
      <c r="K270" s="1" t="s">
        <v>61</v>
      </c>
      <c r="L270" s="1" t="s">
        <v>61</v>
      </c>
      <c r="M270" s="1" t="s">
        <v>62</v>
      </c>
      <c r="N270" s="1">
        <v>113.0</v>
      </c>
      <c r="O270" s="1">
        <v>0.0731164319248826</v>
      </c>
      <c r="P270" s="1" t="s">
        <v>61</v>
      </c>
      <c r="Q270" s="1" t="s">
        <v>61</v>
      </c>
      <c r="R270" s="1">
        <f t="shared" si="1"/>
        <v>0.07311643192</v>
      </c>
      <c r="S270" s="1">
        <f t="shared" si="2"/>
        <v>113</v>
      </c>
      <c r="T270" s="1">
        <f t="shared" si="3"/>
        <v>2.13</v>
      </c>
      <c r="U270" s="1">
        <f t="shared" si="4"/>
        <v>0</v>
      </c>
      <c r="V270" s="3">
        <f t="shared" si="5"/>
        <v>2</v>
      </c>
      <c r="W270" s="3">
        <f t="shared" si="6"/>
        <v>1</v>
      </c>
      <c r="X270" s="3" t="str">
        <f>IFERROR(__xludf.DUMMYFUNCTION("split(B270,"" "")"),"B.")</f>
        <v>B.</v>
      </c>
      <c r="Y270" s="3" t="str">
        <f>IFERROR(__xludf.DUMMYFUNCTION("""COMPUTED_VALUE"""),"Purdy")</f>
        <v>Purdy</v>
      </c>
      <c r="AA270" s="8">
        <v>1.0</v>
      </c>
      <c r="AB270" s="3">
        <f t="shared" si="7"/>
        <v>0</v>
      </c>
      <c r="AC270" s="3">
        <f t="shared" si="8"/>
        <v>1</v>
      </c>
      <c r="AD270" s="3">
        <f t="shared" si="9"/>
        <v>2.26</v>
      </c>
      <c r="AE270" s="3">
        <f t="shared" si="10"/>
        <v>2.26</v>
      </c>
      <c r="AF270" s="3">
        <f t="shared" si="11"/>
        <v>1.13</v>
      </c>
      <c r="AG270" s="3">
        <f t="shared" si="12"/>
        <v>0.3333333333</v>
      </c>
    </row>
    <row r="271">
      <c r="A271" s="1" t="s">
        <v>10</v>
      </c>
      <c r="B271" s="1" t="s">
        <v>262</v>
      </c>
      <c r="C271" s="1" t="s">
        <v>21</v>
      </c>
      <c r="D271" s="1" t="s">
        <v>164</v>
      </c>
      <c r="E271" s="1" t="s">
        <v>82</v>
      </c>
      <c r="F271" s="1" t="s">
        <v>686</v>
      </c>
      <c r="G271" s="1">
        <v>18.5</v>
      </c>
      <c r="H271" s="1" t="s">
        <v>60</v>
      </c>
      <c r="I271" s="1">
        <v>-115.0</v>
      </c>
      <c r="J271" s="1">
        <v>-0.120534660984554</v>
      </c>
      <c r="K271" s="1" t="s">
        <v>61</v>
      </c>
      <c r="L271" s="1" t="s">
        <v>61</v>
      </c>
      <c r="M271" s="1" t="s">
        <v>62</v>
      </c>
      <c r="N271" s="1">
        <v>-114.0</v>
      </c>
      <c r="O271" s="1">
        <v>0.0529335299407214</v>
      </c>
      <c r="P271" s="1" t="s">
        <v>61</v>
      </c>
      <c r="Q271" s="1" t="s">
        <v>61</v>
      </c>
      <c r="R271" s="1">
        <f t="shared" si="1"/>
        <v>0.05293352994</v>
      </c>
      <c r="S271" s="1">
        <f t="shared" si="2"/>
        <v>-114</v>
      </c>
      <c r="T271" s="1">
        <f t="shared" si="3"/>
        <v>1.877192982</v>
      </c>
      <c r="U271" s="1">
        <f t="shared" si="4"/>
        <v>0</v>
      </c>
      <c r="V271" s="3">
        <f t="shared" si="5"/>
        <v>2</v>
      </c>
      <c r="W271" s="3">
        <f t="shared" si="6"/>
        <v>2</v>
      </c>
      <c r="X271" s="3" t="str">
        <f>IFERROR(__xludf.DUMMYFUNCTION("split(B271,"" "")"),"B.")</f>
        <v>B.</v>
      </c>
      <c r="Y271" s="3" t="str">
        <f>IFERROR(__xludf.DUMMYFUNCTION("""COMPUTED_VALUE"""),"Purdy")</f>
        <v>Purdy</v>
      </c>
      <c r="AA271" s="8">
        <v>40.0</v>
      </c>
      <c r="AB271" s="3">
        <f t="shared" si="7"/>
        <v>1</v>
      </c>
      <c r="AC271" s="3">
        <f t="shared" si="8"/>
        <v>0</v>
      </c>
      <c r="AD271" s="3">
        <f t="shared" si="9"/>
        <v>1.754385965</v>
      </c>
      <c r="AE271" s="3">
        <f t="shared" si="10"/>
        <v>-2</v>
      </c>
      <c r="AF271" s="3">
        <f t="shared" si="11"/>
        <v>-2</v>
      </c>
      <c r="AG271" s="3">
        <f t="shared" si="12"/>
        <v>-1.162162162</v>
      </c>
    </row>
    <row r="272">
      <c r="A272" s="1" t="s">
        <v>11</v>
      </c>
      <c r="B272" s="1" t="s">
        <v>420</v>
      </c>
      <c r="C272" s="1" t="s">
        <v>19</v>
      </c>
      <c r="D272" s="1" t="s">
        <v>164</v>
      </c>
      <c r="E272" s="1" t="s">
        <v>82</v>
      </c>
      <c r="F272" s="1" t="s">
        <v>686</v>
      </c>
      <c r="G272" s="1">
        <v>27.5</v>
      </c>
      <c r="H272" s="1" t="s">
        <v>60</v>
      </c>
      <c r="I272" s="1">
        <v>-119.0</v>
      </c>
      <c r="J272" s="1">
        <v>-0.0791274298957533</v>
      </c>
      <c r="K272" s="1" t="s">
        <v>61</v>
      </c>
      <c r="L272" s="1" t="s">
        <v>61</v>
      </c>
      <c r="M272" s="1" t="s">
        <v>62</v>
      </c>
      <c r="N272" s="1">
        <v>-111.0</v>
      </c>
      <c r="O272" s="1">
        <v>0.00970465845193702</v>
      </c>
      <c r="P272" s="1" t="s">
        <v>61</v>
      </c>
      <c r="Q272" s="1" t="s">
        <v>61</v>
      </c>
      <c r="R272" s="1">
        <f t="shared" si="1"/>
        <v>0.009704658452</v>
      </c>
      <c r="S272" s="1">
        <f t="shared" si="2"/>
        <v>-111</v>
      </c>
      <c r="T272" s="1">
        <f t="shared" si="3"/>
        <v>1.900900901</v>
      </c>
      <c r="U272" s="1">
        <f t="shared" si="4"/>
        <v>0</v>
      </c>
      <c r="V272" s="3">
        <f t="shared" si="5"/>
        <v>1</v>
      </c>
      <c r="W272" s="3">
        <f t="shared" si="6"/>
        <v>2</v>
      </c>
      <c r="X272" s="3" t="str">
        <f>IFERROR(__xludf.DUMMYFUNCTION("split(B272,"" "")"),"C.")</f>
        <v>C.</v>
      </c>
      <c r="Y272" s="3" t="str">
        <f>IFERROR(__xludf.DUMMYFUNCTION("""COMPUTED_VALUE"""),"McCaffrey")</f>
        <v>McCaffrey</v>
      </c>
      <c r="AA272" s="8">
        <v>27.0</v>
      </c>
      <c r="AB272" s="3">
        <f t="shared" si="7"/>
        <v>0</v>
      </c>
      <c r="AC272" s="3">
        <f t="shared" si="8"/>
        <v>1</v>
      </c>
      <c r="AD272" s="3">
        <f t="shared" si="9"/>
        <v>0.9009009009</v>
      </c>
      <c r="AE272" s="3">
        <f t="shared" si="10"/>
        <v>0.9009009009</v>
      </c>
      <c r="AF272" s="3">
        <f t="shared" si="11"/>
        <v>1.801801802</v>
      </c>
      <c r="AG272" s="3">
        <f t="shared" si="12"/>
        <v>0.01818181818</v>
      </c>
    </row>
    <row r="273">
      <c r="A273" s="1" t="s">
        <v>8</v>
      </c>
      <c r="B273" s="1" t="s">
        <v>275</v>
      </c>
      <c r="C273" s="1" t="s">
        <v>21</v>
      </c>
      <c r="D273" s="1" t="s">
        <v>100</v>
      </c>
      <c r="E273" s="1" t="s">
        <v>146</v>
      </c>
      <c r="F273" s="1" t="s">
        <v>687</v>
      </c>
      <c r="G273" s="1">
        <v>3.5</v>
      </c>
      <c r="H273" s="1" t="s">
        <v>60</v>
      </c>
      <c r="I273" s="1">
        <v>-123.0</v>
      </c>
      <c r="J273" s="1">
        <v>-0.220008769841919</v>
      </c>
      <c r="K273" s="1" t="s">
        <v>61</v>
      </c>
      <c r="L273" s="1" t="s">
        <v>61</v>
      </c>
      <c r="M273" s="1" t="s">
        <v>62</v>
      </c>
      <c r="N273" s="1">
        <v>-110.0</v>
      </c>
      <c r="O273" s="1">
        <v>0.144636339248679</v>
      </c>
      <c r="P273" s="1" t="s">
        <v>61</v>
      </c>
      <c r="Q273" s="1" t="s">
        <v>61</v>
      </c>
      <c r="R273" s="1">
        <f t="shared" si="1"/>
        <v>0.1446363392</v>
      </c>
      <c r="S273" s="1">
        <f t="shared" si="2"/>
        <v>-110</v>
      </c>
      <c r="T273" s="1">
        <f t="shared" si="3"/>
        <v>1.909090909</v>
      </c>
      <c r="U273" s="1">
        <f t="shared" si="4"/>
        <v>0</v>
      </c>
      <c r="V273" s="3">
        <f t="shared" si="5"/>
        <v>3</v>
      </c>
      <c r="W273" s="3">
        <f t="shared" si="6"/>
        <v>2</v>
      </c>
      <c r="X273" s="3" t="str">
        <f>IFERROR(__xludf.DUMMYFUNCTION("split(B273,"" "")"),"W.")</f>
        <v>W.</v>
      </c>
      <c r="Y273" s="3" t="str">
        <f>IFERROR(__xludf.DUMMYFUNCTION("""COMPUTED_VALUE"""),"Levis")</f>
        <v>Levis</v>
      </c>
      <c r="AA273" s="8">
        <v>7.0</v>
      </c>
      <c r="AB273" s="3">
        <f t="shared" si="7"/>
        <v>1</v>
      </c>
      <c r="AC273" s="3">
        <f t="shared" si="8"/>
        <v>0</v>
      </c>
      <c r="AD273" s="3">
        <f t="shared" si="9"/>
        <v>2.727272727</v>
      </c>
      <c r="AE273" s="3">
        <f t="shared" si="10"/>
        <v>-3</v>
      </c>
      <c r="AF273" s="3">
        <f t="shared" si="11"/>
        <v>-2</v>
      </c>
      <c r="AG273" s="3">
        <f t="shared" si="12"/>
        <v>-1</v>
      </c>
    </row>
    <row r="274">
      <c r="A274" s="1" t="s">
        <v>14</v>
      </c>
      <c r="B274" s="1" t="s">
        <v>275</v>
      </c>
      <c r="C274" s="1" t="s">
        <v>21</v>
      </c>
      <c r="D274" s="1" t="s">
        <v>100</v>
      </c>
      <c r="E274" s="1" t="s">
        <v>146</v>
      </c>
      <c r="F274" s="1" t="s">
        <v>687</v>
      </c>
      <c r="G274" s="1">
        <v>0.5</v>
      </c>
      <c r="H274" s="1" t="s">
        <v>60</v>
      </c>
      <c r="I274" s="1">
        <v>-222.0</v>
      </c>
      <c r="J274" s="1">
        <v>-0.201939510683229</v>
      </c>
      <c r="K274" s="1" t="s">
        <v>61</v>
      </c>
      <c r="L274" s="1" t="s">
        <v>61</v>
      </c>
      <c r="M274" s="1" t="s">
        <v>62</v>
      </c>
      <c r="N274" s="1">
        <v>166.0</v>
      </c>
      <c r="O274" s="1">
        <v>0.136558355037594</v>
      </c>
      <c r="P274" s="1" t="s">
        <v>61</v>
      </c>
      <c r="Q274" s="1" t="s">
        <v>61</v>
      </c>
      <c r="R274" s="1">
        <f t="shared" si="1"/>
        <v>0.136558355</v>
      </c>
      <c r="S274" s="1">
        <f t="shared" si="2"/>
        <v>166</v>
      </c>
      <c r="T274" s="1">
        <f t="shared" si="3"/>
        <v>2.66</v>
      </c>
      <c r="U274" s="1">
        <f t="shared" si="4"/>
        <v>0</v>
      </c>
      <c r="V274" s="3">
        <f t="shared" si="5"/>
        <v>3</v>
      </c>
      <c r="W274" s="3">
        <f t="shared" si="6"/>
        <v>1</v>
      </c>
      <c r="X274" s="3" t="str">
        <f>IFERROR(__xludf.DUMMYFUNCTION("split(B274,"" "")"),"W.")</f>
        <v>W.</v>
      </c>
      <c r="Y274" s="3" t="str">
        <f>IFERROR(__xludf.DUMMYFUNCTION("""COMPUTED_VALUE"""),"Levis")</f>
        <v>Levis</v>
      </c>
      <c r="AA274" s="8">
        <v>1.0</v>
      </c>
      <c r="AB274" s="3">
        <f t="shared" si="7"/>
        <v>1</v>
      </c>
      <c r="AC274" s="3">
        <f t="shared" si="8"/>
        <v>0</v>
      </c>
      <c r="AD274" s="3">
        <f t="shared" si="9"/>
        <v>4.98</v>
      </c>
      <c r="AE274" s="3">
        <f t="shared" si="10"/>
        <v>-3</v>
      </c>
      <c r="AF274" s="3">
        <f t="shared" si="11"/>
        <v>-1</v>
      </c>
      <c r="AG274" s="3">
        <f t="shared" si="12"/>
        <v>-1</v>
      </c>
    </row>
    <row r="275">
      <c r="A275" s="1" t="s">
        <v>17</v>
      </c>
      <c r="B275" s="1" t="s">
        <v>275</v>
      </c>
      <c r="C275" s="1" t="s">
        <v>21</v>
      </c>
      <c r="D275" s="1" t="s">
        <v>100</v>
      </c>
      <c r="E275" s="1" t="s">
        <v>146</v>
      </c>
      <c r="F275" s="1" t="s">
        <v>687</v>
      </c>
      <c r="G275" s="1">
        <v>0.5</v>
      </c>
      <c r="H275" s="1" t="s">
        <v>60</v>
      </c>
      <c r="I275" s="1">
        <v>-145.0</v>
      </c>
      <c r="J275" s="1">
        <v>-0.138095918367346</v>
      </c>
      <c r="K275" s="1" t="s">
        <v>61</v>
      </c>
      <c r="L275" s="1" t="s">
        <v>61</v>
      </c>
      <c r="M275" s="1" t="s">
        <v>62</v>
      </c>
      <c r="N275" s="1">
        <v>109.0</v>
      </c>
      <c r="O275" s="1">
        <v>0.0677832535885167</v>
      </c>
      <c r="P275" s="1" t="s">
        <v>61</v>
      </c>
      <c r="Q275" s="1" t="s">
        <v>61</v>
      </c>
      <c r="R275" s="1">
        <f t="shared" si="1"/>
        <v>0.06778325359</v>
      </c>
      <c r="S275" s="1">
        <f t="shared" si="2"/>
        <v>109</v>
      </c>
      <c r="T275" s="1">
        <f t="shared" si="3"/>
        <v>2.09</v>
      </c>
      <c r="U275" s="1">
        <f t="shared" si="4"/>
        <v>0</v>
      </c>
      <c r="V275" s="3">
        <f t="shared" si="5"/>
        <v>2</v>
      </c>
      <c r="W275" s="3">
        <f t="shared" si="6"/>
        <v>2</v>
      </c>
      <c r="X275" s="3" t="str">
        <f>IFERROR(__xludf.DUMMYFUNCTION("split(B275,"" "")"),"W.")</f>
        <v>W.</v>
      </c>
      <c r="Y275" s="3" t="str">
        <f>IFERROR(__xludf.DUMMYFUNCTION("""COMPUTED_VALUE"""),"Levis")</f>
        <v>Levis</v>
      </c>
      <c r="AA275" s="8">
        <v>1.0</v>
      </c>
      <c r="AB275" s="3">
        <f t="shared" si="7"/>
        <v>1</v>
      </c>
      <c r="AC275" s="3">
        <f t="shared" si="8"/>
        <v>0</v>
      </c>
      <c r="AD275" s="3">
        <f t="shared" si="9"/>
        <v>2.18</v>
      </c>
      <c r="AE275" s="3">
        <f t="shared" si="10"/>
        <v>-2</v>
      </c>
      <c r="AF275" s="3">
        <f t="shared" si="11"/>
        <v>-2</v>
      </c>
      <c r="AG275" s="3">
        <f t="shared" si="12"/>
        <v>-1</v>
      </c>
    </row>
    <row r="276">
      <c r="A276" s="1" t="s">
        <v>12</v>
      </c>
      <c r="B276" s="1" t="s">
        <v>430</v>
      </c>
      <c r="C276" s="1" t="s">
        <v>20</v>
      </c>
      <c r="D276" s="1" t="s">
        <v>100</v>
      </c>
      <c r="E276" s="1" t="s">
        <v>146</v>
      </c>
      <c r="F276" s="1" t="s">
        <v>687</v>
      </c>
      <c r="G276" s="1">
        <v>2.5</v>
      </c>
      <c r="H276" s="1" t="s">
        <v>60</v>
      </c>
      <c r="I276" s="1">
        <v>102.0</v>
      </c>
      <c r="J276" s="1">
        <v>-0.124046024940594</v>
      </c>
      <c r="K276" s="1" t="s">
        <v>61</v>
      </c>
      <c r="L276" s="1" t="s">
        <v>61</v>
      </c>
      <c r="M276" s="1" t="s">
        <v>62</v>
      </c>
      <c r="N276" s="1">
        <v>-131.0</v>
      </c>
      <c r="O276" s="1">
        <v>0.0618842166190475</v>
      </c>
      <c r="P276" s="1" t="s">
        <v>61</v>
      </c>
      <c r="Q276" s="1" t="s">
        <v>61</v>
      </c>
      <c r="R276" s="1">
        <f t="shared" si="1"/>
        <v>0.06188421662</v>
      </c>
      <c r="S276" s="1">
        <f t="shared" si="2"/>
        <v>-131</v>
      </c>
      <c r="T276" s="1">
        <f t="shared" si="3"/>
        <v>1.763358779</v>
      </c>
      <c r="U276" s="1">
        <f t="shared" si="4"/>
        <v>0</v>
      </c>
      <c r="V276" s="3">
        <f t="shared" si="5"/>
        <v>2</v>
      </c>
      <c r="W276" s="3">
        <f t="shared" si="6"/>
        <v>3</v>
      </c>
      <c r="X276" s="3" t="str">
        <f>IFERROR(__xludf.DUMMYFUNCTION("split(B276,"" "")"),"C.")</f>
        <v>C.</v>
      </c>
      <c r="Y276" s="3" t="str">
        <f>IFERROR(__xludf.DUMMYFUNCTION("""COMPUTED_VALUE"""),"Okonkwo")</f>
        <v>Okonkwo</v>
      </c>
      <c r="AA276" s="8">
        <v>2.0</v>
      </c>
      <c r="AB276" s="3">
        <f t="shared" si="7"/>
        <v>0</v>
      </c>
      <c r="AC276" s="3">
        <f t="shared" si="8"/>
        <v>1</v>
      </c>
      <c r="AD276" s="3">
        <f t="shared" si="9"/>
        <v>1.526717557</v>
      </c>
      <c r="AE276" s="3">
        <f t="shared" si="10"/>
        <v>1.526717557</v>
      </c>
      <c r="AF276" s="3">
        <f t="shared" si="11"/>
        <v>2.290076336</v>
      </c>
      <c r="AG276" s="3">
        <f t="shared" si="12"/>
        <v>0.2</v>
      </c>
    </row>
    <row r="277">
      <c r="A277" s="1" t="s">
        <v>12</v>
      </c>
      <c r="B277" s="1" t="s">
        <v>437</v>
      </c>
      <c r="C277" s="1" t="s">
        <v>18</v>
      </c>
      <c r="D277" s="1" t="s">
        <v>100</v>
      </c>
      <c r="E277" s="1" t="s">
        <v>146</v>
      </c>
      <c r="F277" s="1" t="s">
        <v>687</v>
      </c>
      <c r="G277" s="1">
        <v>4.5</v>
      </c>
      <c r="H277" s="1" t="s">
        <v>60</v>
      </c>
      <c r="I277" s="1">
        <v>-120.0</v>
      </c>
      <c r="J277" s="1">
        <v>-0.104199999999999</v>
      </c>
      <c r="K277" s="1" t="s">
        <v>61</v>
      </c>
      <c r="L277" s="1" t="s">
        <v>61</v>
      </c>
      <c r="M277" s="1" t="s">
        <v>62</v>
      </c>
      <c r="N277" s="1">
        <v>-109.0</v>
      </c>
      <c r="O277" s="1">
        <v>0.0372210526315789</v>
      </c>
      <c r="P277" s="1" t="s">
        <v>61</v>
      </c>
      <c r="Q277" s="1" t="s">
        <v>61</v>
      </c>
      <c r="R277" s="1">
        <f t="shared" si="1"/>
        <v>0.03722105263</v>
      </c>
      <c r="S277" s="1">
        <f t="shared" si="2"/>
        <v>-109</v>
      </c>
      <c r="T277" s="1">
        <f t="shared" si="3"/>
        <v>1.917431193</v>
      </c>
      <c r="U277" s="1">
        <f t="shared" si="4"/>
        <v>0</v>
      </c>
      <c r="V277" s="3">
        <f t="shared" si="5"/>
        <v>1</v>
      </c>
      <c r="W277" s="3">
        <f t="shared" si="6"/>
        <v>2</v>
      </c>
      <c r="X277" s="3" t="str">
        <f>IFERROR(__xludf.DUMMYFUNCTION("split(B277,"" "")"),"C.")</f>
        <v>C.</v>
      </c>
      <c r="Y277" s="3" t="str">
        <f>IFERROR(__xludf.DUMMYFUNCTION("""COMPUTED_VALUE"""),"Ridley")</f>
        <v>Ridley</v>
      </c>
      <c r="AA277" s="8">
        <v>4.0</v>
      </c>
      <c r="AB277" s="3">
        <f t="shared" si="7"/>
        <v>0</v>
      </c>
      <c r="AC277" s="3">
        <f t="shared" si="8"/>
        <v>1</v>
      </c>
      <c r="AD277" s="3">
        <f t="shared" si="9"/>
        <v>0.9174311927</v>
      </c>
      <c r="AE277" s="3">
        <f t="shared" si="10"/>
        <v>0.9174311927</v>
      </c>
      <c r="AF277" s="3">
        <f t="shared" si="11"/>
        <v>1.834862385</v>
      </c>
      <c r="AG277" s="3">
        <f t="shared" si="12"/>
        <v>0.1111111111</v>
      </c>
    </row>
    <row r="278">
      <c r="A278" s="1" t="s">
        <v>15</v>
      </c>
      <c r="B278" s="1" t="s">
        <v>275</v>
      </c>
      <c r="C278" s="1" t="s">
        <v>21</v>
      </c>
      <c r="D278" s="1" t="s">
        <v>100</v>
      </c>
      <c r="E278" s="1" t="s">
        <v>146</v>
      </c>
      <c r="F278" s="1" t="s">
        <v>687</v>
      </c>
      <c r="G278" s="1">
        <v>18.5</v>
      </c>
      <c r="H278" s="1" t="s">
        <v>60</v>
      </c>
      <c r="I278" s="1">
        <v>-109.0</v>
      </c>
      <c r="J278" s="1">
        <v>-0.104830468325358</v>
      </c>
      <c r="K278" s="1" t="s">
        <v>61</v>
      </c>
      <c r="L278" s="1" t="s">
        <v>61</v>
      </c>
      <c r="M278" s="1" t="s">
        <v>62</v>
      </c>
      <c r="N278" s="1">
        <v>-121.0</v>
      </c>
      <c r="O278" s="1">
        <v>0.0357879644108596</v>
      </c>
      <c r="P278" s="1" t="s">
        <v>61</v>
      </c>
      <c r="Q278" s="1" t="s">
        <v>61</v>
      </c>
      <c r="R278" s="1">
        <f t="shared" si="1"/>
        <v>0.03578796441</v>
      </c>
      <c r="S278" s="1">
        <f t="shared" si="2"/>
        <v>-121</v>
      </c>
      <c r="T278" s="1">
        <f t="shared" si="3"/>
        <v>1.826446281</v>
      </c>
      <c r="U278" s="1">
        <f t="shared" si="4"/>
        <v>0</v>
      </c>
      <c r="V278" s="3">
        <f t="shared" si="5"/>
        <v>1</v>
      </c>
      <c r="W278" s="3">
        <f t="shared" si="6"/>
        <v>3</v>
      </c>
      <c r="X278" s="3" t="str">
        <f>IFERROR(__xludf.DUMMYFUNCTION("split(B278,"" "")"),"W.")</f>
        <v>W.</v>
      </c>
      <c r="Y278" s="3" t="str">
        <f>IFERROR(__xludf.DUMMYFUNCTION("""COMPUTED_VALUE"""),"Levis")</f>
        <v>Levis</v>
      </c>
      <c r="AA278" s="8">
        <v>17.0</v>
      </c>
      <c r="AB278" s="3">
        <f t="shared" si="7"/>
        <v>0</v>
      </c>
      <c r="AC278" s="3">
        <f t="shared" si="8"/>
        <v>1</v>
      </c>
      <c r="AD278" s="3">
        <f t="shared" si="9"/>
        <v>0.826446281</v>
      </c>
      <c r="AE278" s="3">
        <f t="shared" si="10"/>
        <v>0.826446281</v>
      </c>
      <c r="AF278" s="3">
        <f t="shared" si="11"/>
        <v>2.479338843</v>
      </c>
      <c r="AG278" s="3">
        <f t="shared" si="12"/>
        <v>0.08108108108</v>
      </c>
    </row>
    <row r="279">
      <c r="A279" s="1" t="s">
        <v>10</v>
      </c>
      <c r="B279" s="1" t="s">
        <v>275</v>
      </c>
      <c r="C279" s="1" t="s">
        <v>21</v>
      </c>
      <c r="D279" s="1" t="s">
        <v>100</v>
      </c>
      <c r="E279" s="1" t="s">
        <v>146</v>
      </c>
      <c r="F279" s="1" t="s">
        <v>687</v>
      </c>
      <c r="G279" s="1">
        <v>13.5</v>
      </c>
      <c r="H279" s="1" t="s">
        <v>60</v>
      </c>
      <c r="I279" s="1">
        <v>-119.0</v>
      </c>
      <c r="J279" s="1">
        <v>-0.0945650907202885</v>
      </c>
      <c r="K279" s="1" t="s">
        <v>61</v>
      </c>
      <c r="L279" s="1" t="s">
        <v>61</v>
      </c>
      <c r="M279" s="1" t="s">
        <v>62</v>
      </c>
      <c r="N279" s="1">
        <v>-110.0</v>
      </c>
      <c r="O279" s="1">
        <v>0.0273892397834167</v>
      </c>
      <c r="P279" s="1" t="s">
        <v>61</v>
      </c>
      <c r="Q279" s="1" t="s">
        <v>61</v>
      </c>
      <c r="R279" s="1">
        <f t="shared" si="1"/>
        <v>0.02738923978</v>
      </c>
      <c r="S279" s="1">
        <f t="shared" si="2"/>
        <v>-110</v>
      </c>
      <c r="T279" s="1">
        <f t="shared" si="3"/>
        <v>1.909090909</v>
      </c>
      <c r="U279" s="1">
        <f t="shared" si="4"/>
        <v>0</v>
      </c>
      <c r="V279" s="3">
        <f t="shared" si="5"/>
        <v>1</v>
      </c>
      <c r="W279" s="3">
        <f t="shared" si="6"/>
        <v>2</v>
      </c>
      <c r="X279" s="3" t="str">
        <f>IFERROR(__xludf.DUMMYFUNCTION("split(B279,"" "")"),"W.")</f>
        <v>W.</v>
      </c>
      <c r="Y279" s="3" t="str">
        <f>IFERROR(__xludf.DUMMYFUNCTION("""COMPUTED_VALUE"""),"Levis")</f>
        <v>Levis</v>
      </c>
      <c r="AA279" s="8">
        <v>18.0</v>
      </c>
      <c r="AB279" s="3">
        <f t="shared" si="7"/>
        <v>1</v>
      </c>
      <c r="AC279" s="3">
        <f t="shared" si="8"/>
        <v>0</v>
      </c>
      <c r="AD279" s="3">
        <f t="shared" si="9"/>
        <v>0.9090909091</v>
      </c>
      <c r="AE279" s="3">
        <f t="shared" si="10"/>
        <v>-1</v>
      </c>
      <c r="AF279" s="3">
        <f t="shared" si="11"/>
        <v>-2</v>
      </c>
      <c r="AG279" s="3">
        <f t="shared" si="12"/>
        <v>-0.3333333333</v>
      </c>
    </row>
    <row r="280">
      <c r="A280" s="1" t="s">
        <v>11</v>
      </c>
      <c r="B280" s="1" t="s">
        <v>437</v>
      </c>
      <c r="C280" s="1" t="s">
        <v>18</v>
      </c>
      <c r="D280" s="1" t="s">
        <v>100</v>
      </c>
      <c r="E280" s="1" t="s">
        <v>146</v>
      </c>
      <c r="F280" s="1" t="s">
        <v>687</v>
      </c>
      <c r="G280" s="1">
        <v>55.5</v>
      </c>
      <c r="H280" s="1" t="s">
        <v>60</v>
      </c>
      <c r="I280" s="1">
        <v>-113.0</v>
      </c>
      <c r="J280" s="1">
        <v>-0.0885502263554224</v>
      </c>
      <c r="K280" s="1" t="s">
        <v>61</v>
      </c>
      <c r="L280" s="1" t="s">
        <v>61</v>
      </c>
      <c r="M280" s="1" t="s">
        <v>62</v>
      </c>
      <c r="N280" s="1">
        <v>-114.0</v>
      </c>
      <c r="O280" s="1">
        <v>0.025354807142056</v>
      </c>
      <c r="P280" s="1" t="s">
        <v>61</v>
      </c>
      <c r="Q280" s="1" t="s">
        <v>61</v>
      </c>
      <c r="R280" s="1">
        <f t="shared" si="1"/>
        <v>0.02535480714</v>
      </c>
      <c r="S280" s="1">
        <f t="shared" si="2"/>
        <v>-114</v>
      </c>
      <c r="T280" s="1">
        <f t="shared" si="3"/>
        <v>1.877192982</v>
      </c>
      <c r="U280" s="1">
        <f t="shared" si="4"/>
        <v>0</v>
      </c>
      <c r="V280" s="3">
        <f t="shared" si="5"/>
        <v>1</v>
      </c>
      <c r="W280" s="3">
        <f t="shared" si="6"/>
        <v>2</v>
      </c>
      <c r="X280" s="3" t="str">
        <f>IFERROR(__xludf.DUMMYFUNCTION("split(B280,"" "")"),"C.")</f>
        <v>C.</v>
      </c>
      <c r="Y280" s="3" t="str">
        <f>IFERROR(__xludf.DUMMYFUNCTION("""COMPUTED_VALUE"""),"Ridley")</f>
        <v>Ridley</v>
      </c>
      <c r="AA280" s="8">
        <v>58.0</v>
      </c>
      <c r="AB280" s="3">
        <f t="shared" si="7"/>
        <v>1</v>
      </c>
      <c r="AC280" s="3">
        <f t="shared" si="8"/>
        <v>0</v>
      </c>
      <c r="AD280" s="3">
        <f t="shared" si="9"/>
        <v>0.8771929825</v>
      </c>
      <c r="AE280" s="3">
        <f t="shared" si="10"/>
        <v>-1</v>
      </c>
      <c r="AF280" s="3">
        <f t="shared" si="11"/>
        <v>-2</v>
      </c>
      <c r="AG280" s="3">
        <f t="shared" si="12"/>
        <v>-0.04504504505</v>
      </c>
    </row>
    <row r="281">
      <c r="A281" s="1" t="s">
        <v>12</v>
      </c>
      <c r="B281" s="1" t="s">
        <v>669</v>
      </c>
      <c r="C281" s="1" t="s">
        <v>18</v>
      </c>
      <c r="D281" s="1" t="s">
        <v>100</v>
      </c>
      <c r="E281" s="1" t="s">
        <v>146</v>
      </c>
      <c r="F281" s="1" t="s">
        <v>687</v>
      </c>
      <c r="G281" s="1">
        <v>2.5</v>
      </c>
      <c r="H281" s="1" t="s">
        <v>60</v>
      </c>
      <c r="I281" s="1">
        <v>115.0</v>
      </c>
      <c r="J281" s="1">
        <v>-0.0919135787093023</v>
      </c>
      <c r="K281" s="1" t="s">
        <v>61</v>
      </c>
      <c r="L281" s="1" t="s">
        <v>61</v>
      </c>
      <c r="M281" s="1" t="s">
        <v>62</v>
      </c>
      <c r="N281" s="1">
        <v>-151.0</v>
      </c>
      <c r="O281" s="1">
        <v>0.0252033373565736</v>
      </c>
      <c r="P281" s="1" t="s">
        <v>61</v>
      </c>
      <c r="Q281" s="1" t="s">
        <v>61</v>
      </c>
      <c r="R281" s="1">
        <f t="shared" si="1"/>
        <v>0.02520333736</v>
      </c>
      <c r="S281" s="1">
        <f t="shared" si="2"/>
        <v>-151</v>
      </c>
      <c r="T281" s="1">
        <f t="shared" si="3"/>
        <v>1.662251656</v>
      </c>
      <c r="U281" s="1">
        <f t="shared" si="4"/>
        <v>0</v>
      </c>
      <c r="V281" s="3">
        <f t="shared" si="5"/>
        <v>1</v>
      </c>
      <c r="W281" s="3">
        <f t="shared" si="6"/>
        <v>3</v>
      </c>
      <c r="X281" s="3" t="str">
        <f>IFERROR(__xludf.DUMMYFUNCTION("split(B281,"" "")"),"N.")</f>
        <v>N.</v>
      </c>
      <c r="Y281" s="3" t="str">
        <f>IFERROR(__xludf.DUMMYFUNCTION("""COMPUTED_VALUE"""),"Westbrook-Ikhine")</f>
        <v>Westbrook-Ikhine</v>
      </c>
      <c r="AA281" s="8">
        <v>2.0</v>
      </c>
      <c r="AB281" s="3">
        <f t="shared" si="7"/>
        <v>0</v>
      </c>
      <c r="AC281" s="3">
        <f t="shared" si="8"/>
        <v>1</v>
      </c>
      <c r="AD281" s="3">
        <f t="shared" si="9"/>
        <v>0.6622516556</v>
      </c>
      <c r="AE281" s="3">
        <f t="shared" si="10"/>
        <v>0.6622516556</v>
      </c>
      <c r="AF281" s="3">
        <f t="shared" si="11"/>
        <v>1.986754967</v>
      </c>
      <c r="AG281" s="3">
        <f t="shared" si="12"/>
        <v>0.2</v>
      </c>
    </row>
    <row r="282">
      <c r="A282" s="1" t="s">
        <v>16</v>
      </c>
      <c r="B282" s="1" t="s">
        <v>275</v>
      </c>
      <c r="C282" s="1" t="s">
        <v>21</v>
      </c>
      <c r="D282" s="1" t="s">
        <v>100</v>
      </c>
      <c r="E282" s="1" t="s">
        <v>146</v>
      </c>
      <c r="F282" s="1" t="s">
        <v>687</v>
      </c>
      <c r="G282" s="1">
        <v>29.5</v>
      </c>
      <c r="H282" s="1" t="s">
        <v>60</v>
      </c>
      <c r="I282" s="1">
        <v>101.0</v>
      </c>
      <c r="J282" s="1">
        <v>-0.0896110486840797</v>
      </c>
      <c r="K282" s="1" t="s">
        <v>61</v>
      </c>
      <c r="L282" s="1" t="s">
        <v>61</v>
      </c>
      <c r="M282" s="1" t="s">
        <v>62</v>
      </c>
      <c r="N282" s="1">
        <v>-131.0</v>
      </c>
      <c r="O282" s="1">
        <v>0.0249988651536796</v>
      </c>
      <c r="P282" s="1" t="s">
        <v>61</v>
      </c>
      <c r="Q282" s="1" t="s">
        <v>61</v>
      </c>
      <c r="R282" s="1">
        <f t="shared" si="1"/>
        <v>0.02499886515</v>
      </c>
      <c r="S282" s="1">
        <f t="shared" si="2"/>
        <v>-131</v>
      </c>
      <c r="T282" s="1">
        <f t="shared" si="3"/>
        <v>1.763358779</v>
      </c>
      <c r="U282" s="1">
        <f t="shared" si="4"/>
        <v>0</v>
      </c>
      <c r="V282" s="3">
        <f t="shared" si="5"/>
        <v>1</v>
      </c>
      <c r="W282" s="3">
        <f t="shared" si="6"/>
        <v>3</v>
      </c>
      <c r="X282" s="3" t="str">
        <f>IFERROR(__xludf.DUMMYFUNCTION("split(B282,"" "")"),"W.")</f>
        <v>W.</v>
      </c>
      <c r="Y282" s="3" t="str">
        <f>IFERROR(__xludf.DUMMYFUNCTION("""COMPUTED_VALUE"""),"Levis")</f>
        <v>Levis</v>
      </c>
      <c r="AA282" s="8">
        <v>31.0</v>
      </c>
      <c r="AB282" s="3">
        <f t="shared" si="7"/>
        <v>1</v>
      </c>
      <c r="AC282" s="3">
        <f t="shared" si="8"/>
        <v>0</v>
      </c>
      <c r="AD282" s="3">
        <f t="shared" si="9"/>
        <v>0.7633587786</v>
      </c>
      <c r="AE282" s="3">
        <f t="shared" si="10"/>
        <v>-1</v>
      </c>
      <c r="AF282" s="3">
        <f t="shared" si="11"/>
        <v>-3</v>
      </c>
      <c r="AG282" s="3">
        <f t="shared" si="12"/>
        <v>-0.05084745763</v>
      </c>
    </row>
    <row r="283">
      <c r="A283" s="1" t="s">
        <v>10</v>
      </c>
      <c r="B283" s="1" t="s">
        <v>249</v>
      </c>
      <c r="C283" s="1" t="s">
        <v>18</v>
      </c>
      <c r="D283" s="1" t="s">
        <v>114</v>
      </c>
      <c r="E283" s="1" t="s">
        <v>156</v>
      </c>
      <c r="F283" s="1" t="s">
        <v>692</v>
      </c>
      <c r="G283" s="1">
        <v>0.5</v>
      </c>
      <c r="H283" s="1" t="s">
        <v>60</v>
      </c>
      <c r="I283" s="1">
        <v>442.0</v>
      </c>
      <c r="J283" s="1">
        <v>0.428239719987809</v>
      </c>
      <c r="K283" s="1" t="s">
        <v>61</v>
      </c>
      <c r="L283" s="1" t="s">
        <v>61</v>
      </c>
      <c r="M283" s="1" t="s">
        <v>62</v>
      </c>
      <c r="N283" s="1">
        <v>-735.0</v>
      </c>
      <c r="O283" s="1">
        <v>-0.49294469139064</v>
      </c>
      <c r="P283" s="1" t="s">
        <v>61</v>
      </c>
      <c r="Q283" s="1" t="s">
        <v>61</v>
      </c>
      <c r="R283" s="1">
        <f t="shared" si="1"/>
        <v>0.42823972</v>
      </c>
      <c r="S283" s="1">
        <f t="shared" si="2"/>
        <v>442</v>
      </c>
      <c r="T283" s="1">
        <f t="shared" si="3"/>
        <v>5.42</v>
      </c>
      <c r="U283" s="1">
        <f t="shared" si="4"/>
        <v>1</v>
      </c>
      <c r="V283" s="3">
        <f t="shared" si="5"/>
        <v>3</v>
      </c>
      <c r="W283" s="3">
        <f t="shared" si="6"/>
        <v>1</v>
      </c>
      <c r="X283" s="3" t="str">
        <f>IFERROR(__xludf.DUMMYFUNCTION("split(B283,"" "")"),"T.")</f>
        <v>T.</v>
      </c>
      <c r="Y283" s="3" t="str">
        <f>IFERROR(__xludf.DUMMYFUNCTION("""COMPUTED_VALUE"""),"McLaurin")</f>
        <v>McLaurin</v>
      </c>
      <c r="AA283" s="8">
        <v>0.0</v>
      </c>
      <c r="AB283" s="3">
        <f t="shared" si="7"/>
        <v>0</v>
      </c>
      <c r="AC283" s="3">
        <f t="shared" si="8"/>
        <v>0</v>
      </c>
      <c r="AD283" s="3">
        <f t="shared" si="9"/>
        <v>13.26</v>
      </c>
      <c r="AE283" s="3">
        <f t="shared" si="10"/>
        <v>0</v>
      </c>
      <c r="AF283" s="3">
        <f t="shared" si="11"/>
        <v>-1</v>
      </c>
      <c r="AG283" s="3">
        <f t="shared" si="12"/>
        <v>-1</v>
      </c>
    </row>
    <row r="284">
      <c r="A284" s="1" t="s">
        <v>9</v>
      </c>
      <c r="B284" s="1" t="s">
        <v>604</v>
      </c>
      <c r="C284" s="1" t="s">
        <v>18</v>
      </c>
      <c r="D284" s="1" t="s">
        <v>114</v>
      </c>
      <c r="E284" s="1" t="s">
        <v>156</v>
      </c>
      <c r="F284" s="1" t="s">
        <v>692</v>
      </c>
      <c r="G284" s="1">
        <v>7.5</v>
      </c>
      <c r="H284" s="1" t="s">
        <v>60</v>
      </c>
      <c r="I284" s="1">
        <v>-110.0</v>
      </c>
      <c r="J284" s="1">
        <v>0.231755782081031</v>
      </c>
      <c r="K284" s="1" t="s">
        <v>61</v>
      </c>
      <c r="L284" s="1" t="s">
        <v>61</v>
      </c>
      <c r="M284" s="1" t="s">
        <v>62</v>
      </c>
      <c r="N284" s="1">
        <v>-120.0</v>
      </c>
      <c r="O284" s="1">
        <v>-0.301014804929181</v>
      </c>
      <c r="P284" s="1" t="s">
        <v>61</v>
      </c>
      <c r="Q284" s="1" t="s">
        <v>61</v>
      </c>
      <c r="R284" s="1">
        <f t="shared" si="1"/>
        <v>0.2317557821</v>
      </c>
      <c r="S284" s="1">
        <f t="shared" si="2"/>
        <v>-110</v>
      </c>
      <c r="T284" s="1">
        <f t="shared" si="3"/>
        <v>1.909090909</v>
      </c>
      <c r="U284" s="1">
        <f t="shared" si="4"/>
        <v>1</v>
      </c>
      <c r="V284" s="3">
        <f t="shared" si="5"/>
        <v>3</v>
      </c>
      <c r="W284" s="3">
        <f t="shared" si="6"/>
        <v>2</v>
      </c>
      <c r="X284" s="3" t="str">
        <f>IFERROR(__xludf.DUMMYFUNCTION("split(B284,"" "")"),"L.")</f>
        <v>L.</v>
      </c>
      <c r="Y284" s="3" t="str">
        <f>IFERROR(__xludf.DUMMYFUNCTION("""COMPUTED_VALUE"""),"McCaffrey")</f>
        <v>McCaffrey</v>
      </c>
      <c r="AA284" s="8">
        <v>0.0</v>
      </c>
      <c r="AB284" s="3">
        <f t="shared" si="7"/>
        <v>0</v>
      </c>
      <c r="AC284" s="3">
        <f t="shared" si="8"/>
        <v>0</v>
      </c>
      <c r="AD284" s="3">
        <f t="shared" si="9"/>
        <v>2.727272727</v>
      </c>
      <c r="AE284" s="3">
        <f t="shared" si="10"/>
        <v>-3</v>
      </c>
      <c r="AF284" s="3">
        <f t="shared" si="11"/>
        <v>-2</v>
      </c>
      <c r="AG284" s="3">
        <f t="shared" si="12"/>
        <v>-1</v>
      </c>
    </row>
    <row r="285">
      <c r="A285" s="1" t="s">
        <v>8</v>
      </c>
      <c r="B285" s="1" t="s">
        <v>408</v>
      </c>
      <c r="C285" s="1" t="s">
        <v>19</v>
      </c>
      <c r="D285" s="1" t="s">
        <v>114</v>
      </c>
      <c r="E285" s="1" t="s">
        <v>156</v>
      </c>
      <c r="F285" s="1" t="s">
        <v>692</v>
      </c>
      <c r="G285" s="1">
        <v>5.5</v>
      </c>
      <c r="H285" s="1" t="s">
        <v>60</v>
      </c>
      <c r="I285" s="1">
        <v>-140.0</v>
      </c>
      <c r="J285" s="1">
        <v>-0.285520832888432</v>
      </c>
      <c r="K285" s="1" t="s">
        <v>61</v>
      </c>
      <c r="L285" s="1" t="s">
        <v>61</v>
      </c>
      <c r="M285" s="1" t="s">
        <v>62</v>
      </c>
      <c r="N285" s="1">
        <v>105.0</v>
      </c>
      <c r="O285" s="1">
        <v>0.214380487284018</v>
      </c>
      <c r="P285" s="1" t="s">
        <v>61</v>
      </c>
      <c r="Q285" s="1" t="s">
        <v>61</v>
      </c>
      <c r="R285" s="1">
        <f t="shared" si="1"/>
        <v>0.2143804873</v>
      </c>
      <c r="S285" s="1">
        <f t="shared" si="2"/>
        <v>105</v>
      </c>
      <c r="T285" s="1">
        <f t="shared" si="3"/>
        <v>2.05</v>
      </c>
      <c r="U285" s="1">
        <f t="shared" si="4"/>
        <v>0</v>
      </c>
      <c r="V285" s="3">
        <f t="shared" si="5"/>
        <v>3</v>
      </c>
      <c r="W285" s="3">
        <f t="shared" si="6"/>
        <v>2</v>
      </c>
      <c r="X285" s="3" t="str">
        <f>IFERROR(__xludf.DUMMYFUNCTION("split(B285,"" "")"),"A.")</f>
        <v>A.</v>
      </c>
      <c r="Y285" s="3" t="str">
        <f>IFERROR(__xludf.DUMMYFUNCTION("""COMPUTED_VALUE"""),"Ekeler")</f>
        <v>Ekeler</v>
      </c>
      <c r="AA285" s="8">
        <v>2.0</v>
      </c>
      <c r="AB285" s="3">
        <f t="shared" si="7"/>
        <v>0</v>
      </c>
      <c r="AC285" s="3">
        <f t="shared" si="8"/>
        <v>1</v>
      </c>
      <c r="AD285" s="3">
        <f t="shared" si="9"/>
        <v>3.15</v>
      </c>
      <c r="AE285" s="3">
        <f t="shared" si="10"/>
        <v>3.15</v>
      </c>
      <c r="AF285" s="3">
        <f t="shared" si="11"/>
        <v>2.1</v>
      </c>
      <c r="AG285" s="3">
        <f t="shared" si="12"/>
        <v>0.6363636364</v>
      </c>
    </row>
    <row r="286">
      <c r="A286" s="1" t="s">
        <v>8</v>
      </c>
      <c r="B286" s="1" t="s">
        <v>320</v>
      </c>
      <c r="C286" s="1" t="s">
        <v>21</v>
      </c>
      <c r="D286" s="1" t="s">
        <v>114</v>
      </c>
      <c r="E286" s="1" t="s">
        <v>156</v>
      </c>
      <c r="F286" s="1" t="s">
        <v>692</v>
      </c>
      <c r="G286" s="1">
        <v>7.5</v>
      </c>
      <c r="H286" s="1" t="s">
        <v>60</v>
      </c>
      <c r="I286" s="1">
        <v>-137.0</v>
      </c>
      <c r="J286" s="1">
        <v>-0.210567718960232</v>
      </c>
      <c r="K286" s="1" t="s">
        <v>61</v>
      </c>
      <c r="L286" s="1" t="s">
        <v>61</v>
      </c>
      <c r="M286" s="1" t="s">
        <v>62</v>
      </c>
      <c r="N286" s="1">
        <v>103.0</v>
      </c>
      <c r="O286" s="1">
        <v>0.139882509327955</v>
      </c>
      <c r="P286" s="1" t="s">
        <v>61</v>
      </c>
      <c r="Q286" s="1" t="s">
        <v>61</v>
      </c>
      <c r="R286" s="1">
        <f t="shared" si="1"/>
        <v>0.1398825093</v>
      </c>
      <c r="S286" s="1">
        <f t="shared" si="2"/>
        <v>103</v>
      </c>
      <c r="T286" s="1">
        <f t="shared" si="3"/>
        <v>2.03</v>
      </c>
      <c r="U286" s="1">
        <f t="shared" si="4"/>
        <v>0</v>
      </c>
      <c r="V286" s="3">
        <f t="shared" si="5"/>
        <v>3</v>
      </c>
      <c r="W286" s="3">
        <f t="shared" si="6"/>
        <v>2</v>
      </c>
      <c r="X286" s="3" t="str">
        <f>IFERROR(__xludf.DUMMYFUNCTION("split(B286,"" "")"),"J.")</f>
        <v>J.</v>
      </c>
      <c r="Y286" s="3" t="str">
        <f>IFERROR(__xludf.DUMMYFUNCTION("""COMPUTED_VALUE"""),"Daniels")</f>
        <v>Daniels</v>
      </c>
      <c r="AA286" s="8">
        <v>7.0</v>
      </c>
      <c r="AB286" s="3">
        <f t="shared" si="7"/>
        <v>0</v>
      </c>
      <c r="AC286" s="3">
        <f t="shared" si="8"/>
        <v>1</v>
      </c>
      <c r="AD286" s="3">
        <f t="shared" si="9"/>
        <v>3.09</v>
      </c>
      <c r="AE286" s="3">
        <f t="shared" si="10"/>
        <v>3.09</v>
      </c>
      <c r="AF286" s="3">
        <f t="shared" si="11"/>
        <v>2.06</v>
      </c>
      <c r="AG286" s="3">
        <f t="shared" si="12"/>
        <v>0.06666666667</v>
      </c>
    </row>
    <row r="287">
      <c r="A287" s="1" t="s">
        <v>9</v>
      </c>
      <c r="B287" s="1" t="s">
        <v>606</v>
      </c>
      <c r="C287" s="1" t="s">
        <v>18</v>
      </c>
      <c r="D287" s="1" t="s">
        <v>114</v>
      </c>
      <c r="E287" s="1" t="s">
        <v>156</v>
      </c>
      <c r="F287" s="1" t="s">
        <v>692</v>
      </c>
      <c r="G287" s="1">
        <v>14.5</v>
      </c>
      <c r="H287" s="1" t="s">
        <v>60</v>
      </c>
      <c r="I287" s="1">
        <v>-119.0</v>
      </c>
      <c r="J287" s="1">
        <v>0.132475557700954</v>
      </c>
      <c r="K287" s="1" t="s">
        <v>61</v>
      </c>
      <c r="L287" s="1" t="s">
        <v>61</v>
      </c>
      <c r="M287" s="1" t="s">
        <v>62</v>
      </c>
      <c r="N287" s="1">
        <v>-114.0</v>
      </c>
      <c r="O287" s="1">
        <v>-0.208557260446824</v>
      </c>
      <c r="P287" s="1" t="s">
        <v>61</v>
      </c>
      <c r="Q287" s="1" t="s">
        <v>61</v>
      </c>
      <c r="R287" s="1">
        <f t="shared" si="1"/>
        <v>0.1324755577</v>
      </c>
      <c r="S287" s="1">
        <f t="shared" si="2"/>
        <v>-119</v>
      </c>
      <c r="T287" s="1">
        <f t="shared" si="3"/>
        <v>1.840336134</v>
      </c>
      <c r="U287" s="1">
        <f t="shared" si="4"/>
        <v>1</v>
      </c>
      <c r="V287" s="3">
        <f t="shared" si="5"/>
        <v>3</v>
      </c>
      <c r="W287" s="3">
        <f t="shared" si="6"/>
        <v>3</v>
      </c>
      <c r="X287" s="3" t="str">
        <f>IFERROR(__xludf.DUMMYFUNCTION("split(B287,"" "")"),"O.")</f>
        <v>O.</v>
      </c>
      <c r="Y287" s="3" t="str">
        <f>IFERROR(__xludf.DUMMYFUNCTION("""COMPUTED_VALUE"""),"Zaccheaus")</f>
        <v>Zaccheaus</v>
      </c>
      <c r="AA287" s="8">
        <v>10.0</v>
      </c>
      <c r="AB287" s="3">
        <f t="shared" si="7"/>
        <v>0</v>
      </c>
      <c r="AC287" s="3">
        <f t="shared" si="8"/>
        <v>0</v>
      </c>
      <c r="AD287" s="3">
        <f t="shared" si="9"/>
        <v>2.521008403</v>
      </c>
      <c r="AE287" s="3">
        <f t="shared" si="10"/>
        <v>-3</v>
      </c>
      <c r="AF287" s="3">
        <f t="shared" si="11"/>
        <v>-3</v>
      </c>
      <c r="AG287" s="3">
        <f t="shared" si="12"/>
        <v>-0.3103448276</v>
      </c>
    </row>
    <row r="288">
      <c r="A288" s="1" t="s">
        <v>12</v>
      </c>
      <c r="B288" s="1" t="s">
        <v>606</v>
      </c>
      <c r="C288" s="1" t="s">
        <v>18</v>
      </c>
      <c r="D288" s="1" t="s">
        <v>114</v>
      </c>
      <c r="E288" s="1" t="s">
        <v>156</v>
      </c>
      <c r="F288" s="1" t="s">
        <v>692</v>
      </c>
      <c r="G288" s="1">
        <v>1.5</v>
      </c>
      <c r="H288" s="1" t="s">
        <v>60</v>
      </c>
      <c r="I288" s="1">
        <v>-108.0</v>
      </c>
      <c r="J288" s="1">
        <v>-0.181975992701923</v>
      </c>
      <c r="K288" s="1" t="s">
        <v>61</v>
      </c>
      <c r="L288" s="1" t="s">
        <v>61</v>
      </c>
      <c r="M288" s="1" t="s">
        <v>62</v>
      </c>
      <c r="N288" s="1">
        <v>-124.0</v>
      </c>
      <c r="O288" s="1">
        <v>0.109165500168214</v>
      </c>
      <c r="P288" s="1" t="s">
        <v>61</v>
      </c>
      <c r="Q288" s="1" t="s">
        <v>61</v>
      </c>
      <c r="R288" s="1">
        <f t="shared" si="1"/>
        <v>0.1091655002</v>
      </c>
      <c r="S288" s="1">
        <f t="shared" si="2"/>
        <v>-124</v>
      </c>
      <c r="T288" s="1">
        <f t="shared" si="3"/>
        <v>1.806451613</v>
      </c>
      <c r="U288" s="1">
        <f t="shared" si="4"/>
        <v>0</v>
      </c>
      <c r="V288" s="3">
        <f t="shared" si="5"/>
        <v>3</v>
      </c>
      <c r="W288" s="3">
        <f t="shared" si="6"/>
        <v>3</v>
      </c>
      <c r="X288" s="3" t="str">
        <f>IFERROR(__xludf.DUMMYFUNCTION("split(B288,"" "")"),"O.")</f>
        <v>O.</v>
      </c>
      <c r="Y288" s="3" t="str">
        <f>IFERROR(__xludf.DUMMYFUNCTION("""COMPUTED_VALUE"""),"Zaccheaus")</f>
        <v>Zaccheaus</v>
      </c>
      <c r="AA288" s="8">
        <v>1.0</v>
      </c>
      <c r="AB288" s="3">
        <f t="shared" si="7"/>
        <v>0</v>
      </c>
      <c r="AC288" s="3">
        <f t="shared" si="8"/>
        <v>1</v>
      </c>
      <c r="AD288" s="3">
        <f t="shared" si="9"/>
        <v>2.419354839</v>
      </c>
      <c r="AE288" s="3">
        <f t="shared" si="10"/>
        <v>2.419354839</v>
      </c>
      <c r="AF288" s="3">
        <f t="shared" si="11"/>
        <v>2.419354839</v>
      </c>
      <c r="AG288" s="3">
        <f t="shared" si="12"/>
        <v>0.3333333333</v>
      </c>
    </row>
    <row r="289">
      <c r="A289" s="1" t="s">
        <v>12</v>
      </c>
      <c r="B289" s="1" t="s">
        <v>488</v>
      </c>
      <c r="C289" s="1" t="s">
        <v>20</v>
      </c>
      <c r="D289" s="1" t="s">
        <v>114</v>
      </c>
      <c r="E289" s="1" t="s">
        <v>156</v>
      </c>
      <c r="F289" s="1" t="s">
        <v>692</v>
      </c>
      <c r="G289" s="1">
        <v>3.5</v>
      </c>
      <c r="H289" s="1" t="s">
        <v>60</v>
      </c>
      <c r="I289" s="1">
        <v>-134.0</v>
      </c>
      <c r="J289" s="1">
        <v>-0.147249572649572</v>
      </c>
      <c r="K289" s="1" t="s">
        <v>61</v>
      </c>
      <c r="L289" s="1" t="s">
        <v>61</v>
      </c>
      <c r="M289" s="1" t="s">
        <v>62</v>
      </c>
      <c r="N289" s="1">
        <v>102.0</v>
      </c>
      <c r="O289" s="1">
        <v>0.0795504950495049</v>
      </c>
      <c r="P289" s="1" t="s">
        <v>61</v>
      </c>
      <c r="Q289" s="1" t="s">
        <v>61</v>
      </c>
      <c r="R289" s="1">
        <f t="shared" si="1"/>
        <v>0.07955049505</v>
      </c>
      <c r="S289" s="1">
        <f t="shared" si="2"/>
        <v>102</v>
      </c>
      <c r="T289" s="1">
        <f t="shared" si="3"/>
        <v>2.02</v>
      </c>
      <c r="U289" s="1">
        <f t="shared" si="4"/>
        <v>0</v>
      </c>
      <c r="V289" s="3">
        <f t="shared" si="5"/>
        <v>2</v>
      </c>
      <c r="W289" s="3">
        <f t="shared" si="6"/>
        <v>2</v>
      </c>
      <c r="X289" s="3" t="str">
        <f>IFERROR(__xludf.DUMMYFUNCTION("split(B289,"" "")"),"Z.")</f>
        <v>Z.</v>
      </c>
      <c r="Y289" s="3" t="str">
        <f>IFERROR(__xludf.DUMMYFUNCTION("""COMPUTED_VALUE"""),"Ertz")</f>
        <v>Ertz</v>
      </c>
      <c r="AA289" s="8">
        <v>6.0</v>
      </c>
      <c r="AB289" s="3">
        <f t="shared" si="7"/>
        <v>1</v>
      </c>
      <c r="AC289" s="3">
        <f t="shared" si="8"/>
        <v>0</v>
      </c>
      <c r="AD289" s="3">
        <f t="shared" si="9"/>
        <v>2.04</v>
      </c>
      <c r="AE289" s="3">
        <f t="shared" si="10"/>
        <v>-2</v>
      </c>
      <c r="AF289" s="3">
        <f t="shared" si="11"/>
        <v>-2</v>
      </c>
      <c r="AG289" s="3">
        <f t="shared" si="12"/>
        <v>-0.7142857143</v>
      </c>
    </row>
    <row r="290">
      <c r="A290" s="1" t="s">
        <v>11</v>
      </c>
      <c r="B290" s="1" t="s">
        <v>604</v>
      </c>
      <c r="C290" s="1" t="s">
        <v>18</v>
      </c>
      <c r="D290" s="1" t="s">
        <v>114</v>
      </c>
      <c r="E290" s="1" t="s">
        <v>156</v>
      </c>
      <c r="F290" s="1" t="s">
        <v>692</v>
      </c>
      <c r="G290" s="1">
        <v>6.5</v>
      </c>
      <c r="H290" s="1" t="s">
        <v>60</v>
      </c>
      <c r="I290" s="1">
        <v>-117.0</v>
      </c>
      <c r="J290" s="1">
        <v>0.0778598514321693</v>
      </c>
      <c r="K290" s="1" t="s">
        <v>61</v>
      </c>
      <c r="L290" s="1" t="s">
        <v>61</v>
      </c>
      <c r="M290" s="1" t="s">
        <v>62</v>
      </c>
      <c r="N290" s="1">
        <v>-107.0</v>
      </c>
      <c r="O290" s="1">
        <v>-0.133942265236886</v>
      </c>
      <c r="P290" s="1" t="s">
        <v>61</v>
      </c>
      <c r="Q290" s="1" t="s">
        <v>61</v>
      </c>
      <c r="R290" s="1">
        <f t="shared" si="1"/>
        <v>0.07785985143</v>
      </c>
      <c r="S290" s="1">
        <f t="shared" si="2"/>
        <v>-117</v>
      </c>
      <c r="T290" s="1">
        <f t="shared" si="3"/>
        <v>1.854700855</v>
      </c>
      <c r="U290" s="1">
        <f t="shared" si="4"/>
        <v>1</v>
      </c>
      <c r="V290" s="3">
        <f t="shared" si="5"/>
        <v>2</v>
      </c>
      <c r="W290" s="3">
        <f t="shared" si="6"/>
        <v>2</v>
      </c>
      <c r="X290" s="3" t="str">
        <f>IFERROR(__xludf.DUMMYFUNCTION("split(B290,"" "")"),"L.")</f>
        <v>L.</v>
      </c>
      <c r="Y290" s="3" t="str">
        <f>IFERROR(__xludf.DUMMYFUNCTION("""COMPUTED_VALUE"""),"McCaffrey")</f>
        <v>McCaffrey</v>
      </c>
      <c r="AA290" s="8">
        <v>0.0</v>
      </c>
      <c r="AB290" s="3">
        <f t="shared" si="7"/>
        <v>0</v>
      </c>
      <c r="AC290" s="3">
        <f t="shared" si="8"/>
        <v>0</v>
      </c>
      <c r="AD290" s="3">
        <f t="shared" si="9"/>
        <v>1.709401709</v>
      </c>
      <c r="AE290" s="3">
        <f t="shared" si="10"/>
        <v>-2</v>
      </c>
      <c r="AF290" s="3">
        <f t="shared" si="11"/>
        <v>-2</v>
      </c>
      <c r="AG290" s="3">
        <f t="shared" si="12"/>
        <v>-1</v>
      </c>
    </row>
    <row r="291">
      <c r="A291" s="1" t="s">
        <v>11</v>
      </c>
      <c r="B291" s="1" t="s">
        <v>264</v>
      </c>
      <c r="C291" s="1" t="s">
        <v>19</v>
      </c>
      <c r="D291" s="1" t="s">
        <v>114</v>
      </c>
      <c r="E291" s="1" t="s">
        <v>156</v>
      </c>
      <c r="F291" s="1" t="s">
        <v>692</v>
      </c>
      <c r="G291" s="1">
        <v>6.5</v>
      </c>
      <c r="H291" s="1" t="s">
        <v>60</v>
      </c>
      <c r="I291" s="1">
        <v>-119.0</v>
      </c>
      <c r="J291" s="1">
        <v>0.0699284419358288</v>
      </c>
      <c r="K291" s="1" t="s">
        <v>61</v>
      </c>
      <c r="L291" s="1" t="s">
        <v>61</v>
      </c>
      <c r="M291" s="1" t="s">
        <v>62</v>
      </c>
      <c r="N291" s="1">
        <v>-108.0</v>
      </c>
      <c r="O291" s="1">
        <v>-0.132498091762798</v>
      </c>
      <c r="P291" s="1" t="s">
        <v>61</v>
      </c>
      <c r="Q291" s="1" t="s">
        <v>61</v>
      </c>
      <c r="R291" s="1">
        <f t="shared" si="1"/>
        <v>0.06992844194</v>
      </c>
      <c r="S291" s="1">
        <f t="shared" si="2"/>
        <v>-119</v>
      </c>
      <c r="T291" s="1">
        <f t="shared" si="3"/>
        <v>1.840336134</v>
      </c>
      <c r="U291" s="1">
        <f t="shared" si="4"/>
        <v>1</v>
      </c>
      <c r="V291" s="3">
        <f t="shared" si="5"/>
        <v>2</v>
      </c>
      <c r="W291" s="3">
        <f t="shared" si="6"/>
        <v>3</v>
      </c>
      <c r="X291" s="3" t="str">
        <f>IFERROR(__xludf.DUMMYFUNCTION("split(B291,"" "")"),"B.")</f>
        <v>B.</v>
      </c>
      <c r="Y291" s="3" t="str">
        <f>IFERROR(__xludf.DUMMYFUNCTION("""COMPUTED_VALUE"""),"Robinson")</f>
        <v>Robinson</v>
      </c>
      <c r="AA291" s="8">
        <v>9.0</v>
      </c>
      <c r="AB291" s="3">
        <f t="shared" si="7"/>
        <v>1</v>
      </c>
      <c r="AC291" s="3">
        <f t="shared" si="8"/>
        <v>1</v>
      </c>
      <c r="AD291" s="3">
        <f t="shared" si="9"/>
        <v>1.680672269</v>
      </c>
      <c r="AE291" s="3">
        <f t="shared" si="10"/>
        <v>1.680672269</v>
      </c>
      <c r="AF291" s="3">
        <f t="shared" si="11"/>
        <v>2.521008403</v>
      </c>
      <c r="AG291" s="3">
        <f t="shared" si="12"/>
        <v>0.3846153846</v>
      </c>
    </row>
    <row r="292">
      <c r="A292" s="1" t="s">
        <v>12</v>
      </c>
      <c r="B292" s="1" t="s">
        <v>604</v>
      </c>
      <c r="C292" s="1" t="s">
        <v>18</v>
      </c>
      <c r="D292" s="1" t="s">
        <v>114</v>
      </c>
      <c r="E292" s="1" t="s">
        <v>156</v>
      </c>
      <c r="F292" s="1" t="s">
        <v>692</v>
      </c>
      <c r="G292" s="1">
        <v>0.5</v>
      </c>
      <c r="H292" s="1" t="s">
        <v>60</v>
      </c>
      <c r="I292" s="1">
        <v>-204.0</v>
      </c>
      <c r="J292" s="1">
        <v>-0.128750772137171</v>
      </c>
      <c r="K292" s="1" t="s">
        <v>61</v>
      </c>
      <c r="L292" s="1" t="s">
        <v>61</v>
      </c>
      <c r="M292" s="1" t="s">
        <v>62</v>
      </c>
      <c r="N292" s="1">
        <v>152.0</v>
      </c>
      <c r="O292" s="1">
        <v>0.0608723600384921</v>
      </c>
      <c r="P292" s="1" t="s">
        <v>61</v>
      </c>
      <c r="Q292" s="1" t="s">
        <v>61</v>
      </c>
      <c r="R292" s="1">
        <f t="shared" si="1"/>
        <v>0.06087236004</v>
      </c>
      <c r="S292" s="1">
        <f t="shared" si="2"/>
        <v>152</v>
      </c>
      <c r="T292" s="1">
        <f t="shared" si="3"/>
        <v>2.52</v>
      </c>
      <c r="U292" s="1">
        <f t="shared" si="4"/>
        <v>0</v>
      </c>
      <c r="V292" s="3">
        <f t="shared" si="5"/>
        <v>2</v>
      </c>
      <c r="W292" s="3">
        <f t="shared" si="6"/>
        <v>1</v>
      </c>
      <c r="X292" s="3" t="str">
        <f>IFERROR(__xludf.DUMMYFUNCTION("split(B292,"" "")"),"L.")</f>
        <v>L.</v>
      </c>
      <c r="Y292" s="3" t="str">
        <f>IFERROR(__xludf.DUMMYFUNCTION("""COMPUTED_VALUE"""),"McCaffrey")</f>
        <v>McCaffrey</v>
      </c>
      <c r="AA292" s="8">
        <v>0.0</v>
      </c>
      <c r="AB292" s="3">
        <f t="shared" si="7"/>
        <v>0</v>
      </c>
      <c r="AC292" s="3">
        <f t="shared" si="8"/>
        <v>1</v>
      </c>
      <c r="AD292" s="3">
        <f t="shared" si="9"/>
        <v>3.04</v>
      </c>
      <c r="AE292" s="3">
        <f t="shared" si="10"/>
        <v>3.04</v>
      </c>
      <c r="AF292" s="3">
        <f t="shared" si="11"/>
        <v>1.52</v>
      </c>
      <c r="AG292" s="3">
        <f t="shared" si="12"/>
        <v>1</v>
      </c>
    </row>
    <row r="293">
      <c r="A293" s="1" t="s">
        <v>12</v>
      </c>
      <c r="B293" s="1" t="s">
        <v>264</v>
      </c>
      <c r="C293" s="1" t="s">
        <v>19</v>
      </c>
      <c r="D293" s="1" t="s">
        <v>114</v>
      </c>
      <c r="E293" s="1" t="s">
        <v>156</v>
      </c>
      <c r="F293" s="1" t="s">
        <v>692</v>
      </c>
      <c r="G293" s="1">
        <v>1.5</v>
      </c>
      <c r="H293" s="1" t="s">
        <v>60</v>
      </c>
      <c r="I293" s="1">
        <v>104.0</v>
      </c>
      <c r="J293" s="1">
        <v>-0.125136927112941</v>
      </c>
      <c r="K293" s="1" t="s">
        <v>61</v>
      </c>
      <c r="L293" s="1" t="s">
        <v>61</v>
      </c>
      <c r="M293" s="1" t="s">
        <v>62</v>
      </c>
      <c r="N293" s="1">
        <v>-136.0</v>
      </c>
      <c r="O293" s="1">
        <v>0.0586749880142372</v>
      </c>
      <c r="P293" s="1" t="s">
        <v>61</v>
      </c>
      <c r="Q293" s="1" t="s">
        <v>61</v>
      </c>
      <c r="R293" s="1">
        <f t="shared" si="1"/>
        <v>0.05867498801</v>
      </c>
      <c r="S293" s="1">
        <f t="shared" si="2"/>
        <v>-136</v>
      </c>
      <c r="T293" s="1">
        <f t="shared" si="3"/>
        <v>1.735294118</v>
      </c>
      <c r="U293" s="1">
        <f t="shared" si="4"/>
        <v>0</v>
      </c>
      <c r="V293" s="3">
        <f t="shared" si="5"/>
        <v>2</v>
      </c>
      <c r="W293" s="3">
        <f t="shared" si="6"/>
        <v>3</v>
      </c>
      <c r="X293" s="3" t="str">
        <f>IFERROR(__xludf.DUMMYFUNCTION("split(B293,"" "")"),"B.")</f>
        <v>B.</v>
      </c>
      <c r="Y293" s="3" t="str">
        <f>IFERROR(__xludf.DUMMYFUNCTION("""COMPUTED_VALUE"""),"Robinson")</f>
        <v>Robinson</v>
      </c>
      <c r="AA293" s="8">
        <v>1.0</v>
      </c>
      <c r="AB293" s="3">
        <f t="shared" si="7"/>
        <v>0</v>
      </c>
      <c r="AC293" s="3">
        <f t="shared" si="8"/>
        <v>1</v>
      </c>
      <c r="AD293" s="3">
        <f t="shared" si="9"/>
        <v>1.470588235</v>
      </c>
      <c r="AE293" s="3">
        <f t="shared" si="10"/>
        <v>1.470588235</v>
      </c>
      <c r="AF293" s="3">
        <f t="shared" si="11"/>
        <v>2.205882353</v>
      </c>
      <c r="AG293" s="3">
        <f t="shared" si="12"/>
        <v>0.3333333333</v>
      </c>
    </row>
    <row r="294">
      <c r="A294" s="1" t="s">
        <v>12</v>
      </c>
      <c r="B294" s="1" t="s">
        <v>561</v>
      </c>
      <c r="C294" s="1" t="s">
        <v>18</v>
      </c>
      <c r="D294" s="1" t="s">
        <v>114</v>
      </c>
      <c r="E294" s="1" t="s">
        <v>156</v>
      </c>
      <c r="F294" s="1" t="s">
        <v>692</v>
      </c>
      <c r="G294" s="1">
        <v>3.5</v>
      </c>
      <c r="H294" s="1" t="s">
        <v>60</v>
      </c>
      <c r="I294" s="1">
        <v>112.0</v>
      </c>
      <c r="J294" s="1">
        <v>-0.122950943396226</v>
      </c>
      <c r="K294" s="1" t="s">
        <v>61</v>
      </c>
      <c r="L294" s="1" t="s">
        <v>61</v>
      </c>
      <c r="M294" s="1" t="s">
        <v>62</v>
      </c>
      <c r="N294" s="1">
        <v>-148.0</v>
      </c>
      <c r="O294" s="1">
        <v>0.0544854838709677</v>
      </c>
      <c r="P294" s="1" t="s">
        <v>61</v>
      </c>
      <c r="Q294" s="1" t="s">
        <v>61</v>
      </c>
      <c r="R294" s="1">
        <f t="shared" si="1"/>
        <v>0.05448548387</v>
      </c>
      <c r="S294" s="1">
        <f t="shared" si="2"/>
        <v>-148</v>
      </c>
      <c r="T294" s="1">
        <f t="shared" si="3"/>
        <v>1.675675676</v>
      </c>
      <c r="U294" s="1">
        <f t="shared" si="4"/>
        <v>0</v>
      </c>
      <c r="V294" s="3">
        <f t="shared" si="5"/>
        <v>2</v>
      </c>
      <c r="W294" s="3">
        <f t="shared" si="6"/>
        <v>3</v>
      </c>
      <c r="X294" s="3" t="str">
        <f>IFERROR(__xludf.DUMMYFUNCTION("split(B294,"" "")"),"N.")</f>
        <v>N.</v>
      </c>
      <c r="Y294" s="3" t="str">
        <f>IFERROR(__xludf.DUMMYFUNCTION("""COMPUTED_VALUE"""),"Brown")</f>
        <v>Brown</v>
      </c>
      <c r="AA294" s="8">
        <v>1.0</v>
      </c>
      <c r="AB294" s="3">
        <f t="shared" si="7"/>
        <v>0</v>
      </c>
      <c r="AC294" s="3">
        <f t="shared" si="8"/>
        <v>1</v>
      </c>
      <c r="AD294" s="3">
        <f t="shared" si="9"/>
        <v>1.351351351</v>
      </c>
      <c r="AE294" s="3">
        <f t="shared" si="10"/>
        <v>1.351351351</v>
      </c>
      <c r="AF294" s="3">
        <f t="shared" si="11"/>
        <v>2.027027027</v>
      </c>
      <c r="AG294" s="3">
        <f t="shared" si="12"/>
        <v>0.7142857143</v>
      </c>
    </row>
    <row r="295">
      <c r="A295" s="1" t="s">
        <v>10</v>
      </c>
      <c r="B295" s="1" t="s">
        <v>408</v>
      </c>
      <c r="C295" s="1" t="s">
        <v>19</v>
      </c>
      <c r="D295" s="1" t="s">
        <v>114</v>
      </c>
      <c r="E295" s="1" t="s">
        <v>156</v>
      </c>
      <c r="F295" s="1" t="s">
        <v>692</v>
      </c>
      <c r="G295" s="1">
        <v>24.5</v>
      </c>
      <c r="H295" s="1" t="s">
        <v>60</v>
      </c>
      <c r="I295" s="1">
        <v>-104.0</v>
      </c>
      <c r="J295" s="1">
        <v>-0.105741793637161</v>
      </c>
      <c r="K295" s="1" t="s">
        <v>61</v>
      </c>
      <c r="L295" s="1" t="s">
        <v>61</v>
      </c>
      <c r="M295" s="1" t="s">
        <v>62</v>
      </c>
      <c r="N295" s="1">
        <v>-124.0</v>
      </c>
      <c r="O295" s="1">
        <v>0.04234548267168</v>
      </c>
      <c r="P295" s="1" t="s">
        <v>61</v>
      </c>
      <c r="Q295" s="1" t="s">
        <v>61</v>
      </c>
      <c r="R295" s="1">
        <f t="shared" si="1"/>
        <v>0.04234548267</v>
      </c>
      <c r="S295" s="1">
        <f t="shared" si="2"/>
        <v>-124</v>
      </c>
      <c r="T295" s="1">
        <f t="shared" si="3"/>
        <v>1.806451613</v>
      </c>
      <c r="U295" s="1">
        <f t="shared" si="4"/>
        <v>0</v>
      </c>
      <c r="V295" s="3">
        <f t="shared" si="5"/>
        <v>1</v>
      </c>
      <c r="W295" s="3">
        <f t="shared" si="6"/>
        <v>3</v>
      </c>
      <c r="X295" s="3" t="str">
        <f>IFERROR(__xludf.DUMMYFUNCTION("split(B295,"" "")"),"A.")</f>
        <v>A.</v>
      </c>
      <c r="Y295" s="3" t="str">
        <f>IFERROR(__xludf.DUMMYFUNCTION("""COMPUTED_VALUE"""),"Ekeler")</f>
        <v>Ekeler</v>
      </c>
      <c r="AA295" s="8">
        <v>7.0</v>
      </c>
      <c r="AB295" s="3">
        <f t="shared" si="7"/>
        <v>0</v>
      </c>
      <c r="AC295" s="3">
        <f t="shared" si="8"/>
        <v>1</v>
      </c>
      <c r="AD295" s="3">
        <f t="shared" si="9"/>
        <v>0.8064516129</v>
      </c>
      <c r="AE295" s="3">
        <f t="shared" si="10"/>
        <v>0.8064516129</v>
      </c>
      <c r="AF295" s="3">
        <f t="shared" si="11"/>
        <v>2.419354839</v>
      </c>
      <c r="AG295" s="3">
        <f t="shared" si="12"/>
        <v>0.7142857143</v>
      </c>
    </row>
    <row r="296">
      <c r="A296" s="1" t="s">
        <v>11</v>
      </c>
      <c r="B296" s="1" t="s">
        <v>561</v>
      </c>
      <c r="C296" s="1" t="s">
        <v>18</v>
      </c>
      <c r="D296" s="1" t="s">
        <v>114</v>
      </c>
      <c r="E296" s="1" t="s">
        <v>156</v>
      </c>
      <c r="F296" s="1" t="s">
        <v>692</v>
      </c>
      <c r="G296" s="1">
        <v>39.5</v>
      </c>
      <c r="H296" s="1" t="s">
        <v>60</v>
      </c>
      <c r="I296" s="1">
        <v>-113.0</v>
      </c>
      <c r="J296" s="1">
        <v>-0.0993097288253521</v>
      </c>
      <c r="K296" s="1" t="s">
        <v>61</v>
      </c>
      <c r="L296" s="1" t="s">
        <v>61</v>
      </c>
      <c r="M296" s="1" t="s">
        <v>62</v>
      </c>
      <c r="N296" s="1">
        <v>-115.0</v>
      </c>
      <c r="O296" s="1">
        <v>0.0339080061863256</v>
      </c>
      <c r="P296" s="1" t="s">
        <v>61</v>
      </c>
      <c r="Q296" s="1" t="s">
        <v>61</v>
      </c>
      <c r="R296" s="1">
        <f t="shared" si="1"/>
        <v>0.03390800619</v>
      </c>
      <c r="S296" s="1">
        <f t="shared" si="2"/>
        <v>-115</v>
      </c>
      <c r="T296" s="1">
        <f t="shared" si="3"/>
        <v>1.869565217</v>
      </c>
      <c r="U296" s="1">
        <f t="shared" si="4"/>
        <v>0</v>
      </c>
      <c r="V296" s="3">
        <f t="shared" si="5"/>
        <v>1</v>
      </c>
      <c r="W296" s="3">
        <f t="shared" si="6"/>
        <v>2</v>
      </c>
      <c r="X296" s="3" t="str">
        <f>IFERROR(__xludf.DUMMYFUNCTION("split(B296,"" "")"),"N.")</f>
        <v>N.</v>
      </c>
      <c r="Y296" s="3" t="str">
        <f>IFERROR(__xludf.DUMMYFUNCTION("""COMPUTED_VALUE"""),"Brown")</f>
        <v>Brown</v>
      </c>
      <c r="AA296" s="8">
        <v>4.0</v>
      </c>
      <c r="AB296" s="3">
        <f t="shared" si="7"/>
        <v>0</v>
      </c>
      <c r="AC296" s="3">
        <f t="shared" si="8"/>
        <v>1</v>
      </c>
      <c r="AD296" s="3">
        <f t="shared" si="9"/>
        <v>0.8695652174</v>
      </c>
      <c r="AE296" s="3">
        <f t="shared" si="10"/>
        <v>0.8695652174</v>
      </c>
      <c r="AF296" s="3">
        <f t="shared" si="11"/>
        <v>1.739130435</v>
      </c>
      <c r="AG296" s="3">
        <f t="shared" si="12"/>
        <v>0.8987341772</v>
      </c>
    </row>
    <row r="297">
      <c r="A297" s="1" t="s">
        <v>16</v>
      </c>
      <c r="B297" s="1" t="s">
        <v>320</v>
      </c>
      <c r="C297" s="1" t="s">
        <v>21</v>
      </c>
      <c r="D297" s="1" t="s">
        <v>114</v>
      </c>
      <c r="E297" s="1" t="s">
        <v>156</v>
      </c>
      <c r="F297" s="1" t="s">
        <v>692</v>
      </c>
      <c r="G297" s="1">
        <v>30.5</v>
      </c>
      <c r="H297" s="1" t="s">
        <v>60</v>
      </c>
      <c r="I297" s="1">
        <v>-122.0</v>
      </c>
      <c r="J297" s="1">
        <v>-0.0994464259909909</v>
      </c>
      <c r="K297" s="1" t="s">
        <v>61</v>
      </c>
      <c r="L297" s="1" t="s">
        <v>61</v>
      </c>
      <c r="M297" s="1" t="s">
        <v>62</v>
      </c>
      <c r="N297" s="1">
        <v>-107.0</v>
      </c>
      <c r="O297" s="1">
        <v>0.0329882030429953</v>
      </c>
      <c r="P297" s="1" t="s">
        <v>61</v>
      </c>
      <c r="Q297" s="1" t="s">
        <v>61</v>
      </c>
      <c r="R297" s="1">
        <f t="shared" si="1"/>
        <v>0.03298820304</v>
      </c>
      <c r="S297" s="1">
        <f t="shared" si="2"/>
        <v>-107</v>
      </c>
      <c r="T297" s="1">
        <f t="shared" si="3"/>
        <v>1.934579439</v>
      </c>
      <c r="U297" s="1">
        <f t="shared" si="4"/>
        <v>0</v>
      </c>
      <c r="V297" s="3">
        <f t="shared" si="5"/>
        <v>1</v>
      </c>
      <c r="W297" s="3">
        <f t="shared" si="6"/>
        <v>2</v>
      </c>
      <c r="X297" s="3" t="str">
        <f>IFERROR(__xludf.DUMMYFUNCTION("split(B297,"" "")"),"J.")</f>
        <v>J.</v>
      </c>
      <c r="Y297" s="3" t="str">
        <f>IFERROR(__xludf.DUMMYFUNCTION("""COMPUTED_VALUE"""),"Daniels")</f>
        <v>Daniels</v>
      </c>
      <c r="AA297" s="8">
        <v>32.0</v>
      </c>
      <c r="AB297" s="3">
        <f t="shared" si="7"/>
        <v>1</v>
      </c>
      <c r="AC297" s="3">
        <f t="shared" si="8"/>
        <v>0</v>
      </c>
      <c r="AD297" s="3">
        <f t="shared" si="9"/>
        <v>0.9345794393</v>
      </c>
      <c r="AE297" s="3">
        <f t="shared" si="10"/>
        <v>-1</v>
      </c>
      <c r="AF297" s="3">
        <f t="shared" si="11"/>
        <v>-2</v>
      </c>
      <c r="AG297" s="3">
        <f t="shared" si="12"/>
        <v>-0.04918032787</v>
      </c>
    </row>
    <row r="298">
      <c r="A298" s="1" t="s">
        <v>8</v>
      </c>
      <c r="B298" s="1" t="s">
        <v>264</v>
      </c>
      <c r="C298" s="1" t="s">
        <v>19</v>
      </c>
      <c r="D298" s="1" t="s">
        <v>114</v>
      </c>
      <c r="E298" s="1" t="s">
        <v>156</v>
      </c>
      <c r="F298" s="1" t="s">
        <v>692</v>
      </c>
      <c r="G298" s="1">
        <v>12.5</v>
      </c>
      <c r="H298" s="1" t="s">
        <v>60</v>
      </c>
      <c r="I298" s="1">
        <v>-119.0</v>
      </c>
      <c r="J298" s="1">
        <v>-0.100869271034703</v>
      </c>
      <c r="K298" s="1" t="s">
        <v>61</v>
      </c>
      <c r="L298" s="1" t="s">
        <v>61</v>
      </c>
      <c r="M298" s="1" t="s">
        <v>62</v>
      </c>
      <c r="N298" s="1">
        <v>-113.0</v>
      </c>
      <c r="O298" s="1">
        <v>0.0269884530655304</v>
      </c>
      <c r="P298" s="1" t="s">
        <v>61</v>
      </c>
      <c r="Q298" s="1" t="s">
        <v>61</v>
      </c>
      <c r="R298" s="1">
        <f t="shared" si="1"/>
        <v>0.02698845307</v>
      </c>
      <c r="S298" s="1">
        <f t="shared" si="2"/>
        <v>-113</v>
      </c>
      <c r="T298" s="1">
        <f t="shared" si="3"/>
        <v>1.884955752</v>
      </c>
      <c r="U298" s="1">
        <f t="shared" si="4"/>
        <v>0</v>
      </c>
      <c r="V298" s="3">
        <f t="shared" si="5"/>
        <v>1</v>
      </c>
      <c r="W298" s="3">
        <f t="shared" si="6"/>
        <v>2</v>
      </c>
      <c r="X298" s="3" t="str">
        <f>IFERROR(__xludf.DUMMYFUNCTION("split(B298,"" "")"),"B.")</f>
        <v>B.</v>
      </c>
      <c r="Y298" s="3" t="str">
        <f>IFERROR(__xludf.DUMMYFUNCTION("""COMPUTED_VALUE"""),"Robinson")</f>
        <v>Robinson</v>
      </c>
      <c r="AA298" s="8">
        <v>16.0</v>
      </c>
      <c r="AB298" s="3">
        <f t="shared" si="7"/>
        <v>1</v>
      </c>
      <c r="AC298" s="3">
        <f t="shared" si="8"/>
        <v>0</v>
      </c>
      <c r="AD298" s="3">
        <f t="shared" si="9"/>
        <v>0.8849557522</v>
      </c>
      <c r="AE298" s="3">
        <f t="shared" si="10"/>
        <v>-1</v>
      </c>
      <c r="AF298" s="3">
        <f t="shared" si="11"/>
        <v>-2</v>
      </c>
      <c r="AG298" s="3">
        <f t="shared" si="12"/>
        <v>-0.28</v>
      </c>
    </row>
    <row r="299">
      <c r="A299" s="1" t="s">
        <v>11</v>
      </c>
      <c r="B299" s="1" t="s">
        <v>488</v>
      </c>
      <c r="C299" s="1" t="s">
        <v>20</v>
      </c>
      <c r="D299" s="1" t="s">
        <v>114</v>
      </c>
      <c r="E299" s="1" t="s">
        <v>156</v>
      </c>
      <c r="F299" s="1" t="s">
        <v>692</v>
      </c>
      <c r="G299" s="1">
        <v>33.5</v>
      </c>
      <c r="H299" s="1" t="s">
        <v>60</v>
      </c>
      <c r="I299" s="1">
        <v>-116.0</v>
      </c>
      <c r="J299" s="1">
        <v>-0.0894282816441205</v>
      </c>
      <c r="K299" s="1" t="s">
        <v>61</v>
      </c>
      <c r="L299" s="1" t="s">
        <v>61</v>
      </c>
      <c r="M299" s="1" t="s">
        <v>62</v>
      </c>
      <c r="N299" s="1">
        <v>-111.0</v>
      </c>
      <c r="O299" s="1">
        <v>0.0263221328281058</v>
      </c>
      <c r="P299" s="1" t="s">
        <v>61</v>
      </c>
      <c r="Q299" s="1" t="s">
        <v>61</v>
      </c>
      <c r="R299" s="1">
        <f t="shared" si="1"/>
        <v>0.02632213283</v>
      </c>
      <c r="S299" s="1">
        <f t="shared" si="2"/>
        <v>-111</v>
      </c>
      <c r="T299" s="1">
        <f t="shared" si="3"/>
        <v>1.900900901</v>
      </c>
      <c r="U299" s="1">
        <f t="shared" si="4"/>
        <v>0</v>
      </c>
      <c r="V299" s="3">
        <f t="shared" si="5"/>
        <v>1</v>
      </c>
      <c r="W299" s="3">
        <f t="shared" si="6"/>
        <v>2</v>
      </c>
      <c r="X299" s="3" t="str">
        <f>IFERROR(__xludf.DUMMYFUNCTION("split(B299,"" "")"),"Z.")</f>
        <v>Z.</v>
      </c>
      <c r="Y299" s="3" t="str">
        <f>IFERROR(__xludf.DUMMYFUNCTION("""COMPUTED_VALUE"""),"Ertz")</f>
        <v>Ertz</v>
      </c>
      <c r="AA299" s="8">
        <v>47.0</v>
      </c>
      <c r="AB299" s="3">
        <f t="shared" si="7"/>
        <v>1</v>
      </c>
      <c r="AC299" s="3">
        <f t="shared" si="8"/>
        <v>0</v>
      </c>
      <c r="AD299" s="3">
        <f t="shared" si="9"/>
        <v>0.9009009009</v>
      </c>
      <c r="AE299" s="3">
        <f t="shared" si="10"/>
        <v>-1</v>
      </c>
      <c r="AF299" s="3">
        <f t="shared" si="11"/>
        <v>-2</v>
      </c>
      <c r="AG299" s="3">
        <f t="shared" si="12"/>
        <v>-0.4029850746</v>
      </c>
    </row>
    <row r="300">
      <c r="A300" s="1" t="s">
        <v>17</v>
      </c>
      <c r="B300" s="1" t="s">
        <v>320</v>
      </c>
      <c r="C300" s="1" t="s">
        <v>21</v>
      </c>
      <c r="D300" s="1" t="s">
        <v>114</v>
      </c>
      <c r="E300" s="1" t="s">
        <v>156</v>
      </c>
      <c r="F300" s="1" t="s">
        <v>692</v>
      </c>
      <c r="G300" s="1">
        <v>0.5</v>
      </c>
      <c r="H300" s="1" t="s">
        <v>60</v>
      </c>
      <c r="I300" s="1">
        <v>-109.0</v>
      </c>
      <c r="J300" s="1">
        <v>-0.0872311004784688</v>
      </c>
      <c r="K300" s="1" t="s">
        <v>61</v>
      </c>
      <c r="L300" s="1" t="s">
        <v>61</v>
      </c>
      <c r="M300" s="1" t="s">
        <v>62</v>
      </c>
      <c r="N300" s="1">
        <v>-121.0</v>
      </c>
      <c r="O300" s="1">
        <v>0.0181886877828053</v>
      </c>
      <c r="P300" s="1" t="s">
        <v>61</v>
      </c>
      <c r="Q300" s="1" t="s">
        <v>61</v>
      </c>
      <c r="R300" s="1">
        <f t="shared" si="1"/>
        <v>0.01818868778</v>
      </c>
      <c r="S300" s="1">
        <f t="shared" si="2"/>
        <v>-121</v>
      </c>
      <c r="T300" s="1">
        <f t="shared" si="3"/>
        <v>1.826446281</v>
      </c>
      <c r="U300" s="1">
        <f t="shared" si="4"/>
        <v>0</v>
      </c>
      <c r="V300" s="3">
        <f t="shared" si="5"/>
        <v>1</v>
      </c>
      <c r="W300" s="3">
        <f t="shared" si="6"/>
        <v>3</v>
      </c>
      <c r="X300" s="3" t="str">
        <f>IFERROR(__xludf.DUMMYFUNCTION("split(B300,"" "")"),"J.")</f>
        <v>J.</v>
      </c>
      <c r="Y300" s="3" t="str">
        <f>IFERROR(__xludf.DUMMYFUNCTION("""COMPUTED_VALUE"""),"Daniels")</f>
        <v>Daniels</v>
      </c>
      <c r="AA300" s="8">
        <v>1.0</v>
      </c>
      <c r="AB300" s="3">
        <f t="shared" si="7"/>
        <v>1</v>
      </c>
      <c r="AC300" s="3">
        <f t="shared" si="8"/>
        <v>0</v>
      </c>
      <c r="AD300" s="3">
        <f t="shared" si="9"/>
        <v>0.826446281</v>
      </c>
      <c r="AE300" s="3">
        <f t="shared" si="10"/>
        <v>-1</v>
      </c>
      <c r="AF300" s="3">
        <f t="shared" si="11"/>
        <v>-3</v>
      </c>
      <c r="AG300" s="3">
        <f t="shared" si="12"/>
        <v>-1</v>
      </c>
    </row>
    <row r="301">
      <c r="A301" s="1" t="s">
        <v>12</v>
      </c>
      <c r="B301" s="1" t="s">
        <v>408</v>
      </c>
      <c r="C301" s="1" t="s">
        <v>19</v>
      </c>
      <c r="D301" s="1" t="s">
        <v>114</v>
      </c>
      <c r="E301" s="1" t="s">
        <v>156</v>
      </c>
      <c r="F301" s="1" t="s">
        <v>692</v>
      </c>
      <c r="G301" s="1">
        <v>2.5</v>
      </c>
      <c r="H301" s="1" t="s">
        <v>60</v>
      </c>
      <c r="I301" s="1">
        <v>122.0</v>
      </c>
      <c r="J301" s="1">
        <v>-0.0838929090954955</v>
      </c>
      <c r="K301" s="1" t="s">
        <v>61</v>
      </c>
      <c r="L301" s="1" t="s">
        <v>61</v>
      </c>
      <c r="M301" s="1" t="s">
        <v>62</v>
      </c>
      <c r="N301" s="1">
        <v>-162.0</v>
      </c>
      <c r="O301" s="1">
        <v>0.0151146471877863</v>
      </c>
      <c r="P301" s="1" t="s">
        <v>61</v>
      </c>
      <c r="Q301" s="1" t="s">
        <v>61</v>
      </c>
      <c r="R301" s="1">
        <f t="shared" si="1"/>
        <v>0.01511464719</v>
      </c>
      <c r="S301" s="1">
        <f t="shared" si="2"/>
        <v>-162</v>
      </c>
      <c r="T301" s="1">
        <f t="shared" si="3"/>
        <v>1.617283951</v>
      </c>
      <c r="U301" s="1">
        <f t="shared" si="4"/>
        <v>0</v>
      </c>
      <c r="V301" s="3">
        <f t="shared" si="5"/>
        <v>1</v>
      </c>
      <c r="W301" s="3">
        <f t="shared" si="6"/>
        <v>3</v>
      </c>
      <c r="X301" s="3" t="str">
        <f>IFERROR(__xludf.DUMMYFUNCTION("split(B301,"" "")"),"A.")</f>
        <v>A.</v>
      </c>
      <c r="Y301" s="3" t="str">
        <f>IFERROR(__xludf.DUMMYFUNCTION("""COMPUTED_VALUE"""),"Ekeler")</f>
        <v>Ekeler</v>
      </c>
      <c r="AA301" s="8">
        <v>8.0</v>
      </c>
      <c r="AB301" s="3">
        <f t="shared" si="7"/>
        <v>1</v>
      </c>
      <c r="AC301" s="3">
        <f t="shared" si="8"/>
        <v>0</v>
      </c>
      <c r="AD301" s="3">
        <f t="shared" si="9"/>
        <v>0.6172839506</v>
      </c>
      <c r="AE301" s="3">
        <f t="shared" si="10"/>
        <v>-1</v>
      </c>
      <c r="AF301" s="3">
        <f t="shared" si="11"/>
        <v>-3</v>
      </c>
      <c r="AG301" s="3">
        <f t="shared" si="12"/>
        <v>-2.2</v>
      </c>
    </row>
    <row r="302">
      <c r="AA302" s="8"/>
    </row>
    <row r="303">
      <c r="AA303" s="8"/>
    </row>
  </sheetData>
  <conditionalFormatting sqref="O1:O981">
    <cfRule type="cellIs" dxfId="0" priority="1" operator="greaterThan">
      <formula>0</formula>
    </cfRule>
  </conditionalFormatting>
  <conditionalFormatting sqref="J1:J981">
    <cfRule type="cellIs" dxfId="0" priority="2" operator="greaterThan">
      <formula>0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515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508</v>
      </c>
      <c r="U1" s="1" t="s">
        <v>48</v>
      </c>
      <c r="V1" s="1" t="s">
        <v>49</v>
      </c>
      <c r="W1" s="1" t="s">
        <v>509</v>
      </c>
      <c r="X1" s="1" t="s">
        <v>50</v>
      </c>
      <c r="Y1" s="1" t="s">
        <v>51</v>
      </c>
      <c r="AA1" s="1" t="s">
        <v>510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511</v>
      </c>
      <c r="AG1" s="3">
        <f>SUM(AE2:AE99654)</f>
        <v>-89.62541473</v>
      </c>
      <c r="AH1" s="2">
        <f>COUNTIF(AC:AC,1)/COUNT(AC:AC)</f>
        <v>0.4749455338</v>
      </c>
      <c r="AI1" s="3">
        <f>COUNTIF(AC:AC,1)</f>
        <v>218</v>
      </c>
      <c r="AJ1" s="1">
        <f>COUNT(AC:AC)-AI1</f>
        <v>241</v>
      </c>
      <c r="AK1" s="1">
        <f>SUM(AF2:AF707)</f>
        <v>-70.69925864</v>
      </c>
      <c r="AL1" s="1"/>
      <c r="AM1" s="1"/>
      <c r="AN1" s="1"/>
      <c r="AO1" s="1"/>
      <c r="AP1" s="1"/>
      <c r="AQ1" s="1"/>
      <c r="AR1" s="1"/>
    </row>
    <row r="2">
      <c r="A2" s="1" t="s">
        <v>9</v>
      </c>
      <c r="B2" s="1" t="s">
        <v>451</v>
      </c>
      <c r="C2" s="1" t="s">
        <v>18</v>
      </c>
      <c r="D2" s="1" t="s">
        <v>105</v>
      </c>
      <c r="E2" s="1" t="s">
        <v>82</v>
      </c>
      <c r="F2" s="1" t="s">
        <v>693</v>
      </c>
      <c r="G2" s="1">
        <v>10.5</v>
      </c>
      <c r="H2" s="1" t="s">
        <v>60</v>
      </c>
      <c r="I2" s="1">
        <v>-120.0</v>
      </c>
      <c r="J2" s="1">
        <v>0.215314250204879</v>
      </c>
      <c r="K2" s="1" t="s">
        <v>61</v>
      </c>
      <c r="L2" s="1" t="s">
        <v>61</v>
      </c>
      <c r="M2" s="1" t="s">
        <v>62</v>
      </c>
      <c r="N2" s="1">
        <v>-110.0</v>
      </c>
      <c r="O2" s="1">
        <v>-0.284558326426575</v>
      </c>
      <c r="P2" s="1" t="s">
        <v>61</v>
      </c>
      <c r="Q2" s="1" t="s">
        <v>61</v>
      </c>
      <c r="R2" s="1">
        <f t="shared" ref="R2:R460" si="1">if(O2&gt;0, O2, J2)</f>
        <v>0.2153142502</v>
      </c>
      <c r="S2" s="1">
        <f t="shared" ref="S2:S460" si="2">if(O2&gt;0,N2,I2)</f>
        <v>-120</v>
      </c>
      <c r="T2" s="1">
        <f t="shared" ref="T2:T460" si="3">if(S2&gt;0, S2/100, -100/S2) + 1</f>
        <v>1.833333333</v>
      </c>
      <c r="U2" s="1">
        <f t="shared" ref="U2:U460" si="4">if(and(M2="under", O2&gt;0),0,1)</f>
        <v>1</v>
      </c>
      <c r="V2" s="3">
        <f t="shared" ref="V2:V460" si="5">IF(R2&lt;0.05, 1,if(R2&gt;0.1,3,2))</f>
        <v>3</v>
      </c>
      <c r="W2" s="3">
        <f t="shared" ref="W2:W460" si="6">IFS(T2&gt;2.1, 1, T2&lt;1.85,3, TRUE,2)</f>
        <v>3</v>
      </c>
      <c r="X2" s="3" t="str">
        <f>IFERROR(__xludf.DUMMYFUNCTION("split(B2,"" "")"),"G.")</f>
        <v>G.</v>
      </c>
      <c r="Y2" s="3" t="str">
        <f>IFERROR(__xludf.DUMMYFUNCTION("""COMPUTED_VALUE"""),"Dortch")</f>
        <v>Dortch</v>
      </c>
      <c r="AA2" s="8">
        <v>5.0</v>
      </c>
      <c r="AB2" s="3">
        <f t="shared" ref="AB2:AB460" si="7">if(AA2&lt;G2,0,1)</f>
        <v>0</v>
      </c>
      <c r="AC2" s="3">
        <f t="shared" ref="AC2:AC460" si="8">if(AB2=U2,1,0)</f>
        <v>0</v>
      </c>
      <c r="AD2" s="3">
        <f t="shared" ref="AD2:AD460" si="9">if(S2&lt;0, (100/(-S2))*V2, (S2/100)*V2)</f>
        <v>2.5</v>
      </c>
      <c r="AE2" s="3">
        <f t="shared" ref="AE2:AE460" si="10">if(T2&gt;4, 0, if(AC2=1,AD2,-V2))</f>
        <v>-3</v>
      </c>
      <c r="AF2" s="3">
        <f t="shared" ref="AF2:AF460" si="11">IF(AC2=0, -W2, (W2*T2)-W2)</f>
        <v>-3</v>
      </c>
      <c r="AG2" s="3">
        <f t="shared" ref="AG2:AG460" si="12">if(AC2 = 1, ABS((AA2-G2)/G2), ABS((AA2-G2)/G2)*-1)</f>
        <v>-0.5238095238</v>
      </c>
    </row>
    <row r="3">
      <c r="A3" s="1" t="s">
        <v>12</v>
      </c>
      <c r="B3" s="1" t="s">
        <v>345</v>
      </c>
      <c r="C3" s="1" t="s">
        <v>19</v>
      </c>
      <c r="D3" s="1" t="s">
        <v>105</v>
      </c>
      <c r="E3" s="1" t="s">
        <v>82</v>
      </c>
      <c r="F3" s="1" t="s">
        <v>693</v>
      </c>
      <c r="G3" s="1">
        <v>2.5</v>
      </c>
      <c r="H3" s="1" t="s">
        <v>60</v>
      </c>
      <c r="I3" s="1">
        <v>-127.0</v>
      </c>
      <c r="J3" s="1">
        <v>-0.267755307136563</v>
      </c>
      <c r="K3" s="1" t="s">
        <v>61</v>
      </c>
      <c r="L3" s="1" t="s">
        <v>61</v>
      </c>
      <c r="M3" s="1" t="s">
        <v>62</v>
      </c>
      <c r="N3" s="1">
        <v>-103.0</v>
      </c>
      <c r="O3" s="1">
        <v>0.20090751902266</v>
      </c>
      <c r="P3" s="1" t="s">
        <v>61</v>
      </c>
      <c r="Q3" s="1" t="s">
        <v>61</v>
      </c>
      <c r="R3" s="1">
        <f t="shared" si="1"/>
        <v>0.200907519</v>
      </c>
      <c r="S3" s="1">
        <f t="shared" si="2"/>
        <v>-103</v>
      </c>
      <c r="T3" s="1">
        <f t="shared" si="3"/>
        <v>1.970873786</v>
      </c>
      <c r="U3" s="1">
        <f t="shared" si="4"/>
        <v>0</v>
      </c>
      <c r="V3" s="3">
        <f t="shared" si="5"/>
        <v>3</v>
      </c>
      <c r="W3" s="3">
        <f t="shared" si="6"/>
        <v>2</v>
      </c>
      <c r="X3" s="3" t="str">
        <f>IFERROR(__xludf.DUMMYFUNCTION("split(B3,"" "")"),"J.")</f>
        <v>J.</v>
      </c>
      <c r="Y3" s="3" t="str">
        <f>IFERROR(__xludf.DUMMYFUNCTION("""COMPUTED_VALUE"""),"Conner")</f>
        <v>Conner</v>
      </c>
      <c r="AA3" s="8">
        <v>5.0</v>
      </c>
      <c r="AB3" s="3">
        <f t="shared" si="7"/>
        <v>1</v>
      </c>
      <c r="AC3" s="3">
        <f t="shared" si="8"/>
        <v>0</v>
      </c>
      <c r="AD3" s="3">
        <f t="shared" si="9"/>
        <v>2.912621359</v>
      </c>
      <c r="AE3" s="3">
        <f t="shared" si="10"/>
        <v>-3</v>
      </c>
      <c r="AF3" s="3">
        <f t="shared" si="11"/>
        <v>-2</v>
      </c>
      <c r="AG3" s="3">
        <f t="shared" si="12"/>
        <v>-1</v>
      </c>
    </row>
    <row r="4">
      <c r="A4" s="1" t="s">
        <v>12</v>
      </c>
      <c r="B4" s="1" t="s">
        <v>233</v>
      </c>
      <c r="C4" s="1" t="s">
        <v>18</v>
      </c>
      <c r="D4" s="1" t="s">
        <v>105</v>
      </c>
      <c r="E4" s="1" t="s">
        <v>82</v>
      </c>
      <c r="F4" s="1" t="s">
        <v>693</v>
      </c>
      <c r="G4" s="1">
        <v>2.5</v>
      </c>
      <c r="H4" s="1" t="s">
        <v>60</v>
      </c>
      <c r="I4" s="1">
        <v>-129.0</v>
      </c>
      <c r="J4" s="1">
        <v>-0.211117013056768</v>
      </c>
      <c r="K4" s="1" t="s">
        <v>61</v>
      </c>
      <c r="L4" s="1" t="s">
        <v>61</v>
      </c>
      <c r="M4" s="1" t="s">
        <v>62</v>
      </c>
      <c r="N4" s="1">
        <v>-102.0</v>
      </c>
      <c r="O4" s="1">
        <v>0.1428474649</v>
      </c>
      <c r="P4" s="1" t="s">
        <v>61</v>
      </c>
      <c r="Q4" s="1" t="s">
        <v>61</v>
      </c>
      <c r="R4" s="1">
        <f t="shared" si="1"/>
        <v>0.1428474649</v>
      </c>
      <c r="S4" s="1">
        <f t="shared" si="2"/>
        <v>-102</v>
      </c>
      <c r="T4" s="1">
        <f t="shared" si="3"/>
        <v>1.980392157</v>
      </c>
      <c r="U4" s="1">
        <f t="shared" si="4"/>
        <v>0</v>
      </c>
      <c r="V4" s="3">
        <f t="shared" si="5"/>
        <v>3</v>
      </c>
      <c r="W4" s="3">
        <f t="shared" si="6"/>
        <v>2</v>
      </c>
      <c r="X4" s="3" t="str">
        <f>IFERROR(__xludf.DUMMYFUNCTION("split(B4,"" "")"),"M.")</f>
        <v>M.</v>
      </c>
      <c r="Y4" s="3" t="str">
        <f>IFERROR(__xludf.DUMMYFUNCTION("""COMPUTED_VALUE"""),"Wilson")</f>
        <v>Wilson</v>
      </c>
      <c r="AA4" s="8">
        <v>2.0</v>
      </c>
      <c r="AB4" s="3">
        <f t="shared" si="7"/>
        <v>0</v>
      </c>
      <c r="AC4" s="3">
        <f t="shared" si="8"/>
        <v>1</v>
      </c>
      <c r="AD4" s="3">
        <f t="shared" si="9"/>
        <v>2.941176471</v>
      </c>
      <c r="AE4" s="3">
        <f t="shared" si="10"/>
        <v>2.941176471</v>
      </c>
      <c r="AF4" s="3">
        <f t="shared" si="11"/>
        <v>1.960784314</v>
      </c>
      <c r="AG4" s="3">
        <f t="shared" si="12"/>
        <v>0.2</v>
      </c>
      <c r="AH4" s="1" t="s">
        <v>18</v>
      </c>
      <c r="AI4" s="3">
        <f t="shared" ref="AI4:AI7" si="13">COUNTIFS(C:C, "="&amp;AH4, AC:AC, "=1")</f>
        <v>81</v>
      </c>
      <c r="AJ4" s="3">
        <f t="shared" ref="AJ4:AJ7" si="14">countif(C:C, "="&amp;AH4)</f>
        <v>170</v>
      </c>
      <c r="AK4" s="3">
        <f t="shared" ref="AK4:AK7" si="15">AI4/AJ4</f>
        <v>0.4764705882</v>
      </c>
    </row>
    <row r="5">
      <c r="A5" s="1" t="s">
        <v>8</v>
      </c>
      <c r="B5" s="1" t="s">
        <v>204</v>
      </c>
      <c r="C5" s="1" t="s">
        <v>21</v>
      </c>
      <c r="D5" s="1" t="s">
        <v>105</v>
      </c>
      <c r="E5" s="1" t="s">
        <v>82</v>
      </c>
      <c r="F5" s="1" t="s">
        <v>693</v>
      </c>
      <c r="G5" s="1">
        <v>5.5</v>
      </c>
      <c r="H5" s="1" t="s">
        <v>60</v>
      </c>
      <c r="I5" s="1">
        <v>110.0</v>
      </c>
      <c r="J5" s="1">
        <v>-0.157523988205176</v>
      </c>
      <c r="K5" s="1" t="s">
        <v>61</v>
      </c>
      <c r="L5" s="1" t="s">
        <v>61</v>
      </c>
      <c r="M5" s="1" t="s">
        <v>62</v>
      </c>
      <c r="N5" s="1">
        <v>-146.0</v>
      </c>
      <c r="O5" s="1">
        <v>0.0878287316471064</v>
      </c>
      <c r="P5" s="1" t="s">
        <v>61</v>
      </c>
      <c r="Q5" s="1" t="s">
        <v>61</v>
      </c>
      <c r="R5" s="1">
        <f t="shared" si="1"/>
        <v>0.08782873165</v>
      </c>
      <c r="S5" s="1">
        <f t="shared" si="2"/>
        <v>-146</v>
      </c>
      <c r="T5" s="1">
        <f t="shared" si="3"/>
        <v>1.684931507</v>
      </c>
      <c r="U5" s="1">
        <f t="shared" si="4"/>
        <v>0</v>
      </c>
      <c r="V5" s="3">
        <f t="shared" si="5"/>
        <v>2</v>
      </c>
      <c r="W5" s="3">
        <f t="shared" si="6"/>
        <v>3</v>
      </c>
      <c r="X5" s="3" t="str">
        <f>IFERROR(__xludf.DUMMYFUNCTION("split(B5,"" "")"),"K.")</f>
        <v>K.</v>
      </c>
      <c r="Y5" s="3" t="str">
        <f>IFERROR(__xludf.DUMMYFUNCTION("""COMPUTED_VALUE"""),"Murray")</f>
        <v>Murray</v>
      </c>
      <c r="AA5" s="8">
        <v>2.0</v>
      </c>
      <c r="AB5" s="3">
        <f t="shared" si="7"/>
        <v>0</v>
      </c>
      <c r="AC5" s="3">
        <f t="shared" si="8"/>
        <v>1</v>
      </c>
      <c r="AD5" s="3">
        <f t="shared" si="9"/>
        <v>1.369863014</v>
      </c>
      <c r="AE5" s="3">
        <f t="shared" si="10"/>
        <v>1.369863014</v>
      </c>
      <c r="AF5" s="3">
        <f t="shared" si="11"/>
        <v>2.054794521</v>
      </c>
      <c r="AG5" s="3">
        <f t="shared" si="12"/>
        <v>0.6363636364</v>
      </c>
      <c r="AH5" s="1" t="s">
        <v>19</v>
      </c>
      <c r="AI5" s="3">
        <f t="shared" si="13"/>
        <v>72</v>
      </c>
      <c r="AJ5" s="3">
        <f t="shared" si="14"/>
        <v>124</v>
      </c>
      <c r="AK5" s="3">
        <f t="shared" si="15"/>
        <v>0.5806451613</v>
      </c>
    </row>
    <row r="6">
      <c r="A6" s="1" t="s">
        <v>8</v>
      </c>
      <c r="B6" s="1" t="s">
        <v>373</v>
      </c>
      <c r="C6" s="1" t="s">
        <v>19</v>
      </c>
      <c r="D6" s="1" t="s">
        <v>105</v>
      </c>
      <c r="E6" s="1" t="s">
        <v>82</v>
      </c>
      <c r="F6" s="1" t="s">
        <v>693</v>
      </c>
      <c r="G6" s="1">
        <v>4.5</v>
      </c>
      <c r="H6" s="1" t="s">
        <v>60</v>
      </c>
      <c r="I6" s="1">
        <v>-105.0</v>
      </c>
      <c r="J6" s="1">
        <v>-0.150182757381417</v>
      </c>
      <c r="K6" s="1" t="s">
        <v>61</v>
      </c>
      <c r="L6" s="1" t="s">
        <v>61</v>
      </c>
      <c r="M6" s="1" t="s">
        <v>62</v>
      </c>
      <c r="N6" s="1">
        <v>-125.0</v>
      </c>
      <c r="O6" s="1">
        <v>0.0824442514621697</v>
      </c>
      <c r="P6" s="1" t="s">
        <v>61</v>
      </c>
      <c r="Q6" s="1" t="s">
        <v>61</v>
      </c>
      <c r="R6" s="1">
        <f t="shared" si="1"/>
        <v>0.08244425146</v>
      </c>
      <c r="S6" s="1">
        <f t="shared" si="2"/>
        <v>-125</v>
      </c>
      <c r="T6" s="1">
        <f t="shared" si="3"/>
        <v>1.8</v>
      </c>
      <c r="U6" s="1">
        <f t="shared" si="4"/>
        <v>0</v>
      </c>
      <c r="V6" s="3">
        <f t="shared" si="5"/>
        <v>2</v>
      </c>
      <c r="W6" s="3">
        <f t="shared" si="6"/>
        <v>3</v>
      </c>
      <c r="X6" s="3" t="str">
        <f>IFERROR(__xludf.DUMMYFUNCTION("split(B6,"" "")"),"T.")</f>
        <v>T.</v>
      </c>
      <c r="Y6" s="3" t="str">
        <f>IFERROR(__xludf.DUMMYFUNCTION("""COMPUTED_VALUE"""),"Benson")</f>
        <v>Benson</v>
      </c>
      <c r="AA6" s="8">
        <v>4.0</v>
      </c>
      <c r="AB6" s="3">
        <f t="shared" si="7"/>
        <v>0</v>
      </c>
      <c r="AC6" s="3">
        <f t="shared" si="8"/>
        <v>1</v>
      </c>
      <c r="AD6" s="3">
        <f t="shared" si="9"/>
        <v>1.6</v>
      </c>
      <c r="AE6" s="3">
        <f t="shared" si="10"/>
        <v>1.6</v>
      </c>
      <c r="AF6" s="3">
        <f t="shared" si="11"/>
        <v>2.4</v>
      </c>
      <c r="AG6" s="3">
        <f t="shared" si="12"/>
        <v>0.1111111111</v>
      </c>
      <c r="AH6" s="1" t="s">
        <v>20</v>
      </c>
      <c r="AI6" s="3">
        <f t="shared" si="13"/>
        <v>17</v>
      </c>
      <c r="AJ6" s="3">
        <f t="shared" si="14"/>
        <v>50</v>
      </c>
      <c r="AK6" s="3">
        <f t="shared" si="15"/>
        <v>0.34</v>
      </c>
    </row>
    <row r="7">
      <c r="A7" s="1" t="s">
        <v>12</v>
      </c>
      <c r="B7" s="1" t="s">
        <v>452</v>
      </c>
      <c r="C7" s="1" t="s">
        <v>18</v>
      </c>
      <c r="D7" s="1" t="s">
        <v>105</v>
      </c>
      <c r="E7" s="1" t="s">
        <v>82</v>
      </c>
      <c r="F7" s="1" t="s">
        <v>693</v>
      </c>
      <c r="G7" s="1">
        <v>3.5</v>
      </c>
      <c r="H7" s="1" t="s">
        <v>60</v>
      </c>
      <c r="I7" s="1">
        <v>-169.0</v>
      </c>
      <c r="J7" s="1">
        <v>-0.122015613382899</v>
      </c>
      <c r="K7" s="1" t="s">
        <v>61</v>
      </c>
      <c r="L7" s="1" t="s">
        <v>61</v>
      </c>
      <c r="M7" s="1" t="s">
        <v>62</v>
      </c>
      <c r="N7" s="1">
        <v>130.0</v>
      </c>
      <c r="O7" s="1">
        <v>0.0589739130434782</v>
      </c>
      <c r="P7" s="1" t="s">
        <v>61</v>
      </c>
      <c r="Q7" s="1" t="s">
        <v>61</v>
      </c>
      <c r="R7" s="1">
        <f t="shared" si="1"/>
        <v>0.05897391304</v>
      </c>
      <c r="S7" s="1">
        <f t="shared" si="2"/>
        <v>130</v>
      </c>
      <c r="T7" s="1">
        <f t="shared" si="3"/>
        <v>2.3</v>
      </c>
      <c r="U7" s="1">
        <f t="shared" si="4"/>
        <v>0</v>
      </c>
      <c r="V7" s="3">
        <f t="shared" si="5"/>
        <v>2</v>
      </c>
      <c r="W7" s="3">
        <f t="shared" si="6"/>
        <v>1</v>
      </c>
      <c r="X7" s="3" t="str">
        <f>IFERROR(__xludf.DUMMYFUNCTION("split(B7,"" "")"),"M.")</f>
        <v>M.</v>
      </c>
      <c r="Y7" s="3" t="str">
        <f>IFERROR(__xludf.DUMMYFUNCTION("""COMPUTED_VALUE"""),"Harrison")</f>
        <v>Harrison</v>
      </c>
      <c r="Z7" s="3" t="str">
        <f>IFERROR(__xludf.DUMMYFUNCTION("""COMPUTED_VALUE"""),"Jr.")</f>
        <v>Jr.</v>
      </c>
      <c r="AA7" s="8">
        <v>3.0</v>
      </c>
      <c r="AB7" s="3">
        <f t="shared" si="7"/>
        <v>0</v>
      </c>
      <c r="AC7" s="3">
        <f t="shared" si="8"/>
        <v>1</v>
      </c>
      <c r="AD7" s="3">
        <f t="shared" si="9"/>
        <v>2.6</v>
      </c>
      <c r="AE7" s="3">
        <f t="shared" si="10"/>
        <v>2.6</v>
      </c>
      <c r="AF7" s="3">
        <f t="shared" si="11"/>
        <v>1.3</v>
      </c>
      <c r="AG7" s="3">
        <f t="shared" si="12"/>
        <v>0.1428571429</v>
      </c>
      <c r="AH7" s="1" t="s">
        <v>21</v>
      </c>
      <c r="AI7" s="3">
        <f t="shared" si="13"/>
        <v>48</v>
      </c>
      <c r="AJ7" s="3">
        <f t="shared" si="14"/>
        <v>115</v>
      </c>
      <c r="AK7" s="3">
        <f t="shared" si="15"/>
        <v>0.4173913043</v>
      </c>
    </row>
    <row r="8">
      <c r="A8" s="1" t="s">
        <v>11</v>
      </c>
      <c r="B8" s="1" t="s">
        <v>609</v>
      </c>
      <c r="C8" s="1" t="s">
        <v>20</v>
      </c>
      <c r="D8" s="1" t="s">
        <v>105</v>
      </c>
      <c r="E8" s="1" t="s">
        <v>82</v>
      </c>
      <c r="F8" s="1" t="s">
        <v>693</v>
      </c>
      <c r="G8" s="1">
        <v>7.5</v>
      </c>
      <c r="H8" s="1" t="s">
        <v>60</v>
      </c>
      <c r="I8" s="1">
        <v>-113.0</v>
      </c>
      <c r="J8" s="1">
        <v>0.0564388479825853</v>
      </c>
      <c r="K8" s="1" t="s">
        <v>61</v>
      </c>
      <c r="L8" s="1" t="s">
        <v>61</v>
      </c>
      <c r="M8" s="1" t="s">
        <v>62</v>
      </c>
      <c r="N8" s="1">
        <v>-113.0</v>
      </c>
      <c r="O8" s="1">
        <v>-0.117426898220321</v>
      </c>
      <c r="P8" s="1" t="s">
        <v>61</v>
      </c>
      <c r="Q8" s="1" t="s">
        <v>61</v>
      </c>
      <c r="R8" s="1">
        <f t="shared" si="1"/>
        <v>0.05643884798</v>
      </c>
      <c r="S8" s="1">
        <f t="shared" si="2"/>
        <v>-113</v>
      </c>
      <c r="T8" s="1">
        <f t="shared" si="3"/>
        <v>1.884955752</v>
      </c>
      <c r="U8" s="1">
        <f t="shared" si="4"/>
        <v>1</v>
      </c>
      <c r="V8" s="3">
        <f t="shared" si="5"/>
        <v>2</v>
      </c>
      <c r="W8" s="3">
        <f t="shared" si="6"/>
        <v>2</v>
      </c>
      <c r="X8" s="3" t="str">
        <f>IFERROR(__xludf.DUMMYFUNCTION("split(B8,"" "")"),"E.")</f>
        <v>E.</v>
      </c>
      <c r="Y8" s="3" t="str">
        <f>IFERROR(__xludf.DUMMYFUNCTION("""COMPUTED_VALUE"""),"Higgins")</f>
        <v>Higgins</v>
      </c>
      <c r="AA8" s="8">
        <v>5.0</v>
      </c>
      <c r="AB8" s="3">
        <f t="shared" si="7"/>
        <v>0</v>
      </c>
      <c r="AC8" s="3">
        <f t="shared" si="8"/>
        <v>0</v>
      </c>
      <c r="AD8" s="3">
        <f t="shared" si="9"/>
        <v>1.769911504</v>
      </c>
      <c r="AE8" s="3">
        <f t="shared" si="10"/>
        <v>-2</v>
      </c>
      <c r="AF8" s="3">
        <f t="shared" si="11"/>
        <v>-2</v>
      </c>
      <c r="AG8" s="3">
        <f t="shared" si="12"/>
        <v>-0.3333333333</v>
      </c>
    </row>
    <row r="9">
      <c r="A9" s="1" t="s">
        <v>10</v>
      </c>
      <c r="B9" s="1" t="s">
        <v>204</v>
      </c>
      <c r="C9" s="1" t="s">
        <v>21</v>
      </c>
      <c r="D9" s="1" t="s">
        <v>105</v>
      </c>
      <c r="E9" s="1" t="s">
        <v>82</v>
      </c>
      <c r="F9" s="1" t="s">
        <v>693</v>
      </c>
      <c r="G9" s="1">
        <v>28.5</v>
      </c>
      <c r="H9" s="1" t="s">
        <v>60</v>
      </c>
      <c r="I9" s="1">
        <v>-116.0</v>
      </c>
      <c r="J9" s="1">
        <v>-0.112733732300392</v>
      </c>
      <c r="K9" s="1" t="s">
        <v>61</v>
      </c>
      <c r="L9" s="1" t="s">
        <v>61</v>
      </c>
      <c r="M9" s="1" t="s">
        <v>62</v>
      </c>
      <c r="N9" s="1">
        <v>-111.0</v>
      </c>
      <c r="O9" s="1">
        <v>0.0496298941058864</v>
      </c>
      <c r="P9" s="1" t="s">
        <v>61</v>
      </c>
      <c r="Q9" s="1" t="s">
        <v>61</v>
      </c>
      <c r="R9" s="1">
        <f t="shared" si="1"/>
        <v>0.04962989411</v>
      </c>
      <c r="S9" s="1">
        <f t="shared" si="2"/>
        <v>-111</v>
      </c>
      <c r="T9" s="1">
        <f t="shared" si="3"/>
        <v>1.900900901</v>
      </c>
      <c r="U9" s="1">
        <f t="shared" si="4"/>
        <v>0</v>
      </c>
      <c r="V9" s="3">
        <f t="shared" si="5"/>
        <v>1</v>
      </c>
      <c r="W9" s="3">
        <f t="shared" si="6"/>
        <v>2</v>
      </c>
      <c r="X9" s="3" t="str">
        <f>IFERROR(__xludf.DUMMYFUNCTION("split(B9,"" "")"),"K.")</f>
        <v>K.</v>
      </c>
      <c r="Y9" s="3" t="str">
        <f>IFERROR(__xludf.DUMMYFUNCTION("""COMPUTED_VALUE"""),"Murray")</f>
        <v>Murray</v>
      </c>
      <c r="AA9" s="8">
        <v>9.0</v>
      </c>
      <c r="AB9" s="3">
        <f t="shared" si="7"/>
        <v>0</v>
      </c>
      <c r="AC9" s="3">
        <f t="shared" si="8"/>
        <v>1</v>
      </c>
      <c r="AD9" s="3">
        <f t="shared" si="9"/>
        <v>0.9009009009</v>
      </c>
      <c r="AE9" s="3">
        <f t="shared" si="10"/>
        <v>0.9009009009</v>
      </c>
      <c r="AF9" s="3">
        <f t="shared" si="11"/>
        <v>1.801801802</v>
      </c>
      <c r="AG9" s="3">
        <f t="shared" si="12"/>
        <v>0.6842105263</v>
      </c>
    </row>
    <row r="10">
      <c r="A10" s="1" t="s">
        <v>16</v>
      </c>
      <c r="B10" s="1" t="s">
        <v>204</v>
      </c>
      <c r="C10" s="1" t="s">
        <v>21</v>
      </c>
      <c r="D10" s="1" t="s">
        <v>105</v>
      </c>
      <c r="E10" s="1" t="s">
        <v>82</v>
      </c>
      <c r="F10" s="1" t="s">
        <v>693</v>
      </c>
      <c r="G10" s="1">
        <v>30.5</v>
      </c>
      <c r="H10" s="1" t="s">
        <v>60</v>
      </c>
      <c r="I10" s="1">
        <v>-113.0</v>
      </c>
      <c r="J10" s="1">
        <v>-0.114454986713615</v>
      </c>
      <c r="K10" s="1" t="s">
        <v>61</v>
      </c>
      <c r="L10" s="1" t="s">
        <v>61</v>
      </c>
      <c r="M10" s="1" t="s">
        <v>62</v>
      </c>
      <c r="N10" s="1">
        <v>-117.0</v>
      </c>
      <c r="O10" s="1">
        <v>0.0447886140041474</v>
      </c>
      <c r="P10" s="1" t="s">
        <v>61</v>
      </c>
      <c r="Q10" s="1" t="s">
        <v>61</v>
      </c>
      <c r="R10" s="1">
        <f t="shared" si="1"/>
        <v>0.044788614</v>
      </c>
      <c r="S10" s="1">
        <f t="shared" si="2"/>
        <v>-117</v>
      </c>
      <c r="T10" s="1">
        <f t="shared" si="3"/>
        <v>1.854700855</v>
      </c>
      <c r="U10" s="1">
        <f t="shared" si="4"/>
        <v>0</v>
      </c>
      <c r="V10" s="3">
        <f t="shared" si="5"/>
        <v>1</v>
      </c>
      <c r="W10" s="3">
        <f t="shared" si="6"/>
        <v>2</v>
      </c>
      <c r="X10" s="3" t="str">
        <f>IFERROR(__xludf.DUMMYFUNCTION("split(B10,"" "")"),"K.")</f>
        <v>K.</v>
      </c>
      <c r="Y10" s="3" t="str">
        <f>IFERROR(__xludf.DUMMYFUNCTION("""COMPUTED_VALUE"""),"Murray")</f>
        <v>Murray</v>
      </c>
      <c r="AA10" s="8">
        <v>37.0</v>
      </c>
      <c r="AB10" s="3">
        <f t="shared" si="7"/>
        <v>1</v>
      </c>
      <c r="AC10" s="3">
        <f t="shared" si="8"/>
        <v>0</v>
      </c>
      <c r="AD10" s="3">
        <f t="shared" si="9"/>
        <v>0.8547008547</v>
      </c>
      <c r="AE10" s="3">
        <f t="shared" si="10"/>
        <v>-1</v>
      </c>
      <c r="AF10" s="3">
        <f t="shared" si="11"/>
        <v>-2</v>
      </c>
      <c r="AG10" s="3">
        <f t="shared" si="12"/>
        <v>-0.2131147541</v>
      </c>
    </row>
    <row r="11">
      <c r="A11" s="1" t="s">
        <v>9</v>
      </c>
      <c r="B11" s="1" t="s">
        <v>233</v>
      </c>
      <c r="C11" s="1" t="s">
        <v>18</v>
      </c>
      <c r="D11" s="1" t="s">
        <v>105</v>
      </c>
      <c r="E11" s="1" t="s">
        <v>82</v>
      </c>
      <c r="F11" s="1" t="s">
        <v>693</v>
      </c>
      <c r="G11" s="1">
        <v>29.5</v>
      </c>
      <c r="H11" s="1" t="s">
        <v>60</v>
      </c>
      <c r="I11" s="1">
        <v>-110.0</v>
      </c>
      <c r="J11" s="1">
        <v>0.0443631424074363</v>
      </c>
      <c r="K11" s="1" t="s">
        <v>61</v>
      </c>
      <c r="L11" s="1" t="s">
        <v>61</v>
      </c>
      <c r="M11" s="1" t="s">
        <v>62</v>
      </c>
      <c r="N11" s="1">
        <v>-120.0</v>
      </c>
      <c r="O11" s="1">
        <v>-0.113579599484881</v>
      </c>
      <c r="P11" s="1" t="s">
        <v>61</v>
      </c>
      <c r="Q11" s="1" t="s">
        <v>61</v>
      </c>
      <c r="R11" s="1">
        <f t="shared" si="1"/>
        <v>0.04436314241</v>
      </c>
      <c r="S11" s="1">
        <f t="shared" si="2"/>
        <v>-110</v>
      </c>
      <c r="T11" s="1">
        <f t="shared" si="3"/>
        <v>1.909090909</v>
      </c>
      <c r="U11" s="1">
        <f t="shared" si="4"/>
        <v>1</v>
      </c>
      <c r="V11" s="3">
        <f t="shared" si="5"/>
        <v>1</v>
      </c>
      <c r="W11" s="3">
        <f t="shared" si="6"/>
        <v>2</v>
      </c>
      <c r="X11" s="3" t="str">
        <f>IFERROR(__xludf.DUMMYFUNCTION("split(B11,"" "")"),"M.")</f>
        <v>M.</v>
      </c>
      <c r="Y11" s="3" t="str">
        <f>IFERROR(__xludf.DUMMYFUNCTION("""COMPUTED_VALUE"""),"Wilson")</f>
        <v>Wilson</v>
      </c>
      <c r="AA11" s="8">
        <v>54.0</v>
      </c>
      <c r="AB11" s="3">
        <f t="shared" si="7"/>
        <v>1</v>
      </c>
      <c r="AC11" s="3">
        <f t="shared" si="8"/>
        <v>1</v>
      </c>
      <c r="AD11" s="3">
        <f t="shared" si="9"/>
        <v>0.9090909091</v>
      </c>
      <c r="AE11" s="3">
        <f t="shared" si="10"/>
        <v>0.9090909091</v>
      </c>
      <c r="AF11" s="3">
        <f t="shared" si="11"/>
        <v>1.818181818</v>
      </c>
      <c r="AG11" s="3">
        <f t="shared" si="12"/>
        <v>0.8305084746</v>
      </c>
      <c r="AH11" s="1" t="s">
        <v>209</v>
      </c>
      <c r="AI11" s="3">
        <f>COUNTIFs(AC:AC, "=1", AB:AB, "=0")</f>
        <v>158</v>
      </c>
      <c r="AJ11" s="3">
        <f>countif(AB:AB, "=0")</f>
        <v>233</v>
      </c>
      <c r="AK11" s="3">
        <f t="shared" ref="AK11:AK12" si="16">AI11/AJ11</f>
        <v>0.678111588</v>
      </c>
      <c r="AL11" s="3">
        <f>sumifs(AE:AE,U:U, "=0")</f>
        <v>-51.31722647</v>
      </c>
    </row>
    <row r="12">
      <c r="A12" s="1" t="s">
        <v>10</v>
      </c>
      <c r="B12" s="1" t="s">
        <v>373</v>
      </c>
      <c r="C12" s="1" t="s">
        <v>19</v>
      </c>
      <c r="D12" s="1" t="s">
        <v>105</v>
      </c>
      <c r="E12" s="1" t="s">
        <v>82</v>
      </c>
      <c r="F12" s="1" t="s">
        <v>693</v>
      </c>
      <c r="G12" s="1">
        <v>21.5</v>
      </c>
      <c r="H12" s="1" t="s">
        <v>60</v>
      </c>
      <c r="I12" s="1">
        <v>-122.0</v>
      </c>
      <c r="J12" s="1">
        <v>-0.105227643328113</v>
      </c>
      <c r="K12" s="1" t="s">
        <v>61</v>
      </c>
      <c r="L12" s="1" t="s">
        <v>61</v>
      </c>
      <c r="M12" s="1" t="s">
        <v>62</v>
      </c>
      <c r="N12" s="1">
        <v>-107.0</v>
      </c>
      <c r="O12" s="1">
        <v>0.0387814028800007</v>
      </c>
      <c r="P12" s="1" t="s">
        <v>61</v>
      </c>
      <c r="Q12" s="1" t="s">
        <v>61</v>
      </c>
      <c r="R12" s="1">
        <f t="shared" si="1"/>
        <v>0.03878140288</v>
      </c>
      <c r="S12" s="1">
        <f t="shared" si="2"/>
        <v>-107</v>
      </c>
      <c r="T12" s="1">
        <f t="shared" si="3"/>
        <v>1.934579439</v>
      </c>
      <c r="U12" s="1">
        <f t="shared" si="4"/>
        <v>0</v>
      </c>
      <c r="V12" s="3">
        <f t="shared" si="5"/>
        <v>1</v>
      </c>
      <c r="W12" s="3">
        <f t="shared" si="6"/>
        <v>2</v>
      </c>
      <c r="X12" s="3" t="str">
        <f>IFERROR(__xludf.DUMMYFUNCTION("split(B12,"" "")"),"T.")</f>
        <v>T.</v>
      </c>
      <c r="Y12" s="3" t="str">
        <f>IFERROR(__xludf.DUMMYFUNCTION("""COMPUTED_VALUE"""),"Benson")</f>
        <v>Benson</v>
      </c>
      <c r="AA12" s="8">
        <v>18.0</v>
      </c>
      <c r="AB12" s="3">
        <f t="shared" si="7"/>
        <v>0</v>
      </c>
      <c r="AC12" s="3">
        <f t="shared" si="8"/>
        <v>1</v>
      </c>
      <c r="AD12" s="3">
        <f t="shared" si="9"/>
        <v>0.9345794393</v>
      </c>
      <c r="AE12" s="3">
        <f t="shared" si="10"/>
        <v>0.9345794393</v>
      </c>
      <c r="AF12" s="3">
        <f t="shared" si="11"/>
        <v>1.869158879</v>
      </c>
      <c r="AG12" s="3">
        <f t="shared" si="12"/>
        <v>0.1627906977</v>
      </c>
      <c r="AH12" s="1" t="s">
        <v>206</v>
      </c>
      <c r="AI12" s="3">
        <f>COUNTIFs(AC:AC, "=1", AB:AB, "=1")</f>
        <v>60</v>
      </c>
      <c r="AJ12" s="3">
        <f>countif(AB:AB, "=1")</f>
        <v>226</v>
      </c>
      <c r="AK12" s="3">
        <f t="shared" si="16"/>
        <v>0.2654867257</v>
      </c>
      <c r="AL12" s="3">
        <f>sumifs(AE:AE,U:U, "=1")</f>
        <v>-38.30818826</v>
      </c>
    </row>
    <row r="13">
      <c r="A13" s="1" t="s">
        <v>11</v>
      </c>
      <c r="B13" s="1" t="s">
        <v>451</v>
      </c>
      <c r="C13" s="1" t="s">
        <v>18</v>
      </c>
      <c r="D13" s="1" t="s">
        <v>105</v>
      </c>
      <c r="E13" s="1" t="s">
        <v>82</v>
      </c>
      <c r="F13" s="1" t="s">
        <v>693</v>
      </c>
      <c r="G13" s="1">
        <v>10.5</v>
      </c>
      <c r="H13" s="1" t="s">
        <v>60</v>
      </c>
      <c r="I13" s="1">
        <v>-116.0</v>
      </c>
      <c r="J13" s="1">
        <v>0.0383011085599938</v>
      </c>
      <c r="K13" s="1" t="s">
        <v>61</v>
      </c>
      <c r="L13" s="1" t="s">
        <v>61</v>
      </c>
      <c r="M13" s="1" t="s">
        <v>62</v>
      </c>
      <c r="N13" s="1">
        <v>-113.0</v>
      </c>
      <c r="O13" s="1">
        <v>-0.105845552006212</v>
      </c>
      <c r="P13" s="1" t="s">
        <v>61</v>
      </c>
      <c r="Q13" s="1" t="s">
        <v>61</v>
      </c>
      <c r="R13" s="1">
        <f t="shared" si="1"/>
        <v>0.03830110856</v>
      </c>
      <c r="S13" s="1">
        <f t="shared" si="2"/>
        <v>-116</v>
      </c>
      <c r="T13" s="1">
        <f t="shared" si="3"/>
        <v>1.862068966</v>
      </c>
      <c r="U13" s="1">
        <f t="shared" si="4"/>
        <v>1</v>
      </c>
      <c r="V13" s="3">
        <f t="shared" si="5"/>
        <v>1</v>
      </c>
      <c r="W13" s="3">
        <f t="shared" si="6"/>
        <v>2</v>
      </c>
      <c r="X13" s="3" t="str">
        <f>IFERROR(__xludf.DUMMYFUNCTION("split(B13,"" "")"),"G.")</f>
        <v>G.</v>
      </c>
      <c r="Y13" s="3" t="str">
        <f>IFERROR(__xludf.DUMMYFUNCTION("""COMPUTED_VALUE"""),"Dortch")</f>
        <v>Dortch</v>
      </c>
      <c r="AA13" s="8">
        <v>5.0</v>
      </c>
      <c r="AB13" s="3">
        <f t="shared" si="7"/>
        <v>0</v>
      </c>
      <c r="AC13" s="3">
        <f t="shared" si="8"/>
        <v>0</v>
      </c>
      <c r="AD13" s="3">
        <f t="shared" si="9"/>
        <v>0.8620689655</v>
      </c>
      <c r="AE13" s="3">
        <f t="shared" si="10"/>
        <v>-1</v>
      </c>
      <c r="AF13" s="3">
        <f t="shared" si="11"/>
        <v>-2</v>
      </c>
      <c r="AG13" s="3">
        <f t="shared" si="12"/>
        <v>-0.5238095238</v>
      </c>
    </row>
    <row r="14">
      <c r="A14" s="1" t="s">
        <v>12</v>
      </c>
      <c r="B14" s="1" t="s">
        <v>349</v>
      </c>
      <c r="C14" s="1" t="s">
        <v>20</v>
      </c>
      <c r="D14" s="1" t="s">
        <v>105</v>
      </c>
      <c r="E14" s="1" t="s">
        <v>82</v>
      </c>
      <c r="F14" s="1" t="s">
        <v>693</v>
      </c>
      <c r="G14" s="1">
        <v>4.5</v>
      </c>
      <c r="H14" s="1" t="s">
        <v>60</v>
      </c>
      <c r="I14" s="1">
        <v>-162.0</v>
      </c>
      <c r="J14" s="1">
        <v>-0.0975351145038166</v>
      </c>
      <c r="K14" s="1" t="s">
        <v>61</v>
      </c>
      <c r="L14" s="1" t="s">
        <v>61</v>
      </c>
      <c r="M14" s="1" t="s">
        <v>62</v>
      </c>
      <c r="N14" s="1">
        <v>125.0</v>
      </c>
      <c r="O14" s="1">
        <v>0.0347888888888889</v>
      </c>
      <c r="P14" s="1" t="s">
        <v>61</v>
      </c>
      <c r="Q14" s="1" t="s">
        <v>61</v>
      </c>
      <c r="R14" s="1">
        <f t="shared" si="1"/>
        <v>0.03478888889</v>
      </c>
      <c r="S14" s="1">
        <f t="shared" si="2"/>
        <v>125</v>
      </c>
      <c r="T14" s="1">
        <f t="shared" si="3"/>
        <v>2.25</v>
      </c>
      <c r="U14" s="1">
        <f t="shared" si="4"/>
        <v>0</v>
      </c>
      <c r="V14" s="3">
        <f t="shared" si="5"/>
        <v>1</v>
      </c>
      <c r="W14" s="3">
        <f t="shared" si="6"/>
        <v>1</v>
      </c>
      <c r="X14" s="3" t="str">
        <f>IFERROR(__xludf.DUMMYFUNCTION("split(B14,"" "")"),"T.")</f>
        <v>T.</v>
      </c>
      <c r="Y14" s="3" t="str">
        <f>IFERROR(__xludf.DUMMYFUNCTION("""COMPUTED_VALUE"""),"McBride")</f>
        <v>McBride</v>
      </c>
      <c r="AA14" s="8">
        <v>12.0</v>
      </c>
      <c r="AB14" s="3">
        <f t="shared" si="7"/>
        <v>1</v>
      </c>
      <c r="AC14" s="3">
        <f t="shared" si="8"/>
        <v>0</v>
      </c>
      <c r="AD14" s="3">
        <f t="shared" si="9"/>
        <v>1.25</v>
      </c>
      <c r="AE14" s="3">
        <f t="shared" si="10"/>
        <v>-1</v>
      </c>
      <c r="AF14" s="3">
        <f t="shared" si="11"/>
        <v>-1</v>
      </c>
      <c r="AG14" s="3">
        <f t="shared" si="12"/>
        <v>-1.666666667</v>
      </c>
    </row>
    <row r="15">
      <c r="A15" s="1" t="s">
        <v>9</v>
      </c>
      <c r="B15" s="1" t="s">
        <v>345</v>
      </c>
      <c r="C15" s="1" t="s">
        <v>19</v>
      </c>
      <c r="D15" s="1" t="s">
        <v>105</v>
      </c>
      <c r="E15" s="1" t="s">
        <v>82</v>
      </c>
      <c r="F15" s="1" t="s">
        <v>693</v>
      </c>
      <c r="G15" s="1">
        <v>89.0</v>
      </c>
      <c r="H15" s="1" t="s">
        <v>60</v>
      </c>
      <c r="I15" s="1">
        <v>-121.0</v>
      </c>
      <c r="J15" s="1">
        <v>-0.10912533447254</v>
      </c>
      <c r="K15" s="1" t="s">
        <v>61</v>
      </c>
      <c r="L15" s="1" t="s">
        <v>61</v>
      </c>
      <c r="M15" s="1" t="s">
        <v>62</v>
      </c>
      <c r="N15" s="1">
        <v>-113.0</v>
      </c>
      <c r="O15" s="1">
        <v>0.032374803699143</v>
      </c>
      <c r="P15" s="1" t="s">
        <v>61</v>
      </c>
      <c r="Q15" s="1" t="s">
        <v>61</v>
      </c>
      <c r="R15" s="1">
        <f t="shared" si="1"/>
        <v>0.0323748037</v>
      </c>
      <c r="S15" s="1">
        <f t="shared" si="2"/>
        <v>-113</v>
      </c>
      <c r="T15" s="1">
        <f t="shared" si="3"/>
        <v>1.884955752</v>
      </c>
      <c r="U15" s="1">
        <f t="shared" si="4"/>
        <v>0</v>
      </c>
      <c r="V15" s="3">
        <f t="shared" si="5"/>
        <v>1</v>
      </c>
      <c r="W15" s="3">
        <f t="shared" si="6"/>
        <v>2</v>
      </c>
      <c r="X15" s="3" t="str">
        <f>IFERROR(__xludf.DUMMYFUNCTION("split(B15,"" "")"),"J.")</f>
        <v>J.</v>
      </c>
      <c r="Y15" s="3" t="str">
        <f>IFERROR(__xludf.DUMMYFUNCTION("""COMPUTED_VALUE"""),"Conner")</f>
        <v>Conner</v>
      </c>
      <c r="AA15" s="8">
        <v>49.0</v>
      </c>
      <c r="AB15" s="3">
        <f t="shared" si="7"/>
        <v>0</v>
      </c>
      <c r="AC15" s="3">
        <f t="shared" si="8"/>
        <v>1</v>
      </c>
      <c r="AD15" s="3">
        <f t="shared" si="9"/>
        <v>0.8849557522</v>
      </c>
      <c r="AE15" s="3">
        <f t="shared" si="10"/>
        <v>0.8849557522</v>
      </c>
      <c r="AF15" s="3">
        <f t="shared" si="11"/>
        <v>1.769911504</v>
      </c>
      <c r="AG15" s="3">
        <f t="shared" si="12"/>
        <v>0.4494382022</v>
      </c>
      <c r="AH15" s="1" t="s">
        <v>216</v>
      </c>
      <c r="AI15" s="3">
        <f>COUNTIFS(AC:AC, "=1",V:V, "=1")/COUNTIF(V:V, "=1")</f>
        <v>0.5150214592</v>
      </c>
      <c r="AJ15" s="3">
        <f>SUMIF(V:V, "=1", AE:AE)</f>
        <v>-11.18645815</v>
      </c>
      <c r="AK15" s="3">
        <f>AVERAGEIF(V:V, "=1",T:T)</f>
        <v>1.884355945</v>
      </c>
      <c r="AL15" s="7">
        <f t="shared" ref="AL15:AL16" si="17">if(AK15&gt;2, (AK15-1)/100, (-100/(AK15-1)))</f>
        <v>-113.0766413</v>
      </c>
    </row>
    <row r="16">
      <c r="A16" s="1" t="s">
        <v>11</v>
      </c>
      <c r="B16" s="1" t="s">
        <v>349</v>
      </c>
      <c r="C16" s="1" t="s">
        <v>20</v>
      </c>
      <c r="D16" s="1" t="s">
        <v>105</v>
      </c>
      <c r="E16" s="1" t="s">
        <v>82</v>
      </c>
      <c r="F16" s="1" t="s">
        <v>693</v>
      </c>
      <c r="G16" s="1">
        <v>53.5</v>
      </c>
      <c r="H16" s="1" t="s">
        <v>60</v>
      </c>
      <c r="I16" s="1">
        <v>-120.0</v>
      </c>
      <c r="J16" s="1">
        <v>-0.0995906741396361</v>
      </c>
      <c r="K16" s="1" t="s">
        <v>61</v>
      </c>
      <c r="L16" s="1" t="s">
        <v>61</v>
      </c>
      <c r="M16" s="1" t="s">
        <v>62</v>
      </c>
      <c r="N16" s="1">
        <v>-112.0</v>
      </c>
      <c r="O16" s="1">
        <v>0.0257748891231131</v>
      </c>
      <c r="P16" s="1" t="s">
        <v>61</v>
      </c>
      <c r="Q16" s="1" t="s">
        <v>61</v>
      </c>
      <c r="R16" s="1">
        <f t="shared" si="1"/>
        <v>0.02577488912</v>
      </c>
      <c r="S16" s="1">
        <f t="shared" si="2"/>
        <v>-112</v>
      </c>
      <c r="T16" s="1">
        <f t="shared" si="3"/>
        <v>1.892857143</v>
      </c>
      <c r="U16" s="1">
        <f t="shared" si="4"/>
        <v>0</v>
      </c>
      <c r="V16" s="3">
        <f t="shared" si="5"/>
        <v>1</v>
      </c>
      <c r="W16" s="3">
        <f t="shared" si="6"/>
        <v>2</v>
      </c>
      <c r="X16" s="3" t="str">
        <f>IFERROR(__xludf.DUMMYFUNCTION("split(B16,"" "")"),"T.")</f>
        <v>T.</v>
      </c>
      <c r="Y16" s="3" t="str">
        <f>IFERROR(__xludf.DUMMYFUNCTION("""COMPUTED_VALUE"""),"McBride")</f>
        <v>McBride</v>
      </c>
      <c r="AA16" s="8">
        <v>133.0</v>
      </c>
      <c r="AB16" s="3">
        <f t="shared" si="7"/>
        <v>1</v>
      </c>
      <c r="AC16" s="3">
        <f t="shared" si="8"/>
        <v>0</v>
      </c>
      <c r="AD16" s="3">
        <f t="shared" si="9"/>
        <v>0.8928571429</v>
      </c>
      <c r="AE16" s="3">
        <f t="shared" si="10"/>
        <v>-1</v>
      </c>
      <c r="AF16" s="3">
        <f t="shared" si="11"/>
        <v>-2</v>
      </c>
      <c r="AG16" s="3">
        <f t="shared" si="12"/>
        <v>-1.485981308</v>
      </c>
      <c r="AH16" s="1" t="s">
        <v>219</v>
      </c>
      <c r="AI16" s="3">
        <f>COUNTIFS(AC:AC, "=1",V:V, "=2")/COUNTIF(V:V, "=2")</f>
        <v>0.4634146341</v>
      </c>
      <c r="AJ16" s="3">
        <f>SUMIF(V:V, "=2", AE:AE)</f>
        <v>-26.93671832</v>
      </c>
      <c r="AK16" s="3">
        <f>AVERAGEIF(V:V, "=2",T:T)</f>
        <v>1.912071861</v>
      </c>
      <c r="AL16" s="7">
        <f t="shared" si="17"/>
        <v>-109.6404837</v>
      </c>
    </row>
    <row r="17">
      <c r="A17" s="1" t="s">
        <v>11</v>
      </c>
      <c r="B17" s="1" t="s">
        <v>233</v>
      </c>
      <c r="C17" s="1" t="s">
        <v>18</v>
      </c>
      <c r="D17" s="1" t="s">
        <v>105</v>
      </c>
      <c r="E17" s="1" t="s">
        <v>82</v>
      </c>
      <c r="F17" s="1" t="s">
        <v>693</v>
      </c>
      <c r="G17" s="1">
        <v>28.5</v>
      </c>
      <c r="H17" s="1" t="s">
        <v>60</v>
      </c>
      <c r="I17" s="1">
        <v>-117.0</v>
      </c>
      <c r="J17" s="1">
        <v>-0.0810729922318432</v>
      </c>
      <c r="K17" s="1" t="s">
        <v>61</v>
      </c>
      <c r="L17" s="1" t="s">
        <v>61</v>
      </c>
      <c r="M17" s="1" t="s">
        <v>62</v>
      </c>
      <c r="N17" s="1">
        <v>-113.0</v>
      </c>
      <c r="O17" s="1">
        <v>0.0114152947091187</v>
      </c>
      <c r="P17" s="1" t="s">
        <v>61</v>
      </c>
      <c r="Q17" s="1" t="s">
        <v>61</v>
      </c>
      <c r="R17" s="1">
        <f t="shared" si="1"/>
        <v>0.01141529471</v>
      </c>
      <c r="S17" s="1">
        <f t="shared" si="2"/>
        <v>-113</v>
      </c>
      <c r="T17" s="1">
        <f t="shared" si="3"/>
        <v>1.884955752</v>
      </c>
      <c r="U17" s="1">
        <f t="shared" si="4"/>
        <v>0</v>
      </c>
      <c r="V17" s="3">
        <f t="shared" si="5"/>
        <v>1</v>
      </c>
      <c r="W17" s="3">
        <f t="shared" si="6"/>
        <v>2</v>
      </c>
      <c r="X17" s="3" t="str">
        <f>IFERROR(__xludf.DUMMYFUNCTION("split(B17,"" "")"),"M.")</f>
        <v>M.</v>
      </c>
      <c r="Y17" s="3" t="str">
        <f>IFERROR(__xludf.DUMMYFUNCTION("""COMPUTED_VALUE"""),"Wilson")</f>
        <v>Wilson</v>
      </c>
      <c r="AA17" s="8">
        <v>54.0</v>
      </c>
      <c r="AB17" s="3">
        <f t="shared" si="7"/>
        <v>1</v>
      </c>
      <c r="AC17" s="3">
        <f t="shared" si="8"/>
        <v>0</v>
      </c>
      <c r="AD17" s="3">
        <f t="shared" si="9"/>
        <v>0.8849557522</v>
      </c>
      <c r="AE17" s="3">
        <f t="shared" si="10"/>
        <v>-1</v>
      </c>
      <c r="AF17" s="3">
        <f t="shared" si="11"/>
        <v>-2</v>
      </c>
      <c r="AG17" s="3">
        <f t="shared" si="12"/>
        <v>-0.8947368421</v>
      </c>
      <c r="AH17" s="1" t="s">
        <v>222</v>
      </c>
      <c r="AI17" s="3">
        <f>COUNTIFS(AC:AC, "=1",V:V, "=3")/COUNTIF(V:V, "=3")</f>
        <v>0.3980582524</v>
      </c>
      <c r="AJ17" s="3">
        <f>SUMIF(V:V, "=3", AE:AE)</f>
        <v>-51.50223826</v>
      </c>
      <c r="AK17" s="3">
        <f>AVERAGEIF(V:V, "=3",T:T)</f>
        <v>2.163207698</v>
      </c>
      <c r="AL17" s="7">
        <f>if(AK17&gt;2, (AK17-1)*100, (-100/(AK17-1)))</f>
        <v>116.3207698</v>
      </c>
    </row>
    <row r="18">
      <c r="A18" s="1" t="s">
        <v>11</v>
      </c>
      <c r="B18" s="1" t="s">
        <v>345</v>
      </c>
      <c r="C18" s="1" t="s">
        <v>19</v>
      </c>
      <c r="D18" s="1" t="s">
        <v>105</v>
      </c>
      <c r="E18" s="1" t="s">
        <v>82</v>
      </c>
      <c r="F18" s="1" t="s">
        <v>693</v>
      </c>
      <c r="G18" s="1">
        <v>16.5</v>
      </c>
      <c r="H18" s="1" t="s">
        <v>60</v>
      </c>
      <c r="I18" s="1">
        <v>-112.0</v>
      </c>
      <c r="J18" s="1">
        <v>-0.0763941162892689</v>
      </c>
      <c r="K18" s="1" t="s">
        <v>61</v>
      </c>
      <c r="L18" s="1" t="s">
        <v>61</v>
      </c>
      <c r="M18" s="1" t="s">
        <v>62</v>
      </c>
      <c r="N18" s="1">
        <v>-116.0</v>
      </c>
      <c r="O18" s="1">
        <v>0.0111095235085972</v>
      </c>
      <c r="P18" s="1" t="s">
        <v>61</v>
      </c>
      <c r="Q18" s="1" t="s">
        <v>61</v>
      </c>
      <c r="R18" s="1">
        <f t="shared" si="1"/>
        <v>0.01110952351</v>
      </c>
      <c r="S18" s="1">
        <f t="shared" si="2"/>
        <v>-116</v>
      </c>
      <c r="T18" s="1">
        <f t="shared" si="3"/>
        <v>1.862068966</v>
      </c>
      <c r="U18" s="1">
        <f t="shared" si="4"/>
        <v>0</v>
      </c>
      <c r="V18" s="3">
        <f t="shared" si="5"/>
        <v>1</v>
      </c>
      <c r="W18" s="3">
        <f t="shared" si="6"/>
        <v>2</v>
      </c>
      <c r="X18" s="3" t="str">
        <f>IFERROR(__xludf.DUMMYFUNCTION("split(B18,"" "")"),"J.")</f>
        <v>J.</v>
      </c>
      <c r="Y18" s="3" t="str">
        <f>IFERROR(__xludf.DUMMYFUNCTION("""COMPUTED_VALUE"""),"Conner")</f>
        <v>Conner</v>
      </c>
      <c r="AA18" s="8">
        <v>41.0</v>
      </c>
      <c r="AB18" s="3">
        <f t="shared" si="7"/>
        <v>1</v>
      </c>
      <c r="AC18" s="3">
        <f t="shared" si="8"/>
        <v>0</v>
      </c>
      <c r="AD18" s="3">
        <f t="shared" si="9"/>
        <v>0.8620689655</v>
      </c>
      <c r="AE18" s="3">
        <f t="shared" si="10"/>
        <v>-1</v>
      </c>
      <c r="AF18" s="3">
        <f t="shared" si="11"/>
        <v>-2</v>
      </c>
      <c r="AG18" s="3">
        <f t="shared" si="12"/>
        <v>-1.484848485</v>
      </c>
      <c r="AI18" s="1" t="s">
        <v>223</v>
      </c>
      <c r="AJ18" s="1" t="s">
        <v>224</v>
      </c>
      <c r="AK18" s="1" t="s">
        <v>225</v>
      </c>
      <c r="AL18" s="1" t="s">
        <v>226</v>
      </c>
      <c r="AM18" s="1" t="s">
        <v>227</v>
      </c>
      <c r="AN18" s="1" t="s">
        <v>228</v>
      </c>
      <c r="AO18" s="1" t="s">
        <v>229</v>
      </c>
      <c r="AP18" s="1" t="s">
        <v>230</v>
      </c>
      <c r="AQ18" s="1"/>
      <c r="AR18" s="1"/>
    </row>
    <row r="19">
      <c r="A19" s="1" t="s">
        <v>10</v>
      </c>
      <c r="B19" s="1" t="s">
        <v>345</v>
      </c>
      <c r="C19" s="1" t="s">
        <v>19</v>
      </c>
      <c r="D19" s="1" t="s">
        <v>105</v>
      </c>
      <c r="E19" s="1" t="s">
        <v>82</v>
      </c>
      <c r="F19" s="1" t="s">
        <v>693</v>
      </c>
      <c r="G19" s="1">
        <v>70.5</v>
      </c>
      <c r="H19" s="1" t="s">
        <v>60</v>
      </c>
      <c r="I19" s="1">
        <v>-113.0</v>
      </c>
      <c r="J19" s="1">
        <v>-0.0734668613204143</v>
      </c>
      <c r="K19" s="1" t="s">
        <v>61</v>
      </c>
      <c r="L19" s="1" t="s">
        <v>61</v>
      </c>
      <c r="M19" s="1" t="s">
        <v>62</v>
      </c>
      <c r="N19" s="1">
        <v>-114.0</v>
      </c>
      <c r="O19" s="1">
        <v>0.0102450130547161</v>
      </c>
      <c r="P19" s="1" t="s">
        <v>61</v>
      </c>
      <c r="Q19" s="1" t="s">
        <v>61</v>
      </c>
      <c r="R19" s="1">
        <f t="shared" si="1"/>
        <v>0.01024501305</v>
      </c>
      <c r="S19" s="1">
        <f t="shared" si="2"/>
        <v>-114</v>
      </c>
      <c r="T19" s="1">
        <f t="shared" si="3"/>
        <v>1.877192982</v>
      </c>
      <c r="U19" s="1">
        <f t="shared" si="4"/>
        <v>0</v>
      </c>
      <c r="V19" s="3">
        <f t="shared" si="5"/>
        <v>1</v>
      </c>
      <c r="W19" s="3">
        <f t="shared" si="6"/>
        <v>2</v>
      </c>
      <c r="X19" s="3" t="str">
        <f>IFERROR(__xludf.DUMMYFUNCTION("split(B19,"" "")"),"J.")</f>
        <v>J.</v>
      </c>
      <c r="Y19" s="3" t="str">
        <f>IFERROR(__xludf.DUMMYFUNCTION("""COMPUTED_VALUE"""),"Conner")</f>
        <v>Conner</v>
      </c>
      <c r="AA19" s="8">
        <v>8.0</v>
      </c>
      <c r="AB19" s="3">
        <f t="shared" si="7"/>
        <v>0</v>
      </c>
      <c r="AC19" s="3">
        <f t="shared" si="8"/>
        <v>1</v>
      </c>
      <c r="AD19" s="3">
        <f t="shared" si="9"/>
        <v>0.8771929825</v>
      </c>
      <c r="AE19" s="3">
        <f t="shared" si="10"/>
        <v>0.8771929825</v>
      </c>
      <c r="AF19" s="3">
        <f t="shared" si="11"/>
        <v>1.754385965</v>
      </c>
      <c r="AG19" s="3">
        <f t="shared" si="12"/>
        <v>0.8865248227</v>
      </c>
      <c r="AH19" s="1" t="s">
        <v>8</v>
      </c>
      <c r="AI19" s="3">
        <f t="shared" ref="AI19:AI21" si="18">COUNTIFs(A:A, "=" &amp; AH19, AC:AC, "=1")</f>
        <v>25</v>
      </c>
      <c r="AJ19" s="3">
        <f t="shared" ref="AJ19:AJ21" si="19">countif(A:A, "=" &amp; AH19)</f>
        <v>49</v>
      </c>
      <c r="AK19" s="3">
        <f t="shared" ref="AK19:AK21" si="20">AI19/AJ19</f>
        <v>0.5102040816</v>
      </c>
      <c r="AL19" s="3">
        <f t="shared" ref="AL19:AL21" si="21">SUMIFS(AE:AE, A:A,"=" &amp; AH19,AC:AC, "=1")</f>
        <v>48.35433008</v>
      </c>
      <c r="AM19" s="3">
        <f t="shared" ref="AM19:AM21" si="22">SUMIFS(AE:AE, A:A,"=" &amp; AH19,AC:AC, "=0")</f>
        <v>-50</v>
      </c>
      <c r="AN19" s="3">
        <f t="shared" ref="AN19:AN21" si="23">AL19+AM19</f>
        <v>-1.645669916</v>
      </c>
      <c r="AO19" s="4">
        <f t="shared" ref="AO19:AO21" si="24">IFERROR( countifs(A:A, "="&amp;AH19, U:U, "=1", AC:AC, "=1")/countifs(A:A, "="&amp;AH19, U:U, "=1"), 0)</f>
        <v>0.5</v>
      </c>
      <c r="AP19" s="4">
        <f t="shared" ref="AP19:AP21" si="25">IFERROR( countifs(A:A, "="&amp;AH19, U:U, "=0", AC:AC, "=1")/countifs(A:A, "="&amp;AH19, U:U, "=0"), 0)</f>
        <v>0.511627907</v>
      </c>
      <c r="AQ19" s="5">
        <f t="shared" ref="AQ19:AQ21" si="26">iferror(IFS(AND(AP19 &gt; 0.5, AO19 &gt; 0.5), 1, AND(AP19 &lt;= 0.5, AO19 &lt;= 0.5), -1), 0)
</f>
        <v>0</v>
      </c>
      <c r="AR19" s="5">
        <f t="shared" ref="AR19:AR21" si="27">if(AN19&lt;0, -1, 1)</f>
        <v>-1</v>
      </c>
    </row>
    <row r="20">
      <c r="A20" s="1" t="s">
        <v>12</v>
      </c>
      <c r="B20" s="1" t="s">
        <v>451</v>
      </c>
      <c r="C20" s="1" t="s">
        <v>18</v>
      </c>
      <c r="D20" s="1" t="s">
        <v>105</v>
      </c>
      <c r="E20" s="1" t="s">
        <v>82</v>
      </c>
      <c r="F20" s="1" t="s">
        <v>693</v>
      </c>
      <c r="G20" s="1">
        <v>1.5</v>
      </c>
      <c r="H20" s="1" t="s">
        <v>60</v>
      </c>
      <c r="I20" s="1">
        <v>117.0</v>
      </c>
      <c r="J20" s="1">
        <v>-0.0759821717660368</v>
      </c>
      <c r="K20" s="1" t="s">
        <v>61</v>
      </c>
      <c r="L20" s="1" t="s">
        <v>61</v>
      </c>
      <c r="M20" s="1" t="s">
        <v>62</v>
      </c>
      <c r="N20" s="1">
        <v>-154.0</v>
      </c>
      <c r="O20" s="1">
        <v>0.00886002476874014</v>
      </c>
      <c r="P20" s="1" t="s">
        <v>61</v>
      </c>
      <c r="Q20" s="1" t="s">
        <v>61</v>
      </c>
      <c r="R20" s="1">
        <f t="shared" si="1"/>
        <v>0.008860024769</v>
      </c>
      <c r="S20" s="1">
        <f t="shared" si="2"/>
        <v>-154</v>
      </c>
      <c r="T20" s="1">
        <f t="shared" si="3"/>
        <v>1.649350649</v>
      </c>
      <c r="U20" s="1">
        <f t="shared" si="4"/>
        <v>0</v>
      </c>
      <c r="V20" s="3">
        <f t="shared" si="5"/>
        <v>1</v>
      </c>
      <c r="W20" s="3">
        <f t="shared" si="6"/>
        <v>3</v>
      </c>
      <c r="X20" s="3" t="str">
        <f>IFERROR(__xludf.DUMMYFUNCTION("split(B20,"" "")"),"G.")</f>
        <v>G.</v>
      </c>
      <c r="Y20" s="3" t="str">
        <f>IFERROR(__xludf.DUMMYFUNCTION("""COMPUTED_VALUE"""),"Dortch")</f>
        <v>Dortch</v>
      </c>
      <c r="AA20" s="8">
        <v>1.0</v>
      </c>
      <c r="AB20" s="3">
        <f t="shared" si="7"/>
        <v>0</v>
      </c>
      <c r="AC20" s="3">
        <f t="shared" si="8"/>
        <v>1</v>
      </c>
      <c r="AD20" s="3">
        <f t="shared" si="9"/>
        <v>0.6493506494</v>
      </c>
      <c r="AE20" s="3">
        <f t="shared" si="10"/>
        <v>0.6493506494</v>
      </c>
      <c r="AF20" s="3">
        <f t="shared" si="11"/>
        <v>1.948051948</v>
      </c>
      <c r="AG20" s="3">
        <f t="shared" si="12"/>
        <v>0.3333333333</v>
      </c>
      <c r="AH20" s="1" t="s">
        <v>9</v>
      </c>
      <c r="AI20" s="3">
        <f t="shared" si="18"/>
        <v>38</v>
      </c>
      <c r="AJ20" s="3">
        <f t="shared" si="19"/>
        <v>66</v>
      </c>
      <c r="AK20" s="3">
        <f t="shared" si="20"/>
        <v>0.5757575758</v>
      </c>
      <c r="AL20" s="3">
        <f t="shared" si="21"/>
        <v>43.33628904</v>
      </c>
      <c r="AM20" s="3">
        <f t="shared" si="22"/>
        <v>-50</v>
      </c>
      <c r="AN20" s="3">
        <f t="shared" si="23"/>
        <v>-6.663710962</v>
      </c>
      <c r="AO20" s="4">
        <f t="shared" si="24"/>
        <v>0.5555555556</v>
      </c>
      <c r="AP20" s="4">
        <f t="shared" si="25"/>
        <v>0.619047619</v>
      </c>
      <c r="AQ20" s="5">
        <f t="shared" si="26"/>
        <v>1</v>
      </c>
      <c r="AR20" s="5">
        <f t="shared" si="27"/>
        <v>-1</v>
      </c>
    </row>
    <row r="21">
      <c r="A21" s="1" t="s">
        <v>9</v>
      </c>
      <c r="B21" s="1" t="s">
        <v>452</v>
      </c>
      <c r="C21" s="1" t="s">
        <v>18</v>
      </c>
      <c r="D21" s="1" t="s">
        <v>105</v>
      </c>
      <c r="E21" s="1" t="s">
        <v>82</v>
      </c>
      <c r="F21" s="1" t="s">
        <v>693</v>
      </c>
      <c r="G21" s="1">
        <v>54.5</v>
      </c>
      <c r="H21" s="1" t="s">
        <v>60</v>
      </c>
      <c r="I21" s="1">
        <v>-110.0</v>
      </c>
      <c r="J21" s="1">
        <v>0.00827907422546048</v>
      </c>
      <c r="K21" s="1" t="s">
        <v>61</v>
      </c>
      <c r="L21" s="1" t="s">
        <v>61</v>
      </c>
      <c r="M21" s="1" t="s">
        <v>62</v>
      </c>
      <c r="N21" s="1">
        <v>-120.0</v>
      </c>
      <c r="O21" s="1">
        <v>-0.0774978486582546</v>
      </c>
      <c r="P21" s="1" t="s">
        <v>61</v>
      </c>
      <c r="Q21" s="1" t="s">
        <v>61</v>
      </c>
      <c r="R21" s="1">
        <f t="shared" si="1"/>
        <v>0.008279074225</v>
      </c>
      <c r="S21" s="1">
        <f t="shared" si="2"/>
        <v>-110</v>
      </c>
      <c r="T21" s="1">
        <f t="shared" si="3"/>
        <v>1.909090909</v>
      </c>
      <c r="U21" s="1">
        <f t="shared" si="4"/>
        <v>1</v>
      </c>
      <c r="V21" s="3">
        <f t="shared" si="5"/>
        <v>1</v>
      </c>
      <c r="W21" s="3">
        <f t="shared" si="6"/>
        <v>2</v>
      </c>
      <c r="X21" s="3" t="str">
        <f>IFERROR(__xludf.DUMMYFUNCTION("split(B21,"" "")"),"M.")</f>
        <v>M.</v>
      </c>
      <c r="Y21" s="3" t="str">
        <f>IFERROR(__xludf.DUMMYFUNCTION("""COMPUTED_VALUE"""),"Harrison")</f>
        <v>Harrison</v>
      </c>
      <c r="Z21" s="3" t="str">
        <f>IFERROR(__xludf.DUMMYFUNCTION("""COMPUTED_VALUE"""),"Jr.")</f>
        <v>Jr.</v>
      </c>
      <c r="AA21" s="8">
        <v>47.0</v>
      </c>
      <c r="AB21" s="3">
        <f t="shared" si="7"/>
        <v>0</v>
      </c>
      <c r="AC21" s="3">
        <f t="shared" si="8"/>
        <v>0</v>
      </c>
      <c r="AD21" s="3">
        <f t="shared" si="9"/>
        <v>0.9090909091</v>
      </c>
      <c r="AE21" s="3">
        <f t="shared" si="10"/>
        <v>-1</v>
      </c>
      <c r="AF21" s="3">
        <f t="shared" si="11"/>
        <v>-2</v>
      </c>
      <c r="AG21" s="3">
        <f t="shared" si="12"/>
        <v>-0.1376146789</v>
      </c>
      <c r="AH21" s="1" t="s">
        <v>10</v>
      </c>
      <c r="AI21" s="3">
        <f t="shared" si="18"/>
        <v>28</v>
      </c>
      <c r="AJ21" s="3">
        <f t="shared" si="19"/>
        <v>52</v>
      </c>
      <c r="AK21" s="3">
        <f t="shared" si="20"/>
        <v>0.5384615385</v>
      </c>
      <c r="AL21" s="3">
        <f t="shared" si="21"/>
        <v>35.28040965</v>
      </c>
      <c r="AM21" s="3">
        <f t="shared" si="22"/>
        <v>-35</v>
      </c>
      <c r="AN21" s="3">
        <f t="shared" si="23"/>
        <v>0.2804096488</v>
      </c>
      <c r="AO21" s="4">
        <f t="shared" si="24"/>
        <v>0.1875</v>
      </c>
      <c r="AP21" s="4">
        <f t="shared" si="25"/>
        <v>0.6944444444</v>
      </c>
      <c r="AQ21" s="5">
        <f t="shared" si="26"/>
        <v>0</v>
      </c>
      <c r="AR21" s="5">
        <f t="shared" si="27"/>
        <v>1</v>
      </c>
    </row>
    <row r="22">
      <c r="A22" s="1" t="s">
        <v>8</v>
      </c>
      <c r="B22" s="1" t="s">
        <v>347</v>
      </c>
      <c r="C22" s="1" t="s">
        <v>21</v>
      </c>
      <c r="D22" s="1" t="s">
        <v>77</v>
      </c>
      <c r="E22" s="1" t="s">
        <v>135</v>
      </c>
      <c r="F22" s="1" t="s">
        <v>694</v>
      </c>
      <c r="G22" s="1">
        <v>7.5</v>
      </c>
      <c r="H22" s="1" t="s">
        <v>60</v>
      </c>
      <c r="I22" s="1">
        <v>-154.0</v>
      </c>
      <c r="J22" s="1">
        <v>-0.276994946723709</v>
      </c>
      <c r="K22" s="1" t="s">
        <v>61</v>
      </c>
      <c r="L22" s="1" t="s">
        <v>61</v>
      </c>
      <c r="M22" s="1" t="s">
        <v>62</v>
      </c>
      <c r="N22" s="1">
        <v>115.0</v>
      </c>
      <c r="O22" s="1">
        <v>0.205578681245684</v>
      </c>
      <c r="P22" s="1" t="s">
        <v>61</v>
      </c>
      <c r="Q22" s="1" t="s">
        <v>61</v>
      </c>
      <c r="R22" s="1">
        <f t="shared" si="1"/>
        <v>0.2055786812</v>
      </c>
      <c r="S22" s="1">
        <f t="shared" si="2"/>
        <v>115</v>
      </c>
      <c r="T22" s="1">
        <f t="shared" si="3"/>
        <v>2.15</v>
      </c>
      <c r="U22" s="1">
        <f t="shared" si="4"/>
        <v>0</v>
      </c>
      <c r="V22" s="3">
        <f t="shared" si="5"/>
        <v>3</v>
      </c>
      <c r="W22" s="3">
        <f t="shared" si="6"/>
        <v>1</v>
      </c>
      <c r="X22" s="3" t="str">
        <f>IFERROR(__xludf.DUMMYFUNCTION("split(B22,"" "")"),"L.")</f>
        <v>L.</v>
      </c>
      <c r="Y22" s="3" t="str">
        <f>IFERROR(__xludf.DUMMYFUNCTION("""COMPUTED_VALUE"""),"Jackson")</f>
        <v>Jackson</v>
      </c>
      <c r="AA22" s="8">
        <v>8.0</v>
      </c>
      <c r="AB22" s="3">
        <f t="shared" si="7"/>
        <v>1</v>
      </c>
      <c r="AC22" s="3">
        <f t="shared" si="8"/>
        <v>0</v>
      </c>
      <c r="AD22" s="3">
        <f t="shared" si="9"/>
        <v>3.45</v>
      </c>
      <c r="AE22" s="3">
        <f t="shared" si="10"/>
        <v>-3</v>
      </c>
      <c r="AF22" s="3">
        <f t="shared" si="11"/>
        <v>-1</v>
      </c>
      <c r="AG22" s="3">
        <f t="shared" si="12"/>
        <v>-0.06666666667</v>
      </c>
      <c r="AO22" s="4"/>
      <c r="AP22" s="4"/>
      <c r="AQ22" s="5"/>
      <c r="AR22" s="5"/>
    </row>
    <row r="23">
      <c r="A23" s="1" t="s">
        <v>12</v>
      </c>
      <c r="B23" s="1" t="s">
        <v>182</v>
      </c>
      <c r="C23" s="1" t="s">
        <v>19</v>
      </c>
      <c r="D23" s="1" t="s">
        <v>77</v>
      </c>
      <c r="E23" s="1" t="s">
        <v>135</v>
      </c>
      <c r="F23" s="1" t="s">
        <v>694</v>
      </c>
      <c r="G23" s="1">
        <v>2.5</v>
      </c>
      <c r="H23" s="1" t="s">
        <v>60</v>
      </c>
      <c r="I23" s="1">
        <v>-144.0</v>
      </c>
      <c r="J23" s="1">
        <v>-0.24198038352459</v>
      </c>
      <c r="K23" s="1" t="s">
        <v>61</v>
      </c>
      <c r="L23" s="1" t="s">
        <v>61</v>
      </c>
      <c r="M23" s="1" t="s">
        <v>62</v>
      </c>
      <c r="N23" s="1">
        <v>109.0</v>
      </c>
      <c r="O23" s="1">
        <v>0.173333557799042</v>
      </c>
      <c r="P23" s="1" t="s">
        <v>61</v>
      </c>
      <c r="Q23" s="1" t="s">
        <v>61</v>
      </c>
      <c r="R23" s="1">
        <f t="shared" si="1"/>
        <v>0.1733335578</v>
      </c>
      <c r="S23" s="1">
        <f t="shared" si="2"/>
        <v>109</v>
      </c>
      <c r="T23" s="1">
        <f t="shared" si="3"/>
        <v>2.09</v>
      </c>
      <c r="U23" s="1">
        <f t="shared" si="4"/>
        <v>0</v>
      </c>
      <c r="V23" s="3">
        <f t="shared" si="5"/>
        <v>3</v>
      </c>
      <c r="W23" s="3">
        <f t="shared" si="6"/>
        <v>2</v>
      </c>
      <c r="X23" s="3" t="str">
        <f>IFERROR(__xludf.DUMMYFUNCTION("split(B23,"" "")"),"J.")</f>
        <v>J.</v>
      </c>
      <c r="Y23" s="3" t="str">
        <f>IFERROR(__xludf.DUMMYFUNCTION("""COMPUTED_VALUE"""),"Hill")</f>
        <v>Hill</v>
      </c>
      <c r="AA23" s="8">
        <v>2.0</v>
      </c>
      <c r="AB23" s="3">
        <f t="shared" si="7"/>
        <v>0</v>
      </c>
      <c r="AC23" s="3">
        <f t="shared" si="8"/>
        <v>1</v>
      </c>
      <c r="AD23" s="3">
        <f t="shared" si="9"/>
        <v>3.27</v>
      </c>
      <c r="AE23" s="3">
        <f t="shared" si="10"/>
        <v>3.27</v>
      </c>
      <c r="AF23" s="3">
        <f t="shared" si="11"/>
        <v>2.18</v>
      </c>
      <c r="AG23" s="3">
        <f t="shared" si="12"/>
        <v>0.2</v>
      </c>
      <c r="AH23" s="1" t="s">
        <v>11</v>
      </c>
      <c r="AI23" s="3">
        <f t="shared" ref="AI23:AI24" si="28">COUNTIFs(A:A, "=" &amp; AH23, AC:AC, "=1")</f>
        <v>41</v>
      </c>
      <c r="AJ23" s="3">
        <f t="shared" ref="AJ23:AJ24" si="29">countif(A:A, "=" &amp; AH23)</f>
        <v>92</v>
      </c>
      <c r="AK23" s="3">
        <f t="shared" ref="AK23:AK24" si="30">AI23/AJ23</f>
        <v>0.4456521739</v>
      </c>
      <c r="AL23" s="3">
        <f t="shared" ref="AL23:AL24" si="31">SUMIFS(AE:AE, A:A,"=" &amp; AH23,AC:AC, "=1")</f>
        <v>54.35208474</v>
      </c>
      <c r="AM23" s="3">
        <f t="shared" ref="AM23:AM24" si="32">SUMIFS(AE:AE, A:A,"=" &amp; AH23,AC:AC, "=0")</f>
        <v>-69</v>
      </c>
      <c r="AN23" s="3">
        <f t="shared" ref="AN23:AN24" si="33">AL23+AM23</f>
        <v>-14.64791526</v>
      </c>
      <c r="AO23" s="4">
        <f t="shared" ref="AO23:AO24" si="34">IFERROR( countifs(A:A, "="&amp;AH23, U:U, "=1", AC:AC, "=1")/countifs(A:A, "="&amp;AH23, U:U, "=1"), 0)</f>
        <v>0.4722222222</v>
      </c>
      <c r="AP23" s="4">
        <f t="shared" ref="AP23:AP24" si="35">IFERROR( countifs(A:A, "="&amp;AH23, U:U, "=0", AC:AC, "=1")/countifs(A:A, "="&amp;AH23, U:U, "=0"), 0)</f>
        <v>0.4285714286</v>
      </c>
      <c r="AQ23" s="5">
        <f t="shared" ref="AQ23:AQ24" si="36">iferror(IFS(AND(AP23 &gt; 0.5, AO23 &gt; 0.5), 1, AND(AP23 &lt;= 0.5, AO23 &lt;= 0.5), -1), 0)
</f>
        <v>-1</v>
      </c>
      <c r="AR23" s="5">
        <f t="shared" ref="AR23:AR24" si="37">if(AN23&lt;0, -1, 1)</f>
        <v>-1</v>
      </c>
    </row>
    <row r="24">
      <c r="A24" s="1" t="s">
        <v>12</v>
      </c>
      <c r="B24" s="1" t="s">
        <v>454</v>
      </c>
      <c r="C24" s="1" t="s">
        <v>20</v>
      </c>
      <c r="D24" s="1" t="s">
        <v>77</v>
      </c>
      <c r="E24" s="1" t="s">
        <v>135</v>
      </c>
      <c r="F24" s="1" t="s">
        <v>694</v>
      </c>
      <c r="G24" s="1">
        <v>2.5</v>
      </c>
      <c r="H24" s="1" t="s">
        <v>60</v>
      </c>
      <c r="I24" s="1">
        <v>-104.0</v>
      </c>
      <c r="J24" s="1">
        <v>-0.217548277941176</v>
      </c>
      <c r="K24" s="1" t="s">
        <v>61</v>
      </c>
      <c r="L24" s="1" t="s">
        <v>61</v>
      </c>
      <c r="M24" s="1" t="s">
        <v>62</v>
      </c>
      <c r="N24" s="1">
        <v>-126.0</v>
      </c>
      <c r="O24" s="1">
        <v>0.150228324610619</v>
      </c>
      <c r="P24" s="1" t="s">
        <v>61</v>
      </c>
      <c r="Q24" s="1" t="s">
        <v>61</v>
      </c>
      <c r="R24" s="1">
        <f t="shared" si="1"/>
        <v>0.1502283246</v>
      </c>
      <c r="S24" s="1">
        <f t="shared" si="2"/>
        <v>-126</v>
      </c>
      <c r="T24" s="1">
        <f t="shared" si="3"/>
        <v>1.793650794</v>
      </c>
      <c r="U24" s="1">
        <f t="shared" si="4"/>
        <v>0</v>
      </c>
      <c r="V24" s="3">
        <f t="shared" si="5"/>
        <v>3</v>
      </c>
      <c r="W24" s="3">
        <f t="shared" si="6"/>
        <v>3</v>
      </c>
      <c r="X24" s="3" t="str">
        <f>IFERROR(__xludf.DUMMYFUNCTION("split(B24,"" "")"),"I.")</f>
        <v>I.</v>
      </c>
      <c r="Y24" s="3" t="str">
        <f>IFERROR(__xludf.DUMMYFUNCTION("""COMPUTED_VALUE"""),"Likely")</f>
        <v>Likely</v>
      </c>
      <c r="AA24" s="8">
        <v>0.0</v>
      </c>
      <c r="AB24" s="3">
        <f t="shared" si="7"/>
        <v>0</v>
      </c>
      <c r="AC24" s="3">
        <f t="shared" si="8"/>
        <v>1</v>
      </c>
      <c r="AD24" s="3">
        <f t="shared" si="9"/>
        <v>2.380952381</v>
      </c>
      <c r="AE24" s="3">
        <f t="shared" si="10"/>
        <v>2.380952381</v>
      </c>
      <c r="AF24" s="3">
        <f t="shared" si="11"/>
        <v>2.380952381</v>
      </c>
      <c r="AG24" s="3">
        <f t="shared" si="12"/>
        <v>1</v>
      </c>
      <c r="AH24" s="1" t="s">
        <v>12</v>
      </c>
      <c r="AI24" s="3">
        <f t="shared" si="28"/>
        <v>56</v>
      </c>
      <c r="AJ24" s="3">
        <f t="shared" si="29"/>
        <v>125</v>
      </c>
      <c r="AK24" s="3">
        <f t="shared" si="30"/>
        <v>0.448</v>
      </c>
      <c r="AL24" s="3">
        <f t="shared" si="31"/>
        <v>108.3678066</v>
      </c>
      <c r="AM24" s="3">
        <f t="shared" si="32"/>
        <v>-151</v>
      </c>
      <c r="AN24" s="3">
        <f t="shared" si="33"/>
        <v>-42.63219342</v>
      </c>
      <c r="AO24" s="4">
        <f t="shared" si="34"/>
        <v>0.2857142857</v>
      </c>
      <c r="AP24" s="4">
        <f t="shared" si="35"/>
        <v>0.4684684685</v>
      </c>
      <c r="AQ24" s="5">
        <f t="shared" si="36"/>
        <v>-1</v>
      </c>
      <c r="AR24" s="5">
        <f t="shared" si="37"/>
        <v>-1</v>
      </c>
    </row>
    <row r="25">
      <c r="A25" s="1" t="s">
        <v>12</v>
      </c>
      <c r="B25" s="1" t="s">
        <v>418</v>
      </c>
      <c r="C25" s="1" t="s">
        <v>20</v>
      </c>
      <c r="D25" s="1" t="s">
        <v>77</v>
      </c>
      <c r="E25" s="1" t="s">
        <v>135</v>
      </c>
      <c r="F25" s="1" t="s">
        <v>694</v>
      </c>
      <c r="G25" s="1">
        <v>2.5</v>
      </c>
      <c r="H25" s="1" t="s">
        <v>60</v>
      </c>
      <c r="I25" s="1">
        <v>-158.0</v>
      </c>
      <c r="J25" s="1">
        <v>-0.187438570852713</v>
      </c>
      <c r="K25" s="1" t="s">
        <v>61</v>
      </c>
      <c r="L25" s="1" t="s">
        <v>61</v>
      </c>
      <c r="M25" s="1" t="s">
        <v>62</v>
      </c>
      <c r="N25" s="1">
        <v>121.0</v>
      </c>
      <c r="O25" s="1">
        <v>0.122552720723981</v>
      </c>
      <c r="P25" s="1" t="s">
        <v>61</v>
      </c>
      <c r="Q25" s="1" t="s">
        <v>61</v>
      </c>
      <c r="R25" s="1">
        <f t="shared" si="1"/>
        <v>0.1225527207</v>
      </c>
      <c r="S25" s="1">
        <f t="shared" si="2"/>
        <v>121</v>
      </c>
      <c r="T25" s="1">
        <f t="shared" si="3"/>
        <v>2.21</v>
      </c>
      <c r="U25" s="1">
        <f t="shared" si="4"/>
        <v>0</v>
      </c>
      <c r="V25" s="3">
        <f t="shared" si="5"/>
        <v>3</v>
      </c>
      <c r="W25" s="3">
        <f t="shared" si="6"/>
        <v>1</v>
      </c>
      <c r="X25" s="3" t="str">
        <f>IFERROR(__xludf.DUMMYFUNCTION("split(B25,"" "")"),"M.")</f>
        <v>M.</v>
      </c>
      <c r="Y25" s="3" t="str">
        <f>IFERROR(__xludf.DUMMYFUNCTION("""COMPUTED_VALUE"""),"Andrews")</f>
        <v>Andrews</v>
      </c>
      <c r="AA25" s="8">
        <v>5.0</v>
      </c>
      <c r="AB25" s="3">
        <f t="shared" si="7"/>
        <v>1</v>
      </c>
      <c r="AC25" s="3">
        <f t="shared" si="8"/>
        <v>0</v>
      </c>
      <c r="AD25" s="3">
        <f t="shared" si="9"/>
        <v>3.63</v>
      </c>
      <c r="AE25" s="3">
        <f t="shared" si="10"/>
        <v>-3</v>
      </c>
      <c r="AF25" s="3">
        <f t="shared" si="11"/>
        <v>-1</v>
      </c>
      <c r="AG25" s="3">
        <f t="shared" si="12"/>
        <v>-1</v>
      </c>
      <c r="AO25" s="4"/>
      <c r="AP25" s="4"/>
      <c r="AQ25" s="5"/>
      <c r="AR25" s="5"/>
    </row>
    <row r="26">
      <c r="A26" s="1" t="s">
        <v>11</v>
      </c>
      <c r="B26" s="1" t="s">
        <v>309</v>
      </c>
      <c r="C26" s="1" t="s">
        <v>19</v>
      </c>
      <c r="D26" s="1" t="s">
        <v>77</v>
      </c>
      <c r="E26" s="1" t="s">
        <v>135</v>
      </c>
      <c r="F26" s="1" t="s">
        <v>694</v>
      </c>
      <c r="G26" s="1">
        <v>3.5</v>
      </c>
      <c r="H26" s="1" t="s">
        <v>60</v>
      </c>
      <c r="I26" s="1">
        <v>-118.0</v>
      </c>
      <c r="J26" s="1">
        <v>0.109498046985613</v>
      </c>
      <c r="K26" s="1" t="s">
        <v>61</v>
      </c>
      <c r="L26" s="1" t="s">
        <v>61</v>
      </c>
      <c r="M26" s="1" t="s">
        <v>62</v>
      </c>
      <c r="N26" s="1">
        <v>-109.0</v>
      </c>
      <c r="O26" s="1">
        <v>-0.172311147965173</v>
      </c>
      <c r="P26" s="1" t="s">
        <v>61</v>
      </c>
      <c r="Q26" s="1" t="s">
        <v>61</v>
      </c>
      <c r="R26" s="1">
        <f t="shared" si="1"/>
        <v>0.109498047</v>
      </c>
      <c r="S26" s="1">
        <f t="shared" si="2"/>
        <v>-118</v>
      </c>
      <c r="T26" s="1">
        <f t="shared" si="3"/>
        <v>1.847457627</v>
      </c>
      <c r="U26" s="1">
        <f t="shared" si="4"/>
        <v>1</v>
      </c>
      <c r="V26" s="3">
        <f t="shared" si="5"/>
        <v>3</v>
      </c>
      <c r="W26" s="3">
        <f t="shared" si="6"/>
        <v>3</v>
      </c>
      <c r="X26" s="3" t="str">
        <f>IFERROR(__xludf.DUMMYFUNCTION("split(B26,"" "")"),"D.")</f>
        <v>D.</v>
      </c>
      <c r="Y26" s="3" t="str">
        <f>IFERROR(__xludf.DUMMYFUNCTION("""COMPUTED_VALUE"""),"Henry")</f>
        <v>Henry</v>
      </c>
      <c r="AA26" s="8">
        <v>0.0</v>
      </c>
      <c r="AB26" s="3">
        <f t="shared" si="7"/>
        <v>0</v>
      </c>
      <c r="AC26" s="3">
        <f t="shared" si="8"/>
        <v>0</v>
      </c>
      <c r="AD26" s="3">
        <f t="shared" si="9"/>
        <v>2.542372881</v>
      </c>
      <c r="AE26" s="3">
        <f t="shared" si="10"/>
        <v>-3</v>
      </c>
      <c r="AF26" s="3">
        <f t="shared" si="11"/>
        <v>-3</v>
      </c>
      <c r="AG26" s="3">
        <f t="shared" si="12"/>
        <v>-1</v>
      </c>
      <c r="AH26" s="1" t="s">
        <v>13</v>
      </c>
      <c r="AI26" s="3">
        <f t="shared" ref="AI26:AI30" si="38">COUNTIFs(A:A, "=" &amp; AH26, AC:AC, "=1")</f>
        <v>4</v>
      </c>
      <c r="AJ26" s="3">
        <f t="shared" ref="AJ26:AJ30" si="39">countif(A:A, "=" &amp; AH26)</f>
        <v>6</v>
      </c>
      <c r="AK26" s="3">
        <f t="shared" ref="AK26:AK30" si="40">AI26/AJ26</f>
        <v>0.6666666667</v>
      </c>
      <c r="AL26" s="3">
        <f t="shared" ref="AL26:AL30" si="41">SUMIFS(AE:AE, A:A,"=" &amp; AH26,AC:AC, "=1")</f>
        <v>3.545374823</v>
      </c>
      <c r="AM26" s="3">
        <f t="shared" ref="AM26:AM30" si="42">SUMIFS(AE:AE, A:A,"=" &amp; AH26,AC:AC, "=0")</f>
        <v>-2</v>
      </c>
      <c r="AN26" s="3">
        <f t="shared" ref="AN26:AN30" si="43">AL26+AM26</f>
        <v>1.545374823</v>
      </c>
      <c r="AO26" s="4">
        <f t="shared" ref="AO26:AO30" si="44">IFERROR( countifs(A:A, "="&amp;AH26, U:U, "=1", AC:AC, "=1")/countifs(A:A, "="&amp;AH26, U:U, "=1"), 0)</f>
        <v>0.75</v>
      </c>
      <c r="AP26" s="4">
        <f t="shared" ref="AP26:AP30" si="45">IFERROR( countifs(A:A, "="&amp;AH26, U:U, "=0", AC:AC, "=1")/countifs(A:A, "="&amp;AH26, U:U, "=0"), 0)</f>
        <v>0.5</v>
      </c>
      <c r="AQ26" s="5">
        <f t="shared" ref="AQ26:AQ30" si="46">iferror(IFS(AND(AP26 &gt; 0.5, AO26 &gt; 0.5), 1, AND(AP26 &lt;= 0.5, AO26 &lt;= 0.5), -1), 0)
</f>
        <v>0</v>
      </c>
      <c r="AR26" s="5">
        <f t="shared" ref="AR26:AR30" si="47">if(AN26&lt;0, -1, 1)</f>
        <v>1</v>
      </c>
    </row>
    <row r="27">
      <c r="A27" s="1" t="s">
        <v>12</v>
      </c>
      <c r="B27" s="1" t="s">
        <v>309</v>
      </c>
      <c r="C27" s="1" t="s">
        <v>19</v>
      </c>
      <c r="D27" s="1" t="s">
        <v>77</v>
      </c>
      <c r="E27" s="1" t="s">
        <v>135</v>
      </c>
      <c r="F27" s="1" t="s">
        <v>694</v>
      </c>
      <c r="G27" s="1">
        <v>0.5</v>
      </c>
      <c r="H27" s="1" t="s">
        <v>60</v>
      </c>
      <c r="I27" s="1">
        <v>-207.0</v>
      </c>
      <c r="J27" s="1">
        <v>-0.149495284252117</v>
      </c>
      <c r="K27" s="1" t="s">
        <v>61</v>
      </c>
      <c r="L27" s="1" t="s">
        <v>61</v>
      </c>
      <c r="M27" s="1" t="s">
        <v>62</v>
      </c>
      <c r="N27" s="1">
        <v>155.0</v>
      </c>
      <c r="O27" s="1">
        <v>0.0830770677074509</v>
      </c>
      <c r="P27" s="1" t="s">
        <v>61</v>
      </c>
      <c r="Q27" s="1" t="s">
        <v>61</v>
      </c>
      <c r="R27" s="1">
        <f t="shared" si="1"/>
        <v>0.08307706771</v>
      </c>
      <c r="S27" s="1">
        <f t="shared" si="2"/>
        <v>155</v>
      </c>
      <c r="T27" s="1">
        <f t="shared" si="3"/>
        <v>2.55</v>
      </c>
      <c r="U27" s="1">
        <f t="shared" si="4"/>
        <v>0</v>
      </c>
      <c r="V27" s="3">
        <f t="shared" si="5"/>
        <v>2</v>
      </c>
      <c r="W27" s="3">
        <f t="shared" si="6"/>
        <v>1</v>
      </c>
      <c r="X27" s="3" t="str">
        <f>IFERROR(__xludf.DUMMYFUNCTION("split(B27,"" "")"),"D.")</f>
        <v>D.</v>
      </c>
      <c r="Y27" s="3" t="str">
        <f>IFERROR(__xludf.DUMMYFUNCTION("""COMPUTED_VALUE"""),"Henry")</f>
        <v>Henry</v>
      </c>
      <c r="AA27" s="8">
        <v>0.0</v>
      </c>
      <c r="AB27" s="3">
        <f t="shared" si="7"/>
        <v>0</v>
      </c>
      <c r="AC27" s="3">
        <f t="shared" si="8"/>
        <v>1</v>
      </c>
      <c r="AD27" s="3">
        <f t="shared" si="9"/>
        <v>3.1</v>
      </c>
      <c r="AE27" s="3">
        <f t="shared" si="10"/>
        <v>3.1</v>
      </c>
      <c r="AF27" s="3">
        <f t="shared" si="11"/>
        <v>1.55</v>
      </c>
      <c r="AG27" s="3">
        <f t="shared" si="12"/>
        <v>1</v>
      </c>
      <c r="AH27" s="1" t="s">
        <v>14</v>
      </c>
      <c r="AI27" s="3">
        <f t="shared" si="38"/>
        <v>6</v>
      </c>
      <c r="AJ27" s="3">
        <f t="shared" si="39"/>
        <v>22</v>
      </c>
      <c r="AK27" s="3">
        <f t="shared" si="40"/>
        <v>0.2727272727</v>
      </c>
      <c r="AL27" s="3">
        <f t="shared" si="41"/>
        <v>14.39311891</v>
      </c>
      <c r="AM27" s="3">
        <f t="shared" si="42"/>
        <v>-30</v>
      </c>
      <c r="AN27" s="3">
        <f t="shared" si="43"/>
        <v>-15.60688109</v>
      </c>
      <c r="AO27" s="4">
        <f t="shared" si="44"/>
        <v>0</v>
      </c>
      <c r="AP27" s="4">
        <f t="shared" si="45"/>
        <v>0.3157894737</v>
      </c>
      <c r="AQ27" s="5">
        <f t="shared" si="46"/>
        <v>-1</v>
      </c>
      <c r="AR27" s="5">
        <f t="shared" si="47"/>
        <v>-1</v>
      </c>
    </row>
    <row r="28">
      <c r="A28" s="1" t="s">
        <v>11</v>
      </c>
      <c r="B28" s="1" t="s">
        <v>454</v>
      </c>
      <c r="C28" s="1" t="s">
        <v>20</v>
      </c>
      <c r="D28" s="1" t="s">
        <v>77</v>
      </c>
      <c r="E28" s="1" t="s">
        <v>135</v>
      </c>
      <c r="F28" s="1" t="s">
        <v>694</v>
      </c>
      <c r="G28" s="1">
        <v>26.5</v>
      </c>
      <c r="H28" s="1" t="s">
        <v>60</v>
      </c>
      <c r="I28" s="1">
        <v>-120.0</v>
      </c>
      <c r="J28" s="1">
        <v>-0.133362932585022</v>
      </c>
      <c r="K28" s="1" t="s">
        <v>61</v>
      </c>
      <c r="L28" s="1" t="s">
        <v>61</v>
      </c>
      <c r="M28" s="1" t="s">
        <v>62</v>
      </c>
      <c r="N28" s="1">
        <v>-109.0</v>
      </c>
      <c r="O28" s="1">
        <v>0.0664079963343945</v>
      </c>
      <c r="P28" s="1" t="s">
        <v>61</v>
      </c>
      <c r="Q28" s="1" t="s">
        <v>61</v>
      </c>
      <c r="R28" s="1">
        <f t="shared" si="1"/>
        <v>0.06640799633</v>
      </c>
      <c r="S28" s="1">
        <f t="shared" si="2"/>
        <v>-109</v>
      </c>
      <c r="T28" s="1">
        <f t="shared" si="3"/>
        <v>1.917431193</v>
      </c>
      <c r="U28" s="1">
        <f t="shared" si="4"/>
        <v>0</v>
      </c>
      <c r="V28" s="3">
        <f t="shared" si="5"/>
        <v>2</v>
      </c>
      <c r="W28" s="3">
        <f t="shared" si="6"/>
        <v>2</v>
      </c>
      <c r="X28" s="3" t="str">
        <f>IFERROR(__xludf.DUMMYFUNCTION("split(B28,"" "")"),"I.")</f>
        <v>I.</v>
      </c>
      <c r="Y28" s="3" t="str">
        <f>IFERROR(__xludf.DUMMYFUNCTION("""COMPUTED_VALUE"""),"Likely")</f>
        <v>Likely</v>
      </c>
      <c r="AA28" s="8">
        <v>0.0</v>
      </c>
      <c r="AB28" s="3">
        <f t="shared" si="7"/>
        <v>0</v>
      </c>
      <c r="AC28" s="3">
        <f t="shared" si="8"/>
        <v>1</v>
      </c>
      <c r="AD28" s="3">
        <f t="shared" si="9"/>
        <v>1.834862385</v>
      </c>
      <c r="AE28" s="3">
        <f t="shared" si="10"/>
        <v>1.834862385</v>
      </c>
      <c r="AF28" s="3">
        <f t="shared" si="11"/>
        <v>1.834862385</v>
      </c>
      <c r="AG28" s="3">
        <f t="shared" si="12"/>
        <v>1</v>
      </c>
      <c r="AH28" s="1" t="s">
        <v>15</v>
      </c>
      <c r="AI28" s="3">
        <f t="shared" si="38"/>
        <v>5</v>
      </c>
      <c r="AJ28" s="3">
        <f t="shared" si="39"/>
        <v>14</v>
      </c>
      <c r="AK28" s="3">
        <f t="shared" si="40"/>
        <v>0.3571428571</v>
      </c>
      <c r="AL28" s="3">
        <f t="shared" si="41"/>
        <v>6.011553893</v>
      </c>
      <c r="AM28" s="3">
        <f t="shared" si="42"/>
        <v>-11</v>
      </c>
      <c r="AN28" s="3">
        <f t="shared" si="43"/>
        <v>-4.988446107</v>
      </c>
      <c r="AO28" s="4">
        <f t="shared" si="44"/>
        <v>0.5</v>
      </c>
      <c r="AP28" s="4">
        <f t="shared" si="45"/>
        <v>0.1666666667</v>
      </c>
      <c r="AQ28" s="5">
        <f t="shared" si="46"/>
        <v>-1</v>
      </c>
      <c r="AR28" s="5">
        <f t="shared" si="47"/>
        <v>-1</v>
      </c>
    </row>
    <row r="29">
      <c r="A29" s="1" t="s">
        <v>11</v>
      </c>
      <c r="B29" s="1" t="s">
        <v>138</v>
      </c>
      <c r="C29" s="1" t="s">
        <v>18</v>
      </c>
      <c r="D29" s="1" t="s">
        <v>77</v>
      </c>
      <c r="E29" s="1" t="s">
        <v>135</v>
      </c>
      <c r="F29" s="1" t="s">
        <v>694</v>
      </c>
      <c r="G29" s="1">
        <v>7.5</v>
      </c>
      <c r="H29" s="1" t="s">
        <v>60</v>
      </c>
      <c r="I29" s="1">
        <v>-115.0</v>
      </c>
      <c r="J29" s="1">
        <v>0.0630115010317649</v>
      </c>
      <c r="K29" s="1" t="s">
        <v>61</v>
      </c>
      <c r="L29" s="1" t="s">
        <v>61</v>
      </c>
      <c r="M29" s="1" t="s">
        <v>62</v>
      </c>
      <c r="N29" s="1">
        <v>-115.0</v>
      </c>
      <c r="O29" s="1">
        <v>-0.132733226186529</v>
      </c>
      <c r="P29" s="1" t="s">
        <v>61</v>
      </c>
      <c r="Q29" s="1" t="s">
        <v>61</v>
      </c>
      <c r="R29" s="1">
        <f t="shared" si="1"/>
        <v>0.06301150103</v>
      </c>
      <c r="S29" s="1">
        <f t="shared" si="2"/>
        <v>-115</v>
      </c>
      <c r="T29" s="1">
        <f t="shared" si="3"/>
        <v>1.869565217</v>
      </c>
      <c r="U29" s="1">
        <f t="shared" si="4"/>
        <v>1</v>
      </c>
      <c r="V29" s="3">
        <f t="shared" si="5"/>
        <v>2</v>
      </c>
      <c r="W29" s="3">
        <f t="shared" si="6"/>
        <v>2</v>
      </c>
      <c r="X29" s="3" t="str">
        <f>IFERROR(__xludf.DUMMYFUNCTION("split(B29,"" "")"),"N.")</f>
        <v>N.</v>
      </c>
      <c r="Y29" s="3" t="str">
        <f>IFERROR(__xludf.DUMMYFUNCTION("""COMPUTED_VALUE"""),"Agholor")</f>
        <v>Agholor</v>
      </c>
      <c r="AA29" s="8">
        <v>0.0</v>
      </c>
      <c r="AB29" s="3">
        <f t="shared" si="7"/>
        <v>0</v>
      </c>
      <c r="AC29" s="3">
        <f t="shared" si="8"/>
        <v>0</v>
      </c>
      <c r="AD29" s="3">
        <f t="shared" si="9"/>
        <v>1.739130435</v>
      </c>
      <c r="AE29" s="3">
        <f t="shared" si="10"/>
        <v>-2</v>
      </c>
      <c r="AF29" s="3">
        <f t="shared" si="11"/>
        <v>-2</v>
      </c>
      <c r="AG29" s="3">
        <f t="shared" si="12"/>
        <v>-1</v>
      </c>
      <c r="AH29" s="1" t="s">
        <v>16</v>
      </c>
      <c r="AI29" s="3">
        <f t="shared" si="38"/>
        <v>5</v>
      </c>
      <c r="AJ29" s="3">
        <f t="shared" si="39"/>
        <v>17</v>
      </c>
      <c r="AK29" s="3">
        <f t="shared" si="40"/>
        <v>0.2941176471</v>
      </c>
      <c r="AL29" s="3">
        <f t="shared" si="41"/>
        <v>4.319930312</v>
      </c>
      <c r="AM29" s="3">
        <f t="shared" si="42"/>
        <v>-13</v>
      </c>
      <c r="AN29" s="3">
        <f t="shared" si="43"/>
        <v>-8.680069688</v>
      </c>
      <c r="AO29" s="4">
        <f t="shared" si="44"/>
        <v>0.3333333333</v>
      </c>
      <c r="AP29" s="4">
        <f t="shared" si="45"/>
        <v>0.2857142857</v>
      </c>
      <c r="AQ29" s="5">
        <f t="shared" si="46"/>
        <v>-1</v>
      </c>
      <c r="AR29" s="5">
        <f t="shared" si="47"/>
        <v>-1</v>
      </c>
    </row>
    <row r="30">
      <c r="A30" s="1" t="s">
        <v>11</v>
      </c>
      <c r="B30" s="1" t="s">
        <v>239</v>
      </c>
      <c r="C30" s="1" t="s">
        <v>18</v>
      </c>
      <c r="D30" s="1" t="s">
        <v>77</v>
      </c>
      <c r="E30" s="1" t="s">
        <v>135</v>
      </c>
      <c r="F30" s="1" t="s">
        <v>694</v>
      </c>
      <c r="G30" s="1">
        <v>38.5</v>
      </c>
      <c r="H30" s="1" t="s">
        <v>60</v>
      </c>
      <c r="I30" s="1">
        <v>-117.0</v>
      </c>
      <c r="J30" s="1">
        <v>-0.110545986517188</v>
      </c>
      <c r="K30" s="1" t="s">
        <v>61</v>
      </c>
      <c r="L30" s="1" t="s">
        <v>61</v>
      </c>
      <c r="M30" s="1" t="s">
        <v>62</v>
      </c>
      <c r="N30" s="1">
        <v>-112.0</v>
      </c>
      <c r="O30" s="1">
        <v>0.0430984184439321</v>
      </c>
      <c r="P30" s="1" t="s">
        <v>61</v>
      </c>
      <c r="Q30" s="1" t="s">
        <v>61</v>
      </c>
      <c r="R30" s="1">
        <f t="shared" si="1"/>
        <v>0.04309841844</v>
      </c>
      <c r="S30" s="1">
        <f t="shared" si="2"/>
        <v>-112</v>
      </c>
      <c r="T30" s="1">
        <f t="shared" si="3"/>
        <v>1.892857143</v>
      </c>
      <c r="U30" s="1">
        <f t="shared" si="4"/>
        <v>0</v>
      </c>
      <c r="V30" s="3">
        <f t="shared" si="5"/>
        <v>1</v>
      </c>
      <c r="W30" s="3">
        <f t="shared" si="6"/>
        <v>2</v>
      </c>
      <c r="X30" s="3" t="str">
        <f>IFERROR(__xludf.DUMMYFUNCTION("split(B30,"" "")"),"R.")</f>
        <v>R.</v>
      </c>
      <c r="Y30" s="3" t="str">
        <f>IFERROR(__xludf.DUMMYFUNCTION("""COMPUTED_VALUE"""),"Bateman")</f>
        <v>Bateman</v>
      </c>
      <c r="AA30" s="8">
        <v>43.0</v>
      </c>
      <c r="AB30" s="3">
        <f t="shared" si="7"/>
        <v>1</v>
      </c>
      <c r="AC30" s="3">
        <f t="shared" si="8"/>
        <v>0</v>
      </c>
      <c r="AD30" s="3">
        <f t="shared" si="9"/>
        <v>0.8928571429</v>
      </c>
      <c r="AE30" s="3">
        <f t="shared" si="10"/>
        <v>-1</v>
      </c>
      <c r="AF30" s="3">
        <f t="shared" si="11"/>
        <v>-2</v>
      </c>
      <c r="AG30" s="3">
        <f t="shared" si="12"/>
        <v>-0.1168831169</v>
      </c>
      <c r="AH30" s="1" t="s">
        <v>17</v>
      </c>
      <c r="AI30" s="3">
        <f t="shared" si="38"/>
        <v>10</v>
      </c>
      <c r="AJ30" s="3">
        <f t="shared" si="39"/>
        <v>16</v>
      </c>
      <c r="AK30" s="3">
        <f t="shared" si="40"/>
        <v>0.625</v>
      </c>
      <c r="AL30" s="3">
        <f t="shared" si="41"/>
        <v>14.41368724</v>
      </c>
      <c r="AM30" s="3">
        <f t="shared" si="42"/>
        <v>-11</v>
      </c>
      <c r="AN30" s="3">
        <f t="shared" si="43"/>
        <v>3.413687241</v>
      </c>
      <c r="AO30" s="4">
        <f t="shared" si="44"/>
        <v>0</v>
      </c>
      <c r="AP30" s="4">
        <f t="shared" si="45"/>
        <v>0.625</v>
      </c>
      <c r="AQ30" s="5">
        <f t="shared" si="46"/>
        <v>0</v>
      </c>
      <c r="AR30" s="5">
        <f t="shared" si="47"/>
        <v>1</v>
      </c>
    </row>
    <row r="31">
      <c r="A31" s="1" t="s">
        <v>16</v>
      </c>
      <c r="B31" s="1" t="s">
        <v>347</v>
      </c>
      <c r="C31" s="1" t="s">
        <v>21</v>
      </c>
      <c r="D31" s="1" t="s">
        <v>77</v>
      </c>
      <c r="E31" s="1" t="s">
        <v>135</v>
      </c>
      <c r="F31" s="1" t="s">
        <v>694</v>
      </c>
      <c r="G31" s="1">
        <v>30.5</v>
      </c>
      <c r="H31" s="1" t="s">
        <v>60</v>
      </c>
      <c r="I31" s="1">
        <v>-119.0</v>
      </c>
      <c r="J31" s="1">
        <v>-0.10843929369863</v>
      </c>
      <c r="K31" s="1" t="s">
        <v>61</v>
      </c>
      <c r="L31" s="1" t="s">
        <v>61</v>
      </c>
      <c r="M31" s="1" t="s">
        <v>62</v>
      </c>
      <c r="N31" s="1">
        <v>-110.0</v>
      </c>
      <c r="O31" s="1">
        <v>0.0412302183428572</v>
      </c>
      <c r="P31" s="1" t="s">
        <v>61</v>
      </c>
      <c r="Q31" s="1" t="s">
        <v>61</v>
      </c>
      <c r="R31" s="1">
        <f t="shared" si="1"/>
        <v>0.04123021834</v>
      </c>
      <c r="S31" s="1">
        <f t="shared" si="2"/>
        <v>-110</v>
      </c>
      <c r="T31" s="1">
        <f t="shared" si="3"/>
        <v>1.909090909</v>
      </c>
      <c r="U31" s="1">
        <f t="shared" si="4"/>
        <v>0</v>
      </c>
      <c r="V31" s="3">
        <f t="shared" si="5"/>
        <v>1</v>
      </c>
      <c r="W31" s="3">
        <f t="shared" si="6"/>
        <v>2</v>
      </c>
      <c r="X31" s="3" t="str">
        <f>IFERROR(__xludf.DUMMYFUNCTION("split(B31,"" "")"),"L.")</f>
        <v>L.</v>
      </c>
      <c r="Y31" s="3" t="str">
        <f>IFERROR(__xludf.DUMMYFUNCTION("""COMPUTED_VALUE"""),"Jackson")</f>
        <v>Jackson</v>
      </c>
      <c r="AA31" s="8">
        <v>22.0</v>
      </c>
      <c r="AB31" s="3">
        <f t="shared" si="7"/>
        <v>0</v>
      </c>
      <c r="AC31" s="3">
        <f t="shared" si="8"/>
        <v>1</v>
      </c>
      <c r="AD31" s="3">
        <f t="shared" si="9"/>
        <v>0.9090909091</v>
      </c>
      <c r="AE31" s="3">
        <f t="shared" si="10"/>
        <v>0.9090909091</v>
      </c>
      <c r="AF31" s="3">
        <f t="shared" si="11"/>
        <v>1.818181818</v>
      </c>
      <c r="AG31" s="3">
        <f t="shared" si="12"/>
        <v>0.2786885246</v>
      </c>
      <c r="AJ31" s="1" t="s">
        <v>512</v>
      </c>
      <c r="AK31" s="1" t="s">
        <v>513</v>
      </c>
    </row>
    <row r="32">
      <c r="A32" s="1" t="s">
        <v>12</v>
      </c>
      <c r="B32" s="1" t="s">
        <v>399</v>
      </c>
      <c r="C32" s="1" t="s">
        <v>18</v>
      </c>
      <c r="D32" s="1" t="s">
        <v>77</v>
      </c>
      <c r="E32" s="1" t="s">
        <v>135</v>
      </c>
      <c r="F32" s="1" t="s">
        <v>694</v>
      </c>
      <c r="G32" s="1">
        <v>4.5</v>
      </c>
      <c r="H32" s="1" t="s">
        <v>60</v>
      </c>
      <c r="I32" s="1">
        <v>-149.0</v>
      </c>
      <c r="J32" s="1">
        <v>-0.104173895582329</v>
      </c>
      <c r="K32" s="1" t="s">
        <v>61</v>
      </c>
      <c r="L32" s="1" t="s">
        <v>61</v>
      </c>
      <c r="M32" s="1" t="s">
        <v>62</v>
      </c>
      <c r="N32" s="1">
        <v>115.0</v>
      </c>
      <c r="O32" s="1">
        <v>0.0406767441860465</v>
      </c>
      <c r="P32" s="1" t="s">
        <v>61</v>
      </c>
      <c r="Q32" s="1" t="s">
        <v>61</v>
      </c>
      <c r="R32" s="1">
        <f t="shared" si="1"/>
        <v>0.04067674419</v>
      </c>
      <c r="S32" s="1">
        <f t="shared" si="2"/>
        <v>115</v>
      </c>
      <c r="T32" s="1">
        <f t="shared" si="3"/>
        <v>2.15</v>
      </c>
      <c r="U32" s="1">
        <f t="shared" si="4"/>
        <v>0</v>
      </c>
      <c r="V32" s="3">
        <f t="shared" si="5"/>
        <v>1</v>
      </c>
      <c r="W32" s="3">
        <f t="shared" si="6"/>
        <v>1</v>
      </c>
      <c r="X32" s="3" t="str">
        <f>IFERROR(__xludf.DUMMYFUNCTION("split(B32,"" "")"),"Z.")</f>
        <v>Z.</v>
      </c>
      <c r="Y32" s="3" t="str">
        <f>IFERROR(__xludf.DUMMYFUNCTION("""COMPUTED_VALUE"""),"Flowers")</f>
        <v>Flowers</v>
      </c>
      <c r="AA32" s="8">
        <v>5.0</v>
      </c>
      <c r="AB32" s="3">
        <f t="shared" si="7"/>
        <v>1</v>
      </c>
      <c r="AC32" s="3">
        <f t="shared" si="8"/>
        <v>0</v>
      </c>
      <c r="AD32" s="3">
        <f t="shared" si="9"/>
        <v>1.15</v>
      </c>
      <c r="AE32" s="3">
        <f t="shared" si="10"/>
        <v>-1</v>
      </c>
      <c r="AF32" s="3">
        <f t="shared" si="11"/>
        <v>-1</v>
      </c>
      <c r="AG32" s="3">
        <f t="shared" si="12"/>
        <v>-0.1111111111</v>
      </c>
      <c r="AH32" s="1" t="s">
        <v>514</v>
      </c>
      <c r="AI32" s="3">
        <f>COUNTIFS(AG2:AG999, "&gt;1.7", AC2:AC999,"=1", U2:U999, "=1") + countifs(U2:U999, "=0", AA2:AA999, "=0")</f>
        <v>52</v>
      </c>
      <c r="AJ32" s="3">
        <f>COUNTIFS(AG2:AG999, "&gt;1.7", AC2:AC999,"=1", U2:U999, "=1")</f>
        <v>15</v>
      </c>
      <c r="AK32" s="3">
        <f>AI32-AJ32</f>
        <v>37</v>
      </c>
    </row>
    <row r="33">
      <c r="A33" s="1" t="s">
        <v>14</v>
      </c>
      <c r="B33" s="1" t="s">
        <v>347</v>
      </c>
      <c r="C33" s="1" t="s">
        <v>21</v>
      </c>
      <c r="D33" s="1" t="s">
        <v>77</v>
      </c>
      <c r="E33" s="1" t="s">
        <v>135</v>
      </c>
      <c r="F33" s="1" t="s">
        <v>694</v>
      </c>
      <c r="G33" s="1">
        <v>1.5</v>
      </c>
      <c r="H33" s="1" t="s">
        <v>60</v>
      </c>
      <c r="I33" s="1">
        <v>-126.0</v>
      </c>
      <c r="J33" s="1">
        <v>-0.100222123893805</v>
      </c>
      <c r="K33" s="1" t="s">
        <v>61</v>
      </c>
      <c r="L33" s="1" t="s">
        <v>61</v>
      </c>
      <c r="M33" s="1" t="s">
        <v>62</v>
      </c>
      <c r="N33" s="1">
        <v>-104.0</v>
      </c>
      <c r="O33" s="1">
        <v>0.0328960784313725</v>
      </c>
      <c r="P33" s="1" t="s">
        <v>61</v>
      </c>
      <c r="Q33" s="1" t="s">
        <v>61</v>
      </c>
      <c r="R33" s="1">
        <f t="shared" si="1"/>
        <v>0.03289607843</v>
      </c>
      <c r="S33" s="1">
        <f t="shared" si="2"/>
        <v>-104</v>
      </c>
      <c r="T33" s="1">
        <f t="shared" si="3"/>
        <v>1.961538462</v>
      </c>
      <c r="U33" s="1">
        <f t="shared" si="4"/>
        <v>0</v>
      </c>
      <c r="V33" s="3">
        <f t="shared" si="5"/>
        <v>1</v>
      </c>
      <c r="W33" s="3">
        <f t="shared" si="6"/>
        <v>2</v>
      </c>
      <c r="X33" s="3" t="str">
        <f>IFERROR(__xludf.DUMMYFUNCTION("split(B33,"" "")"),"L.")</f>
        <v>L.</v>
      </c>
      <c r="Y33" s="3" t="str">
        <f>IFERROR(__xludf.DUMMYFUNCTION("""COMPUTED_VALUE"""),"Jackson")</f>
        <v>Jackson</v>
      </c>
      <c r="AA33" s="8">
        <v>2.0</v>
      </c>
      <c r="AB33" s="3">
        <f t="shared" si="7"/>
        <v>1</v>
      </c>
      <c r="AC33" s="3">
        <f t="shared" si="8"/>
        <v>0</v>
      </c>
      <c r="AD33" s="3">
        <f t="shared" si="9"/>
        <v>0.9615384615</v>
      </c>
      <c r="AE33" s="3">
        <f t="shared" si="10"/>
        <v>-1</v>
      </c>
      <c r="AF33" s="3">
        <f t="shared" si="11"/>
        <v>-2</v>
      </c>
      <c r="AG33" s="3">
        <f t="shared" si="12"/>
        <v>-0.3333333333</v>
      </c>
    </row>
    <row r="34">
      <c r="A34" s="1" t="s">
        <v>12</v>
      </c>
      <c r="B34" s="1" t="s">
        <v>239</v>
      </c>
      <c r="C34" s="1" t="s">
        <v>18</v>
      </c>
      <c r="D34" s="1" t="s">
        <v>77</v>
      </c>
      <c r="E34" s="1" t="s">
        <v>135</v>
      </c>
      <c r="F34" s="1" t="s">
        <v>694</v>
      </c>
      <c r="G34" s="1">
        <v>3.5</v>
      </c>
      <c r="H34" s="1" t="s">
        <v>60</v>
      </c>
      <c r="I34" s="1">
        <v>138.0</v>
      </c>
      <c r="J34" s="1">
        <v>-0.0894840336134454</v>
      </c>
      <c r="K34" s="1" t="s">
        <v>61</v>
      </c>
      <c r="L34" s="1" t="s">
        <v>61</v>
      </c>
      <c r="M34" s="1" t="s">
        <v>62</v>
      </c>
      <c r="N34" s="1">
        <v>-181.0</v>
      </c>
      <c r="O34" s="1">
        <v>0.0252007117437722</v>
      </c>
      <c r="P34" s="1" t="s">
        <v>61</v>
      </c>
      <c r="Q34" s="1" t="s">
        <v>61</v>
      </c>
      <c r="R34" s="1">
        <f t="shared" si="1"/>
        <v>0.02520071174</v>
      </c>
      <c r="S34" s="1">
        <f t="shared" si="2"/>
        <v>-181</v>
      </c>
      <c r="T34" s="1">
        <f t="shared" si="3"/>
        <v>1.552486188</v>
      </c>
      <c r="U34" s="1">
        <f t="shared" si="4"/>
        <v>0</v>
      </c>
      <c r="V34" s="3">
        <f t="shared" si="5"/>
        <v>1</v>
      </c>
      <c r="W34" s="3">
        <f t="shared" si="6"/>
        <v>3</v>
      </c>
      <c r="X34" s="3" t="str">
        <f>IFERROR(__xludf.DUMMYFUNCTION("split(B34,"" "")"),"R.")</f>
        <v>R.</v>
      </c>
      <c r="Y34" s="3" t="str">
        <f>IFERROR(__xludf.DUMMYFUNCTION("""COMPUTED_VALUE"""),"Bateman")</f>
        <v>Bateman</v>
      </c>
      <c r="AA34" s="8">
        <v>2.0</v>
      </c>
      <c r="AB34" s="3">
        <f t="shared" si="7"/>
        <v>0</v>
      </c>
      <c r="AC34" s="3">
        <f t="shared" si="8"/>
        <v>1</v>
      </c>
      <c r="AD34" s="3">
        <f t="shared" si="9"/>
        <v>0.5524861878</v>
      </c>
      <c r="AE34" s="3">
        <f t="shared" si="10"/>
        <v>0.5524861878</v>
      </c>
      <c r="AF34" s="3">
        <f t="shared" si="11"/>
        <v>1.657458564</v>
      </c>
      <c r="AG34" s="3">
        <f t="shared" si="12"/>
        <v>0.4285714286</v>
      </c>
    </row>
    <row r="35">
      <c r="A35" s="1" t="s">
        <v>11</v>
      </c>
      <c r="B35" s="1" t="s">
        <v>182</v>
      </c>
      <c r="C35" s="1" t="s">
        <v>19</v>
      </c>
      <c r="D35" s="1" t="s">
        <v>77</v>
      </c>
      <c r="E35" s="1" t="s">
        <v>135</v>
      </c>
      <c r="F35" s="1" t="s">
        <v>694</v>
      </c>
      <c r="G35" s="1">
        <v>18.5</v>
      </c>
      <c r="H35" s="1" t="s">
        <v>60</v>
      </c>
      <c r="I35" s="1">
        <v>-119.0</v>
      </c>
      <c r="J35" s="1">
        <v>-0.0818170651346666</v>
      </c>
      <c r="K35" s="1" t="s">
        <v>61</v>
      </c>
      <c r="L35" s="1" t="s">
        <v>61</v>
      </c>
      <c r="M35" s="1" t="s">
        <v>62</v>
      </c>
      <c r="N35" s="1">
        <v>-109.0</v>
      </c>
      <c r="O35" s="1">
        <v>0.0169123809487861</v>
      </c>
      <c r="P35" s="1" t="s">
        <v>61</v>
      </c>
      <c r="Q35" s="1" t="s">
        <v>61</v>
      </c>
      <c r="R35" s="1">
        <f t="shared" si="1"/>
        <v>0.01691238095</v>
      </c>
      <c r="S35" s="1">
        <f t="shared" si="2"/>
        <v>-109</v>
      </c>
      <c r="T35" s="1">
        <f t="shared" si="3"/>
        <v>1.917431193</v>
      </c>
      <c r="U35" s="1">
        <f t="shared" si="4"/>
        <v>0</v>
      </c>
      <c r="V35" s="3">
        <f t="shared" si="5"/>
        <v>1</v>
      </c>
      <c r="W35" s="3">
        <f t="shared" si="6"/>
        <v>2</v>
      </c>
      <c r="X35" s="3" t="str">
        <f>IFERROR(__xludf.DUMMYFUNCTION("split(B35,"" "")"),"J.")</f>
        <v>J.</v>
      </c>
      <c r="Y35" s="3" t="str">
        <f>IFERROR(__xludf.DUMMYFUNCTION("""COMPUTED_VALUE"""),"Hill")</f>
        <v>Hill</v>
      </c>
      <c r="AA35" s="8">
        <v>7.0</v>
      </c>
      <c r="AB35" s="3">
        <f t="shared" si="7"/>
        <v>0</v>
      </c>
      <c r="AC35" s="3">
        <f t="shared" si="8"/>
        <v>1</v>
      </c>
      <c r="AD35" s="3">
        <f t="shared" si="9"/>
        <v>0.9174311927</v>
      </c>
      <c r="AE35" s="3">
        <f t="shared" si="10"/>
        <v>0.9174311927</v>
      </c>
      <c r="AF35" s="3">
        <f t="shared" si="11"/>
        <v>1.834862385</v>
      </c>
      <c r="AG35" s="3">
        <f t="shared" si="12"/>
        <v>0.6216216216</v>
      </c>
    </row>
    <row r="36">
      <c r="A36" s="1" t="s">
        <v>8</v>
      </c>
      <c r="B36" s="1" t="s">
        <v>309</v>
      </c>
      <c r="C36" s="1" t="s">
        <v>19</v>
      </c>
      <c r="D36" s="1" t="s">
        <v>77</v>
      </c>
      <c r="E36" s="1" t="s">
        <v>135</v>
      </c>
      <c r="F36" s="1" t="s">
        <v>694</v>
      </c>
      <c r="G36" s="1">
        <v>18.5</v>
      </c>
      <c r="H36" s="1" t="s">
        <v>60</v>
      </c>
      <c r="I36" s="1">
        <v>-108.0</v>
      </c>
      <c r="J36" s="1">
        <v>0.0135692307692308</v>
      </c>
      <c r="K36" s="1" t="s">
        <v>61</v>
      </c>
      <c r="L36" s="1" t="s">
        <v>61</v>
      </c>
      <c r="M36" s="1" t="s">
        <v>62</v>
      </c>
      <c r="N36" s="1">
        <v>-125.0</v>
      </c>
      <c r="O36" s="1">
        <v>-0.0883555555555555</v>
      </c>
      <c r="P36" s="1" t="s">
        <v>61</v>
      </c>
      <c r="Q36" s="1" t="s">
        <v>61</v>
      </c>
      <c r="R36" s="1">
        <f t="shared" si="1"/>
        <v>0.01356923077</v>
      </c>
      <c r="S36" s="1">
        <f t="shared" si="2"/>
        <v>-108</v>
      </c>
      <c r="T36" s="1">
        <f t="shared" si="3"/>
        <v>1.925925926</v>
      </c>
      <c r="U36" s="1">
        <f t="shared" si="4"/>
        <v>1</v>
      </c>
      <c r="V36" s="3">
        <f t="shared" si="5"/>
        <v>1</v>
      </c>
      <c r="W36" s="3">
        <f t="shared" si="6"/>
        <v>2</v>
      </c>
      <c r="X36" s="3" t="str">
        <f>IFERROR(__xludf.DUMMYFUNCTION("split(B36,"" "")"),"D.")</f>
        <v>D.</v>
      </c>
      <c r="Y36" s="3" t="str">
        <f>IFERROR(__xludf.DUMMYFUNCTION("""COMPUTED_VALUE"""),"Henry")</f>
        <v>Henry</v>
      </c>
      <c r="AA36" s="8">
        <v>24.0</v>
      </c>
      <c r="AB36" s="3">
        <f t="shared" si="7"/>
        <v>1</v>
      </c>
      <c r="AC36" s="3">
        <f t="shared" si="8"/>
        <v>1</v>
      </c>
      <c r="AD36" s="3">
        <f t="shared" si="9"/>
        <v>0.9259259259</v>
      </c>
      <c r="AE36" s="3">
        <f t="shared" si="10"/>
        <v>0.9259259259</v>
      </c>
      <c r="AF36" s="3">
        <f t="shared" si="11"/>
        <v>1.851851852</v>
      </c>
      <c r="AG36" s="3">
        <f t="shared" si="12"/>
        <v>0.2972972973</v>
      </c>
    </row>
    <row r="37">
      <c r="A37" s="1" t="s">
        <v>9</v>
      </c>
      <c r="B37" s="1" t="s">
        <v>182</v>
      </c>
      <c r="C37" s="1" t="s">
        <v>19</v>
      </c>
      <c r="D37" s="1" t="s">
        <v>77</v>
      </c>
      <c r="E37" s="1" t="s">
        <v>135</v>
      </c>
      <c r="F37" s="1" t="s">
        <v>694</v>
      </c>
      <c r="G37" s="1">
        <v>30.5</v>
      </c>
      <c r="H37" s="1" t="s">
        <v>60</v>
      </c>
      <c r="I37" s="1">
        <v>-114.0</v>
      </c>
      <c r="J37" s="1">
        <v>0.00920132051683986</v>
      </c>
      <c r="K37" s="1" t="s">
        <v>61</v>
      </c>
      <c r="L37" s="1" t="s">
        <v>61</v>
      </c>
      <c r="M37" s="1" t="s">
        <v>62</v>
      </c>
      <c r="N37" s="1">
        <v>-119.0</v>
      </c>
      <c r="O37" s="1">
        <v>-0.0852599190996275</v>
      </c>
      <c r="P37" s="1" t="s">
        <v>61</v>
      </c>
      <c r="Q37" s="1" t="s">
        <v>61</v>
      </c>
      <c r="R37" s="1">
        <f t="shared" si="1"/>
        <v>0.009201320517</v>
      </c>
      <c r="S37" s="1">
        <f t="shared" si="2"/>
        <v>-114</v>
      </c>
      <c r="T37" s="1">
        <f t="shared" si="3"/>
        <v>1.877192982</v>
      </c>
      <c r="U37" s="1">
        <f t="shared" si="4"/>
        <v>1</v>
      </c>
      <c r="V37" s="3">
        <f t="shared" si="5"/>
        <v>1</v>
      </c>
      <c r="W37" s="3">
        <f t="shared" si="6"/>
        <v>2</v>
      </c>
      <c r="X37" s="3" t="str">
        <f>IFERROR(__xludf.DUMMYFUNCTION("split(B37,"" "")"),"J.")</f>
        <v>J.</v>
      </c>
      <c r="Y37" s="3" t="str">
        <f>IFERROR(__xludf.DUMMYFUNCTION("""COMPUTED_VALUE"""),"Hill")</f>
        <v>Hill</v>
      </c>
      <c r="AA37" s="8">
        <v>62.0</v>
      </c>
      <c r="AB37" s="3">
        <f t="shared" si="7"/>
        <v>1</v>
      </c>
      <c r="AC37" s="3">
        <f t="shared" si="8"/>
        <v>1</v>
      </c>
      <c r="AD37" s="3">
        <f t="shared" si="9"/>
        <v>0.8771929825</v>
      </c>
      <c r="AE37" s="3">
        <f t="shared" si="10"/>
        <v>0.8771929825</v>
      </c>
      <c r="AF37" s="3">
        <f t="shared" si="11"/>
        <v>1.754385965</v>
      </c>
      <c r="AG37" s="3">
        <f t="shared" si="12"/>
        <v>1.032786885</v>
      </c>
    </row>
    <row r="38">
      <c r="A38" s="1" t="s">
        <v>11</v>
      </c>
      <c r="B38" s="1" t="s">
        <v>399</v>
      </c>
      <c r="C38" s="1" t="s">
        <v>18</v>
      </c>
      <c r="D38" s="1" t="s">
        <v>77</v>
      </c>
      <c r="E38" s="1" t="s">
        <v>135</v>
      </c>
      <c r="F38" s="1" t="s">
        <v>694</v>
      </c>
      <c r="G38" s="1">
        <v>59.5</v>
      </c>
      <c r="H38" s="1" t="s">
        <v>60</v>
      </c>
      <c r="I38" s="1">
        <v>-115.0</v>
      </c>
      <c r="J38" s="1">
        <v>-0.0673514689855125</v>
      </c>
      <c r="K38" s="1" t="s">
        <v>61</v>
      </c>
      <c r="L38" s="1" t="s">
        <v>61</v>
      </c>
      <c r="M38" s="1" t="s">
        <v>62</v>
      </c>
      <c r="N38" s="1">
        <v>-112.0</v>
      </c>
      <c r="O38" s="1">
        <v>0.00413333590778119</v>
      </c>
      <c r="P38" s="1" t="s">
        <v>61</v>
      </c>
      <c r="Q38" s="1" t="s">
        <v>61</v>
      </c>
      <c r="R38" s="1">
        <f t="shared" si="1"/>
        <v>0.004133335908</v>
      </c>
      <c r="S38" s="1">
        <f t="shared" si="2"/>
        <v>-112</v>
      </c>
      <c r="T38" s="1">
        <f t="shared" si="3"/>
        <v>1.892857143</v>
      </c>
      <c r="U38" s="1">
        <f t="shared" si="4"/>
        <v>0</v>
      </c>
      <c r="V38" s="3">
        <f t="shared" si="5"/>
        <v>1</v>
      </c>
      <c r="W38" s="3">
        <f t="shared" si="6"/>
        <v>2</v>
      </c>
      <c r="X38" s="3" t="str">
        <f>IFERROR(__xludf.DUMMYFUNCTION("split(B38,"" "")"),"Z.")</f>
        <v>Z.</v>
      </c>
      <c r="Y38" s="3" t="str">
        <f>IFERROR(__xludf.DUMMYFUNCTION("""COMPUTED_VALUE"""),"Flowers")</f>
        <v>Flowers</v>
      </c>
      <c r="AA38" s="8">
        <v>62.0</v>
      </c>
      <c r="AB38" s="3">
        <f t="shared" si="7"/>
        <v>1</v>
      </c>
      <c r="AC38" s="3">
        <f t="shared" si="8"/>
        <v>0</v>
      </c>
      <c r="AD38" s="3">
        <f t="shared" si="9"/>
        <v>0.8928571429</v>
      </c>
      <c r="AE38" s="3">
        <f t="shared" si="10"/>
        <v>-1</v>
      </c>
      <c r="AF38" s="3">
        <f t="shared" si="11"/>
        <v>-2</v>
      </c>
      <c r="AG38" s="3">
        <f t="shared" si="12"/>
        <v>-0.04201680672</v>
      </c>
    </row>
    <row r="39">
      <c r="A39" s="1" t="s">
        <v>11</v>
      </c>
      <c r="B39" s="1" t="s">
        <v>418</v>
      </c>
      <c r="C39" s="1" t="s">
        <v>20</v>
      </c>
      <c r="D39" s="1" t="s">
        <v>77</v>
      </c>
      <c r="E39" s="1" t="s">
        <v>135</v>
      </c>
      <c r="F39" s="1" t="s">
        <v>694</v>
      </c>
      <c r="G39" s="1">
        <v>32.5</v>
      </c>
      <c r="H39" s="1" t="s">
        <v>60</v>
      </c>
      <c r="I39" s="1">
        <v>-114.0</v>
      </c>
      <c r="J39" s="1">
        <v>-0.0687474558514019</v>
      </c>
      <c r="K39" s="1" t="s">
        <v>61</v>
      </c>
      <c r="L39" s="1" t="s">
        <v>61</v>
      </c>
      <c r="M39" s="1" t="s">
        <v>62</v>
      </c>
      <c r="N39" s="1">
        <v>-114.0</v>
      </c>
      <c r="O39" s="1">
        <v>0.00333055244659841</v>
      </c>
      <c r="P39" s="1" t="s">
        <v>61</v>
      </c>
      <c r="Q39" s="1" t="s">
        <v>61</v>
      </c>
      <c r="R39" s="1">
        <f t="shared" si="1"/>
        <v>0.003330552447</v>
      </c>
      <c r="S39" s="1">
        <f t="shared" si="2"/>
        <v>-114</v>
      </c>
      <c r="T39" s="1">
        <f t="shared" si="3"/>
        <v>1.877192982</v>
      </c>
      <c r="U39" s="1">
        <f t="shared" si="4"/>
        <v>0</v>
      </c>
      <c r="V39" s="3">
        <f t="shared" si="5"/>
        <v>1</v>
      </c>
      <c r="W39" s="3">
        <f t="shared" si="6"/>
        <v>2</v>
      </c>
      <c r="X39" s="3" t="str">
        <f>IFERROR(__xludf.DUMMYFUNCTION("split(B39,"" "")"),"M.")</f>
        <v>M.</v>
      </c>
      <c r="Y39" s="3" t="str">
        <f>IFERROR(__xludf.DUMMYFUNCTION("""COMPUTED_VALUE"""),"Andrews")</f>
        <v>Andrews</v>
      </c>
      <c r="AA39" s="8">
        <v>44.0</v>
      </c>
      <c r="AB39" s="3">
        <f t="shared" si="7"/>
        <v>1</v>
      </c>
      <c r="AC39" s="3">
        <f t="shared" si="8"/>
        <v>0</v>
      </c>
      <c r="AD39" s="3">
        <f t="shared" si="9"/>
        <v>0.8771929825</v>
      </c>
      <c r="AE39" s="3">
        <f t="shared" si="10"/>
        <v>-1</v>
      </c>
      <c r="AF39" s="3">
        <f t="shared" si="11"/>
        <v>-2</v>
      </c>
      <c r="AG39" s="3">
        <f t="shared" si="12"/>
        <v>-0.3538461538</v>
      </c>
    </row>
    <row r="40">
      <c r="A40" s="1" t="s">
        <v>10</v>
      </c>
      <c r="B40" s="1" t="s">
        <v>347</v>
      </c>
      <c r="C40" s="1" t="s">
        <v>21</v>
      </c>
      <c r="D40" s="1" t="s">
        <v>77</v>
      </c>
      <c r="E40" s="1" t="s">
        <v>135</v>
      </c>
      <c r="F40" s="1" t="s">
        <v>694</v>
      </c>
      <c r="G40" s="1">
        <v>46.5</v>
      </c>
      <c r="H40" s="1" t="s">
        <v>60</v>
      </c>
      <c r="I40" s="1">
        <v>-118.0</v>
      </c>
      <c r="J40" s="1">
        <v>-0.0686911287030896</v>
      </c>
      <c r="K40" s="1" t="s">
        <v>61</v>
      </c>
      <c r="L40" s="1" t="s">
        <v>61</v>
      </c>
      <c r="M40" s="1" t="s">
        <v>62</v>
      </c>
      <c r="N40" s="1">
        <v>-111.0</v>
      </c>
      <c r="O40" s="1">
        <v>0.00138534086062203</v>
      </c>
      <c r="P40" s="1" t="s">
        <v>61</v>
      </c>
      <c r="Q40" s="1" t="s">
        <v>61</v>
      </c>
      <c r="R40" s="1">
        <f t="shared" si="1"/>
        <v>0.001385340861</v>
      </c>
      <c r="S40" s="1">
        <f t="shared" si="2"/>
        <v>-111</v>
      </c>
      <c r="T40" s="1">
        <f t="shared" si="3"/>
        <v>1.900900901</v>
      </c>
      <c r="U40" s="1">
        <f t="shared" si="4"/>
        <v>0</v>
      </c>
      <c r="V40" s="3">
        <f t="shared" si="5"/>
        <v>1</v>
      </c>
      <c r="W40" s="3">
        <f t="shared" si="6"/>
        <v>2</v>
      </c>
      <c r="X40" s="3" t="str">
        <f>IFERROR(__xludf.DUMMYFUNCTION("split(B40,"" "")"),"L.")</f>
        <v>L.</v>
      </c>
      <c r="Y40" s="3" t="str">
        <f>IFERROR(__xludf.DUMMYFUNCTION("""COMPUTED_VALUE"""),"Jackson")</f>
        <v>Jackson</v>
      </c>
      <c r="AA40" s="8">
        <v>15.0</v>
      </c>
      <c r="AB40" s="3">
        <f t="shared" si="7"/>
        <v>0</v>
      </c>
      <c r="AC40" s="3">
        <f t="shared" si="8"/>
        <v>1</v>
      </c>
      <c r="AD40" s="3">
        <f t="shared" si="9"/>
        <v>0.9009009009</v>
      </c>
      <c r="AE40" s="3">
        <f t="shared" si="10"/>
        <v>0.9009009009</v>
      </c>
      <c r="AF40" s="3">
        <f t="shared" si="11"/>
        <v>1.801801802</v>
      </c>
      <c r="AG40" s="3">
        <f t="shared" si="12"/>
        <v>0.6774193548</v>
      </c>
    </row>
    <row r="41">
      <c r="A41" s="1" t="s">
        <v>12</v>
      </c>
      <c r="B41" s="1" t="s">
        <v>266</v>
      </c>
      <c r="C41" s="1" t="s">
        <v>19</v>
      </c>
      <c r="D41" s="1" t="s">
        <v>57</v>
      </c>
      <c r="E41" s="1" t="s">
        <v>76</v>
      </c>
      <c r="F41" s="1" t="s">
        <v>695</v>
      </c>
      <c r="G41" s="1">
        <v>2.5</v>
      </c>
      <c r="H41" s="1" t="s">
        <v>60</v>
      </c>
      <c r="I41" s="1">
        <v>-145.0</v>
      </c>
      <c r="J41" s="1">
        <v>-0.208834454448979</v>
      </c>
      <c r="K41" s="1" t="s">
        <v>61</v>
      </c>
      <c r="L41" s="1" t="s">
        <v>61</v>
      </c>
      <c r="M41" s="1" t="s">
        <v>62</v>
      </c>
      <c r="N41" s="1">
        <v>111.0</v>
      </c>
      <c r="O41" s="1">
        <v>0.143063703033175</v>
      </c>
      <c r="P41" s="1" t="s">
        <v>61</v>
      </c>
      <c r="Q41" s="1" t="s">
        <v>61</v>
      </c>
      <c r="R41" s="1">
        <f t="shared" si="1"/>
        <v>0.143063703</v>
      </c>
      <c r="S41" s="1">
        <f t="shared" si="2"/>
        <v>111</v>
      </c>
      <c r="T41" s="1">
        <f t="shared" si="3"/>
        <v>2.11</v>
      </c>
      <c r="U41" s="1">
        <f t="shared" si="4"/>
        <v>0</v>
      </c>
      <c r="V41" s="3">
        <f t="shared" si="5"/>
        <v>3</v>
      </c>
      <c r="W41" s="3">
        <f t="shared" si="6"/>
        <v>1</v>
      </c>
      <c r="X41" s="3" t="str">
        <f>IFERROR(__xludf.DUMMYFUNCTION("split(B41,"" "")"),"C.")</f>
        <v>C.</v>
      </c>
      <c r="Y41" s="3" t="str">
        <f>IFERROR(__xludf.DUMMYFUNCTION("""COMPUTED_VALUE"""),"Hubbard")</f>
        <v>Hubbard</v>
      </c>
      <c r="AA41" s="8">
        <v>1.0</v>
      </c>
      <c r="AB41" s="3">
        <f t="shared" si="7"/>
        <v>0</v>
      </c>
      <c r="AC41" s="3">
        <f t="shared" si="8"/>
        <v>1</v>
      </c>
      <c r="AD41" s="3">
        <f t="shared" si="9"/>
        <v>3.33</v>
      </c>
      <c r="AE41" s="3">
        <f t="shared" si="10"/>
        <v>3.33</v>
      </c>
      <c r="AF41" s="3">
        <f t="shared" si="11"/>
        <v>1.11</v>
      </c>
      <c r="AG41" s="3">
        <f t="shared" si="12"/>
        <v>0.6</v>
      </c>
    </row>
    <row r="42">
      <c r="A42" s="1" t="s">
        <v>12</v>
      </c>
      <c r="B42" s="1" t="s">
        <v>351</v>
      </c>
      <c r="C42" s="1" t="s">
        <v>18</v>
      </c>
      <c r="D42" s="1" t="s">
        <v>57</v>
      </c>
      <c r="E42" s="1" t="s">
        <v>76</v>
      </c>
      <c r="F42" s="1" t="s">
        <v>695</v>
      </c>
      <c r="G42" s="1">
        <v>2.5</v>
      </c>
      <c r="H42" s="1" t="s">
        <v>60</v>
      </c>
      <c r="I42" s="1">
        <v>-119.0</v>
      </c>
      <c r="J42" s="1">
        <v>-0.18487702219178</v>
      </c>
      <c r="K42" s="1" t="s">
        <v>61</v>
      </c>
      <c r="L42" s="1" t="s">
        <v>61</v>
      </c>
      <c r="M42" s="1" t="s">
        <v>62</v>
      </c>
      <c r="N42" s="1">
        <v>-111.0</v>
      </c>
      <c r="O42" s="1">
        <v>0.115431375945971</v>
      </c>
      <c r="P42" s="1" t="s">
        <v>61</v>
      </c>
      <c r="Q42" s="1" t="s">
        <v>61</v>
      </c>
      <c r="R42" s="1">
        <f t="shared" si="1"/>
        <v>0.1154313759</v>
      </c>
      <c r="S42" s="1">
        <f t="shared" si="2"/>
        <v>-111</v>
      </c>
      <c r="T42" s="1">
        <f t="shared" si="3"/>
        <v>1.900900901</v>
      </c>
      <c r="U42" s="1">
        <f t="shared" si="4"/>
        <v>0</v>
      </c>
      <c r="V42" s="3">
        <f t="shared" si="5"/>
        <v>3</v>
      </c>
      <c r="W42" s="3">
        <f t="shared" si="6"/>
        <v>2</v>
      </c>
      <c r="X42" s="3" t="str">
        <f>IFERROR(__xludf.DUMMYFUNCTION("split(B42,"" "")"),"D.")</f>
        <v>D.</v>
      </c>
      <c r="Y42" s="3" t="str">
        <f>IFERROR(__xludf.DUMMYFUNCTION("""COMPUTED_VALUE"""),"Moore")</f>
        <v>Moore</v>
      </c>
      <c r="AA42" s="8">
        <v>6.0</v>
      </c>
      <c r="AB42" s="3">
        <f t="shared" si="7"/>
        <v>1</v>
      </c>
      <c r="AC42" s="3">
        <f t="shared" si="8"/>
        <v>0</v>
      </c>
      <c r="AD42" s="3">
        <f t="shared" si="9"/>
        <v>2.702702703</v>
      </c>
      <c r="AE42" s="3">
        <f t="shared" si="10"/>
        <v>-3</v>
      </c>
      <c r="AF42" s="3">
        <f t="shared" si="11"/>
        <v>-2</v>
      </c>
      <c r="AG42" s="3">
        <f t="shared" si="12"/>
        <v>-1.4</v>
      </c>
    </row>
    <row r="43">
      <c r="A43" s="1" t="s">
        <v>12</v>
      </c>
      <c r="B43" s="1" t="s">
        <v>520</v>
      </c>
      <c r="C43" s="1" t="s">
        <v>20</v>
      </c>
      <c r="D43" s="1" t="s">
        <v>57</v>
      </c>
      <c r="E43" s="1" t="s">
        <v>76</v>
      </c>
      <c r="F43" s="1" t="s">
        <v>695</v>
      </c>
      <c r="G43" s="1">
        <v>1.5</v>
      </c>
      <c r="H43" s="1" t="s">
        <v>60</v>
      </c>
      <c r="I43" s="1">
        <v>115.0</v>
      </c>
      <c r="J43" s="1">
        <v>-0.153109925634418</v>
      </c>
      <c r="K43" s="1" t="s">
        <v>61</v>
      </c>
      <c r="L43" s="1" t="s">
        <v>61</v>
      </c>
      <c r="M43" s="1" t="s">
        <v>62</v>
      </c>
      <c r="N43" s="1">
        <v>-151.0</v>
      </c>
      <c r="O43" s="1">
        <v>0.0864117005273307</v>
      </c>
      <c r="P43" s="1" t="s">
        <v>61</v>
      </c>
      <c r="Q43" s="1" t="s">
        <v>61</v>
      </c>
      <c r="R43" s="1">
        <f t="shared" si="1"/>
        <v>0.08641170053</v>
      </c>
      <c r="S43" s="1">
        <f t="shared" si="2"/>
        <v>-151</v>
      </c>
      <c r="T43" s="1">
        <f t="shared" si="3"/>
        <v>1.662251656</v>
      </c>
      <c r="U43" s="1">
        <f t="shared" si="4"/>
        <v>0</v>
      </c>
      <c r="V43" s="3">
        <f t="shared" si="5"/>
        <v>2</v>
      </c>
      <c r="W43" s="3">
        <f t="shared" si="6"/>
        <v>3</v>
      </c>
      <c r="X43" s="3" t="str">
        <f>IFERROR(__xludf.DUMMYFUNCTION("split(B43,"" "")"),"T.")</f>
        <v>T.</v>
      </c>
      <c r="Y43" s="3" t="str">
        <f>IFERROR(__xludf.DUMMYFUNCTION("""COMPUTED_VALUE"""),"Tremble")</f>
        <v>Tremble</v>
      </c>
      <c r="AA43" s="8">
        <v>1.0</v>
      </c>
      <c r="AB43" s="3">
        <f t="shared" si="7"/>
        <v>0</v>
      </c>
      <c r="AC43" s="3">
        <f t="shared" si="8"/>
        <v>1</v>
      </c>
      <c r="AD43" s="3">
        <f t="shared" si="9"/>
        <v>1.324503311</v>
      </c>
      <c r="AE43" s="3">
        <f t="shared" si="10"/>
        <v>1.324503311</v>
      </c>
      <c r="AF43" s="3">
        <f t="shared" si="11"/>
        <v>1.986754967</v>
      </c>
      <c r="AG43" s="3">
        <f t="shared" si="12"/>
        <v>0.3333333333</v>
      </c>
    </row>
    <row r="44">
      <c r="A44" s="1" t="s">
        <v>14</v>
      </c>
      <c r="B44" s="1" t="s">
        <v>56</v>
      </c>
      <c r="C44" s="1" t="s">
        <v>21</v>
      </c>
      <c r="D44" s="1" t="s">
        <v>57</v>
      </c>
      <c r="E44" s="1" t="s">
        <v>76</v>
      </c>
      <c r="F44" s="1" t="s">
        <v>695</v>
      </c>
      <c r="G44" s="1">
        <v>0.5</v>
      </c>
      <c r="H44" s="1" t="s">
        <v>60</v>
      </c>
      <c r="I44" s="1">
        <v>-163.0</v>
      </c>
      <c r="J44" s="1">
        <v>-0.142370341292775</v>
      </c>
      <c r="K44" s="1" t="s">
        <v>61</v>
      </c>
      <c r="L44" s="1" t="s">
        <v>61</v>
      </c>
      <c r="M44" s="1" t="s">
        <v>62</v>
      </c>
      <c r="N44" s="1">
        <v>126.0</v>
      </c>
      <c r="O44" s="1">
        <v>0.0801203529203539</v>
      </c>
      <c r="P44" s="1" t="s">
        <v>61</v>
      </c>
      <c r="Q44" s="1" t="s">
        <v>61</v>
      </c>
      <c r="R44" s="1">
        <f t="shared" si="1"/>
        <v>0.08012035292</v>
      </c>
      <c r="S44" s="1">
        <f t="shared" si="2"/>
        <v>126</v>
      </c>
      <c r="T44" s="1">
        <f t="shared" si="3"/>
        <v>2.26</v>
      </c>
      <c r="U44" s="1">
        <f t="shared" si="4"/>
        <v>0</v>
      </c>
      <c r="V44" s="3">
        <f t="shared" si="5"/>
        <v>2</v>
      </c>
      <c r="W44" s="3">
        <f t="shared" si="6"/>
        <v>1</v>
      </c>
      <c r="X44" s="3" t="str">
        <f>IFERROR(__xludf.DUMMYFUNCTION("split(B44,"" "")"),"B.")</f>
        <v>B.</v>
      </c>
      <c r="Y44" s="3" t="str">
        <f>IFERROR(__xludf.DUMMYFUNCTION("""COMPUTED_VALUE"""),"Young")</f>
        <v>Young</v>
      </c>
      <c r="AA44" s="8">
        <v>1.0</v>
      </c>
      <c r="AB44" s="3">
        <f t="shared" si="7"/>
        <v>1</v>
      </c>
      <c r="AC44" s="3">
        <f t="shared" si="8"/>
        <v>0</v>
      </c>
      <c r="AD44" s="3">
        <f t="shared" si="9"/>
        <v>2.52</v>
      </c>
      <c r="AE44" s="3">
        <f t="shared" si="10"/>
        <v>-2</v>
      </c>
      <c r="AF44" s="3">
        <f t="shared" si="11"/>
        <v>-1</v>
      </c>
      <c r="AG44" s="3">
        <f t="shared" si="12"/>
        <v>-1</v>
      </c>
    </row>
    <row r="45">
      <c r="A45" s="1" t="s">
        <v>8</v>
      </c>
      <c r="B45" s="1" t="s">
        <v>56</v>
      </c>
      <c r="C45" s="1" t="s">
        <v>21</v>
      </c>
      <c r="D45" s="1" t="s">
        <v>57</v>
      </c>
      <c r="E45" s="1" t="s">
        <v>76</v>
      </c>
      <c r="F45" s="1" t="s">
        <v>695</v>
      </c>
      <c r="G45" s="1">
        <v>3.5</v>
      </c>
      <c r="H45" s="1" t="s">
        <v>60</v>
      </c>
      <c r="I45" s="1">
        <v>120.0</v>
      </c>
      <c r="J45" s="1">
        <v>-0.144585806848957</v>
      </c>
      <c r="K45" s="1" t="s">
        <v>61</v>
      </c>
      <c r="L45" s="1" t="s">
        <v>61</v>
      </c>
      <c r="M45" s="1" t="s">
        <v>62</v>
      </c>
      <c r="N45" s="1">
        <v>-158.0</v>
      </c>
      <c r="O45" s="1">
        <v>0.0776299304286104</v>
      </c>
      <c r="P45" s="1" t="s">
        <v>61</v>
      </c>
      <c r="Q45" s="1" t="s">
        <v>61</v>
      </c>
      <c r="R45" s="1">
        <f t="shared" si="1"/>
        <v>0.07762993043</v>
      </c>
      <c r="S45" s="1">
        <f t="shared" si="2"/>
        <v>-158</v>
      </c>
      <c r="T45" s="1">
        <f t="shared" si="3"/>
        <v>1.632911392</v>
      </c>
      <c r="U45" s="1">
        <f t="shared" si="4"/>
        <v>0</v>
      </c>
      <c r="V45" s="3">
        <f t="shared" si="5"/>
        <v>2</v>
      </c>
      <c r="W45" s="3">
        <f t="shared" si="6"/>
        <v>3</v>
      </c>
      <c r="X45" s="3" t="str">
        <f>IFERROR(__xludf.DUMMYFUNCTION("split(B45,"" "")"),"B.")</f>
        <v>B.</v>
      </c>
      <c r="Y45" s="3" t="str">
        <f>IFERROR(__xludf.DUMMYFUNCTION("""COMPUTED_VALUE"""),"Young")</f>
        <v>Young</v>
      </c>
      <c r="AA45" s="8">
        <v>3.0</v>
      </c>
      <c r="AB45" s="3">
        <f t="shared" si="7"/>
        <v>0</v>
      </c>
      <c r="AC45" s="3">
        <f t="shared" si="8"/>
        <v>1</v>
      </c>
      <c r="AD45" s="3">
        <f t="shared" si="9"/>
        <v>1.265822785</v>
      </c>
      <c r="AE45" s="3">
        <f t="shared" si="10"/>
        <v>1.265822785</v>
      </c>
      <c r="AF45" s="3">
        <f t="shared" si="11"/>
        <v>1.898734177</v>
      </c>
      <c r="AG45" s="3">
        <f t="shared" si="12"/>
        <v>0.1428571429</v>
      </c>
    </row>
    <row r="46">
      <c r="A46" s="1" t="s">
        <v>17</v>
      </c>
      <c r="B46" s="1" t="s">
        <v>56</v>
      </c>
      <c r="C46" s="1" t="s">
        <v>21</v>
      </c>
      <c r="D46" s="1" t="s">
        <v>57</v>
      </c>
      <c r="E46" s="1" t="s">
        <v>76</v>
      </c>
      <c r="F46" s="1" t="s">
        <v>695</v>
      </c>
      <c r="G46" s="1">
        <v>0.5</v>
      </c>
      <c r="H46" s="1" t="s">
        <v>60</v>
      </c>
      <c r="I46" s="1">
        <v>-136.0</v>
      </c>
      <c r="J46" s="1">
        <v>-0.130071186440677</v>
      </c>
      <c r="K46" s="1" t="s">
        <v>61</v>
      </c>
      <c r="L46" s="1" t="s">
        <v>61</v>
      </c>
      <c r="M46" s="1" t="s">
        <v>62</v>
      </c>
      <c r="N46" s="1">
        <v>104.0</v>
      </c>
      <c r="O46" s="1">
        <v>0.0636039215686274</v>
      </c>
      <c r="P46" s="1" t="s">
        <v>61</v>
      </c>
      <c r="Q46" s="1" t="s">
        <v>61</v>
      </c>
      <c r="R46" s="1">
        <f t="shared" si="1"/>
        <v>0.06360392157</v>
      </c>
      <c r="S46" s="1">
        <f t="shared" si="2"/>
        <v>104</v>
      </c>
      <c r="T46" s="1">
        <f t="shared" si="3"/>
        <v>2.04</v>
      </c>
      <c r="U46" s="1">
        <f t="shared" si="4"/>
        <v>0</v>
      </c>
      <c r="V46" s="3">
        <f t="shared" si="5"/>
        <v>2</v>
      </c>
      <c r="W46" s="3">
        <f t="shared" si="6"/>
        <v>2</v>
      </c>
      <c r="X46" s="3" t="str">
        <f>IFERROR(__xludf.DUMMYFUNCTION("split(B46,"" "")"),"B.")</f>
        <v>B.</v>
      </c>
      <c r="Y46" s="3" t="str">
        <f>IFERROR(__xludf.DUMMYFUNCTION("""COMPUTED_VALUE"""),"Young")</f>
        <v>Young</v>
      </c>
      <c r="AA46" s="8">
        <v>0.0</v>
      </c>
      <c r="AB46" s="3">
        <f t="shared" si="7"/>
        <v>0</v>
      </c>
      <c r="AC46" s="3">
        <f t="shared" si="8"/>
        <v>1</v>
      </c>
      <c r="AD46" s="3">
        <f t="shared" si="9"/>
        <v>2.08</v>
      </c>
      <c r="AE46" s="3">
        <f t="shared" si="10"/>
        <v>2.08</v>
      </c>
      <c r="AF46" s="3">
        <f t="shared" si="11"/>
        <v>2.08</v>
      </c>
      <c r="AG46" s="3">
        <f t="shared" si="12"/>
        <v>1</v>
      </c>
    </row>
    <row r="47">
      <c r="A47" s="1" t="s">
        <v>12</v>
      </c>
      <c r="B47" s="1" t="s">
        <v>523</v>
      </c>
      <c r="C47" s="1" t="s">
        <v>20</v>
      </c>
      <c r="D47" s="1" t="s">
        <v>57</v>
      </c>
      <c r="E47" s="1" t="s">
        <v>76</v>
      </c>
      <c r="F47" s="1" t="s">
        <v>695</v>
      </c>
      <c r="G47" s="1">
        <v>2.5</v>
      </c>
      <c r="H47" s="1" t="s">
        <v>60</v>
      </c>
      <c r="I47" s="1">
        <v>111.0</v>
      </c>
      <c r="J47" s="1">
        <v>-0.132579157547867</v>
      </c>
      <c r="K47" s="1" t="s">
        <v>61</v>
      </c>
      <c r="L47" s="1" t="s">
        <v>61</v>
      </c>
      <c r="M47" s="1" t="s">
        <v>62</v>
      </c>
      <c r="N47" s="1">
        <v>-147.0</v>
      </c>
      <c r="O47" s="1">
        <v>0.0634966527943318</v>
      </c>
      <c r="P47" s="1" t="s">
        <v>61</v>
      </c>
      <c r="Q47" s="1" t="s">
        <v>61</v>
      </c>
      <c r="R47" s="1">
        <f t="shared" si="1"/>
        <v>0.06349665279</v>
      </c>
      <c r="S47" s="1">
        <f t="shared" si="2"/>
        <v>-147</v>
      </c>
      <c r="T47" s="1">
        <f t="shared" si="3"/>
        <v>1.680272109</v>
      </c>
      <c r="U47" s="1">
        <f t="shared" si="4"/>
        <v>0</v>
      </c>
      <c r="V47" s="3">
        <f t="shared" si="5"/>
        <v>2</v>
      </c>
      <c r="W47" s="3">
        <f t="shared" si="6"/>
        <v>3</v>
      </c>
      <c r="X47" s="3" t="str">
        <f>IFERROR(__xludf.DUMMYFUNCTION("split(B47,"" "")"),"J.")</f>
        <v>J.</v>
      </c>
      <c r="Y47" s="3" t="str">
        <f>IFERROR(__xludf.DUMMYFUNCTION("""COMPUTED_VALUE"""),"Sanders")</f>
        <v>Sanders</v>
      </c>
      <c r="AA47" s="8">
        <v>3.0</v>
      </c>
      <c r="AB47" s="3">
        <f t="shared" si="7"/>
        <v>1</v>
      </c>
      <c r="AC47" s="3">
        <f t="shared" si="8"/>
        <v>0</v>
      </c>
      <c r="AD47" s="3">
        <f t="shared" si="9"/>
        <v>1.360544218</v>
      </c>
      <c r="AE47" s="3">
        <f t="shared" si="10"/>
        <v>-2</v>
      </c>
      <c r="AF47" s="3">
        <f t="shared" si="11"/>
        <v>-3</v>
      </c>
      <c r="AG47" s="3">
        <f t="shared" si="12"/>
        <v>-0.2</v>
      </c>
    </row>
    <row r="48">
      <c r="A48" s="1" t="s">
        <v>9</v>
      </c>
      <c r="B48" s="1" t="s">
        <v>638</v>
      </c>
      <c r="C48" s="1" t="s">
        <v>18</v>
      </c>
      <c r="D48" s="1" t="s">
        <v>57</v>
      </c>
      <c r="E48" s="1" t="s">
        <v>76</v>
      </c>
      <c r="F48" s="1" t="s">
        <v>695</v>
      </c>
      <c r="G48" s="1">
        <v>24.5</v>
      </c>
      <c r="H48" s="1" t="s">
        <v>60</v>
      </c>
      <c r="I48" s="1">
        <v>-120.0</v>
      </c>
      <c r="J48" s="1">
        <v>0.0590224067607584</v>
      </c>
      <c r="K48" s="1" t="s">
        <v>61</v>
      </c>
      <c r="L48" s="1" t="s">
        <v>61</v>
      </c>
      <c r="M48" s="1" t="s">
        <v>62</v>
      </c>
      <c r="N48" s="1">
        <v>-110.0</v>
      </c>
      <c r="O48" s="1">
        <v>-0.128237249695731</v>
      </c>
      <c r="P48" s="1" t="s">
        <v>61</v>
      </c>
      <c r="Q48" s="1" t="s">
        <v>61</v>
      </c>
      <c r="R48" s="1">
        <f t="shared" si="1"/>
        <v>0.05902240676</v>
      </c>
      <c r="S48" s="1">
        <f t="shared" si="2"/>
        <v>-120</v>
      </c>
      <c r="T48" s="1">
        <f t="shared" si="3"/>
        <v>1.833333333</v>
      </c>
      <c r="U48" s="1">
        <f t="shared" si="4"/>
        <v>1</v>
      </c>
      <c r="V48" s="3">
        <f t="shared" si="5"/>
        <v>2</v>
      </c>
      <c r="W48" s="3">
        <f t="shared" si="6"/>
        <v>3</v>
      </c>
      <c r="X48" s="3" t="str">
        <f>IFERROR(__xludf.DUMMYFUNCTION("split(B48,"" "")"),"J.")</f>
        <v>J.</v>
      </c>
      <c r="Y48" s="3" t="str">
        <f>IFERROR(__xludf.DUMMYFUNCTION("""COMPUTED_VALUE"""),"Coker")</f>
        <v>Coker</v>
      </c>
      <c r="AA48" s="8">
        <v>0.0</v>
      </c>
      <c r="AB48" s="3">
        <f t="shared" si="7"/>
        <v>0</v>
      </c>
      <c r="AC48" s="3">
        <f t="shared" si="8"/>
        <v>0</v>
      </c>
      <c r="AD48" s="3">
        <f t="shared" si="9"/>
        <v>1.666666667</v>
      </c>
      <c r="AE48" s="3">
        <f t="shared" si="10"/>
        <v>-2</v>
      </c>
      <c r="AF48" s="3">
        <f t="shared" si="11"/>
        <v>-3</v>
      </c>
      <c r="AG48" s="3">
        <f t="shared" si="12"/>
        <v>-1</v>
      </c>
    </row>
    <row r="49">
      <c r="A49" s="1" t="s">
        <v>9</v>
      </c>
      <c r="B49" s="1" t="s">
        <v>351</v>
      </c>
      <c r="C49" s="1" t="s">
        <v>18</v>
      </c>
      <c r="D49" s="1" t="s">
        <v>57</v>
      </c>
      <c r="E49" s="1" t="s">
        <v>76</v>
      </c>
      <c r="F49" s="1" t="s">
        <v>695</v>
      </c>
      <c r="G49" s="1">
        <v>25.5</v>
      </c>
      <c r="H49" s="1" t="s">
        <v>60</v>
      </c>
      <c r="I49" s="1">
        <v>-120.0</v>
      </c>
      <c r="J49" s="1">
        <v>0.0299471291827779</v>
      </c>
      <c r="K49" s="1" t="s">
        <v>61</v>
      </c>
      <c r="L49" s="1" t="s">
        <v>61</v>
      </c>
      <c r="M49" s="1" t="s">
        <v>62</v>
      </c>
      <c r="N49" s="1">
        <v>-110.0</v>
      </c>
      <c r="O49" s="1">
        <v>-0.0991962155344393</v>
      </c>
      <c r="P49" s="1" t="s">
        <v>61</v>
      </c>
      <c r="Q49" s="1" t="s">
        <v>61</v>
      </c>
      <c r="R49" s="1">
        <f t="shared" si="1"/>
        <v>0.02994712918</v>
      </c>
      <c r="S49" s="1">
        <f t="shared" si="2"/>
        <v>-120</v>
      </c>
      <c r="T49" s="1">
        <f t="shared" si="3"/>
        <v>1.833333333</v>
      </c>
      <c r="U49" s="1">
        <f t="shared" si="4"/>
        <v>1</v>
      </c>
      <c r="V49" s="3">
        <f t="shared" si="5"/>
        <v>1</v>
      </c>
      <c r="W49" s="3">
        <f t="shared" si="6"/>
        <v>3</v>
      </c>
      <c r="X49" s="3" t="str">
        <f>IFERROR(__xludf.DUMMYFUNCTION("split(B49,"" "")"),"D.")</f>
        <v>D.</v>
      </c>
      <c r="Y49" s="3" t="str">
        <f>IFERROR(__xludf.DUMMYFUNCTION("""COMPUTED_VALUE"""),"Moore")</f>
        <v>Moore</v>
      </c>
      <c r="AA49" s="8">
        <v>81.0</v>
      </c>
      <c r="AB49" s="3">
        <f t="shared" si="7"/>
        <v>1</v>
      </c>
      <c r="AC49" s="3">
        <f t="shared" si="8"/>
        <v>1</v>
      </c>
      <c r="AD49" s="3">
        <f t="shared" si="9"/>
        <v>0.8333333333</v>
      </c>
      <c r="AE49" s="3">
        <f t="shared" si="10"/>
        <v>0.8333333333</v>
      </c>
      <c r="AF49" s="3">
        <f t="shared" si="11"/>
        <v>2.5</v>
      </c>
      <c r="AG49" s="3">
        <f t="shared" si="12"/>
        <v>2.176470588</v>
      </c>
    </row>
    <row r="50">
      <c r="A50" s="1" t="s">
        <v>11</v>
      </c>
      <c r="B50" s="1" t="s">
        <v>523</v>
      </c>
      <c r="C50" s="1" t="s">
        <v>20</v>
      </c>
      <c r="D50" s="1" t="s">
        <v>57</v>
      </c>
      <c r="E50" s="1" t="s">
        <v>76</v>
      </c>
      <c r="F50" s="1" t="s">
        <v>695</v>
      </c>
      <c r="G50" s="1">
        <v>20.5</v>
      </c>
      <c r="H50" s="1" t="s">
        <v>60</v>
      </c>
      <c r="I50" s="1">
        <v>-119.0</v>
      </c>
      <c r="J50" s="1">
        <v>-0.0934251119759817</v>
      </c>
      <c r="K50" s="1" t="s">
        <v>61</v>
      </c>
      <c r="L50" s="1" t="s">
        <v>61</v>
      </c>
      <c r="M50" s="1" t="s">
        <v>62</v>
      </c>
      <c r="N50" s="1">
        <v>-109.0</v>
      </c>
      <c r="O50" s="1">
        <v>0.028535786984625</v>
      </c>
      <c r="P50" s="1" t="s">
        <v>61</v>
      </c>
      <c r="Q50" s="1" t="s">
        <v>61</v>
      </c>
      <c r="R50" s="1">
        <f t="shared" si="1"/>
        <v>0.02853578698</v>
      </c>
      <c r="S50" s="1">
        <f t="shared" si="2"/>
        <v>-109</v>
      </c>
      <c r="T50" s="1">
        <f t="shared" si="3"/>
        <v>1.917431193</v>
      </c>
      <c r="U50" s="1">
        <f t="shared" si="4"/>
        <v>0</v>
      </c>
      <c r="V50" s="3">
        <f t="shared" si="5"/>
        <v>1</v>
      </c>
      <c r="W50" s="3">
        <f t="shared" si="6"/>
        <v>2</v>
      </c>
      <c r="X50" s="3" t="str">
        <f>IFERROR(__xludf.DUMMYFUNCTION("split(B50,"" "")"),"J.")</f>
        <v>J.</v>
      </c>
      <c r="Y50" s="3" t="str">
        <f>IFERROR(__xludf.DUMMYFUNCTION("""COMPUTED_VALUE"""),"Sanders")</f>
        <v>Sanders</v>
      </c>
      <c r="AA50" s="8">
        <v>49.0</v>
      </c>
      <c r="AB50" s="3">
        <f t="shared" si="7"/>
        <v>1</v>
      </c>
      <c r="AC50" s="3">
        <f t="shared" si="8"/>
        <v>0</v>
      </c>
      <c r="AD50" s="3">
        <f t="shared" si="9"/>
        <v>0.9174311927</v>
      </c>
      <c r="AE50" s="3">
        <f t="shared" si="10"/>
        <v>-1</v>
      </c>
      <c r="AF50" s="3">
        <f t="shared" si="11"/>
        <v>-2</v>
      </c>
      <c r="AG50" s="3">
        <f t="shared" si="12"/>
        <v>-1.390243902</v>
      </c>
    </row>
    <row r="51">
      <c r="A51" s="1" t="s">
        <v>16</v>
      </c>
      <c r="B51" s="1" t="s">
        <v>56</v>
      </c>
      <c r="C51" s="1" t="s">
        <v>21</v>
      </c>
      <c r="D51" s="1" t="s">
        <v>57</v>
      </c>
      <c r="E51" s="1" t="s">
        <v>76</v>
      </c>
      <c r="F51" s="1" t="s">
        <v>695</v>
      </c>
      <c r="G51" s="1">
        <v>29.5</v>
      </c>
      <c r="H51" s="1" t="s">
        <v>60</v>
      </c>
      <c r="I51" s="1">
        <v>-120.0</v>
      </c>
      <c r="J51" s="1">
        <v>-0.101961814863636</v>
      </c>
      <c r="K51" s="1" t="s">
        <v>61</v>
      </c>
      <c r="L51" s="1" t="s">
        <v>61</v>
      </c>
      <c r="M51" s="1" t="s">
        <v>62</v>
      </c>
      <c r="N51" s="1">
        <v>-112.0</v>
      </c>
      <c r="O51" s="1">
        <v>0.0281903357660379</v>
      </c>
      <c r="P51" s="1" t="s">
        <v>61</v>
      </c>
      <c r="Q51" s="1" t="s">
        <v>61</v>
      </c>
      <c r="R51" s="1">
        <f t="shared" si="1"/>
        <v>0.02819033577</v>
      </c>
      <c r="S51" s="1">
        <f t="shared" si="2"/>
        <v>-112</v>
      </c>
      <c r="T51" s="1">
        <f t="shared" si="3"/>
        <v>1.892857143</v>
      </c>
      <c r="U51" s="1">
        <f t="shared" si="4"/>
        <v>0</v>
      </c>
      <c r="V51" s="3">
        <f t="shared" si="5"/>
        <v>1</v>
      </c>
      <c r="W51" s="3">
        <f t="shared" si="6"/>
        <v>2</v>
      </c>
      <c r="X51" s="3" t="str">
        <f>IFERROR(__xludf.DUMMYFUNCTION("split(B51,"" "")"),"B.")</f>
        <v>B.</v>
      </c>
      <c r="Y51" s="3" t="str">
        <f>IFERROR(__xludf.DUMMYFUNCTION("""COMPUTED_VALUE"""),"Young")</f>
        <v>Young</v>
      </c>
      <c r="AA51" s="8">
        <v>35.0</v>
      </c>
      <c r="AB51" s="3">
        <f t="shared" si="7"/>
        <v>1</v>
      </c>
      <c r="AC51" s="3">
        <f t="shared" si="8"/>
        <v>0</v>
      </c>
      <c r="AD51" s="3">
        <f t="shared" si="9"/>
        <v>0.8928571429</v>
      </c>
      <c r="AE51" s="3">
        <f t="shared" si="10"/>
        <v>-1</v>
      </c>
      <c r="AF51" s="3">
        <f t="shared" si="11"/>
        <v>-2</v>
      </c>
      <c r="AG51" s="3">
        <f t="shared" si="12"/>
        <v>-0.186440678</v>
      </c>
    </row>
    <row r="52">
      <c r="A52" s="1" t="s">
        <v>10</v>
      </c>
      <c r="B52" s="1" t="s">
        <v>56</v>
      </c>
      <c r="C52" s="1" t="s">
        <v>21</v>
      </c>
      <c r="D52" s="1" t="s">
        <v>57</v>
      </c>
      <c r="E52" s="1" t="s">
        <v>76</v>
      </c>
      <c r="F52" s="1" t="s">
        <v>695</v>
      </c>
      <c r="G52" s="1">
        <v>13.5</v>
      </c>
      <c r="H52" s="1" t="s">
        <v>60</v>
      </c>
      <c r="I52" s="1">
        <v>-109.0</v>
      </c>
      <c r="J52" s="1">
        <v>-0.0888796013921841</v>
      </c>
      <c r="K52" s="1" t="s">
        <v>61</v>
      </c>
      <c r="L52" s="1" t="s">
        <v>61</v>
      </c>
      <c r="M52" s="1" t="s">
        <v>62</v>
      </c>
      <c r="N52" s="1">
        <v>-118.0</v>
      </c>
      <c r="O52" s="1">
        <v>0.0260442077767911</v>
      </c>
      <c r="P52" s="1" t="s">
        <v>61</v>
      </c>
      <c r="Q52" s="1" t="s">
        <v>61</v>
      </c>
      <c r="R52" s="1">
        <f t="shared" si="1"/>
        <v>0.02604420778</v>
      </c>
      <c r="S52" s="1">
        <f t="shared" si="2"/>
        <v>-118</v>
      </c>
      <c r="T52" s="1">
        <f t="shared" si="3"/>
        <v>1.847457627</v>
      </c>
      <c r="U52" s="1">
        <f t="shared" si="4"/>
        <v>0</v>
      </c>
      <c r="V52" s="3">
        <f t="shared" si="5"/>
        <v>1</v>
      </c>
      <c r="W52" s="3">
        <f t="shared" si="6"/>
        <v>3</v>
      </c>
      <c r="X52" s="3" t="str">
        <f>IFERROR(__xludf.DUMMYFUNCTION("split(B52,"" "")"),"B.")</f>
        <v>B.</v>
      </c>
      <c r="Y52" s="3" t="str">
        <f>IFERROR(__xludf.DUMMYFUNCTION("""COMPUTED_VALUE"""),"Young")</f>
        <v>Young</v>
      </c>
      <c r="AA52" s="8">
        <v>20.0</v>
      </c>
      <c r="AB52" s="3">
        <f t="shared" si="7"/>
        <v>1</v>
      </c>
      <c r="AC52" s="3">
        <f t="shared" si="8"/>
        <v>0</v>
      </c>
      <c r="AD52" s="3">
        <f t="shared" si="9"/>
        <v>0.8474576271</v>
      </c>
      <c r="AE52" s="3">
        <f t="shared" si="10"/>
        <v>-1</v>
      </c>
      <c r="AF52" s="3">
        <f t="shared" si="11"/>
        <v>-3</v>
      </c>
      <c r="AG52" s="3">
        <f t="shared" si="12"/>
        <v>-0.4814814815</v>
      </c>
    </row>
    <row r="53">
      <c r="A53" s="1" t="s">
        <v>9</v>
      </c>
      <c r="B53" s="1" t="s">
        <v>116</v>
      </c>
      <c r="C53" s="1" t="s">
        <v>18</v>
      </c>
      <c r="D53" s="1" t="s">
        <v>57</v>
      </c>
      <c r="E53" s="1" t="s">
        <v>76</v>
      </c>
      <c r="F53" s="1" t="s">
        <v>695</v>
      </c>
      <c r="G53" s="1">
        <v>31.5</v>
      </c>
      <c r="H53" s="1" t="s">
        <v>60</v>
      </c>
      <c r="I53" s="1">
        <v>-120.0</v>
      </c>
      <c r="J53" s="1">
        <v>0.0260202358937586</v>
      </c>
      <c r="K53" s="1" t="s">
        <v>61</v>
      </c>
      <c r="L53" s="1" t="s">
        <v>61</v>
      </c>
      <c r="M53" s="1" t="s">
        <v>62</v>
      </c>
      <c r="N53" s="1">
        <v>-115.0</v>
      </c>
      <c r="O53" s="1">
        <v>-0.10631869619126</v>
      </c>
      <c r="P53" s="1" t="s">
        <v>61</v>
      </c>
      <c r="Q53" s="1" t="s">
        <v>61</v>
      </c>
      <c r="R53" s="1">
        <f t="shared" si="1"/>
        <v>0.02602023589</v>
      </c>
      <c r="S53" s="1">
        <f t="shared" si="2"/>
        <v>-120</v>
      </c>
      <c r="T53" s="1">
        <f t="shared" si="3"/>
        <v>1.833333333</v>
      </c>
      <c r="U53" s="1">
        <f t="shared" si="4"/>
        <v>1</v>
      </c>
      <c r="V53" s="3">
        <f t="shared" si="5"/>
        <v>1</v>
      </c>
      <c r="W53" s="3">
        <f t="shared" si="6"/>
        <v>3</v>
      </c>
      <c r="X53" s="3" t="str">
        <f>IFERROR(__xludf.DUMMYFUNCTION("split(B53,"" "")"),"A.")</f>
        <v>A.</v>
      </c>
      <c r="Y53" s="3" t="str">
        <f>IFERROR(__xludf.DUMMYFUNCTION("""COMPUTED_VALUE"""),"Thielen")</f>
        <v>Thielen</v>
      </c>
      <c r="AA53" s="8">
        <v>57.0</v>
      </c>
      <c r="AB53" s="3">
        <f t="shared" si="7"/>
        <v>1</v>
      </c>
      <c r="AC53" s="3">
        <f t="shared" si="8"/>
        <v>1</v>
      </c>
      <c r="AD53" s="3">
        <f t="shared" si="9"/>
        <v>0.8333333333</v>
      </c>
      <c r="AE53" s="3">
        <f t="shared" si="10"/>
        <v>0.8333333333</v>
      </c>
      <c r="AF53" s="3">
        <f t="shared" si="11"/>
        <v>2.5</v>
      </c>
      <c r="AG53" s="3">
        <f t="shared" si="12"/>
        <v>0.8095238095</v>
      </c>
    </row>
    <row r="54">
      <c r="A54" s="1" t="s">
        <v>12</v>
      </c>
      <c r="B54" s="1" t="s">
        <v>638</v>
      </c>
      <c r="C54" s="1" t="s">
        <v>18</v>
      </c>
      <c r="D54" s="1" t="s">
        <v>57</v>
      </c>
      <c r="E54" s="1" t="s">
        <v>76</v>
      </c>
      <c r="F54" s="1" t="s">
        <v>695</v>
      </c>
      <c r="G54" s="1">
        <v>2.5</v>
      </c>
      <c r="H54" s="1" t="s">
        <v>60</v>
      </c>
      <c r="I54" s="1">
        <v>125.0</v>
      </c>
      <c r="J54" s="1">
        <v>-0.0828419588888888</v>
      </c>
      <c r="K54" s="1" t="s">
        <v>61</v>
      </c>
      <c r="L54" s="1" t="s">
        <v>61</v>
      </c>
      <c r="M54" s="1" t="s">
        <v>62</v>
      </c>
      <c r="N54" s="1">
        <v>-164.0</v>
      </c>
      <c r="O54" s="1">
        <v>0.0171850994848485</v>
      </c>
      <c r="P54" s="1" t="s">
        <v>61</v>
      </c>
      <c r="Q54" s="1" t="s">
        <v>61</v>
      </c>
      <c r="R54" s="1">
        <f t="shared" si="1"/>
        <v>0.01718509948</v>
      </c>
      <c r="S54" s="1">
        <f t="shared" si="2"/>
        <v>-164</v>
      </c>
      <c r="T54" s="1">
        <f t="shared" si="3"/>
        <v>1.609756098</v>
      </c>
      <c r="U54" s="1">
        <f t="shared" si="4"/>
        <v>0</v>
      </c>
      <c r="V54" s="3">
        <f t="shared" si="5"/>
        <v>1</v>
      </c>
      <c r="W54" s="3">
        <f t="shared" si="6"/>
        <v>3</v>
      </c>
      <c r="X54" s="3" t="str">
        <f>IFERROR(__xludf.DUMMYFUNCTION("split(B54,"" "")"),"J.")</f>
        <v>J.</v>
      </c>
      <c r="Y54" s="3" t="str">
        <f>IFERROR(__xludf.DUMMYFUNCTION("""COMPUTED_VALUE"""),"Coker")</f>
        <v>Coker</v>
      </c>
      <c r="AA54" s="8">
        <v>0.0</v>
      </c>
      <c r="AB54" s="3">
        <f t="shared" si="7"/>
        <v>0</v>
      </c>
      <c r="AC54" s="3">
        <f t="shared" si="8"/>
        <v>1</v>
      </c>
      <c r="AD54" s="3">
        <f t="shared" si="9"/>
        <v>0.6097560976</v>
      </c>
      <c r="AE54" s="3">
        <f t="shared" si="10"/>
        <v>0.6097560976</v>
      </c>
      <c r="AF54" s="3">
        <f t="shared" si="11"/>
        <v>1.829268293</v>
      </c>
      <c r="AG54" s="3">
        <f t="shared" si="12"/>
        <v>1</v>
      </c>
    </row>
    <row r="55">
      <c r="A55" s="1" t="s">
        <v>11</v>
      </c>
      <c r="B55" s="1" t="s">
        <v>351</v>
      </c>
      <c r="C55" s="1" t="s">
        <v>18</v>
      </c>
      <c r="D55" s="1" t="s">
        <v>57</v>
      </c>
      <c r="E55" s="1" t="s">
        <v>76</v>
      </c>
      <c r="F55" s="1" t="s">
        <v>695</v>
      </c>
      <c r="G55" s="1">
        <v>25.5</v>
      </c>
      <c r="H55" s="1" t="s">
        <v>60</v>
      </c>
      <c r="I55" s="1">
        <v>-115.0</v>
      </c>
      <c r="J55" s="1">
        <v>-0.082124351450535</v>
      </c>
      <c r="K55" s="1" t="s">
        <v>61</v>
      </c>
      <c r="L55" s="1" t="s">
        <v>61</v>
      </c>
      <c r="M55" s="1" t="s">
        <v>62</v>
      </c>
      <c r="N55" s="1">
        <v>-114.0</v>
      </c>
      <c r="O55" s="1">
        <v>0.0145943857033929</v>
      </c>
      <c r="P55" s="1" t="s">
        <v>61</v>
      </c>
      <c r="Q55" s="1" t="s">
        <v>61</v>
      </c>
      <c r="R55" s="1">
        <f t="shared" si="1"/>
        <v>0.0145943857</v>
      </c>
      <c r="S55" s="1">
        <f t="shared" si="2"/>
        <v>-114</v>
      </c>
      <c r="T55" s="1">
        <f t="shared" si="3"/>
        <v>1.877192982</v>
      </c>
      <c r="U55" s="1">
        <f t="shared" si="4"/>
        <v>0</v>
      </c>
      <c r="V55" s="3">
        <f t="shared" si="5"/>
        <v>1</v>
      </c>
      <c r="W55" s="3">
        <f t="shared" si="6"/>
        <v>2</v>
      </c>
      <c r="X55" s="3" t="str">
        <f>IFERROR(__xludf.DUMMYFUNCTION("split(B55,"" "")"),"D.")</f>
        <v>D.</v>
      </c>
      <c r="Y55" s="3" t="str">
        <f>IFERROR(__xludf.DUMMYFUNCTION("""COMPUTED_VALUE"""),"Moore")</f>
        <v>Moore</v>
      </c>
      <c r="AA55" s="8">
        <v>81.0</v>
      </c>
      <c r="AB55" s="3">
        <f t="shared" si="7"/>
        <v>1</v>
      </c>
      <c r="AC55" s="3">
        <f t="shared" si="8"/>
        <v>0</v>
      </c>
      <c r="AD55" s="3">
        <f t="shared" si="9"/>
        <v>0.8771929825</v>
      </c>
      <c r="AE55" s="3">
        <f t="shared" si="10"/>
        <v>-1</v>
      </c>
      <c r="AF55" s="3">
        <f t="shared" si="11"/>
        <v>-2</v>
      </c>
      <c r="AG55" s="3">
        <f t="shared" si="12"/>
        <v>-2.176470588</v>
      </c>
    </row>
    <row r="56">
      <c r="A56" s="1" t="s">
        <v>12</v>
      </c>
      <c r="B56" s="1" t="s">
        <v>116</v>
      </c>
      <c r="C56" s="1" t="s">
        <v>18</v>
      </c>
      <c r="D56" s="1" t="s">
        <v>57</v>
      </c>
      <c r="E56" s="1" t="s">
        <v>76</v>
      </c>
      <c r="F56" s="1" t="s">
        <v>695</v>
      </c>
      <c r="G56" s="1">
        <v>3.5</v>
      </c>
      <c r="H56" s="1" t="s">
        <v>60</v>
      </c>
      <c r="I56" s="1">
        <v>124.0</v>
      </c>
      <c r="J56" s="1">
        <v>0.00662678571428571</v>
      </c>
      <c r="K56" s="1" t="s">
        <v>61</v>
      </c>
      <c r="L56" s="1" t="s">
        <v>61</v>
      </c>
      <c r="M56" s="1" t="s">
        <v>62</v>
      </c>
      <c r="N56" s="1">
        <v>-163.0</v>
      </c>
      <c r="O56" s="1">
        <v>-0.0728338403041823</v>
      </c>
      <c r="P56" s="1" t="s">
        <v>61</v>
      </c>
      <c r="Q56" s="1" t="s">
        <v>61</v>
      </c>
      <c r="R56" s="1">
        <f t="shared" si="1"/>
        <v>0.006626785714</v>
      </c>
      <c r="S56" s="1">
        <f t="shared" si="2"/>
        <v>124</v>
      </c>
      <c r="T56" s="1">
        <f t="shared" si="3"/>
        <v>2.24</v>
      </c>
      <c r="U56" s="1">
        <f t="shared" si="4"/>
        <v>1</v>
      </c>
      <c r="V56" s="3">
        <f t="shared" si="5"/>
        <v>1</v>
      </c>
      <c r="W56" s="3">
        <f t="shared" si="6"/>
        <v>1</v>
      </c>
      <c r="X56" s="3" t="str">
        <f>IFERROR(__xludf.DUMMYFUNCTION("split(B56,"" "")"),"A.")</f>
        <v>A.</v>
      </c>
      <c r="Y56" s="3" t="str">
        <f>IFERROR(__xludf.DUMMYFUNCTION("""COMPUTED_VALUE"""),"Thielen")</f>
        <v>Thielen</v>
      </c>
      <c r="AA56" s="8">
        <v>3.0</v>
      </c>
      <c r="AB56" s="3">
        <f t="shared" si="7"/>
        <v>0</v>
      </c>
      <c r="AC56" s="3">
        <f t="shared" si="8"/>
        <v>0</v>
      </c>
      <c r="AD56" s="3">
        <f t="shared" si="9"/>
        <v>1.24</v>
      </c>
      <c r="AE56" s="3">
        <f t="shared" si="10"/>
        <v>-1</v>
      </c>
      <c r="AF56" s="3">
        <f t="shared" si="11"/>
        <v>-1</v>
      </c>
      <c r="AG56" s="3">
        <f t="shared" si="12"/>
        <v>-0.1428571429</v>
      </c>
    </row>
    <row r="57">
      <c r="A57" s="1" t="s">
        <v>10</v>
      </c>
      <c r="B57" s="1" t="s">
        <v>351</v>
      </c>
      <c r="C57" s="1" t="s">
        <v>18</v>
      </c>
      <c r="D57" s="1" t="s">
        <v>99</v>
      </c>
      <c r="E57" s="1" t="s">
        <v>146</v>
      </c>
      <c r="F57" s="1" t="s">
        <v>695</v>
      </c>
      <c r="G57" s="1">
        <v>0.5</v>
      </c>
      <c r="H57" s="1" t="s">
        <v>60</v>
      </c>
      <c r="I57" s="1">
        <v>180.0</v>
      </c>
      <c r="J57" s="1">
        <v>0.255695758581211</v>
      </c>
      <c r="K57" s="1" t="s">
        <v>61</v>
      </c>
      <c r="L57" s="1" t="s">
        <v>61</v>
      </c>
      <c r="M57" s="1" t="s">
        <v>62</v>
      </c>
      <c r="N57" s="1">
        <v>-243.0</v>
      </c>
      <c r="O57" s="1">
        <v>-0.321256550273171</v>
      </c>
      <c r="P57" s="1" t="s">
        <v>61</v>
      </c>
      <c r="Q57" s="1" t="s">
        <v>61</v>
      </c>
      <c r="R57" s="1">
        <f t="shared" si="1"/>
        <v>0.2556957586</v>
      </c>
      <c r="S57" s="1">
        <f t="shared" si="2"/>
        <v>180</v>
      </c>
      <c r="T57" s="1">
        <f t="shared" si="3"/>
        <v>2.8</v>
      </c>
      <c r="U57" s="1">
        <f t="shared" si="4"/>
        <v>1</v>
      </c>
      <c r="V57" s="3">
        <f t="shared" si="5"/>
        <v>3</v>
      </c>
      <c r="W57" s="3">
        <f t="shared" si="6"/>
        <v>1</v>
      </c>
      <c r="X57" s="3" t="str">
        <f>IFERROR(__xludf.DUMMYFUNCTION("split(B57,"" "")"),"D.")</f>
        <v>D.</v>
      </c>
      <c r="Y57" s="3" t="str">
        <f>IFERROR(__xludf.DUMMYFUNCTION("""COMPUTED_VALUE"""),"Moore")</f>
        <v>Moore</v>
      </c>
      <c r="AA57" s="8">
        <v>13.0</v>
      </c>
      <c r="AB57" s="3">
        <f t="shared" si="7"/>
        <v>1</v>
      </c>
      <c r="AC57" s="3">
        <f t="shared" si="8"/>
        <v>1</v>
      </c>
      <c r="AD57" s="3">
        <f t="shared" si="9"/>
        <v>5.4</v>
      </c>
      <c r="AE57" s="3">
        <f t="shared" si="10"/>
        <v>5.4</v>
      </c>
      <c r="AF57" s="3">
        <f t="shared" si="11"/>
        <v>1.8</v>
      </c>
      <c r="AG57" s="3">
        <f t="shared" si="12"/>
        <v>25</v>
      </c>
    </row>
    <row r="58">
      <c r="A58" s="1" t="s">
        <v>8</v>
      </c>
      <c r="B58" s="1" t="s">
        <v>274</v>
      </c>
      <c r="C58" s="1" t="s">
        <v>21</v>
      </c>
      <c r="D58" s="1" t="s">
        <v>99</v>
      </c>
      <c r="E58" s="1" t="s">
        <v>146</v>
      </c>
      <c r="F58" s="1" t="s">
        <v>695</v>
      </c>
      <c r="G58" s="1">
        <v>4.5</v>
      </c>
      <c r="H58" s="1" t="s">
        <v>60</v>
      </c>
      <c r="I58" s="1">
        <v>-145.0</v>
      </c>
      <c r="J58" s="1">
        <v>-0.233169595119717</v>
      </c>
      <c r="K58" s="1" t="s">
        <v>61</v>
      </c>
      <c r="L58" s="1" t="s">
        <v>61</v>
      </c>
      <c r="M58" s="1" t="s">
        <v>62</v>
      </c>
      <c r="N58" s="1">
        <v>110.0</v>
      </c>
      <c r="O58" s="1">
        <v>0.165147860973004</v>
      </c>
      <c r="P58" s="1" t="s">
        <v>61</v>
      </c>
      <c r="Q58" s="1" t="s">
        <v>61</v>
      </c>
      <c r="R58" s="1">
        <f t="shared" si="1"/>
        <v>0.165147861</v>
      </c>
      <c r="S58" s="1">
        <f t="shared" si="2"/>
        <v>110</v>
      </c>
      <c r="T58" s="1">
        <f t="shared" si="3"/>
        <v>2.1</v>
      </c>
      <c r="U58" s="1">
        <f t="shared" si="4"/>
        <v>0</v>
      </c>
      <c r="V58" s="3">
        <f t="shared" si="5"/>
        <v>3</v>
      </c>
      <c r="W58" s="3">
        <f t="shared" si="6"/>
        <v>2</v>
      </c>
      <c r="X58" s="3" t="str">
        <f>IFERROR(__xludf.DUMMYFUNCTION("split(B58,"" "")"),"C.")</f>
        <v>C.</v>
      </c>
      <c r="Y58" s="3" t="str">
        <f>IFERROR(__xludf.DUMMYFUNCTION("""COMPUTED_VALUE"""),"Williams")</f>
        <v>Williams</v>
      </c>
      <c r="AA58" s="8">
        <v>6.0</v>
      </c>
      <c r="AB58" s="3">
        <f t="shared" si="7"/>
        <v>1</v>
      </c>
      <c r="AC58" s="3">
        <f t="shared" si="8"/>
        <v>0</v>
      </c>
      <c r="AD58" s="3">
        <f t="shared" si="9"/>
        <v>3.3</v>
      </c>
      <c r="AE58" s="3">
        <f t="shared" si="10"/>
        <v>-3</v>
      </c>
      <c r="AF58" s="3">
        <f t="shared" si="11"/>
        <v>-2</v>
      </c>
      <c r="AG58" s="3">
        <f t="shared" si="12"/>
        <v>-0.3333333333</v>
      </c>
    </row>
    <row r="59">
      <c r="A59" s="1" t="s">
        <v>8</v>
      </c>
      <c r="B59" s="1" t="s">
        <v>578</v>
      </c>
      <c r="C59" s="1" t="s">
        <v>19</v>
      </c>
      <c r="D59" s="1" t="s">
        <v>99</v>
      </c>
      <c r="E59" s="1" t="s">
        <v>146</v>
      </c>
      <c r="F59" s="1" t="s">
        <v>695</v>
      </c>
      <c r="G59" s="1">
        <v>4.5</v>
      </c>
      <c r="H59" s="1" t="s">
        <v>60</v>
      </c>
      <c r="I59" s="1">
        <v>-159.0</v>
      </c>
      <c r="J59" s="1">
        <v>-0.229050505573285</v>
      </c>
      <c r="K59" s="1" t="s">
        <v>61</v>
      </c>
      <c r="L59" s="1" t="s">
        <v>61</v>
      </c>
      <c r="M59" s="1" t="s">
        <v>62</v>
      </c>
      <c r="N59" s="1">
        <v>118.0</v>
      </c>
      <c r="O59" s="1">
        <v>0.156426059373765</v>
      </c>
      <c r="P59" s="1" t="s">
        <v>61</v>
      </c>
      <c r="Q59" s="1" t="s">
        <v>61</v>
      </c>
      <c r="R59" s="1">
        <f t="shared" si="1"/>
        <v>0.1564260594</v>
      </c>
      <c r="S59" s="1">
        <f t="shared" si="2"/>
        <v>118</v>
      </c>
      <c r="T59" s="1">
        <f t="shared" si="3"/>
        <v>2.18</v>
      </c>
      <c r="U59" s="1">
        <f t="shared" si="4"/>
        <v>0</v>
      </c>
      <c r="V59" s="3">
        <f t="shared" si="5"/>
        <v>3</v>
      </c>
      <c r="W59" s="3">
        <f t="shared" si="6"/>
        <v>1</v>
      </c>
      <c r="X59" s="3" t="str">
        <f>IFERROR(__xludf.DUMMYFUNCTION("split(B59,"" "")"),"R.")</f>
        <v>R.</v>
      </c>
      <c r="Y59" s="3" t="str">
        <f>IFERROR(__xludf.DUMMYFUNCTION("""COMPUTED_VALUE"""),"Johnson")</f>
        <v>Johnson</v>
      </c>
      <c r="AA59" s="8">
        <v>2.0</v>
      </c>
      <c r="AB59" s="3">
        <f t="shared" si="7"/>
        <v>0</v>
      </c>
      <c r="AC59" s="3">
        <f t="shared" si="8"/>
        <v>1</v>
      </c>
      <c r="AD59" s="3">
        <f t="shared" si="9"/>
        <v>3.54</v>
      </c>
      <c r="AE59" s="3">
        <f t="shared" si="10"/>
        <v>3.54</v>
      </c>
      <c r="AF59" s="3">
        <f t="shared" si="11"/>
        <v>1.18</v>
      </c>
      <c r="AG59" s="3">
        <f t="shared" si="12"/>
        <v>0.5555555556</v>
      </c>
    </row>
    <row r="60">
      <c r="A60" s="1" t="s">
        <v>14</v>
      </c>
      <c r="B60" s="1" t="s">
        <v>274</v>
      </c>
      <c r="C60" s="1" t="s">
        <v>21</v>
      </c>
      <c r="D60" s="1" t="s">
        <v>99</v>
      </c>
      <c r="E60" s="1" t="s">
        <v>146</v>
      </c>
      <c r="F60" s="1" t="s">
        <v>695</v>
      </c>
      <c r="G60" s="1">
        <v>0.5</v>
      </c>
      <c r="H60" s="1" t="s">
        <v>60</v>
      </c>
      <c r="I60" s="1">
        <v>-237.0</v>
      </c>
      <c r="J60" s="1">
        <v>-0.219162757448071</v>
      </c>
      <c r="K60" s="1" t="s">
        <v>61</v>
      </c>
      <c r="L60" s="1" t="s">
        <v>61</v>
      </c>
      <c r="M60" s="1" t="s">
        <v>62</v>
      </c>
      <c r="N60" s="1">
        <v>178.0</v>
      </c>
      <c r="O60" s="1">
        <v>0.156186148417266</v>
      </c>
      <c r="P60" s="1" t="s">
        <v>61</v>
      </c>
      <c r="Q60" s="1" t="s">
        <v>61</v>
      </c>
      <c r="R60" s="1">
        <f t="shared" si="1"/>
        <v>0.1561861484</v>
      </c>
      <c r="S60" s="1">
        <f t="shared" si="2"/>
        <v>178</v>
      </c>
      <c r="T60" s="1">
        <f t="shared" si="3"/>
        <v>2.78</v>
      </c>
      <c r="U60" s="1">
        <f t="shared" si="4"/>
        <v>0</v>
      </c>
      <c r="V60" s="3">
        <f t="shared" si="5"/>
        <v>3</v>
      </c>
      <c r="W60" s="3">
        <f t="shared" si="6"/>
        <v>1</v>
      </c>
      <c r="X60" s="3" t="str">
        <f>IFERROR(__xludf.DUMMYFUNCTION("split(B60,"" "")"),"C.")</f>
        <v>C.</v>
      </c>
      <c r="Y60" s="3" t="str">
        <f>IFERROR(__xludf.DUMMYFUNCTION("""COMPUTED_VALUE"""),"Williams")</f>
        <v>Williams</v>
      </c>
      <c r="AA60" s="8">
        <v>2.0</v>
      </c>
      <c r="AB60" s="3">
        <f t="shared" si="7"/>
        <v>1</v>
      </c>
      <c r="AC60" s="3">
        <f t="shared" si="8"/>
        <v>0</v>
      </c>
      <c r="AD60" s="3">
        <f t="shared" si="9"/>
        <v>5.34</v>
      </c>
      <c r="AE60" s="3">
        <f t="shared" si="10"/>
        <v>-3</v>
      </c>
      <c r="AF60" s="3">
        <f t="shared" si="11"/>
        <v>-1</v>
      </c>
      <c r="AG60" s="3">
        <f t="shared" si="12"/>
        <v>-3</v>
      </c>
    </row>
    <row r="61">
      <c r="A61" s="1" t="s">
        <v>12</v>
      </c>
      <c r="B61" s="1" t="s">
        <v>268</v>
      </c>
      <c r="C61" s="1" t="s">
        <v>18</v>
      </c>
      <c r="D61" s="1" t="s">
        <v>99</v>
      </c>
      <c r="E61" s="1" t="s">
        <v>146</v>
      </c>
      <c r="F61" s="1" t="s">
        <v>695</v>
      </c>
      <c r="G61" s="1">
        <v>3.5</v>
      </c>
      <c r="H61" s="1" t="s">
        <v>60</v>
      </c>
      <c r="I61" s="1">
        <v>-165.0</v>
      </c>
      <c r="J61" s="1">
        <v>-0.199641509433962</v>
      </c>
      <c r="K61" s="1" t="s">
        <v>61</v>
      </c>
      <c r="L61" s="1" t="s">
        <v>61</v>
      </c>
      <c r="M61" s="1" t="s">
        <v>62</v>
      </c>
      <c r="N61" s="1">
        <v>125.0</v>
      </c>
      <c r="O61" s="1">
        <v>0.132555555555555</v>
      </c>
      <c r="P61" s="1" t="s">
        <v>61</v>
      </c>
      <c r="Q61" s="1" t="s">
        <v>61</v>
      </c>
      <c r="R61" s="1">
        <f t="shared" si="1"/>
        <v>0.1325555556</v>
      </c>
      <c r="S61" s="1">
        <f t="shared" si="2"/>
        <v>125</v>
      </c>
      <c r="T61" s="1">
        <f t="shared" si="3"/>
        <v>2.25</v>
      </c>
      <c r="U61" s="1">
        <f t="shared" si="4"/>
        <v>0</v>
      </c>
      <c r="V61" s="3">
        <f t="shared" si="5"/>
        <v>3</v>
      </c>
      <c r="W61" s="3">
        <f t="shared" si="6"/>
        <v>1</v>
      </c>
      <c r="X61" s="3" t="str">
        <f>IFERROR(__xludf.DUMMYFUNCTION("split(B61,"" "")"),"K.")</f>
        <v>K.</v>
      </c>
      <c r="Y61" s="3" t="str">
        <f>IFERROR(__xludf.DUMMYFUNCTION("""COMPUTED_VALUE"""),"Allen")</f>
        <v>Allen</v>
      </c>
      <c r="AA61" s="8">
        <v>9.0</v>
      </c>
      <c r="AB61" s="3">
        <f t="shared" si="7"/>
        <v>1</v>
      </c>
      <c r="AC61" s="3">
        <f t="shared" si="8"/>
        <v>0</v>
      </c>
      <c r="AD61" s="3">
        <f t="shared" si="9"/>
        <v>3.75</v>
      </c>
      <c r="AE61" s="3">
        <f t="shared" si="10"/>
        <v>-3</v>
      </c>
      <c r="AF61" s="3">
        <f t="shared" si="11"/>
        <v>-1</v>
      </c>
      <c r="AG61" s="3">
        <f t="shared" si="12"/>
        <v>-1.571428571</v>
      </c>
    </row>
    <row r="62">
      <c r="A62" s="1" t="s">
        <v>12</v>
      </c>
      <c r="B62" s="1" t="s">
        <v>231</v>
      </c>
      <c r="C62" s="1" t="s">
        <v>20</v>
      </c>
      <c r="D62" s="1" t="s">
        <v>99</v>
      </c>
      <c r="E62" s="1" t="s">
        <v>146</v>
      </c>
      <c r="F62" s="1" t="s">
        <v>695</v>
      </c>
      <c r="G62" s="1">
        <v>2.5</v>
      </c>
      <c r="H62" s="1" t="s">
        <v>60</v>
      </c>
      <c r="I62" s="1">
        <v>-137.0</v>
      </c>
      <c r="J62" s="1">
        <v>-0.179740705147679</v>
      </c>
      <c r="K62" s="1" t="s">
        <v>61</v>
      </c>
      <c r="L62" s="1" t="s">
        <v>61</v>
      </c>
      <c r="M62" s="1" t="s">
        <v>62</v>
      </c>
      <c r="N62" s="1">
        <v>104.0</v>
      </c>
      <c r="O62" s="1">
        <v>0.111498760392156</v>
      </c>
      <c r="P62" s="1" t="s">
        <v>61</v>
      </c>
      <c r="Q62" s="1" t="s">
        <v>61</v>
      </c>
      <c r="R62" s="1">
        <f t="shared" si="1"/>
        <v>0.1114987604</v>
      </c>
      <c r="S62" s="1">
        <f t="shared" si="2"/>
        <v>104</v>
      </c>
      <c r="T62" s="1">
        <f t="shared" si="3"/>
        <v>2.04</v>
      </c>
      <c r="U62" s="1">
        <f t="shared" si="4"/>
        <v>0</v>
      </c>
      <c r="V62" s="3">
        <f t="shared" si="5"/>
        <v>3</v>
      </c>
      <c r="W62" s="3">
        <f t="shared" si="6"/>
        <v>2</v>
      </c>
      <c r="X62" s="3" t="str">
        <f>IFERROR(__xludf.DUMMYFUNCTION("split(B62,"" "")"),"C.")</f>
        <v>C.</v>
      </c>
      <c r="Y62" s="3" t="str">
        <f>IFERROR(__xludf.DUMMYFUNCTION("""COMPUTED_VALUE"""),"Kmet")</f>
        <v>Kmet</v>
      </c>
      <c r="AA62" s="8">
        <v>7.0</v>
      </c>
      <c r="AB62" s="3">
        <f t="shared" si="7"/>
        <v>1</v>
      </c>
      <c r="AC62" s="3">
        <f t="shared" si="8"/>
        <v>0</v>
      </c>
      <c r="AD62" s="3">
        <f t="shared" si="9"/>
        <v>3.12</v>
      </c>
      <c r="AE62" s="3">
        <f t="shared" si="10"/>
        <v>-3</v>
      </c>
      <c r="AF62" s="3">
        <f t="shared" si="11"/>
        <v>-2</v>
      </c>
      <c r="AG62" s="3">
        <f t="shared" si="12"/>
        <v>-1.8</v>
      </c>
    </row>
    <row r="63">
      <c r="A63" s="1" t="s">
        <v>12</v>
      </c>
      <c r="B63" s="1" t="s">
        <v>191</v>
      </c>
      <c r="C63" s="1" t="s">
        <v>18</v>
      </c>
      <c r="D63" s="1" t="s">
        <v>99</v>
      </c>
      <c r="E63" s="1" t="s">
        <v>146</v>
      </c>
      <c r="F63" s="1" t="s">
        <v>695</v>
      </c>
      <c r="G63" s="1">
        <v>3.5</v>
      </c>
      <c r="H63" s="1" t="s">
        <v>60</v>
      </c>
      <c r="I63" s="1">
        <v>-125.0</v>
      </c>
      <c r="J63" s="1">
        <v>-0.1783</v>
      </c>
      <c r="K63" s="1" t="s">
        <v>61</v>
      </c>
      <c r="L63" s="1" t="s">
        <v>61</v>
      </c>
      <c r="M63" s="1" t="s">
        <v>62</v>
      </c>
      <c r="N63" s="1">
        <v>-105.0</v>
      </c>
      <c r="O63" s="1">
        <v>0.110556097560975</v>
      </c>
      <c r="P63" s="1" t="s">
        <v>61</v>
      </c>
      <c r="Q63" s="1" t="s">
        <v>61</v>
      </c>
      <c r="R63" s="1">
        <f t="shared" si="1"/>
        <v>0.1105560976</v>
      </c>
      <c r="S63" s="1">
        <f t="shared" si="2"/>
        <v>-105</v>
      </c>
      <c r="T63" s="1">
        <f t="shared" si="3"/>
        <v>1.952380952</v>
      </c>
      <c r="U63" s="1">
        <f t="shared" si="4"/>
        <v>0</v>
      </c>
      <c r="V63" s="3">
        <f t="shared" si="5"/>
        <v>3</v>
      </c>
      <c r="W63" s="3">
        <f t="shared" si="6"/>
        <v>2</v>
      </c>
      <c r="X63" s="3" t="str">
        <f>IFERROR(__xludf.DUMMYFUNCTION("split(B63,"" "")"),"R.")</f>
        <v>R.</v>
      </c>
      <c r="Y63" s="3" t="str">
        <f>IFERROR(__xludf.DUMMYFUNCTION("""COMPUTED_VALUE"""),"Odunze")</f>
        <v>Odunze</v>
      </c>
      <c r="AA63" s="8">
        <v>5.0</v>
      </c>
      <c r="AB63" s="3">
        <f t="shared" si="7"/>
        <v>1</v>
      </c>
      <c r="AC63" s="3">
        <f t="shared" si="8"/>
        <v>0</v>
      </c>
      <c r="AD63" s="3">
        <f t="shared" si="9"/>
        <v>2.857142857</v>
      </c>
      <c r="AE63" s="3">
        <f t="shared" si="10"/>
        <v>-3</v>
      </c>
      <c r="AF63" s="3">
        <f t="shared" si="11"/>
        <v>-2</v>
      </c>
      <c r="AG63" s="3">
        <f t="shared" si="12"/>
        <v>-0.4285714286</v>
      </c>
    </row>
    <row r="64">
      <c r="A64" s="1" t="s">
        <v>12</v>
      </c>
      <c r="B64" s="1" t="s">
        <v>578</v>
      </c>
      <c r="C64" s="1" t="s">
        <v>19</v>
      </c>
      <c r="D64" s="1" t="s">
        <v>99</v>
      </c>
      <c r="E64" s="1" t="s">
        <v>146</v>
      </c>
      <c r="F64" s="1" t="s">
        <v>695</v>
      </c>
      <c r="G64" s="1">
        <v>1.5</v>
      </c>
      <c r="H64" s="1" t="s">
        <v>60</v>
      </c>
      <c r="I64" s="1">
        <v>-103.0</v>
      </c>
      <c r="J64" s="1">
        <v>-0.166132666605911</v>
      </c>
      <c r="K64" s="1" t="s">
        <v>61</v>
      </c>
      <c r="L64" s="1" t="s">
        <v>61</v>
      </c>
      <c r="M64" s="1" t="s">
        <v>62</v>
      </c>
      <c r="N64" s="1">
        <v>-126.0</v>
      </c>
      <c r="O64" s="1">
        <v>0.101213935683451</v>
      </c>
      <c r="P64" s="1" t="s">
        <v>61</v>
      </c>
      <c r="Q64" s="1" t="s">
        <v>61</v>
      </c>
      <c r="R64" s="1">
        <f t="shared" si="1"/>
        <v>0.1012139357</v>
      </c>
      <c r="S64" s="1">
        <f t="shared" si="2"/>
        <v>-126</v>
      </c>
      <c r="T64" s="1">
        <f t="shared" si="3"/>
        <v>1.793650794</v>
      </c>
      <c r="U64" s="1">
        <f t="shared" si="4"/>
        <v>0</v>
      </c>
      <c r="V64" s="3">
        <f t="shared" si="5"/>
        <v>3</v>
      </c>
      <c r="W64" s="3">
        <f t="shared" si="6"/>
        <v>3</v>
      </c>
      <c r="X64" s="3" t="str">
        <f>IFERROR(__xludf.DUMMYFUNCTION("split(B64,"" "")"),"R.")</f>
        <v>R.</v>
      </c>
      <c r="Y64" s="3" t="str">
        <f>IFERROR(__xludf.DUMMYFUNCTION("""COMPUTED_VALUE"""),"Johnson")</f>
        <v>Johnson</v>
      </c>
      <c r="AA64" s="8">
        <v>1.0</v>
      </c>
      <c r="AB64" s="3">
        <f t="shared" si="7"/>
        <v>0</v>
      </c>
      <c r="AC64" s="3">
        <f t="shared" si="8"/>
        <v>1</v>
      </c>
      <c r="AD64" s="3">
        <f t="shared" si="9"/>
        <v>2.380952381</v>
      </c>
      <c r="AE64" s="3">
        <f t="shared" si="10"/>
        <v>2.380952381</v>
      </c>
      <c r="AF64" s="3">
        <f t="shared" si="11"/>
        <v>2.380952381</v>
      </c>
      <c r="AG64" s="3">
        <f t="shared" si="12"/>
        <v>0.3333333333</v>
      </c>
    </row>
    <row r="65">
      <c r="A65" s="1" t="s">
        <v>12</v>
      </c>
      <c r="B65" s="1" t="s">
        <v>98</v>
      </c>
      <c r="C65" s="1" t="s">
        <v>19</v>
      </c>
      <c r="D65" s="1" t="s">
        <v>99</v>
      </c>
      <c r="E65" s="1" t="s">
        <v>146</v>
      </c>
      <c r="F65" s="1" t="s">
        <v>695</v>
      </c>
      <c r="G65" s="1">
        <v>2.5</v>
      </c>
      <c r="H65" s="1" t="s">
        <v>60</v>
      </c>
      <c r="I65" s="1">
        <v>116.0</v>
      </c>
      <c r="J65" s="1">
        <v>-0.142707747231481</v>
      </c>
      <c r="K65" s="1" t="s">
        <v>61</v>
      </c>
      <c r="L65" s="1" t="s">
        <v>61</v>
      </c>
      <c r="M65" s="1" t="s">
        <v>62</v>
      </c>
      <c r="N65" s="1">
        <v>-153.0</v>
      </c>
      <c r="O65" s="1">
        <v>0.0749947400335968</v>
      </c>
      <c r="P65" s="1" t="s">
        <v>61</v>
      </c>
      <c r="Q65" s="1" t="s">
        <v>61</v>
      </c>
      <c r="R65" s="1">
        <f t="shared" si="1"/>
        <v>0.07499474003</v>
      </c>
      <c r="S65" s="1">
        <f t="shared" si="2"/>
        <v>-153</v>
      </c>
      <c r="T65" s="1">
        <f t="shared" si="3"/>
        <v>1.653594771</v>
      </c>
      <c r="U65" s="1">
        <f t="shared" si="4"/>
        <v>0</v>
      </c>
      <c r="V65" s="3">
        <f t="shared" si="5"/>
        <v>2</v>
      </c>
      <c r="W65" s="3">
        <f t="shared" si="6"/>
        <v>3</v>
      </c>
      <c r="X65" s="3" t="str">
        <f>IFERROR(__xludf.DUMMYFUNCTION("split(B65,"" "")"),"D.")</f>
        <v>D.</v>
      </c>
      <c r="Y65" s="3" t="str">
        <f>IFERROR(__xludf.DUMMYFUNCTION("""COMPUTED_VALUE"""),"Swift")</f>
        <v>Swift</v>
      </c>
      <c r="AA65" s="8">
        <v>3.0</v>
      </c>
      <c r="AB65" s="3">
        <f t="shared" si="7"/>
        <v>1</v>
      </c>
      <c r="AC65" s="3">
        <f t="shared" si="8"/>
        <v>0</v>
      </c>
      <c r="AD65" s="3">
        <f t="shared" si="9"/>
        <v>1.307189542</v>
      </c>
      <c r="AE65" s="3">
        <f t="shared" si="10"/>
        <v>-2</v>
      </c>
      <c r="AF65" s="3">
        <f t="shared" si="11"/>
        <v>-3</v>
      </c>
      <c r="AG65" s="3">
        <f t="shared" si="12"/>
        <v>-0.2</v>
      </c>
    </row>
    <row r="66">
      <c r="A66" s="1" t="s">
        <v>16</v>
      </c>
      <c r="B66" s="1" t="s">
        <v>274</v>
      </c>
      <c r="C66" s="1" t="s">
        <v>21</v>
      </c>
      <c r="D66" s="1" t="s">
        <v>99</v>
      </c>
      <c r="E66" s="1" t="s">
        <v>146</v>
      </c>
      <c r="F66" s="1" t="s">
        <v>695</v>
      </c>
      <c r="G66" s="1">
        <v>30.5</v>
      </c>
      <c r="H66" s="1" t="s">
        <v>60</v>
      </c>
      <c r="I66" s="1">
        <v>-132.0</v>
      </c>
      <c r="J66" s="1">
        <v>-0.117062480043103</v>
      </c>
      <c r="K66" s="1" t="s">
        <v>61</v>
      </c>
      <c r="L66" s="1" t="s">
        <v>61</v>
      </c>
      <c r="M66" s="1" t="s">
        <v>62</v>
      </c>
      <c r="N66" s="1">
        <v>103.0</v>
      </c>
      <c r="O66" s="1">
        <v>0.0554856914778326</v>
      </c>
      <c r="P66" s="1" t="s">
        <v>61</v>
      </c>
      <c r="Q66" s="1" t="s">
        <v>61</v>
      </c>
      <c r="R66" s="1">
        <f t="shared" si="1"/>
        <v>0.05548569148</v>
      </c>
      <c r="S66" s="1">
        <f t="shared" si="2"/>
        <v>103</v>
      </c>
      <c r="T66" s="1">
        <f t="shared" si="3"/>
        <v>2.03</v>
      </c>
      <c r="U66" s="1">
        <f t="shared" si="4"/>
        <v>0</v>
      </c>
      <c r="V66" s="3">
        <f t="shared" si="5"/>
        <v>2</v>
      </c>
      <c r="W66" s="3">
        <f t="shared" si="6"/>
        <v>2</v>
      </c>
      <c r="X66" s="3" t="str">
        <f>IFERROR(__xludf.DUMMYFUNCTION("split(B66,"" "")"),"C.")</f>
        <v>C.</v>
      </c>
      <c r="Y66" s="3" t="str">
        <f>IFERROR(__xludf.DUMMYFUNCTION("""COMPUTED_VALUE"""),"Williams")</f>
        <v>Williams</v>
      </c>
      <c r="AA66" s="8">
        <v>47.0</v>
      </c>
      <c r="AB66" s="3">
        <f t="shared" si="7"/>
        <v>1</v>
      </c>
      <c r="AC66" s="3">
        <f t="shared" si="8"/>
        <v>0</v>
      </c>
      <c r="AD66" s="3">
        <f t="shared" si="9"/>
        <v>2.06</v>
      </c>
      <c r="AE66" s="3">
        <f t="shared" si="10"/>
        <v>-2</v>
      </c>
      <c r="AF66" s="3">
        <f t="shared" si="11"/>
        <v>-2</v>
      </c>
      <c r="AG66" s="3">
        <f t="shared" si="12"/>
        <v>-0.5409836066</v>
      </c>
    </row>
    <row r="67">
      <c r="A67" s="1" t="s">
        <v>11</v>
      </c>
      <c r="B67" s="1" t="s">
        <v>191</v>
      </c>
      <c r="C67" s="1" t="s">
        <v>18</v>
      </c>
      <c r="D67" s="1" t="s">
        <v>99</v>
      </c>
      <c r="E67" s="1" t="s">
        <v>146</v>
      </c>
      <c r="F67" s="1" t="s">
        <v>695</v>
      </c>
      <c r="G67" s="1">
        <v>44.5</v>
      </c>
      <c r="H67" s="1" t="s">
        <v>60</v>
      </c>
      <c r="I67" s="1">
        <v>-115.0</v>
      </c>
      <c r="J67" s="1">
        <v>-0.106463409485116</v>
      </c>
      <c r="K67" s="1" t="s">
        <v>61</v>
      </c>
      <c r="L67" s="1" t="s">
        <v>61</v>
      </c>
      <c r="M67" s="1" t="s">
        <v>62</v>
      </c>
      <c r="N67" s="1">
        <v>-109.0</v>
      </c>
      <c r="O67" s="1">
        <v>0.050081441634555</v>
      </c>
      <c r="P67" s="1" t="s">
        <v>61</v>
      </c>
      <c r="Q67" s="1" t="s">
        <v>61</v>
      </c>
      <c r="R67" s="1">
        <f t="shared" si="1"/>
        <v>0.05008144163</v>
      </c>
      <c r="S67" s="1">
        <f t="shared" si="2"/>
        <v>-109</v>
      </c>
      <c r="T67" s="1">
        <f t="shared" si="3"/>
        <v>1.917431193</v>
      </c>
      <c r="U67" s="1">
        <f t="shared" si="4"/>
        <v>0</v>
      </c>
      <c r="V67" s="3">
        <f t="shared" si="5"/>
        <v>2</v>
      </c>
      <c r="W67" s="3">
        <f t="shared" si="6"/>
        <v>2</v>
      </c>
      <c r="X67" s="3" t="str">
        <f>IFERROR(__xludf.DUMMYFUNCTION("split(B67,"" "")"),"R.")</f>
        <v>R.</v>
      </c>
      <c r="Y67" s="3" t="str">
        <f>IFERROR(__xludf.DUMMYFUNCTION("""COMPUTED_VALUE"""),"Odunze")</f>
        <v>Odunze</v>
      </c>
      <c r="AA67" s="8">
        <v>39.0</v>
      </c>
      <c r="AB67" s="3">
        <f t="shared" si="7"/>
        <v>0</v>
      </c>
      <c r="AC67" s="3">
        <f t="shared" si="8"/>
        <v>1</v>
      </c>
      <c r="AD67" s="3">
        <f t="shared" si="9"/>
        <v>1.834862385</v>
      </c>
      <c r="AE67" s="3">
        <f t="shared" si="10"/>
        <v>1.834862385</v>
      </c>
      <c r="AF67" s="3">
        <f t="shared" si="11"/>
        <v>1.834862385</v>
      </c>
      <c r="AG67" s="3">
        <f t="shared" si="12"/>
        <v>0.1235955056</v>
      </c>
    </row>
    <row r="68">
      <c r="A68" s="1" t="s">
        <v>9</v>
      </c>
      <c r="B68" s="1" t="s">
        <v>578</v>
      </c>
      <c r="C68" s="1" t="s">
        <v>19</v>
      </c>
      <c r="D68" s="1" t="s">
        <v>99</v>
      </c>
      <c r="E68" s="1" t="s">
        <v>146</v>
      </c>
      <c r="F68" s="1" t="s">
        <v>695</v>
      </c>
      <c r="G68" s="1">
        <v>28.0</v>
      </c>
      <c r="H68" s="1" t="s">
        <v>60</v>
      </c>
      <c r="I68" s="1">
        <v>-116.0</v>
      </c>
      <c r="J68" s="1">
        <v>0.0421365245882471</v>
      </c>
      <c r="K68" s="1" t="s">
        <v>61</v>
      </c>
      <c r="L68" s="1" t="s">
        <v>61</v>
      </c>
      <c r="M68" s="1" t="s">
        <v>62</v>
      </c>
      <c r="N68" s="1">
        <v>-116.0</v>
      </c>
      <c r="O68" s="1">
        <v>-0.114862368522366</v>
      </c>
      <c r="P68" s="1" t="s">
        <v>61</v>
      </c>
      <c r="Q68" s="1" t="s">
        <v>61</v>
      </c>
      <c r="R68" s="1">
        <f t="shared" si="1"/>
        <v>0.04213652459</v>
      </c>
      <c r="S68" s="1">
        <f t="shared" si="2"/>
        <v>-116</v>
      </c>
      <c r="T68" s="1">
        <f t="shared" si="3"/>
        <v>1.862068966</v>
      </c>
      <c r="U68" s="1">
        <f t="shared" si="4"/>
        <v>1</v>
      </c>
      <c r="V68" s="3">
        <f t="shared" si="5"/>
        <v>1</v>
      </c>
      <c r="W68" s="3">
        <f t="shared" si="6"/>
        <v>2</v>
      </c>
      <c r="X68" s="3" t="str">
        <f>IFERROR(__xludf.DUMMYFUNCTION("split(B68,"" "")"),"R.")</f>
        <v>R.</v>
      </c>
      <c r="Y68" s="3" t="str">
        <f>IFERROR(__xludf.DUMMYFUNCTION("""COMPUTED_VALUE"""),"Johnson")</f>
        <v>Johnson</v>
      </c>
      <c r="AA68" s="8">
        <v>12.0</v>
      </c>
      <c r="AB68" s="3">
        <f t="shared" si="7"/>
        <v>0</v>
      </c>
      <c r="AC68" s="3">
        <f t="shared" si="8"/>
        <v>0</v>
      </c>
      <c r="AD68" s="3">
        <f t="shared" si="9"/>
        <v>0.8620689655</v>
      </c>
      <c r="AE68" s="3">
        <f t="shared" si="10"/>
        <v>-1</v>
      </c>
      <c r="AF68" s="3">
        <f t="shared" si="11"/>
        <v>-2</v>
      </c>
      <c r="AG68" s="3">
        <f t="shared" si="12"/>
        <v>-0.5714285714</v>
      </c>
    </row>
    <row r="69">
      <c r="A69" s="1" t="s">
        <v>11</v>
      </c>
      <c r="B69" s="1" t="s">
        <v>578</v>
      </c>
      <c r="C69" s="1" t="s">
        <v>19</v>
      </c>
      <c r="D69" s="1" t="s">
        <v>99</v>
      </c>
      <c r="E69" s="1" t="s">
        <v>146</v>
      </c>
      <c r="F69" s="1" t="s">
        <v>695</v>
      </c>
      <c r="G69" s="1">
        <v>7.5</v>
      </c>
      <c r="H69" s="1" t="s">
        <v>60</v>
      </c>
      <c r="I69" s="1">
        <v>-120.0</v>
      </c>
      <c r="J69" s="1">
        <v>0.0395872492467216</v>
      </c>
      <c r="K69" s="1" t="s">
        <v>61</v>
      </c>
      <c r="L69" s="1" t="s">
        <v>61</v>
      </c>
      <c r="M69" s="1" t="s">
        <v>62</v>
      </c>
      <c r="N69" s="1">
        <v>-107.0</v>
      </c>
      <c r="O69" s="1">
        <v>-0.101942021607141</v>
      </c>
      <c r="P69" s="1" t="s">
        <v>61</v>
      </c>
      <c r="Q69" s="1" t="s">
        <v>61</v>
      </c>
      <c r="R69" s="1">
        <f t="shared" si="1"/>
        <v>0.03958724925</v>
      </c>
      <c r="S69" s="1">
        <f t="shared" si="2"/>
        <v>-120</v>
      </c>
      <c r="T69" s="1">
        <f t="shared" si="3"/>
        <v>1.833333333</v>
      </c>
      <c r="U69" s="1">
        <f t="shared" si="4"/>
        <v>1</v>
      </c>
      <c r="V69" s="3">
        <f t="shared" si="5"/>
        <v>1</v>
      </c>
      <c r="W69" s="3">
        <f t="shared" si="6"/>
        <v>3</v>
      </c>
      <c r="X69" s="3" t="str">
        <f>IFERROR(__xludf.DUMMYFUNCTION("split(B69,"" "")"),"R.")</f>
        <v>R.</v>
      </c>
      <c r="Y69" s="3" t="str">
        <f>IFERROR(__xludf.DUMMYFUNCTION("""COMPUTED_VALUE"""),"Johnson")</f>
        <v>Johnson</v>
      </c>
      <c r="AA69" s="8">
        <v>10.0</v>
      </c>
      <c r="AB69" s="3">
        <f t="shared" si="7"/>
        <v>1</v>
      </c>
      <c r="AC69" s="3">
        <f t="shared" si="8"/>
        <v>1</v>
      </c>
      <c r="AD69" s="3">
        <f t="shared" si="9"/>
        <v>0.8333333333</v>
      </c>
      <c r="AE69" s="3">
        <f t="shared" si="10"/>
        <v>0.8333333333</v>
      </c>
      <c r="AF69" s="3">
        <f t="shared" si="11"/>
        <v>2.5</v>
      </c>
      <c r="AG69" s="3">
        <f t="shared" si="12"/>
        <v>0.3333333333</v>
      </c>
    </row>
    <row r="70">
      <c r="A70" s="1" t="s">
        <v>17</v>
      </c>
      <c r="B70" s="1" t="s">
        <v>274</v>
      </c>
      <c r="C70" s="1" t="s">
        <v>21</v>
      </c>
      <c r="D70" s="1" t="s">
        <v>99</v>
      </c>
      <c r="E70" s="1" t="s">
        <v>146</v>
      </c>
      <c r="F70" s="1" t="s">
        <v>695</v>
      </c>
      <c r="G70" s="1">
        <v>0.5</v>
      </c>
      <c r="H70" s="1" t="s">
        <v>60</v>
      </c>
      <c r="I70" s="1">
        <v>-116.0</v>
      </c>
      <c r="J70" s="1">
        <v>-0.098237037037037</v>
      </c>
      <c r="K70" s="1" t="s">
        <v>61</v>
      </c>
      <c r="L70" s="1" t="s">
        <v>61</v>
      </c>
      <c r="M70" s="1" t="s">
        <v>62</v>
      </c>
      <c r="N70" s="1">
        <v>-113.0</v>
      </c>
      <c r="O70" s="1">
        <v>0.0306835680751174</v>
      </c>
      <c r="P70" s="1" t="s">
        <v>61</v>
      </c>
      <c r="Q70" s="1" t="s">
        <v>61</v>
      </c>
      <c r="R70" s="1">
        <f t="shared" si="1"/>
        <v>0.03068356808</v>
      </c>
      <c r="S70" s="1">
        <f t="shared" si="2"/>
        <v>-113</v>
      </c>
      <c r="T70" s="1">
        <f t="shared" si="3"/>
        <v>1.884955752</v>
      </c>
      <c r="U70" s="1">
        <f t="shared" si="4"/>
        <v>0</v>
      </c>
      <c r="V70" s="3">
        <f t="shared" si="5"/>
        <v>1</v>
      </c>
      <c r="W70" s="3">
        <f t="shared" si="6"/>
        <v>2</v>
      </c>
      <c r="X70" s="3" t="str">
        <f>IFERROR(__xludf.DUMMYFUNCTION("split(B70,"" "")"),"C.")</f>
        <v>C.</v>
      </c>
      <c r="Y70" s="3" t="str">
        <f>IFERROR(__xludf.DUMMYFUNCTION("""COMPUTED_VALUE"""),"Williams")</f>
        <v>Williams</v>
      </c>
      <c r="AA70" s="8">
        <v>0.0</v>
      </c>
      <c r="AB70" s="3">
        <f t="shared" si="7"/>
        <v>0</v>
      </c>
      <c r="AC70" s="3">
        <f t="shared" si="8"/>
        <v>1</v>
      </c>
      <c r="AD70" s="3">
        <f t="shared" si="9"/>
        <v>0.8849557522</v>
      </c>
      <c r="AE70" s="3">
        <f t="shared" si="10"/>
        <v>0.8849557522</v>
      </c>
      <c r="AF70" s="3">
        <f t="shared" si="11"/>
        <v>1.769911504</v>
      </c>
      <c r="AG70" s="3">
        <f t="shared" si="12"/>
        <v>1</v>
      </c>
    </row>
    <row r="71">
      <c r="A71" s="1" t="s">
        <v>10</v>
      </c>
      <c r="B71" s="1" t="s">
        <v>274</v>
      </c>
      <c r="C71" s="1" t="s">
        <v>21</v>
      </c>
      <c r="D71" s="1" t="s">
        <v>99</v>
      </c>
      <c r="E71" s="1" t="s">
        <v>146</v>
      </c>
      <c r="F71" s="1" t="s">
        <v>695</v>
      </c>
      <c r="G71" s="1">
        <v>22.5</v>
      </c>
      <c r="H71" s="1" t="s">
        <v>60</v>
      </c>
      <c r="I71" s="1">
        <v>-116.0</v>
      </c>
      <c r="J71" s="1">
        <v>-0.0885570398081108</v>
      </c>
      <c r="K71" s="1" t="s">
        <v>61</v>
      </c>
      <c r="L71" s="1" t="s">
        <v>61</v>
      </c>
      <c r="M71" s="1" t="s">
        <v>62</v>
      </c>
      <c r="N71" s="1">
        <v>-111.0</v>
      </c>
      <c r="O71" s="1">
        <v>0.0254836391677375</v>
      </c>
      <c r="P71" s="1" t="s">
        <v>61</v>
      </c>
      <c r="Q71" s="1" t="s">
        <v>61</v>
      </c>
      <c r="R71" s="1">
        <f t="shared" si="1"/>
        <v>0.02548363917</v>
      </c>
      <c r="S71" s="1">
        <f t="shared" si="2"/>
        <v>-111</v>
      </c>
      <c r="T71" s="1">
        <f t="shared" si="3"/>
        <v>1.900900901</v>
      </c>
      <c r="U71" s="1">
        <f t="shared" si="4"/>
        <v>0</v>
      </c>
      <c r="V71" s="3">
        <f t="shared" si="5"/>
        <v>1</v>
      </c>
      <c r="W71" s="3">
        <f t="shared" si="6"/>
        <v>2</v>
      </c>
      <c r="X71" s="3" t="str">
        <f>IFERROR(__xludf.DUMMYFUNCTION("split(B71,"" "")"),"C.")</f>
        <v>C.</v>
      </c>
      <c r="Y71" s="3" t="str">
        <f>IFERROR(__xludf.DUMMYFUNCTION("""COMPUTED_VALUE"""),"Williams")</f>
        <v>Williams</v>
      </c>
      <c r="AA71" s="8">
        <v>33.0</v>
      </c>
      <c r="AB71" s="3">
        <f t="shared" si="7"/>
        <v>1</v>
      </c>
      <c r="AC71" s="3">
        <f t="shared" si="8"/>
        <v>0</v>
      </c>
      <c r="AD71" s="3">
        <f t="shared" si="9"/>
        <v>0.9009009009</v>
      </c>
      <c r="AE71" s="3">
        <f t="shared" si="10"/>
        <v>-1</v>
      </c>
      <c r="AF71" s="3">
        <f t="shared" si="11"/>
        <v>-2</v>
      </c>
      <c r="AG71" s="3">
        <f t="shared" si="12"/>
        <v>-0.4666666667</v>
      </c>
    </row>
    <row r="72">
      <c r="A72" s="1" t="s">
        <v>11</v>
      </c>
      <c r="B72" s="1" t="s">
        <v>268</v>
      </c>
      <c r="C72" s="1" t="s">
        <v>18</v>
      </c>
      <c r="D72" s="1" t="s">
        <v>99</v>
      </c>
      <c r="E72" s="1" t="s">
        <v>146</v>
      </c>
      <c r="F72" s="1" t="s">
        <v>695</v>
      </c>
      <c r="G72" s="1">
        <v>38.5</v>
      </c>
      <c r="H72" s="1" t="s">
        <v>60</v>
      </c>
      <c r="I72" s="1">
        <v>-113.0</v>
      </c>
      <c r="J72" s="1">
        <v>-0.0829808401835681</v>
      </c>
      <c r="K72" s="1" t="s">
        <v>61</v>
      </c>
      <c r="L72" s="1" t="s">
        <v>61</v>
      </c>
      <c r="M72" s="1" t="s">
        <v>62</v>
      </c>
      <c r="N72" s="1">
        <v>-115.0</v>
      </c>
      <c r="O72" s="1">
        <v>0.0175333229021628</v>
      </c>
      <c r="P72" s="1" t="s">
        <v>61</v>
      </c>
      <c r="Q72" s="1" t="s">
        <v>61</v>
      </c>
      <c r="R72" s="1">
        <f t="shared" si="1"/>
        <v>0.0175333229</v>
      </c>
      <c r="S72" s="1">
        <f t="shared" si="2"/>
        <v>-115</v>
      </c>
      <c r="T72" s="1">
        <f t="shared" si="3"/>
        <v>1.869565217</v>
      </c>
      <c r="U72" s="1">
        <f t="shared" si="4"/>
        <v>0</v>
      </c>
      <c r="V72" s="3">
        <f t="shared" si="5"/>
        <v>1</v>
      </c>
      <c r="W72" s="3">
        <f t="shared" si="6"/>
        <v>2</v>
      </c>
      <c r="X72" s="3" t="str">
        <f>IFERROR(__xludf.DUMMYFUNCTION("split(B72,"" "")"),"K.")</f>
        <v>K.</v>
      </c>
      <c r="Y72" s="3" t="str">
        <f>IFERROR(__xludf.DUMMYFUNCTION("""COMPUTED_VALUE"""),"Allen")</f>
        <v>Allen</v>
      </c>
      <c r="AA72" s="8">
        <v>86.0</v>
      </c>
      <c r="AB72" s="3">
        <f t="shared" si="7"/>
        <v>1</v>
      </c>
      <c r="AC72" s="3">
        <f t="shared" si="8"/>
        <v>0</v>
      </c>
      <c r="AD72" s="3">
        <f t="shared" si="9"/>
        <v>0.8695652174</v>
      </c>
      <c r="AE72" s="3">
        <f t="shared" si="10"/>
        <v>-1</v>
      </c>
      <c r="AF72" s="3">
        <f t="shared" si="11"/>
        <v>-2</v>
      </c>
      <c r="AG72" s="3">
        <f t="shared" si="12"/>
        <v>-1.233766234</v>
      </c>
    </row>
    <row r="73">
      <c r="A73" s="1" t="s">
        <v>15</v>
      </c>
      <c r="B73" s="1" t="s">
        <v>274</v>
      </c>
      <c r="C73" s="1" t="s">
        <v>21</v>
      </c>
      <c r="D73" s="1" t="s">
        <v>99</v>
      </c>
      <c r="E73" s="1" t="s">
        <v>146</v>
      </c>
      <c r="F73" s="1" t="s">
        <v>695</v>
      </c>
      <c r="G73" s="1">
        <v>20.5</v>
      </c>
      <c r="H73" s="1" t="s">
        <v>60</v>
      </c>
      <c r="I73" s="1">
        <v>-105.0</v>
      </c>
      <c r="J73" s="1">
        <v>0.00220731707317067</v>
      </c>
      <c r="K73" s="1" t="s">
        <v>61</v>
      </c>
      <c r="L73" s="1" t="s">
        <v>61</v>
      </c>
      <c r="M73" s="1" t="s">
        <v>62</v>
      </c>
      <c r="N73" s="1">
        <v>-125.0</v>
      </c>
      <c r="O73" s="1">
        <v>-0.0699444444444444</v>
      </c>
      <c r="P73" s="1" t="s">
        <v>61</v>
      </c>
      <c r="Q73" s="1" t="s">
        <v>61</v>
      </c>
      <c r="R73" s="1">
        <f t="shared" si="1"/>
        <v>0.002207317073</v>
      </c>
      <c r="S73" s="1">
        <f t="shared" si="2"/>
        <v>-105</v>
      </c>
      <c r="T73" s="1">
        <f t="shared" si="3"/>
        <v>1.952380952</v>
      </c>
      <c r="U73" s="1">
        <f t="shared" si="4"/>
        <v>1</v>
      </c>
      <c r="V73" s="3">
        <f t="shared" si="5"/>
        <v>1</v>
      </c>
      <c r="W73" s="3">
        <f t="shared" si="6"/>
        <v>2</v>
      </c>
      <c r="X73" s="3" t="str">
        <f>IFERROR(__xludf.DUMMYFUNCTION("split(B73,"" "")"),"C.")</f>
        <v>C.</v>
      </c>
      <c r="Y73" s="3" t="str">
        <f>IFERROR(__xludf.DUMMYFUNCTION("""COMPUTED_VALUE"""),"Williams")</f>
        <v>Williams</v>
      </c>
      <c r="AA73" s="8">
        <v>32.0</v>
      </c>
      <c r="AB73" s="3">
        <f t="shared" si="7"/>
        <v>1</v>
      </c>
      <c r="AC73" s="3">
        <f t="shared" si="8"/>
        <v>1</v>
      </c>
      <c r="AD73" s="3">
        <f t="shared" si="9"/>
        <v>0.9523809524</v>
      </c>
      <c r="AE73" s="3">
        <f t="shared" si="10"/>
        <v>0.9523809524</v>
      </c>
      <c r="AF73" s="3">
        <f t="shared" si="11"/>
        <v>1.904761905</v>
      </c>
      <c r="AG73" s="3">
        <f t="shared" si="12"/>
        <v>0.5609756098</v>
      </c>
    </row>
    <row r="74">
      <c r="A74" s="1" t="s">
        <v>11</v>
      </c>
      <c r="B74" s="1" t="s">
        <v>632</v>
      </c>
      <c r="C74" s="1" t="s">
        <v>19</v>
      </c>
      <c r="D74" s="1" t="s">
        <v>89</v>
      </c>
      <c r="E74" s="1" t="s">
        <v>110</v>
      </c>
      <c r="F74" s="1" t="s">
        <v>696</v>
      </c>
      <c r="G74" s="1">
        <v>3.5</v>
      </c>
      <c r="H74" s="1" t="s">
        <v>60</v>
      </c>
      <c r="I74" s="1">
        <v>-108.0</v>
      </c>
      <c r="J74" s="1">
        <v>0.147249279277219</v>
      </c>
      <c r="K74" s="1" t="s">
        <v>61</v>
      </c>
      <c r="L74" s="1" t="s">
        <v>61</v>
      </c>
      <c r="M74" s="1" t="s">
        <v>62</v>
      </c>
      <c r="N74" s="1">
        <v>-120.0</v>
      </c>
      <c r="O74" s="1">
        <v>-0.211905000489063</v>
      </c>
      <c r="P74" s="1" t="s">
        <v>61</v>
      </c>
      <c r="Q74" s="1" t="s">
        <v>61</v>
      </c>
      <c r="R74" s="1">
        <f t="shared" si="1"/>
        <v>0.1472492793</v>
      </c>
      <c r="S74" s="1">
        <f t="shared" si="2"/>
        <v>-108</v>
      </c>
      <c r="T74" s="1">
        <f t="shared" si="3"/>
        <v>1.925925926</v>
      </c>
      <c r="U74" s="1">
        <f t="shared" si="4"/>
        <v>1</v>
      </c>
      <c r="V74" s="3">
        <f t="shared" si="5"/>
        <v>3</v>
      </c>
      <c r="W74" s="3">
        <f t="shared" si="6"/>
        <v>2</v>
      </c>
      <c r="X74" s="3" t="str">
        <f>IFERROR(__xludf.DUMMYFUNCTION("split(B74,"" "")"),"N.")</f>
        <v>N.</v>
      </c>
      <c r="Y74" s="3" t="str">
        <f>IFERROR(__xludf.DUMMYFUNCTION("""COMPUTED_VALUE"""),"Chubb")</f>
        <v>Chubb</v>
      </c>
      <c r="AA74" s="8">
        <v>1.0</v>
      </c>
      <c r="AB74" s="3">
        <f t="shared" si="7"/>
        <v>0</v>
      </c>
      <c r="AC74" s="3">
        <f t="shared" si="8"/>
        <v>0</v>
      </c>
      <c r="AD74" s="3">
        <f t="shared" si="9"/>
        <v>2.777777778</v>
      </c>
      <c r="AE74" s="3">
        <f t="shared" si="10"/>
        <v>-3</v>
      </c>
      <c r="AF74" s="3">
        <f t="shared" si="11"/>
        <v>-2</v>
      </c>
      <c r="AG74" s="3">
        <f t="shared" si="12"/>
        <v>-0.7142857143</v>
      </c>
    </row>
    <row r="75">
      <c r="A75" s="1" t="s">
        <v>17</v>
      </c>
      <c r="B75" s="1" t="s">
        <v>650</v>
      </c>
      <c r="C75" s="1" t="s">
        <v>21</v>
      </c>
      <c r="D75" s="1" t="s">
        <v>89</v>
      </c>
      <c r="E75" s="1" t="s">
        <v>110</v>
      </c>
      <c r="F75" s="1" t="s">
        <v>696</v>
      </c>
      <c r="G75" s="1">
        <v>0.5</v>
      </c>
      <c r="H75" s="1" t="s">
        <v>60</v>
      </c>
      <c r="I75" s="1">
        <v>-193.0</v>
      </c>
      <c r="J75" s="1">
        <v>-0.193637201365187</v>
      </c>
      <c r="K75" s="1" t="s">
        <v>61</v>
      </c>
      <c r="L75" s="1" t="s">
        <v>61</v>
      </c>
      <c r="M75" s="1" t="s">
        <v>62</v>
      </c>
      <c r="N75" s="1">
        <v>147.0</v>
      </c>
      <c r="O75" s="1">
        <v>0.130082186234817</v>
      </c>
      <c r="P75" s="1" t="s">
        <v>61</v>
      </c>
      <c r="Q75" s="1" t="s">
        <v>61</v>
      </c>
      <c r="R75" s="1">
        <f t="shared" si="1"/>
        <v>0.1300821862</v>
      </c>
      <c r="S75" s="1">
        <f t="shared" si="2"/>
        <v>147</v>
      </c>
      <c r="T75" s="1">
        <f t="shared" si="3"/>
        <v>2.47</v>
      </c>
      <c r="U75" s="1">
        <f t="shared" si="4"/>
        <v>0</v>
      </c>
      <c r="V75" s="3">
        <f t="shared" si="5"/>
        <v>3</v>
      </c>
      <c r="W75" s="3">
        <f t="shared" si="6"/>
        <v>1</v>
      </c>
      <c r="X75" s="3" t="str">
        <f>IFERROR(__xludf.DUMMYFUNCTION("split(B75,"" "")"),"J.")</f>
        <v>J.</v>
      </c>
      <c r="Y75" s="3" t="str">
        <f>IFERROR(__xludf.DUMMYFUNCTION("""COMPUTED_VALUE"""),"Winston")</f>
        <v>Winston</v>
      </c>
      <c r="AA75" s="8">
        <v>1.0</v>
      </c>
      <c r="AB75" s="3">
        <f t="shared" si="7"/>
        <v>1</v>
      </c>
      <c r="AC75" s="3">
        <f t="shared" si="8"/>
        <v>0</v>
      </c>
      <c r="AD75" s="3">
        <f t="shared" si="9"/>
        <v>4.41</v>
      </c>
      <c r="AE75" s="3">
        <f t="shared" si="10"/>
        <v>-3</v>
      </c>
      <c r="AF75" s="3">
        <f t="shared" si="11"/>
        <v>-1</v>
      </c>
      <c r="AG75" s="3">
        <f t="shared" si="12"/>
        <v>-1</v>
      </c>
    </row>
    <row r="76">
      <c r="A76" s="1" t="s">
        <v>14</v>
      </c>
      <c r="B76" s="1" t="s">
        <v>650</v>
      </c>
      <c r="C76" s="1" t="s">
        <v>21</v>
      </c>
      <c r="D76" s="1" t="s">
        <v>89</v>
      </c>
      <c r="E76" s="1" t="s">
        <v>110</v>
      </c>
      <c r="F76" s="1" t="s">
        <v>696</v>
      </c>
      <c r="G76" s="1">
        <v>0.5</v>
      </c>
      <c r="H76" s="1" t="s">
        <v>60</v>
      </c>
      <c r="I76" s="1">
        <v>-236.0</v>
      </c>
      <c r="J76" s="1">
        <v>-0.182078462321428</v>
      </c>
      <c r="K76" s="1" t="s">
        <v>61</v>
      </c>
      <c r="L76" s="1" t="s">
        <v>61</v>
      </c>
      <c r="M76" s="1" t="s">
        <v>62</v>
      </c>
      <c r="N76" s="1">
        <v>179.0</v>
      </c>
      <c r="O76" s="1">
        <v>0.121274062150537</v>
      </c>
      <c r="P76" s="1" t="s">
        <v>61</v>
      </c>
      <c r="Q76" s="1" t="s">
        <v>61</v>
      </c>
      <c r="R76" s="1">
        <f t="shared" si="1"/>
        <v>0.1212740622</v>
      </c>
      <c r="S76" s="1">
        <f t="shared" si="2"/>
        <v>179</v>
      </c>
      <c r="T76" s="1">
        <f t="shared" si="3"/>
        <v>2.79</v>
      </c>
      <c r="U76" s="1">
        <f t="shared" si="4"/>
        <v>0</v>
      </c>
      <c r="V76" s="3">
        <f t="shared" si="5"/>
        <v>3</v>
      </c>
      <c r="W76" s="3">
        <f t="shared" si="6"/>
        <v>1</v>
      </c>
      <c r="X76" s="3" t="str">
        <f>IFERROR(__xludf.DUMMYFUNCTION("split(B76,"" "")"),"J.")</f>
        <v>J.</v>
      </c>
      <c r="Y76" s="3" t="str">
        <f>IFERROR(__xludf.DUMMYFUNCTION("""COMPUTED_VALUE"""),"Winston")</f>
        <v>Winston</v>
      </c>
      <c r="AA76" s="8">
        <v>0.0</v>
      </c>
      <c r="AB76" s="3">
        <f t="shared" si="7"/>
        <v>0</v>
      </c>
      <c r="AC76" s="3">
        <f t="shared" si="8"/>
        <v>1</v>
      </c>
      <c r="AD76" s="3">
        <f t="shared" si="9"/>
        <v>5.37</v>
      </c>
      <c r="AE76" s="3">
        <f t="shared" si="10"/>
        <v>5.37</v>
      </c>
      <c r="AF76" s="3">
        <f t="shared" si="11"/>
        <v>1.79</v>
      </c>
      <c r="AG76" s="3">
        <f t="shared" si="12"/>
        <v>1</v>
      </c>
    </row>
    <row r="77">
      <c r="A77" s="1" t="s">
        <v>12</v>
      </c>
      <c r="B77" s="1" t="s">
        <v>502</v>
      </c>
      <c r="C77" s="1" t="s">
        <v>18</v>
      </c>
      <c r="D77" s="1" t="s">
        <v>89</v>
      </c>
      <c r="E77" s="1" t="s">
        <v>110</v>
      </c>
      <c r="F77" s="1" t="s">
        <v>696</v>
      </c>
      <c r="G77" s="1">
        <v>3.5</v>
      </c>
      <c r="H77" s="1" t="s">
        <v>60</v>
      </c>
      <c r="I77" s="1">
        <v>-121.0</v>
      </c>
      <c r="J77" s="1">
        <v>-0.168720814479638</v>
      </c>
      <c r="K77" s="1" t="s">
        <v>61</v>
      </c>
      <c r="L77" s="1" t="s">
        <v>61</v>
      </c>
      <c r="M77" s="1" t="s">
        <v>62</v>
      </c>
      <c r="N77" s="1">
        <v>-109.0</v>
      </c>
      <c r="O77" s="1">
        <v>0.0996645933014354</v>
      </c>
      <c r="P77" s="1" t="s">
        <v>61</v>
      </c>
      <c r="Q77" s="1" t="s">
        <v>61</v>
      </c>
      <c r="R77" s="1">
        <f t="shared" si="1"/>
        <v>0.0996645933</v>
      </c>
      <c r="S77" s="1">
        <f t="shared" si="2"/>
        <v>-109</v>
      </c>
      <c r="T77" s="1">
        <f t="shared" si="3"/>
        <v>1.917431193</v>
      </c>
      <c r="U77" s="1">
        <f t="shared" si="4"/>
        <v>0</v>
      </c>
      <c r="V77" s="3">
        <f t="shared" si="5"/>
        <v>2</v>
      </c>
      <c r="W77" s="3">
        <f t="shared" si="6"/>
        <v>2</v>
      </c>
      <c r="X77" s="3" t="str">
        <f>IFERROR(__xludf.DUMMYFUNCTION("split(B77,"" "")"),"C.")</f>
        <v>C.</v>
      </c>
      <c r="Y77" s="3" t="str">
        <f>IFERROR(__xludf.DUMMYFUNCTION("""COMPUTED_VALUE"""),"Tillman")</f>
        <v>Tillman</v>
      </c>
      <c r="AA77" s="8">
        <v>2.0</v>
      </c>
      <c r="AB77" s="3">
        <f t="shared" si="7"/>
        <v>0</v>
      </c>
      <c r="AC77" s="3">
        <f t="shared" si="8"/>
        <v>1</v>
      </c>
      <c r="AD77" s="3">
        <f t="shared" si="9"/>
        <v>1.834862385</v>
      </c>
      <c r="AE77" s="3">
        <f t="shared" si="10"/>
        <v>1.834862385</v>
      </c>
      <c r="AF77" s="3">
        <f t="shared" si="11"/>
        <v>1.834862385</v>
      </c>
      <c r="AG77" s="3">
        <f t="shared" si="12"/>
        <v>0.4285714286</v>
      </c>
    </row>
    <row r="78">
      <c r="A78" s="1" t="s">
        <v>8</v>
      </c>
      <c r="B78" s="1" t="s">
        <v>632</v>
      </c>
      <c r="C78" s="1" t="s">
        <v>19</v>
      </c>
      <c r="D78" s="1" t="s">
        <v>89</v>
      </c>
      <c r="E78" s="1" t="s">
        <v>110</v>
      </c>
      <c r="F78" s="1" t="s">
        <v>696</v>
      </c>
      <c r="G78" s="1">
        <v>14.5</v>
      </c>
      <c r="H78" s="1" t="s">
        <v>60</v>
      </c>
      <c r="I78" s="1">
        <v>-125.0</v>
      </c>
      <c r="J78" s="1">
        <v>-0.163840972906666</v>
      </c>
      <c r="K78" s="1" t="s">
        <v>61</v>
      </c>
      <c r="L78" s="1" t="s">
        <v>61</v>
      </c>
      <c r="M78" s="1" t="s">
        <v>62</v>
      </c>
      <c r="N78" s="1">
        <v>-107.0</v>
      </c>
      <c r="O78" s="1">
        <v>0.0913911315327536</v>
      </c>
      <c r="P78" s="1" t="s">
        <v>61</v>
      </c>
      <c r="Q78" s="1" t="s">
        <v>61</v>
      </c>
      <c r="R78" s="1">
        <f t="shared" si="1"/>
        <v>0.09139113153</v>
      </c>
      <c r="S78" s="1">
        <f t="shared" si="2"/>
        <v>-107</v>
      </c>
      <c r="T78" s="1">
        <f t="shared" si="3"/>
        <v>1.934579439</v>
      </c>
      <c r="U78" s="1">
        <f t="shared" si="4"/>
        <v>0</v>
      </c>
      <c r="V78" s="3">
        <f t="shared" si="5"/>
        <v>2</v>
      </c>
      <c r="W78" s="3">
        <f t="shared" si="6"/>
        <v>2</v>
      </c>
      <c r="X78" s="3" t="str">
        <f>IFERROR(__xludf.DUMMYFUNCTION("split(B78,"" "")"),"N.")</f>
        <v>N.</v>
      </c>
      <c r="Y78" s="3" t="str">
        <f>IFERROR(__xludf.DUMMYFUNCTION("""COMPUTED_VALUE"""),"Chubb")</f>
        <v>Chubb</v>
      </c>
      <c r="AA78" s="8">
        <v>20.0</v>
      </c>
      <c r="AB78" s="3">
        <f t="shared" si="7"/>
        <v>1</v>
      </c>
      <c r="AC78" s="3">
        <f t="shared" si="8"/>
        <v>0</v>
      </c>
      <c r="AD78" s="3">
        <f t="shared" si="9"/>
        <v>1.869158879</v>
      </c>
      <c r="AE78" s="3">
        <f t="shared" si="10"/>
        <v>-2</v>
      </c>
      <c r="AF78" s="3">
        <f t="shared" si="11"/>
        <v>-2</v>
      </c>
      <c r="AG78" s="3">
        <f t="shared" si="12"/>
        <v>-0.3793103448</v>
      </c>
    </row>
    <row r="79">
      <c r="A79" s="1" t="s">
        <v>8</v>
      </c>
      <c r="B79" s="1" t="s">
        <v>650</v>
      </c>
      <c r="C79" s="1" t="s">
        <v>21</v>
      </c>
      <c r="D79" s="1" t="s">
        <v>89</v>
      </c>
      <c r="E79" s="1" t="s">
        <v>110</v>
      </c>
      <c r="F79" s="1" t="s">
        <v>696</v>
      </c>
      <c r="G79" s="1">
        <v>2.5</v>
      </c>
      <c r="H79" s="1" t="s">
        <v>60</v>
      </c>
      <c r="I79" s="1">
        <v>-116.0</v>
      </c>
      <c r="J79" s="1">
        <v>-0.153377238017661</v>
      </c>
      <c r="K79" s="1" t="s">
        <v>61</v>
      </c>
      <c r="L79" s="1" t="s">
        <v>61</v>
      </c>
      <c r="M79" s="1" t="s">
        <v>62</v>
      </c>
      <c r="N79" s="1">
        <v>-118.0</v>
      </c>
      <c r="O79" s="1">
        <v>0.0750625982841356</v>
      </c>
      <c r="P79" s="1" t="s">
        <v>61</v>
      </c>
      <c r="Q79" s="1" t="s">
        <v>61</v>
      </c>
      <c r="R79" s="1">
        <f t="shared" si="1"/>
        <v>0.07506259828</v>
      </c>
      <c r="S79" s="1">
        <f t="shared" si="2"/>
        <v>-118</v>
      </c>
      <c r="T79" s="1">
        <f t="shared" si="3"/>
        <v>1.847457627</v>
      </c>
      <c r="U79" s="1">
        <f t="shared" si="4"/>
        <v>0</v>
      </c>
      <c r="V79" s="3">
        <f t="shared" si="5"/>
        <v>2</v>
      </c>
      <c r="W79" s="3">
        <f t="shared" si="6"/>
        <v>3</v>
      </c>
      <c r="X79" s="3" t="str">
        <f>IFERROR(__xludf.DUMMYFUNCTION("split(B79,"" "")"),"J.")</f>
        <v>J.</v>
      </c>
      <c r="Y79" s="3" t="str">
        <f>IFERROR(__xludf.DUMMYFUNCTION("""COMPUTED_VALUE"""),"Winston")</f>
        <v>Winston</v>
      </c>
      <c r="AA79" s="8">
        <v>3.0</v>
      </c>
      <c r="AB79" s="3">
        <f t="shared" si="7"/>
        <v>1</v>
      </c>
      <c r="AC79" s="3">
        <f t="shared" si="8"/>
        <v>0</v>
      </c>
      <c r="AD79" s="3">
        <f t="shared" si="9"/>
        <v>1.694915254</v>
      </c>
      <c r="AE79" s="3">
        <f t="shared" si="10"/>
        <v>-2</v>
      </c>
      <c r="AF79" s="3">
        <f t="shared" si="11"/>
        <v>-3</v>
      </c>
      <c r="AG79" s="3">
        <f t="shared" si="12"/>
        <v>-0.2</v>
      </c>
    </row>
    <row r="80">
      <c r="A80" s="1" t="s">
        <v>8</v>
      </c>
      <c r="B80" s="1" t="s">
        <v>324</v>
      </c>
      <c r="C80" s="1" t="s">
        <v>19</v>
      </c>
      <c r="D80" s="1" t="s">
        <v>89</v>
      </c>
      <c r="E80" s="1" t="s">
        <v>110</v>
      </c>
      <c r="F80" s="1" t="s">
        <v>696</v>
      </c>
      <c r="G80" s="1">
        <v>5.5</v>
      </c>
      <c r="H80" s="1" t="s">
        <v>60</v>
      </c>
      <c r="I80" s="1">
        <v>-117.0</v>
      </c>
      <c r="J80" s="1">
        <v>-0.141701284944358</v>
      </c>
      <c r="K80" s="1" t="s">
        <v>61</v>
      </c>
      <c r="L80" s="1" t="s">
        <v>61</v>
      </c>
      <c r="M80" s="1" t="s">
        <v>62</v>
      </c>
      <c r="N80" s="1">
        <v>-115.0</v>
      </c>
      <c r="O80" s="1">
        <v>0.0676680728272772</v>
      </c>
      <c r="P80" s="1" t="s">
        <v>61</v>
      </c>
      <c r="Q80" s="1" t="s">
        <v>61</v>
      </c>
      <c r="R80" s="1">
        <f t="shared" si="1"/>
        <v>0.06766807283</v>
      </c>
      <c r="S80" s="1">
        <f t="shared" si="2"/>
        <v>-115</v>
      </c>
      <c r="T80" s="1">
        <f t="shared" si="3"/>
        <v>1.869565217</v>
      </c>
      <c r="U80" s="1">
        <f t="shared" si="4"/>
        <v>0</v>
      </c>
      <c r="V80" s="3">
        <f t="shared" si="5"/>
        <v>2</v>
      </c>
      <c r="W80" s="3">
        <f t="shared" si="6"/>
        <v>2</v>
      </c>
      <c r="X80" s="3" t="str">
        <f>IFERROR(__xludf.DUMMYFUNCTION("split(B80,"" "")"),"J.")</f>
        <v>J.</v>
      </c>
      <c r="Y80" s="3" t="str">
        <f>IFERROR(__xludf.DUMMYFUNCTION("""COMPUTED_VALUE"""),"Ford")</f>
        <v>Ford</v>
      </c>
      <c r="AA80" s="8">
        <v>4.0</v>
      </c>
      <c r="AB80" s="3">
        <f t="shared" si="7"/>
        <v>0</v>
      </c>
      <c r="AC80" s="3">
        <f t="shared" si="8"/>
        <v>1</v>
      </c>
      <c r="AD80" s="3">
        <f t="shared" si="9"/>
        <v>1.739130435</v>
      </c>
      <c r="AE80" s="3">
        <f t="shared" si="10"/>
        <v>1.739130435</v>
      </c>
      <c r="AF80" s="3">
        <f t="shared" si="11"/>
        <v>1.739130435</v>
      </c>
      <c r="AG80" s="3">
        <f t="shared" si="12"/>
        <v>0.2727272727</v>
      </c>
    </row>
    <row r="81">
      <c r="A81" s="1" t="s">
        <v>15</v>
      </c>
      <c r="B81" s="1" t="s">
        <v>650</v>
      </c>
      <c r="C81" s="1" t="s">
        <v>21</v>
      </c>
      <c r="D81" s="1" t="s">
        <v>89</v>
      </c>
      <c r="E81" s="1" t="s">
        <v>110</v>
      </c>
      <c r="F81" s="1" t="s">
        <v>696</v>
      </c>
      <c r="G81" s="1">
        <v>19.5</v>
      </c>
      <c r="H81" s="1" t="s">
        <v>60</v>
      </c>
      <c r="I81" s="1">
        <v>103.0</v>
      </c>
      <c r="J81" s="1">
        <v>0.0414419306684729</v>
      </c>
      <c r="K81" s="1" t="s">
        <v>61</v>
      </c>
      <c r="L81" s="1" t="s">
        <v>61</v>
      </c>
      <c r="M81" s="1" t="s">
        <v>62</v>
      </c>
      <c r="N81" s="1">
        <v>-133.0</v>
      </c>
      <c r="O81" s="1">
        <v>-0.104862314518025</v>
      </c>
      <c r="P81" s="1" t="s">
        <v>61</v>
      </c>
      <c r="Q81" s="1" t="s">
        <v>61</v>
      </c>
      <c r="R81" s="1">
        <f t="shared" si="1"/>
        <v>0.04144193067</v>
      </c>
      <c r="S81" s="1">
        <f t="shared" si="2"/>
        <v>103</v>
      </c>
      <c r="T81" s="1">
        <f t="shared" si="3"/>
        <v>2.03</v>
      </c>
      <c r="U81" s="1">
        <f t="shared" si="4"/>
        <v>1</v>
      </c>
      <c r="V81" s="3">
        <f t="shared" si="5"/>
        <v>1</v>
      </c>
      <c r="W81" s="3">
        <f t="shared" si="6"/>
        <v>2</v>
      </c>
      <c r="X81" s="3" t="str">
        <f>IFERROR(__xludf.DUMMYFUNCTION("split(B81,"" "")"),"J.")</f>
        <v>J.</v>
      </c>
      <c r="Y81" s="3" t="str">
        <f>IFERROR(__xludf.DUMMYFUNCTION("""COMPUTED_VALUE"""),"Winston")</f>
        <v>Winston</v>
      </c>
      <c r="AA81" s="8">
        <v>18.0</v>
      </c>
      <c r="AB81" s="3">
        <f t="shared" si="7"/>
        <v>0</v>
      </c>
      <c r="AC81" s="3">
        <f t="shared" si="8"/>
        <v>0</v>
      </c>
      <c r="AD81" s="3">
        <f t="shared" si="9"/>
        <v>1.03</v>
      </c>
      <c r="AE81" s="3">
        <f t="shared" si="10"/>
        <v>-1</v>
      </c>
      <c r="AF81" s="3">
        <f t="shared" si="11"/>
        <v>-2</v>
      </c>
      <c r="AG81" s="3">
        <f t="shared" si="12"/>
        <v>-0.07692307692</v>
      </c>
    </row>
    <row r="82">
      <c r="A82" s="1" t="s">
        <v>12</v>
      </c>
      <c r="B82" s="1" t="s">
        <v>324</v>
      </c>
      <c r="C82" s="1" t="s">
        <v>19</v>
      </c>
      <c r="D82" s="1" t="s">
        <v>89</v>
      </c>
      <c r="E82" s="1" t="s">
        <v>110</v>
      </c>
      <c r="F82" s="1" t="s">
        <v>696</v>
      </c>
      <c r="G82" s="1">
        <v>2.5</v>
      </c>
      <c r="H82" s="1" t="s">
        <v>60</v>
      </c>
      <c r="I82" s="1">
        <v>138.0</v>
      </c>
      <c r="J82" s="1">
        <v>-0.101366459121008</v>
      </c>
      <c r="K82" s="1" t="s">
        <v>61</v>
      </c>
      <c r="L82" s="1" t="s">
        <v>61</v>
      </c>
      <c r="M82" s="1" t="s">
        <v>62</v>
      </c>
      <c r="N82" s="1">
        <v>-182.0</v>
      </c>
      <c r="O82" s="1">
        <v>0.0358081391531917</v>
      </c>
      <c r="P82" s="1" t="s">
        <v>61</v>
      </c>
      <c r="Q82" s="1" t="s">
        <v>61</v>
      </c>
      <c r="R82" s="1">
        <f t="shared" si="1"/>
        <v>0.03580813915</v>
      </c>
      <c r="S82" s="1">
        <f t="shared" si="2"/>
        <v>-182</v>
      </c>
      <c r="T82" s="1">
        <f t="shared" si="3"/>
        <v>1.549450549</v>
      </c>
      <c r="U82" s="1">
        <f t="shared" si="4"/>
        <v>0</v>
      </c>
      <c r="V82" s="3">
        <f t="shared" si="5"/>
        <v>1</v>
      </c>
      <c r="W82" s="3">
        <f t="shared" si="6"/>
        <v>3</v>
      </c>
      <c r="X82" s="3" t="str">
        <f>IFERROR(__xludf.DUMMYFUNCTION("split(B82,"" "")"),"J.")</f>
        <v>J.</v>
      </c>
      <c r="Y82" s="3" t="str">
        <f>IFERROR(__xludf.DUMMYFUNCTION("""COMPUTED_VALUE"""),"Ford")</f>
        <v>Ford</v>
      </c>
      <c r="AA82" s="8">
        <v>1.0</v>
      </c>
      <c r="AB82" s="3">
        <f t="shared" si="7"/>
        <v>0</v>
      </c>
      <c r="AC82" s="3">
        <f t="shared" si="8"/>
        <v>1</v>
      </c>
      <c r="AD82" s="3">
        <f t="shared" si="9"/>
        <v>0.5494505495</v>
      </c>
      <c r="AE82" s="3">
        <f t="shared" si="10"/>
        <v>0.5494505495</v>
      </c>
      <c r="AF82" s="3">
        <f t="shared" si="11"/>
        <v>1.648351648</v>
      </c>
      <c r="AG82" s="3">
        <f t="shared" si="12"/>
        <v>0.6</v>
      </c>
    </row>
    <row r="83">
      <c r="A83" s="1" t="s">
        <v>12</v>
      </c>
      <c r="B83" s="1" t="s">
        <v>632</v>
      </c>
      <c r="C83" s="1" t="s">
        <v>19</v>
      </c>
      <c r="D83" s="1" t="s">
        <v>89</v>
      </c>
      <c r="E83" s="1" t="s">
        <v>110</v>
      </c>
      <c r="F83" s="1" t="s">
        <v>696</v>
      </c>
      <c r="G83" s="1">
        <v>0.5</v>
      </c>
      <c r="H83" s="1" t="s">
        <v>60</v>
      </c>
      <c r="I83" s="1">
        <v>-194.0</v>
      </c>
      <c r="J83" s="1">
        <v>-0.103395495748639</v>
      </c>
      <c r="K83" s="1" t="s">
        <v>61</v>
      </c>
      <c r="L83" s="1" t="s">
        <v>61</v>
      </c>
      <c r="M83" s="1" t="s">
        <v>62</v>
      </c>
      <c r="N83" s="1">
        <v>145.0</v>
      </c>
      <c r="O83" s="1">
        <v>0.0353745948983673</v>
      </c>
      <c r="P83" s="1" t="s">
        <v>61</v>
      </c>
      <c r="Q83" s="1" t="s">
        <v>61</v>
      </c>
      <c r="R83" s="1">
        <f t="shared" si="1"/>
        <v>0.0353745949</v>
      </c>
      <c r="S83" s="1">
        <f t="shared" si="2"/>
        <v>145</v>
      </c>
      <c r="T83" s="1">
        <f t="shared" si="3"/>
        <v>2.45</v>
      </c>
      <c r="U83" s="1">
        <f t="shared" si="4"/>
        <v>0</v>
      </c>
      <c r="V83" s="3">
        <f t="shared" si="5"/>
        <v>1</v>
      </c>
      <c r="W83" s="3">
        <f t="shared" si="6"/>
        <v>1</v>
      </c>
      <c r="X83" s="3" t="str">
        <f>IFERROR(__xludf.DUMMYFUNCTION("split(B83,"" "")"),"N.")</f>
        <v>N.</v>
      </c>
      <c r="Y83" s="3" t="str">
        <f>IFERROR(__xludf.DUMMYFUNCTION("""COMPUTED_VALUE"""),"Chubb")</f>
        <v>Chubb</v>
      </c>
      <c r="AA83" s="8">
        <v>1.0</v>
      </c>
      <c r="AB83" s="3">
        <f t="shared" si="7"/>
        <v>1</v>
      </c>
      <c r="AC83" s="3">
        <f t="shared" si="8"/>
        <v>0</v>
      </c>
      <c r="AD83" s="3">
        <f t="shared" si="9"/>
        <v>1.45</v>
      </c>
      <c r="AE83" s="3">
        <f t="shared" si="10"/>
        <v>-1</v>
      </c>
      <c r="AF83" s="3">
        <f t="shared" si="11"/>
        <v>-1</v>
      </c>
      <c r="AG83" s="3">
        <f t="shared" si="12"/>
        <v>-1</v>
      </c>
    </row>
    <row r="84">
      <c r="A84" s="1" t="s">
        <v>10</v>
      </c>
      <c r="B84" s="1" t="s">
        <v>632</v>
      </c>
      <c r="C84" s="1" t="s">
        <v>19</v>
      </c>
      <c r="D84" s="1" t="s">
        <v>89</v>
      </c>
      <c r="E84" s="1" t="s">
        <v>110</v>
      </c>
      <c r="F84" s="1" t="s">
        <v>696</v>
      </c>
      <c r="G84" s="1">
        <v>55.5</v>
      </c>
      <c r="H84" s="1" t="s">
        <v>60</v>
      </c>
      <c r="I84" s="1">
        <v>-119.0</v>
      </c>
      <c r="J84" s="1">
        <v>-0.0988811619993229</v>
      </c>
      <c r="K84" s="1" t="s">
        <v>61</v>
      </c>
      <c r="L84" s="1" t="s">
        <v>61</v>
      </c>
      <c r="M84" s="1" t="s">
        <v>62</v>
      </c>
      <c r="N84" s="1">
        <v>-109.0</v>
      </c>
      <c r="O84" s="1">
        <v>0.033969692050815</v>
      </c>
      <c r="P84" s="1" t="s">
        <v>61</v>
      </c>
      <c r="Q84" s="1" t="s">
        <v>61</v>
      </c>
      <c r="R84" s="1">
        <f t="shared" si="1"/>
        <v>0.03396969205</v>
      </c>
      <c r="S84" s="1">
        <f t="shared" si="2"/>
        <v>-109</v>
      </c>
      <c r="T84" s="1">
        <f t="shared" si="3"/>
        <v>1.917431193</v>
      </c>
      <c r="U84" s="1">
        <f t="shared" si="4"/>
        <v>0</v>
      </c>
      <c r="V84" s="3">
        <f t="shared" si="5"/>
        <v>1</v>
      </c>
      <c r="W84" s="3">
        <f t="shared" si="6"/>
        <v>2</v>
      </c>
      <c r="X84" s="3" t="str">
        <f>IFERROR(__xludf.DUMMYFUNCTION("split(B84,"" "")"),"N.")</f>
        <v>N.</v>
      </c>
      <c r="Y84" s="3" t="str">
        <f>IFERROR(__xludf.DUMMYFUNCTION("""COMPUTED_VALUE"""),"Chubb")</f>
        <v>Chubb</v>
      </c>
      <c r="AA84" s="8">
        <v>59.0</v>
      </c>
      <c r="AB84" s="3">
        <f t="shared" si="7"/>
        <v>1</v>
      </c>
      <c r="AC84" s="3">
        <f t="shared" si="8"/>
        <v>0</v>
      </c>
      <c r="AD84" s="3">
        <f t="shared" si="9"/>
        <v>0.9174311927</v>
      </c>
      <c r="AE84" s="3">
        <f t="shared" si="10"/>
        <v>-1</v>
      </c>
      <c r="AF84" s="3">
        <f t="shared" si="11"/>
        <v>-2</v>
      </c>
      <c r="AG84" s="3">
        <f t="shared" si="12"/>
        <v>-0.06306306306</v>
      </c>
    </row>
    <row r="85">
      <c r="A85" s="1" t="s">
        <v>12</v>
      </c>
      <c r="B85" s="1" t="s">
        <v>299</v>
      </c>
      <c r="C85" s="1" t="s">
        <v>18</v>
      </c>
      <c r="D85" s="1" t="s">
        <v>89</v>
      </c>
      <c r="E85" s="1" t="s">
        <v>110</v>
      </c>
      <c r="F85" s="1" t="s">
        <v>696</v>
      </c>
      <c r="G85" s="1">
        <v>3.5</v>
      </c>
      <c r="H85" s="1" t="s">
        <v>60</v>
      </c>
      <c r="I85" s="1">
        <v>-127.0</v>
      </c>
      <c r="J85" s="1">
        <v>-0.102471365638766</v>
      </c>
      <c r="K85" s="1" t="s">
        <v>61</v>
      </c>
      <c r="L85" s="1" t="s">
        <v>61</v>
      </c>
      <c r="M85" s="1" t="s">
        <v>62</v>
      </c>
      <c r="N85" s="1">
        <v>-104.0</v>
      </c>
      <c r="O85" s="1">
        <v>0.0331960784313725</v>
      </c>
      <c r="P85" s="1" t="s">
        <v>61</v>
      </c>
      <c r="Q85" s="1" t="s">
        <v>61</v>
      </c>
      <c r="R85" s="1">
        <f t="shared" si="1"/>
        <v>0.03319607843</v>
      </c>
      <c r="S85" s="1">
        <f t="shared" si="2"/>
        <v>-104</v>
      </c>
      <c r="T85" s="1">
        <f t="shared" si="3"/>
        <v>1.961538462</v>
      </c>
      <c r="U85" s="1">
        <f t="shared" si="4"/>
        <v>0</v>
      </c>
      <c r="V85" s="3">
        <f t="shared" si="5"/>
        <v>1</v>
      </c>
      <c r="W85" s="3">
        <f t="shared" si="6"/>
        <v>2</v>
      </c>
      <c r="X85" s="3" t="str">
        <f>IFERROR(__xludf.DUMMYFUNCTION("split(B85,"" "")"),"J.")</f>
        <v>J.</v>
      </c>
      <c r="Y85" s="3" t="str">
        <f>IFERROR(__xludf.DUMMYFUNCTION("""COMPUTED_VALUE"""),"Jeudy")</f>
        <v>Jeudy</v>
      </c>
      <c r="AA85" s="8">
        <v>6.0</v>
      </c>
      <c r="AB85" s="3">
        <f t="shared" si="7"/>
        <v>1</v>
      </c>
      <c r="AC85" s="3">
        <f t="shared" si="8"/>
        <v>0</v>
      </c>
      <c r="AD85" s="3">
        <f t="shared" si="9"/>
        <v>0.9615384615</v>
      </c>
      <c r="AE85" s="3">
        <f t="shared" si="10"/>
        <v>-1</v>
      </c>
      <c r="AF85" s="3">
        <f t="shared" si="11"/>
        <v>-2</v>
      </c>
      <c r="AG85" s="3">
        <f t="shared" si="12"/>
        <v>-0.7142857143</v>
      </c>
    </row>
    <row r="86">
      <c r="A86" s="1" t="s">
        <v>11</v>
      </c>
      <c r="B86" s="1" t="s">
        <v>502</v>
      </c>
      <c r="C86" s="1" t="s">
        <v>18</v>
      </c>
      <c r="D86" s="1" t="s">
        <v>89</v>
      </c>
      <c r="E86" s="1" t="s">
        <v>110</v>
      </c>
      <c r="F86" s="1" t="s">
        <v>696</v>
      </c>
      <c r="G86" s="1">
        <v>43.5</v>
      </c>
      <c r="H86" s="1" t="s">
        <v>60</v>
      </c>
      <c r="I86" s="1">
        <v>-118.0</v>
      </c>
      <c r="J86" s="1">
        <v>-0.0978354758172477</v>
      </c>
      <c r="K86" s="1" t="s">
        <v>61</v>
      </c>
      <c r="L86" s="1" t="s">
        <v>61</v>
      </c>
      <c r="M86" s="1" t="s">
        <v>62</v>
      </c>
      <c r="N86" s="1">
        <v>-112.0</v>
      </c>
      <c r="O86" s="1">
        <v>0.0283314630253963</v>
      </c>
      <c r="P86" s="1" t="s">
        <v>61</v>
      </c>
      <c r="Q86" s="1" t="s">
        <v>61</v>
      </c>
      <c r="R86" s="1">
        <f t="shared" si="1"/>
        <v>0.02833146303</v>
      </c>
      <c r="S86" s="1">
        <f t="shared" si="2"/>
        <v>-112</v>
      </c>
      <c r="T86" s="1">
        <f t="shared" si="3"/>
        <v>1.892857143</v>
      </c>
      <c r="U86" s="1">
        <f t="shared" si="4"/>
        <v>0</v>
      </c>
      <c r="V86" s="3">
        <f t="shared" si="5"/>
        <v>1</v>
      </c>
      <c r="W86" s="3">
        <f t="shared" si="6"/>
        <v>2</v>
      </c>
      <c r="X86" s="3" t="str">
        <f>IFERROR(__xludf.DUMMYFUNCTION("split(B86,"" "")"),"C.")</f>
        <v>C.</v>
      </c>
      <c r="Y86" s="3" t="str">
        <f>IFERROR(__xludf.DUMMYFUNCTION("""COMPUTED_VALUE"""),"Tillman")</f>
        <v>Tillman</v>
      </c>
      <c r="AA86" s="8">
        <v>28.0</v>
      </c>
      <c r="AB86" s="3">
        <f t="shared" si="7"/>
        <v>0</v>
      </c>
      <c r="AC86" s="3">
        <f t="shared" si="8"/>
        <v>1</v>
      </c>
      <c r="AD86" s="3">
        <f t="shared" si="9"/>
        <v>0.8928571429</v>
      </c>
      <c r="AE86" s="3">
        <f t="shared" si="10"/>
        <v>0.8928571429</v>
      </c>
      <c r="AF86" s="3">
        <f t="shared" si="11"/>
        <v>1.785714286</v>
      </c>
      <c r="AG86" s="3">
        <f t="shared" si="12"/>
        <v>0.3563218391</v>
      </c>
    </row>
    <row r="87">
      <c r="A87" s="1" t="s">
        <v>11</v>
      </c>
      <c r="B87" s="1" t="s">
        <v>414</v>
      </c>
      <c r="C87" s="1" t="s">
        <v>18</v>
      </c>
      <c r="D87" s="1" t="s">
        <v>89</v>
      </c>
      <c r="E87" s="1" t="s">
        <v>110</v>
      </c>
      <c r="F87" s="1" t="s">
        <v>696</v>
      </c>
      <c r="G87" s="1">
        <v>35.5</v>
      </c>
      <c r="H87" s="1" t="s">
        <v>60</v>
      </c>
      <c r="I87" s="1">
        <v>-118.0</v>
      </c>
      <c r="J87" s="1">
        <v>-0.0904072044726607</v>
      </c>
      <c r="K87" s="1" t="s">
        <v>61</v>
      </c>
      <c r="L87" s="1" t="s">
        <v>61</v>
      </c>
      <c r="M87" s="1" t="s">
        <v>62</v>
      </c>
      <c r="N87" s="1">
        <v>-111.0</v>
      </c>
      <c r="O87" s="1">
        <v>0.0230733615018504</v>
      </c>
      <c r="P87" s="1" t="s">
        <v>61</v>
      </c>
      <c r="Q87" s="1" t="s">
        <v>61</v>
      </c>
      <c r="R87" s="1">
        <f t="shared" si="1"/>
        <v>0.0230733615</v>
      </c>
      <c r="S87" s="1">
        <f t="shared" si="2"/>
        <v>-111</v>
      </c>
      <c r="T87" s="1">
        <f t="shared" si="3"/>
        <v>1.900900901</v>
      </c>
      <c r="U87" s="1">
        <f t="shared" si="4"/>
        <v>0</v>
      </c>
      <c r="V87" s="3">
        <f t="shared" si="5"/>
        <v>1</v>
      </c>
      <c r="W87" s="3">
        <f t="shared" si="6"/>
        <v>2</v>
      </c>
      <c r="X87" s="3" t="str">
        <f>IFERROR(__xludf.DUMMYFUNCTION("split(B87,"" "")"),"E.")</f>
        <v>E.</v>
      </c>
      <c r="Y87" s="3" t="str">
        <f>IFERROR(__xludf.DUMMYFUNCTION("""COMPUTED_VALUE"""),"Moore")</f>
        <v>Moore</v>
      </c>
      <c r="AA87" s="8">
        <v>21.0</v>
      </c>
      <c r="AB87" s="3">
        <f t="shared" si="7"/>
        <v>0</v>
      </c>
      <c r="AC87" s="3">
        <f t="shared" si="8"/>
        <v>1</v>
      </c>
      <c r="AD87" s="3">
        <f t="shared" si="9"/>
        <v>0.9009009009</v>
      </c>
      <c r="AE87" s="3">
        <f t="shared" si="10"/>
        <v>0.9009009009</v>
      </c>
      <c r="AF87" s="3">
        <f t="shared" si="11"/>
        <v>1.801801802</v>
      </c>
      <c r="AG87" s="3">
        <f t="shared" si="12"/>
        <v>0.4084507042</v>
      </c>
    </row>
    <row r="88">
      <c r="A88" s="1" t="s">
        <v>9</v>
      </c>
      <c r="B88" s="1" t="s">
        <v>414</v>
      </c>
      <c r="C88" s="1" t="s">
        <v>18</v>
      </c>
      <c r="D88" s="1" t="s">
        <v>89</v>
      </c>
      <c r="E88" s="1" t="s">
        <v>110</v>
      </c>
      <c r="F88" s="1" t="s">
        <v>696</v>
      </c>
      <c r="G88" s="1">
        <v>34.5</v>
      </c>
      <c r="H88" s="1" t="s">
        <v>60</v>
      </c>
      <c r="I88" s="1">
        <v>-116.0</v>
      </c>
      <c r="J88" s="1">
        <v>0.0228878677688662</v>
      </c>
      <c r="K88" s="1" t="s">
        <v>61</v>
      </c>
      <c r="L88" s="1" t="s">
        <v>61</v>
      </c>
      <c r="M88" s="1" t="s">
        <v>62</v>
      </c>
      <c r="N88" s="1">
        <v>-116.0</v>
      </c>
      <c r="O88" s="1">
        <v>-0.096997926611885</v>
      </c>
      <c r="P88" s="1" t="s">
        <v>61</v>
      </c>
      <c r="Q88" s="1" t="s">
        <v>61</v>
      </c>
      <c r="R88" s="1">
        <f t="shared" si="1"/>
        <v>0.02288786777</v>
      </c>
      <c r="S88" s="1">
        <f t="shared" si="2"/>
        <v>-116</v>
      </c>
      <c r="T88" s="1">
        <f t="shared" si="3"/>
        <v>1.862068966</v>
      </c>
      <c r="U88" s="1">
        <f t="shared" si="4"/>
        <v>1</v>
      </c>
      <c r="V88" s="3">
        <f t="shared" si="5"/>
        <v>1</v>
      </c>
      <c r="W88" s="3">
        <f t="shared" si="6"/>
        <v>2</v>
      </c>
      <c r="X88" s="3" t="str">
        <f>IFERROR(__xludf.DUMMYFUNCTION("split(B88,"" "")"),"E.")</f>
        <v>E.</v>
      </c>
      <c r="Y88" s="3" t="str">
        <f>IFERROR(__xludf.DUMMYFUNCTION("""COMPUTED_VALUE"""),"Moore")</f>
        <v>Moore</v>
      </c>
      <c r="AA88" s="8">
        <v>21.0</v>
      </c>
      <c r="AB88" s="3">
        <f t="shared" si="7"/>
        <v>0</v>
      </c>
      <c r="AC88" s="3">
        <f t="shared" si="8"/>
        <v>0</v>
      </c>
      <c r="AD88" s="3">
        <f t="shared" si="9"/>
        <v>0.8620689655</v>
      </c>
      <c r="AE88" s="3">
        <f t="shared" si="10"/>
        <v>-1</v>
      </c>
      <c r="AF88" s="3">
        <f t="shared" si="11"/>
        <v>-2</v>
      </c>
      <c r="AG88" s="3">
        <f t="shared" si="12"/>
        <v>-0.3913043478</v>
      </c>
    </row>
    <row r="89">
      <c r="A89" s="1" t="s">
        <v>12</v>
      </c>
      <c r="B89" s="1" t="s">
        <v>414</v>
      </c>
      <c r="C89" s="1" t="s">
        <v>18</v>
      </c>
      <c r="D89" s="1" t="s">
        <v>89</v>
      </c>
      <c r="E89" s="1" t="s">
        <v>110</v>
      </c>
      <c r="F89" s="1" t="s">
        <v>696</v>
      </c>
      <c r="G89" s="1">
        <v>3.5</v>
      </c>
      <c r="H89" s="1" t="s">
        <v>60</v>
      </c>
      <c r="I89" s="1">
        <v>111.0</v>
      </c>
      <c r="J89" s="1">
        <v>-0.0862388625592416</v>
      </c>
      <c r="K89" s="1" t="s">
        <v>61</v>
      </c>
      <c r="L89" s="1" t="s">
        <v>61</v>
      </c>
      <c r="M89" s="1" t="s">
        <v>62</v>
      </c>
      <c r="N89" s="1">
        <v>-146.0</v>
      </c>
      <c r="O89" s="1">
        <v>0.0188227642276422</v>
      </c>
      <c r="P89" s="1" t="s">
        <v>61</v>
      </c>
      <c r="Q89" s="1" t="s">
        <v>61</v>
      </c>
      <c r="R89" s="1">
        <f t="shared" si="1"/>
        <v>0.01882276423</v>
      </c>
      <c r="S89" s="1">
        <f t="shared" si="2"/>
        <v>-146</v>
      </c>
      <c r="T89" s="1">
        <f t="shared" si="3"/>
        <v>1.684931507</v>
      </c>
      <c r="U89" s="1">
        <f t="shared" si="4"/>
        <v>0</v>
      </c>
      <c r="V89" s="3">
        <f t="shared" si="5"/>
        <v>1</v>
      </c>
      <c r="W89" s="3">
        <f t="shared" si="6"/>
        <v>3</v>
      </c>
      <c r="X89" s="3" t="str">
        <f>IFERROR(__xludf.DUMMYFUNCTION("split(B89,"" "")"),"E.")</f>
        <v>E.</v>
      </c>
      <c r="Y89" s="3" t="str">
        <f>IFERROR(__xludf.DUMMYFUNCTION("""COMPUTED_VALUE"""),"Moore")</f>
        <v>Moore</v>
      </c>
      <c r="AA89" s="8">
        <v>3.0</v>
      </c>
      <c r="AB89" s="3">
        <f t="shared" si="7"/>
        <v>0</v>
      </c>
      <c r="AC89" s="3">
        <f t="shared" si="8"/>
        <v>1</v>
      </c>
      <c r="AD89" s="3">
        <f t="shared" si="9"/>
        <v>0.6849315068</v>
      </c>
      <c r="AE89" s="3">
        <f t="shared" si="10"/>
        <v>0.6849315068</v>
      </c>
      <c r="AF89" s="3">
        <f t="shared" si="11"/>
        <v>2.054794521</v>
      </c>
      <c r="AG89" s="3">
        <f t="shared" si="12"/>
        <v>0.1428571429</v>
      </c>
    </row>
    <row r="90">
      <c r="A90" s="1" t="s">
        <v>9</v>
      </c>
      <c r="B90" s="1" t="s">
        <v>299</v>
      </c>
      <c r="C90" s="1" t="s">
        <v>18</v>
      </c>
      <c r="D90" s="1" t="s">
        <v>89</v>
      </c>
      <c r="E90" s="1" t="s">
        <v>110</v>
      </c>
      <c r="F90" s="1" t="s">
        <v>696</v>
      </c>
      <c r="G90" s="1">
        <v>45.5</v>
      </c>
      <c r="H90" s="1" t="s">
        <v>60</v>
      </c>
      <c r="I90" s="1">
        <v>-116.0</v>
      </c>
      <c r="J90" s="1">
        <v>0.0172290284141883</v>
      </c>
      <c r="K90" s="1" t="s">
        <v>61</v>
      </c>
      <c r="L90" s="1" t="s">
        <v>61</v>
      </c>
      <c r="M90" s="1" t="s">
        <v>62</v>
      </c>
      <c r="N90" s="1">
        <v>-116.0</v>
      </c>
      <c r="O90" s="1">
        <v>-0.0913136729604586</v>
      </c>
      <c r="P90" s="1" t="s">
        <v>61</v>
      </c>
      <c r="Q90" s="1" t="s">
        <v>61</v>
      </c>
      <c r="R90" s="1">
        <f t="shared" si="1"/>
        <v>0.01722902841</v>
      </c>
      <c r="S90" s="1">
        <f t="shared" si="2"/>
        <v>-116</v>
      </c>
      <c r="T90" s="1">
        <f t="shared" si="3"/>
        <v>1.862068966</v>
      </c>
      <c r="U90" s="1">
        <f t="shared" si="4"/>
        <v>1</v>
      </c>
      <c r="V90" s="3">
        <f t="shared" si="5"/>
        <v>1</v>
      </c>
      <c r="W90" s="3">
        <f t="shared" si="6"/>
        <v>2</v>
      </c>
      <c r="X90" s="3" t="str">
        <f>IFERROR(__xludf.DUMMYFUNCTION("split(B90,"" "")"),"J.")</f>
        <v>J.</v>
      </c>
      <c r="Y90" s="3" t="str">
        <f>IFERROR(__xludf.DUMMYFUNCTION("""COMPUTED_VALUE"""),"Jeudy")</f>
        <v>Jeudy</v>
      </c>
      <c r="AA90" s="8">
        <v>85.0</v>
      </c>
      <c r="AB90" s="3">
        <f t="shared" si="7"/>
        <v>1</v>
      </c>
      <c r="AC90" s="3">
        <f t="shared" si="8"/>
        <v>1</v>
      </c>
      <c r="AD90" s="3">
        <f t="shared" si="9"/>
        <v>0.8620689655</v>
      </c>
      <c r="AE90" s="3">
        <f t="shared" si="10"/>
        <v>0.8620689655</v>
      </c>
      <c r="AF90" s="3">
        <f t="shared" si="11"/>
        <v>1.724137931</v>
      </c>
      <c r="AG90" s="3">
        <f t="shared" si="12"/>
        <v>0.8681318681</v>
      </c>
    </row>
    <row r="91">
      <c r="A91" s="1" t="s">
        <v>9</v>
      </c>
      <c r="B91" s="1" t="s">
        <v>324</v>
      </c>
      <c r="C91" s="1" t="s">
        <v>19</v>
      </c>
      <c r="D91" s="1" t="s">
        <v>89</v>
      </c>
      <c r="E91" s="1" t="s">
        <v>110</v>
      </c>
      <c r="F91" s="1" t="s">
        <v>696</v>
      </c>
      <c r="G91" s="1">
        <v>36.5</v>
      </c>
      <c r="H91" s="1" t="s">
        <v>60</v>
      </c>
      <c r="I91" s="1">
        <v>-126.0</v>
      </c>
      <c r="J91" s="1">
        <v>0.00972018056881907</v>
      </c>
      <c r="K91" s="1" t="s">
        <v>61</v>
      </c>
      <c r="L91" s="1" t="s">
        <v>61</v>
      </c>
      <c r="M91" s="1" t="s">
        <v>62</v>
      </c>
      <c r="N91" s="1">
        <v>-108.0</v>
      </c>
      <c r="O91" s="1">
        <v>-0.0864630657367179</v>
      </c>
      <c r="P91" s="1" t="s">
        <v>61</v>
      </c>
      <c r="Q91" s="1" t="s">
        <v>61</v>
      </c>
      <c r="R91" s="1">
        <f t="shared" si="1"/>
        <v>0.009720180569</v>
      </c>
      <c r="S91" s="1">
        <f t="shared" si="2"/>
        <v>-126</v>
      </c>
      <c r="T91" s="1">
        <f t="shared" si="3"/>
        <v>1.793650794</v>
      </c>
      <c r="U91" s="1">
        <f t="shared" si="4"/>
        <v>1</v>
      </c>
      <c r="V91" s="3">
        <f t="shared" si="5"/>
        <v>1</v>
      </c>
      <c r="W91" s="3">
        <f t="shared" si="6"/>
        <v>3</v>
      </c>
      <c r="X91" s="3" t="str">
        <f>IFERROR(__xludf.DUMMYFUNCTION("split(B91,"" "")"),"J.")</f>
        <v>J.</v>
      </c>
      <c r="Y91" s="3" t="str">
        <f>IFERROR(__xludf.DUMMYFUNCTION("""COMPUTED_VALUE"""),"Ford")</f>
        <v>Ford</v>
      </c>
      <c r="AA91" s="8">
        <v>27.0</v>
      </c>
      <c r="AB91" s="3">
        <f t="shared" si="7"/>
        <v>0</v>
      </c>
      <c r="AC91" s="3">
        <f t="shared" si="8"/>
        <v>0</v>
      </c>
      <c r="AD91" s="3">
        <f t="shared" si="9"/>
        <v>0.7936507937</v>
      </c>
      <c r="AE91" s="3">
        <f t="shared" si="10"/>
        <v>-1</v>
      </c>
      <c r="AF91" s="3">
        <f t="shared" si="11"/>
        <v>-3</v>
      </c>
      <c r="AG91" s="3">
        <f t="shared" si="12"/>
        <v>-0.2602739726</v>
      </c>
    </row>
    <row r="92">
      <c r="A92" s="1" t="s">
        <v>12</v>
      </c>
      <c r="B92" s="1" t="s">
        <v>395</v>
      </c>
      <c r="C92" s="1" t="s">
        <v>18</v>
      </c>
      <c r="D92" s="1" t="s">
        <v>88</v>
      </c>
      <c r="E92" s="1" t="s">
        <v>114</v>
      </c>
      <c r="F92" s="1" t="s">
        <v>695</v>
      </c>
      <c r="G92" s="1">
        <v>6.5</v>
      </c>
      <c r="H92" s="1" t="s">
        <v>60</v>
      </c>
      <c r="I92" s="1">
        <v>120.0</v>
      </c>
      <c r="J92" s="1">
        <v>0.207699999999999</v>
      </c>
      <c r="K92" s="1" t="s">
        <v>61</v>
      </c>
      <c r="L92" s="1" t="s">
        <v>61</v>
      </c>
      <c r="M92" s="1" t="s">
        <v>62</v>
      </c>
      <c r="N92" s="1">
        <v>-156.0</v>
      </c>
      <c r="O92" s="1">
        <v>-0.2716140625</v>
      </c>
      <c r="P92" s="1" t="s">
        <v>61</v>
      </c>
      <c r="Q92" s="1" t="s">
        <v>61</v>
      </c>
      <c r="R92" s="1">
        <f t="shared" si="1"/>
        <v>0.2077</v>
      </c>
      <c r="S92" s="1">
        <f t="shared" si="2"/>
        <v>120</v>
      </c>
      <c r="T92" s="1">
        <f t="shared" si="3"/>
        <v>2.2</v>
      </c>
      <c r="U92" s="1">
        <f t="shared" si="4"/>
        <v>1</v>
      </c>
      <c r="V92" s="3">
        <f t="shared" si="5"/>
        <v>3</v>
      </c>
      <c r="W92" s="3">
        <f t="shared" si="6"/>
        <v>1</v>
      </c>
      <c r="X92" s="3" t="str">
        <f>IFERROR(__xludf.DUMMYFUNCTION("split(B92,"" "")"),"C.")</f>
        <v>C.</v>
      </c>
      <c r="Y92" s="3" t="str">
        <f>IFERROR(__xludf.DUMMYFUNCTION("""COMPUTED_VALUE"""),"Lamb")</f>
        <v>Lamb</v>
      </c>
      <c r="AA92" s="8">
        <v>10.0</v>
      </c>
      <c r="AB92" s="3">
        <f t="shared" si="7"/>
        <v>1</v>
      </c>
      <c r="AC92" s="3">
        <f t="shared" si="8"/>
        <v>1</v>
      </c>
      <c r="AD92" s="3">
        <f t="shared" si="9"/>
        <v>3.6</v>
      </c>
      <c r="AE92" s="3">
        <f t="shared" si="10"/>
        <v>3.6</v>
      </c>
      <c r="AF92" s="3">
        <f t="shared" si="11"/>
        <v>1.2</v>
      </c>
      <c r="AG92" s="3">
        <f t="shared" si="12"/>
        <v>0.5384615385</v>
      </c>
    </row>
    <row r="93">
      <c r="A93" s="1" t="s">
        <v>9</v>
      </c>
      <c r="B93" s="1" t="s">
        <v>697</v>
      </c>
      <c r="C93" s="1" t="s">
        <v>18</v>
      </c>
      <c r="D93" s="1" t="s">
        <v>88</v>
      </c>
      <c r="E93" s="1" t="s">
        <v>114</v>
      </c>
      <c r="F93" s="1" t="s">
        <v>695</v>
      </c>
      <c r="G93" s="1">
        <v>12.5</v>
      </c>
      <c r="H93" s="1" t="s">
        <v>60</v>
      </c>
      <c r="I93" s="1">
        <v>-120.0</v>
      </c>
      <c r="J93" s="1">
        <v>0.176242337793513</v>
      </c>
      <c r="K93" s="1" t="s">
        <v>61</v>
      </c>
      <c r="L93" s="1" t="s">
        <v>61</v>
      </c>
      <c r="M93" s="1" t="s">
        <v>62</v>
      </c>
      <c r="N93" s="1">
        <v>-110.0</v>
      </c>
      <c r="O93" s="1">
        <v>-0.245505932123953</v>
      </c>
      <c r="P93" s="1" t="s">
        <v>61</v>
      </c>
      <c r="Q93" s="1" t="s">
        <v>61</v>
      </c>
      <c r="R93" s="1">
        <f t="shared" si="1"/>
        <v>0.1762423378</v>
      </c>
      <c r="S93" s="1">
        <f t="shared" si="2"/>
        <v>-120</v>
      </c>
      <c r="T93" s="1">
        <f t="shared" si="3"/>
        <v>1.833333333</v>
      </c>
      <c r="U93" s="1">
        <f t="shared" si="4"/>
        <v>1</v>
      </c>
      <c r="V93" s="3">
        <f t="shared" si="5"/>
        <v>3</v>
      </c>
      <c r="W93" s="3">
        <f t="shared" si="6"/>
        <v>3</v>
      </c>
      <c r="X93" s="3" t="str">
        <f>IFERROR(__xludf.DUMMYFUNCTION("split(B93,"" "")"),"R.")</f>
        <v>R.</v>
      </c>
      <c r="Y93" s="3" t="str">
        <f>IFERROR(__xludf.DUMMYFUNCTION("""COMPUTED_VALUE"""),"Flournoy")</f>
        <v>Flournoy</v>
      </c>
      <c r="AA93" s="8">
        <v>0.0</v>
      </c>
      <c r="AB93" s="3">
        <f t="shared" si="7"/>
        <v>0</v>
      </c>
      <c r="AC93" s="3">
        <f t="shared" si="8"/>
        <v>0</v>
      </c>
      <c r="AD93" s="3">
        <f t="shared" si="9"/>
        <v>2.5</v>
      </c>
      <c r="AE93" s="3">
        <f t="shared" si="10"/>
        <v>-3</v>
      </c>
      <c r="AF93" s="3">
        <f t="shared" si="11"/>
        <v>-3</v>
      </c>
      <c r="AG93" s="3">
        <f t="shared" si="12"/>
        <v>-1</v>
      </c>
    </row>
    <row r="94">
      <c r="A94" s="1" t="s">
        <v>14</v>
      </c>
      <c r="B94" s="1" t="s">
        <v>681</v>
      </c>
      <c r="C94" s="1" t="s">
        <v>21</v>
      </c>
      <c r="D94" s="1" t="s">
        <v>88</v>
      </c>
      <c r="E94" s="1" t="s">
        <v>114</v>
      </c>
      <c r="F94" s="1" t="s">
        <v>695</v>
      </c>
      <c r="G94" s="1">
        <v>0.5</v>
      </c>
      <c r="H94" s="1" t="s">
        <v>60</v>
      </c>
      <c r="I94" s="1">
        <v>-211.0</v>
      </c>
      <c r="J94" s="1">
        <v>-0.18415486340836</v>
      </c>
      <c r="K94" s="1" t="s">
        <v>61</v>
      </c>
      <c r="L94" s="1" t="s">
        <v>61</v>
      </c>
      <c r="M94" s="1" t="s">
        <v>62</v>
      </c>
      <c r="N94" s="1">
        <v>161.0</v>
      </c>
      <c r="O94" s="1">
        <v>0.122556178237548</v>
      </c>
      <c r="P94" s="1" t="s">
        <v>61</v>
      </c>
      <c r="Q94" s="1" t="s">
        <v>61</v>
      </c>
      <c r="R94" s="1">
        <f t="shared" si="1"/>
        <v>0.1225561782</v>
      </c>
      <c r="S94" s="1">
        <f t="shared" si="2"/>
        <v>161</v>
      </c>
      <c r="T94" s="1">
        <f t="shared" si="3"/>
        <v>2.61</v>
      </c>
      <c r="U94" s="1">
        <f t="shared" si="4"/>
        <v>0</v>
      </c>
      <c r="V94" s="3">
        <f t="shared" si="5"/>
        <v>3</v>
      </c>
      <c r="W94" s="3">
        <f t="shared" si="6"/>
        <v>1</v>
      </c>
      <c r="X94" s="3" t="str">
        <f>IFERROR(__xludf.DUMMYFUNCTION("split(B94,"" "")"),"C.")</f>
        <v>C.</v>
      </c>
      <c r="Y94" s="3" t="str">
        <f>IFERROR(__xludf.DUMMYFUNCTION("""COMPUTED_VALUE"""),"Rush")</f>
        <v>Rush</v>
      </c>
      <c r="AA94" s="8">
        <v>2.0</v>
      </c>
      <c r="AB94" s="3">
        <f t="shared" si="7"/>
        <v>1</v>
      </c>
      <c r="AC94" s="3">
        <f t="shared" si="8"/>
        <v>0</v>
      </c>
      <c r="AD94" s="3">
        <f t="shared" si="9"/>
        <v>4.83</v>
      </c>
      <c r="AE94" s="3">
        <f t="shared" si="10"/>
        <v>-3</v>
      </c>
      <c r="AF94" s="3">
        <f t="shared" si="11"/>
        <v>-1</v>
      </c>
      <c r="AG94" s="3">
        <f t="shared" si="12"/>
        <v>-3</v>
      </c>
    </row>
    <row r="95">
      <c r="A95" s="1" t="s">
        <v>11</v>
      </c>
      <c r="B95" s="1" t="s">
        <v>207</v>
      </c>
      <c r="C95" s="1" t="s">
        <v>18</v>
      </c>
      <c r="D95" s="1" t="s">
        <v>88</v>
      </c>
      <c r="E95" s="1" t="s">
        <v>114</v>
      </c>
      <c r="F95" s="1" t="s">
        <v>695</v>
      </c>
      <c r="G95" s="1">
        <v>4.5</v>
      </c>
      <c r="H95" s="1" t="s">
        <v>60</v>
      </c>
      <c r="I95" s="1">
        <v>-120.0</v>
      </c>
      <c r="J95" s="1">
        <v>0.0994405553482031</v>
      </c>
      <c r="K95" s="1" t="s">
        <v>61</v>
      </c>
      <c r="L95" s="1" t="s">
        <v>61</v>
      </c>
      <c r="M95" s="1" t="s">
        <v>62</v>
      </c>
      <c r="N95" s="1">
        <v>-110.0</v>
      </c>
      <c r="O95" s="1">
        <v>-0.168673401877453</v>
      </c>
      <c r="P95" s="1" t="s">
        <v>61</v>
      </c>
      <c r="Q95" s="1" t="s">
        <v>61</v>
      </c>
      <c r="R95" s="1">
        <f t="shared" si="1"/>
        <v>0.09944055535</v>
      </c>
      <c r="S95" s="1">
        <f t="shared" si="2"/>
        <v>-120</v>
      </c>
      <c r="T95" s="1">
        <f t="shared" si="3"/>
        <v>1.833333333</v>
      </c>
      <c r="U95" s="1">
        <f t="shared" si="4"/>
        <v>1</v>
      </c>
      <c r="V95" s="3">
        <f t="shared" si="5"/>
        <v>2</v>
      </c>
      <c r="W95" s="3">
        <f t="shared" si="6"/>
        <v>3</v>
      </c>
      <c r="X95" s="3" t="str">
        <f>IFERROR(__xludf.DUMMYFUNCTION("split(B95,"" "")"),"J.")</f>
        <v>J.</v>
      </c>
      <c r="Y95" s="3" t="str">
        <f>IFERROR(__xludf.DUMMYFUNCTION("""COMPUTED_VALUE"""),"Mingo")</f>
        <v>Mingo</v>
      </c>
      <c r="AA95" s="8">
        <v>8.0</v>
      </c>
      <c r="AB95" s="3">
        <f t="shared" si="7"/>
        <v>1</v>
      </c>
      <c r="AC95" s="3">
        <f t="shared" si="8"/>
        <v>1</v>
      </c>
      <c r="AD95" s="3">
        <f t="shared" si="9"/>
        <v>1.666666667</v>
      </c>
      <c r="AE95" s="3">
        <f t="shared" si="10"/>
        <v>1.666666667</v>
      </c>
      <c r="AF95" s="3">
        <f t="shared" si="11"/>
        <v>2.5</v>
      </c>
      <c r="AG95" s="3">
        <f t="shared" si="12"/>
        <v>0.7777777778</v>
      </c>
    </row>
    <row r="96">
      <c r="A96" s="1" t="s">
        <v>9</v>
      </c>
      <c r="B96" s="1" t="s">
        <v>87</v>
      </c>
      <c r="C96" s="1" t="s">
        <v>18</v>
      </c>
      <c r="D96" s="1" t="s">
        <v>88</v>
      </c>
      <c r="E96" s="1" t="s">
        <v>114</v>
      </c>
      <c r="F96" s="1" t="s">
        <v>695</v>
      </c>
      <c r="G96" s="1">
        <v>25.5</v>
      </c>
      <c r="H96" s="1" t="s">
        <v>60</v>
      </c>
      <c r="I96" s="1">
        <v>-120.0</v>
      </c>
      <c r="J96" s="1">
        <v>0.0902084392335679</v>
      </c>
      <c r="K96" s="1" t="s">
        <v>61</v>
      </c>
      <c r="L96" s="1" t="s">
        <v>61</v>
      </c>
      <c r="M96" s="1" t="s">
        <v>62</v>
      </c>
      <c r="N96" s="1">
        <v>-110.0</v>
      </c>
      <c r="O96" s="1">
        <v>-0.159466868069159</v>
      </c>
      <c r="P96" s="1" t="s">
        <v>61</v>
      </c>
      <c r="Q96" s="1" t="s">
        <v>61</v>
      </c>
      <c r="R96" s="1">
        <f t="shared" si="1"/>
        <v>0.09020843923</v>
      </c>
      <c r="S96" s="1">
        <f t="shared" si="2"/>
        <v>-120</v>
      </c>
      <c r="T96" s="1">
        <f t="shared" si="3"/>
        <v>1.833333333</v>
      </c>
      <c r="U96" s="1">
        <f t="shared" si="4"/>
        <v>1</v>
      </c>
      <c r="V96" s="3">
        <f t="shared" si="5"/>
        <v>2</v>
      </c>
      <c r="W96" s="3">
        <f t="shared" si="6"/>
        <v>3</v>
      </c>
      <c r="X96" s="3" t="str">
        <f>IFERROR(__xludf.DUMMYFUNCTION("split(B96,"" "")"),"J.")</f>
        <v>J.</v>
      </c>
      <c r="Y96" s="3" t="str">
        <f>IFERROR(__xludf.DUMMYFUNCTION("""COMPUTED_VALUE"""),"Tolbert")</f>
        <v>Tolbert</v>
      </c>
      <c r="AA96" s="8">
        <v>22.0</v>
      </c>
      <c r="AB96" s="3">
        <f t="shared" si="7"/>
        <v>0</v>
      </c>
      <c r="AC96" s="3">
        <f t="shared" si="8"/>
        <v>0</v>
      </c>
      <c r="AD96" s="3">
        <f t="shared" si="9"/>
        <v>1.666666667</v>
      </c>
      <c r="AE96" s="3">
        <f t="shared" si="10"/>
        <v>-2</v>
      </c>
      <c r="AF96" s="3">
        <f t="shared" si="11"/>
        <v>-3</v>
      </c>
      <c r="AG96" s="3">
        <f t="shared" si="12"/>
        <v>-0.137254902</v>
      </c>
    </row>
    <row r="97">
      <c r="A97" s="1" t="s">
        <v>10</v>
      </c>
      <c r="B97" s="1" t="s">
        <v>207</v>
      </c>
      <c r="C97" s="1" t="s">
        <v>18</v>
      </c>
      <c r="D97" s="1" t="s">
        <v>88</v>
      </c>
      <c r="E97" s="1" t="s">
        <v>114</v>
      </c>
      <c r="F97" s="1" t="s">
        <v>695</v>
      </c>
      <c r="G97" s="1">
        <v>0.5</v>
      </c>
      <c r="H97" s="1" t="s">
        <v>60</v>
      </c>
      <c r="I97" s="1">
        <v>-110.0</v>
      </c>
      <c r="J97" s="1">
        <v>0.0891227841342303</v>
      </c>
      <c r="K97" s="1" t="s">
        <v>61</v>
      </c>
      <c r="L97" s="1" t="s">
        <v>61</v>
      </c>
      <c r="M97" s="1" t="s">
        <v>62</v>
      </c>
      <c r="N97" s="1">
        <v>-120.0</v>
      </c>
      <c r="O97" s="1">
        <v>-0.158347916371936</v>
      </c>
      <c r="P97" s="1" t="s">
        <v>61</v>
      </c>
      <c r="Q97" s="1" t="s">
        <v>61</v>
      </c>
      <c r="R97" s="1">
        <f t="shared" si="1"/>
        <v>0.08912278413</v>
      </c>
      <c r="S97" s="1">
        <f t="shared" si="2"/>
        <v>-110</v>
      </c>
      <c r="T97" s="1">
        <f t="shared" si="3"/>
        <v>1.909090909</v>
      </c>
      <c r="U97" s="1">
        <f t="shared" si="4"/>
        <v>1</v>
      </c>
      <c r="V97" s="3">
        <f t="shared" si="5"/>
        <v>2</v>
      </c>
      <c r="W97" s="3">
        <f t="shared" si="6"/>
        <v>2</v>
      </c>
      <c r="X97" s="3" t="str">
        <f>IFERROR(__xludf.DUMMYFUNCTION("split(B97,"" "")"),"J.")</f>
        <v>J.</v>
      </c>
      <c r="Y97" s="3" t="str">
        <f>IFERROR(__xludf.DUMMYFUNCTION("""COMPUTED_VALUE"""),"Mingo")</f>
        <v>Mingo</v>
      </c>
      <c r="AA97" s="8">
        <v>0.0</v>
      </c>
      <c r="AB97" s="3">
        <f t="shared" si="7"/>
        <v>0</v>
      </c>
      <c r="AC97" s="3">
        <f t="shared" si="8"/>
        <v>0</v>
      </c>
      <c r="AD97" s="3">
        <f t="shared" si="9"/>
        <v>1.818181818</v>
      </c>
      <c r="AE97" s="3">
        <f t="shared" si="10"/>
        <v>-2</v>
      </c>
      <c r="AF97" s="3">
        <f t="shared" si="11"/>
        <v>-2</v>
      </c>
      <c r="AG97" s="3">
        <f t="shared" si="12"/>
        <v>-1</v>
      </c>
    </row>
    <row r="98">
      <c r="A98" s="1" t="s">
        <v>17</v>
      </c>
      <c r="B98" s="1" t="s">
        <v>681</v>
      </c>
      <c r="C98" s="1" t="s">
        <v>21</v>
      </c>
      <c r="D98" s="1" t="s">
        <v>88</v>
      </c>
      <c r="E98" s="1" t="s">
        <v>114</v>
      </c>
      <c r="F98" s="1" t="s">
        <v>695</v>
      </c>
      <c r="G98" s="1">
        <v>0.5</v>
      </c>
      <c r="H98" s="1" t="s">
        <v>60</v>
      </c>
      <c r="I98" s="1">
        <v>-162.0</v>
      </c>
      <c r="J98" s="1">
        <v>-0.152158778625954</v>
      </c>
      <c r="K98" s="1" t="s">
        <v>61</v>
      </c>
      <c r="L98" s="1" t="s">
        <v>61</v>
      </c>
      <c r="M98" s="1" t="s">
        <v>62</v>
      </c>
      <c r="N98" s="1">
        <v>123.0</v>
      </c>
      <c r="O98" s="1">
        <v>0.0854143497757847</v>
      </c>
      <c r="P98" s="1" t="s">
        <v>61</v>
      </c>
      <c r="Q98" s="1" t="s">
        <v>61</v>
      </c>
      <c r="R98" s="1">
        <f t="shared" si="1"/>
        <v>0.08541434978</v>
      </c>
      <c r="S98" s="1">
        <f t="shared" si="2"/>
        <v>123</v>
      </c>
      <c r="T98" s="1">
        <f t="shared" si="3"/>
        <v>2.23</v>
      </c>
      <c r="U98" s="1">
        <f t="shared" si="4"/>
        <v>0</v>
      </c>
      <c r="V98" s="3">
        <f t="shared" si="5"/>
        <v>2</v>
      </c>
      <c r="W98" s="3">
        <f t="shared" si="6"/>
        <v>1</v>
      </c>
      <c r="X98" s="3" t="str">
        <f>IFERROR(__xludf.DUMMYFUNCTION("split(B98,"" "")"),"C.")</f>
        <v>C.</v>
      </c>
      <c r="Y98" s="3" t="str">
        <f>IFERROR(__xludf.DUMMYFUNCTION("""COMPUTED_VALUE"""),"Rush")</f>
        <v>Rush</v>
      </c>
      <c r="AA98" s="8">
        <v>0.0</v>
      </c>
      <c r="AB98" s="3">
        <f t="shared" si="7"/>
        <v>0</v>
      </c>
      <c r="AC98" s="3">
        <f t="shared" si="8"/>
        <v>1</v>
      </c>
      <c r="AD98" s="3">
        <f t="shared" si="9"/>
        <v>2.46</v>
      </c>
      <c r="AE98" s="3">
        <f t="shared" si="10"/>
        <v>2.46</v>
      </c>
      <c r="AF98" s="3">
        <f t="shared" si="11"/>
        <v>1.23</v>
      </c>
      <c r="AG98" s="3">
        <f t="shared" si="12"/>
        <v>1</v>
      </c>
    </row>
    <row r="99">
      <c r="A99" s="1" t="s">
        <v>12</v>
      </c>
      <c r="B99" s="1" t="s">
        <v>571</v>
      </c>
      <c r="C99" s="1" t="s">
        <v>18</v>
      </c>
      <c r="D99" s="1" t="s">
        <v>88</v>
      </c>
      <c r="E99" s="1" t="s">
        <v>114</v>
      </c>
      <c r="F99" s="1" t="s">
        <v>695</v>
      </c>
      <c r="G99" s="1">
        <v>1.5</v>
      </c>
      <c r="H99" s="1" t="s">
        <v>60</v>
      </c>
      <c r="I99" s="1">
        <v>121.0</v>
      </c>
      <c r="J99" s="1">
        <v>-0.144930638548506</v>
      </c>
      <c r="K99" s="1" t="s">
        <v>61</v>
      </c>
      <c r="L99" s="1" t="s">
        <v>61</v>
      </c>
      <c r="M99" s="1" t="s">
        <v>62</v>
      </c>
      <c r="N99" s="1">
        <v>-160.0</v>
      </c>
      <c r="O99" s="1">
        <v>0.0770625358892306</v>
      </c>
      <c r="P99" s="1" t="s">
        <v>61</v>
      </c>
      <c r="Q99" s="1" t="s">
        <v>61</v>
      </c>
      <c r="R99" s="1">
        <f t="shared" si="1"/>
        <v>0.07706253589</v>
      </c>
      <c r="S99" s="1">
        <f t="shared" si="2"/>
        <v>-160</v>
      </c>
      <c r="T99" s="1">
        <f t="shared" si="3"/>
        <v>1.625</v>
      </c>
      <c r="U99" s="1">
        <f t="shared" si="4"/>
        <v>0</v>
      </c>
      <c r="V99" s="3">
        <f t="shared" si="5"/>
        <v>2</v>
      </c>
      <c r="W99" s="3">
        <f t="shared" si="6"/>
        <v>3</v>
      </c>
      <c r="X99" s="3" t="str">
        <f>IFERROR(__xludf.DUMMYFUNCTION("split(B99,"" "")"),"K.")</f>
        <v>K.</v>
      </c>
      <c r="Y99" s="3" t="str">
        <f>IFERROR(__xludf.DUMMYFUNCTION("""COMPUTED_VALUE"""),"Turpin")</f>
        <v>Turpin</v>
      </c>
      <c r="AA99" s="8">
        <v>1.0</v>
      </c>
      <c r="AB99" s="3">
        <f t="shared" si="7"/>
        <v>0</v>
      </c>
      <c r="AC99" s="3">
        <f t="shared" si="8"/>
        <v>1</v>
      </c>
      <c r="AD99" s="3">
        <f t="shared" si="9"/>
        <v>1.25</v>
      </c>
      <c r="AE99" s="3">
        <f t="shared" si="10"/>
        <v>1.25</v>
      </c>
      <c r="AF99" s="3">
        <f t="shared" si="11"/>
        <v>1.875</v>
      </c>
      <c r="AG99" s="3">
        <f t="shared" si="12"/>
        <v>0.3333333333</v>
      </c>
    </row>
    <row r="100">
      <c r="A100" s="1" t="s">
        <v>8</v>
      </c>
      <c r="B100" s="1" t="s">
        <v>152</v>
      </c>
      <c r="C100" s="1" t="s">
        <v>19</v>
      </c>
      <c r="D100" s="1" t="s">
        <v>88</v>
      </c>
      <c r="E100" s="1" t="s">
        <v>114</v>
      </c>
      <c r="F100" s="1" t="s">
        <v>695</v>
      </c>
      <c r="G100" s="1">
        <v>12.5</v>
      </c>
      <c r="H100" s="1" t="s">
        <v>60</v>
      </c>
      <c r="I100" s="1">
        <v>-134.0</v>
      </c>
      <c r="J100" s="1">
        <v>-0.155077048307692</v>
      </c>
      <c r="K100" s="1" t="s">
        <v>61</v>
      </c>
      <c r="L100" s="1" t="s">
        <v>61</v>
      </c>
      <c r="M100" s="1" t="s">
        <v>62</v>
      </c>
      <c r="N100" s="1">
        <v>-103.0</v>
      </c>
      <c r="O100" s="1">
        <v>0.0750621880941871</v>
      </c>
      <c r="P100" s="1" t="s">
        <v>61</v>
      </c>
      <c r="Q100" s="1" t="s">
        <v>61</v>
      </c>
      <c r="R100" s="1">
        <f t="shared" si="1"/>
        <v>0.07506218809</v>
      </c>
      <c r="S100" s="1">
        <f t="shared" si="2"/>
        <v>-103</v>
      </c>
      <c r="T100" s="1">
        <f t="shared" si="3"/>
        <v>1.970873786</v>
      </c>
      <c r="U100" s="1">
        <f t="shared" si="4"/>
        <v>0</v>
      </c>
      <c r="V100" s="3">
        <f t="shared" si="5"/>
        <v>2</v>
      </c>
      <c r="W100" s="3">
        <f t="shared" si="6"/>
        <v>2</v>
      </c>
      <c r="X100" s="3" t="str">
        <f>IFERROR(__xludf.DUMMYFUNCTION("split(B100,"" "")"),"R.")</f>
        <v>R.</v>
      </c>
      <c r="Y100" s="3" t="str">
        <f>IFERROR(__xludf.DUMMYFUNCTION("""COMPUTED_VALUE"""),"Dowdle")</f>
        <v>Dowdle</v>
      </c>
      <c r="AA100" s="8">
        <v>19.0</v>
      </c>
      <c r="AB100" s="3">
        <f t="shared" si="7"/>
        <v>1</v>
      </c>
      <c r="AC100" s="3">
        <f t="shared" si="8"/>
        <v>0</v>
      </c>
      <c r="AD100" s="3">
        <f t="shared" si="9"/>
        <v>1.941747573</v>
      </c>
      <c r="AE100" s="3">
        <f t="shared" si="10"/>
        <v>-2</v>
      </c>
      <c r="AF100" s="3">
        <f t="shared" si="11"/>
        <v>-2</v>
      </c>
      <c r="AG100" s="3">
        <f t="shared" si="12"/>
        <v>-0.52</v>
      </c>
    </row>
    <row r="101">
      <c r="A101" s="1" t="s">
        <v>12</v>
      </c>
      <c r="B101" s="1" t="s">
        <v>152</v>
      </c>
      <c r="C101" s="1" t="s">
        <v>19</v>
      </c>
      <c r="D101" s="1" t="s">
        <v>88</v>
      </c>
      <c r="E101" s="1" t="s">
        <v>114</v>
      </c>
      <c r="F101" s="1" t="s">
        <v>695</v>
      </c>
      <c r="G101" s="1">
        <v>2.5</v>
      </c>
      <c r="H101" s="1" t="s">
        <v>60</v>
      </c>
      <c r="I101" s="1">
        <v>108.0</v>
      </c>
      <c r="J101" s="1">
        <v>-0.140963556611538</v>
      </c>
      <c r="K101" s="1" t="s">
        <v>61</v>
      </c>
      <c r="L101" s="1" t="s">
        <v>61</v>
      </c>
      <c r="M101" s="1" t="s">
        <v>62</v>
      </c>
      <c r="N101" s="1">
        <v>-142.0</v>
      </c>
      <c r="O101" s="1">
        <v>0.0734037193173553</v>
      </c>
      <c r="P101" s="1" t="s">
        <v>61</v>
      </c>
      <c r="Q101" s="1" t="s">
        <v>61</v>
      </c>
      <c r="R101" s="1">
        <f t="shared" si="1"/>
        <v>0.07340371932</v>
      </c>
      <c r="S101" s="1">
        <f t="shared" si="2"/>
        <v>-142</v>
      </c>
      <c r="T101" s="1">
        <f t="shared" si="3"/>
        <v>1.704225352</v>
      </c>
      <c r="U101" s="1">
        <f t="shared" si="4"/>
        <v>0</v>
      </c>
      <c r="V101" s="3">
        <f t="shared" si="5"/>
        <v>2</v>
      </c>
      <c r="W101" s="3">
        <f t="shared" si="6"/>
        <v>3</v>
      </c>
      <c r="X101" s="3" t="str">
        <f>IFERROR(__xludf.DUMMYFUNCTION("split(B101,"" "")"),"R.")</f>
        <v>R.</v>
      </c>
      <c r="Y101" s="3" t="str">
        <f>IFERROR(__xludf.DUMMYFUNCTION("""COMPUTED_VALUE"""),"Dowdle")</f>
        <v>Dowdle</v>
      </c>
      <c r="AA101" s="8">
        <v>3.0</v>
      </c>
      <c r="AB101" s="3">
        <f t="shared" si="7"/>
        <v>1</v>
      </c>
      <c r="AC101" s="3">
        <f t="shared" si="8"/>
        <v>0</v>
      </c>
      <c r="AD101" s="3">
        <f t="shared" si="9"/>
        <v>1.408450704</v>
      </c>
      <c r="AE101" s="3">
        <f t="shared" si="10"/>
        <v>-2</v>
      </c>
      <c r="AF101" s="3">
        <f t="shared" si="11"/>
        <v>-3</v>
      </c>
      <c r="AG101" s="3">
        <f t="shared" si="12"/>
        <v>-0.2</v>
      </c>
    </row>
    <row r="102">
      <c r="A102" s="1" t="s">
        <v>11</v>
      </c>
      <c r="B102" s="1" t="s">
        <v>697</v>
      </c>
      <c r="C102" s="1" t="s">
        <v>18</v>
      </c>
      <c r="D102" s="1" t="s">
        <v>88</v>
      </c>
      <c r="E102" s="1" t="s">
        <v>114</v>
      </c>
      <c r="F102" s="1" t="s">
        <v>695</v>
      </c>
      <c r="G102" s="1">
        <v>12.5</v>
      </c>
      <c r="H102" s="1" t="s">
        <v>60</v>
      </c>
      <c r="I102" s="1">
        <v>-112.0</v>
      </c>
      <c r="J102" s="1">
        <v>0.0352879395201934</v>
      </c>
      <c r="K102" s="1" t="s">
        <v>61</v>
      </c>
      <c r="L102" s="1" t="s">
        <v>61</v>
      </c>
      <c r="M102" s="1" t="s">
        <v>62</v>
      </c>
      <c r="N102" s="1">
        <v>-113.0</v>
      </c>
      <c r="O102" s="1">
        <v>-0.0940675811805518</v>
      </c>
      <c r="P102" s="1" t="s">
        <v>61</v>
      </c>
      <c r="Q102" s="1" t="s">
        <v>61</v>
      </c>
      <c r="R102" s="1">
        <f t="shared" si="1"/>
        <v>0.03528793952</v>
      </c>
      <c r="S102" s="1">
        <f t="shared" si="2"/>
        <v>-112</v>
      </c>
      <c r="T102" s="1">
        <f t="shared" si="3"/>
        <v>1.892857143</v>
      </c>
      <c r="U102" s="1">
        <f t="shared" si="4"/>
        <v>1</v>
      </c>
      <c r="V102" s="3">
        <f t="shared" si="5"/>
        <v>1</v>
      </c>
      <c r="W102" s="3">
        <f t="shared" si="6"/>
        <v>2</v>
      </c>
      <c r="X102" s="3" t="str">
        <f>IFERROR(__xludf.DUMMYFUNCTION("split(B102,"" "")"),"R.")</f>
        <v>R.</v>
      </c>
      <c r="Y102" s="3" t="str">
        <f>IFERROR(__xludf.DUMMYFUNCTION("""COMPUTED_VALUE"""),"Flournoy")</f>
        <v>Flournoy</v>
      </c>
      <c r="AA102" s="8">
        <v>0.0</v>
      </c>
      <c r="AB102" s="3">
        <f t="shared" si="7"/>
        <v>0</v>
      </c>
      <c r="AC102" s="3">
        <f t="shared" si="8"/>
        <v>0</v>
      </c>
      <c r="AD102" s="3">
        <f t="shared" si="9"/>
        <v>0.8928571429</v>
      </c>
      <c r="AE102" s="3">
        <f t="shared" si="10"/>
        <v>-1</v>
      </c>
      <c r="AF102" s="3">
        <f t="shared" si="11"/>
        <v>-2</v>
      </c>
      <c r="AG102" s="3">
        <f t="shared" si="12"/>
        <v>-1</v>
      </c>
    </row>
    <row r="103">
      <c r="A103" s="1" t="s">
        <v>12</v>
      </c>
      <c r="B103" s="1" t="s">
        <v>698</v>
      </c>
      <c r="C103" s="1" t="s">
        <v>20</v>
      </c>
      <c r="D103" s="1" t="s">
        <v>88</v>
      </c>
      <c r="E103" s="1" t="s">
        <v>114</v>
      </c>
      <c r="F103" s="1" t="s">
        <v>695</v>
      </c>
      <c r="G103" s="1">
        <v>3.5</v>
      </c>
      <c r="H103" s="1" t="s">
        <v>60</v>
      </c>
      <c r="I103" s="1">
        <v>124.0</v>
      </c>
      <c r="J103" s="1">
        <v>-0.0981285714285714</v>
      </c>
      <c r="K103" s="1" t="s">
        <v>61</v>
      </c>
      <c r="L103" s="1" t="s">
        <v>61</v>
      </c>
      <c r="M103" s="1" t="s">
        <v>62</v>
      </c>
      <c r="N103" s="1">
        <v>-163.0</v>
      </c>
      <c r="O103" s="1">
        <v>0.0319281368821292</v>
      </c>
      <c r="P103" s="1" t="s">
        <v>61</v>
      </c>
      <c r="Q103" s="1" t="s">
        <v>61</v>
      </c>
      <c r="R103" s="1">
        <f t="shared" si="1"/>
        <v>0.03192813688</v>
      </c>
      <c r="S103" s="1">
        <f t="shared" si="2"/>
        <v>-163</v>
      </c>
      <c r="T103" s="1">
        <f t="shared" si="3"/>
        <v>1.613496933</v>
      </c>
      <c r="U103" s="1">
        <f t="shared" si="4"/>
        <v>0</v>
      </c>
      <c r="V103" s="3">
        <f t="shared" si="5"/>
        <v>1</v>
      </c>
      <c r="W103" s="3">
        <f t="shared" si="6"/>
        <v>3</v>
      </c>
      <c r="X103" s="3" t="str">
        <f>IFERROR(__xludf.DUMMYFUNCTION("split(B103,"" "")"),"L.")</f>
        <v>L.</v>
      </c>
      <c r="Y103" s="3" t="str">
        <f>IFERROR(__xludf.DUMMYFUNCTION("""COMPUTED_VALUE"""),"Schoonmaker")</f>
        <v>Schoonmaker</v>
      </c>
      <c r="AA103" s="8">
        <v>3.0</v>
      </c>
      <c r="AB103" s="3">
        <f t="shared" si="7"/>
        <v>0</v>
      </c>
      <c r="AC103" s="3">
        <f t="shared" si="8"/>
        <v>1</v>
      </c>
      <c r="AD103" s="3">
        <f t="shared" si="9"/>
        <v>0.6134969325</v>
      </c>
      <c r="AE103" s="3">
        <f t="shared" si="10"/>
        <v>0.6134969325</v>
      </c>
      <c r="AF103" s="3">
        <f t="shared" si="11"/>
        <v>1.840490798</v>
      </c>
      <c r="AG103" s="3">
        <f t="shared" si="12"/>
        <v>0.1428571429</v>
      </c>
    </row>
    <row r="104">
      <c r="A104" s="1" t="s">
        <v>15</v>
      </c>
      <c r="B104" s="1" t="s">
        <v>681</v>
      </c>
      <c r="C104" s="1" t="s">
        <v>21</v>
      </c>
      <c r="D104" s="1" t="s">
        <v>88</v>
      </c>
      <c r="E104" s="1" t="s">
        <v>114</v>
      </c>
      <c r="F104" s="1" t="s">
        <v>695</v>
      </c>
      <c r="G104" s="1">
        <v>19.5</v>
      </c>
      <c r="H104" s="1" t="s">
        <v>60</v>
      </c>
      <c r="I104" s="1">
        <v>-104.0</v>
      </c>
      <c r="J104" s="1">
        <v>0.0313016538235295</v>
      </c>
      <c r="K104" s="1" t="s">
        <v>61</v>
      </c>
      <c r="L104" s="1" t="s">
        <v>61</v>
      </c>
      <c r="M104" s="1" t="s">
        <v>62</v>
      </c>
      <c r="N104" s="1">
        <v>-126.0</v>
      </c>
      <c r="O104" s="1">
        <v>-0.0986147305256638</v>
      </c>
      <c r="P104" s="1" t="s">
        <v>61</v>
      </c>
      <c r="Q104" s="1" t="s">
        <v>61</v>
      </c>
      <c r="R104" s="1">
        <f t="shared" si="1"/>
        <v>0.03130165382</v>
      </c>
      <c r="S104" s="1">
        <f t="shared" si="2"/>
        <v>-104</v>
      </c>
      <c r="T104" s="1">
        <f t="shared" si="3"/>
        <v>1.961538462</v>
      </c>
      <c r="U104" s="1">
        <f t="shared" si="4"/>
        <v>1</v>
      </c>
      <c r="V104" s="3">
        <f t="shared" si="5"/>
        <v>1</v>
      </c>
      <c r="W104" s="3">
        <f t="shared" si="6"/>
        <v>2</v>
      </c>
      <c r="X104" s="3" t="str">
        <f>IFERROR(__xludf.DUMMYFUNCTION("split(B104,"" "")"),"C.")</f>
        <v>C.</v>
      </c>
      <c r="Y104" s="3" t="str">
        <f>IFERROR(__xludf.DUMMYFUNCTION("""COMPUTED_VALUE"""),"Rush")</f>
        <v>Rush</v>
      </c>
      <c r="AA104" s="8">
        <v>24.0</v>
      </c>
      <c r="AB104" s="3">
        <f t="shared" si="7"/>
        <v>1</v>
      </c>
      <c r="AC104" s="3">
        <f t="shared" si="8"/>
        <v>1</v>
      </c>
      <c r="AD104" s="3">
        <f t="shared" si="9"/>
        <v>0.9615384615</v>
      </c>
      <c r="AE104" s="3">
        <f t="shared" si="10"/>
        <v>0.9615384615</v>
      </c>
      <c r="AF104" s="3">
        <f t="shared" si="11"/>
        <v>1.923076923</v>
      </c>
      <c r="AG104" s="3">
        <f t="shared" si="12"/>
        <v>0.2307692308</v>
      </c>
    </row>
    <row r="105">
      <c r="A105" s="1" t="s">
        <v>11</v>
      </c>
      <c r="B105" s="1" t="s">
        <v>698</v>
      </c>
      <c r="C105" s="1" t="s">
        <v>20</v>
      </c>
      <c r="D105" s="1" t="s">
        <v>88</v>
      </c>
      <c r="E105" s="1" t="s">
        <v>114</v>
      </c>
      <c r="F105" s="1" t="s">
        <v>695</v>
      </c>
      <c r="G105" s="1">
        <v>28.5</v>
      </c>
      <c r="H105" s="1" t="s">
        <v>60</v>
      </c>
      <c r="I105" s="1">
        <v>-108.0</v>
      </c>
      <c r="J105" s="1">
        <v>-0.0883845573686537</v>
      </c>
      <c r="K105" s="1" t="s">
        <v>61</v>
      </c>
      <c r="L105" s="1" t="s">
        <v>61</v>
      </c>
      <c r="M105" s="1" t="s">
        <v>62</v>
      </c>
      <c r="N105" s="1">
        <v>-117.0</v>
      </c>
      <c r="O105" s="1">
        <v>0.0300262575172147</v>
      </c>
      <c r="P105" s="1" t="s">
        <v>61</v>
      </c>
      <c r="Q105" s="1" t="s">
        <v>61</v>
      </c>
      <c r="R105" s="1">
        <f t="shared" si="1"/>
        <v>0.03002625752</v>
      </c>
      <c r="S105" s="1">
        <f t="shared" si="2"/>
        <v>-117</v>
      </c>
      <c r="T105" s="1">
        <f t="shared" si="3"/>
        <v>1.854700855</v>
      </c>
      <c r="U105" s="1">
        <f t="shared" si="4"/>
        <v>0</v>
      </c>
      <c r="V105" s="3">
        <f t="shared" si="5"/>
        <v>1</v>
      </c>
      <c r="W105" s="3">
        <f t="shared" si="6"/>
        <v>2</v>
      </c>
      <c r="X105" s="3" t="str">
        <f>IFERROR(__xludf.DUMMYFUNCTION("split(B105,"" "")"),"L.")</f>
        <v>L.</v>
      </c>
      <c r="Y105" s="3" t="str">
        <f>IFERROR(__xludf.DUMMYFUNCTION("""COMPUTED_VALUE"""),"Schoonmaker")</f>
        <v>Schoonmaker</v>
      </c>
      <c r="AA105" s="8">
        <v>55.0</v>
      </c>
      <c r="AB105" s="3">
        <f t="shared" si="7"/>
        <v>1</v>
      </c>
      <c r="AC105" s="3">
        <f t="shared" si="8"/>
        <v>0</v>
      </c>
      <c r="AD105" s="3">
        <f t="shared" si="9"/>
        <v>0.8547008547</v>
      </c>
      <c r="AE105" s="3">
        <f t="shared" si="10"/>
        <v>-1</v>
      </c>
      <c r="AF105" s="3">
        <f t="shared" si="11"/>
        <v>-2</v>
      </c>
      <c r="AG105" s="3">
        <f t="shared" si="12"/>
        <v>-0.9298245614</v>
      </c>
    </row>
    <row r="106">
      <c r="A106" s="1" t="s">
        <v>16</v>
      </c>
      <c r="B106" s="1" t="s">
        <v>681</v>
      </c>
      <c r="C106" s="1" t="s">
        <v>21</v>
      </c>
      <c r="D106" s="1" t="s">
        <v>88</v>
      </c>
      <c r="E106" s="1" t="s">
        <v>114</v>
      </c>
      <c r="F106" s="1" t="s">
        <v>695</v>
      </c>
      <c r="G106" s="1">
        <v>33.5</v>
      </c>
      <c r="H106" s="1" t="s">
        <v>60</v>
      </c>
      <c r="I106" s="1">
        <v>-105.0</v>
      </c>
      <c r="J106" s="1">
        <v>0.0275529658951219</v>
      </c>
      <c r="K106" s="1" t="s">
        <v>61</v>
      </c>
      <c r="L106" s="1" t="s">
        <v>61</v>
      </c>
      <c r="M106" s="1" t="s">
        <v>62</v>
      </c>
      <c r="N106" s="1">
        <v>-125.0</v>
      </c>
      <c r="O106" s="1">
        <v>-0.0953105100888888</v>
      </c>
      <c r="P106" s="1" t="s">
        <v>61</v>
      </c>
      <c r="Q106" s="1" t="s">
        <v>61</v>
      </c>
      <c r="R106" s="1">
        <f t="shared" si="1"/>
        <v>0.0275529659</v>
      </c>
      <c r="S106" s="1">
        <f t="shared" si="2"/>
        <v>-105</v>
      </c>
      <c r="T106" s="1">
        <f t="shared" si="3"/>
        <v>1.952380952</v>
      </c>
      <c r="U106" s="1">
        <f t="shared" si="4"/>
        <v>1</v>
      </c>
      <c r="V106" s="3">
        <f t="shared" si="5"/>
        <v>1</v>
      </c>
      <c r="W106" s="3">
        <f t="shared" si="6"/>
        <v>2</v>
      </c>
      <c r="X106" s="3" t="str">
        <f>IFERROR(__xludf.DUMMYFUNCTION("split(B106,"" "")"),"C.")</f>
        <v>C.</v>
      </c>
      <c r="Y106" s="3" t="str">
        <f>IFERROR(__xludf.DUMMYFUNCTION("""COMPUTED_VALUE"""),"Rush")</f>
        <v>Rush</v>
      </c>
      <c r="AA106" s="8">
        <v>32.0</v>
      </c>
      <c r="AB106" s="3">
        <f t="shared" si="7"/>
        <v>0</v>
      </c>
      <c r="AC106" s="3">
        <f t="shared" si="8"/>
        <v>0</v>
      </c>
      <c r="AD106" s="3">
        <f t="shared" si="9"/>
        <v>0.9523809524</v>
      </c>
      <c r="AE106" s="3">
        <f t="shared" si="10"/>
        <v>-1</v>
      </c>
      <c r="AF106" s="3">
        <f t="shared" si="11"/>
        <v>-2</v>
      </c>
      <c r="AG106" s="3">
        <f t="shared" si="12"/>
        <v>-0.0447761194</v>
      </c>
    </row>
    <row r="107">
      <c r="A107" s="1" t="s">
        <v>13</v>
      </c>
      <c r="B107" s="1" t="s">
        <v>681</v>
      </c>
      <c r="C107" s="1" t="s">
        <v>21</v>
      </c>
      <c r="D107" s="1" t="s">
        <v>88</v>
      </c>
      <c r="E107" s="1" t="s">
        <v>114</v>
      </c>
      <c r="F107" s="1" t="s">
        <v>695</v>
      </c>
      <c r="G107" s="1">
        <v>201.5</v>
      </c>
      <c r="H107" s="1" t="s">
        <v>60</v>
      </c>
      <c r="I107" s="1">
        <v>-113.0</v>
      </c>
      <c r="J107" s="1">
        <v>0.0135915273239435</v>
      </c>
      <c r="K107" s="1" t="s">
        <v>61</v>
      </c>
      <c r="L107" s="1" t="s">
        <v>61</v>
      </c>
      <c r="M107" s="1" t="s">
        <v>62</v>
      </c>
      <c r="N107" s="1">
        <v>-113.0</v>
      </c>
      <c r="O107" s="1">
        <v>-0.0745344258760561</v>
      </c>
      <c r="P107" s="1" t="s">
        <v>61</v>
      </c>
      <c r="Q107" s="1" t="s">
        <v>61</v>
      </c>
      <c r="R107" s="1">
        <f t="shared" si="1"/>
        <v>0.01359152732</v>
      </c>
      <c r="S107" s="1">
        <f t="shared" si="2"/>
        <v>-113</v>
      </c>
      <c r="T107" s="1">
        <f t="shared" si="3"/>
        <v>1.884955752</v>
      </c>
      <c r="U107" s="1">
        <f t="shared" si="4"/>
        <v>1</v>
      </c>
      <c r="V107" s="3">
        <f t="shared" si="5"/>
        <v>1</v>
      </c>
      <c r="W107" s="3">
        <f t="shared" si="6"/>
        <v>2</v>
      </c>
      <c r="X107" s="3" t="str">
        <f>IFERROR(__xludf.DUMMYFUNCTION("split(B107,"" "")"),"C.")</f>
        <v>C.</v>
      </c>
      <c r="Y107" s="3" t="str">
        <f>IFERROR(__xludf.DUMMYFUNCTION("""COMPUTED_VALUE"""),"Rush")</f>
        <v>Rush</v>
      </c>
      <c r="AA107" s="8">
        <v>247.0</v>
      </c>
      <c r="AB107" s="3">
        <f t="shared" si="7"/>
        <v>1</v>
      </c>
      <c r="AC107" s="3">
        <f t="shared" si="8"/>
        <v>1</v>
      </c>
      <c r="AD107" s="3">
        <f t="shared" si="9"/>
        <v>0.8849557522</v>
      </c>
      <c r="AE107" s="3">
        <f t="shared" si="10"/>
        <v>0.8849557522</v>
      </c>
      <c r="AF107" s="3">
        <f t="shared" si="11"/>
        <v>1.769911504</v>
      </c>
      <c r="AG107" s="3">
        <f t="shared" si="12"/>
        <v>0.2258064516</v>
      </c>
    </row>
    <row r="108">
      <c r="A108" s="1" t="s">
        <v>11</v>
      </c>
      <c r="B108" s="1" t="s">
        <v>87</v>
      </c>
      <c r="C108" s="1" t="s">
        <v>18</v>
      </c>
      <c r="D108" s="1" t="s">
        <v>88</v>
      </c>
      <c r="E108" s="1" t="s">
        <v>114</v>
      </c>
      <c r="F108" s="1" t="s">
        <v>695</v>
      </c>
      <c r="G108" s="1">
        <v>25.5</v>
      </c>
      <c r="H108" s="1" t="s">
        <v>60</v>
      </c>
      <c r="I108" s="1">
        <v>-109.0</v>
      </c>
      <c r="J108" s="1">
        <v>0.00765802112559788</v>
      </c>
      <c r="K108" s="1" t="s">
        <v>61</v>
      </c>
      <c r="L108" s="1" t="s">
        <v>61</v>
      </c>
      <c r="M108" s="1" t="s">
        <v>62</v>
      </c>
      <c r="N108" s="1">
        <v>-118.0</v>
      </c>
      <c r="O108" s="1">
        <v>-0.0704334756410135</v>
      </c>
      <c r="P108" s="1" t="s">
        <v>61</v>
      </c>
      <c r="Q108" s="1" t="s">
        <v>61</v>
      </c>
      <c r="R108" s="1">
        <f t="shared" si="1"/>
        <v>0.007658021126</v>
      </c>
      <c r="S108" s="1">
        <f t="shared" si="2"/>
        <v>-109</v>
      </c>
      <c r="T108" s="1">
        <f t="shared" si="3"/>
        <v>1.917431193</v>
      </c>
      <c r="U108" s="1">
        <f t="shared" si="4"/>
        <v>1</v>
      </c>
      <c r="V108" s="3">
        <f t="shared" si="5"/>
        <v>1</v>
      </c>
      <c r="W108" s="3">
        <f t="shared" si="6"/>
        <v>2</v>
      </c>
      <c r="X108" s="3" t="str">
        <f>IFERROR(__xludf.DUMMYFUNCTION("split(B108,"" "")"),"J.")</f>
        <v>J.</v>
      </c>
      <c r="Y108" s="3" t="str">
        <f>IFERROR(__xludf.DUMMYFUNCTION("""COMPUTED_VALUE"""),"Tolbert")</f>
        <v>Tolbert</v>
      </c>
      <c r="AA108" s="8">
        <v>22.0</v>
      </c>
      <c r="AB108" s="3">
        <f t="shared" si="7"/>
        <v>0</v>
      </c>
      <c r="AC108" s="3">
        <f t="shared" si="8"/>
        <v>0</v>
      </c>
      <c r="AD108" s="3">
        <f t="shared" si="9"/>
        <v>0.9174311927</v>
      </c>
      <c r="AE108" s="3">
        <f t="shared" si="10"/>
        <v>-1</v>
      </c>
      <c r="AF108" s="3">
        <f t="shared" si="11"/>
        <v>-2</v>
      </c>
      <c r="AG108" s="3">
        <f t="shared" si="12"/>
        <v>-0.137254902</v>
      </c>
    </row>
    <row r="109">
      <c r="A109" s="1" t="s">
        <v>12</v>
      </c>
      <c r="B109" s="1" t="s">
        <v>697</v>
      </c>
      <c r="C109" s="1" t="s">
        <v>18</v>
      </c>
      <c r="D109" s="1" t="s">
        <v>88</v>
      </c>
      <c r="E109" s="1" t="s">
        <v>114</v>
      </c>
      <c r="F109" s="1" t="s">
        <v>695</v>
      </c>
      <c r="G109" s="1">
        <v>1.5</v>
      </c>
      <c r="H109" s="1" t="s">
        <v>60</v>
      </c>
      <c r="I109" s="1">
        <v>117.0</v>
      </c>
      <c r="J109" s="1">
        <v>-0.0713742612210599</v>
      </c>
      <c r="K109" s="1" t="s">
        <v>61</v>
      </c>
      <c r="L109" s="1" t="s">
        <v>61</v>
      </c>
      <c r="M109" s="1" t="s">
        <v>62</v>
      </c>
      <c r="N109" s="1">
        <v>-155.0</v>
      </c>
      <c r="O109" s="1">
        <v>0.00269459615117639</v>
      </c>
      <c r="P109" s="1" t="s">
        <v>61</v>
      </c>
      <c r="Q109" s="1" t="s">
        <v>61</v>
      </c>
      <c r="R109" s="1">
        <f t="shared" si="1"/>
        <v>0.002694596151</v>
      </c>
      <c r="S109" s="1">
        <f t="shared" si="2"/>
        <v>-155</v>
      </c>
      <c r="T109" s="1">
        <f t="shared" si="3"/>
        <v>1.64516129</v>
      </c>
      <c r="U109" s="1">
        <f t="shared" si="4"/>
        <v>0</v>
      </c>
      <c r="V109" s="3">
        <f t="shared" si="5"/>
        <v>1</v>
      </c>
      <c r="W109" s="3">
        <f t="shared" si="6"/>
        <v>3</v>
      </c>
      <c r="X109" s="3" t="str">
        <f>IFERROR(__xludf.DUMMYFUNCTION("split(B109,"" "")"),"R.")</f>
        <v>R.</v>
      </c>
      <c r="Y109" s="3" t="str">
        <f>IFERROR(__xludf.DUMMYFUNCTION("""COMPUTED_VALUE"""),"Flournoy")</f>
        <v>Flournoy</v>
      </c>
      <c r="AA109" s="8">
        <v>0.0</v>
      </c>
      <c r="AB109" s="3">
        <f t="shared" si="7"/>
        <v>0</v>
      </c>
      <c r="AC109" s="3">
        <f t="shared" si="8"/>
        <v>1</v>
      </c>
      <c r="AD109" s="3">
        <f t="shared" si="9"/>
        <v>0.6451612903</v>
      </c>
      <c r="AE109" s="3">
        <f t="shared" si="10"/>
        <v>0.6451612903</v>
      </c>
      <c r="AF109" s="3">
        <f t="shared" si="11"/>
        <v>1.935483871</v>
      </c>
      <c r="AG109" s="3">
        <f t="shared" si="12"/>
        <v>1</v>
      </c>
    </row>
    <row r="110">
      <c r="A110" s="1" t="s">
        <v>9</v>
      </c>
      <c r="B110" s="1" t="s">
        <v>152</v>
      </c>
      <c r="C110" s="1" t="s">
        <v>19</v>
      </c>
      <c r="D110" s="1" t="s">
        <v>88</v>
      </c>
      <c r="E110" s="1" t="s">
        <v>114</v>
      </c>
      <c r="F110" s="1" t="s">
        <v>695</v>
      </c>
      <c r="G110" s="1">
        <v>72.0</v>
      </c>
      <c r="H110" s="1" t="s">
        <v>60</v>
      </c>
      <c r="I110" s="1">
        <v>-116.0</v>
      </c>
      <c r="J110" s="1">
        <v>-0.0713243621623154</v>
      </c>
      <c r="K110" s="1" t="s">
        <v>61</v>
      </c>
      <c r="L110" s="1" t="s">
        <v>61</v>
      </c>
      <c r="M110" s="1" t="s">
        <v>62</v>
      </c>
      <c r="N110" s="1">
        <v>-115.0</v>
      </c>
      <c r="O110" s="1">
        <v>4.58007261019188E-4</v>
      </c>
      <c r="P110" s="1" t="s">
        <v>61</v>
      </c>
      <c r="Q110" s="1" t="s">
        <v>61</v>
      </c>
      <c r="R110" s="1">
        <f t="shared" si="1"/>
        <v>0.000458007261</v>
      </c>
      <c r="S110" s="1">
        <f t="shared" si="2"/>
        <v>-115</v>
      </c>
      <c r="T110" s="1">
        <f t="shared" si="3"/>
        <v>1.869565217</v>
      </c>
      <c r="U110" s="1">
        <f t="shared" si="4"/>
        <v>0</v>
      </c>
      <c r="V110" s="3">
        <f t="shared" si="5"/>
        <v>1</v>
      </c>
      <c r="W110" s="3">
        <f t="shared" si="6"/>
        <v>2</v>
      </c>
      <c r="X110" s="3" t="str">
        <f>IFERROR(__xludf.DUMMYFUNCTION("split(B110,"" "")"),"R.")</f>
        <v>R.</v>
      </c>
      <c r="Y110" s="3" t="str">
        <f>IFERROR(__xludf.DUMMYFUNCTION("""COMPUTED_VALUE"""),"Dowdle")</f>
        <v>Dowdle</v>
      </c>
      <c r="AA110" s="8">
        <v>98.0</v>
      </c>
      <c r="AB110" s="3">
        <f t="shared" si="7"/>
        <v>1</v>
      </c>
      <c r="AC110" s="3">
        <f t="shared" si="8"/>
        <v>0</v>
      </c>
      <c r="AD110" s="3">
        <f t="shared" si="9"/>
        <v>0.8695652174</v>
      </c>
      <c r="AE110" s="3">
        <f t="shared" si="10"/>
        <v>-1</v>
      </c>
      <c r="AF110" s="3">
        <f t="shared" si="11"/>
        <v>-2</v>
      </c>
      <c r="AG110" s="3">
        <f t="shared" si="12"/>
        <v>-0.3611111111</v>
      </c>
    </row>
    <row r="111">
      <c r="A111" s="1" t="s">
        <v>12</v>
      </c>
      <c r="B111" s="1" t="s">
        <v>532</v>
      </c>
      <c r="C111" s="1" t="s">
        <v>18</v>
      </c>
      <c r="D111" s="1" t="s">
        <v>83</v>
      </c>
      <c r="E111" s="1" t="s">
        <v>134</v>
      </c>
      <c r="F111" s="1" t="s">
        <v>699</v>
      </c>
      <c r="G111" s="1">
        <v>1.5</v>
      </c>
      <c r="H111" s="1" t="s">
        <v>60</v>
      </c>
      <c r="I111" s="1">
        <v>-195.0</v>
      </c>
      <c r="J111" s="1">
        <v>-0.305944896325423</v>
      </c>
      <c r="K111" s="1" t="s">
        <v>61</v>
      </c>
      <c r="L111" s="1" t="s">
        <v>61</v>
      </c>
      <c r="M111" s="1" t="s">
        <v>62</v>
      </c>
      <c r="N111" s="1">
        <v>148.0</v>
      </c>
      <c r="O111" s="1">
        <v>0.24170743716129</v>
      </c>
      <c r="P111" s="1" t="s">
        <v>61</v>
      </c>
      <c r="Q111" s="1" t="s">
        <v>61</v>
      </c>
      <c r="R111" s="1">
        <f t="shared" si="1"/>
        <v>0.2417074372</v>
      </c>
      <c r="S111" s="1">
        <f t="shared" si="2"/>
        <v>148</v>
      </c>
      <c r="T111" s="1">
        <f t="shared" si="3"/>
        <v>2.48</v>
      </c>
      <c r="U111" s="1">
        <f t="shared" si="4"/>
        <v>0</v>
      </c>
      <c r="V111" s="3">
        <f t="shared" si="5"/>
        <v>3</v>
      </c>
      <c r="W111" s="3">
        <f t="shared" si="6"/>
        <v>1</v>
      </c>
      <c r="X111" s="3" t="str">
        <f>IFERROR(__xludf.DUMMYFUNCTION("split(B111,"" "")"),"L.")</f>
        <v>L.</v>
      </c>
      <c r="Y111" s="3" t="str">
        <f>IFERROR(__xludf.DUMMYFUNCTION("""COMPUTED_VALUE"""),"Humphrey")</f>
        <v>Humphrey</v>
      </c>
      <c r="AA111" s="8">
        <v>2.0</v>
      </c>
      <c r="AB111" s="3">
        <f t="shared" si="7"/>
        <v>1</v>
      </c>
      <c r="AC111" s="3">
        <f t="shared" si="8"/>
        <v>0</v>
      </c>
      <c r="AD111" s="3">
        <f t="shared" si="9"/>
        <v>4.44</v>
      </c>
      <c r="AE111" s="3">
        <f t="shared" si="10"/>
        <v>-3</v>
      </c>
      <c r="AF111" s="3">
        <f t="shared" si="11"/>
        <v>-1</v>
      </c>
      <c r="AG111" s="3">
        <f t="shared" si="12"/>
        <v>-0.3333333333</v>
      </c>
    </row>
    <row r="112">
      <c r="A112" s="1" t="s">
        <v>8</v>
      </c>
      <c r="B112" s="1" t="s">
        <v>127</v>
      </c>
      <c r="C112" s="1" t="s">
        <v>19</v>
      </c>
      <c r="D112" s="1" t="s">
        <v>83</v>
      </c>
      <c r="E112" s="1" t="s">
        <v>134</v>
      </c>
      <c r="F112" s="1" t="s">
        <v>699</v>
      </c>
      <c r="G112" s="1">
        <v>10.5</v>
      </c>
      <c r="H112" s="1" t="s">
        <v>60</v>
      </c>
      <c r="I112" s="1">
        <v>-111.0</v>
      </c>
      <c r="J112" s="1">
        <v>-0.249311775508402</v>
      </c>
      <c r="K112" s="1" t="s">
        <v>61</v>
      </c>
      <c r="L112" s="1" t="s">
        <v>61</v>
      </c>
      <c r="M112" s="1" t="s">
        <v>62</v>
      </c>
      <c r="N112" s="1">
        <v>-121.0</v>
      </c>
      <c r="O112" s="1">
        <v>0.175741164728733</v>
      </c>
      <c r="P112" s="1" t="s">
        <v>61</v>
      </c>
      <c r="Q112" s="1" t="s">
        <v>61</v>
      </c>
      <c r="R112" s="1">
        <f t="shared" si="1"/>
        <v>0.1757411647</v>
      </c>
      <c r="S112" s="1">
        <f t="shared" si="2"/>
        <v>-121</v>
      </c>
      <c r="T112" s="1">
        <f t="shared" si="3"/>
        <v>1.826446281</v>
      </c>
      <c r="U112" s="1">
        <f t="shared" si="4"/>
        <v>0</v>
      </c>
      <c r="V112" s="3">
        <f t="shared" si="5"/>
        <v>3</v>
      </c>
      <c r="W112" s="3">
        <f t="shared" si="6"/>
        <v>3</v>
      </c>
      <c r="X112" s="3" t="str">
        <f>IFERROR(__xludf.DUMMYFUNCTION("split(B112,"" "")"),"J.")</f>
        <v>J.</v>
      </c>
      <c r="Y112" s="3" t="str">
        <f>IFERROR(__xludf.DUMMYFUNCTION("""COMPUTED_VALUE"""),"Williams")</f>
        <v>Williams</v>
      </c>
      <c r="AA112" s="8">
        <v>8.0</v>
      </c>
      <c r="AB112" s="3">
        <f t="shared" si="7"/>
        <v>0</v>
      </c>
      <c r="AC112" s="3">
        <f t="shared" si="8"/>
        <v>1</v>
      </c>
      <c r="AD112" s="3">
        <f t="shared" si="9"/>
        <v>2.479338843</v>
      </c>
      <c r="AE112" s="3">
        <f t="shared" si="10"/>
        <v>2.479338843</v>
      </c>
      <c r="AF112" s="3">
        <f t="shared" si="11"/>
        <v>2.479338843</v>
      </c>
      <c r="AG112" s="3">
        <f t="shared" si="12"/>
        <v>0.2380952381</v>
      </c>
    </row>
    <row r="113">
      <c r="A113" s="1" t="s">
        <v>9</v>
      </c>
      <c r="B113" s="1" t="s">
        <v>652</v>
      </c>
      <c r="C113" s="1" t="s">
        <v>18</v>
      </c>
      <c r="D113" s="1" t="s">
        <v>83</v>
      </c>
      <c r="E113" s="1" t="s">
        <v>134</v>
      </c>
      <c r="F113" s="1" t="s">
        <v>699</v>
      </c>
      <c r="G113" s="1">
        <v>14.5</v>
      </c>
      <c r="H113" s="1" t="s">
        <v>60</v>
      </c>
      <c r="I113" s="1">
        <v>-115.0</v>
      </c>
      <c r="J113" s="1">
        <v>0.165428050545922</v>
      </c>
      <c r="K113" s="1" t="s">
        <v>61</v>
      </c>
      <c r="L113" s="1" t="s">
        <v>61</v>
      </c>
      <c r="M113" s="1" t="s">
        <v>62</v>
      </c>
      <c r="N113" s="1">
        <v>-115.0</v>
      </c>
      <c r="O113" s="1">
        <v>-0.235167258127811</v>
      </c>
      <c r="P113" s="1" t="s">
        <v>61</v>
      </c>
      <c r="Q113" s="1" t="s">
        <v>61</v>
      </c>
      <c r="R113" s="1">
        <f t="shared" si="1"/>
        <v>0.1654280505</v>
      </c>
      <c r="S113" s="1">
        <f t="shared" si="2"/>
        <v>-115</v>
      </c>
      <c r="T113" s="1">
        <f t="shared" si="3"/>
        <v>1.869565217</v>
      </c>
      <c r="U113" s="1">
        <f t="shared" si="4"/>
        <v>1</v>
      </c>
      <c r="V113" s="3">
        <f t="shared" si="5"/>
        <v>3</v>
      </c>
      <c r="W113" s="3">
        <f t="shared" si="6"/>
        <v>2</v>
      </c>
      <c r="X113" s="3" t="str">
        <f>IFERROR(__xludf.DUMMYFUNCTION("split(B113,"" "")"),"T.")</f>
        <v>T.</v>
      </c>
      <c r="Y113" s="3" t="str">
        <f>IFERROR(__xludf.DUMMYFUNCTION("""COMPUTED_VALUE"""),"Franklin")</f>
        <v>Franklin</v>
      </c>
      <c r="AA113" s="8">
        <v>31.0</v>
      </c>
      <c r="AB113" s="3">
        <f t="shared" si="7"/>
        <v>1</v>
      </c>
      <c r="AC113" s="3">
        <f t="shared" si="8"/>
        <v>1</v>
      </c>
      <c r="AD113" s="3">
        <f t="shared" si="9"/>
        <v>2.608695652</v>
      </c>
      <c r="AE113" s="3">
        <f t="shared" si="10"/>
        <v>2.608695652</v>
      </c>
      <c r="AF113" s="3">
        <f t="shared" si="11"/>
        <v>1.739130435</v>
      </c>
      <c r="AG113" s="3">
        <f t="shared" si="12"/>
        <v>1.137931034</v>
      </c>
    </row>
    <row r="114">
      <c r="A114" s="1" t="s">
        <v>12</v>
      </c>
      <c r="B114" s="1" t="s">
        <v>127</v>
      </c>
      <c r="C114" s="1" t="s">
        <v>19</v>
      </c>
      <c r="D114" s="1" t="s">
        <v>83</v>
      </c>
      <c r="E114" s="1" t="s">
        <v>134</v>
      </c>
      <c r="F114" s="1" t="s">
        <v>699</v>
      </c>
      <c r="G114" s="1">
        <v>2.5</v>
      </c>
      <c r="H114" s="1" t="s">
        <v>60</v>
      </c>
      <c r="I114" s="1">
        <v>-114.0</v>
      </c>
      <c r="J114" s="1">
        <v>-0.19085532453271</v>
      </c>
      <c r="K114" s="1" t="s">
        <v>61</v>
      </c>
      <c r="L114" s="1" t="s">
        <v>61</v>
      </c>
      <c r="M114" s="1" t="s">
        <v>62</v>
      </c>
      <c r="N114" s="1">
        <v>-115.0</v>
      </c>
      <c r="O114" s="1">
        <v>0.123267838918604</v>
      </c>
      <c r="P114" s="1" t="s">
        <v>61</v>
      </c>
      <c r="Q114" s="1" t="s">
        <v>61</v>
      </c>
      <c r="R114" s="1">
        <f t="shared" si="1"/>
        <v>0.1232678389</v>
      </c>
      <c r="S114" s="1">
        <f t="shared" si="2"/>
        <v>-115</v>
      </c>
      <c r="T114" s="1">
        <f t="shared" si="3"/>
        <v>1.869565217</v>
      </c>
      <c r="U114" s="1">
        <f t="shared" si="4"/>
        <v>0</v>
      </c>
      <c r="V114" s="3">
        <f t="shared" si="5"/>
        <v>3</v>
      </c>
      <c r="W114" s="3">
        <f t="shared" si="6"/>
        <v>2</v>
      </c>
      <c r="X114" s="3" t="str">
        <f>IFERROR(__xludf.DUMMYFUNCTION("split(B114,"" "")"),"J.")</f>
        <v>J.</v>
      </c>
      <c r="Y114" s="3" t="str">
        <f>IFERROR(__xludf.DUMMYFUNCTION("""COMPUTED_VALUE"""),"Williams")</f>
        <v>Williams</v>
      </c>
      <c r="AA114" s="8">
        <v>2.0</v>
      </c>
      <c r="AB114" s="3">
        <f t="shared" si="7"/>
        <v>0</v>
      </c>
      <c r="AC114" s="3">
        <f t="shared" si="8"/>
        <v>1</v>
      </c>
      <c r="AD114" s="3">
        <f t="shared" si="9"/>
        <v>2.608695652</v>
      </c>
      <c r="AE114" s="3">
        <f t="shared" si="10"/>
        <v>2.608695652</v>
      </c>
      <c r="AF114" s="3">
        <f t="shared" si="11"/>
        <v>1.739130435</v>
      </c>
      <c r="AG114" s="3">
        <f t="shared" si="12"/>
        <v>0.2</v>
      </c>
    </row>
    <row r="115">
      <c r="A115" s="1" t="s">
        <v>8</v>
      </c>
      <c r="B115" s="1" t="s">
        <v>464</v>
      </c>
      <c r="C115" s="1" t="s">
        <v>21</v>
      </c>
      <c r="D115" s="1" t="s">
        <v>83</v>
      </c>
      <c r="E115" s="1" t="s">
        <v>134</v>
      </c>
      <c r="F115" s="1" t="s">
        <v>699</v>
      </c>
      <c r="G115" s="1">
        <v>5.5</v>
      </c>
      <c r="H115" s="1" t="s">
        <v>60</v>
      </c>
      <c r="I115" s="1">
        <v>-105.0</v>
      </c>
      <c r="J115" s="1">
        <v>-0.163186824718451</v>
      </c>
      <c r="K115" s="1" t="s">
        <v>61</v>
      </c>
      <c r="L115" s="1" t="s">
        <v>61</v>
      </c>
      <c r="M115" s="1" t="s">
        <v>62</v>
      </c>
      <c r="N115" s="1">
        <v>-125.0</v>
      </c>
      <c r="O115" s="1">
        <v>0.0954349948182367</v>
      </c>
      <c r="P115" s="1" t="s">
        <v>61</v>
      </c>
      <c r="Q115" s="1" t="s">
        <v>61</v>
      </c>
      <c r="R115" s="1">
        <f t="shared" si="1"/>
        <v>0.09543499482</v>
      </c>
      <c r="S115" s="1">
        <f t="shared" si="2"/>
        <v>-125</v>
      </c>
      <c r="T115" s="1">
        <f t="shared" si="3"/>
        <v>1.8</v>
      </c>
      <c r="U115" s="1">
        <f t="shared" si="4"/>
        <v>0</v>
      </c>
      <c r="V115" s="3">
        <f t="shared" si="5"/>
        <v>2</v>
      </c>
      <c r="W115" s="3">
        <f t="shared" si="6"/>
        <v>3</v>
      </c>
      <c r="X115" s="3" t="str">
        <f>IFERROR(__xludf.DUMMYFUNCTION("split(B115,"" "")"),"B.")</f>
        <v>B.</v>
      </c>
      <c r="Y115" s="3" t="str">
        <f>IFERROR(__xludf.DUMMYFUNCTION("""COMPUTED_VALUE"""),"Nix")</f>
        <v>Nix</v>
      </c>
      <c r="AA115" s="8">
        <v>1.0</v>
      </c>
      <c r="AB115" s="3">
        <f t="shared" si="7"/>
        <v>0</v>
      </c>
      <c r="AC115" s="3">
        <f t="shared" si="8"/>
        <v>1</v>
      </c>
      <c r="AD115" s="3">
        <f t="shared" si="9"/>
        <v>1.6</v>
      </c>
      <c r="AE115" s="3">
        <f t="shared" si="10"/>
        <v>1.6</v>
      </c>
      <c r="AF115" s="3">
        <f t="shared" si="11"/>
        <v>2.4</v>
      </c>
      <c r="AG115" s="3">
        <f t="shared" si="12"/>
        <v>0.8181818182</v>
      </c>
    </row>
    <row r="116">
      <c r="A116" s="1" t="s">
        <v>10</v>
      </c>
      <c r="B116" s="1" t="s">
        <v>127</v>
      </c>
      <c r="C116" s="1" t="s">
        <v>19</v>
      </c>
      <c r="D116" s="1" t="s">
        <v>83</v>
      </c>
      <c r="E116" s="1" t="s">
        <v>134</v>
      </c>
      <c r="F116" s="1" t="s">
        <v>699</v>
      </c>
      <c r="G116" s="1">
        <v>39.5</v>
      </c>
      <c r="H116" s="1" t="s">
        <v>60</v>
      </c>
      <c r="I116" s="1">
        <v>-113.0</v>
      </c>
      <c r="J116" s="1">
        <v>-0.151718922939856</v>
      </c>
      <c r="K116" s="1" t="s">
        <v>61</v>
      </c>
      <c r="L116" s="1" t="s">
        <v>61</v>
      </c>
      <c r="M116" s="1" t="s">
        <v>62</v>
      </c>
      <c r="N116" s="1">
        <v>-111.0</v>
      </c>
      <c r="O116" s="1">
        <v>0.0951605447899063</v>
      </c>
      <c r="P116" s="1" t="s">
        <v>61</v>
      </c>
      <c r="Q116" s="1" t="s">
        <v>61</v>
      </c>
      <c r="R116" s="1">
        <f t="shared" si="1"/>
        <v>0.09516054479</v>
      </c>
      <c r="S116" s="1">
        <f t="shared" si="2"/>
        <v>-111</v>
      </c>
      <c r="T116" s="1">
        <f t="shared" si="3"/>
        <v>1.900900901</v>
      </c>
      <c r="U116" s="1">
        <f t="shared" si="4"/>
        <v>0</v>
      </c>
      <c r="V116" s="3">
        <f t="shared" si="5"/>
        <v>2</v>
      </c>
      <c r="W116" s="3">
        <f t="shared" si="6"/>
        <v>2</v>
      </c>
      <c r="X116" s="3" t="str">
        <f>IFERROR(__xludf.DUMMYFUNCTION("split(B116,"" "")"),"J.")</f>
        <v>J.</v>
      </c>
      <c r="Y116" s="3" t="str">
        <f>IFERROR(__xludf.DUMMYFUNCTION("""COMPUTED_VALUE"""),"Williams")</f>
        <v>Williams</v>
      </c>
      <c r="AA116" s="8">
        <v>-2.0</v>
      </c>
      <c r="AB116" s="3">
        <f t="shared" si="7"/>
        <v>0</v>
      </c>
      <c r="AC116" s="3">
        <f t="shared" si="8"/>
        <v>1</v>
      </c>
      <c r="AD116" s="3">
        <f t="shared" si="9"/>
        <v>1.801801802</v>
      </c>
      <c r="AE116" s="3">
        <f t="shared" si="10"/>
        <v>1.801801802</v>
      </c>
      <c r="AF116" s="3">
        <f t="shared" si="11"/>
        <v>1.801801802</v>
      </c>
      <c r="AG116" s="3">
        <f t="shared" si="12"/>
        <v>1.050632911</v>
      </c>
    </row>
    <row r="117">
      <c r="A117" s="1" t="s">
        <v>9</v>
      </c>
      <c r="B117" s="1" t="s">
        <v>532</v>
      </c>
      <c r="C117" s="1" t="s">
        <v>18</v>
      </c>
      <c r="D117" s="1" t="s">
        <v>83</v>
      </c>
      <c r="E117" s="1" t="s">
        <v>134</v>
      </c>
      <c r="F117" s="1" t="s">
        <v>699</v>
      </c>
      <c r="G117" s="1">
        <v>20.5</v>
      </c>
      <c r="H117" s="1" t="s">
        <v>60</v>
      </c>
      <c r="I117" s="1">
        <v>-115.0</v>
      </c>
      <c r="J117" s="1">
        <v>0.0778671560807389</v>
      </c>
      <c r="K117" s="1" t="s">
        <v>61</v>
      </c>
      <c r="L117" s="1" t="s">
        <v>61</v>
      </c>
      <c r="M117" s="1" t="s">
        <v>62</v>
      </c>
      <c r="N117" s="1">
        <v>-120.0</v>
      </c>
      <c r="O117" s="1">
        <v>-0.158196937585593</v>
      </c>
      <c r="P117" s="1" t="s">
        <v>61</v>
      </c>
      <c r="Q117" s="1" t="s">
        <v>61</v>
      </c>
      <c r="R117" s="1">
        <f t="shared" si="1"/>
        <v>0.07786715608</v>
      </c>
      <c r="S117" s="1">
        <f t="shared" si="2"/>
        <v>-115</v>
      </c>
      <c r="T117" s="1">
        <f t="shared" si="3"/>
        <v>1.869565217</v>
      </c>
      <c r="U117" s="1">
        <f t="shared" si="4"/>
        <v>1</v>
      </c>
      <c r="V117" s="3">
        <f t="shared" si="5"/>
        <v>2</v>
      </c>
      <c r="W117" s="3">
        <f t="shared" si="6"/>
        <v>2</v>
      </c>
      <c r="X117" s="3" t="str">
        <f>IFERROR(__xludf.DUMMYFUNCTION("split(B117,"" "")"),"L.")</f>
        <v>L.</v>
      </c>
      <c r="Y117" s="3" t="str">
        <f>IFERROR(__xludf.DUMMYFUNCTION("""COMPUTED_VALUE"""),"Humphrey")</f>
        <v>Humphrey</v>
      </c>
      <c r="AA117" s="8">
        <v>4.0</v>
      </c>
      <c r="AB117" s="3">
        <f t="shared" si="7"/>
        <v>0</v>
      </c>
      <c r="AC117" s="3">
        <f t="shared" si="8"/>
        <v>0</v>
      </c>
      <c r="AD117" s="3">
        <f t="shared" si="9"/>
        <v>1.739130435</v>
      </c>
      <c r="AE117" s="3">
        <f t="shared" si="10"/>
        <v>-2</v>
      </c>
      <c r="AF117" s="3">
        <f t="shared" si="11"/>
        <v>-2</v>
      </c>
      <c r="AG117" s="3">
        <f t="shared" si="12"/>
        <v>-0.8048780488</v>
      </c>
    </row>
    <row r="118">
      <c r="A118" s="1" t="s">
        <v>12</v>
      </c>
      <c r="B118" s="1" t="s">
        <v>652</v>
      </c>
      <c r="C118" s="1" t="s">
        <v>18</v>
      </c>
      <c r="D118" s="1" t="s">
        <v>83</v>
      </c>
      <c r="E118" s="1" t="s">
        <v>134</v>
      </c>
      <c r="F118" s="1" t="s">
        <v>699</v>
      </c>
      <c r="G118" s="1">
        <v>1.5</v>
      </c>
      <c r="H118" s="1" t="s">
        <v>60</v>
      </c>
      <c r="I118" s="1">
        <v>-106.0</v>
      </c>
      <c r="J118" s="1">
        <v>-0.140257288024271</v>
      </c>
      <c r="K118" s="1" t="s">
        <v>61</v>
      </c>
      <c r="L118" s="1" t="s">
        <v>61</v>
      </c>
      <c r="M118" s="1" t="s">
        <v>62</v>
      </c>
      <c r="N118" s="1">
        <v>-125.0</v>
      </c>
      <c r="O118" s="1">
        <v>0.0701377851833332</v>
      </c>
      <c r="P118" s="1" t="s">
        <v>61</v>
      </c>
      <c r="Q118" s="1" t="s">
        <v>61</v>
      </c>
      <c r="R118" s="1">
        <f t="shared" si="1"/>
        <v>0.07013778518</v>
      </c>
      <c r="S118" s="1">
        <f t="shared" si="2"/>
        <v>-125</v>
      </c>
      <c r="T118" s="1">
        <f t="shared" si="3"/>
        <v>1.8</v>
      </c>
      <c r="U118" s="1">
        <f t="shared" si="4"/>
        <v>0</v>
      </c>
      <c r="V118" s="3">
        <f t="shared" si="5"/>
        <v>2</v>
      </c>
      <c r="W118" s="3">
        <f t="shared" si="6"/>
        <v>3</v>
      </c>
      <c r="X118" s="3" t="str">
        <f>IFERROR(__xludf.DUMMYFUNCTION("split(B118,"" "")"),"T.")</f>
        <v>T.</v>
      </c>
      <c r="Y118" s="3" t="str">
        <f>IFERROR(__xludf.DUMMYFUNCTION("""COMPUTED_VALUE"""),"Franklin")</f>
        <v>Franklin</v>
      </c>
      <c r="AA118" s="8">
        <v>2.0</v>
      </c>
      <c r="AB118" s="3">
        <f t="shared" si="7"/>
        <v>1</v>
      </c>
      <c r="AC118" s="3">
        <f t="shared" si="8"/>
        <v>0</v>
      </c>
      <c r="AD118" s="3">
        <f t="shared" si="9"/>
        <v>1.6</v>
      </c>
      <c r="AE118" s="3">
        <f t="shared" si="10"/>
        <v>-2</v>
      </c>
      <c r="AF118" s="3">
        <f t="shared" si="11"/>
        <v>-3</v>
      </c>
      <c r="AG118" s="3">
        <f t="shared" si="12"/>
        <v>-0.3333333333</v>
      </c>
    </row>
    <row r="119">
      <c r="A119" s="1" t="s">
        <v>11</v>
      </c>
      <c r="B119" s="1" t="s">
        <v>533</v>
      </c>
      <c r="C119" s="1" t="s">
        <v>18</v>
      </c>
      <c r="D119" s="1" t="s">
        <v>83</v>
      </c>
      <c r="E119" s="1" t="s">
        <v>134</v>
      </c>
      <c r="F119" s="1" t="s">
        <v>699</v>
      </c>
      <c r="G119" s="1">
        <v>32.5</v>
      </c>
      <c r="H119" s="1" t="s">
        <v>60</v>
      </c>
      <c r="I119" s="1">
        <v>-118.0</v>
      </c>
      <c r="J119" s="1">
        <v>-0.120925489348348</v>
      </c>
      <c r="K119" s="1" t="s">
        <v>61</v>
      </c>
      <c r="L119" s="1" t="s">
        <v>61</v>
      </c>
      <c r="M119" s="1" t="s">
        <v>62</v>
      </c>
      <c r="N119" s="1">
        <v>-108.0</v>
      </c>
      <c r="O119" s="1">
        <v>0.0604544733283809</v>
      </c>
      <c r="P119" s="1" t="s">
        <v>61</v>
      </c>
      <c r="Q119" s="1" t="s">
        <v>61</v>
      </c>
      <c r="R119" s="1">
        <f t="shared" si="1"/>
        <v>0.06045447333</v>
      </c>
      <c r="S119" s="1">
        <f t="shared" si="2"/>
        <v>-108</v>
      </c>
      <c r="T119" s="1">
        <f t="shared" si="3"/>
        <v>1.925925926</v>
      </c>
      <c r="U119" s="1">
        <f t="shared" si="4"/>
        <v>0</v>
      </c>
      <c r="V119" s="3">
        <f t="shared" si="5"/>
        <v>2</v>
      </c>
      <c r="W119" s="3">
        <f t="shared" si="6"/>
        <v>2</v>
      </c>
      <c r="X119" s="3" t="str">
        <f>IFERROR(__xludf.DUMMYFUNCTION("split(B119,"" "")"),"D.")</f>
        <v>D.</v>
      </c>
      <c r="Y119" s="3" t="str">
        <f>IFERROR(__xludf.DUMMYFUNCTION("""COMPUTED_VALUE"""),"Vele")</f>
        <v>Vele</v>
      </c>
      <c r="AA119" s="8">
        <v>80.0</v>
      </c>
      <c r="AB119" s="3">
        <f t="shared" si="7"/>
        <v>1</v>
      </c>
      <c r="AC119" s="3">
        <f t="shared" si="8"/>
        <v>0</v>
      </c>
      <c r="AD119" s="3">
        <f t="shared" si="9"/>
        <v>1.851851852</v>
      </c>
      <c r="AE119" s="3">
        <f t="shared" si="10"/>
        <v>-2</v>
      </c>
      <c r="AF119" s="3">
        <f t="shared" si="11"/>
        <v>-2</v>
      </c>
      <c r="AG119" s="3">
        <f t="shared" si="12"/>
        <v>-1.461538462</v>
      </c>
    </row>
    <row r="120">
      <c r="A120" s="1" t="s">
        <v>12</v>
      </c>
      <c r="B120" s="1" t="s">
        <v>533</v>
      </c>
      <c r="C120" s="1" t="s">
        <v>18</v>
      </c>
      <c r="D120" s="1" t="s">
        <v>83</v>
      </c>
      <c r="E120" s="1" t="s">
        <v>134</v>
      </c>
      <c r="F120" s="1" t="s">
        <v>699</v>
      </c>
      <c r="G120" s="1">
        <v>3.5</v>
      </c>
      <c r="H120" s="1" t="s">
        <v>60</v>
      </c>
      <c r="I120" s="1">
        <v>117.0</v>
      </c>
      <c r="J120" s="1">
        <v>-0.125675576036866</v>
      </c>
      <c r="K120" s="1" t="s">
        <v>61</v>
      </c>
      <c r="L120" s="1" t="s">
        <v>61</v>
      </c>
      <c r="M120" s="1" t="s">
        <v>62</v>
      </c>
      <c r="N120" s="1">
        <v>-156.0</v>
      </c>
      <c r="O120" s="1">
        <v>0.0554640625</v>
      </c>
      <c r="P120" s="1" t="s">
        <v>61</v>
      </c>
      <c r="Q120" s="1" t="s">
        <v>61</v>
      </c>
      <c r="R120" s="1">
        <f t="shared" si="1"/>
        <v>0.0554640625</v>
      </c>
      <c r="S120" s="1">
        <f t="shared" si="2"/>
        <v>-156</v>
      </c>
      <c r="T120" s="1">
        <f t="shared" si="3"/>
        <v>1.641025641</v>
      </c>
      <c r="U120" s="1">
        <f t="shared" si="4"/>
        <v>0</v>
      </c>
      <c r="V120" s="3">
        <f t="shared" si="5"/>
        <v>2</v>
      </c>
      <c r="W120" s="3">
        <f t="shared" si="6"/>
        <v>3</v>
      </c>
      <c r="X120" s="3" t="str">
        <f>IFERROR(__xludf.DUMMYFUNCTION("split(B120,"" "")"),"D.")</f>
        <v>D.</v>
      </c>
      <c r="Y120" s="3" t="str">
        <f>IFERROR(__xludf.DUMMYFUNCTION("""COMPUTED_VALUE"""),"Vele")</f>
        <v>Vele</v>
      </c>
      <c r="AA120" s="8">
        <v>6.0</v>
      </c>
      <c r="AB120" s="3">
        <f t="shared" si="7"/>
        <v>1</v>
      </c>
      <c r="AC120" s="3">
        <f t="shared" si="8"/>
        <v>0</v>
      </c>
      <c r="AD120" s="3">
        <f t="shared" si="9"/>
        <v>1.282051282</v>
      </c>
      <c r="AE120" s="3">
        <f t="shared" si="10"/>
        <v>-2</v>
      </c>
      <c r="AF120" s="3">
        <f t="shared" si="11"/>
        <v>-3</v>
      </c>
      <c r="AG120" s="3">
        <f t="shared" si="12"/>
        <v>-0.7142857143</v>
      </c>
    </row>
    <row r="121">
      <c r="A121" s="1" t="s">
        <v>11</v>
      </c>
      <c r="B121" s="1" t="s">
        <v>448</v>
      </c>
      <c r="C121" s="1" t="s">
        <v>18</v>
      </c>
      <c r="D121" s="1" t="s">
        <v>83</v>
      </c>
      <c r="E121" s="1" t="s">
        <v>134</v>
      </c>
      <c r="F121" s="1" t="s">
        <v>699</v>
      </c>
      <c r="G121" s="1">
        <v>9.5</v>
      </c>
      <c r="H121" s="1" t="s">
        <v>60</v>
      </c>
      <c r="I121" s="1">
        <v>-111.0</v>
      </c>
      <c r="J121" s="1">
        <v>0.0461226211112429</v>
      </c>
      <c r="K121" s="1" t="s">
        <v>61</v>
      </c>
      <c r="L121" s="1" t="s">
        <v>61</v>
      </c>
      <c r="M121" s="1" t="s">
        <v>62</v>
      </c>
      <c r="N121" s="1">
        <v>-117.0</v>
      </c>
      <c r="O121" s="1">
        <v>-0.111357960708445</v>
      </c>
      <c r="P121" s="1" t="s">
        <v>61</v>
      </c>
      <c r="Q121" s="1" t="s">
        <v>61</v>
      </c>
      <c r="R121" s="1">
        <f t="shared" si="1"/>
        <v>0.04612262111</v>
      </c>
      <c r="S121" s="1">
        <f t="shared" si="2"/>
        <v>-111</v>
      </c>
      <c r="T121" s="1">
        <f t="shared" si="3"/>
        <v>1.900900901</v>
      </c>
      <c r="U121" s="1">
        <f t="shared" si="4"/>
        <v>1</v>
      </c>
      <c r="V121" s="3">
        <f t="shared" si="5"/>
        <v>1</v>
      </c>
      <c r="W121" s="3">
        <f t="shared" si="6"/>
        <v>2</v>
      </c>
      <c r="X121" s="3" t="str">
        <f>IFERROR(__xludf.DUMMYFUNCTION("split(B121,"" "")"),"M.")</f>
        <v>M.</v>
      </c>
      <c r="Y121" s="3" t="str">
        <f>IFERROR(__xludf.DUMMYFUNCTION("""COMPUTED_VALUE"""),"Mims")</f>
        <v>Mims</v>
      </c>
      <c r="Z121" s="3" t="str">
        <f>IFERROR(__xludf.DUMMYFUNCTION("""COMPUTED_VALUE"""),"Jr.")</f>
        <v>Jr.</v>
      </c>
      <c r="AA121" s="8">
        <v>44.0</v>
      </c>
      <c r="AB121" s="3">
        <f t="shared" si="7"/>
        <v>1</v>
      </c>
      <c r="AC121" s="3">
        <f t="shared" si="8"/>
        <v>1</v>
      </c>
      <c r="AD121" s="3">
        <f t="shared" si="9"/>
        <v>0.9009009009</v>
      </c>
      <c r="AE121" s="3">
        <f t="shared" si="10"/>
        <v>0.9009009009</v>
      </c>
      <c r="AF121" s="3">
        <f t="shared" si="11"/>
        <v>1.801801802</v>
      </c>
      <c r="AG121" s="3">
        <f t="shared" si="12"/>
        <v>3.631578947</v>
      </c>
    </row>
    <row r="122">
      <c r="A122" s="1" t="s">
        <v>11</v>
      </c>
      <c r="B122" s="1" t="s">
        <v>616</v>
      </c>
      <c r="C122" s="1" t="s">
        <v>20</v>
      </c>
      <c r="D122" s="1" t="s">
        <v>83</v>
      </c>
      <c r="E122" s="1" t="s">
        <v>134</v>
      </c>
      <c r="F122" s="1" t="s">
        <v>699</v>
      </c>
      <c r="G122" s="1">
        <v>8.5</v>
      </c>
      <c r="H122" s="1" t="s">
        <v>60</v>
      </c>
      <c r="I122" s="1">
        <v>-110.0</v>
      </c>
      <c r="J122" s="1">
        <v>0.0417742432399975</v>
      </c>
      <c r="K122" s="1" t="s">
        <v>61</v>
      </c>
      <c r="L122" s="1" t="s">
        <v>61</v>
      </c>
      <c r="M122" s="1" t="s">
        <v>62</v>
      </c>
      <c r="N122" s="1">
        <v>-116.0</v>
      </c>
      <c r="O122" s="1">
        <v>-0.102593174320664</v>
      </c>
      <c r="P122" s="1" t="s">
        <v>61</v>
      </c>
      <c r="Q122" s="1" t="s">
        <v>61</v>
      </c>
      <c r="R122" s="1">
        <f t="shared" si="1"/>
        <v>0.04177424324</v>
      </c>
      <c r="S122" s="1">
        <f t="shared" si="2"/>
        <v>-110</v>
      </c>
      <c r="T122" s="1">
        <f t="shared" si="3"/>
        <v>1.909090909</v>
      </c>
      <c r="U122" s="1">
        <f t="shared" si="4"/>
        <v>1</v>
      </c>
      <c r="V122" s="3">
        <f t="shared" si="5"/>
        <v>1</v>
      </c>
      <c r="W122" s="3">
        <f t="shared" si="6"/>
        <v>2</v>
      </c>
      <c r="X122" s="3" t="str">
        <f>IFERROR(__xludf.DUMMYFUNCTION("split(B122,"" "")"),"A.")</f>
        <v>A.</v>
      </c>
      <c r="Y122" s="3" t="str">
        <f>IFERROR(__xludf.DUMMYFUNCTION("""COMPUTED_VALUE"""),"Trautman")</f>
        <v>Trautman</v>
      </c>
      <c r="AA122" s="8">
        <v>3.0</v>
      </c>
      <c r="AB122" s="3">
        <f t="shared" si="7"/>
        <v>0</v>
      </c>
      <c r="AC122" s="3">
        <f t="shared" si="8"/>
        <v>0</v>
      </c>
      <c r="AD122" s="3">
        <f t="shared" si="9"/>
        <v>0.9090909091</v>
      </c>
      <c r="AE122" s="3">
        <f t="shared" si="10"/>
        <v>-1</v>
      </c>
      <c r="AF122" s="3">
        <f t="shared" si="11"/>
        <v>-2</v>
      </c>
      <c r="AG122" s="3">
        <f t="shared" si="12"/>
        <v>-0.6470588235</v>
      </c>
    </row>
    <row r="123">
      <c r="A123" s="1" t="s">
        <v>11</v>
      </c>
      <c r="B123" s="1" t="s">
        <v>401</v>
      </c>
      <c r="C123" s="1" t="s">
        <v>18</v>
      </c>
      <c r="D123" s="1" t="s">
        <v>83</v>
      </c>
      <c r="E123" s="1" t="s">
        <v>134</v>
      </c>
      <c r="F123" s="1" t="s">
        <v>699</v>
      </c>
      <c r="G123" s="1">
        <v>58.5</v>
      </c>
      <c r="H123" s="1" t="s">
        <v>60</v>
      </c>
      <c r="I123" s="1">
        <v>-112.0</v>
      </c>
      <c r="J123" s="1">
        <v>-0.0828988538444898</v>
      </c>
      <c r="K123" s="1" t="s">
        <v>61</v>
      </c>
      <c r="L123" s="1" t="s">
        <v>61</v>
      </c>
      <c r="M123" s="1" t="s">
        <v>62</v>
      </c>
      <c r="N123" s="1">
        <v>-117.0</v>
      </c>
      <c r="O123" s="1">
        <v>0.0154389352001375</v>
      </c>
      <c r="P123" s="1" t="s">
        <v>61</v>
      </c>
      <c r="Q123" s="1" t="s">
        <v>61</v>
      </c>
      <c r="R123" s="1">
        <f t="shared" si="1"/>
        <v>0.0154389352</v>
      </c>
      <c r="S123" s="1">
        <f t="shared" si="2"/>
        <v>-117</v>
      </c>
      <c r="T123" s="1">
        <f t="shared" si="3"/>
        <v>1.854700855</v>
      </c>
      <c r="U123" s="1">
        <f t="shared" si="4"/>
        <v>0</v>
      </c>
      <c r="V123" s="3">
        <f t="shared" si="5"/>
        <v>1</v>
      </c>
      <c r="W123" s="3">
        <f t="shared" si="6"/>
        <v>2</v>
      </c>
      <c r="X123" s="3" t="str">
        <f>IFERROR(__xludf.DUMMYFUNCTION("split(B123,"" "")"),"C.")</f>
        <v>C.</v>
      </c>
      <c r="Y123" s="3" t="str">
        <f>IFERROR(__xludf.DUMMYFUNCTION("""COMPUTED_VALUE"""),"Sutton")</f>
        <v>Sutton</v>
      </c>
      <c r="AA123" s="8">
        <v>97.0</v>
      </c>
      <c r="AB123" s="3">
        <f t="shared" si="7"/>
        <v>1</v>
      </c>
      <c r="AC123" s="3">
        <f t="shared" si="8"/>
        <v>0</v>
      </c>
      <c r="AD123" s="3">
        <f t="shared" si="9"/>
        <v>0.8547008547</v>
      </c>
      <c r="AE123" s="3">
        <f t="shared" si="10"/>
        <v>-1</v>
      </c>
      <c r="AF123" s="3">
        <f t="shared" si="11"/>
        <v>-2</v>
      </c>
      <c r="AG123" s="3">
        <f t="shared" si="12"/>
        <v>-0.6581196581</v>
      </c>
    </row>
    <row r="124">
      <c r="A124" s="1" t="s">
        <v>11</v>
      </c>
      <c r="B124" s="1" t="s">
        <v>532</v>
      </c>
      <c r="C124" s="1" t="s">
        <v>18</v>
      </c>
      <c r="D124" s="1" t="s">
        <v>83</v>
      </c>
      <c r="E124" s="1" t="s">
        <v>134</v>
      </c>
      <c r="F124" s="1" t="s">
        <v>699</v>
      </c>
      <c r="G124" s="1">
        <v>20.5</v>
      </c>
      <c r="H124" s="1" t="s">
        <v>60</v>
      </c>
      <c r="I124" s="1">
        <v>-107.0</v>
      </c>
      <c r="J124" s="1">
        <v>-0.0784007381056521</v>
      </c>
      <c r="K124" s="1" t="s">
        <v>61</v>
      </c>
      <c r="L124" s="1" t="s">
        <v>61</v>
      </c>
      <c r="M124" s="1" t="s">
        <v>62</v>
      </c>
      <c r="N124" s="1">
        <v>-121.0</v>
      </c>
      <c r="O124" s="1">
        <v>0.0140068863046276</v>
      </c>
      <c r="P124" s="1" t="s">
        <v>61</v>
      </c>
      <c r="Q124" s="1" t="s">
        <v>61</v>
      </c>
      <c r="R124" s="1">
        <f t="shared" si="1"/>
        <v>0.0140068863</v>
      </c>
      <c r="S124" s="1">
        <f t="shared" si="2"/>
        <v>-121</v>
      </c>
      <c r="T124" s="1">
        <f t="shared" si="3"/>
        <v>1.826446281</v>
      </c>
      <c r="U124" s="1">
        <f t="shared" si="4"/>
        <v>0</v>
      </c>
      <c r="V124" s="3">
        <f t="shared" si="5"/>
        <v>1</v>
      </c>
      <c r="W124" s="3">
        <f t="shared" si="6"/>
        <v>3</v>
      </c>
      <c r="X124" s="3" t="str">
        <f>IFERROR(__xludf.DUMMYFUNCTION("split(B124,"" "")"),"L.")</f>
        <v>L.</v>
      </c>
      <c r="Y124" s="3" t="str">
        <f>IFERROR(__xludf.DUMMYFUNCTION("""COMPUTED_VALUE"""),"Humphrey")</f>
        <v>Humphrey</v>
      </c>
      <c r="AA124" s="8">
        <v>4.0</v>
      </c>
      <c r="AB124" s="3">
        <f t="shared" si="7"/>
        <v>0</v>
      </c>
      <c r="AC124" s="3">
        <f t="shared" si="8"/>
        <v>1</v>
      </c>
      <c r="AD124" s="3">
        <f t="shared" si="9"/>
        <v>0.826446281</v>
      </c>
      <c r="AE124" s="3">
        <f t="shared" si="10"/>
        <v>0.826446281</v>
      </c>
      <c r="AF124" s="3">
        <f t="shared" si="11"/>
        <v>2.479338843</v>
      </c>
      <c r="AG124" s="3">
        <f t="shared" si="12"/>
        <v>0.8048780488</v>
      </c>
    </row>
    <row r="125">
      <c r="A125" s="1" t="s">
        <v>12</v>
      </c>
      <c r="B125" s="1" t="s">
        <v>401</v>
      </c>
      <c r="C125" s="1" t="s">
        <v>18</v>
      </c>
      <c r="D125" s="1" t="s">
        <v>83</v>
      </c>
      <c r="E125" s="1" t="s">
        <v>134</v>
      </c>
      <c r="F125" s="1" t="s">
        <v>699</v>
      </c>
      <c r="G125" s="1">
        <v>4.5</v>
      </c>
      <c r="H125" s="1" t="s">
        <v>60</v>
      </c>
      <c r="I125" s="1">
        <v>-126.0</v>
      </c>
      <c r="J125" s="1">
        <v>-0.0836778761061948</v>
      </c>
      <c r="K125" s="1" t="s">
        <v>61</v>
      </c>
      <c r="L125" s="1" t="s">
        <v>61</v>
      </c>
      <c r="M125" s="1" t="s">
        <v>62</v>
      </c>
      <c r="N125" s="1">
        <v>-105.0</v>
      </c>
      <c r="O125" s="1">
        <v>0.0139536585365853</v>
      </c>
      <c r="P125" s="1" t="s">
        <v>61</v>
      </c>
      <c r="Q125" s="1" t="s">
        <v>61</v>
      </c>
      <c r="R125" s="1">
        <f t="shared" si="1"/>
        <v>0.01395365854</v>
      </c>
      <c r="S125" s="1">
        <f t="shared" si="2"/>
        <v>-105</v>
      </c>
      <c r="T125" s="1">
        <f t="shared" si="3"/>
        <v>1.952380952</v>
      </c>
      <c r="U125" s="1">
        <f t="shared" si="4"/>
        <v>0</v>
      </c>
      <c r="V125" s="3">
        <f t="shared" si="5"/>
        <v>1</v>
      </c>
      <c r="W125" s="3">
        <f t="shared" si="6"/>
        <v>2</v>
      </c>
      <c r="X125" s="3" t="str">
        <f>IFERROR(__xludf.DUMMYFUNCTION("split(B125,"" "")"),"C.")</f>
        <v>C.</v>
      </c>
      <c r="Y125" s="3" t="str">
        <f>IFERROR(__xludf.DUMMYFUNCTION("""COMPUTED_VALUE"""),"Sutton")</f>
        <v>Sutton</v>
      </c>
      <c r="AA125" s="8">
        <v>8.0</v>
      </c>
      <c r="AB125" s="3">
        <f t="shared" si="7"/>
        <v>1</v>
      </c>
      <c r="AC125" s="3">
        <f t="shared" si="8"/>
        <v>0</v>
      </c>
      <c r="AD125" s="3">
        <f t="shared" si="9"/>
        <v>0.9523809524</v>
      </c>
      <c r="AE125" s="3">
        <f t="shared" si="10"/>
        <v>-1</v>
      </c>
      <c r="AF125" s="3">
        <f t="shared" si="11"/>
        <v>-2</v>
      </c>
      <c r="AG125" s="3">
        <f t="shared" si="12"/>
        <v>-0.7777777778</v>
      </c>
    </row>
    <row r="126">
      <c r="A126" s="1" t="s">
        <v>10</v>
      </c>
      <c r="B126" s="1" t="s">
        <v>464</v>
      </c>
      <c r="C126" s="1" t="s">
        <v>21</v>
      </c>
      <c r="D126" s="1" t="s">
        <v>83</v>
      </c>
      <c r="E126" s="1" t="s">
        <v>134</v>
      </c>
      <c r="F126" s="1" t="s">
        <v>699</v>
      </c>
      <c r="G126" s="1">
        <v>20.5</v>
      </c>
      <c r="H126" s="1" t="s">
        <v>60</v>
      </c>
      <c r="I126" s="1">
        <v>-117.0</v>
      </c>
      <c r="J126" s="1">
        <v>-0.0834612141649201</v>
      </c>
      <c r="K126" s="1" t="s">
        <v>61</v>
      </c>
      <c r="L126" s="1" t="s">
        <v>61</v>
      </c>
      <c r="M126" s="1" t="s">
        <v>62</v>
      </c>
      <c r="N126" s="1">
        <v>-113.0</v>
      </c>
      <c r="O126" s="1">
        <v>0.0138333583351176</v>
      </c>
      <c r="P126" s="1" t="s">
        <v>61</v>
      </c>
      <c r="Q126" s="1" t="s">
        <v>61</v>
      </c>
      <c r="R126" s="1">
        <f t="shared" si="1"/>
        <v>0.01383335834</v>
      </c>
      <c r="S126" s="1">
        <f t="shared" si="2"/>
        <v>-113</v>
      </c>
      <c r="T126" s="1">
        <f t="shared" si="3"/>
        <v>1.884955752</v>
      </c>
      <c r="U126" s="1">
        <f t="shared" si="4"/>
        <v>0</v>
      </c>
      <c r="V126" s="3">
        <f t="shared" si="5"/>
        <v>1</v>
      </c>
      <c r="W126" s="3">
        <f t="shared" si="6"/>
        <v>2</v>
      </c>
      <c r="X126" s="3" t="str">
        <f>IFERROR(__xludf.DUMMYFUNCTION("split(B126,"" "")"),"B.")</f>
        <v>B.</v>
      </c>
      <c r="Y126" s="3" t="str">
        <f>IFERROR(__xludf.DUMMYFUNCTION("""COMPUTED_VALUE"""),"Nix")</f>
        <v>Nix</v>
      </c>
      <c r="AA126" s="8">
        <v>5.0</v>
      </c>
      <c r="AB126" s="3">
        <f t="shared" si="7"/>
        <v>0</v>
      </c>
      <c r="AC126" s="3">
        <f t="shared" si="8"/>
        <v>1</v>
      </c>
      <c r="AD126" s="3">
        <f t="shared" si="9"/>
        <v>0.8849557522</v>
      </c>
      <c r="AE126" s="3">
        <f t="shared" si="10"/>
        <v>0.8849557522</v>
      </c>
      <c r="AF126" s="3">
        <f t="shared" si="11"/>
        <v>1.769911504</v>
      </c>
      <c r="AG126" s="3">
        <f t="shared" si="12"/>
        <v>0.756097561</v>
      </c>
    </row>
    <row r="127">
      <c r="A127" s="1" t="s">
        <v>9</v>
      </c>
      <c r="B127" s="1" t="s">
        <v>533</v>
      </c>
      <c r="C127" s="1" t="s">
        <v>18</v>
      </c>
      <c r="D127" s="1" t="s">
        <v>83</v>
      </c>
      <c r="E127" s="1" t="s">
        <v>134</v>
      </c>
      <c r="F127" s="1" t="s">
        <v>699</v>
      </c>
      <c r="G127" s="1">
        <v>32.5</v>
      </c>
      <c r="H127" s="1" t="s">
        <v>60</v>
      </c>
      <c r="I127" s="1">
        <v>-110.0</v>
      </c>
      <c r="J127" s="1">
        <v>0.0120445866021685</v>
      </c>
      <c r="K127" s="1" t="s">
        <v>61</v>
      </c>
      <c r="L127" s="1" t="s">
        <v>61</v>
      </c>
      <c r="M127" s="1" t="s">
        <v>62</v>
      </c>
      <c r="N127" s="1">
        <v>-120.0</v>
      </c>
      <c r="O127" s="1">
        <v>-0.0813165264715747</v>
      </c>
      <c r="P127" s="1" t="s">
        <v>61</v>
      </c>
      <c r="Q127" s="1" t="s">
        <v>61</v>
      </c>
      <c r="R127" s="1">
        <f t="shared" si="1"/>
        <v>0.0120445866</v>
      </c>
      <c r="S127" s="1">
        <f t="shared" si="2"/>
        <v>-110</v>
      </c>
      <c r="T127" s="1">
        <f t="shared" si="3"/>
        <v>1.909090909</v>
      </c>
      <c r="U127" s="1">
        <f t="shared" si="4"/>
        <v>1</v>
      </c>
      <c r="V127" s="3">
        <f t="shared" si="5"/>
        <v>1</v>
      </c>
      <c r="W127" s="3">
        <f t="shared" si="6"/>
        <v>2</v>
      </c>
      <c r="X127" s="3" t="str">
        <f>IFERROR(__xludf.DUMMYFUNCTION("split(B127,"" "")"),"D.")</f>
        <v>D.</v>
      </c>
      <c r="Y127" s="3" t="str">
        <f>IFERROR(__xludf.DUMMYFUNCTION("""COMPUTED_VALUE"""),"Vele")</f>
        <v>Vele</v>
      </c>
      <c r="AA127" s="8">
        <v>80.0</v>
      </c>
      <c r="AB127" s="3">
        <f t="shared" si="7"/>
        <v>1</v>
      </c>
      <c r="AC127" s="3">
        <f t="shared" si="8"/>
        <v>1</v>
      </c>
      <c r="AD127" s="3">
        <f t="shared" si="9"/>
        <v>0.9090909091</v>
      </c>
      <c r="AE127" s="3">
        <f t="shared" si="10"/>
        <v>0.9090909091</v>
      </c>
      <c r="AF127" s="3">
        <f t="shared" si="11"/>
        <v>1.818181818</v>
      </c>
      <c r="AG127" s="3">
        <f t="shared" si="12"/>
        <v>1.461538462</v>
      </c>
    </row>
    <row r="128">
      <c r="A128" s="1" t="s">
        <v>9</v>
      </c>
      <c r="B128" s="1" t="s">
        <v>127</v>
      </c>
      <c r="C128" s="1" t="s">
        <v>19</v>
      </c>
      <c r="D128" s="1" t="s">
        <v>83</v>
      </c>
      <c r="E128" s="1" t="s">
        <v>134</v>
      </c>
      <c r="F128" s="1" t="s">
        <v>699</v>
      </c>
      <c r="G128" s="1">
        <v>56.5</v>
      </c>
      <c r="H128" s="1" t="s">
        <v>60</v>
      </c>
      <c r="I128" s="1">
        <v>-116.0</v>
      </c>
      <c r="J128" s="1">
        <v>-0.0820418933413565</v>
      </c>
      <c r="K128" s="1" t="s">
        <v>61</v>
      </c>
      <c r="L128" s="1" t="s">
        <v>61</v>
      </c>
      <c r="M128" s="1" t="s">
        <v>62</v>
      </c>
      <c r="N128" s="1">
        <v>-116.0</v>
      </c>
      <c r="O128" s="1">
        <v>0.00801659627597362</v>
      </c>
      <c r="P128" s="1" t="s">
        <v>61</v>
      </c>
      <c r="Q128" s="1" t="s">
        <v>61</v>
      </c>
      <c r="R128" s="1">
        <f t="shared" si="1"/>
        <v>0.008016596276</v>
      </c>
      <c r="S128" s="1">
        <f t="shared" si="2"/>
        <v>-116</v>
      </c>
      <c r="T128" s="1">
        <f t="shared" si="3"/>
        <v>1.862068966</v>
      </c>
      <c r="U128" s="1">
        <f t="shared" si="4"/>
        <v>0</v>
      </c>
      <c r="V128" s="3">
        <f t="shared" si="5"/>
        <v>1</v>
      </c>
      <c r="W128" s="3">
        <f t="shared" si="6"/>
        <v>2</v>
      </c>
      <c r="X128" s="3" t="str">
        <f>IFERROR(__xludf.DUMMYFUNCTION("split(B128,"" "")"),"J.")</f>
        <v>J.</v>
      </c>
      <c r="Y128" s="3" t="str">
        <f>IFERROR(__xludf.DUMMYFUNCTION("""COMPUTED_VALUE"""),"Williams")</f>
        <v>Williams</v>
      </c>
      <c r="AA128" s="8">
        <v>4.0</v>
      </c>
      <c r="AB128" s="3">
        <f t="shared" si="7"/>
        <v>0</v>
      </c>
      <c r="AC128" s="3">
        <f t="shared" si="8"/>
        <v>1</v>
      </c>
      <c r="AD128" s="3">
        <f t="shared" si="9"/>
        <v>0.8620689655</v>
      </c>
      <c r="AE128" s="3">
        <f t="shared" si="10"/>
        <v>0.8620689655</v>
      </c>
      <c r="AF128" s="3">
        <f t="shared" si="11"/>
        <v>1.724137931</v>
      </c>
      <c r="AG128" s="3">
        <f t="shared" si="12"/>
        <v>0.9292035398</v>
      </c>
    </row>
    <row r="129">
      <c r="A129" s="1" t="s">
        <v>16</v>
      </c>
      <c r="B129" s="1" t="s">
        <v>464</v>
      </c>
      <c r="C129" s="1" t="s">
        <v>21</v>
      </c>
      <c r="D129" s="1" t="s">
        <v>83</v>
      </c>
      <c r="E129" s="1" t="s">
        <v>134</v>
      </c>
      <c r="F129" s="1" t="s">
        <v>699</v>
      </c>
      <c r="G129" s="1">
        <v>30.5</v>
      </c>
      <c r="H129" s="1" t="s">
        <v>60</v>
      </c>
      <c r="I129" s="1">
        <v>-110.0</v>
      </c>
      <c r="J129" s="1">
        <v>-0.0743491049999999</v>
      </c>
      <c r="K129" s="1" t="s">
        <v>61</v>
      </c>
      <c r="L129" s="1" t="s">
        <v>61</v>
      </c>
      <c r="M129" s="1" t="s">
        <v>62</v>
      </c>
      <c r="N129" s="1">
        <v>-119.0</v>
      </c>
      <c r="O129" s="1">
        <v>0.00718028008904125</v>
      </c>
      <c r="P129" s="1" t="s">
        <v>61</v>
      </c>
      <c r="Q129" s="1" t="s">
        <v>61</v>
      </c>
      <c r="R129" s="1">
        <f t="shared" si="1"/>
        <v>0.007180280089</v>
      </c>
      <c r="S129" s="1">
        <f t="shared" si="2"/>
        <v>-119</v>
      </c>
      <c r="T129" s="1">
        <f t="shared" si="3"/>
        <v>1.840336134</v>
      </c>
      <c r="U129" s="1">
        <f t="shared" si="4"/>
        <v>0</v>
      </c>
      <c r="V129" s="3">
        <f t="shared" si="5"/>
        <v>1</v>
      </c>
      <c r="W129" s="3">
        <f t="shared" si="6"/>
        <v>3</v>
      </c>
      <c r="X129" s="3" t="str">
        <f>IFERROR(__xludf.DUMMYFUNCTION("split(B129,"" "")"),"B.")</f>
        <v>B.</v>
      </c>
      <c r="Y129" s="3" t="str">
        <f>IFERROR(__xludf.DUMMYFUNCTION("""COMPUTED_VALUE"""),"Nix")</f>
        <v>Nix</v>
      </c>
      <c r="AA129" s="8">
        <v>42.0</v>
      </c>
      <c r="AB129" s="3">
        <f t="shared" si="7"/>
        <v>1</v>
      </c>
      <c r="AC129" s="3">
        <f t="shared" si="8"/>
        <v>0</v>
      </c>
      <c r="AD129" s="3">
        <f t="shared" si="9"/>
        <v>0.8403361345</v>
      </c>
      <c r="AE129" s="3">
        <f t="shared" si="10"/>
        <v>-1</v>
      </c>
      <c r="AF129" s="3">
        <f t="shared" si="11"/>
        <v>-3</v>
      </c>
      <c r="AG129" s="3">
        <f t="shared" si="12"/>
        <v>-0.3770491803</v>
      </c>
    </row>
    <row r="130">
      <c r="A130" s="1" t="s">
        <v>13</v>
      </c>
      <c r="B130" s="1" t="s">
        <v>464</v>
      </c>
      <c r="C130" s="1" t="s">
        <v>21</v>
      </c>
      <c r="D130" s="1" t="s">
        <v>83</v>
      </c>
      <c r="E130" s="1" t="s">
        <v>134</v>
      </c>
      <c r="F130" s="1" t="s">
        <v>699</v>
      </c>
      <c r="G130" s="1">
        <v>220.5</v>
      </c>
      <c r="H130" s="1" t="s">
        <v>60</v>
      </c>
      <c r="I130" s="1">
        <v>-124.0</v>
      </c>
      <c r="J130" s="1">
        <v>-0.0760747837053576</v>
      </c>
      <c r="K130" s="1" t="s">
        <v>61</v>
      </c>
      <c r="L130" s="1" t="s">
        <v>61</v>
      </c>
      <c r="M130" s="1" t="s">
        <v>62</v>
      </c>
      <c r="N130" s="1">
        <v>-109.0</v>
      </c>
      <c r="O130" s="1">
        <v>9.55996122010027E-4</v>
      </c>
      <c r="P130" s="1" t="s">
        <v>61</v>
      </c>
      <c r="Q130" s="1" t="s">
        <v>61</v>
      </c>
      <c r="R130" s="1">
        <f t="shared" si="1"/>
        <v>0.000955996122</v>
      </c>
      <c r="S130" s="1">
        <f t="shared" si="2"/>
        <v>-109</v>
      </c>
      <c r="T130" s="1">
        <f t="shared" si="3"/>
        <v>1.917431193</v>
      </c>
      <c r="U130" s="1">
        <f t="shared" si="4"/>
        <v>0</v>
      </c>
      <c r="V130" s="3">
        <f t="shared" si="5"/>
        <v>1</v>
      </c>
      <c r="W130" s="3">
        <f t="shared" si="6"/>
        <v>2</v>
      </c>
      <c r="X130" s="3" t="str">
        <f>IFERROR(__xludf.DUMMYFUNCTION("split(B130,"" "")"),"B.")</f>
        <v>B.</v>
      </c>
      <c r="Y130" s="3" t="str">
        <f>IFERROR(__xludf.DUMMYFUNCTION("""COMPUTED_VALUE"""),"Nix")</f>
        <v>Nix</v>
      </c>
      <c r="AA130" s="8">
        <v>273.0</v>
      </c>
      <c r="AB130" s="3">
        <f t="shared" si="7"/>
        <v>1</v>
      </c>
      <c r="AC130" s="3">
        <f t="shared" si="8"/>
        <v>0</v>
      </c>
      <c r="AD130" s="3">
        <f t="shared" si="9"/>
        <v>0.9174311927</v>
      </c>
      <c r="AE130" s="3">
        <f t="shared" si="10"/>
        <v>-1</v>
      </c>
      <c r="AF130" s="3">
        <f t="shared" si="11"/>
        <v>-2</v>
      </c>
      <c r="AG130" s="3">
        <f t="shared" si="12"/>
        <v>-0.2380952381</v>
      </c>
    </row>
    <row r="131">
      <c r="A131" s="1" t="s">
        <v>15</v>
      </c>
      <c r="B131" s="1" t="s">
        <v>464</v>
      </c>
      <c r="C131" s="1" t="s">
        <v>21</v>
      </c>
      <c r="D131" s="1" t="s">
        <v>83</v>
      </c>
      <c r="E131" s="1" t="s">
        <v>134</v>
      </c>
      <c r="F131" s="1" t="s">
        <v>699</v>
      </c>
      <c r="G131" s="1">
        <v>19.5</v>
      </c>
      <c r="H131" s="1" t="s">
        <v>60</v>
      </c>
      <c r="I131" s="1">
        <v>-133.0</v>
      </c>
      <c r="J131" s="1">
        <v>-0.0638131351072961</v>
      </c>
      <c r="K131" s="1" t="s">
        <v>61</v>
      </c>
      <c r="L131" s="1" t="s">
        <v>61</v>
      </c>
      <c r="M131" s="1" t="s">
        <v>62</v>
      </c>
      <c r="N131" s="1">
        <v>103.0</v>
      </c>
      <c r="O131" s="1">
        <v>3.86504827586342E-4</v>
      </c>
      <c r="P131" s="1" t="s">
        <v>61</v>
      </c>
      <c r="Q131" s="1" t="s">
        <v>61</v>
      </c>
      <c r="R131" s="1">
        <f t="shared" si="1"/>
        <v>0.0003865048276</v>
      </c>
      <c r="S131" s="1">
        <f t="shared" si="2"/>
        <v>103</v>
      </c>
      <c r="T131" s="1">
        <f t="shared" si="3"/>
        <v>2.03</v>
      </c>
      <c r="U131" s="1">
        <f t="shared" si="4"/>
        <v>0</v>
      </c>
      <c r="V131" s="3">
        <f t="shared" si="5"/>
        <v>1</v>
      </c>
      <c r="W131" s="3">
        <f t="shared" si="6"/>
        <v>2</v>
      </c>
      <c r="X131" s="3" t="str">
        <f>IFERROR(__xludf.DUMMYFUNCTION("split(B131,"" "")"),"B.")</f>
        <v>B.</v>
      </c>
      <c r="Y131" s="3" t="str">
        <f>IFERROR(__xludf.DUMMYFUNCTION("""COMPUTED_VALUE"""),"Nix")</f>
        <v>Nix</v>
      </c>
      <c r="AA131" s="8">
        <v>25.0</v>
      </c>
      <c r="AB131" s="3">
        <f t="shared" si="7"/>
        <v>1</v>
      </c>
      <c r="AC131" s="3">
        <f t="shared" si="8"/>
        <v>0</v>
      </c>
      <c r="AD131" s="3">
        <f t="shared" si="9"/>
        <v>1.03</v>
      </c>
      <c r="AE131" s="3">
        <f t="shared" si="10"/>
        <v>-1</v>
      </c>
      <c r="AF131" s="3">
        <f t="shared" si="11"/>
        <v>-2</v>
      </c>
      <c r="AG131" s="3">
        <f t="shared" si="12"/>
        <v>-0.2820512821</v>
      </c>
    </row>
    <row r="132">
      <c r="A132" s="1" t="s">
        <v>12</v>
      </c>
      <c r="B132" s="1" t="s">
        <v>446</v>
      </c>
      <c r="C132" s="1" t="s">
        <v>19</v>
      </c>
      <c r="D132" s="1" t="s">
        <v>197</v>
      </c>
      <c r="E132" s="1" t="s">
        <v>71</v>
      </c>
      <c r="F132" s="1" t="s">
        <v>695</v>
      </c>
      <c r="G132" s="1">
        <v>1.5</v>
      </c>
      <c r="H132" s="1" t="s">
        <v>60</v>
      </c>
      <c r="I132" s="1">
        <v>-160.0</v>
      </c>
      <c r="J132" s="1">
        <v>-0.245276479176923</v>
      </c>
      <c r="K132" s="1" t="s">
        <v>61</v>
      </c>
      <c r="L132" s="1" t="s">
        <v>61</v>
      </c>
      <c r="M132" s="1" t="s">
        <v>62</v>
      </c>
      <c r="N132" s="1">
        <v>122.0</v>
      </c>
      <c r="O132" s="1">
        <v>0.179440020657657</v>
      </c>
      <c r="P132" s="1" t="s">
        <v>61</v>
      </c>
      <c r="Q132" s="1" t="s">
        <v>61</v>
      </c>
      <c r="R132" s="1">
        <f t="shared" si="1"/>
        <v>0.1794400207</v>
      </c>
      <c r="S132" s="1">
        <f t="shared" si="2"/>
        <v>122</v>
      </c>
      <c r="T132" s="1">
        <f t="shared" si="3"/>
        <v>2.22</v>
      </c>
      <c r="U132" s="1">
        <f t="shared" si="4"/>
        <v>0</v>
      </c>
      <c r="V132" s="3">
        <f t="shared" si="5"/>
        <v>3</v>
      </c>
      <c r="W132" s="3">
        <f t="shared" si="6"/>
        <v>1</v>
      </c>
      <c r="X132" s="3" t="str">
        <f>IFERROR(__xludf.DUMMYFUNCTION("split(B132,"" "")"),"D.")</f>
        <v>D.</v>
      </c>
      <c r="Y132" s="3" t="str">
        <f>IFERROR(__xludf.DUMMYFUNCTION("""COMPUTED_VALUE"""),"Montgomery")</f>
        <v>Montgomery</v>
      </c>
      <c r="AA132" s="8">
        <v>3.0</v>
      </c>
      <c r="AB132" s="3">
        <f t="shared" si="7"/>
        <v>1</v>
      </c>
      <c r="AC132" s="3">
        <f t="shared" si="8"/>
        <v>0</v>
      </c>
      <c r="AD132" s="3">
        <f t="shared" si="9"/>
        <v>3.66</v>
      </c>
      <c r="AE132" s="3">
        <f t="shared" si="10"/>
        <v>-3</v>
      </c>
      <c r="AF132" s="3">
        <f t="shared" si="11"/>
        <v>-1</v>
      </c>
      <c r="AG132" s="3">
        <f t="shared" si="12"/>
        <v>-1</v>
      </c>
    </row>
    <row r="133">
      <c r="A133" s="1" t="s">
        <v>12</v>
      </c>
      <c r="B133" s="1" t="s">
        <v>534</v>
      </c>
      <c r="C133" s="1" t="s">
        <v>18</v>
      </c>
      <c r="D133" s="1" t="s">
        <v>197</v>
      </c>
      <c r="E133" s="1" t="s">
        <v>71</v>
      </c>
      <c r="F133" s="1" t="s">
        <v>695</v>
      </c>
      <c r="G133" s="1">
        <v>1.5</v>
      </c>
      <c r="H133" s="1" t="s">
        <v>60</v>
      </c>
      <c r="I133" s="1">
        <v>-109.0</v>
      </c>
      <c r="J133" s="1">
        <v>-0.205118413483253</v>
      </c>
      <c r="K133" s="1" t="s">
        <v>61</v>
      </c>
      <c r="L133" s="1" t="s">
        <v>61</v>
      </c>
      <c r="M133" s="1" t="s">
        <v>62</v>
      </c>
      <c r="N133" s="1">
        <v>-121.0</v>
      </c>
      <c r="O133" s="1">
        <v>0.136074170071402</v>
      </c>
      <c r="P133" s="1" t="s">
        <v>61</v>
      </c>
      <c r="Q133" s="1" t="s">
        <v>61</v>
      </c>
      <c r="R133" s="1">
        <f t="shared" si="1"/>
        <v>0.1360741701</v>
      </c>
      <c r="S133" s="1">
        <f t="shared" si="2"/>
        <v>-121</v>
      </c>
      <c r="T133" s="1">
        <f t="shared" si="3"/>
        <v>1.826446281</v>
      </c>
      <c r="U133" s="1">
        <f t="shared" si="4"/>
        <v>0</v>
      </c>
      <c r="V133" s="3">
        <f t="shared" si="5"/>
        <v>3</v>
      </c>
      <c r="W133" s="3">
        <f t="shared" si="6"/>
        <v>3</v>
      </c>
      <c r="X133" s="3" t="str">
        <f>IFERROR(__xludf.DUMMYFUNCTION("split(B133,"" "")"),"T.")</f>
        <v>T.</v>
      </c>
      <c r="Y133" s="3" t="str">
        <f>IFERROR(__xludf.DUMMYFUNCTION("""COMPUTED_VALUE"""),"Patrick")</f>
        <v>Patrick</v>
      </c>
      <c r="AA133" s="8">
        <v>4.0</v>
      </c>
      <c r="AB133" s="3">
        <f t="shared" si="7"/>
        <v>1</v>
      </c>
      <c r="AC133" s="3">
        <f t="shared" si="8"/>
        <v>0</v>
      </c>
      <c r="AD133" s="3">
        <f t="shared" si="9"/>
        <v>2.479338843</v>
      </c>
      <c r="AE133" s="3">
        <f t="shared" si="10"/>
        <v>-3</v>
      </c>
      <c r="AF133" s="3">
        <f t="shared" si="11"/>
        <v>-3</v>
      </c>
      <c r="AG133" s="3">
        <f t="shared" si="12"/>
        <v>-1.666666667</v>
      </c>
    </row>
    <row r="134">
      <c r="A134" s="1" t="s">
        <v>12</v>
      </c>
      <c r="B134" s="1" t="s">
        <v>127</v>
      </c>
      <c r="C134" s="1" t="s">
        <v>18</v>
      </c>
      <c r="D134" s="1" t="s">
        <v>197</v>
      </c>
      <c r="E134" s="1" t="s">
        <v>71</v>
      </c>
      <c r="F134" s="1" t="s">
        <v>695</v>
      </c>
      <c r="G134" s="1">
        <v>2.5</v>
      </c>
      <c r="H134" s="1" t="s">
        <v>60</v>
      </c>
      <c r="I134" s="1">
        <v>-167.0</v>
      </c>
      <c r="J134" s="1">
        <v>-0.199302405355805</v>
      </c>
      <c r="K134" s="1" t="s">
        <v>61</v>
      </c>
      <c r="L134" s="1" t="s">
        <v>61</v>
      </c>
      <c r="M134" s="1" t="s">
        <v>62</v>
      </c>
      <c r="N134" s="1">
        <v>126.0</v>
      </c>
      <c r="O134" s="1">
        <v>0.131362576238938</v>
      </c>
      <c r="P134" s="1" t="s">
        <v>61</v>
      </c>
      <c r="Q134" s="1" t="s">
        <v>61</v>
      </c>
      <c r="R134" s="1">
        <f t="shared" si="1"/>
        <v>0.1313625762</v>
      </c>
      <c r="S134" s="1">
        <f t="shared" si="2"/>
        <v>126</v>
      </c>
      <c r="T134" s="1">
        <f t="shared" si="3"/>
        <v>2.26</v>
      </c>
      <c r="U134" s="1">
        <f t="shared" si="4"/>
        <v>0</v>
      </c>
      <c r="V134" s="3">
        <f t="shared" si="5"/>
        <v>3</v>
      </c>
      <c r="W134" s="3">
        <f t="shared" si="6"/>
        <v>1</v>
      </c>
      <c r="X134" s="3" t="str">
        <f>IFERROR(__xludf.DUMMYFUNCTION("split(B134,"" "")"),"J.")</f>
        <v>J.</v>
      </c>
      <c r="Y134" s="3" t="str">
        <f>IFERROR(__xludf.DUMMYFUNCTION("""COMPUTED_VALUE"""),"Williams")</f>
        <v>Williams</v>
      </c>
      <c r="AA134" s="8">
        <v>5.0</v>
      </c>
      <c r="AB134" s="3">
        <f t="shared" si="7"/>
        <v>1</v>
      </c>
      <c r="AC134" s="3">
        <f t="shared" si="8"/>
        <v>0</v>
      </c>
      <c r="AD134" s="3">
        <f t="shared" si="9"/>
        <v>3.78</v>
      </c>
      <c r="AE134" s="3">
        <f t="shared" si="10"/>
        <v>-3</v>
      </c>
      <c r="AF134" s="3">
        <f t="shared" si="11"/>
        <v>-1</v>
      </c>
      <c r="AG134" s="3">
        <f t="shared" si="12"/>
        <v>-1</v>
      </c>
    </row>
    <row r="135">
      <c r="A135" s="1" t="s">
        <v>10</v>
      </c>
      <c r="B135" s="1" t="s">
        <v>241</v>
      </c>
      <c r="C135" s="1" t="s">
        <v>21</v>
      </c>
      <c r="D135" s="1" t="s">
        <v>197</v>
      </c>
      <c r="E135" s="1" t="s">
        <v>71</v>
      </c>
      <c r="F135" s="1" t="s">
        <v>695</v>
      </c>
      <c r="G135" s="1">
        <v>0.5</v>
      </c>
      <c r="H135" s="1" t="s">
        <v>60</v>
      </c>
      <c r="I135" s="1">
        <v>-111.0</v>
      </c>
      <c r="J135" s="1">
        <v>0.12732213333643</v>
      </c>
      <c r="K135" s="1" t="s">
        <v>61</v>
      </c>
      <c r="L135" s="1" t="s">
        <v>61</v>
      </c>
      <c r="M135" s="1" t="s">
        <v>62</v>
      </c>
      <c r="N135" s="1">
        <v>-119.0</v>
      </c>
      <c r="O135" s="1">
        <v>-0.196780445020644</v>
      </c>
      <c r="P135" s="1" t="s">
        <v>61</v>
      </c>
      <c r="Q135" s="1" t="s">
        <v>61</v>
      </c>
      <c r="R135" s="1">
        <f t="shared" si="1"/>
        <v>0.1273221333</v>
      </c>
      <c r="S135" s="1">
        <f t="shared" si="2"/>
        <v>-111</v>
      </c>
      <c r="T135" s="1">
        <f t="shared" si="3"/>
        <v>1.900900901</v>
      </c>
      <c r="U135" s="1">
        <f t="shared" si="4"/>
        <v>1</v>
      </c>
      <c r="V135" s="3">
        <f t="shared" si="5"/>
        <v>3</v>
      </c>
      <c r="W135" s="3">
        <f t="shared" si="6"/>
        <v>2</v>
      </c>
      <c r="X135" s="3" t="str">
        <f>IFERROR(__xludf.DUMMYFUNCTION("split(B135,"" "")"),"J.")</f>
        <v>J.</v>
      </c>
      <c r="Y135" s="3" t="str">
        <f>IFERROR(__xludf.DUMMYFUNCTION("""COMPUTED_VALUE"""),"Goff")</f>
        <v>Goff</v>
      </c>
      <c r="AA135" s="8">
        <v>0.0</v>
      </c>
      <c r="AB135" s="3">
        <f t="shared" si="7"/>
        <v>0</v>
      </c>
      <c r="AC135" s="3">
        <f t="shared" si="8"/>
        <v>0</v>
      </c>
      <c r="AD135" s="3">
        <f t="shared" si="9"/>
        <v>2.702702703</v>
      </c>
      <c r="AE135" s="3">
        <f t="shared" si="10"/>
        <v>-3</v>
      </c>
      <c r="AF135" s="3">
        <f t="shared" si="11"/>
        <v>-2</v>
      </c>
      <c r="AG135" s="3">
        <f t="shared" si="12"/>
        <v>-1</v>
      </c>
    </row>
    <row r="136">
      <c r="A136" s="1" t="s">
        <v>9</v>
      </c>
      <c r="B136" s="1" t="s">
        <v>534</v>
      </c>
      <c r="C136" s="1" t="s">
        <v>18</v>
      </c>
      <c r="D136" s="1" t="s">
        <v>197</v>
      </c>
      <c r="E136" s="1" t="s">
        <v>71</v>
      </c>
      <c r="F136" s="1" t="s">
        <v>695</v>
      </c>
      <c r="G136" s="1">
        <v>16.5</v>
      </c>
      <c r="H136" s="1" t="s">
        <v>60</v>
      </c>
      <c r="I136" s="1">
        <v>-120.0</v>
      </c>
      <c r="J136" s="1">
        <v>0.117104061212702</v>
      </c>
      <c r="K136" s="1" t="s">
        <v>61</v>
      </c>
      <c r="L136" s="1" t="s">
        <v>61</v>
      </c>
      <c r="M136" s="1" t="s">
        <v>62</v>
      </c>
      <c r="N136" s="1">
        <v>-110.0</v>
      </c>
      <c r="O136" s="1">
        <v>-0.186361822921305</v>
      </c>
      <c r="P136" s="1" t="s">
        <v>61</v>
      </c>
      <c r="Q136" s="1" t="s">
        <v>61</v>
      </c>
      <c r="R136" s="1">
        <f t="shared" si="1"/>
        <v>0.1171040612</v>
      </c>
      <c r="S136" s="1">
        <f t="shared" si="2"/>
        <v>-120</v>
      </c>
      <c r="T136" s="1">
        <f t="shared" si="3"/>
        <v>1.833333333</v>
      </c>
      <c r="U136" s="1">
        <f t="shared" si="4"/>
        <v>1</v>
      </c>
      <c r="V136" s="3">
        <f t="shared" si="5"/>
        <v>3</v>
      </c>
      <c r="W136" s="3">
        <f t="shared" si="6"/>
        <v>3</v>
      </c>
      <c r="X136" s="3" t="str">
        <f>IFERROR(__xludf.DUMMYFUNCTION("split(B136,"" "")"),"T.")</f>
        <v>T.</v>
      </c>
      <c r="Y136" s="3" t="str">
        <f>IFERROR(__xludf.DUMMYFUNCTION("""COMPUTED_VALUE"""),"Patrick")</f>
        <v>Patrick</v>
      </c>
      <c r="AA136" s="8">
        <v>55.0</v>
      </c>
      <c r="AB136" s="3">
        <f t="shared" si="7"/>
        <v>1</v>
      </c>
      <c r="AC136" s="3">
        <f t="shared" si="8"/>
        <v>1</v>
      </c>
      <c r="AD136" s="3">
        <f t="shared" si="9"/>
        <v>2.5</v>
      </c>
      <c r="AE136" s="3">
        <f t="shared" si="10"/>
        <v>2.5</v>
      </c>
      <c r="AF136" s="3">
        <f t="shared" si="11"/>
        <v>2.5</v>
      </c>
      <c r="AG136" s="3">
        <f t="shared" si="12"/>
        <v>2.333333333</v>
      </c>
    </row>
    <row r="137">
      <c r="A137" s="1" t="s">
        <v>8</v>
      </c>
      <c r="B137" s="1" t="s">
        <v>393</v>
      </c>
      <c r="C137" s="1" t="s">
        <v>19</v>
      </c>
      <c r="D137" s="1" t="s">
        <v>197</v>
      </c>
      <c r="E137" s="1" t="s">
        <v>71</v>
      </c>
      <c r="F137" s="1" t="s">
        <v>695</v>
      </c>
      <c r="G137" s="1">
        <v>12.5</v>
      </c>
      <c r="H137" s="1" t="s">
        <v>60</v>
      </c>
      <c r="I137" s="1">
        <v>-135.0</v>
      </c>
      <c r="J137" s="1">
        <v>-0.169210014471914</v>
      </c>
      <c r="K137" s="1" t="s">
        <v>61</v>
      </c>
      <c r="L137" s="1" t="s">
        <v>61</v>
      </c>
      <c r="M137" s="1" t="s">
        <v>62</v>
      </c>
      <c r="N137" s="1">
        <v>102.0</v>
      </c>
      <c r="O137" s="1">
        <v>0.099699274261881</v>
      </c>
      <c r="P137" s="1" t="s">
        <v>61</v>
      </c>
      <c r="Q137" s="1" t="s">
        <v>61</v>
      </c>
      <c r="R137" s="1">
        <f t="shared" si="1"/>
        <v>0.09969927426</v>
      </c>
      <c r="S137" s="1">
        <f t="shared" si="2"/>
        <v>102</v>
      </c>
      <c r="T137" s="1">
        <f t="shared" si="3"/>
        <v>2.02</v>
      </c>
      <c r="U137" s="1">
        <f t="shared" si="4"/>
        <v>0</v>
      </c>
      <c r="V137" s="3">
        <f t="shared" si="5"/>
        <v>2</v>
      </c>
      <c r="W137" s="3">
        <f t="shared" si="6"/>
        <v>2</v>
      </c>
      <c r="X137" s="3" t="str">
        <f>IFERROR(__xludf.DUMMYFUNCTION("split(B137,"" "")"),"J.")</f>
        <v>J.</v>
      </c>
      <c r="Y137" s="3" t="str">
        <f>IFERROR(__xludf.DUMMYFUNCTION("""COMPUTED_VALUE"""),"Gibbs")</f>
        <v>Gibbs</v>
      </c>
      <c r="AA137" s="8">
        <v>21.0</v>
      </c>
      <c r="AB137" s="3">
        <f t="shared" si="7"/>
        <v>1</v>
      </c>
      <c r="AC137" s="3">
        <f t="shared" si="8"/>
        <v>0</v>
      </c>
      <c r="AD137" s="3">
        <f t="shared" si="9"/>
        <v>2.04</v>
      </c>
      <c r="AE137" s="3">
        <f t="shared" si="10"/>
        <v>-2</v>
      </c>
      <c r="AF137" s="3">
        <f t="shared" si="11"/>
        <v>-2</v>
      </c>
      <c r="AG137" s="3">
        <f t="shared" si="12"/>
        <v>-0.68</v>
      </c>
    </row>
    <row r="138">
      <c r="A138" s="1" t="s">
        <v>12</v>
      </c>
      <c r="B138" s="1" t="s">
        <v>385</v>
      </c>
      <c r="C138" s="1" t="s">
        <v>18</v>
      </c>
      <c r="D138" s="1" t="s">
        <v>197</v>
      </c>
      <c r="E138" s="1" t="s">
        <v>71</v>
      </c>
      <c r="F138" s="1" t="s">
        <v>695</v>
      </c>
      <c r="G138" s="1">
        <v>6.5</v>
      </c>
      <c r="H138" s="1" t="s">
        <v>60</v>
      </c>
      <c r="I138" s="1">
        <v>-140.0</v>
      </c>
      <c r="J138" s="1">
        <v>0.0838083333333334</v>
      </c>
      <c r="K138" s="1" t="s">
        <v>61</v>
      </c>
      <c r="L138" s="1" t="s">
        <v>61</v>
      </c>
      <c r="M138" s="1" t="s">
        <v>62</v>
      </c>
      <c r="N138" s="1">
        <v>107.0</v>
      </c>
      <c r="O138" s="1">
        <v>-0.150240096618357</v>
      </c>
      <c r="P138" s="1" t="s">
        <v>61</v>
      </c>
      <c r="Q138" s="1" t="s">
        <v>61</v>
      </c>
      <c r="R138" s="1">
        <f t="shared" si="1"/>
        <v>0.08380833333</v>
      </c>
      <c r="S138" s="1">
        <f t="shared" si="2"/>
        <v>-140</v>
      </c>
      <c r="T138" s="1">
        <f t="shared" si="3"/>
        <v>1.714285714</v>
      </c>
      <c r="U138" s="1">
        <f t="shared" si="4"/>
        <v>1</v>
      </c>
      <c r="V138" s="3">
        <f t="shared" si="5"/>
        <v>2</v>
      </c>
      <c r="W138" s="3">
        <f t="shared" si="6"/>
        <v>3</v>
      </c>
      <c r="X138" s="3" t="str">
        <f>IFERROR(__xludf.DUMMYFUNCTION("split(B138,"" "")"),"A.")</f>
        <v>A.</v>
      </c>
      <c r="Y138" s="3" t="str">
        <f>IFERROR(__xludf.DUMMYFUNCTION("""COMPUTED_VALUE"""),"St.")</f>
        <v>St.</v>
      </c>
      <c r="Z138" s="3" t="str">
        <f>IFERROR(__xludf.DUMMYFUNCTION("""COMPUTED_VALUE"""),"Brown")</f>
        <v>Brown</v>
      </c>
      <c r="AA138" s="8">
        <v>6.0</v>
      </c>
      <c r="AB138" s="3">
        <f t="shared" si="7"/>
        <v>0</v>
      </c>
      <c r="AC138" s="3">
        <f t="shared" si="8"/>
        <v>0</v>
      </c>
      <c r="AD138" s="3">
        <f t="shared" si="9"/>
        <v>1.428571429</v>
      </c>
      <c r="AE138" s="3">
        <f t="shared" si="10"/>
        <v>-2</v>
      </c>
      <c r="AF138" s="3">
        <f t="shared" si="11"/>
        <v>-3</v>
      </c>
      <c r="AG138" s="3">
        <f t="shared" si="12"/>
        <v>-0.07692307692</v>
      </c>
    </row>
    <row r="139">
      <c r="A139" s="1" t="s">
        <v>14</v>
      </c>
      <c r="B139" s="1" t="s">
        <v>241</v>
      </c>
      <c r="C139" s="1" t="s">
        <v>21</v>
      </c>
      <c r="D139" s="1" t="s">
        <v>197</v>
      </c>
      <c r="E139" s="1" t="s">
        <v>71</v>
      </c>
      <c r="F139" s="1" t="s">
        <v>695</v>
      </c>
      <c r="G139" s="1">
        <v>1.5</v>
      </c>
      <c r="H139" s="1" t="s">
        <v>60</v>
      </c>
      <c r="I139" s="1">
        <v>-147.0</v>
      </c>
      <c r="J139" s="1">
        <v>-0.140541700404858</v>
      </c>
      <c r="K139" s="1" t="s">
        <v>61</v>
      </c>
      <c r="L139" s="1" t="s">
        <v>61</v>
      </c>
      <c r="M139" s="1" t="s">
        <v>62</v>
      </c>
      <c r="N139" s="1">
        <v>113.0</v>
      </c>
      <c r="O139" s="1">
        <v>0.0759164319248826</v>
      </c>
      <c r="P139" s="1" t="s">
        <v>61</v>
      </c>
      <c r="Q139" s="1" t="s">
        <v>61</v>
      </c>
      <c r="R139" s="1">
        <f t="shared" si="1"/>
        <v>0.07591643192</v>
      </c>
      <c r="S139" s="1">
        <f t="shared" si="2"/>
        <v>113</v>
      </c>
      <c r="T139" s="1">
        <f t="shared" si="3"/>
        <v>2.13</v>
      </c>
      <c r="U139" s="1">
        <f t="shared" si="4"/>
        <v>0</v>
      </c>
      <c r="V139" s="3">
        <f t="shared" si="5"/>
        <v>2</v>
      </c>
      <c r="W139" s="3">
        <f t="shared" si="6"/>
        <v>1</v>
      </c>
      <c r="X139" s="3" t="str">
        <f>IFERROR(__xludf.DUMMYFUNCTION("split(B139,"" "")"),"J.")</f>
        <v>J.</v>
      </c>
      <c r="Y139" s="3" t="str">
        <f>IFERROR(__xludf.DUMMYFUNCTION("""COMPUTED_VALUE"""),"Goff")</f>
        <v>Goff</v>
      </c>
      <c r="AA139" s="8">
        <v>0.0</v>
      </c>
      <c r="AB139" s="3">
        <f t="shared" si="7"/>
        <v>0</v>
      </c>
      <c r="AC139" s="3">
        <f t="shared" si="8"/>
        <v>1</v>
      </c>
      <c r="AD139" s="3">
        <f t="shared" si="9"/>
        <v>2.26</v>
      </c>
      <c r="AE139" s="3">
        <f t="shared" si="10"/>
        <v>2.26</v>
      </c>
      <c r="AF139" s="3">
        <f t="shared" si="11"/>
        <v>1.13</v>
      </c>
      <c r="AG139" s="3">
        <f t="shared" si="12"/>
        <v>1</v>
      </c>
    </row>
    <row r="140">
      <c r="A140" s="1" t="s">
        <v>12</v>
      </c>
      <c r="B140" s="1" t="s">
        <v>498</v>
      </c>
      <c r="C140" s="1" t="s">
        <v>20</v>
      </c>
      <c r="D140" s="1" t="s">
        <v>197</v>
      </c>
      <c r="E140" s="1" t="s">
        <v>71</v>
      </c>
      <c r="F140" s="1" t="s">
        <v>695</v>
      </c>
      <c r="G140" s="1">
        <v>3.5</v>
      </c>
      <c r="H140" s="1" t="s">
        <v>60</v>
      </c>
      <c r="I140" s="1">
        <v>-108.0</v>
      </c>
      <c r="J140" s="1">
        <v>-0.137482692307692</v>
      </c>
      <c r="K140" s="1" t="s">
        <v>61</v>
      </c>
      <c r="L140" s="1" t="s">
        <v>61</v>
      </c>
      <c r="M140" s="1" t="s">
        <v>62</v>
      </c>
      <c r="N140" s="1">
        <v>-121.0</v>
      </c>
      <c r="O140" s="1">
        <v>0.0707339366515836</v>
      </c>
      <c r="P140" s="1" t="s">
        <v>61</v>
      </c>
      <c r="Q140" s="1" t="s">
        <v>61</v>
      </c>
      <c r="R140" s="1">
        <f t="shared" si="1"/>
        <v>0.07073393665</v>
      </c>
      <c r="S140" s="1">
        <f t="shared" si="2"/>
        <v>-121</v>
      </c>
      <c r="T140" s="1">
        <f t="shared" si="3"/>
        <v>1.826446281</v>
      </c>
      <c r="U140" s="1">
        <f t="shared" si="4"/>
        <v>0</v>
      </c>
      <c r="V140" s="3">
        <f t="shared" si="5"/>
        <v>2</v>
      </c>
      <c r="W140" s="3">
        <f t="shared" si="6"/>
        <v>3</v>
      </c>
      <c r="X140" s="3" t="str">
        <f>IFERROR(__xludf.DUMMYFUNCTION("split(B140,"" "")"),"S.")</f>
        <v>S.</v>
      </c>
      <c r="Y140" s="3" t="str">
        <f>IFERROR(__xludf.DUMMYFUNCTION("""COMPUTED_VALUE"""),"LaPorta")</f>
        <v>LaPorta</v>
      </c>
      <c r="AA140" s="8">
        <v>3.0</v>
      </c>
      <c r="AB140" s="3">
        <f t="shared" si="7"/>
        <v>0</v>
      </c>
      <c r="AC140" s="3">
        <f t="shared" si="8"/>
        <v>1</v>
      </c>
      <c r="AD140" s="3">
        <f t="shared" si="9"/>
        <v>1.652892562</v>
      </c>
      <c r="AE140" s="3">
        <f t="shared" si="10"/>
        <v>1.652892562</v>
      </c>
      <c r="AF140" s="3">
        <f t="shared" si="11"/>
        <v>2.479338843</v>
      </c>
      <c r="AG140" s="3">
        <f t="shared" si="12"/>
        <v>0.1428571429</v>
      </c>
    </row>
    <row r="141">
      <c r="A141" s="1" t="s">
        <v>12</v>
      </c>
      <c r="B141" s="1" t="s">
        <v>393</v>
      </c>
      <c r="C141" s="1" t="s">
        <v>19</v>
      </c>
      <c r="D141" s="1" t="s">
        <v>197</v>
      </c>
      <c r="E141" s="1" t="s">
        <v>71</v>
      </c>
      <c r="F141" s="1" t="s">
        <v>695</v>
      </c>
      <c r="G141" s="1">
        <v>2.5</v>
      </c>
      <c r="H141" s="1" t="s">
        <v>60</v>
      </c>
      <c r="I141" s="1">
        <v>-118.0</v>
      </c>
      <c r="J141" s="1">
        <v>-0.131081033899082</v>
      </c>
      <c r="K141" s="1" t="s">
        <v>61</v>
      </c>
      <c r="L141" s="1" t="s">
        <v>61</v>
      </c>
      <c r="M141" s="1" t="s">
        <v>62</v>
      </c>
      <c r="N141" s="1">
        <v>-111.0</v>
      </c>
      <c r="O141" s="1">
        <v>0.0637297847530806</v>
      </c>
      <c r="P141" s="1" t="s">
        <v>61</v>
      </c>
      <c r="Q141" s="1" t="s">
        <v>61</v>
      </c>
      <c r="R141" s="1">
        <f t="shared" si="1"/>
        <v>0.06372978475</v>
      </c>
      <c r="S141" s="1">
        <f t="shared" si="2"/>
        <v>-111</v>
      </c>
      <c r="T141" s="1">
        <f t="shared" si="3"/>
        <v>1.900900901</v>
      </c>
      <c r="U141" s="1">
        <f t="shared" si="4"/>
        <v>0</v>
      </c>
      <c r="V141" s="3">
        <f t="shared" si="5"/>
        <v>2</v>
      </c>
      <c r="W141" s="3">
        <f t="shared" si="6"/>
        <v>2</v>
      </c>
      <c r="X141" s="3" t="str">
        <f>IFERROR(__xludf.DUMMYFUNCTION("split(B141,"" "")"),"J.")</f>
        <v>J.</v>
      </c>
      <c r="Y141" s="3" t="str">
        <f>IFERROR(__xludf.DUMMYFUNCTION("""COMPUTED_VALUE"""),"Gibbs")</f>
        <v>Gibbs</v>
      </c>
      <c r="AA141" s="8">
        <v>3.0</v>
      </c>
      <c r="AB141" s="3">
        <f t="shared" si="7"/>
        <v>1</v>
      </c>
      <c r="AC141" s="3">
        <f t="shared" si="8"/>
        <v>0</v>
      </c>
      <c r="AD141" s="3">
        <f t="shared" si="9"/>
        <v>1.801801802</v>
      </c>
      <c r="AE141" s="3">
        <f t="shared" si="10"/>
        <v>-2</v>
      </c>
      <c r="AF141" s="3">
        <f t="shared" si="11"/>
        <v>-2</v>
      </c>
      <c r="AG141" s="3">
        <f t="shared" si="12"/>
        <v>-0.2</v>
      </c>
    </row>
    <row r="142">
      <c r="A142" s="1" t="s">
        <v>10</v>
      </c>
      <c r="B142" s="1" t="s">
        <v>393</v>
      </c>
      <c r="C142" s="1" t="s">
        <v>19</v>
      </c>
      <c r="D142" s="1" t="s">
        <v>197</v>
      </c>
      <c r="E142" s="1" t="s">
        <v>71</v>
      </c>
      <c r="F142" s="1" t="s">
        <v>695</v>
      </c>
      <c r="G142" s="1">
        <v>69.5</v>
      </c>
      <c r="H142" s="1" t="s">
        <v>60</v>
      </c>
      <c r="I142" s="1">
        <v>-113.0</v>
      </c>
      <c r="J142" s="1">
        <v>-0.124406108255987</v>
      </c>
      <c r="K142" s="1" t="s">
        <v>61</v>
      </c>
      <c r="L142" s="1" t="s">
        <v>61</v>
      </c>
      <c r="M142" s="1" t="s">
        <v>62</v>
      </c>
      <c r="N142" s="1">
        <v>-113.0</v>
      </c>
      <c r="O142" s="1">
        <v>0.0633846799159192</v>
      </c>
      <c r="P142" s="1" t="s">
        <v>61</v>
      </c>
      <c r="Q142" s="1" t="s">
        <v>61</v>
      </c>
      <c r="R142" s="1">
        <f t="shared" si="1"/>
        <v>0.06338467992</v>
      </c>
      <c r="S142" s="1">
        <f t="shared" si="2"/>
        <v>-113</v>
      </c>
      <c r="T142" s="1">
        <f t="shared" si="3"/>
        <v>1.884955752</v>
      </c>
      <c r="U142" s="1">
        <f t="shared" si="4"/>
        <v>0</v>
      </c>
      <c r="V142" s="3">
        <f t="shared" si="5"/>
        <v>2</v>
      </c>
      <c r="W142" s="3">
        <f t="shared" si="6"/>
        <v>2</v>
      </c>
      <c r="X142" s="3" t="str">
        <f>IFERROR(__xludf.DUMMYFUNCTION("split(B142,"" "")"),"J.")</f>
        <v>J.</v>
      </c>
      <c r="Y142" s="3" t="str">
        <f>IFERROR(__xludf.DUMMYFUNCTION("""COMPUTED_VALUE"""),"Gibbs")</f>
        <v>Gibbs</v>
      </c>
      <c r="AA142" s="8">
        <v>90.0</v>
      </c>
      <c r="AB142" s="3">
        <f t="shared" si="7"/>
        <v>1</v>
      </c>
      <c r="AC142" s="3">
        <f t="shared" si="8"/>
        <v>0</v>
      </c>
      <c r="AD142" s="3">
        <f t="shared" si="9"/>
        <v>1.769911504</v>
      </c>
      <c r="AE142" s="3">
        <f t="shared" si="10"/>
        <v>-2</v>
      </c>
      <c r="AF142" s="3">
        <f t="shared" si="11"/>
        <v>-2</v>
      </c>
      <c r="AG142" s="3">
        <f t="shared" si="12"/>
        <v>-0.2949640288</v>
      </c>
    </row>
    <row r="143">
      <c r="A143" s="1" t="s">
        <v>8</v>
      </c>
      <c r="B143" s="1" t="s">
        <v>446</v>
      </c>
      <c r="C143" s="1" t="s">
        <v>19</v>
      </c>
      <c r="D143" s="1" t="s">
        <v>197</v>
      </c>
      <c r="E143" s="1" t="s">
        <v>71</v>
      </c>
      <c r="F143" s="1" t="s">
        <v>695</v>
      </c>
      <c r="G143" s="1">
        <v>13.5</v>
      </c>
      <c r="H143" s="1" t="s">
        <v>60</v>
      </c>
      <c r="I143" s="1">
        <v>-118.0</v>
      </c>
      <c r="J143" s="1">
        <v>-0.1369283602211</v>
      </c>
      <c r="K143" s="1" t="s">
        <v>61</v>
      </c>
      <c r="L143" s="1" t="s">
        <v>61</v>
      </c>
      <c r="M143" s="1" t="s">
        <v>62</v>
      </c>
      <c r="N143" s="1">
        <v>-115.0</v>
      </c>
      <c r="O143" s="1">
        <v>0.0607675344531627</v>
      </c>
      <c r="P143" s="1" t="s">
        <v>61</v>
      </c>
      <c r="Q143" s="1" t="s">
        <v>61</v>
      </c>
      <c r="R143" s="1">
        <f t="shared" si="1"/>
        <v>0.06076753445</v>
      </c>
      <c r="S143" s="1">
        <f t="shared" si="2"/>
        <v>-115</v>
      </c>
      <c r="T143" s="1">
        <f t="shared" si="3"/>
        <v>1.869565217</v>
      </c>
      <c r="U143" s="1">
        <f t="shared" si="4"/>
        <v>0</v>
      </c>
      <c r="V143" s="3">
        <f t="shared" si="5"/>
        <v>2</v>
      </c>
      <c r="W143" s="3">
        <f t="shared" si="6"/>
        <v>2</v>
      </c>
      <c r="X143" s="3" t="str">
        <f>IFERROR(__xludf.DUMMYFUNCTION("split(B143,"" "")"),"D.")</f>
        <v>D.</v>
      </c>
      <c r="Y143" s="3" t="str">
        <f>IFERROR(__xludf.DUMMYFUNCTION("""COMPUTED_VALUE"""),"Montgomery")</f>
        <v>Montgomery</v>
      </c>
      <c r="AA143" s="8">
        <v>8.0</v>
      </c>
      <c r="AB143" s="3">
        <f t="shared" si="7"/>
        <v>0</v>
      </c>
      <c r="AC143" s="3">
        <f t="shared" si="8"/>
        <v>1</v>
      </c>
      <c r="AD143" s="3">
        <f t="shared" si="9"/>
        <v>1.739130435</v>
      </c>
      <c r="AE143" s="3">
        <f t="shared" si="10"/>
        <v>1.739130435</v>
      </c>
      <c r="AF143" s="3">
        <f t="shared" si="11"/>
        <v>1.739130435</v>
      </c>
      <c r="AG143" s="3">
        <f t="shared" si="12"/>
        <v>0.4074074074</v>
      </c>
    </row>
    <row r="144">
      <c r="A144" s="1" t="s">
        <v>9</v>
      </c>
      <c r="B144" s="1" t="s">
        <v>393</v>
      </c>
      <c r="C144" s="1" t="s">
        <v>19</v>
      </c>
      <c r="D144" s="1" t="s">
        <v>197</v>
      </c>
      <c r="E144" s="1" t="s">
        <v>71</v>
      </c>
      <c r="F144" s="1" t="s">
        <v>695</v>
      </c>
      <c r="G144" s="1">
        <v>90.5</v>
      </c>
      <c r="H144" s="1" t="s">
        <v>60</v>
      </c>
      <c r="I144" s="1">
        <v>-122.0</v>
      </c>
      <c r="J144" s="1">
        <v>-0.117891648187655</v>
      </c>
      <c r="K144" s="1" t="s">
        <v>61</v>
      </c>
      <c r="L144" s="1" t="s">
        <v>61</v>
      </c>
      <c r="M144" s="1" t="s">
        <v>62</v>
      </c>
      <c r="N144" s="1">
        <v>-110.0</v>
      </c>
      <c r="O144" s="1">
        <v>0.0446035007979305</v>
      </c>
      <c r="P144" s="1" t="s">
        <v>61</v>
      </c>
      <c r="Q144" s="1" t="s">
        <v>61</v>
      </c>
      <c r="R144" s="1">
        <f t="shared" si="1"/>
        <v>0.0446035008</v>
      </c>
      <c r="S144" s="1">
        <f t="shared" si="2"/>
        <v>-110</v>
      </c>
      <c r="T144" s="1">
        <f t="shared" si="3"/>
        <v>1.909090909</v>
      </c>
      <c r="U144" s="1">
        <f t="shared" si="4"/>
        <v>0</v>
      </c>
      <c r="V144" s="3">
        <f t="shared" si="5"/>
        <v>1</v>
      </c>
      <c r="W144" s="3">
        <f t="shared" si="6"/>
        <v>2</v>
      </c>
      <c r="X144" s="3" t="str">
        <f>IFERROR(__xludf.DUMMYFUNCTION("split(B144,"" "")"),"J.")</f>
        <v>J.</v>
      </c>
      <c r="Y144" s="3" t="str">
        <f>IFERROR(__xludf.DUMMYFUNCTION("""COMPUTED_VALUE"""),"Gibbs")</f>
        <v>Gibbs</v>
      </c>
      <c r="AA144" s="8">
        <v>99.0</v>
      </c>
      <c r="AB144" s="3">
        <f t="shared" si="7"/>
        <v>1</v>
      </c>
      <c r="AC144" s="3">
        <f t="shared" si="8"/>
        <v>0</v>
      </c>
      <c r="AD144" s="3">
        <f t="shared" si="9"/>
        <v>0.9090909091</v>
      </c>
      <c r="AE144" s="3">
        <f t="shared" si="10"/>
        <v>-1</v>
      </c>
      <c r="AF144" s="3">
        <f t="shared" si="11"/>
        <v>-2</v>
      </c>
      <c r="AG144" s="3">
        <f t="shared" si="12"/>
        <v>-0.09392265193</v>
      </c>
    </row>
    <row r="145">
      <c r="A145" s="1" t="s">
        <v>11</v>
      </c>
      <c r="B145" s="1" t="s">
        <v>498</v>
      </c>
      <c r="C145" s="1" t="s">
        <v>20</v>
      </c>
      <c r="D145" s="1" t="s">
        <v>197</v>
      </c>
      <c r="E145" s="1" t="s">
        <v>71</v>
      </c>
      <c r="F145" s="1" t="s">
        <v>695</v>
      </c>
      <c r="G145" s="1">
        <v>36.5</v>
      </c>
      <c r="H145" s="1" t="s">
        <v>60</v>
      </c>
      <c r="I145" s="1">
        <v>-114.0</v>
      </c>
      <c r="J145" s="1">
        <v>-0.10097660734313</v>
      </c>
      <c r="K145" s="1" t="s">
        <v>61</v>
      </c>
      <c r="L145" s="1" t="s">
        <v>61</v>
      </c>
      <c r="M145" s="1" t="s">
        <v>62</v>
      </c>
      <c r="N145" s="1">
        <v>-115.0</v>
      </c>
      <c r="O145" s="1">
        <v>0.033419940138114</v>
      </c>
      <c r="P145" s="1" t="s">
        <v>61</v>
      </c>
      <c r="Q145" s="1" t="s">
        <v>61</v>
      </c>
      <c r="R145" s="1">
        <f t="shared" si="1"/>
        <v>0.03341994014</v>
      </c>
      <c r="S145" s="1">
        <f t="shared" si="2"/>
        <v>-115</v>
      </c>
      <c r="T145" s="1">
        <f t="shared" si="3"/>
        <v>1.869565217</v>
      </c>
      <c r="U145" s="1">
        <f t="shared" si="4"/>
        <v>0</v>
      </c>
      <c r="V145" s="3">
        <f t="shared" si="5"/>
        <v>1</v>
      </c>
      <c r="W145" s="3">
        <f t="shared" si="6"/>
        <v>2</v>
      </c>
      <c r="X145" s="3" t="str">
        <f>IFERROR(__xludf.DUMMYFUNCTION("split(B145,"" "")"),"S.")</f>
        <v>S.</v>
      </c>
      <c r="Y145" s="3" t="str">
        <f>IFERROR(__xludf.DUMMYFUNCTION("""COMPUTED_VALUE"""),"LaPorta")</f>
        <v>LaPorta</v>
      </c>
      <c r="AA145" s="8">
        <v>19.0</v>
      </c>
      <c r="AB145" s="3">
        <f t="shared" si="7"/>
        <v>0</v>
      </c>
      <c r="AC145" s="3">
        <f t="shared" si="8"/>
        <v>1</v>
      </c>
      <c r="AD145" s="3">
        <f t="shared" si="9"/>
        <v>0.8695652174</v>
      </c>
      <c r="AE145" s="3">
        <f t="shared" si="10"/>
        <v>0.8695652174</v>
      </c>
      <c r="AF145" s="3">
        <f t="shared" si="11"/>
        <v>1.739130435</v>
      </c>
      <c r="AG145" s="3">
        <f t="shared" si="12"/>
        <v>0.4794520548</v>
      </c>
    </row>
    <row r="146">
      <c r="A146" s="1" t="s">
        <v>8</v>
      </c>
      <c r="B146" s="1" t="s">
        <v>241</v>
      </c>
      <c r="C146" s="1" t="s">
        <v>21</v>
      </c>
      <c r="D146" s="1" t="s">
        <v>197</v>
      </c>
      <c r="E146" s="1" t="s">
        <v>71</v>
      </c>
      <c r="F146" s="1" t="s">
        <v>695</v>
      </c>
      <c r="G146" s="1">
        <v>1.5</v>
      </c>
      <c r="H146" s="1" t="s">
        <v>60</v>
      </c>
      <c r="I146" s="1">
        <v>-157.0</v>
      </c>
      <c r="J146" s="1">
        <v>-0.102924506481539</v>
      </c>
      <c r="K146" s="1" t="s">
        <v>61</v>
      </c>
      <c r="L146" s="1" t="s">
        <v>61</v>
      </c>
      <c r="M146" s="1" t="s">
        <v>62</v>
      </c>
      <c r="N146" s="1">
        <v>117.0</v>
      </c>
      <c r="O146" s="1">
        <v>0.0312055215011777</v>
      </c>
      <c r="P146" s="1" t="s">
        <v>61</v>
      </c>
      <c r="Q146" s="1" t="s">
        <v>61</v>
      </c>
      <c r="R146" s="1">
        <f t="shared" si="1"/>
        <v>0.0312055215</v>
      </c>
      <c r="S146" s="1">
        <f t="shared" si="2"/>
        <v>117</v>
      </c>
      <c r="T146" s="1">
        <f t="shared" si="3"/>
        <v>2.17</v>
      </c>
      <c r="U146" s="1">
        <f t="shared" si="4"/>
        <v>0</v>
      </c>
      <c r="V146" s="3">
        <f t="shared" si="5"/>
        <v>1</v>
      </c>
      <c r="W146" s="3">
        <f t="shared" si="6"/>
        <v>1</v>
      </c>
      <c r="X146" s="3" t="str">
        <f>IFERROR(__xludf.DUMMYFUNCTION("split(B146,"" "")"),"J.")</f>
        <v>J.</v>
      </c>
      <c r="Y146" s="3" t="str">
        <f>IFERROR(__xludf.DUMMYFUNCTION("""COMPUTED_VALUE"""),"Goff")</f>
        <v>Goff</v>
      </c>
      <c r="AA146" s="8">
        <v>2.0</v>
      </c>
      <c r="AB146" s="3">
        <f t="shared" si="7"/>
        <v>1</v>
      </c>
      <c r="AC146" s="3">
        <f t="shared" si="8"/>
        <v>0</v>
      </c>
      <c r="AD146" s="3">
        <f t="shared" si="9"/>
        <v>1.17</v>
      </c>
      <c r="AE146" s="3">
        <f t="shared" si="10"/>
        <v>-1</v>
      </c>
      <c r="AF146" s="3">
        <f t="shared" si="11"/>
        <v>-1</v>
      </c>
      <c r="AG146" s="3">
        <f t="shared" si="12"/>
        <v>-0.3333333333</v>
      </c>
    </row>
    <row r="147">
      <c r="A147" s="1" t="s">
        <v>9</v>
      </c>
      <c r="B147" s="1" t="s">
        <v>385</v>
      </c>
      <c r="C147" s="1" t="s">
        <v>18</v>
      </c>
      <c r="D147" s="1" t="s">
        <v>197</v>
      </c>
      <c r="E147" s="1" t="s">
        <v>71</v>
      </c>
      <c r="F147" s="1" t="s">
        <v>695</v>
      </c>
      <c r="G147" s="1">
        <v>76.5</v>
      </c>
      <c r="H147" s="1" t="s">
        <v>60</v>
      </c>
      <c r="I147" s="1">
        <v>-115.0</v>
      </c>
      <c r="J147" s="1">
        <v>-0.0870225723764035</v>
      </c>
      <c r="K147" s="1" t="s">
        <v>61</v>
      </c>
      <c r="L147" s="1" t="s">
        <v>61</v>
      </c>
      <c r="M147" s="1" t="s">
        <v>62</v>
      </c>
      <c r="N147" s="1">
        <v>-115.0</v>
      </c>
      <c r="O147" s="1">
        <v>0.017230958232864</v>
      </c>
      <c r="P147" s="1" t="s">
        <v>61</v>
      </c>
      <c r="Q147" s="1" t="s">
        <v>61</v>
      </c>
      <c r="R147" s="1">
        <f t="shared" si="1"/>
        <v>0.01723095823</v>
      </c>
      <c r="S147" s="1">
        <f t="shared" si="2"/>
        <v>-115</v>
      </c>
      <c r="T147" s="1">
        <f t="shared" si="3"/>
        <v>1.869565217</v>
      </c>
      <c r="U147" s="1">
        <f t="shared" si="4"/>
        <v>0</v>
      </c>
      <c r="V147" s="3">
        <f t="shared" si="5"/>
        <v>1</v>
      </c>
      <c r="W147" s="3">
        <f t="shared" si="6"/>
        <v>2</v>
      </c>
      <c r="X147" s="3" t="str">
        <f>IFERROR(__xludf.DUMMYFUNCTION("split(B147,"" "")"),"A.")</f>
        <v>A.</v>
      </c>
      <c r="Y147" s="3" t="str">
        <f>IFERROR(__xludf.DUMMYFUNCTION("""COMPUTED_VALUE"""),"St.")</f>
        <v>St.</v>
      </c>
      <c r="Z147" s="3" t="str">
        <f>IFERROR(__xludf.DUMMYFUNCTION("""COMPUTED_VALUE"""),"Brown")</f>
        <v>Brown</v>
      </c>
      <c r="AA147" s="8">
        <v>62.0</v>
      </c>
      <c r="AB147" s="3">
        <f t="shared" si="7"/>
        <v>0</v>
      </c>
      <c r="AC147" s="3">
        <f t="shared" si="8"/>
        <v>1</v>
      </c>
      <c r="AD147" s="3">
        <f t="shared" si="9"/>
        <v>0.8695652174</v>
      </c>
      <c r="AE147" s="3">
        <f t="shared" si="10"/>
        <v>0.8695652174</v>
      </c>
      <c r="AF147" s="3">
        <f t="shared" si="11"/>
        <v>1.739130435</v>
      </c>
      <c r="AG147" s="3">
        <f t="shared" si="12"/>
        <v>0.1895424837</v>
      </c>
    </row>
    <row r="148">
      <c r="A148" s="1" t="s">
        <v>9</v>
      </c>
      <c r="B148" s="1" t="s">
        <v>127</v>
      </c>
      <c r="C148" s="1" t="s">
        <v>18</v>
      </c>
      <c r="D148" s="1" t="s">
        <v>197</v>
      </c>
      <c r="E148" s="1" t="s">
        <v>71</v>
      </c>
      <c r="F148" s="1" t="s">
        <v>695</v>
      </c>
      <c r="G148" s="1">
        <v>48.5</v>
      </c>
      <c r="H148" s="1" t="s">
        <v>60</v>
      </c>
      <c r="I148" s="1">
        <v>-115.0</v>
      </c>
      <c r="J148" s="1">
        <v>0.0148897785204066</v>
      </c>
      <c r="K148" s="1" t="s">
        <v>61</v>
      </c>
      <c r="L148" s="1" t="s">
        <v>61</v>
      </c>
      <c r="M148" s="1" t="s">
        <v>62</v>
      </c>
      <c r="N148" s="1">
        <v>-115.0</v>
      </c>
      <c r="O148" s="1">
        <v>-0.0846532452984676</v>
      </c>
      <c r="P148" s="1" t="s">
        <v>61</v>
      </c>
      <c r="Q148" s="1" t="s">
        <v>61</v>
      </c>
      <c r="R148" s="1">
        <f t="shared" si="1"/>
        <v>0.01488977852</v>
      </c>
      <c r="S148" s="1">
        <f t="shared" si="2"/>
        <v>-115</v>
      </c>
      <c r="T148" s="1">
        <f t="shared" si="3"/>
        <v>1.869565217</v>
      </c>
      <c r="U148" s="1">
        <f t="shared" si="4"/>
        <v>1</v>
      </c>
      <c r="V148" s="3">
        <f t="shared" si="5"/>
        <v>1</v>
      </c>
      <c r="W148" s="3">
        <f t="shared" si="6"/>
        <v>2</v>
      </c>
      <c r="X148" s="3" t="str">
        <f>IFERROR(__xludf.DUMMYFUNCTION("split(B148,"" "")"),"J.")</f>
        <v>J.</v>
      </c>
      <c r="Y148" s="3" t="str">
        <f>IFERROR(__xludf.DUMMYFUNCTION("""COMPUTED_VALUE"""),"Williams")</f>
        <v>Williams</v>
      </c>
      <c r="AA148" s="8">
        <v>68.0</v>
      </c>
      <c r="AB148" s="3">
        <f t="shared" si="7"/>
        <v>1</v>
      </c>
      <c r="AC148" s="3">
        <f t="shared" si="8"/>
        <v>1</v>
      </c>
      <c r="AD148" s="3">
        <f t="shared" si="9"/>
        <v>0.8695652174</v>
      </c>
      <c r="AE148" s="3">
        <f t="shared" si="10"/>
        <v>0.8695652174</v>
      </c>
      <c r="AF148" s="3">
        <f t="shared" si="11"/>
        <v>1.739130435</v>
      </c>
      <c r="AG148" s="3">
        <f t="shared" si="12"/>
        <v>0.4020618557</v>
      </c>
    </row>
    <row r="149">
      <c r="A149" s="1" t="s">
        <v>9</v>
      </c>
      <c r="B149" s="1" t="s">
        <v>446</v>
      </c>
      <c r="C149" s="1" t="s">
        <v>19</v>
      </c>
      <c r="D149" s="1" t="s">
        <v>197</v>
      </c>
      <c r="E149" s="1" t="s">
        <v>71</v>
      </c>
      <c r="F149" s="1" t="s">
        <v>695</v>
      </c>
      <c r="G149" s="1">
        <v>72.5</v>
      </c>
      <c r="H149" s="1" t="s">
        <v>60</v>
      </c>
      <c r="I149" s="1">
        <v>-117.0</v>
      </c>
      <c r="J149" s="1">
        <v>-0.0903882210454732</v>
      </c>
      <c r="K149" s="1" t="s">
        <v>61</v>
      </c>
      <c r="L149" s="1" t="s">
        <v>61</v>
      </c>
      <c r="M149" s="1" t="s">
        <v>62</v>
      </c>
      <c r="N149" s="1">
        <v>-116.0</v>
      </c>
      <c r="O149" s="1">
        <v>0.0142001435257709</v>
      </c>
      <c r="P149" s="1" t="s">
        <v>61</v>
      </c>
      <c r="Q149" s="1" t="s">
        <v>61</v>
      </c>
      <c r="R149" s="1">
        <f t="shared" si="1"/>
        <v>0.01420014353</v>
      </c>
      <c r="S149" s="1">
        <f t="shared" si="2"/>
        <v>-116</v>
      </c>
      <c r="T149" s="1">
        <f t="shared" si="3"/>
        <v>1.862068966</v>
      </c>
      <c r="U149" s="1">
        <f t="shared" si="4"/>
        <v>0</v>
      </c>
      <c r="V149" s="3">
        <f t="shared" si="5"/>
        <v>1</v>
      </c>
      <c r="W149" s="3">
        <f t="shared" si="6"/>
        <v>2</v>
      </c>
      <c r="X149" s="3" t="str">
        <f>IFERROR(__xludf.DUMMYFUNCTION("split(B149,"" "")"),"D.")</f>
        <v>D.</v>
      </c>
      <c r="Y149" s="3" t="str">
        <f>IFERROR(__xludf.DUMMYFUNCTION("""COMPUTED_VALUE"""),"Montgomery")</f>
        <v>Montgomery</v>
      </c>
      <c r="AA149" s="8">
        <v>73.0</v>
      </c>
      <c r="AB149" s="3">
        <f t="shared" si="7"/>
        <v>1</v>
      </c>
      <c r="AC149" s="3">
        <f t="shared" si="8"/>
        <v>0</v>
      </c>
      <c r="AD149" s="3">
        <f t="shared" si="9"/>
        <v>0.8620689655</v>
      </c>
      <c r="AE149" s="3">
        <f t="shared" si="10"/>
        <v>-1</v>
      </c>
      <c r="AF149" s="3">
        <f t="shared" si="11"/>
        <v>-2</v>
      </c>
      <c r="AG149" s="3">
        <f t="shared" si="12"/>
        <v>-0.006896551724</v>
      </c>
    </row>
    <row r="150">
      <c r="A150" s="1" t="s">
        <v>10</v>
      </c>
      <c r="B150" s="1" t="s">
        <v>446</v>
      </c>
      <c r="C150" s="1" t="s">
        <v>19</v>
      </c>
      <c r="D150" s="1" t="s">
        <v>197</v>
      </c>
      <c r="E150" s="1" t="s">
        <v>71</v>
      </c>
      <c r="F150" s="1" t="s">
        <v>695</v>
      </c>
      <c r="G150" s="1">
        <v>55.5</v>
      </c>
      <c r="H150" s="1" t="s">
        <v>60</v>
      </c>
      <c r="I150" s="1">
        <v>-119.0</v>
      </c>
      <c r="J150" s="1">
        <v>-0.0755239424521336</v>
      </c>
      <c r="K150" s="1" t="s">
        <v>61</v>
      </c>
      <c r="L150" s="1" t="s">
        <v>61</v>
      </c>
      <c r="M150" s="1" t="s">
        <v>62</v>
      </c>
      <c r="N150" s="1">
        <v>-108.0</v>
      </c>
      <c r="O150" s="1">
        <v>0.0129191491747742</v>
      </c>
      <c r="P150" s="1" t="s">
        <v>61</v>
      </c>
      <c r="Q150" s="1" t="s">
        <v>61</v>
      </c>
      <c r="R150" s="1">
        <f t="shared" si="1"/>
        <v>0.01291914917</v>
      </c>
      <c r="S150" s="1">
        <f t="shared" si="2"/>
        <v>-108</v>
      </c>
      <c r="T150" s="1">
        <f t="shared" si="3"/>
        <v>1.925925926</v>
      </c>
      <c r="U150" s="1">
        <f t="shared" si="4"/>
        <v>0</v>
      </c>
      <c r="V150" s="3">
        <f t="shared" si="5"/>
        <v>1</v>
      </c>
      <c r="W150" s="3">
        <f t="shared" si="6"/>
        <v>2</v>
      </c>
      <c r="X150" s="3" t="str">
        <f>IFERROR(__xludf.DUMMYFUNCTION("split(B150,"" "")"),"D.")</f>
        <v>D.</v>
      </c>
      <c r="Y150" s="3" t="str">
        <f>IFERROR(__xludf.DUMMYFUNCTION("""COMPUTED_VALUE"""),"Montgomery")</f>
        <v>Montgomery</v>
      </c>
      <c r="AA150" s="8">
        <v>37.0</v>
      </c>
      <c r="AB150" s="3">
        <f t="shared" si="7"/>
        <v>0</v>
      </c>
      <c r="AC150" s="3">
        <f t="shared" si="8"/>
        <v>1</v>
      </c>
      <c r="AD150" s="3">
        <f t="shared" si="9"/>
        <v>0.9259259259</v>
      </c>
      <c r="AE150" s="3">
        <f t="shared" si="10"/>
        <v>0.9259259259</v>
      </c>
      <c r="AF150" s="3">
        <f t="shared" si="11"/>
        <v>1.851851852</v>
      </c>
      <c r="AG150" s="3">
        <f t="shared" si="12"/>
        <v>0.3333333333</v>
      </c>
    </row>
    <row r="151">
      <c r="A151" s="1" t="s">
        <v>11</v>
      </c>
      <c r="B151" s="1" t="s">
        <v>534</v>
      </c>
      <c r="C151" s="1" t="s">
        <v>18</v>
      </c>
      <c r="D151" s="1" t="s">
        <v>197</v>
      </c>
      <c r="E151" s="1" t="s">
        <v>71</v>
      </c>
      <c r="F151" s="1" t="s">
        <v>695</v>
      </c>
      <c r="G151" s="1">
        <v>16.5</v>
      </c>
      <c r="H151" s="1" t="s">
        <v>60</v>
      </c>
      <c r="I151" s="1">
        <v>-116.0</v>
      </c>
      <c r="J151" s="1">
        <v>-0.0801185937342338</v>
      </c>
      <c r="K151" s="1" t="s">
        <v>61</v>
      </c>
      <c r="L151" s="1" t="s">
        <v>61</v>
      </c>
      <c r="M151" s="1" t="s">
        <v>62</v>
      </c>
      <c r="N151" s="1">
        <v>-114.0</v>
      </c>
      <c r="O151" s="1">
        <v>0.0104287594444754</v>
      </c>
      <c r="P151" s="1" t="s">
        <v>61</v>
      </c>
      <c r="Q151" s="1" t="s">
        <v>61</v>
      </c>
      <c r="R151" s="1">
        <f t="shared" si="1"/>
        <v>0.01042875944</v>
      </c>
      <c r="S151" s="1">
        <f t="shared" si="2"/>
        <v>-114</v>
      </c>
      <c r="T151" s="1">
        <f t="shared" si="3"/>
        <v>1.877192982</v>
      </c>
      <c r="U151" s="1">
        <f t="shared" si="4"/>
        <v>0</v>
      </c>
      <c r="V151" s="3">
        <f t="shared" si="5"/>
        <v>1</v>
      </c>
      <c r="W151" s="3">
        <f t="shared" si="6"/>
        <v>2</v>
      </c>
      <c r="X151" s="3" t="str">
        <f>IFERROR(__xludf.DUMMYFUNCTION("split(B151,"" "")"),"T.")</f>
        <v>T.</v>
      </c>
      <c r="Y151" s="3" t="str">
        <f>IFERROR(__xludf.DUMMYFUNCTION("""COMPUTED_VALUE"""),"Patrick")</f>
        <v>Patrick</v>
      </c>
      <c r="AA151" s="8">
        <v>55.0</v>
      </c>
      <c r="AB151" s="3">
        <f t="shared" si="7"/>
        <v>1</v>
      </c>
      <c r="AC151" s="3">
        <f t="shared" si="8"/>
        <v>0</v>
      </c>
      <c r="AD151" s="3">
        <f t="shared" si="9"/>
        <v>0.8771929825</v>
      </c>
      <c r="AE151" s="3">
        <f t="shared" si="10"/>
        <v>-1</v>
      </c>
      <c r="AF151" s="3">
        <f t="shared" si="11"/>
        <v>-2</v>
      </c>
      <c r="AG151" s="3">
        <f t="shared" si="12"/>
        <v>-2.333333333</v>
      </c>
    </row>
    <row r="152">
      <c r="A152" s="1" t="s">
        <v>9</v>
      </c>
      <c r="B152" s="1" t="s">
        <v>245</v>
      </c>
      <c r="C152" s="1" t="s">
        <v>18</v>
      </c>
      <c r="D152" s="1" t="s">
        <v>157</v>
      </c>
      <c r="E152" s="1" t="s">
        <v>164</v>
      </c>
      <c r="F152" s="1" t="s">
        <v>693</v>
      </c>
      <c r="G152" s="1">
        <v>15.5</v>
      </c>
      <c r="H152" s="1" t="s">
        <v>60</v>
      </c>
      <c r="I152" s="1">
        <v>-120.0</v>
      </c>
      <c r="J152" s="1">
        <v>0.151356873628896</v>
      </c>
      <c r="K152" s="1" t="s">
        <v>61</v>
      </c>
      <c r="L152" s="1" t="s">
        <v>61</v>
      </c>
      <c r="M152" s="1" t="s">
        <v>62</v>
      </c>
      <c r="N152" s="1">
        <v>-110.0</v>
      </c>
      <c r="O152" s="1">
        <v>-0.220607444848537</v>
      </c>
      <c r="P152" s="1" t="s">
        <v>61</v>
      </c>
      <c r="Q152" s="1" t="s">
        <v>61</v>
      </c>
      <c r="R152" s="1">
        <f t="shared" si="1"/>
        <v>0.1513568736</v>
      </c>
      <c r="S152" s="1">
        <f t="shared" si="2"/>
        <v>-120</v>
      </c>
      <c r="T152" s="1">
        <f t="shared" si="3"/>
        <v>1.833333333</v>
      </c>
      <c r="U152" s="1">
        <f t="shared" si="4"/>
        <v>1</v>
      </c>
      <c r="V152" s="3">
        <f t="shared" si="5"/>
        <v>3</v>
      </c>
      <c r="W152" s="3">
        <f t="shared" si="6"/>
        <v>3</v>
      </c>
      <c r="X152" s="3" t="str">
        <f>IFERROR(__xludf.DUMMYFUNCTION("split(B152,"" "")"),"D.")</f>
        <v>D.</v>
      </c>
      <c r="Y152" s="3" t="str">
        <f>IFERROR(__xludf.DUMMYFUNCTION("""COMPUTED_VALUE"""),"Wicks")</f>
        <v>Wicks</v>
      </c>
      <c r="AA152" s="8">
        <v>25.0</v>
      </c>
      <c r="AB152" s="3">
        <f t="shared" si="7"/>
        <v>1</v>
      </c>
      <c r="AC152" s="3">
        <f t="shared" si="8"/>
        <v>1</v>
      </c>
      <c r="AD152" s="3">
        <f t="shared" si="9"/>
        <v>2.5</v>
      </c>
      <c r="AE152" s="3">
        <f t="shared" si="10"/>
        <v>2.5</v>
      </c>
      <c r="AF152" s="3">
        <f t="shared" si="11"/>
        <v>2.5</v>
      </c>
      <c r="AG152" s="3">
        <f t="shared" si="12"/>
        <v>0.6129032258</v>
      </c>
    </row>
    <row r="153">
      <c r="A153" s="1" t="s">
        <v>12</v>
      </c>
      <c r="B153" s="1" t="s">
        <v>187</v>
      </c>
      <c r="C153" s="1" t="s">
        <v>19</v>
      </c>
      <c r="D153" s="1" t="s">
        <v>157</v>
      </c>
      <c r="E153" s="1" t="s">
        <v>164</v>
      </c>
      <c r="F153" s="1" t="s">
        <v>693</v>
      </c>
      <c r="G153" s="1">
        <v>2.5</v>
      </c>
      <c r="H153" s="1" t="s">
        <v>60</v>
      </c>
      <c r="I153" s="1">
        <v>-122.0</v>
      </c>
      <c r="J153" s="1">
        <v>-0.199802734324324</v>
      </c>
      <c r="K153" s="1" t="s">
        <v>61</v>
      </c>
      <c r="L153" s="1" t="s">
        <v>61</v>
      </c>
      <c r="M153" s="1" t="s">
        <v>62</v>
      </c>
      <c r="N153" s="1">
        <v>-108.0</v>
      </c>
      <c r="O153" s="1">
        <v>0.13101526721923</v>
      </c>
      <c r="P153" s="1" t="s">
        <v>61</v>
      </c>
      <c r="Q153" s="1" t="s">
        <v>61</v>
      </c>
      <c r="R153" s="1">
        <f t="shared" si="1"/>
        <v>0.1310152672</v>
      </c>
      <c r="S153" s="1">
        <f t="shared" si="2"/>
        <v>-108</v>
      </c>
      <c r="T153" s="1">
        <f t="shared" si="3"/>
        <v>1.925925926</v>
      </c>
      <c r="U153" s="1">
        <f t="shared" si="4"/>
        <v>0</v>
      </c>
      <c r="V153" s="3">
        <f t="shared" si="5"/>
        <v>3</v>
      </c>
      <c r="W153" s="3">
        <f t="shared" si="6"/>
        <v>2</v>
      </c>
      <c r="X153" s="3" t="str">
        <f>IFERROR(__xludf.DUMMYFUNCTION("split(B153,"" "")"),"J.")</f>
        <v>J.</v>
      </c>
      <c r="Y153" s="3" t="str">
        <f>IFERROR(__xludf.DUMMYFUNCTION("""COMPUTED_VALUE"""),"Jacobs")</f>
        <v>Jacobs</v>
      </c>
      <c r="AA153" s="8">
        <v>0.0</v>
      </c>
      <c r="AB153" s="3">
        <f t="shared" si="7"/>
        <v>0</v>
      </c>
      <c r="AC153" s="3">
        <f t="shared" si="8"/>
        <v>1</v>
      </c>
      <c r="AD153" s="3">
        <f t="shared" si="9"/>
        <v>2.777777778</v>
      </c>
      <c r="AE153" s="3">
        <f t="shared" si="10"/>
        <v>2.777777778</v>
      </c>
      <c r="AF153" s="3">
        <f t="shared" si="11"/>
        <v>1.851851852</v>
      </c>
      <c r="AG153" s="3">
        <f t="shared" si="12"/>
        <v>1</v>
      </c>
    </row>
    <row r="154">
      <c r="A154" s="1" t="s">
        <v>8</v>
      </c>
      <c r="B154" s="1" t="s">
        <v>187</v>
      </c>
      <c r="C154" s="1" t="s">
        <v>19</v>
      </c>
      <c r="D154" s="1" t="s">
        <v>157</v>
      </c>
      <c r="E154" s="1" t="s">
        <v>164</v>
      </c>
      <c r="F154" s="1" t="s">
        <v>693</v>
      </c>
      <c r="G154" s="1">
        <v>17.5</v>
      </c>
      <c r="H154" s="1" t="s">
        <v>60</v>
      </c>
      <c r="I154" s="1">
        <v>105.0</v>
      </c>
      <c r="J154" s="1">
        <v>0.0987951219512193</v>
      </c>
      <c r="K154" s="1" t="s">
        <v>61</v>
      </c>
      <c r="L154" s="1" t="s">
        <v>61</v>
      </c>
      <c r="M154" s="1" t="s">
        <v>62</v>
      </c>
      <c r="N154" s="1">
        <v>-138.0</v>
      </c>
      <c r="O154" s="1">
        <v>-0.166431932773109</v>
      </c>
      <c r="P154" s="1" t="s">
        <v>61</v>
      </c>
      <c r="Q154" s="1" t="s">
        <v>61</v>
      </c>
      <c r="R154" s="1">
        <f t="shared" si="1"/>
        <v>0.09879512195</v>
      </c>
      <c r="S154" s="1">
        <f t="shared" si="2"/>
        <v>105</v>
      </c>
      <c r="T154" s="1">
        <f t="shared" si="3"/>
        <v>2.05</v>
      </c>
      <c r="U154" s="1">
        <f t="shared" si="4"/>
        <v>1</v>
      </c>
      <c r="V154" s="3">
        <f t="shared" si="5"/>
        <v>2</v>
      </c>
      <c r="W154" s="3">
        <f t="shared" si="6"/>
        <v>2</v>
      </c>
      <c r="X154" s="3" t="str">
        <f>IFERROR(__xludf.DUMMYFUNCTION("split(B154,"" "")"),"J.")</f>
        <v>J.</v>
      </c>
      <c r="Y154" s="3" t="str">
        <f>IFERROR(__xludf.DUMMYFUNCTION("""COMPUTED_VALUE"""),"Jacobs")</f>
        <v>Jacobs</v>
      </c>
      <c r="AA154" s="8">
        <v>26.0</v>
      </c>
      <c r="AB154" s="3">
        <f t="shared" si="7"/>
        <v>1</v>
      </c>
      <c r="AC154" s="3">
        <f t="shared" si="8"/>
        <v>1</v>
      </c>
      <c r="AD154" s="3">
        <f t="shared" si="9"/>
        <v>2.1</v>
      </c>
      <c r="AE154" s="3">
        <f t="shared" si="10"/>
        <v>2.1</v>
      </c>
      <c r="AF154" s="3">
        <f t="shared" si="11"/>
        <v>2.1</v>
      </c>
      <c r="AG154" s="3">
        <f t="shared" si="12"/>
        <v>0.4857142857</v>
      </c>
    </row>
    <row r="155">
      <c r="A155" s="1" t="s">
        <v>8</v>
      </c>
      <c r="B155" s="1" t="s">
        <v>297</v>
      </c>
      <c r="C155" s="1" t="s">
        <v>21</v>
      </c>
      <c r="D155" s="1" t="s">
        <v>157</v>
      </c>
      <c r="E155" s="1" t="s">
        <v>164</v>
      </c>
      <c r="F155" s="1" t="s">
        <v>693</v>
      </c>
      <c r="G155" s="1">
        <v>2.5</v>
      </c>
      <c r="H155" s="1" t="s">
        <v>60</v>
      </c>
      <c r="I155" s="1">
        <v>-110.0</v>
      </c>
      <c r="J155" s="1">
        <v>-0.162848728005993</v>
      </c>
      <c r="K155" s="1" t="s">
        <v>61</v>
      </c>
      <c r="L155" s="1" t="s">
        <v>61</v>
      </c>
      <c r="M155" s="1" t="s">
        <v>62</v>
      </c>
      <c r="N155" s="1">
        <v>-120.0</v>
      </c>
      <c r="O155" s="1">
        <v>0.0935903611705015</v>
      </c>
      <c r="P155" s="1" t="s">
        <v>61</v>
      </c>
      <c r="Q155" s="1" t="s">
        <v>61</v>
      </c>
      <c r="R155" s="1">
        <f t="shared" si="1"/>
        <v>0.09359036117</v>
      </c>
      <c r="S155" s="1">
        <f t="shared" si="2"/>
        <v>-120</v>
      </c>
      <c r="T155" s="1">
        <f t="shared" si="3"/>
        <v>1.833333333</v>
      </c>
      <c r="U155" s="1">
        <f t="shared" si="4"/>
        <v>0</v>
      </c>
      <c r="V155" s="3">
        <f t="shared" si="5"/>
        <v>2</v>
      </c>
      <c r="W155" s="3">
        <f t="shared" si="6"/>
        <v>3</v>
      </c>
      <c r="X155" s="3" t="str">
        <f>IFERROR(__xludf.DUMMYFUNCTION("split(B155,"" "")"),"J.")</f>
        <v>J.</v>
      </c>
      <c r="Y155" s="3" t="str">
        <f>IFERROR(__xludf.DUMMYFUNCTION("""COMPUTED_VALUE"""),"Love")</f>
        <v>Love</v>
      </c>
      <c r="AA155" s="8">
        <v>1.0</v>
      </c>
      <c r="AB155" s="3">
        <f t="shared" si="7"/>
        <v>0</v>
      </c>
      <c r="AC155" s="3">
        <f t="shared" si="8"/>
        <v>1</v>
      </c>
      <c r="AD155" s="3">
        <f t="shared" si="9"/>
        <v>1.666666667</v>
      </c>
      <c r="AE155" s="3">
        <f t="shared" si="10"/>
        <v>1.666666667</v>
      </c>
      <c r="AF155" s="3">
        <f t="shared" si="11"/>
        <v>2.5</v>
      </c>
      <c r="AG155" s="3">
        <f t="shared" si="12"/>
        <v>0.6</v>
      </c>
    </row>
    <row r="156">
      <c r="A156" s="1" t="s">
        <v>10</v>
      </c>
      <c r="B156" s="1" t="s">
        <v>487</v>
      </c>
      <c r="C156" s="1" t="s">
        <v>18</v>
      </c>
      <c r="D156" s="1" t="s">
        <v>157</v>
      </c>
      <c r="E156" s="1" t="s">
        <v>164</v>
      </c>
      <c r="F156" s="1" t="s">
        <v>693</v>
      </c>
      <c r="G156" s="1">
        <v>2.5</v>
      </c>
      <c r="H156" s="1" t="s">
        <v>60</v>
      </c>
      <c r="I156" s="1">
        <v>-105.0</v>
      </c>
      <c r="J156" s="1">
        <v>0.0879109901485041</v>
      </c>
      <c r="K156" s="1" t="s">
        <v>61</v>
      </c>
      <c r="L156" s="1" t="s">
        <v>61</v>
      </c>
      <c r="M156" s="1" t="s">
        <v>62</v>
      </c>
      <c r="N156" s="1">
        <v>-125.0</v>
      </c>
      <c r="O156" s="1">
        <v>-0.155648627669129</v>
      </c>
      <c r="P156" s="1" t="s">
        <v>61</v>
      </c>
      <c r="Q156" s="1" t="s">
        <v>61</v>
      </c>
      <c r="R156" s="1">
        <f t="shared" si="1"/>
        <v>0.08791099015</v>
      </c>
      <c r="S156" s="1">
        <f t="shared" si="2"/>
        <v>-105</v>
      </c>
      <c r="T156" s="1">
        <f t="shared" si="3"/>
        <v>1.952380952</v>
      </c>
      <c r="U156" s="1">
        <f t="shared" si="4"/>
        <v>1</v>
      </c>
      <c r="V156" s="3">
        <f t="shared" si="5"/>
        <v>2</v>
      </c>
      <c r="W156" s="3">
        <f t="shared" si="6"/>
        <v>2</v>
      </c>
      <c r="X156" s="3" t="str">
        <f>IFERROR(__xludf.DUMMYFUNCTION("split(B156,"" "")"),"J.")</f>
        <v>J.</v>
      </c>
      <c r="Y156" s="3" t="str">
        <f>IFERROR(__xludf.DUMMYFUNCTION("""COMPUTED_VALUE"""),"Reed")</f>
        <v>Reed</v>
      </c>
      <c r="AA156" s="8">
        <v>0.0</v>
      </c>
      <c r="AB156" s="3">
        <f t="shared" si="7"/>
        <v>0</v>
      </c>
      <c r="AC156" s="3">
        <f t="shared" si="8"/>
        <v>0</v>
      </c>
      <c r="AD156" s="3">
        <f t="shared" si="9"/>
        <v>1.904761905</v>
      </c>
      <c r="AE156" s="3">
        <f t="shared" si="10"/>
        <v>-2</v>
      </c>
      <c r="AF156" s="3">
        <f t="shared" si="11"/>
        <v>-2</v>
      </c>
      <c r="AG156" s="3">
        <f t="shared" si="12"/>
        <v>-1</v>
      </c>
    </row>
    <row r="157">
      <c r="A157" s="1" t="s">
        <v>11</v>
      </c>
      <c r="B157" s="1" t="s">
        <v>700</v>
      </c>
      <c r="C157" s="1" t="s">
        <v>19</v>
      </c>
      <c r="D157" s="1" t="s">
        <v>157</v>
      </c>
      <c r="E157" s="1" t="s">
        <v>164</v>
      </c>
      <c r="F157" s="1" t="s">
        <v>693</v>
      </c>
      <c r="G157" s="1">
        <v>5.5</v>
      </c>
      <c r="H157" s="1" t="s">
        <v>60</v>
      </c>
      <c r="I157" s="1">
        <v>-109.0</v>
      </c>
      <c r="J157" s="1">
        <v>0.0844060792569636</v>
      </c>
      <c r="K157" s="1" t="s">
        <v>61</v>
      </c>
      <c r="L157" s="1" t="s">
        <v>61</v>
      </c>
      <c r="M157" s="1" t="s">
        <v>62</v>
      </c>
      <c r="N157" s="1">
        <v>-116.0</v>
      </c>
      <c r="O157" s="1">
        <v>-0.14295428636601</v>
      </c>
      <c r="P157" s="1" t="s">
        <v>61</v>
      </c>
      <c r="Q157" s="1" t="s">
        <v>61</v>
      </c>
      <c r="R157" s="1">
        <f t="shared" si="1"/>
        <v>0.08440607926</v>
      </c>
      <c r="S157" s="1">
        <f t="shared" si="2"/>
        <v>-109</v>
      </c>
      <c r="T157" s="1">
        <f t="shared" si="3"/>
        <v>1.917431193</v>
      </c>
      <c r="U157" s="1">
        <f t="shared" si="4"/>
        <v>1</v>
      </c>
      <c r="V157" s="3">
        <f t="shared" si="5"/>
        <v>2</v>
      </c>
      <c r="W157" s="3">
        <f t="shared" si="6"/>
        <v>2</v>
      </c>
      <c r="X157" s="3" t="str">
        <f>IFERROR(__xludf.DUMMYFUNCTION("split(B157,"" "")"),"C.")</f>
        <v>C.</v>
      </c>
      <c r="Y157" s="3" t="str">
        <f>IFERROR(__xludf.DUMMYFUNCTION("""COMPUTED_VALUE"""),"Brooks")</f>
        <v>Brooks</v>
      </c>
      <c r="AA157" s="8">
        <v>15.0</v>
      </c>
      <c r="AB157" s="3">
        <f t="shared" si="7"/>
        <v>1</v>
      </c>
      <c r="AC157" s="3">
        <f t="shared" si="8"/>
        <v>1</v>
      </c>
      <c r="AD157" s="3">
        <f t="shared" si="9"/>
        <v>1.834862385</v>
      </c>
      <c r="AE157" s="3">
        <f t="shared" si="10"/>
        <v>1.834862385</v>
      </c>
      <c r="AF157" s="3">
        <f t="shared" si="11"/>
        <v>1.834862385</v>
      </c>
      <c r="AG157" s="3">
        <f t="shared" si="12"/>
        <v>1.727272727</v>
      </c>
    </row>
    <row r="158">
      <c r="A158" s="1" t="s">
        <v>12</v>
      </c>
      <c r="B158" s="1" t="s">
        <v>487</v>
      </c>
      <c r="C158" s="1" t="s">
        <v>18</v>
      </c>
      <c r="D158" s="1" t="s">
        <v>157</v>
      </c>
      <c r="E158" s="1" t="s">
        <v>164</v>
      </c>
      <c r="F158" s="1" t="s">
        <v>693</v>
      </c>
      <c r="G158" s="1">
        <v>3.5</v>
      </c>
      <c r="H158" s="1" t="s">
        <v>60</v>
      </c>
      <c r="I158" s="1">
        <v>-162.0</v>
      </c>
      <c r="J158" s="1">
        <v>-0.143382442748091</v>
      </c>
      <c r="K158" s="1" t="s">
        <v>61</v>
      </c>
      <c r="L158" s="1" t="s">
        <v>61</v>
      </c>
      <c r="M158" s="1" t="s">
        <v>62</v>
      </c>
      <c r="N158" s="1">
        <v>122.0</v>
      </c>
      <c r="O158" s="1">
        <v>0.0746045045045043</v>
      </c>
      <c r="P158" s="1" t="s">
        <v>61</v>
      </c>
      <c r="Q158" s="1" t="s">
        <v>61</v>
      </c>
      <c r="R158" s="1">
        <f t="shared" si="1"/>
        <v>0.0746045045</v>
      </c>
      <c r="S158" s="1">
        <f t="shared" si="2"/>
        <v>122</v>
      </c>
      <c r="T158" s="1">
        <f t="shared" si="3"/>
        <v>2.22</v>
      </c>
      <c r="U158" s="1">
        <f t="shared" si="4"/>
        <v>0</v>
      </c>
      <c r="V158" s="3">
        <f t="shared" si="5"/>
        <v>2</v>
      </c>
      <c r="W158" s="3">
        <f t="shared" si="6"/>
        <v>1</v>
      </c>
      <c r="X158" s="3" t="str">
        <f>IFERROR(__xludf.DUMMYFUNCTION("split(B158,"" "")"),"J.")</f>
        <v>J.</v>
      </c>
      <c r="Y158" s="3" t="str">
        <f>IFERROR(__xludf.DUMMYFUNCTION("""COMPUTED_VALUE"""),"Reed")</f>
        <v>Reed</v>
      </c>
      <c r="AA158" s="8">
        <v>3.0</v>
      </c>
      <c r="AB158" s="3">
        <f t="shared" si="7"/>
        <v>0</v>
      </c>
      <c r="AC158" s="3">
        <f t="shared" si="8"/>
        <v>1</v>
      </c>
      <c r="AD158" s="3">
        <f t="shared" si="9"/>
        <v>2.44</v>
      </c>
      <c r="AE158" s="3">
        <f t="shared" si="10"/>
        <v>2.44</v>
      </c>
      <c r="AF158" s="3">
        <f t="shared" si="11"/>
        <v>1.22</v>
      </c>
      <c r="AG158" s="3">
        <f t="shared" si="12"/>
        <v>0.1428571429</v>
      </c>
    </row>
    <row r="159">
      <c r="A159" s="1" t="s">
        <v>12</v>
      </c>
      <c r="B159" s="1" t="s">
        <v>344</v>
      </c>
      <c r="C159" s="1" t="s">
        <v>18</v>
      </c>
      <c r="D159" s="1" t="s">
        <v>157</v>
      </c>
      <c r="E159" s="1" t="s">
        <v>164</v>
      </c>
      <c r="F159" s="1" t="s">
        <v>693</v>
      </c>
      <c r="G159" s="1">
        <v>3.5</v>
      </c>
      <c r="H159" s="1" t="s">
        <v>60</v>
      </c>
      <c r="I159" s="1">
        <v>136.0</v>
      </c>
      <c r="J159" s="1">
        <v>-0.136328813559321</v>
      </c>
      <c r="K159" s="1" t="s">
        <v>61</v>
      </c>
      <c r="L159" s="1" t="s">
        <v>61</v>
      </c>
      <c r="M159" s="1" t="s">
        <v>62</v>
      </c>
      <c r="N159" s="1">
        <v>-177.0</v>
      </c>
      <c r="O159" s="1">
        <v>0.0736108303249097</v>
      </c>
      <c r="P159" s="1" t="s">
        <v>61</v>
      </c>
      <c r="Q159" s="1" t="s">
        <v>61</v>
      </c>
      <c r="R159" s="1">
        <f t="shared" si="1"/>
        <v>0.07361083032</v>
      </c>
      <c r="S159" s="1">
        <f t="shared" si="2"/>
        <v>-177</v>
      </c>
      <c r="T159" s="1">
        <f t="shared" si="3"/>
        <v>1.564971751</v>
      </c>
      <c r="U159" s="1">
        <f t="shared" si="4"/>
        <v>0</v>
      </c>
      <c r="V159" s="3">
        <f t="shared" si="5"/>
        <v>2</v>
      </c>
      <c r="W159" s="3">
        <f t="shared" si="6"/>
        <v>3</v>
      </c>
      <c r="X159" s="3" t="str">
        <f>IFERROR(__xludf.DUMMYFUNCTION("split(B159,"" "")"),"C.")</f>
        <v>C.</v>
      </c>
      <c r="Y159" s="3" t="str">
        <f>IFERROR(__xludf.DUMMYFUNCTION("""COMPUTED_VALUE"""),"Watson")</f>
        <v>Watson</v>
      </c>
      <c r="AA159" s="8">
        <v>0.0</v>
      </c>
      <c r="AB159" s="3">
        <f t="shared" si="7"/>
        <v>0</v>
      </c>
      <c r="AC159" s="3">
        <f t="shared" si="8"/>
        <v>1</v>
      </c>
      <c r="AD159" s="3">
        <f t="shared" si="9"/>
        <v>1.129943503</v>
      </c>
      <c r="AE159" s="3">
        <f t="shared" si="10"/>
        <v>1.129943503</v>
      </c>
      <c r="AF159" s="3">
        <f t="shared" si="11"/>
        <v>1.694915254</v>
      </c>
      <c r="AG159" s="3">
        <f t="shared" si="12"/>
        <v>1</v>
      </c>
    </row>
    <row r="160">
      <c r="A160" s="1" t="s">
        <v>12</v>
      </c>
      <c r="B160" s="1" t="s">
        <v>245</v>
      </c>
      <c r="C160" s="1" t="s">
        <v>18</v>
      </c>
      <c r="D160" s="1" t="s">
        <v>157</v>
      </c>
      <c r="E160" s="1" t="s">
        <v>164</v>
      </c>
      <c r="F160" s="1" t="s">
        <v>693</v>
      </c>
      <c r="G160" s="1">
        <v>1.5</v>
      </c>
      <c r="H160" s="1" t="s">
        <v>60</v>
      </c>
      <c r="I160" s="1">
        <v>-104.0</v>
      </c>
      <c r="J160" s="1">
        <v>-0.126851844171568</v>
      </c>
      <c r="K160" s="1" t="s">
        <v>61</v>
      </c>
      <c r="L160" s="1" t="s">
        <v>61</v>
      </c>
      <c r="M160" s="1" t="s">
        <v>62</v>
      </c>
      <c r="N160" s="1">
        <v>-126.0</v>
      </c>
      <c r="O160" s="1">
        <v>0.0595323806453981</v>
      </c>
      <c r="P160" s="1" t="s">
        <v>61</v>
      </c>
      <c r="Q160" s="1" t="s">
        <v>61</v>
      </c>
      <c r="R160" s="1">
        <f t="shared" si="1"/>
        <v>0.05953238065</v>
      </c>
      <c r="S160" s="1">
        <f t="shared" si="2"/>
        <v>-126</v>
      </c>
      <c r="T160" s="1">
        <f t="shared" si="3"/>
        <v>1.793650794</v>
      </c>
      <c r="U160" s="1">
        <f t="shared" si="4"/>
        <v>0</v>
      </c>
      <c r="V160" s="3">
        <f t="shared" si="5"/>
        <v>2</v>
      </c>
      <c r="W160" s="3">
        <f t="shared" si="6"/>
        <v>3</v>
      </c>
      <c r="X160" s="3" t="str">
        <f>IFERROR(__xludf.DUMMYFUNCTION("split(B160,"" "")"),"D.")</f>
        <v>D.</v>
      </c>
      <c r="Y160" s="3" t="str">
        <f>IFERROR(__xludf.DUMMYFUNCTION("""COMPUTED_VALUE"""),"Wicks")</f>
        <v>Wicks</v>
      </c>
      <c r="AA160" s="8">
        <v>1.0</v>
      </c>
      <c r="AB160" s="3">
        <f t="shared" si="7"/>
        <v>0</v>
      </c>
      <c r="AC160" s="3">
        <f t="shared" si="8"/>
        <v>1</v>
      </c>
      <c r="AD160" s="3">
        <f t="shared" si="9"/>
        <v>1.587301587</v>
      </c>
      <c r="AE160" s="3">
        <f t="shared" si="10"/>
        <v>1.587301587</v>
      </c>
      <c r="AF160" s="3">
        <f t="shared" si="11"/>
        <v>2.380952381</v>
      </c>
      <c r="AG160" s="3">
        <f t="shared" si="12"/>
        <v>0.3333333333</v>
      </c>
    </row>
    <row r="161">
      <c r="A161" s="1" t="s">
        <v>11</v>
      </c>
      <c r="B161" s="1" t="s">
        <v>344</v>
      </c>
      <c r="C161" s="1" t="s">
        <v>18</v>
      </c>
      <c r="D161" s="1" t="s">
        <v>157</v>
      </c>
      <c r="E161" s="1" t="s">
        <v>164</v>
      </c>
      <c r="F161" s="1" t="s">
        <v>693</v>
      </c>
      <c r="G161" s="1">
        <v>40.5</v>
      </c>
      <c r="H161" s="1" t="s">
        <v>60</v>
      </c>
      <c r="I161" s="1">
        <v>-114.0</v>
      </c>
      <c r="J161" s="1">
        <v>-0.130354300142196</v>
      </c>
      <c r="K161" s="1" t="s">
        <v>61</v>
      </c>
      <c r="L161" s="1" t="s">
        <v>61</v>
      </c>
      <c r="M161" s="1" t="s">
        <v>62</v>
      </c>
      <c r="N161" s="1">
        <v>-117.0</v>
      </c>
      <c r="O161" s="1">
        <v>0.0584640070423277</v>
      </c>
      <c r="P161" s="1" t="s">
        <v>61</v>
      </c>
      <c r="Q161" s="1" t="s">
        <v>61</v>
      </c>
      <c r="R161" s="1">
        <f t="shared" si="1"/>
        <v>0.05846400704</v>
      </c>
      <c r="S161" s="1">
        <f t="shared" si="2"/>
        <v>-117</v>
      </c>
      <c r="T161" s="1">
        <f t="shared" si="3"/>
        <v>1.854700855</v>
      </c>
      <c r="U161" s="1">
        <f t="shared" si="4"/>
        <v>0</v>
      </c>
      <c r="V161" s="3">
        <f t="shared" si="5"/>
        <v>2</v>
      </c>
      <c r="W161" s="3">
        <f t="shared" si="6"/>
        <v>2</v>
      </c>
      <c r="X161" s="3" t="str">
        <f>IFERROR(__xludf.DUMMYFUNCTION("split(B161,"" "")"),"C.")</f>
        <v>C.</v>
      </c>
      <c r="Y161" s="3" t="str">
        <f>IFERROR(__xludf.DUMMYFUNCTION("""COMPUTED_VALUE"""),"Watson")</f>
        <v>Watson</v>
      </c>
      <c r="AA161" s="8">
        <v>0.0</v>
      </c>
      <c r="AB161" s="3">
        <f t="shared" si="7"/>
        <v>0</v>
      </c>
      <c r="AC161" s="3">
        <f t="shared" si="8"/>
        <v>1</v>
      </c>
      <c r="AD161" s="3">
        <f t="shared" si="9"/>
        <v>1.709401709</v>
      </c>
      <c r="AE161" s="3">
        <f t="shared" si="10"/>
        <v>1.709401709</v>
      </c>
      <c r="AF161" s="3">
        <f t="shared" si="11"/>
        <v>1.709401709</v>
      </c>
      <c r="AG161" s="3">
        <f t="shared" si="12"/>
        <v>1</v>
      </c>
    </row>
    <row r="162">
      <c r="A162" s="1" t="s">
        <v>14</v>
      </c>
      <c r="B162" s="1" t="s">
        <v>297</v>
      </c>
      <c r="C162" s="1" t="s">
        <v>21</v>
      </c>
      <c r="D162" s="1" t="s">
        <v>157</v>
      </c>
      <c r="E162" s="1" t="s">
        <v>164</v>
      </c>
      <c r="F162" s="1" t="s">
        <v>693</v>
      </c>
      <c r="G162" s="1">
        <v>1.5</v>
      </c>
      <c r="H162" s="1" t="s">
        <v>60</v>
      </c>
      <c r="I162" s="1">
        <v>-134.0</v>
      </c>
      <c r="J162" s="1">
        <v>-0.114149572649572</v>
      </c>
      <c r="K162" s="1" t="s">
        <v>61</v>
      </c>
      <c r="L162" s="1" t="s">
        <v>61</v>
      </c>
      <c r="M162" s="1" t="s">
        <v>62</v>
      </c>
      <c r="N162" s="1">
        <v>103.0</v>
      </c>
      <c r="O162" s="1">
        <v>0.0488891625615763</v>
      </c>
      <c r="P162" s="1" t="s">
        <v>61</v>
      </c>
      <c r="Q162" s="1" t="s">
        <v>61</v>
      </c>
      <c r="R162" s="1">
        <f t="shared" si="1"/>
        <v>0.04888916256</v>
      </c>
      <c r="S162" s="1">
        <f t="shared" si="2"/>
        <v>103</v>
      </c>
      <c r="T162" s="1">
        <f t="shared" si="3"/>
        <v>2.03</v>
      </c>
      <c r="U162" s="1">
        <f t="shared" si="4"/>
        <v>0</v>
      </c>
      <c r="V162" s="3">
        <f t="shared" si="5"/>
        <v>1</v>
      </c>
      <c r="W162" s="3">
        <f t="shared" si="6"/>
        <v>2</v>
      </c>
      <c r="X162" s="3" t="str">
        <f>IFERROR(__xludf.DUMMYFUNCTION("split(B162,"" "")"),"J.")</f>
        <v>J.</v>
      </c>
      <c r="Y162" s="3" t="str">
        <f>IFERROR(__xludf.DUMMYFUNCTION("""COMPUTED_VALUE"""),"Love")</f>
        <v>Love</v>
      </c>
      <c r="AA162" s="8">
        <v>2.0</v>
      </c>
      <c r="AB162" s="3">
        <f t="shared" si="7"/>
        <v>1</v>
      </c>
      <c r="AC162" s="3">
        <f t="shared" si="8"/>
        <v>0</v>
      </c>
      <c r="AD162" s="3">
        <f t="shared" si="9"/>
        <v>1.03</v>
      </c>
      <c r="AE162" s="3">
        <f t="shared" si="10"/>
        <v>-1</v>
      </c>
      <c r="AF162" s="3">
        <f t="shared" si="11"/>
        <v>-2</v>
      </c>
      <c r="AG162" s="3">
        <f t="shared" si="12"/>
        <v>-0.3333333333</v>
      </c>
    </row>
    <row r="163">
      <c r="A163" s="1" t="s">
        <v>17</v>
      </c>
      <c r="B163" s="1" t="s">
        <v>297</v>
      </c>
      <c r="C163" s="1" t="s">
        <v>21</v>
      </c>
      <c r="D163" s="1" t="s">
        <v>157</v>
      </c>
      <c r="E163" s="1" t="s">
        <v>164</v>
      </c>
      <c r="F163" s="1" t="s">
        <v>693</v>
      </c>
      <c r="G163" s="1">
        <v>0.5</v>
      </c>
      <c r="H163" s="1" t="s">
        <v>60</v>
      </c>
      <c r="I163" s="1">
        <v>-133.0</v>
      </c>
      <c r="J163" s="1">
        <v>-0.114415450643776</v>
      </c>
      <c r="K163" s="1" t="s">
        <v>61</v>
      </c>
      <c r="L163" s="1" t="s">
        <v>61</v>
      </c>
      <c r="M163" s="1" t="s">
        <v>62</v>
      </c>
      <c r="N163" s="1">
        <v>102.0</v>
      </c>
      <c r="O163" s="1">
        <v>0.0485504950495049</v>
      </c>
      <c r="P163" s="1" t="s">
        <v>61</v>
      </c>
      <c r="Q163" s="1" t="s">
        <v>61</v>
      </c>
      <c r="R163" s="1">
        <f t="shared" si="1"/>
        <v>0.04855049505</v>
      </c>
      <c r="S163" s="1">
        <f t="shared" si="2"/>
        <v>102</v>
      </c>
      <c r="T163" s="1">
        <f t="shared" si="3"/>
        <v>2.02</v>
      </c>
      <c r="U163" s="1">
        <f t="shared" si="4"/>
        <v>0</v>
      </c>
      <c r="V163" s="3">
        <f t="shared" si="5"/>
        <v>1</v>
      </c>
      <c r="W163" s="3">
        <f t="shared" si="6"/>
        <v>2</v>
      </c>
      <c r="X163" s="3" t="str">
        <f>IFERROR(__xludf.DUMMYFUNCTION("split(B163,"" "")"),"J.")</f>
        <v>J.</v>
      </c>
      <c r="Y163" s="3" t="str">
        <f>IFERROR(__xludf.DUMMYFUNCTION("""COMPUTED_VALUE"""),"Love")</f>
        <v>Love</v>
      </c>
      <c r="AA163" s="8">
        <v>0.0</v>
      </c>
      <c r="AB163" s="3">
        <f t="shared" si="7"/>
        <v>0</v>
      </c>
      <c r="AC163" s="3">
        <f t="shared" si="8"/>
        <v>1</v>
      </c>
      <c r="AD163" s="3">
        <f t="shared" si="9"/>
        <v>1.02</v>
      </c>
      <c r="AE163" s="3">
        <f t="shared" si="10"/>
        <v>1.02</v>
      </c>
      <c r="AF163" s="3">
        <f t="shared" si="11"/>
        <v>2.04</v>
      </c>
      <c r="AG163" s="3">
        <f t="shared" si="12"/>
        <v>1</v>
      </c>
    </row>
    <row r="164">
      <c r="A164" s="1" t="s">
        <v>12</v>
      </c>
      <c r="B164" s="1" t="s">
        <v>482</v>
      </c>
      <c r="C164" s="1" t="s">
        <v>18</v>
      </c>
      <c r="D164" s="1" t="s">
        <v>157</v>
      </c>
      <c r="E164" s="1" t="s">
        <v>164</v>
      </c>
      <c r="F164" s="1" t="s">
        <v>693</v>
      </c>
      <c r="G164" s="1">
        <v>3.5</v>
      </c>
      <c r="H164" s="1" t="s">
        <v>60</v>
      </c>
      <c r="I164" s="1">
        <v>106.0</v>
      </c>
      <c r="J164" s="1">
        <v>-0.103285436893203</v>
      </c>
      <c r="K164" s="1" t="s">
        <v>61</v>
      </c>
      <c r="L164" s="1" t="s">
        <v>61</v>
      </c>
      <c r="M164" s="1" t="s">
        <v>62</v>
      </c>
      <c r="N164" s="1">
        <v>-140.0</v>
      </c>
      <c r="O164" s="1">
        <v>0.0345083333333334</v>
      </c>
      <c r="P164" s="1" t="s">
        <v>61</v>
      </c>
      <c r="Q164" s="1" t="s">
        <v>61</v>
      </c>
      <c r="R164" s="1">
        <f t="shared" si="1"/>
        <v>0.03450833333</v>
      </c>
      <c r="S164" s="1">
        <f t="shared" si="2"/>
        <v>-140</v>
      </c>
      <c r="T164" s="1">
        <f t="shared" si="3"/>
        <v>1.714285714</v>
      </c>
      <c r="U164" s="1">
        <f t="shared" si="4"/>
        <v>0</v>
      </c>
      <c r="V164" s="3">
        <f t="shared" si="5"/>
        <v>1</v>
      </c>
      <c r="W164" s="3">
        <f t="shared" si="6"/>
        <v>3</v>
      </c>
      <c r="X164" s="3" t="str">
        <f>IFERROR(__xludf.DUMMYFUNCTION("split(B164,"" "")"),"R.")</f>
        <v>R.</v>
      </c>
      <c r="Y164" s="3" t="str">
        <f>IFERROR(__xludf.DUMMYFUNCTION("""COMPUTED_VALUE"""),"Doubs")</f>
        <v>Doubs</v>
      </c>
      <c r="AA164" s="8">
        <v>3.0</v>
      </c>
      <c r="AB164" s="3">
        <f t="shared" si="7"/>
        <v>0</v>
      </c>
      <c r="AC164" s="3">
        <f t="shared" si="8"/>
        <v>1</v>
      </c>
      <c r="AD164" s="3">
        <f t="shared" si="9"/>
        <v>0.7142857143</v>
      </c>
      <c r="AE164" s="3">
        <f t="shared" si="10"/>
        <v>0.7142857143</v>
      </c>
      <c r="AF164" s="3">
        <f t="shared" si="11"/>
        <v>2.142857143</v>
      </c>
      <c r="AG164" s="3">
        <f t="shared" si="12"/>
        <v>0.1428571429</v>
      </c>
    </row>
    <row r="165">
      <c r="A165" s="1" t="s">
        <v>12</v>
      </c>
      <c r="B165" s="1" t="s">
        <v>535</v>
      </c>
      <c r="C165" s="1" t="s">
        <v>20</v>
      </c>
      <c r="D165" s="1" t="s">
        <v>157</v>
      </c>
      <c r="E165" s="1" t="s">
        <v>164</v>
      </c>
      <c r="F165" s="1" t="s">
        <v>693</v>
      </c>
      <c r="G165" s="1">
        <v>3.5</v>
      </c>
      <c r="H165" s="1" t="s">
        <v>60</v>
      </c>
      <c r="I165" s="1">
        <v>123.0</v>
      </c>
      <c r="J165" s="1">
        <v>0.01852466367713</v>
      </c>
      <c r="K165" s="1" t="s">
        <v>61</v>
      </c>
      <c r="L165" s="1" t="s">
        <v>61</v>
      </c>
      <c r="M165" s="1" t="s">
        <v>62</v>
      </c>
      <c r="N165" s="1">
        <v>-162.0</v>
      </c>
      <c r="O165" s="1">
        <v>-0.0852824427480916</v>
      </c>
      <c r="P165" s="1" t="s">
        <v>61</v>
      </c>
      <c r="Q165" s="1" t="s">
        <v>61</v>
      </c>
      <c r="R165" s="1">
        <f t="shared" si="1"/>
        <v>0.01852466368</v>
      </c>
      <c r="S165" s="1">
        <f t="shared" si="2"/>
        <v>123</v>
      </c>
      <c r="T165" s="1">
        <f t="shared" si="3"/>
        <v>2.23</v>
      </c>
      <c r="U165" s="1">
        <f t="shared" si="4"/>
        <v>1</v>
      </c>
      <c r="V165" s="3">
        <f t="shared" si="5"/>
        <v>1</v>
      </c>
      <c r="W165" s="3">
        <f t="shared" si="6"/>
        <v>1</v>
      </c>
      <c r="X165" s="3" t="str">
        <f>IFERROR(__xludf.DUMMYFUNCTION("split(B165,"" "")"),"T.")</f>
        <v>T.</v>
      </c>
      <c r="Y165" s="3" t="str">
        <f>IFERROR(__xludf.DUMMYFUNCTION("""COMPUTED_VALUE"""),"Kraft")</f>
        <v>Kraft</v>
      </c>
      <c r="AA165" s="8">
        <v>2.0</v>
      </c>
      <c r="AB165" s="3">
        <f t="shared" si="7"/>
        <v>0</v>
      </c>
      <c r="AC165" s="3">
        <f t="shared" si="8"/>
        <v>0</v>
      </c>
      <c r="AD165" s="3">
        <f t="shared" si="9"/>
        <v>1.23</v>
      </c>
      <c r="AE165" s="3">
        <f t="shared" si="10"/>
        <v>-1</v>
      </c>
      <c r="AF165" s="3">
        <f t="shared" si="11"/>
        <v>-1</v>
      </c>
      <c r="AG165" s="3">
        <f t="shared" si="12"/>
        <v>-0.4285714286</v>
      </c>
    </row>
    <row r="166">
      <c r="A166" s="1" t="s">
        <v>10</v>
      </c>
      <c r="B166" s="1" t="s">
        <v>297</v>
      </c>
      <c r="C166" s="1" t="s">
        <v>21</v>
      </c>
      <c r="D166" s="1" t="s">
        <v>157</v>
      </c>
      <c r="E166" s="1" t="s">
        <v>164</v>
      </c>
      <c r="F166" s="1" t="s">
        <v>693</v>
      </c>
      <c r="G166" s="1">
        <v>5.5</v>
      </c>
      <c r="H166" s="1" t="s">
        <v>60</v>
      </c>
      <c r="I166" s="1">
        <v>-114.0</v>
      </c>
      <c r="J166" s="1">
        <v>0.0176927412972258</v>
      </c>
      <c r="K166" s="1" t="s">
        <v>61</v>
      </c>
      <c r="L166" s="1" t="s">
        <v>61</v>
      </c>
      <c r="M166" s="1" t="s">
        <v>62</v>
      </c>
      <c r="N166" s="1">
        <v>-115.0</v>
      </c>
      <c r="O166" s="1">
        <v>-0.0852871796895222</v>
      </c>
      <c r="P166" s="1" t="s">
        <v>61</v>
      </c>
      <c r="Q166" s="1" t="s">
        <v>61</v>
      </c>
      <c r="R166" s="1">
        <f t="shared" si="1"/>
        <v>0.0176927413</v>
      </c>
      <c r="S166" s="1">
        <f t="shared" si="2"/>
        <v>-114</v>
      </c>
      <c r="T166" s="1">
        <f t="shared" si="3"/>
        <v>1.877192982</v>
      </c>
      <c r="U166" s="1">
        <f t="shared" si="4"/>
        <v>1</v>
      </c>
      <c r="V166" s="3">
        <f t="shared" si="5"/>
        <v>1</v>
      </c>
      <c r="W166" s="3">
        <f t="shared" si="6"/>
        <v>2</v>
      </c>
      <c r="X166" s="3" t="str">
        <f>IFERROR(__xludf.DUMMYFUNCTION("split(B166,"" "")"),"J.")</f>
        <v>J.</v>
      </c>
      <c r="Y166" s="3" t="str">
        <f>IFERROR(__xludf.DUMMYFUNCTION("""COMPUTED_VALUE"""),"Love")</f>
        <v>Love</v>
      </c>
      <c r="AA166" s="8">
        <v>2.0</v>
      </c>
      <c r="AB166" s="3">
        <f t="shared" si="7"/>
        <v>0</v>
      </c>
      <c r="AC166" s="3">
        <f t="shared" si="8"/>
        <v>0</v>
      </c>
      <c r="AD166" s="3">
        <f t="shared" si="9"/>
        <v>0.8771929825</v>
      </c>
      <c r="AE166" s="3">
        <f t="shared" si="10"/>
        <v>-1</v>
      </c>
      <c r="AF166" s="3">
        <f t="shared" si="11"/>
        <v>-2</v>
      </c>
      <c r="AG166" s="3">
        <f t="shared" si="12"/>
        <v>-0.6363636364</v>
      </c>
    </row>
    <row r="167">
      <c r="A167" s="1" t="s">
        <v>11</v>
      </c>
      <c r="B167" s="1" t="s">
        <v>482</v>
      </c>
      <c r="C167" s="1" t="s">
        <v>18</v>
      </c>
      <c r="D167" s="1" t="s">
        <v>157</v>
      </c>
      <c r="E167" s="1" t="s">
        <v>164</v>
      </c>
      <c r="F167" s="1" t="s">
        <v>693</v>
      </c>
      <c r="G167" s="1">
        <v>40.5</v>
      </c>
      <c r="H167" s="1" t="s">
        <v>60</v>
      </c>
      <c r="I167" s="1">
        <v>-112.0</v>
      </c>
      <c r="J167" s="1">
        <v>-0.0787684569632075</v>
      </c>
      <c r="K167" s="1" t="s">
        <v>61</v>
      </c>
      <c r="L167" s="1" t="s">
        <v>61</v>
      </c>
      <c r="M167" s="1" t="s">
        <v>62</v>
      </c>
      <c r="N167" s="1">
        <v>-117.0</v>
      </c>
      <c r="O167" s="1">
        <v>0.0113481048036958</v>
      </c>
      <c r="P167" s="1" t="s">
        <v>61</v>
      </c>
      <c r="Q167" s="1" t="s">
        <v>61</v>
      </c>
      <c r="R167" s="1">
        <f t="shared" si="1"/>
        <v>0.0113481048</v>
      </c>
      <c r="S167" s="1">
        <f t="shared" si="2"/>
        <v>-117</v>
      </c>
      <c r="T167" s="1">
        <f t="shared" si="3"/>
        <v>1.854700855</v>
      </c>
      <c r="U167" s="1">
        <f t="shared" si="4"/>
        <v>0</v>
      </c>
      <c r="V167" s="3">
        <f t="shared" si="5"/>
        <v>1</v>
      </c>
      <c r="W167" s="3">
        <f t="shared" si="6"/>
        <v>2</v>
      </c>
      <c r="X167" s="3" t="str">
        <f>IFERROR(__xludf.DUMMYFUNCTION("split(B167,"" "")"),"R.")</f>
        <v>R.</v>
      </c>
      <c r="Y167" s="3" t="str">
        <f>IFERROR(__xludf.DUMMYFUNCTION("""COMPUTED_VALUE"""),"Doubs")</f>
        <v>Doubs</v>
      </c>
      <c r="AA167" s="8">
        <v>54.0</v>
      </c>
      <c r="AB167" s="3">
        <f t="shared" si="7"/>
        <v>1</v>
      </c>
      <c r="AC167" s="3">
        <f t="shared" si="8"/>
        <v>0</v>
      </c>
      <c r="AD167" s="3">
        <f t="shared" si="9"/>
        <v>0.8547008547</v>
      </c>
      <c r="AE167" s="3">
        <f t="shared" si="10"/>
        <v>-1</v>
      </c>
      <c r="AF167" s="3">
        <f t="shared" si="11"/>
        <v>-2</v>
      </c>
      <c r="AG167" s="3">
        <f t="shared" si="12"/>
        <v>-0.3333333333</v>
      </c>
    </row>
    <row r="168">
      <c r="A168" s="1" t="s">
        <v>10</v>
      </c>
      <c r="B168" s="1" t="s">
        <v>536</v>
      </c>
      <c r="C168" s="1" t="s">
        <v>19</v>
      </c>
      <c r="D168" s="1" t="s">
        <v>157</v>
      </c>
      <c r="E168" s="1" t="s">
        <v>164</v>
      </c>
      <c r="F168" s="1" t="s">
        <v>693</v>
      </c>
      <c r="G168" s="1">
        <v>11.5</v>
      </c>
      <c r="H168" s="1" t="s">
        <v>60</v>
      </c>
      <c r="I168" s="1">
        <v>-102.0</v>
      </c>
      <c r="J168" s="1">
        <v>-0.0716862270860035</v>
      </c>
      <c r="K168" s="1" t="s">
        <v>61</v>
      </c>
      <c r="L168" s="1" t="s">
        <v>61</v>
      </c>
      <c r="M168" s="1" t="s">
        <v>62</v>
      </c>
      <c r="N168" s="1">
        <v>-127.0</v>
      </c>
      <c r="O168" s="1">
        <v>0.00728202950063139</v>
      </c>
      <c r="P168" s="1" t="s">
        <v>61</v>
      </c>
      <c r="Q168" s="1" t="s">
        <v>61</v>
      </c>
      <c r="R168" s="1">
        <f t="shared" si="1"/>
        <v>0.007282029501</v>
      </c>
      <c r="S168" s="1">
        <f t="shared" si="2"/>
        <v>-127</v>
      </c>
      <c r="T168" s="1">
        <f t="shared" si="3"/>
        <v>1.787401575</v>
      </c>
      <c r="U168" s="1">
        <f t="shared" si="4"/>
        <v>0</v>
      </c>
      <c r="V168" s="3">
        <f t="shared" si="5"/>
        <v>1</v>
      </c>
      <c r="W168" s="3">
        <f t="shared" si="6"/>
        <v>3</v>
      </c>
      <c r="X168" s="3" t="str">
        <f>IFERROR(__xludf.DUMMYFUNCTION("split(B168,"" "")"),"E.")</f>
        <v>E.</v>
      </c>
      <c r="Y168" s="3" t="str">
        <f>IFERROR(__xludf.DUMMYFUNCTION("""COMPUTED_VALUE"""),"Wilson")</f>
        <v>Wilson</v>
      </c>
      <c r="AA168" s="8">
        <v>41.0</v>
      </c>
      <c r="AB168" s="3">
        <f t="shared" si="7"/>
        <v>1</v>
      </c>
      <c r="AC168" s="3">
        <f t="shared" si="8"/>
        <v>0</v>
      </c>
      <c r="AD168" s="3">
        <f t="shared" si="9"/>
        <v>0.7874015748</v>
      </c>
      <c r="AE168" s="3">
        <f t="shared" si="10"/>
        <v>-1</v>
      </c>
      <c r="AF168" s="3">
        <f t="shared" si="11"/>
        <v>-3</v>
      </c>
      <c r="AG168" s="3">
        <f t="shared" si="12"/>
        <v>-2.565217391</v>
      </c>
    </row>
    <row r="169">
      <c r="A169" s="1" t="s">
        <v>11</v>
      </c>
      <c r="B169" s="1" t="s">
        <v>487</v>
      </c>
      <c r="C169" s="1" t="s">
        <v>18</v>
      </c>
      <c r="D169" s="1" t="s">
        <v>157</v>
      </c>
      <c r="E169" s="1" t="s">
        <v>164</v>
      </c>
      <c r="F169" s="1" t="s">
        <v>693</v>
      </c>
      <c r="G169" s="1">
        <v>50.5</v>
      </c>
      <c r="H169" s="1" t="s">
        <v>60</v>
      </c>
      <c r="I169" s="1">
        <v>-113.0</v>
      </c>
      <c r="J169" s="1">
        <v>-0.0676696534273381</v>
      </c>
      <c r="K169" s="1" t="s">
        <v>61</v>
      </c>
      <c r="L169" s="1" t="s">
        <v>61</v>
      </c>
      <c r="M169" s="1" t="s">
        <v>62</v>
      </c>
      <c r="N169" s="1">
        <v>-113.0</v>
      </c>
      <c r="O169" s="1">
        <v>0.0066304013036621</v>
      </c>
      <c r="P169" s="1" t="s">
        <v>61</v>
      </c>
      <c r="Q169" s="1" t="s">
        <v>61</v>
      </c>
      <c r="R169" s="1">
        <f t="shared" si="1"/>
        <v>0.006630401304</v>
      </c>
      <c r="S169" s="1">
        <f t="shared" si="2"/>
        <v>-113</v>
      </c>
      <c r="T169" s="1">
        <f t="shared" si="3"/>
        <v>1.884955752</v>
      </c>
      <c r="U169" s="1">
        <f t="shared" si="4"/>
        <v>0</v>
      </c>
      <c r="V169" s="3">
        <f t="shared" si="5"/>
        <v>1</v>
      </c>
      <c r="W169" s="3">
        <f t="shared" si="6"/>
        <v>2</v>
      </c>
      <c r="X169" s="3" t="str">
        <f>IFERROR(__xludf.DUMMYFUNCTION("split(B169,"" "")"),"J.")</f>
        <v>J.</v>
      </c>
      <c r="Y169" s="3" t="str">
        <f>IFERROR(__xludf.DUMMYFUNCTION("""COMPUTED_VALUE"""),"Reed")</f>
        <v>Reed</v>
      </c>
      <c r="AA169" s="8">
        <v>26.0</v>
      </c>
      <c r="AB169" s="3">
        <f t="shared" si="7"/>
        <v>0</v>
      </c>
      <c r="AC169" s="3">
        <f t="shared" si="8"/>
        <v>1</v>
      </c>
      <c r="AD169" s="3">
        <f t="shared" si="9"/>
        <v>0.8849557522</v>
      </c>
      <c r="AE169" s="3">
        <f t="shared" si="10"/>
        <v>0.8849557522</v>
      </c>
      <c r="AF169" s="3">
        <f t="shared" si="11"/>
        <v>1.769911504</v>
      </c>
      <c r="AG169" s="3">
        <f t="shared" si="12"/>
        <v>0.4851485149</v>
      </c>
    </row>
    <row r="170">
      <c r="A170" s="1" t="s">
        <v>12</v>
      </c>
      <c r="B170" s="1" t="s">
        <v>634</v>
      </c>
      <c r="C170" s="1" t="s">
        <v>18</v>
      </c>
      <c r="D170" s="1" t="s">
        <v>72</v>
      </c>
      <c r="E170" s="1" t="s">
        <v>100</v>
      </c>
      <c r="F170" s="1" t="s">
        <v>695</v>
      </c>
      <c r="G170" s="1">
        <v>1.5</v>
      </c>
      <c r="H170" s="1" t="s">
        <v>60</v>
      </c>
      <c r="I170" s="1">
        <v>-149.0</v>
      </c>
      <c r="J170" s="1">
        <v>-0.256687639160642</v>
      </c>
      <c r="K170" s="1" t="s">
        <v>61</v>
      </c>
      <c r="L170" s="1" t="s">
        <v>61</v>
      </c>
      <c r="M170" s="1" t="s">
        <v>62</v>
      </c>
      <c r="N170" s="1">
        <v>114.0</v>
      </c>
      <c r="O170" s="1">
        <v>0.191003374537383</v>
      </c>
      <c r="P170" s="1" t="s">
        <v>61</v>
      </c>
      <c r="Q170" s="1" t="s">
        <v>61</v>
      </c>
      <c r="R170" s="1">
        <f t="shared" si="1"/>
        <v>0.1910033745</v>
      </c>
      <c r="S170" s="1">
        <f t="shared" si="2"/>
        <v>114</v>
      </c>
      <c r="T170" s="1">
        <f t="shared" si="3"/>
        <v>2.14</v>
      </c>
      <c r="U170" s="1">
        <f t="shared" si="4"/>
        <v>0</v>
      </c>
      <c r="V170" s="3">
        <f t="shared" si="5"/>
        <v>3</v>
      </c>
      <c r="W170" s="3">
        <f t="shared" si="6"/>
        <v>1</v>
      </c>
      <c r="X170" s="3" t="str">
        <f>IFERROR(__xludf.DUMMYFUNCTION("split(B170,"" "")"),"J.")</f>
        <v>J.</v>
      </c>
      <c r="Y170" s="3" t="str">
        <f>IFERROR(__xludf.DUMMYFUNCTION("""COMPUTED_VALUE"""),"Metchie")</f>
        <v>Metchie</v>
      </c>
      <c r="Z170" s="3" t="str">
        <f>IFERROR(__xludf.DUMMYFUNCTION("""COMPUTED_VALUE"""),"III")</f>
        <v>III</v>
      </c>
      <c r="AA170" s="8">
        <v>1.0</v>
      </c>
      <c r="AB170" s="3">
        <f t="shared" si="7"/>
        <v>0</v>
      </c>
      <c r="AC170" s="3">
        <f t="shared" si="8"/>
        <v>1</v>
      </c>
      <c r="AD170" s="3">
        <f t="shared" si="9"/>
        <v>3.42</v>
      </c>
      <c r="AE170" s="3">
        <f t="shared" si="10"/>
        <v>3.42</v>
      </c>
      <c r="AF170" s="3">
        <f t="shared" si="11"/>
        <v>1.14</v>
      </c>
      <c r="AG170" s="3">
        <f t="shared" si="12"/>
        <v>0.3333333333</v>
      </c>
    </row>
    <row r="171">
      <c r="A171" s="1" t="s">
        <v>8</v>
      </c>
      <c r="B171" s="1" t="s">
        <v>369</v>
      </c>
      <c r="C171" s="1" t="s">
        <v>21</v>
      </c>
      <c r="D171" s="1" t="s">
        <v>72</v>
      </c>
      <c r="E171" s="1" t="s">
        <v>100</v>
      </c>
      <c r="F171" s="1" t="s">
        <v>695</v>
      </c>
      <c r="G171" s="1">
        <v>2.5</v>
      </c>
      <c r="H171" s="1" t="s">
        <v>60</v>
      </c>
      <c r="I171" s="1">
        <v>-159.0</v>
      </c>
      <c r="J171" s="1">
        <v>-0.232368061938383</v>
      </c>
      <c r="K171" s="1" t="s">
        <v>61</v>
      </c>
      <c r="L171" s="1" t="s">
        <v>61</v>
      </c>
      <c r="M171" s="1" t="s">
        <v>62</v>
      </c>
      <c r="N171" s="1">
        <v>118.0</v>
      </c>
      <c r="O171" s="1">
        <v>0.159765724963491</v>
      </c>
      <c r="P171" s="1" t="s">
        <v>61</v>
      </c>
      <c r="Q171" s="1" t="s">
        <v>61</v>
      </c>
      <c r="R171" s="1">
        <f t="shared" si="1"/>
        <v>0.159765725</v>
      </c>
      <c r="S171" s="1">
        <f t="shared" si="2"/>
        <v>118</v>
      </c>
      <c r="T171" s="1">
        <f t="shared" si="3"/>
        <v>2.18</v>
      </c>
      <c r="U171" s="1">
        <f t="shared" si="4"/>
        <v>0</v>
      </c>
      <c r="V171" s="3">
        <f t="shared" si="5"/>
        <v>3</v>
      </c>
      <c r="W171" s="3">
        <f t="shared" si="6"/>
        <v>1</v>
      </c>
      <c r="X171" s="3" t="str">
        <f>IFERROR(__xludf.DUMMYFUNCTION("split(B171,"" "")"),"C.")</f>
        <v>C.</v>
      </c>
      <c r="Y171" s="3" t="str">
        <f>IFERROR(__xludf.DUMMYFUNCTION("""COMPUTED_VALUE"""),"Stroud")</f>
        <v>Stroud</v>
      </c>
      <c r="AA171" s="8">
        <v>3.0</v>
      </c>
      <c r="AB171" s="3">
        <f t="shared" si="7"/>
        <v>1</v>
      </c>
      <c r="AC171" s="3">
        <f t="shared" si="8"/>
        <v>0</v>
      </c>
      <c r="AD171" s="3">
        <f t="shared" si="9"/>
        <v>3.54</v>
      </c>
      <c r="AE171" s="3">
        <f t="shared" si="10"/>
        <v>-3</v>
      </c>
      <c r="AF171" s="3">
        <f t="shared" si="11"/>
        <v>-1</v>
      </c>
      <c r="AG171" s="3">
        <f t="shared" si="12"/>
        <v>-0.2</v>
      </c>
    </row>
    <row r="172">
      <c r="A172" s="1" t="s">
        <v>12</v>
      </c>
      <c r="B172" s="1" t="s">
        <v>359</v>
      </c>
      <c r="C172" s="1" t="s">
        <v>19</v>
      </c>
      <c r="D172" s="1" t="s">
        <v>72</v>
      </c>
      <c r="E172" s="1" t="s">
        <v>100</v>
      </c>
      <c r="F172" s="1" t="s">
        <v>695</v>
      </c>
      <c r="G172" s="1">
        <v>2.5</v>
      </c>
      <c r="H172" s="1" t="s">
        <v>60</v>
      </c>
      <c r="I172" s="1">
        <v>-119.0</v>
      </c>
      <c r="J172" s="1">
        <v>-0.228373267031963</v>
      </c>
      <c r="K172" s="1" t="s">
        <v>61</v>
      </c>
      <c r="L172" s="1" t="s">
        <v>61</v>
      </c>
      <c r="M172" s="1" t="s">
        <v>62</v>
      </c>
      <c r="N172" s="1">
        <v>-112.0</v>
      </c>
      <c r="O172" s="1">
        <v>0.156691485554716</v>
      </c>
      <c r="P172" s="1" t="s">
        <v>61</v>
      </c>
      <c r="Q172" s="1" t="s">
        <v>61</v>
      </c>
      <c r="R172" s="1">
        <f t="shared" si="1"/>
        <v>0.1566914856</v>
      </c>
      <c r="S172" s="1">
        <f t="shared" si="2"/>
        <v>-112</v>
      </c>
      <c r="T172" s="1">
        <f t="shared" si="3"/>
        <v>1.892857143</v>
      </c>
      <c r="U172" s="1">
        <f t="shared" si="4"/>
        <v>0</v>
      </c>
      <c r="V172" s="3">
        <f t="shared" si="5"/>
        <v>3</v>
      </c>
      <c r="W172" s="3">
        <f t="shared" si="6"/>
        <v>2</v>
      </c>
      <c r="X172" s="3" t="str">
        <f>IFERROR(__xludf.DUMMYFUNCTION("split(B172,"" "")"),"J.")</f>
        <v>J.</v>
      </c>
      <c r="Y172" s="3" t="str">
        <f>IFERROR(__xludf.DUMMYFUNCTION("""COMPUTED_VALUE"""),"Mixon")</f>
        <v>Mixon</v>
      </c>
      <c r="AA172" s="8">
        <v>5.0</v>
      </c>
      <c r="AB172" s="3">
        <f t="shared" si="7"/>
        <v>1</v>
      </c>
      <c r="AC172" s="3">
        <f t="shared" si="8"/>
        <v>0</v>
      </c>
      <c r="AD172" s="3">
        <f t="shared" si="9"/>
        <v>2.678571429</v>
      </c>
      <c r="AE172" s="3">
        <f t="shared" si="10"/>
        <v>-3</v>
      </c>
      <c r="AF172" s="3">
        <f t="shared" si="11"/>
        <v>-2</v>
      </c>
      <c r="AG172" s="3">
        <f t="shared" si="12"/>
        <v>-1</v>
      </c>
    </row>
    <row r="173">
      <c r="A173" s="1" t="s">
        <v>12</v>
      </c>
      <c r="B173" s="1" t="s">
        <v>410</v>
      </c>
      <c r="C173" s="1" t="s">
        <v>20</v>
      </c>
      <c r="D173" s="1" t="s">
        <v>72</v>
      </c>
      <c r="E173" s="1" t="s">
        <v>100</v>
      </c>
      <c r="F173" s="1" t="s">
        <v>695</v>
      </c>
      <c r="G173" s="1">
        <v>2.5</v>
      </c>
      <c r="H173" s="1" t="s">
        <v>60</v>
      </c>
      <c r="I173" s="1">
        <v>-151.0</v>
      </c>
      <c r="J173" s="1">
        <v>-0.213631122948207</v>
      </c>
      <c r="K173" s="1" t="s">
        <v>61</v>
      </c>
      <c r="L173" s="1" t="s">
        <v>61</v>
      </c>
      <c r="M173" s="1" t="s">
        <v>62</v>
      </c>
      <c r="N173" s="1">
        <v>115.0</v>
      </c>
      <c r="O173" s="1">
        <v>0.146927497023255</v>
      </c>
      <c r="P173" s="1" t="s">
        <v>61</v>
      </c>
      <c r="Q173" s="1" t="s">
        <v>61</v>
      </c>
      <c r="R173" s="1">
        <f t="shared" si="1"/>
        <v>0.146927497</v>
      </c>
      <c r="S173" s="1">
        <f t="shared" si="2"/>
        <v>115</v>
      </c>
      <c r="T173" s="1">
        <f t="shared" si="3"/>
        <v>2.15</v>
      </c>
      <c r="U173" s="1">
        <f t="shared" si="4"/>
        <v>0</v>
      </c>
      <c r="V173" s="3">
        <f t="shared" si="5"/>
        <v>3</v>
      </c>
      <c r="W173" s="3">
        <f t="shared" si="6"/>
        <v>1</v>
      </c>
      <c r="X173" s="3" t="str">
        <f>IFERROR(__xludf.DUMMYFUNCTION("split(B173,"" "")"),"D.")</f>
        <v>D.</v>
      </c>
      <c r="Y173" s="3" t="str">
        <f>IFERROR(__xludf.DUMMYFUNCTION("""COMPUTED_VALUE"""),"Schultz")</f>
        <v>Schultz</v>
      </c>
      <c r="AA173" s="8">
        <v>2.0</v>
      </c>
      <c r="AB173" s="3">
        <f t="shared" si="7"/>
        <v>0</v>
      </c>
      <c r="AC173" s="3">
        <f t="shared" si="8"/>
        <v>1</v>
      </c>
      <c r="AD173" s="3">
        <f t="shared" si="9"/>
        <v>3.45</v>
      </c>
      <c r="AE173" s="3">
        <f t="shared" si="10"/>
        <v>3.45</v>
      </c>
      <c r="AF173" s="3">
        <f t="shared" si="11"/>
        <v>1.15</v>
      </c>
      <c r="AG173" s="3">
        <f t="shared" si="12"/>
        <v>0.2</v>
      </c>
    </row>
    <row r="174">
      <c r="A174" s="1" t="s">
        <v>11</v>
      </c>
      <c r="B174" s="1" t="s">
        <v>664</v>
      </c>
      <c r="C174" s="1" t="s">
        <v>18</v>
      </c>
      <c r="D174" s="1" t="s">
        <v>72</v>
      </c>
      <c r="E174" s="1" t="s">
        <v>100</v>
      </c>
      <c r="F174" s="1" t="s">
        <v>695</v>
      </c>
      <c r="G174" s="1">
        <v>5.5</v>
      </c>
      <c r="H174" s="1" t="s">
        <v>60</v>
      </c>
      <c r="I174" s="1">
        <v>-108.0</v>
      </c>
      <c r="J174" s="1">
        <v>0.122470905666455</v>
      </c>
      <c r="K174" s="1" t="s">
        <v>61</v>
      </c>
      <c r="L174" s="1" t="s">
        <v>61</v>
      </c>
      <c r="M174" s="1" t="s">
        <v>62</v>
      </c>
      <c r="N174" s="1">
        <v>-119.0</v>
      </c>
      <c r="O174" s="1">
        <v>-0.185015774294798</v>
      </c>
      <c r="P174" s="1" t="s">
        <v>61</v>
      </c>
      <c r="Q174" s="1" t="s">
        <v>61</v>
      </c>
      <c r="R174" s="1">
        <f t="shared" si="1"/>
        <v>0.1224709057</v>
      </c>
      <c r="S174" s="1">
        <f t="shared" si="2"/>
        <v>-108</v>
      </c>
      <c r="T174" s="1">
        <f t="shared" si="3"/>
        <v>1.925925926</v>
      </c>
      <c r="U174" s="1">
        <f t="shared" si="4"/>
        <v>1</v>
      </c>
      <c r="V174" s="3">
        <f t="shared" si="5"/>
        <v>3</v>
      </c>
      <c r="W174" s="3">
        <f t="shared" si="6"/>
        <v>2</v>
      </c>
      <c r="X174" s="3" t="str">
        <f>IFERROR(__xludf.DUMMYFUNCTION("split(B174,"" "")"),"R.")</f>
        <v>R.</v>
      </c>
      <c r="Y174" s="3" t="str">
        <f>IFERROR(__xludf.DUMMYFUNCTION("""COMPUTED_VALUE"""),"Woods")</f>
        <v>Woods</v>
      </c>
      <c r="AA174" s="8">
        <v>8.0</v>
      </c>
      <c r="AB174" s="3">
        <f t="shared" si="7"/>
        <v>1</v>
      </c>
      <c r="AC174" s="3">
        <f t="shared" si="8"/>
        <v>1</v>
      </c>
      <c r="AD174" s="3">
        <f t="shared" si="9"/>
        <v>2.777777778</v>
      </c>
      <c r="AE174" s="3">
        <f t="shared" si="10"/>
        <v>2.777777778</v>
      </c>
      <c r="AF174" s="3">
        <f t="shared" si="11"/>
        <v>1.851851852</v>
      </c>
      <c r="AG174" s="3">
        <f t="shared" si="12"/>
        <v>0.4545454545</v>
      </c>
    </row>
    <row r="175">
      <c r="A175" s="1" t="s">
        <v>11</v>
      </c>
      <c r="B175" s="1" t="s">
        <v>619</v>
      </c>
      <c r="C175" s="1" t="s">
        <v>18</v>
      </c>
      <c r="D175" s="1" t="s">
        <v>72</v>
      </c>
      <c r="E175" s="1" t="s">
        <v>100</v>
      </c>
      <c r="F175" s="1" t="s">
        <v>695</v>
      </c>
      <c r="G175" s="1">
        <v>4.5</v>
      </c>
      <c r="H175" s="1" t="s">
        <v>60</v>
      </c>
      <c r="I175" s="1">
        <v>-115.0</v>
      </c>
      <c r="J175" s="1">
        <v>0.115218035627009</v>
      </c>
      <c r="K175" s="1" t="s">
        <v>61</v>
      </c>
      <c r="L175" s="1" t="s">
        <v>61</v>
      </c>
      <c r="M175" s="1" t="s">
        <v>62</v>
      </c>
      <c r="N175" s="1">
        <v>-115.0</v>
      </c>
      <c r="O175" s="1">
        <v>-0.184940740971061</v>
      </c>
      <c r="P175" s="1" t="s">
        <v>61</v>
      </c>
      <c r="Q175" s="1" t="s">
        <v>61</v>
      </c>
      <c r="R175" s="1">
        <f t="shared" si="1"/>
        <v>0.1152180356</v>
      </c>
      <c r="S175" s="1">
        <f t="shared" si="2"/>
        <v>-115</v>
      </c>
      <c r="T175" s="1">
        <f t="shared" si="3"/>
        <v>1.869565217</v>
      </c>
      <c r="U175" s="1">
        <f t="shared" si="4"/>
        <v>1</v>
      </c>
      <c r="V175" s="3">
        <f t="shared" si="5"/>
        <v>3</v>
      </c>
      <c r="W175" s="3">
        <f t="shared" si="6"/>
        <v>2</v>
      </c>
      <c r="X175" s="3" t="str">
        <f>IFERROR(__xludf.DUMMYFUNCTION("split(B175,"" "")"),"X.")</f>
        <v>X.</v>
      </c>
      <c r="Y175" s="3" t="str">
        <f>IFERROR(__xludf.DUMMYFUNCTION("""COMPUTED_VALUE"""),"Hutchinson")</f>
        <v>Hutchinson</v>
      </c>
      <c r="AA175" s="8">
        <v>0.0</v>
      </c>
      <c r="AB175" s="3">
        <f t="shared" si="7"/>
        <v>0</v>
      </c>
      <c r="AC175" s="3">
        <f t="shared" si="8"/>
        <v>0</v>
      </c>
      <c r="AD175" s="3">
        <f t="shared" si="9"/>
        <v>2.608695652</v>
      </c>
      <c r="AE175" s="3">
        <f t="shared" si="10"/>
        <v>-3</v>
      </c>
      <c r="AF175" s="3">
        <f t="shared" si="11"/>
        <v>-2</v>
      </c>
      <c r="AG175" s="3">
        <f t="shared" si="12"/>
        <v>-1</v>
      </c>
    </row>
    <row r="176">
      <c r="A176" s="1" t="s">
        <v>10</v>
      </c>
      <c r="B176" s="1" t="s">
        <v>619</v>
      </c>
      <c r="C176" s="1" t="s">
        <v>18</v>
      </c>
      <c r="D176" s="1" t="s">
        <v>72</v>
      </c>
      <c r="E176" s="1" t="s">
        <v>100</v>
      </c>
      <c r="F176" s="1" t="s">
        <v>695</v>
      </c>
      <c r="G176" s="1">
        <v>0.5</v>
      </c>
      <c r="H176" s="1" t="s">
        <v>60</v>
      </c>
      <c r="I176" s="1">
        <v>-105.0</v>
      </c>
      <c r="J176" s="1">
        <v>0.100730656917992</v>
      </c>
      <c r="K176" s="1" t="s">
        <v>61</v>
      </c>
      <c r="L176" s="1" t="s">
        <v>61</v>
      </c>
      <c r="M176" s="1" t="s">
        <v>62</v>
      </c>
      <c r="N176" s="1">
        <v>-125.0</v>
      </c>
      <c r="O176" s="1">
        <v>-0.168443248156602</v>
      </c>
      <c r="P176" s="1" t="s">
        <v>61</v>
      </c>
      <c r="Q176" s="1" t="s">
        <v>61</v>
      </c>
      <c r="R176" s="1">
        <f t="shared" si="1"/>
        <v>0.1007306569</v>
      </c>
      <c r="S176" s="1">
        <f t="shared" si="2"/>
        <v>-105</v>
      </c>
      <c r="T176" s="1">
        <f t="shared" si="3"/>
        <v>1.952380952</v>
      </c>
      <c r="U176" s="1">
        <f t="shared" si="4"/>
        <v>1</v>
      </c>
      <c r="V176" s="3">
        <f t="shared" si="5"/>
        <v>3</v>
      </c>
      <c r="W176" s="3">
        <f t="shared" si="6"/>
        <v>2</v>
      </c>
      <c r="X176" s="3" t="str">
        <f>IFERROR(__xludf.DUMMYFUNCTION("split(B176,"" "")"),"X.")</f>
        <v>X.</v>
      </c>
      <c r="Y176" s="3" t="str">
        <f>IFERROR(__xludf.DUMMYFUNCTION("""COMPUTED_VALUE"""),"Hutchinson")</f>
        <v>Hutchinson</v>
      </c>
      <c r="AA176" s="8">
        <v>0.0</v>
      </c>
      <c r="AB176" s="3">
        <f t="shared" si="7"/>
        <v>0</v>
      </c>
      <c r="AC176" s="3">
        <f t="shared" si="8"/>
        <v>0</v>
      </c>
      <c r="AD176" s="3">
        <f t="shared" si="9"/>
        <v>2.857142857</v>
      </c>
      <c r="AE176" s="3">
        <f t="shared" si="10"/>
        <v>-3</v>
      </c>
      <c r="AF176" s="3">
        <f t="shared" si="11"/>
        <v>-2</v>
      </c>
      <c r="AG176" s="3">
        <f t="shared" si="12"/>
        <v>-1</v>
      </c>
    </row>
    <row r="177">
      <c r="A177" s="1" t="s">
        <v>9</v>
      </c>
      <c r="B177" s="1" t="s">
        <v>634</v>
      </c>
      <c r="C177" s="1" t="s">
        <v>18</v>
      </c>
      <c r="D177" s="1" t="s">
        <v>72</v>
      </c>
      <c r="E177" s="1" t="s">
        <v>100</v>
      </c>
      <c r="F177" s="1" t="s">
        <v>695</v>
      </c>
      <c r="G177" s="1">
        <v>19.5</v>
      </c>
      <c r="H177" s="1" t="s">
        <v>60</v>
      </c>
      <c r="I177" s="1">
        <v>-115.0</v>
      </c>
      <c r="J177" s="1">
        <v>0.0920777153293432</v>
      </c>
      <c r="K177" s="1" t="s">
        <v>61</v>
      </c>
      <c r="L177" s="1" t="s">
        <v>61</v>
      </c>
      <c r="M177" s="1" t="s">
        <v>62</v>
      </c>
      <c r="N177" s="1">
        <v>-115.0</v>
      </c>
      <c r="O177" s="1">
        <v>-0.161824372628744</v>
      </c>
      <c r="P177" s="1" t="s">
        <v>61</v>
      </c>
      <c r="Q177" s="1" t="s">
        <v>61</v>
      </c>
      <c r="R177" s="1">
        <f t="shared" si="1"/>
        <v>0.09207771533</v>
      </c>
      <c r="S177" s="1">
        <f t="shared" si="2"/>
        <v>-115</v>
      </c>
      <c r="T177" s="1">
        <f t="shared" si="3"/>
        <v>1.869565217</v>
      </c>
      <c r="U177" s="1">
        <f t="shared" si="4"/>
        <v>1</v>
      </c>
      <c r="V177" s="3">
        <f t="shared" si="5"/>
        <v>2</v>
      </c>
      <c r="W177" s="3">
        <f t="shared" si="6"/>
        <v>2</v>
      </c>
      <c r="X177" s="3" t="str">
        <f>IFERROR(__xludf.DUMMYFUNCTION("split(B177,"" "")"),"J.")</f>
        <v>J.</v>
      </c>
      <c r="Y177" s="3" t="str">
        <f>IFERROR(__xludf.DUMMYFUNCTION("""COMPUTED_VALUE"""),"Metchie")</f>
        <v>Metchie</v>
      </c>
      <c r="Z177" s="3" t="str">
        <f>IFERROR(__xludf.DUMMYFUNCTION("""COMPUTED_VALUE"""),"III")</f>
        <v>III</v>
      </c>
      <c r="AA177" s="8">
        <v>6.0</v>
      </c>
      <c r="AB177" s="3">
        <f t="shared" si="7"/>
        <v>0</v>
      </c>
      <c r="AC177" s="3">
        <f t="shared" si="8"/>
        <v>0</v>
      </c>
      <c r="AD177" s="3">
        <f t="shared" si="9"/>
        <v>1.739130435</v>
      </c>
      <c r="AE177" s="3">
        <f t="shared" si="10"/>
        <v>-2</v>
      </c>
      <c r="AF177" s="3">
        <f t="shared" si="11"/>
        <v>-2</v>
      </c>
      <c r="AG177" s="3">
        <f t="shared" si="12"/>
        <v>-0.6923076923</v>
      </c>
    </row>
    <row r="178">
      <c r="A178" s="1" t="s">
        <v>8</v>
      </c>
      <c r="B178" s="1" t="s">
        <v>359</v>
      </c>
      <c r="C178" s="1" t="s">
        <v>19</v>
      </c>
      <c r="D178" s="1" t="s">
        <v>72</v>
      </c>
      <c r="E178" s="1" t="s">
        <v>100</v>
      </c>
      <c r="F178" s="1" t="s">
        <v>695</v>
      </c>
      <c r="G178" s="1">
        <v>21.5</v>
      </c>
      <c r="H178" s="1" t="s">
        <v>60</v>
      </c>
      <c r="I178" s="1">
        <v>-113.0</v>
      </c>
      <c r="J178" s="1">
        <v>0.0862877874976525</v>
      </c>
      <c r="K178" s="1" t="s">
        <v>61</v>
      </c>
      <c r="L178" s="1" t="s">
        <v>61</v>
      </c>
      <c r="M178" s="1" t="s">
        <v>62</v>
      </c>
      <c r="N178" s="1">
        <v>-119.0</v>
      </c>
      <c r="O178" s="1">
        <v>-0.160168698173515</v>
      </c>
      <c r="P178" s="1" t="s">
        <v>61</v>
      </c>
      <c r="Q178" s="1" t="s">
        <v>61</v>
      </c>
      <c r="R178" s="1">
        <f t="shared" si="1"/>
        <v>0.0862877875</v>
      </c>
      <c r="S178" s="1">
        <f t="shared" si="2"/>
        <v>-113</v>
      </c>
      <c r="T178" s="1">
        <f t="shared" si="3"/>
        <v>1.884955752</v>
      </c>
      <c r="U178" s="1">
        <f t="shared" si="4"/>
        <v>1</v>
      </c>
      <c r="V178" s="3">
        <f t="shared" si="5"/>
        <v>2</v>
      </c>
      <c r="W178" s="3">
        <f t="shared" si="6"/>
        <v>2</v>
      </c>
      <c r="X178" s="3" t="str">
        <f>IFERROR(__xludf.DUMMYFUNCTION("split(B178,"" "")"),"J.")</f>
        <v>J.</v>
      </c>
      <c r="Y178" s="3" t="str">
        <f>IFERROR(__xludf.DUMMYFUNCTION("""COMPUTED_VALUE"""),"Mixon")</f>
        <v>Mixon</v>
      </c>
      <c r="AA178" s="8">
        <v>14.0</v>
      </c>
      <c r="AB178" s="3">
        <f t="shared" si="7"/>
        <v>0</v>
      </c>
      <c r="AC178" s="3">
        <f t="shared" si="8"/>
        <v>0</v>
      </c>
      <c r="AD178" s="3">
        <f t="shared" si="9"/>
        <v>1.769911504</v>
      </c>
      <c r="AE178" s="3">
        <f t="shared" si="10"/>
        <v>-2</v>
      </c>
      <c r="AF178" s="3">
        <f t="shared" si="11"/>
        <v>-2</v>
      </c>
      <c r="AG178" s="3">
        <f t="shared" si="12"/>
        <v>-0.3488372093</v>
      </c>
    </row>
    <row r="179">
      <c r="A179" s="1" t="s">
        <v>11</v>
      </c>
      <c r="B179" s="1" t="s">
        <v>665</v>
      </c>
      <c r="C179" s="1" t="s">
        <v>20</v>
      </c>
      <c r="D179" s="1" t="s">
        <v>72</v>
      </c>
      <c r="E179" s="1" t="s">
        <v>100</v>
      </c>
      <c r="F179" s="1" t="s">
        <v>695</v>
      </c>
      <c r="G179" s="1">
        <v>6.0</v>
      </c>
      <c r="H179" s="1" t="s">
        <v>60</v>
      </c>
      <c r="I179" s="1">
        <v>-114.0</v>
      </c>
      <c r="J179" s="1">
        <v>0.0771794516459115</v>
      </c>
      <c r="K179" s="1" t="s">
        <v>61</v>
      </c>
      <c r="L179" s="1" t="s">
        <v>61</v>
      </c>
      <c r="M179" s="1" t="s">
        <v>62</v>
      </c>
      <c r="N179" s="1">
        <v>-112.0</v>
      </c>
      <c r="O179" s="1">
        <v>-0.136492919672132</v>
      </c>
      <c r="P179" s="1" t="s">
        <v>61</v>
      </c>
      <c r="Q179" s="1" t="s">
        <v>61</v>
      </c>
      <c r="R179" s="1">
        <f t="shared" si="1"/>
        <v>0.07717945165</v>
      </c>
      <c r="S179" s="1">
        <f t="shared" si="2"/>
        <v>-114</v>
      </c>
      <c r="T179" s="1">
        <f t="shared" si="3"/>
        <v>1.877192982</v>
      </c>
      <c r="U179" s="1">
        <f t="shared" si="4"/>
        <v>1</v>
      </c>
      <c r="V179" s="3">
        <f t="shared" si="5"/>
        <v>2</v>
      </c>
      <c r="W179" s="3">
        <f t="shared" si="6"/>
        <v>2</v>
      </c>
      <c r="X179" s="3" t="str">
        <f>IFERROR(__xludf.DUMMYFUNCTION("split(B179,"" "")"),"C.")</f>
        <v>C.</v>
      </c>
      <c r="Y179" s="3" t="str">
        <f>IFERROR(__xludf.DUMMYFUNCTION("""COMPUTED_VALUE"""),"Stover")</f>
        <v>Stover</v>
      </c>
      <c r="AA179" s="8">
        <v>26.0</v>
      </c>
      <c r="AB179" s="3">
        <f t="shared" si="7"/>
        <v>1</v>
      </c>
      <c r="AC179" s="3">
        <f t="shared" si="8"/>
        <v>1</v>
      </c>
      <c r="AD179" s="3">
        <f t="shared" si="9"/>
        <v>1.754385965</v>
      </c>
      <c r="AE179" s="3">
        <f t="shared" si="10"/>
        <v>1.754385965</v>
      </c>
      <c r="AF179" s="3">
        <f t="shared" si="11"/>
        <v>1.754385965</v>
      </c>
      <c r="AG179" s="3">
        <f t="shared" si="12"/>
        <v>3.333333333</v>
      </c>
    </row>
    <row r="180">
      <c r="A180" s="1" t="s">
        <v>11</v>
      </c>
      <c r="B180" s="1" t="s">
        <v>634</v>
      </c>
      <c r="C180" s="1" t="s">
        <v>18</v>
      </c>
      <c r="D180" s="1" t="s">
        <v>72</v>
      </c>
      <c r="E180" s="1" t="s">
        <v>100</v>
      </c>
      <c r="F180" s="1" t="s">
        <v>695</v>
      </c>
      <c r="G180" s="1">
        <v>19.5</v>
      </c>
      <c r="H180" s="1" t="s">
        <v>60</v>
      </c>
      <c r="I180" s="1">
        <v>-113.0</v>
      </c>
      <c r="J180" s="1">
        <v>-0.0882971585893897</v>
      </c>
      <c r="K180" s="1" t="s">
        <v>61</v>
      </c>
      <c r="L180" s="1" t="s">
        <v>61</v>
      </c>
      <c r="M180" s="1" t="s">
        <v>62</v>
      </c>
      <c r="N180" s="1">
        <v>-116.0</v>
      </c>
      <c r="O180" s="1">
        <v>0.0207696941864184</v>
      </c>
      <c r="P180" s="1" t="s">
        <v>61</v>
      </c>
      <c r="Q180" s="1" t="s">
        <v>61</v>
      </c>
      <c r="R180" s="1">
        <f t="shared" si="1"/>
        <v>0.02076969419</v>
      </c>
      <c r="S180" s="1">
        <f t="shared" si="2"/>
        <v>-116</v>
      </c>
      <c r="T180" s="1">
        <f t="shared" si="3"/>
        <v>1.862068966</v>
      </c>
      <c r="U180" s="1">
        <f t="shared" si="4"/>
        <v>0</v>
      </c>
      <c r="V180" s="3">
        <f t="shared" si="5"/>
        <v>1</v>
      </c>
      <c r="W180" s="3">
        <f t="shared" si="6"/>
        <v>2</v>
      </c>
      <c r="X180" s="3" t="str">
        <f>IFERROR(__xludf.DUMMYFUNCTION("split(B180,"" "")"),"J.")</f>
        <v>J.</v>
      </c>
      <c r="Y180" s="3" t="str">
        <f>IFERROR(__xludf.DUMMYFUNCTION("""COMPUTED_VALUE"""),"Metchie")</f>
        <v>Metchie</v>
      </c>
      <c r="Z180" s="3" t="str">
        <f>IFERROR(__xludf.DUMMYFUNCTION("""COMPUTED_VALUE"""),"III")</f>
        <v>III</v>
      </c>
      <c r="AA180" s="8">
        <v>6.0</v>
      </c>
      <c r="AB180" s="3">
        <f t="shared" si="7"/>
        <v>0</v>
      </c>
      <c r="AC180" s="3">
        <f t="shared" si="8"/>
        <v>1</v>
      </c>
      <c r="AD180" s="3">
        <f t="shared" si="9"/>
        <v>0.8620689655</v>
      </c>
      <c r="AE180" s="3">
        <f t="shared" si="10"/>
        <v>0.8620689655</v>
      </c>
      <c r="AF180" s="3">
        <f t="shared" si="11"/>
        <v>1.724137931</v>
      </c>
      <c r="AG180" s="3">
        <f t="shared" si="12"/>
        <v>0.6923076923</v>
      </c>
    </row>
    <row r="181">
      <c r="A181" s="1" t="s">
        <v>12</v>
      </c>
      <c r="B181" s="1" t="s">
        <v>495</v>
      </c>
      <c r="C181" s="1" t="s">
        <v>18</v>
      </c>
      <c r="D181" s="1" t="s">
        <v>72</v>
      </c>
      <c r="E181" s="1" t="s">
        <v>100</v>
      </c>
      <c r="F181" s="1" t="s">
        <v>695</v>
      </c>
      <c r="G181" s="1">
        <v>5.5</v>
      </c>
      <c r="H181" s="1" t="s">
        <v>60</v>
      </c>
      <c r="I181" s="1">
        <v>-121.0</v>
      </c>
      <c r="J181" s="1">
        <v>0.0158791855203619</v>
      </c>
      <c r="K181" s="1" t="s">
        <v>61</v>
      </c>
      <c r="L181" s="1" t="s">
        <v>61</v>
      </c>
      <c r="M181" s="1" t="s">
        <v>62</v>
      </c>
      <c r="N181" s="1">
        <v>-109.0</v>
      </c>
      <c r="O181" s="1">
        <v>-0.0849354066985645</v>
      </c>
      <c r="P181" s="1" t="s">
        <v>61</v>
      </c>
      <c r="Q181" s="1" t="s">
        <v>61</v>
      </c>
      <c r="R181" s="1">
        <f t="shared" si="1"/>
        <v>0.01587918552</v>
      </c>
      <c r="S181" s="1">
        <f t="shared" si="2"/>
        <v>-121</v>
      </c>
      <c r="T181" s="1">
        <f t="shared" si="3"/>
        <v>1.826446281</v>
      </c>
      <c r="U181" s="1">
        <f t="shared" si="4"/>
        <v>1</v>
      </c>
      <c r="V181" s="3">
        <f t="shared" si="5"/>
        <v>1</v>
      </c>
      <c r="W181" s="3">
        <f t="shared" si="6"/>
        <v>3</v>
      </c>
      <c r="X181" s="3" t="str">
        <f>IFERROR(__xludf.DUMMYFUNCTION("split(B181,"" "")"),"N.")</f>
        <v>N.</v>
      </c>
      <c r="Y181" s="3" t="str">
        <f>IFERROR(__xludf.DUMMYFUNCTION("""COMPUTED_VALUE"""),"Collins")</f>
        <v>Collins</v>
      </c>
      <c r="AA181" s="8">
        <v>5.0</v>
      </c>
      <c r="AB181" s="3">
        <f t="shared" si="7"/>
        <v>0</v>
      </c>
      <c r="AC181" s="3">
        <f t="shared" si="8"/>
        <v>0</v>
      </c>
      <c r="AD181" s="3">
        <f t="shared" si="9"/>
        <v>0.826446281</v>
      </c>
      <c r="AE181" s="3">
        <f t="shared" si="10"/>
        <v>-1</v>
      </c>
      <c r="AF181" s="3">
        <f t="shared" si="11"/>
        <v>-3</v>
      </c>
      <c r="AG181" s="3">
        <f t="shared" si="12"/>
        <v>-0.09090909091</v>
      </c>
    </row>
    <row r="182">
      <c r="A182" s="1" t="s">
        <v>11</v>
      </c>
      <c r="B182" s="1" t="s">
        <v>410</v>
      </c>
      <c r="C182" s="1" t="s">
        <v>20</v>
      </c>
      <c r="D182" s="1" t="s">
        <v>72</v>
      </c>
      <c r="E182" s="1" t="s">
        <v>100</v>
      </c>
      <c r="F182" s="1" t="s">
        <v>695</v>
      </c>
      <c r="G182" s="1">
        <v>27.5</v>
      </c>
      <c r="H182" s="1" t="s">
        <v>60</v>
      </c>
      <c r="I182" s="1">
        <v>-118.0</v>
      </c>
      <c r="J182" s="1">
        <v>-0.0782174126545413</v>
      </c>
      <c r="K182" s="1" t="s">
        <v>61</v>
      </c>
      <c r="L182" s="1" t="s">
        <v>61</v>
      </c>
      <c r="M182" s="1" t="s">
        <v>62</v>
      </c>
      <c r="N182" s="1">
        <v>-110.0</v>
      </c>
      <c r="O182" s="1">
        <v>0.0131707407359952</v>
      </c>
      <c r="P182" s="1" t="s">
        <v>61</v>
      </c>
      <c r="Q182" s="1" t="s">
        <v>61</v>
      </c>
      <c r="R182" s="1">
        <f t="shared" si="1"/>
        <v>0.01317074074</v>
      </c>
      <c r="S182" s="1">
        <f t="shared" si="2"/>
        <v>-110</v>
      </c>
      <c r="T182" s="1">
        <f t="shared" si="3"/>
        <v>1.909090909</v>
      </c>
      <c r="U182" s="1">
        <f t="shared" si="4"/>
        <v>0</v>
      </c>
      <c r="V182" s="3">
        <f t="shared" si="5"/>
        <v>1</v>
      </c>
      <c r="W182" s="3">
        <f t="shared" si="6"/>
        <v>2</v>
      </c>
      <c r="X182" s="3" t="str">
        <f>IFERROR(__xludf.DUMMYFUNCTION("split(B182,"" "")"),"D.")</f>
        <v>D.</v>
      </c>
      <c r="Y182" s="3" t="str">
        <f>IFERROR(__xludf.DUMMYFUNCTION("""COMPUTED_VALUE"""),"Schultz")</f>
        <v>Schultz</v>
      </c>
      <c r="AA182" s="8">
        <v>20.0</v>
      </c>
      <c r="AB182" s="3">
        <f t="shared" si="7"/>
        <v>0</v>
      </c>
      <c r="AC182" s="3">
        <f t="shared" si="8"/>
        <v>1</v>
      </c>
      <c r="AD182" s="3">
        <f t="shared" si="9"/>
        <v>0.9090909091</v>
      </c>
      <c r="AE182" s="3">
        <f t="shared" si="10"/>
        <v>0.9090909091</v>
      </c>
      <c r="AF182" s="3">
        <f t="shared" si="11"/>
        <v>1.818181818</v>
      </c>
      <c r="AG182" s="3">
        <f t="shared" si="12"/>
        <v>0.2727272727</v>
      </c>
    </row>
    <row r="183">
      <c r="A183" s="1" t="s">
        <v>9</v>
      </c>
      <c r="B183" s="1" t="s">
        <v>495</v>
      </c>
      <c r="C183" s="1" t="s">
        <v>18</v>
      </c>
      <c r="D183" s="1" t="s">
        <v>72</v>
      </c>
      <c r="E183" s="1" t="s">
        <v>100</v>
      </c>
      <c r="F183" s="1" t="s">
        <v>695</v>
      </c>
      <c r="G183" s="1">
        <v>78.5</v>
      </c>
      <c r="H183" s="1" t="s">
        <v>60</v>
      </c>
      <c r="I183" s="1">
        <v>-120.0</v>
      </c>
      <c r="J183" s="1">
        <v>-0.0925779582267313</v>
      </c>
      <c r="K183" s="1" t="s">
        <v>61</v>
      </c>
      <c r="L183" s="1" t="s">
        <v>61</v>
      </c>
      <c r="M183" s="1" t="s">
        <v>62</v>
      </c>
      <c r="N183" s="1">
        <v>-115.0</v>
      </c>
      <c r="O183" s="1">
        <v>0.0122438299133162</v>
      </c>
      <c r="P183" s="1" t="s">
        <v>61</v>
      </c>
      <c r="Q183" s="1" t="s">
        <v>61</v>
      </c>
      <c r="R183" s="1">
        <f t="shared" si="1"/>
        <v>0.01224382991</v>
      </c>
      <c r="S183" s="1">
        <f t="shared" si="2"/>
        <v>-115</v>
      </c>
      <c r="T183" s="1">
        <f t="shared" si="3"/>
        <v>1.869565217</v>
      </c>
      <c r="U183" s="1">
        <f t="shared" si="4"/>
        <v>0</v>
      </c>
      <c r="V183" s="3">
        <f t="shared" si="5"/>
        <v>1</v>
      </c>
      <c r="W183" s="3">
        <f t="shared" si="6"/>
        <v>2</v>
      </c>
      <c r="X183" s="3" t="str">
        <f>IFERROR(__xludf.DUMMYFUNCTION("split(B183,"" "")"),"N.")</f>
        <v>N.</v>
      </c>
      <c r="Y183" s="3" t="str">
        <f>IFERROR(__xludf.DUMMYFUNCTION("""COMPUTED_VALUE"""),"Collins")</f>
        <v>Collins</v>
      </c>
      <c r="AA183" s="8">
        <v>92.0</v>
      </c>
      <c r="AB183" s="3">
        <f t="shared" si="7"/>
        <v>1</v>
      </c>
      <c r="AC183" s="3">
        <f t="shared" si="8"/>
        <v>0</v>
      </c>
      <c r="AD183" s="3">
        <f t="shared" si="9"/>
        <v>0.8695652174</v>
      </c>
      <c r="AE183" s="3">
        <f t="shared" si="10"/>
        <v>-1</v>
      </c>
      <c r="AF183" s="3">
        <f t="shared" si="11"/>
        <v>-2</v>
      </c>
      <c r="AG183" s="3">
        <f t="shared" si="12"/>
        <v>-0.1719745223</v>
      </c>
    </row>
    <row r="184">
      <c r="A184" s="1" t="s">
        <v>9</v>
      </c>
      <c r="B184" s="1" t="s">
        <v>359</v>
      </c>
      <c r="C184" s="1" t="s">
        <v>19</v>
      </c>
      <c r="D184" s="1" t="s">
        <v>72</v>
      </c>
      <c r="E184" s="1" t="s">
        <v>100</v>
      </c>
      <c r="F184" s="1" t="s">
        <v>695</v>
      </c>
      <c r="G184" s="1">
        <v>108.0</v>
      </c>
      <c r="H184" s="1" t="s">
        <v>60</v>
      </c>
      <c r="I184" s="1">
        <v>-116.0</v>
      </c>
      <c r="J184" s="1">
        <v>-0.0842498500850882</v>
      </c>
      <c r="K184" s="1" t="s">
        <v>61</v>
      </c>
      <c r="L184" s="1" t="s">
        <v>61</v>
      </c>
      <c r="M184" s="1" t="s">
        <v>62</v>
      </c>
      <c r="N184" s="1">
        <v>-116.0</v>
      </c>
      <c r="O184" s="1">
        <v>0.0110417035403023</v>
      </c>
      <c r="P184" s="1" t="s">
        <v>61</v>
      </c>
      <c r="Q184" s="1" t="s">
        <v>61</v>
      </c>
      <c r="R184" s="1">
        <f t="shared" si="1"/>
        <v>0.01104170354</v>
      </c>
      <c r="S184" s="1">
        <f t="shared" si="2"/>
        <v>-116</v>
      </c>
      <c r="T184" s="1">
        <f t="shared" si="3"/>
        <v>1.862068966</v>
      </c>
      <c r="U184" s="1">
        <f t="shared" si="4"/>
        <v>0</v>
      </c>
      <c r="V184" s="3">
        <f t="shared" si="5"/>
        <v>1</v>
      </c>
      <c r="W184" s="3">
        <f t="shared" si="6"/>
        <v>2</v>
      </c>
      <c r="X184" s="3" t="str">
        <f>IFERROR(__xludf.DUMMYFUNCTION("split(B184,"" "")"),"J.")</f>
        <v>J.</v>
      </c>
      <c r="Y184" s="3" t="str">
        <f>IFERROR(__xludf.DUMMYFUNCTION("""COMPUTED_VALUE"""),"Mixon")</f>
        <v>Mixon</v>
      </c>
      <c r="AA184" s="8">
        <v>45.0</v>
      </c>
      <c r="AB184" s="3">
        <f t="shared" si="7"/>
        <v>0</v>
      </c>
      <c r="AC184" s="3">
        <f t="shared" si="8"/>
        <v>1</v>
      </c>
      <c r="AD184" s="3">
        <f t="shared" si="9"/>
        <v>0.8620689655</v>
      </c>
      <c r="AE184" s="3">
        <f t="shared" si="10"/>
        <v>0.8620689655</v>
      </c>
      <c r="AF184" s="3">
        <f t="shared" si="11"/>
        <v>1.724137931</v>
      </c>
      <c r="AG184" s="3">
        <f t="shared" si="12"/>
        <v>0.5833333333</v>
      </c>
    </row>
    <row r="185">
      <c r="A185" s="1" t="s">
        <v>11</v>
      </c>
      <c r="B185" s="1" t="s">
        <v>359</v>
      </c>
      <c r="C185" s="1" t="s">
        <v>19</v>
      </c>
      <c r="D185" s="1" t="s">
        <v>72</v>
      </c>
      <c r="E185" s="1" t="s">
        <v>100</v>
      </c>
      <c r="F185" s="1" t="s">
        <v>695</v>
      </c>
      <c r="G185" s="1">
        <v>18.5</v>
      </c>
      <c r="H185" s="1" t="s">
        <v>60</v>
      </c>
      <c r="I185" s="1">
        <v>-110.0</v>
      </c>
      <c r="J185" s="1">
        <v>-0.0775143965611236</v>
      </c>
      <c r="K185" s="1" t="s">
        <v>61</v>
      </c>
      <c r="L185" s="1" t="s">
        <v>61</v>
      </c>
      <c r="M185" s="1" t="s">
        <v>62</v>
      </c>
      <c r="N185" s="1">
        <v>-120.0</v>
      </c>
      <c r="O185" s="1">
        <v>0.00832376333365081</v>
      </c>
      <c r="P185" s="1" t="s">
        <v>61</v>
      </c>
      <c r="Q185" s="1" t="s">
        <v>61</v>
      </c>
      <c r="R185" s="1">
        <f t="shared" si="1"/>
        <v>0.008323763334</v>
      </c>
      <c r="S185" s="1">
        <f t="shared" si="2"/>
        <v>-120</v>
      </c>
      <c r="T185" s="1">
        <f t="shared" si="3"/>
        <v>1.833333333</v>
      </c>
      <c r="U185" s="1">
        <f t="shared" si="4"/>
        <v>0</v>
      </c>
      <c r="V185" s="3">
        <f t="shared" si="5"/>
        <v>1</v>
      </c>
      <c r="W185" s="3">
        <f t="shared" si="6"/>
        <v>3</v>
      </c>
      <c r="X185" s="3" t="str">
        <f>IFERROR(__xludf.DUMMYFUNCTION("split(B185,"" "")"),"J.")</f>
        <v>J.</v>
      </c>
      <c r="Y185" s="3" t="str">
        <f>IFERROR(__xludf.DUMMYFUNCTION("""COMPUTED_VALUE"""),"Mixon")</f>
        <v>Mixon</v>
      </c>
      <c r="AA185" s="8">
        <v>23.0</v>
      </c>
      <c r="AB185" s="3">
        <f t="shared" si="7"/>
        <v>1</v>
      </c>
      <c r="AC185" s="3">
        <f t="shared" si="8"/>
        <v>0</v>
      </c>
      <c r="AD185" s="3">
        <f t="shared" si="9"/>
        <v>0.8333333333</v>
      </c>
      <c r="AE185" s="3">
        <f t="shared" si="10"/>
        <v>-1</v>
      </c>
      <c r="AF185" s="3">
        <f t="shared" si="11"/>
        <v>-3</v>
      </c>
      <c r="AG185" s="3">
        <f t="shared" si="12"/>
        <v>-0.2432432432</v>
      </c>
    </row>
    <row r="186">
      <c r="A186" s="1" t="s">
        <v>14</v>
      </c>
      <c r="B186" s="1" t="s">
        <v>369</v>
      </c>
      <c r="C186" s="1" t="s">
        <v>21</v>
      </c>
      <c r="D186" s="1" t="s">
        <v>72</v>
      </c>
      <c r="E186" s="1" t="s">
        <v>100</v>
      </c>
      <c r="F186" s="1" t="s">
        <v>695</v>
      </c>
      <c r="G186" s="1">
        <v>1.5</v>
      </c>
      <c r="H186" s="1" t="s">
        <v>60</v>
      </c>
      <c r="I186" s="1">
        <v>101.0</v>
      </c>
      <c r="J186" s="1">
        <v>-0.0723129353233831</v>
      </c>
      <c r="K186" s="1" t="s">
        <v>61</v>
      </c>
      <c r="L186" s="1" t="s">
        <v>61</v>
      </c>
      <c r="M186" s="1" t="s">
        <v>62</v>
      </c>
      <c r="N186" s="1">
        <v>-132.0</v>
      </c>
      <c r="O186" s="1">
        <v>0.00584827586206893</v>
      </c>
      <c r="P186" s="1" t="s">
        <v>61</v>
      </c>
      <c r="Q186" s="1" t="s">
        <v>61</v>
      </c>
      <c r="R186" s="1">
        <f t="shared" si="1"/>
        <v>0.005848275862</v>
      </c>
      <c r="S186" s="1">
        <f t="shared" si="2"/>
        <v>-132</v>
      </c>
      <c r="T186" s="1">
        <f t="shared" si="3"/>
        <v>1.757575758</v>
      </c>
      <c r="U186" s="1">
        <f t="shared" si="4"/>
        <v>0</v>
      </c>
      <c r="V186" s="3">
        <f t="shared" si="5"/>
        <v>1</v>
      </c>
      <c r="W186" s="3">
        <f t="shared" si="6"/>
        <v>3</v>
      </c>
      <c r="X186" s="3" t="str">
        <f>IFERROR(__xludf.DUMMYFUNCTION("split(B186,"" "")"),"C.")</f>
        <v>C.</v>
      </c>
      <c r="Y186" s="3" t="str">
        <f>IFERROR(__xludf.DUMMYFUNCTION("""COMPUTED_VALUE"""),"Stroud")</f>
        <v>Stroud</v>
      </c>
      <c r="AA186" s="8">
        <v>2.0</v>
      </c>
      <c r="AB186" s="3">
        <f t="shared" si="7"/>
        <v>1</v>
      </c>
      <c r="AC186" s="3">
        <f t="shared" si="8"/>
        <v>0</v>
      </c>
      <c r="AD186" s="3">
        <f t="shared" si="9"/>
        <v>0.7575757576</v>
      </c>
      <c r="AE186" s="3">
        <f t="shared" si="10"/>
        <v>-1</v>
      </c>
      <c r="AF186" s="3">
        <f t="shared" si="11"/>
        <v>-3</v>
      </c>
      <c r="AG186" s="3">
        <f t="shared" si="12"/>
        <v>-0.3333333333</v>
      </c>
    </row>
    <row r="187">
      <c r="A187" s="1" t="s">
        <v>11</v>
      </c>
      <c r="B187" s="1" t="s">
        <v>129</v>
      </c>
      <c r="C187" s="1" t="s">
        <v>18</v>
      </c>
      <c r="D187" s="1" t="s">
        <v>72</v>
      </c>
      <c r="E187" s="1" t="s">
        <v>100</v>
      </c>
      <c r="F187" s="1" t="s">
        <v>695</v>
      </c>
      <c r="G187" s="1">
        <v>48.5</v>
      </c>
      <c r="H187" s="1" t="s">
        <v>60</v>
      </c>
      <c r="I187" s="1">
        <v>-110.0</v>
      </c>
      <c r="J187" s="1">
        <v>-0.063777163216</v>
      </c>
      <c r="K187" s="1" t="s">
        <v>61</v>
      </c>
      <c r="L187" s="1" t="s">
        <v>61</v>
      </c>
      <c r="M187" s="1" t="s">
        <v>62</v>
      </c>
      <c r="N187" s="1">
        <v>-115.0</v>
      </c>
      <c r="O187" s="1">
        <v>0.00504253826902334</v>
      </c>
      <c r="P187" s="1" t="s">
        <v>61</v>
      </c>
      <c r="Q187" s="1" t="s">
        <v>61</v>
      </c>
      <c r="R187" s="1">
        <f t="shared" si="1"/>
        <v>0.005042538269</v>
      </c>
      <c r="S187" s="1">
        <f t="shared" si="2"/>
        <v>-115</v>
      </c>
      <c r="T187" s="1">
        <f t="shared" si="3"/>
        <v>1.869565217</v>
      </c>
      <c r="U187" s="1">
        <f t="shared" si="4"/>
        <v>0</v>
      </c>
      <c r="V187" s="3">
        <f t="shared" si="5"/>
        <v>1</v>
      </c>
      <c r="W187" s="3">
        <f t="shared" si="6"/>
        <v>2</v>
      </c>
      <c r="X187" s="3" t="str">
        <f>IFERROR(__xludf.DUMMYFUNCTION("split(B187,"" "")"),"T.")</f>
        <v>T.</v>
      </c>
      <c r="Y187" s="3" t="str">
        <f>IFERROR(__xludf.DUMMYFUNCTION("""COMPUTED_VALUE"""),"Dell")</f>
        <v>Dell</v>
      </c>
      <c r="AA187" s="8">
        <v>72.0</v>
      </c>
      <c r="AB187" s="3">
        <f t="shared" si="7"/>
        <v>1</v>
      </c>
      <c r="AC187" s="3">
        <f t="shared" si="8"/>
        <v>0</v>
      </c>
      <c r="AD187" s="3">
        <f t="shared" si="9"/>
        <v>0.8695652174</v>
      </c>
      <c r="AE187" s="3">
        <f t="shared" si="10"/>
        <v>-1</v>
      </c>
      <c r="AF187" s="3">
        <f t="shared" si="11"/>
        <v>-2</v>
      </c>
      <c r="AG187" s="3">
        <f t="shared" si="12"/>
        <v>-0.4845360825</v>
      </c>
    </row>
    <row r="188">
      <c r="A188" s="1" t="s">
        <v>12</v>
      </c>
      <c r="B188" s="1" t="s">
        <v>391</v>
      </c>
      <c r="C188" s="1" t="s">
        <v>18</v>
      </c>
      <c r="D188" s="1" t="s">
        <v>71</v>
      </c>
      <c r="E188" s="1" t="s">
        <v>197</v>
      </c>
      <c r="F188" s="1" t="s">
        <v>695</v>
      </c>
      <c r="G188" s="1">
        <v>3.5</v>
      </c>
      <c r="H188" s="1" t="s">
        <v>60</v>
      </c>
      <c r="I188" s="1">
        <v>-141.0</v>
      </c>
      <c r="J188" s="1">
        <v>-0.206003734439833</v>
      </c>
      <c r="K188" s="1" t="s">
        <v>61</v>
      </c>
      <c r="L188" s="1" t="s">
        <v>61</v>
      </c>
      <c r="M188" s="1" t="s">
        <v>62</v>
      </c>
      <c r="N188" s="1">
        <v>106.0</v>
      </c>
      <c r="O188" s="1">
        <v>0.135511650485436</v>
      </c>
      <c r="P188" s="1" t="s">
        <v>61</v>
      </c>
      <c r="Q188" s="1" t="s">
        <v>61</v>
      </c>
      <c r="R188" s="1">
        <f t="shared" si="1"/>
        <v>0.1355116505</v>
      </c>
      <c r="S188" s="1">
        <f t="shared" si="2"/>
        <v>106</v>
      </c>
      <c r="T188" s="1">
        <f t="shared" si="3"/>
        <v>2.06</v>
      </c>
      <c r="U188" s="1">
        <f t="shared" si="4"/>
        <v>0</v>
      </c>
      <c r="V188" s="3">
        <f t="shared" si="5"/>
        <v>3</v>
      </c>
      <c r="W188" s="3">
        <f t="shared" si="6"/>
        <v>2</v>
      </c>
      <c r="X188" s="3" t="str">
        <f>IFERROR(__xludf.DUMMYFUNCTION("split(B188,"" "")"),"M.")</f>
        <v>M.</v>
      </c>
      <c r="Y188" s="3" t="str">
        <f>IFERROR(__xludf.DUMMYFUNCTION("""COMPUTED_VALUE"""),"Pittman")</f>
        <v>Pittman</v>
      </c>
      <c r="Z188" s="3" t="str">
        <f>IFERROR(__xludf.DUMMYFUNCTION("""COMPUTED_VALUE"""),"Jr.")</f>
        <v>Jr.</v>
      </c>
      <c r="AA188" s="8">
        <v>6.0</v>
      </c>
      <c r="AB188" s="3">
        <f t="shared" si="7"/>
        <v>1</v>
      </c>
      <c r="AC188" s="3">
        <f t="shared" si="8"/>
        <v>0</v>
      </c>
      <c r="AD188" s="3">
        <f t="shared" si="9"/>
        <v>3.18</v>
      </c>
      <c r="AE188" s="3">
        <f t="shared" si="10"/>
        <v>-3</v>
      </c>
      <c r="AF188" s="3">
        <f t="shared" si="11"/>
        <v>-2</v>
      </c>
      <c r="AG188" s="3">
        <f t="shared" si="12"/>
        <v>-0.7142857143</v>
      </c>
    </row>
    <row r="189">
      <c r="A189" s="1" t="s">
        <v>8</v>
      </c>
      <c r="B189" s="1" t="s">
        <v>200</v>
      </c>
      <c r="C189" s="1" t="s">
        <v>21</v>
      </c>
      <c r="D189" s="1" t="s">
        <v>71</v>
      </c>
      <c r="E189" s="1" t="s">
        <v>197</v>
      </c>
      <c r="F189" s="1" t="s">
        <v>695</v>
      </c>
      <c r="G189" s="1">
        <v>8.5</v>
      </c>
      <c r="H189" s="1" t="s">
        <v>60</v>
      </c>
      <c r="I189" s="1">
        <v>109.0</v>
      </c>
      <c r="J189" s="1">
        <v>-0.201162088448626</v>
      </c>
      <c r="K189" s="1" t="s">
        <v>61</v>
      </c>
      <c r="L189" s="1" t="s">
        <v>61</v>
      </c>
      <c r="M189" s="1" t="s">
        <v>62</v>
      </c>
      <c r="N189" s="1">
        <v>-143.0</v>
      </c>
      <c r="O189" s="1">
        <v>0.134214948369543</v>
      </c>
      <c r="P189" s="1" t="s">
        <v>61</v>
      </c>
      <c r="Q189" s="1" t="s">
        <v>61</v>
      </c>
      <c r="R189" s="1">
        <f t="shared" si="1"/>
        <v>0.1342149484</v>
      </c>
      <c r="S189" s="1">
        <f t="shared" si="2"/>
        <v>-143</v>
      </c>
      <c r="T189" s="1">
        <f t="shared" si="3"/>
        <v>1.699300699</v>
      </c>
      <c r="U189" s="1">
        <f t="shared" si="4"/>
        <v>0</v>
      </c>
      <c r="V189" s="3">
        <f t="shared" si="5"/>
        <v>3</v>
      </c>
      <c r="W189" s="3">
        <f t="shared" si="6"/>
        <v>3</v>
      </c>
      <c r="X189" s="3" t="str">
        <f>IFERROR(__xludf.DUMMYFUNCTION("split(B189,"" "")"),"A.")</f>
        <v>A.</v>
      </c>
      <c r="Y189" s="3" t="str">
        <f>IFERROR(__xludf.DUMMYFUNCTION("""COMPUTED_VALUE"""),"Richardson")</f>
        <v>Richardson</v>
      </c>
      <c r="AA189" s="8">
        <v>10.0</v>
      </c>
      <c r="AB189" s="3">
        <f t="shared" si="7"/>
        <v>1</v>
      </c>
      <c r="AC189" s="3">
        <f t="shared" si="8"/>
        <v>0</v>
      </c>
      <c r="AD189" s="3">
        <f t="shared" si="9"/>
        <v>2.097902098</v>
      </c>
      <c r="AE189" s="3">
        <f t="shared" si="10"/>
        <v>-3</v>
      </c>
      <c r="AF189" s="3">
        <f t="shared" si="11"/>
        <v>-3</v>
      </c>
      <c r="AG189" s="3">
        <f t="shared" si="12"/>
        <v>-0.1764705882</v>
      </c>
    </row>
    <row r="190">
      <c r="A190" s="1" t="s">
        <v>15</v>
      </c>
      <c r="B190" s="1" t="s">
        <v>200</v>
      </c>
      <c r="C190" s="1" t="s">
        <v>21</v>
      </c>
      <c r="D190" s="1" t="s">
        <v>71</v>
      </c>
      <c r="E190" s="1" t="s">
        <v>197</v>
      </c>
      <c r="F190" s="1" t="s">
        <v>695</v>
      </c>
      <c r="G190" s="1">
        <v>17.5</v>
      </c>
      <c r="H190" s="1" t="s">
        <v>60</v>
      </c>
      <c r="I190" s="1">
        <v>-101.0</v>
      </c>
      <c r="J190" s="1">
        <v>-0.180382536447761</v>
      </c>
      <c r="K190" s="1" t="s">
        <v>61</v>
      </c>
      <c r="L190" s="1" t="s">
        <v>61</v>
      </c>
      <c r="M190" s="1" t="s">
        <v>62</v>
      </c>
      <c r="N190" s="1">
        <v>-129.0</v>
      </c>
      <c r="O190" s="1">
        <v>0.114588759281834</v>
      </c>
      <c r="P190" s="1" t="s">
        <v>61</v>
      </c>
      <c r="Q190" s="1" t="s">
        <v>61</v>
      </c>
      <c r="R190" s="1">
        <f t="shared" si="1"/>
        <v>0.1145887593</v>
      </c>
      <c r="S190" s="1">
        <f t="shared" si="2"/>
        <v>-129</v>
      </c>
      <c r="T190" s="1">
        <f t="shared" si="3"/>
        <v>1.775193798</v>
      </c>
      <c r="U190" s="1">
        <f t="shared" si="4"/>
        <v>0</v>
      </c>
      <c r="V190" s="3">
        <f t="shared" si="5"/>
        <v>3</v>
      </c>
      <c r="W190" s="3">
        <f t="shared" si="6"/>
        <v>3</v>
      </c>
      <c r="X190" s="3" t="str">
        <f>IFERROR(__xludf.DUMMYFUNCTION("split(B190,"" "")"),"A.")</f>
        <v>A.</v>
      </c>
      <c r="Y190" s="3" t="str">
        <f>IFERROR(__xludf.DUMMYFUNCTION("""COMPUTED_VALUE"""),"Richardson")</f>
        <v>Richardson</v>
      </c>
      <c r="AA190" s="8">
        <v>11.0</v>
      </c>
      <c r="AB190" s="3">
        <f t="shared" si="7"/>
        <v>0</v>
      </c>
      <c r="AC190" s="3">
        <f t="shared" si="8"/>
        <v>1</v>
      </c>
      <c r="AD190" s="3">
        <f t="shared" si="9"/>
        <v>2.325581395</v>
      </c>
      <c r="AE190" s="3">
        <f t="shared" si="10"/>
        <v>2.325581395</v>
      </c>
      <c r="AF190" s="3">
        <f t="shared" si="11"/>
        <v>2.325581395</v>
      </c>
      <c r="AG190" s="3">
        <f t="shared" si="12"/>
        <v>0.3714285714</v>
      </c>
    </row>
    <row r="191">
      <c r="A191" s="1" t="s">
        <v>12</v>
      </c>
      <c r="B191" s="1" t="s">
        <v>444</v>
      </c>
      <c r="C191" s="1" t="s">
        <v>19</v>
      </c>
      <c r="D191" s="1" t="s">
        <v>71</v>
      </c>
      <c r="E191" s="1" t="s">
        <v>197</v>
      </c>
      <c r="F191" s="1" t="s">
        <v>695</v>
      </c>
      <c r="G191" s="1">
        <v>1.5</v>
      </c>
      <c r="H191" s="1" t="s">
        <v>60</v>
      </c>
      <c r="I191" s="1">
        <v>-136.0</v>
      </c>
      <c r="J191" s="1">
        <v>-0.175427616673728</v>
      </c>
      <c r="K191" s="1" t="s">
        <v>61</v>
      </c>
      <c r="L191" s="1" t="s">
        <v>61</v>
      </c>
      <c r="M191" s="1" t="s">
        <v>62</v>
      </c>
      <c r="N191" s="1">
        <v>104.0</v>
      </c>
      <c r="O191" s="1">
        <v>0.108953517328431</v>
      </c>
      <c r="P191" s="1" t="s">
        <v>61</v>
      </c>
      <c r="Q191" s="1" t="s">
        <v>61</v>
      </c>
      <c r="R191" s="1">
        <f t="shared" si="1"/>
        <v>0.1089535173</v>
      </c>
      <c r="S191" s="1">
        <f t="shared" si="2"/>
        <v>104</v>
      </c>
      <c r="T191" s="1">
        <f t="shared" si="3"/>
        <v>2.04</v>
      </c>
      <c r="U191" s="1">
        <f t="shared" si="4"/>
        <v>0</v>
      </c>
      <c r="V191" s="3">
        <f t="shared" si="5"/>
        <v>3</v>
      </c>
      <c r="W191" s="3">
        <f t="shared" si="6"/>
        <v>2</v>
      </c>
      <c r="X191" s="3" t="str">
        <f>IFERROR(__xludf.DUMMYFUNCTION("split(B191,"" "")"),"J.")</f>
        <v>J.</v>
      </c>
      <c r="Y191" s="3" t="str">
        <f>IFERROR(__xludf.DUMMYFUNCTION("""COMPUTED_VALUE"""),"Taylor")</f>
        <v>Taylor</v>
      </c>
      <c r="AA191" s="8">
        <v>0.0</v>
      </c>
      <c r="AB191" s="3">
        <f t="shared" si="7"/>
        <v>0</v>
      </c>
      <c r="AC191" s="3">
        <f t="shared" si="8"/>
        <v>1</v>
      </c>
      <c r="AD191" s="3">
        <f t="shared" si="9"/>
        <v>3.12</v>
      </c>
      <c r="AE191" s="3">
        <f t="shared" si="10"/>
        <v>3.12</v>
      </c>
      <c r="AF191" s="3">
        <f t="shared" si="11"/>
        <v>2.08</v>
      </c>
      <c r="AG191" s="3">
        <f t="shared" si="12"/>
        <v>1</v>
      </c>
    </row>
    <row r="192">
      <c r="A192" s="1" t="s">
        <v>12</v>
      </c>
      <c r="B192" s="1" t="s">
        <v>70</v>
      </c>
      <c r="C192" s="1" t="s">
        <v>20</v>
      </c>
      <c r="D192" s="1" t="s">
        <v>71</v>
      </c>
      <c r="E192" s="1" t="s">
        <v>197</v>
      </c>
      <c r="F192" s="1" t="s">
        <v>695</v>
      </c>
      <c r="G192" s="1">
        <v>0.5</v>
      </c>
      <c r="H192" s="1" t="s">
        <v>60</v>
      </c>
      <c r="I192" s="1">
        <v>-229.0</v>
      </c>
      <c r="J192" s="1">
        <v>-0.175144798459878</v>
      </c>
      <c r="K192" s="1" t="s">
        <v>61</v>
      </c>
      <c r="L192" s="1" t="s">
        <v>61</v>
      </c>
      <c r="M192" s="1" t="s">
        <v>62</v>
      </c>
      <c r="N192" s="1">
        <v>168.0</v>
      </c>
      <c r="O192" s="1">
        <v>0.105960965273507</v>
      </c>
      <c r="P192" s="1" t="s">
        <v>61</v>
      </c>
      <c r="Q192" s="1" t="s">
        <v>61</v>
      </c>
      <c r="R192" s="1">
        <f t="shared" si="1"/>
        <v>0.1059609653</v>
      </c>
      <c r="S192" s="1">
        <f t="shared" si="2"/>
        <v>168</v>
      </c>
      <c r="T192" s="1">
        <f t="shared" si="3"/>
        <v>2.68</v>
      </c>
      <c r="U192" s="1">
        <f t="shared" si="4"/>
        <v>0</v>
      </c>
      <c r="V192" s="3">
        <f t="shared" si="5"/>
        <v>3</v>
      </c>
      <c r="W192" s="3">
        <f t="shared" si="6"/>
        <v>1</v>
      </c>
      <c r="X192" s="3" t="str">
        <f>IFERROR(__xludf.DUMMYFUNCTION("split(B192,"" "")"),"K.")</f>
        <v>K.</v>
      </c>
      <c r="Y192" s="3" t="str">
        <f>IFERROR(__xludf.DUMMYFUNCTION("""COMPUTED_VALUE"""),"Granson")</f>
        <v>Granson</v>
      </c>
      <c r="AA192" s="8">
        <v>0.0</v>
      </c>
      <c r="AB192" s="3">
        <f t="shared" si="7"/>
        <v>0</v>
      </c>
      <c r="AC192" s="3">
        <f t="shared" si="8"/>
        <v>1</v>
      </c>
      <c r="AD192" s="3">
        <f t="shared" si="9"/>
        <v>5.04</v>
      </c>
      <c r="AE192" s="3">
        <f t="shared" si="10"/>
        <v>5.04</v>
      </c>
      <c r="AF192" s="3">
        <f t="shared" si="11"/>
        <v>1.68</v>
      </c>
      <c r="AG192" s="3">
        <f t="shared" si="12"/>
        <v>1</v>
      </c>
    </row>
    <row r="193">
      <c r="A193" s="1" t="s">
        <v>17</v>
      </c>
      <c r="B193" s="1" t="s">
        <v>200</v>
      </c>
      <c r="C193" s="1" t="s">
        <v>21</v>
      </c>
      <c r="D193" s="1" t="s">
        <v>71</v>
      </c>
      <c r="E193" s="1" t="s">
        <v>197</v>
      </c>
      <c r="F193" s="1" t="s">
        <v>695</v>
      </c>
      <c r="G193" s="1">
        <v>0.5</v>
      </c>
      <c r="H193" s="1" t="s">
        <v>60</v>
      </c>
      <c r="I193" s="1">
        <v>-160.0</v>
      </c>
      <c r="J193" s="1">
        <v>-0.161484615384615</v>
      </c>
      <c r="K193" s="1" t="s">
        <v>61</v>
      </c>
      <c r="L193" s="1" t="s">
        <v>61</v>
      </c>
      <c r="M193" s="1" t="s">
        <v>62</v>
      </c>
      <c r="N193" s="1">
        <v>122.0</v>
      </c>
      <c r="O193" s="1">
        <v>0.0956495495495495</v>
      </c>
      <c r="P193" s="1" t="s">
        <v>61</v>
      </c>
      <c r="Q193" s="1" t="s">
        <v>61</v>
      </c>
      <c r="R193" s="1">
        <f t="shared" si="1"/>
        <v>0.09564954955</v>
      </c>
      <c r="S193" s="1">
        <f t="shared" si="2"/>
        <v>122</v>
      </c>
      <c r="T193" s="1">
        <f t="shared" si="3"/>
        <v>2.22</v>
      </c>
      <c r="U193" s="1">
        <f t="shared" si="4"/>
        <v>0</v>
      </c>
      <c r="V193" s="3">
        <f t="shared" si="5"/>
        <v>2</v>
      </c>
      <c r="W193" s="3">
        <f t="shared" si="6"/>
        <v>1</v>
      </c>
      <c r="X193" s="3" t="str">
        <f>IFERROR(__xludf.DUMMYFUNCTION("split(B193,"" "")"),"A.")</f>
        <v>A.</v>
      </c>
      <c r="Y193" s="3" t="str">
        <f>IFERROR(__xludf.DUMMYFUNCTION("""COMPUTED_VALUE"""),"Richardson")</f>
        <v>Richardson</v>
      </c>
      <c r="AA193" s="8">
        <v>0.0</v>
      </c>
      <c r="AB193" s="3">
        <f t="shared" si="7"/>
        <v>0</v>
      </c>
      <c r="AC193" s="3">
        <f t="shared" si="8"/>
        <v>1</v>
      </c>
      <c r="AD193" s="3">
        <f t="shared" si="9"/>
        <v>2.44</v>
      </c>
      <c r="AE193" s="3">
        <f t="shared" si="10"/>
        <v>2.44</v>
      </c>
      <c r="AF193" s="3">
        <f t="shared" si="11"/>
        <v>1.22</v>
      </c>
      <c r="AG193" s="3">
        <f t="shared" si="12"/>
        <v>1</v>
      </c>
    </row>
    <row r="194">
      <c r="A194" s="1" t="s">
        <v>12</v>
      </c>
      <c r="B194" s="1" t="s">
        <v>585</v>
      </c>
      <c r="C194" s="1" t="s">
        <v>20</v>
      </c>
      <c r="D194" s="1" t="s">
        <v>71</v>
      </c>
      <c r="E194" s="1" t="s">
        <v>197</v>
      </c>
      <c r="F194" s="1" t="s">
        <v>695</v>
      </c>
      <c r="G194" s="1">
        <v>0.5</v>
      </c>
      <c r="H194" s="1" t="s">
        <v>60</v>
      </c>
      <c r="I194" s="1">
        <v>-210.0</v>
      </c>
      <c r="J194" s="1">
        <v>-0.159115467027741</v>
      </c>
      <c r="K194" s="1" t="s">
        <v>61</v>
      </c>
      <c r="L194" s="1" t="s">
        <v>61</v>
      </c>
      <c r="M194" s="1" t="s">
        <v>62</v>
      </c>
      <c r="N194" s="1">
        <v>158.0</v>
      </c>
      <c r="O194" s="1">
        <v>0.0940984293744187</v>
      </c>
      <c r="P194" s="1" t="s">
        <v>61</v>
      </c>
      <c r="Q194" s="1" t="s">
        <v>61</v>
      </c>
      <c r="R194" s="1">
        <f t="shared" si="1"/>
        <v>0.09409842937</v>
      </c>
      <c r="S194" s="1">
        <f t="shared" si="2"/>
        <v>158</v>
      </c>
      <c r="T194" s="1">
        <f t="shared" si="3"/>
        <v>2.58</v>
      </c>
      <c r="U194" s="1">
        <f t="shared" si="4"/>
        <v>0</v>
      </c>
      <c r="V194" s="3">
        <f t="shared" si="5"/>
        <v>2</v>
      </c>
      <c r="W194" s="3">
        <f t="shared" si="6"/>
        <v>1</v>
      </c>
      <c r="X194" s="3" t="str">
        <f>IFERROR(__xludf.DUMMYFUNCTION("split(B194,"" "")"),"M.")</f>
        <v>M.</v>
      </c>
      <c r="Y194" s="3" t="str">
        <f>IFERROR(__xludf.DUMMYFUNCTION("""COMPUTED_VALUE"""),"Alie-Cox")</f>
        <v>Alie-Cox</v>
      </c>
      <c r="AA194" s="8">
        <v>0.0</v>
      </c>
      <c r="AB194" s="3">
        <f t="shared" si="7"/>
        <v>0</v>
      </c>
      <c r="AC194" s="3">
        <f t="shared" si="8"/>
        <v>1</v>
      </c>
      <c r="AD194" s="3">
        <f t="shared" si="9"/>
        <v>3.16</v>
      </c>
      <c r="AE194" s="3">
        <f t="shared" si="10"/>
        <v>3.16</v>
      </c>
      <c r="AF194" s="3">
        <f t="shared" si="11"/>
        <v>1.58</v>
      </c>
      <c r="AG194" s="3">
        <f t="shared" si="12"/>
        <v>1</v>
      </c>
    </row>
    <row r="195">
      <c r="A195" s="1" t="s">
        <v>10</v>
      </c>
      <c r="B195" s="1" t="s">
        <v>200</v>
      </c>
      <c r="C195" s="1" t="s">
        <v>21</v>
      </c>
      <c r="D195" s="1" t="s">
        <v>71</v>
      </c>
      <c r="E195" s="1" t="s">
        <v>197</v>
      </c>
      <c r="F195" s="1" t="s">
        <v>695</v>
      </c>
      <c r="G195" s="1">
        <v>42.5</v>
      </c>
      <c r="H195" s="1" t="s">
        <v>60</v>
      </c>
      <c r="I195" s="1">
        <v>-125.0</v>
      </c>
      <c r="J195" s="1">
        <v>-0.154738180293626</v>
      </c>
      <c r="K195" s="1" t="s">
        <v>61</v>
      </c>
      <c r="L195" s="1" t="s">
        <v>61</v>
      </c>
      <c r="M195" s="1" t="s">
        <v>62</v>
      </c>
      <c r="N195" s="1">
        <v>-108.0</v>
      </c>
      <c r="O195" s="1">
        <v>0.0799481596146696</v>
      </c>
      <c r="P195" s="1" t="s">
        <v>61</v>
      </c>
      <c r="Q195" s="1" t="s">
        <v>61</v>
      </c>
      <c r="R195" s="1">
        <f t="shared" si="1"/>
        <v>0.07994815961</v>
      </c>
      <c r="S195" s="1">
        <f t="shared" si="2"/>
        <v>-108</v>
      </c>
      <c r="T195" s="1">
        <f t="shared" si="3"/>
        <v>1.925925926</v>
      </c>
      <c r="U195" s="1">
        <f t="shared" si="4"/>
        <v>0</v>
      </c>
      <c r="V195" s="3">
        <f t="shared" si="5"/>
        <v>2</v>
      </c>
      <c r="W195" s="3">
        <f t="shared" si="6"/>
        <v>2</v>
      </c>
      <c r="X195" s="3" t="str">
        <f>IFERROR(__xludf.DUMMYFUNCTION("split(B195,"" "")"),"A.")</f>
        <v>A.</v>
      </c>
      <c r="Y195" s="3" t="str">
        <f>IFERROR(__xludf.DUMMYFUNCTION("""COMPUTED_VALUE"""),"Richardson")</f>
        <v>Richardson</v>
      </c>
      <c r="AA195" s="8">
        <v>61.0</v>
      </c>
      <c r="AB195" s="3">
        <f t="shared" si="7"/>
        <v>1</v>
      </c>
      <c r="AC195" s="3">
        <f t="shared" si="8"/>
        <v>0</v>
      </c>
      <c r="AD195" s="3">
        <f t="shared" si="9"/>
        <v>1.851851852</v>
      </c>
      <c r="AE195" s="3">
        <f t="shared" si="10"/>
        <v>-2</v>
      </c>
      <c r="AF195" s="3">
        <f t="shared" si="11"/>
        <v>-2</v>
      </c>
      <c r="AG195" s="3">
        <f t="shared" si="12"/>
        <v>-0.4352941176</v>
      </c>
    </row>
    <row r="196">
      <c r="A196" s="1" t="s">
        <v>11</v>
      </c>
      <c r="B196" s="1" t="s">
        <v>539</v>
      </c>
      <c r="C196" s="1" t="s">
        <v>18</v>
      </c>
      <c r="D196" s="1" t="s">
        <v>71</v>
      </c>
      <c r="E196" s="1" t="s">
        <v>197</v>
      </c>
      <c r="F196" s="1" t="s">
        <v>695</v>
      </c>
      <c r="G196" s="1">
        <v>55.5</v>
      </c>
      <c r="H196" s="1" t="s">
        <v>60</v>
      </c>
      <c r="I196" s="1">
        <v>-123.0</v>
      </c>
      <c r="J196" s="1">
        <v>-0.1228793861586</v>
      </c>
      <c r="K196" s="1" t="s">
        <v>61</v>
      </c>
      <c r="L196" s="1" t="s">
        <v>61</v>
      </c>
      <c r="M196" s="1" t="s">
        <v>62</v>
      </c>
      <c r="N196" s="1">
        <v>-105.0</v>
      </c>
      <c r="O196" s="1">
        <v>0.0591016983685364</v>
      </c>
      <c r="P196" s="1" t="s">
        <v>61</v>
      </c>
      <c r="Q196" s="1" t="s">
        <v>61</v>
      </c>
      <c r="R196" s="1">
        <f t="shared" si="1"/>
        <v>0.05910169837</v>
      </c>
      <c r="S196" s="1">
        <f t="shared" si="2"/>
        <v>-105</v>
      </c>
      <c r="T196" s="1">
        <f t="shared" si="3"/>
        <v>1.952380952</v>
      </c>
      <c r="U196" s="1">
        <f t="shared" si="4"/>
        <v>0</v>
      </c>
      <c r="V196" s="3">
        <f t="shared" si="5"/>
        <v>2</v>
      </c>
      <c r="W196" s="3">
        <f t="shared" si="6"/>
        <v>2</v>
      </c>
      <c r="X196" s="3" t="str">
        <f>IFERROR(__xludf.DUMMYFUNCTION("split(B196,"" "")"),"J.")</f>
        <v>J.</v>
      </c>
      <c r="Y196" s="3" t="str">
        <f>IFERROR(__xludf.DUMMYFUNCTION("""COMPUTED_VALUE"""),"Downs")</f>
        <v>Downs</v>
      </c>
      <c r="AA196" s="8">
        <v>27.0</v>
      </c>
      <c r="AB196" s="3">
        <f t="shared" si="7"/>
        <v>0</v>
      </c>
      <c r="AC196" s="3">
        <f t="shared" si="8"/>
        <v>1</v>
      </c>
      <c r="AD196" s="3">
        <f t="shared" si="9"/>
        <v>1.904761905</v>
      </c>
      <c r="AE196" s="3">
        <f t="shared" si="10"/>
        <v>1.904761905</v>
      </c>
      <c r="AF196" s="3">
        <f t="shared" si="11"/>
        <v>1.904761905</v>
      </c>
      <c r="AG196" s="3">
        <f t="shared" si="12"/>
        <v>0.5135135135</v>
      </c>
    </row>
    <row r="197">
      <c r="A197" s="1" t="s">
        <v>11</v>
      </c>
      <c r="B197" s="1" t="s">
        <v>585</v>
      </c>
      <c r="C197" s="1" t="s">
        <v>20</v>
      </c>
      <c r="D197" s="1" t="s">
        <v>71</v>
      </c>
      <c r="E197" s="1" t="s">
        <v>197</v>
      </c>
      <c r="F197" s="1" t="s">
        <v>695</v>
      </c>
      <c r="G197" s="1">
        <v>6.5</v>
      </c>
      <c r="H197" s="1" t="s">
        <v>60</v>
      </c>
      <c r="I197" s="1">
        <v>-118.0</v>
      </c>
      <c r="J197" s="1">
        <v>0.0551301094265731</v>
      </c>
      <c r="K197" s="1" t="s">
        <v>61</v>
      </c>
      <c r="L197" s="1" t="s">
        <v>61</v>
      </c>
      <c r="M197" s="1" t="s">
        <v>62</v>
      </c>
      <c r="N197" s="1">
        <v>-109.0</v>
      </c>
      <c r="O197" s="1">
        <v>-0.117892825846613</v>
      </c>
      <c r="P197" s="1" t="s">
        <v>61</v>
      </c>
      <c r="Q197" s="1" t="s">
        <v>61</v>
      </c>
      <c r="R197" s="1">
        <f t="shared" si="1"/>
        <v>0.05513010943</v>
      </c>
      <c r="S197" s="1">
        <f t="shared" si="2"/>
        <v>-118</v>
      </c>
      <c r="T197" s="1">
        <f t="shared" si="3"/>
        <v>1.847457627</v>
      </c>
      <c r="U197" s="1">
        <f t="shared" si="4"/>
        <v>1</v>
      </c>
      <c r="V197" s="3">
        <f t="shared" si="5"/>
        <v>2</v>
      </c>
      <c r="W197" s="3">
        <f t="shared" si="6"/>
        <v>3</v>
      </c>
      <c r="X197" s="3" t="str">
        <f>IFERROR(__xludf.DUMMYFUNCTION("split(B197,"" "")"),"M.")</f>
        <v>M.</v>
      </c>
      <c r="Y197" s="3" t="str">
        <f>IFERROR(__xludf.DUMMYFUNCTION("""COMPUTED_VALUE"""),"Alie-Cox")</f>
        <v>Alie-Cox</v>
      </c>
      <c r="AA197" s="8">
        <v>0.0</v>
      </c>
      <c r="AB197" s="3">
        <f t="shared" si="7"/>
        <v>0</v>
      </c>
      <c r="AC197" s="3">
        <f t="shared" si="8"/>
        <v>0</v>
      </c>
      <c r="AD197" s="3">
        <f t="shared" si="9"/>
        <v>1.694915254</v>
      </c>
      <c r="AE197" s="3">
        <f t="shared" si="10"/>
        <v>-2</v>
      </c>
      <c r="AF197" s="3">
        <f t="shared" si="11"/>
        <v>-3</v>
      </c>
      <c r="AG197" s="3">
        <f t="shared" si="12"/>
        <v>-1</v>
      </c>
    </row>
    <row r="198">
      <c r="A198" s="1" t="s">
        <v>8</v>
      </c>
      <c r="B198" s="1" t="s">
        <v>444</v>
      </c>
      <c r="C198" s="1" t="s">
        <v>19</v>
      </c>
      <c r="D198" s="1" t="s">
        <v>71</v>
      </c>
      <c r="E198" s="1" t="s">
        <v>197</v>
      </c>
      <c r="F198" s="1" t="s">
        <v>695</v>
      </c>
      <c r="G198" s="1">
        <v>17.5</v>
      </c>
      <c r="H198" s="1" t="s">
        <v>60</v>
      </c>
      <c r="I198" s="1">
        <v>-119.0</v>
      </c>
      <c r="J198" s="1">
        <v>0.0482840182648403</v>
      </c>
      <c r="K198" s="1" t="s">
        <v>61</v>
      </c>
      <c r="L198" s="1" t="s">
        <v>61</v>
      </c>
      <c r="M198" s="1" t="s">
        <v>62</v>
      </c>
      <c r="N198" s="1">
        <v>-113.0</v>
      </c>
      <c r="O198" s="1">
        <v>-0.122157276995305</v>
      </c>
      <c r="P198" s="1" t="s">
        <v>61</v>
      </c>
      <c r="Q198" s="1" t="s">
        <v>61</v>
      </c>
      <c r="R198" s="1">
        <f t="shared" si="1"/>
        <v>0.04828401826</v>
      </c>
      <c r="S198" s="1">
        <f t="shared" si="2"/>
        <v>-119</v>
      </c>
      <c r="T198" s="1">
        <f t="shared" si="3"/>
        <v>1.840336134</v>
      </c>
      <c r="U198" s="1">
        <f t="shared" si="4"/>
        <v>1</v>
      </c>
      <c r="V198" s="3">
        <f t="shared" si="5"/>
        <v>1</v>
      </c>
      <c r="W198" s="3">
        <f t="shared" si="6"/>
        <v>3</v>
      </c>
      <c r="X198" s="3" t="str">
        <f>IFERROR(__xludf.DUMMYFUNCTION("split(B198,"" "")"),"J.")</f>
        <v>J.</v>
      </c>
      <c r="Y198" s="3" t="str">
        <f>IFERROR(__xludf.DUMMYFUNCTION("""COMPUTED_VALUE"""),"Taylor")</f>
        <v>Taylor</v>
      </c>
      <c r="AA198" s="8">
        <v>11.0</v>
      </c>
      <c r="AB198" s="3">
        <f t="shared" si="7"/>
        <v>0</v>
      </c>
      <c r="AC198" s="3">
        <f t="shared" si="8"/>
        <v>0</v>
      </c>
      <c r="AD198" s="3">
        <f t="shared" si="9"/>
        <v>0.8403361345</v>
      </c>
      <c r="AE198" s="3">
        <f t="shared" si="10"/>
        <v>-1</v>
      </c>
      <c r="AF198" s="3">
        <f t="shared" si="11"/>
        <v>-3</v>
      </c>
      <c r="AG198" s="3">
        <f t="shared" si="12"/>
        <v>-0.3714285714</v>
      </c>
    </row>
    <row r="199">
      <c r="A199" s="1" t="s">
        <v>9</v>
      </c>
      <c r="B199" s="1" t="s">
        <v>217</v>
      </c>
      <c r="C199" s="1" t="s">
        <v>18</v>
      </c>
      <c r="D199" s="1" t="s">
        <v>71</v>
      </c>
      <c r="E199" s="1" t="s">
        <v>197</v>
      </c>
      <c r="F199" s="1" t="s">
        <v>695</v>
      </c>
      <c r="G199" s="1">
        <v>28.5</v>
      </c>
      <c r="H199" s="1" t="s">
        <v>60</v>
      </c>
      <c r="I199" s="1">
        <v>-120.0</v>
      </c>
      <c r="J199" s="1">
        <v>0.0408354256034351</v>
      </c>
      <c r="K199" s="1" t="s">
        <v>61</v>
      </c>
      <c r="L199" s="1" t="s">
        <v>61</v>
      </c>
      <c r="M199" s="1" t="s">
        <v>62</v>
      </c>
      <c r="N199" s="1">
        <v>-110.0</v>
      </c>
      <c r="O199" s="1">
        <v>-0.110128442838244</v>
      </c>
      <c r="P199" s="1" t="s">
        <v>61</v>
      </c>
      <c r="Q199" s="1" t="s">
        <v>61</v>
      </c>
      <c r="R199" s="1">
        <f t="shared" si="1"/>
        <v>0.0408354256</v>
      </c>
      <c r="S199" s="1">
        <f t="shared" si="2"/>
        <v>-120</v>
      </c>
      <c r="T199" s="1">
        <f t="shared" si="3"/>
        <v>1.833333333</v>
      </c>
      <c r="U199" s="1">
        <f t="shared" si="4"/>
        <v>1</v>
      </c>
      <c r="V199" s="3">
        <f t="shared" si="5"/>
        <v>1</v>
      </c>
      <c r="W199" s="3">
        <f t="shared" si="6"/>
        <v>3</v>
      </c>
      <c r="X199" s="3" t="str">
        <f>IFERROR(__xludf.DUMMYFUNCTION("split(B199,"" "")"),"A.")</f>
        <v>A.</v>
      </c>
      <c r="Y199" s="3" t="str">
        <f>IFERROR(__xludf.DUMMYFUNCTION("""COMPUTED_VALUE"""),"Pierce")</f>
        <v>Pierce</v>
      </c>
      <c r="AA199" s="8">
        <v>39.0</v>
      </c>
      <c r="AB199" s="3">
        <f t="shared" si="7"/>
        <v>1</v>
      </c>
      <c r="AC199" s="3">
        <f t="shared" si="8"/>
        <v>1</v>
      </c>
      <c r="AD199" s="3">
        <f t="shared" si="9"/>
        <v>0.8333333333</v>
      </c>
      <c r="AE199" s="3">
        <f t="shared" si="10"/>
        <v>0.8333333333</v>
      </c>
      <c r="AF199" s="3">
        <f t="shared" si="11"/>
        <v>2.5</v>
      </c>
      <c r="AG199" s="3">
        <f t="shared" si="12"/>
        <v>0.3684210526</v>
      </c>
    </row>
    <row r="200">
      <c r="A200" s="1" t="s">
        <v>11</v>
      </c>
      <c r="B200" s="1" t="s">
        <v>391</v>
      </c>
      <c r="C200" s="1" t="s">
        <v>18</v>
      </c>
      <c r="D200" s="1" t="s">
        <v>71</v>
      </c>
      <c r="E200" s="1" t="s">
        <v>197</v>
      </c>
      <c r="F200" s="1" t="s">
        <v>695</v>
      </c>
      <c r="G200" s="1">
        <v>45.5</v>
      </c>
      <c r="H200" s="1" t="s">
        <v>60</v>
      </c>
      <c r="I200" s="1">
        <v>-111.0</v>
      </c>
      <c r="J200" s="1">
        <v>-0.10578810632</v>
      </c>
      <c r="K200" s="1" t="s">
        <v>61</v>
      </c>
      <c r="L200" s="1" t="s">
        <v>61</v>
      </c>
      <c r="M200" s="1" t="s">
        <v>62</v>
      </c>
      <c r="N200" s="1">
        <v>-117.0</v>
      </c>
      <c r="O200" s="1">
        <v>0.040621858787341</v>
      </c>
      <c r="P200" s="1" t="s">
        <v>61</v>
      </c>
      <c r="Q200" s="1" t="s">
        <v>61</v>
      </c>
      <c r="R200" s="1">
        <f t="shared" si="1"/>
        <v>0.04062185879</v>
      </c>
      <c r="S200" s="1">
        <f t="shared" si="2"/>
        <v>-117</v>
      </c>
      <c r="T200" s="1">
        <f t="shared" si="3"/>
        <v>1.854700855</v>
      </c>
      <c r="U200" s="1">
        <f t="shared" si="4"/>
        <v>0</v>
      </c>
      <c r="V200" s="3">
        <f t="shared" si="5"/>
        <v>1</v>
      </c>
      <c r="W200" s="3">
        <f t="shared" si="6"/>
        <v>2</v>
      </c>
      <c r="X200" s="3" t="str">
        <f>IFERROR(__xludf.DUMMYFUNCTION("split(B200,"" "")"),"M.")</f>
        <v>M.</v>
      </c>
      <c r="Y200" s="3" t="str">
        <f>IFERROR(__xludf.DUMMYFUNCTION("""COMPUTED_VALUE"""),"Pittman")</f>
        <v>Pittman</v>
      </c>
      <c r="Z200" s="3" t="str">
        <f>IFERROR(__xludf.DUMMYFUNCTION("""COMPUTED_VALUE"""),"Jr.")</f>
        <v>Jr.</v>
      </c>
      <c r="AA200" s="8">
        <v>96.0</v>
      </c>
      <c r="AB200" s="3">
        <f t="shared" si="7"/>
        <v>1</v>
      </c>
      <c r="AC200" s="3">
        <f t="shared" si="8"/>
        <v>0</v>
      </c>
      <c r="AD200" s="3">
        <f t="shared" si="9"/>
        <v>0.8547008547</v>
      </c>
      <c r="AE200" s="3">
        <f t="shared" si="10"/>
        <v>-1</v>
      </c>
      <c r="AF200" s="3">
        <f t="shared" si="11"/>
        <v>-2</v>
      </c>
      <c r="AG200" s="3">
        <f t="shared" si="12"/>
        <v>-1.10989011</v>
      </c>
    </row>
    <row r="201">
      <c r="A201" s="1" t="s">
        <v>11</v>
      </c>
      <c r="B201" s="1" t="s">
        <v>125</v>
      </c>
      <c r="C201" s="1" t="s">
        <v>18</v>
      </c>
      <c r="D201" s="1" t="s">
        <v>71</v>
      </c>
      <c r="E201" s="1" t="s">
        <v>197</v>
      </c>
      <c r="F201" s="1" t="s">
        <v>695</v>
      </c>
      <c r="G201" s="1">
        <v>11.5</v>
      </c>
      <c r="H201" s="1" t="s">
        <v>60</v>
      </c>
      <c r="I201" s="1">
        <v>-113.0</v>
      </c>
      <c r="J201" s="1">
        <v>0.0386449525536763</v>
      </c>
      <c r="K201" s="1" t="s">
        <v>61</v>
      </c>
      <c r="L201" s="1" t="s">
        <v>61</v>
      </c>
      <c r="M201" s="1" t="s">
        <v>62</v>
      </c>
      <c r="N201" s="1">
        <v>-114.0</v>
      </c>
      <c r="O201" s="1">
        <v>-0.101812595229363</v>
      </c>
      <c r="P201" s="1" t="s">
        <v>61</v>
      </c>
      <c r="Q201" s="1" t="s">
        <v>61</v>
      </c>
      <c r="R201" s="1">
        <f t="shared" si="1"/>
        <v>0.03864495255</v>
      </c>
      <c r="S201" s="1">
        <f t="shared" si="2"/>
        <v>-113</v>
      </c>
      <c r="T201" s="1">
        <f t="shared" si="3"/>
        <v>1.884955752</v>
      </c>
      <c r="U201" s="1">
        <f t="shared" si="4"/>
        <v>1</v>
      </c>
      <c r="V201" s="3">
        <f t="shared" si="5"/>
        <v>1</v>
      </c>
      <c r="W201" s="3">
        <f t="shared" si="6"/>
        <v>2</v>
      </c>
      <c r="X201" s="3" t="str">
        <f>IFERROR(__xludf.DUMMYFUNCTION("split(B201,"" "")"),"A.")</f>
        <v>A.</v>
      </c>
      <c r="Y201" s="3" t="str">
        <f>IFERROR(__xludf.DUMMYFUNCTION("""COMPUTED_VALUE"""),"Mitchell")</f>
        <v>Mitchell</v>
      </c>
      <c r="AA201" s="8">
        <v>10.0</v>
      </c>
      <c r="AB201" s="3">
        <f t="shared" si="7"/>
        <v>0</v>
      </c>
      <c r="AC201" s="3">
        <f t="shared" si="8"/>
        <v>0</v>
      </c>
      <c r="AD201" s="3">
        <f t="shared" si="9"/>
        <v>0.8849557522</v>
      </c>
      <c r="AE201" s="3">
        <f t="shared" si="10"/>
        <v>-1</v>
      </c>
      <c r="AF201" s="3">
        <f t="shared" si="11"/>
        <v>-2</v>
      </c>
      <c r="AG201" s="3">
        <f t="shared" si="12"/>
        <v>-0.1304347826</v>
      </c>
    </row>
    <row r="202">
      <c r="A202" s="1" t="s">
        <v>11</v>
      </c>
      <c r="B202" s="1" t="s">
        <v>70</v>
      </c>
      <c r="C202" s="1" t="s">
        <v>20</v>
      </c>
      <c r="D202" s="1" t="s">
        <v>71</v>
      </c>
      <c r="E202" s="1" t="s">
        <v>197</v>
      </c>
      <c r="F202" s="1" t="s">
        <v>695</v>
      </c>
      <c r="G202" s="1">
        <v>7.5</v>
      </c>
      <c r="H202" s="1" t="s">
        <v>60</v>
      </c>
      <c r="I202" s="1">
        <v>-118.0</v>
      </c>
      <c r="J202" s="1">
        <v>0.0377063477273419</v>
      </c>
      <c r="K202" s="1" t="s">
        <v>61</v>
      </c>
      <c r="L202" s="1" t="s">
        <v>61</v>
      </c>
      <c r="M202" s="1" t="s">
        <v>62</v>
      </c>
      <c r="N202" s="1">
        <v>-109.0</v>
      </c>
      <c r="O202" s="1">
        <v>-0.100506891612301</v>
      </c>
      <c r="P202" s="1" t="s">
        <v>61</v>
      </c>
      <c r="Q202" s="1" t="s">
        <v>61</v>
      </c>
      <c r="R202" s="1">
        <f t="shared" si="1"/>
        <v>0.03770634773</v>
      </c>
      <c r="S202" s="1">
        <f t="shared" si="2"/>
        <v>-118</v>
      </c>
      <c r="T202" s="1">
        <f t="shared" si="3"/>
        <v>1.847457627</v>
      </c>
      <c r="U202" s="1">
        <f t="shared" si="4"/>
        <v>1</v>
      </c>
      <c r="V202" s="3">
        <f t="shared" si="5"/>
        <v>1</v>
      </c>
      <c r="W202" s="3">
        <f t="shared" si="6"/>
        <v>3</v>
      </c>
      <c r="X202" s="3" t="str">
        <f>IFERROR(__xludf.DUMMYFUNCTION("split(B202,"" "")"),"K.")</f>
        <v>K.</v>
      </c>
      <c r="Y202" s="3" t="str">
        <f>IFERROR(__xludf.DUMMYFUNCTION("""COMPUTED_VALUE"""),"Granson")</f>
        <v>Granson</v>
      </c>
      <c r="AA202" s="8">
        <v>0.0</v>
      </c>
      <c r="AB202" s="3">
        <f t="shared" si="7"/>
        <v>0</v>
      </c>
      <c r="AC202" s="3">
        <f t="shared" si="8"/>
        <v>0</v>
      </c>
      <c r="AD202" s="3">
        <f t="shared" si="9"/>
        <v>0.8474576271</v>
      </c>
      <c r="AE202" s="3">
        <f t="shared" si="10"/>
        <v>-1</v>
      </c>
      <c r="AF202" s="3">
        <f t="shared" si="11"/>
        <v>-3</v>
      </c>
      <c r="AG202" s="3">
        <f t="shared" si="12"/>
        <v>-1</v>
      </c>
    </row>
    <row r="203">
      <c r="A203" s="1" t="s">
        <v>16</v>
      </c>
      <c r="B203" s="1" t="s">
        <v>200</v>
      </c>
      <c r="C203" s="1" t="s">
        <v>21</v>
      </c>
      <c r="D203" s="1" t="s">
        <v>71</v>
      </c>
      <c r="E203" s="1" t="s">
        <v>197</v>
      </c>
      <c r="F203" s="1" t="s">
        <v>695</v>
      </c>
      <c r="G203" s="1">
        <v>30.5</v>
      </c>
      <c r="H203" s="1" t="s">
        <v>60</v>
      </c>
      <c r="I203" s="1">
        <v>-101.0</v>
      </c>
      <c r="J203" s="1">
        <v>-0.100185455820895</v>
      </c>
      <c r="K203" s="1" t="s">
        <v>61</v>
      </c>
      <c r="L203" s="1" t="s">
        <v>61</v>
      </c>
      <c r="M203" s="1" t="s">
        <v>62</v>
      </c>
      <c r="N203" s="1">
        <v>-128.0</v>
      </c>
      <c r="O203" s="1">
        <v>0.0362941143578948</v>
      </c>
      <c r="P203" s="1" t="s">
        <v>61</v>
      </c>
      <c r="Q203" s="1" t="s">
        <v>61</v>
      </c>
      <c r="R203" s="1">
        <f t="shared" si="1"/>
        <v>0.03629411436</v>
      </c>
      <c r="S203" s="1">
        <f t="shared" si="2"/>
        <v>-128</v>
      </c>
      <c r="T203" s="1">
        <f t="shared" si="3"/>
        <v>1.78125</v>
      </c>
      <c r="U203" s="1">
        <f t="shared" si="4"/>
        <v>0</v>
      </c>
      <c r="V203" s="3">
        <f t="shared" si="5"/>
        <v>1</v>
      </c>
      <c r="W203" s="3">
        <f t="shared" si="6"/>
        <v>3</v>
      </c>
      <c r="X203" s="3" t="str">
        <f>IFERROR(__xludf.DUMMYFUNCTION("split(B203,"" "")"),"A.")</f>
        <v>A.</v>
      </c>
      <c r="Y203" s="3" t="str">
        <f>IFERROR(__xludf.DUMMYFUNCTION("""COMPUTED_VALUE"""),"Richardson")</f>
        <v>Richardson</v>
      </c>
      <c r="AA203" s="8">
        <v>28.0</v>
      </c>
      <c r="AB203" s="3">
        <f t="shared" si="7"/>
        <v>0</v>
      </c>
      <c r="AC203" s="3">
        <f t="shared" si="8"/>
        <v>1</v>
      </c>
      <c r="AD203" s="3">
        <f t="shared" si="9"/>
        <v>0.78125</v>
      </c>
      <c r="AE203" s="3">
        <f t="shared" si="10"/>
        <v>0.78125</v>
      </c>
      <c r="AF203" s="3">
        <f t="shared" si="11"/>
        <v>2.34375</v>
      </c>
      <c r="AG203" s="3">
        <f t="shared" si="12"/>
        <v>0.08196721311</v>
      </c>
    </row>
    <row r="204">
      <c r="A204" s="1" t="s">
        <v>12</v>
      </c>
      <c r="B204" s="1" t="s">
        <v>539</v>
      </c>
      <c r="C204" s="1" t="s">
        <v>18</v>
      </c>
      <c r="D204" s="1" t="s">
        <v>71</v>
      </c>
      <c r="E204" s="1" t="s">
        <v>197</v>
      </c>
      <c r="F204" s="1" t="s">
        <v>695</v>
      </c>
      <c r="G204" s="1">
        <v>4.5</v>
      </c>
      <c r="H204" s="1" t="s">
        <v>60</v>
      </c>
      <c r="I204" s="1">
        <v>-125.0</v>
      </c>
      <c r="J204" s="1">
        <v>-0.102566666666666</v>
      </c>
      <c r="K204" s="1" t="s">
        <v>61</v>
      </c>
      <c r="L204" s="1" t="s">
        <v>61</v>
      </c>
      <c r="M204" s="1" t="s">
        <v>62</v>
      </c>
      <c r="N204" s="1">
        <v>-107.0</v>
      </c>
      <c r="O204" s="1">
        <v>0.0300884057971014</v>
      </c>
      <c r="P204" s="1" t="s">
        <v>61</v>
      </c>
      <c r="Q204" s="1" t="s">
        <v>61</v>
      </c>
      <c r="R204" s="1">
        <f t="shared" si="1"/>
        <v>0.0300884058</v>
      </c>
      <c r="S204" s="1">
        <f t="shared" si="2"/>
        <v>-107</v>
      </c>
      <c r="T204" s="1">
        <f t="shared" si="3"/>
        <v>1.934579439</v>
      </c>
      <c r="U204" s="1">
        <f t="shared" si="4"/>
        <v>0</v>
      </c>
      <c r="V204" s="3">
        <f t="shared" si="5"/>
        <v>1</v>
      </c>
      <c r="W204" s="3">
        <f t="shared" si="6"/>
        <v>2</v>
      </c>
      <c r="X204" s="3" t="str">
        <f>IFERROR(__xludf.DUMMYFUNCTION("split(B204,"" "")"),"J.")</f>
        <v>J.</v>
      </c>
      <c r="Y204" s="3" t="str">
        <f>IFERROR(__xludf.DUMMYFUNCTION("""COMPUTED_VALUE"""),"Downs")</f>
        <v>Downs</v>
      </c>
      <c r="AA204" s="8">
        <v>3.0</v>
      </c>
      <c r="AB204" s="3">
        <f t="shared" si="7"/>
        <v>0</v>
      </c>
      <c r="AC204" s="3">
        <f t="shared" si="8"/>
        <v>1</v>
      </c>
      <c r="AD204" s="3">
        <f t="shared" si="9"/>
        <v>0.9345794393</v>
      </c>
      <c r="AE204" s="3">
        <f t="shared" si="10"/>
        <v>0.9345794393</v>
      </c>
      <c r="AF204" s="3">
        <f t="shared" si="11"/>
        <v>1.869158879</v>
      </c>
      <c r="AG204" s="3">
        <f t="shared" si="12"/>
        <v>0.3333333333</v>
      </c>
    </row>
    <row r="205">
      <c r="A205" s="1" t="s">
        <v>11</v>
      </c>
      <c r="B205" s="1" t="s">
        <v>444</v>
      </c>
      <c r="C205" s="1" t="s">
        <v>19</v>
      </c>
      <c r="D205" s="1" t="s">
        <v>71</v>
      </c>
      <c r="E205" s="1" t="s">
        <v>197</v>
      </c>
      <c r="F205" s="1" t="s">
        <v>695</v>
      </c>
      <c r="G205" s="1">
        <v>10.5</v>
      </c>
      <c r="H205" s="1" t="s">
        <v>60</v>
      </c>
      <c r="I205" s="1">
        <v>-115.0</v>
      </c>
      <c r="J205" s="1">
        <v>0.0153500544339632</v>
      </c>
      <c r="K205" s="1" t="s">
        <v>61</v>
      </c>
      <c r="L205" s="1" t="s">
        <v>61</v>
      </c>
      <c r="M205" s="1" t="s">
        <v>62</v>
      </c>
      <c r="N205" s="1">
        <v>-117.0</v>
      </c>
      <c r="O205" s="1">
        <v>-0.0894096598749467</v>
      </c>
      <c r="P205" s="1" t="s">
        <v>61</v>
      </c>
      <c r="Q205" s="1" t="s">
        <v>61</v>
      </c>
      <c r="R205" s="1">
        <f t="shared" si="1"/>
        <v>0.01535005443</v>
      </c>
      <c r="S205" s="1">
        <f t="shared" si="2"/>
        <v>-115</v>
      </c>
      <c r="T205" s="1">
        <f t="shared" si="3"/>
        <v>1.869565217</v>
      </c>
      <c r="U205" s="1">
        <f t="shared" si="4"/>
        <v>1</v>
      </c>
      <c r="V205" s="3">
        <f t="shared" si="5"/>
        <v>1</v>
      </c>
      <c r="W205" s="3">
        <f t="shared" si="6"/>
        <v>2</v>
      </c>
      <c r="X205" s="3" t="str">
        <f>IFERROR(__xludf.DUMMYFUNCTION("split(B205,"" "")"),"J.")</f>
        <v>J.</v>
      </c>
      <c r="Y205" s="3" t="str">
        <f>IFERROR(__xludf.DUMMYFUNCTION("""COMPUTED_VALUE"""),"Taylor")</f>
        <v>Taylor</v>
      </c>
      <c r="AA205" s="8">
        <v>0.0</v>
      </c>
      <c r="AB205" s="3">
        <f t="shared" si="7"/>
        <v>0</v>
      </c>
      <c r="AC205" s="3">
        <f t="shared" si="8"/>
        <v>0</v>
      </c>
      <c r="AD205" s="3">
        <f t="shared" si="9"/>
        <v>0.8695652174</v>
      </c>
      <c r="AE205" s="3">
        <f t="shared" si="10"/>
        <v>-1</v>
      </c>
      <c r="AF205" s="3">
        <f t="shared" si="11"/>
        <v>-2</v>
      </c>
      <c r="AG205" s="3">
        <f t="shared" si="12"/>
        <v>-1</v>
      </c>
    </row>
    <row r="206">
      <c r="A206" s="1" t="s">
        <v>12</v>
      </c>
      <c r="B206" s="1" t="s">
        <v>217</v>
      </c>
      <c r="C206" s="1" t="s">
        <v>18</v>
      </c>
      <c r="D206" s="1" t="s">
        <v>71</v>
      </c>
      <c r="E206" s="1" t="s">
        <v>197</v>
      </c>
      <c r="F206" s="1" t="s">
        <v>695</v>
      </c>
      <c r="G206" s="1">
        <v>2.5</v>
      </c>
      <c r="H206" s="1" t="s">
        <v>60</v>
      </c>
      <c r="I206" s="1">
        <v>142.0</v>
      </c>
      <c r="J206" s="1">
        <v>-0.0829626055438016</v>
      </c>
      <c r="K206" s="1" t="s">
        <v>61</v>
      </c>
      <c r="L206" s="1" t="s">
        <v>61</v>
      </c>
      <c r="M206" s="1" t="s">
        <v>62</v>
      </c>
      <c r="N206" s="1">
        <v>-192.0</v>
      </c>
      <c r="O206" s="1">
        <v>0.0121979187726027</v>
      </c>
      <c r="P206" s="1" t="s">
        <v>61</v>
      </c>
      <c r="Q206" s="1" t="s">
        <v>61</v>
      </c>
      <c r="R206" s="1">
        <f t="shared" si="1"/>
        <v>0.01219791877</v>
      </c>
      <c r="S206" s="1">
        <f t="shared" si="2"/>
        <v>-192</v>
      </c>
      <c r="T206" s="1">
        <f t="shared" si="3"/>
        <v>1.520833333</v>
      </c>
      <c r="U206" s="1">
        <f t="shared" si="4"/>
        <v>0</v>
      </c>
      <c r="V206" s="3">
        <f t="shared" si="5"/>
        <v>1</v>
      </c>
      <c r="W206" s="3">
        <f t="shared" si="6"/>
        <v>3</v>
      </c>
      <c r="X206" s="3" t="str">
        <f>IFERROR(__xludf.DUMMYFUNCTION("split(B206,"" "")"),"A.")</f>
        <v>A.</v>
      </c>
      <c r="Y206" s="3" t="str">
        <f>IFERROR(__xludf.DUMMYFUNCTION("""COMPUTED_VALUE"""),"Pierce")</f>
        <v>Pierce</v>
      </c>
      <c r="AA206" s="8">
        <v>1.0</v>
      </c>
      <c r="AB206" s="3">
        <f t="shared" si="7"/>
        <v>0</v>
      </c>
      <c r="AC206" s="3">
        <f t="shared" si="8"/>
        <v>1</v>
      </c>
      <c r="AD206" s="3">
        <f t="shared" si="9"/>
        <v>0.5208333333</v>
      </c>
      <c r="AE206" s="3">
        <f t="shared" si="10"/>
        <v>0.5208333333</v>
      </c>
      <c r="AF206" s="3">
        <f t="shared" si="11"/>
        <v>1.5625</v>
      </c>
      <c r="AG206" s="3">
        <f t="shared" si="12"/>
        <v>0.6</v>
      </c>
    </row>
    <row r="207">
      <c r="A207" s="1" t="s">
        <v>14</v>
      </c>
      <c r="B207" s="1" t="s">
        <v>200</v>
      </c>
      <c r="C207" s="1" t="s">
        <v>21</v>
      </c>
      <c r="D207" s="1" t="s">
        <v>71</v>
      </c>
      <c r="E207" s="1" t="s">
        <v>197</v>
      </c>
      <c r="F207" s="1" t="s">
        <v>695</v>
      </c>
      <c r="G207" s="1">
        <v>1.5</v>
      </c>
      <c r="H207" s="1" t="s">
        <v>60</v>
      </c>
      <c r="I207" s="1">
        <v>196.0</v>
      </c>
      <c r="J207" s="1">
        <v>0.0121959459459459</v>
      </c>
      <c r="K207" s="1" t="s">
        <v>61</v>
      </c>
      <c r="L207" s="1" t="s">
        <v>61</v>
      </c>
      <c r="M207" s="1" t="s">
        <v>62</v>
      </c>
      <c r="N207" s="1">
        <v>-262.0</v>
      </c>
      <c r="O207" s="1">
        <v>-0.0737845303867403</v>
      </c>
      <c r="P207" s="1" t="s">
        <v>61</v>
      </c>
      <c r="Q207" s="1" t="s">
        <v>61</v>
      </c>
      <c r="R207" s="1">
        <f t="shared" si="1"/>
        <v>0.01219594595</v>
      </c>
      <c r="S207" s="1">
        <f t="shared" si="2"/>
        <v>196</v>
      </c>
      <c r="T207" s="1">
        <f t="shared" si="3"/>
        <v>2.96</v>
      </c>
      <c r="U207" s="1">
        <f t="shared" si="4"/>
        <v>1</v>
      </c>
      <c r="V207" s="3">
        <f t="shared" si="5"/>
        <v>1</v>
      </c>
      <c r="W207" s="3">
        <f t="shared" si="6"/>
        <v>1</v>
      </c>
      <c r="X207" s="3" t="str">
        <f>IFERROR(__xludf.DUMMYFUNCTION("split(B207,"" "")"),"A.")</f>
        <v>A.</v>
      </c>
      <c r="Y207" s="3" t="str">
        <f>IFERROR(__xludf.DUMMYFUNCTION("""COMPUTED_VALUE"""),"Richardson")</f>
        <v>Richardson</v>
      </c>
      <c r="AA207" s="8">
        <v>0.0</v>
      </c>
      <c r="AB207" s="3">
        <f t="shared" si="7"/>
        <v>0</v>
      </c>
      <c r="AC207" s="3">
        <f t="shared" si="8"/>
        <v>0</v>
      </c>
      <c r="AD207" s="3">
        <f t="shared" si="9"/>
        <v>1.96</v>
      </c>
      <c r="AE207" s="3">
        <f t="shared" si="10"/>
        <v>-1</v>
      </c>
      <c r="AF207" s="3">
        <f t="shared" si="11"/>
        <v>-1</v>
      </c>
      <c r="AG207" s="3">
        <f t="shared" si="12"/>
        <v>-1</v>
      </c>
    </row>
    <row r="208">
      <c r="A208" s="1" t="s">
        <v>11</v>
      </c>
      <c r="B208" s="1" t="s">
        <v>217</v>
      </c>
      <c r="C208" s="1" t="s">
        <v>18</v>
      </c>
      <c r="D208" s="1" t="s">
        <v>71</v>
      </c>
      <c r="E208" s="1" t="s">
        <v>197</v>
      </c>
      <c r="F208" s="1" t="s">
        <v>695</v>
      </c>
      <c r="G208" s="1">
        <v>28.5</v>
      </c>
      <c r="H208" s="1" t="s">
        <v>60</v>
      </c>
      <c r="I208" s="1">
        <v>-117.0</v>
      </c>
      <c r="J208" s="1">
        <v>-0.0660721482947928</v>
      </c>
      <c r="K208" s="1" t="s">
        <v>61</v>
      </c>
      <c r="L208" s="1" t="s">
        <v>61</v>
      </c>
      <c r="M208" s="1" t="s">
        <v>62</v>
      </c>
      <c r="N208" s="1">
        <v>-110.0</v>
      </c>
      <c r="O208" s="1">
        <v>0.00311871256208107</v>
      </c>
      <c r="P208" s="1" t="s">
        <v>61</v>
      </c>
      <c r="Q208" s="1" t="s">
        <v>61</v>
      </c>
      <c r="R208" s="1">
        <f t="shared" si="1"/>
        <v>0.003118712562</v>
      </c>
      <c r="S208" s="1">
        <f t="shared" si="2"/>
        <v>-110</v>
      </c>
      <c r="T208" s="1">
        <f t="shared" si="3"/>
        <v>1.909090909</v>
      </c>
      <c r="U208" s="1">
        <f t="shared" si="4"/>
        <v>0</v>
      </c>
      <c r="V208" s="3">
        <f t="shared" si="5"/>
        <v>1</v>
      </c>
      <c r="W208" s="3">
        <f t="shared" si="6"/>
        <v>2</v>
      </c>
      <c r="X208" s="3" t="str">
        <f>IFERROR(__xludf.DUMMYFUNCTION("split(B208,"" "")"),"A.")</f>
        <v>A.</v>
      </c>
      <c r="Y208" s="3" t="str">
        <f>IFERROR(__xludf.DUMMYFUNCTION("""COMPUTED_VALUE"""),"Pierce")</f>
        <v>Pierce</v>
      </c>
      <c r="AA208" s="8">
        <v>39.0</v>
      </c>
      <c r="AB208" s="3">
        <f t="shared" si="7"/>
        <v>1</v>
      </c>
      <c r="AC208" s="3">
        <f t="shared" si="8"/>
        <v>0</v>
      </c>
      <c r="AD208" s="3">
        <f t="shared" si="9"/>
        <v>0.9090909091</v>
      </c>
      <c r="AE208" s="3">
        <f t="shared" si="10"/>
        <v>-1</v>
      </c>
      <c r="AF208" s="3">
        <f t="shared" si="11"/>
        <v>-2</v>
      </c>
      <c r="AG208" s="3">
        <f t="shared" si="12"/>
        <v>-0.3684210526</v>
      </c>
    </row>
    <row r="209">
      <c r="A209" s="1" t="s">
        <v>12</v>
      </c>
      <c r="B209" s="1" t="s">
        <v>326</v>
      </c>
      <c r="C209" s="1" t="s">
        <v>20</v>
      </c>
      <c r="D209" s="1" t="s">
        <v>76</v>
      </c>
      <c r="E209" s="1" t="s">
        <v>57</v>
      </c>
      <c r="F209" s="1" t="s">
        <v>695</v>
      </c>
      <c r="G209" s="1">
        <v>6.5</v>
      </c>
      <c r="H209" s="1" t="s">
        <v>60</v>
      </c>
      <c r="I209" s="1">
        <v>114.0</v>
      </c>
      <c r="J209" s="1">
        <v>0.200916822429906</v>
      </c>
      <c r="K209" s="1" t="s">
        <v>61</v>
      </c>
      <c r="L209" s="1" t="s">
        <v>61</v>
      </c>
      <c r="M209" s="1" t="s">
        <v>62</v>
      </c>
      <c r="N209" s="1">
        <v>-150.0</v>
      </c>
      <c r="O209" s="1">
        <v>-0.26822</v>
      </c>
      <c r="P209" s="1" t="s">
        <v>61</v>
      </c>
      <c r="Q209" s="1" t="s">
        <v>61</v>
      </c>
      <c r="R209" s="1">
        <f t="shared" si="1"/>
        <v>0.2009168224</v>
      </c>
      <c r="S209" s="1">
        <f t="shared" si="2"/>
        <v>114</v>
      </c>
      <c r="T209" s="1">
        <f t="shared" si="3"/>
        <v>2.14</v>
      </c>
      <c r="U209" s="1">
        <f t="shared" si="4"/>
        <v>1</v>
      </c>
      <c r="V209" s="3">
        <f t="shared" si="5"/>
        <v>3</v>
      </c>
      <c r="W209" s="3">
        <f t="shared" si="6"/>
        <v>1</v>
      </c>
      <c r="X209" s="3" t="str">
        <f>IFERROR(__xludf.DUMMYFUNCTION("split(B209,"" "")"),"T.")</f>
        <v>T.</v>
      </c>
      <c r="Y209" s="3" t="str">
        <f>IFERROR(__xludf.DUMMYFUNCTION("""COMPUTED_VALUE"""),"Kelce")</f>
        <v>Kelce</v>
      </c>
      <c r="AA209" s="8">
        <v>6.0</v>
      </c>
      <c r="AB209" s="3">
        <f t="shared" si="7"/>
        <v>0</v>
      </c>
      <c r="AC209" s="3">
        <f t="shared" si="8"/>
        <v>0</v>
      </c>
      <c r="AD209" s="3">
        <f t="shared" si="9"/>
        <v>3.42</v>
      </c>
      <c r="AE209" s="3">
        <f t="shared" si="10"/>
        <v>-3</v>
      </c>
      <c r="AF209" s="3">
        <f t="shared" si="11"/>
        <v>-1</v>
      </c>
      <c r="AG209" s="3">
        <f t="shared" si="12"/>
        <v>-0.07692307692</v>
      </c>
    </row>
    <row r="210">
      <c r="A210" s="1" t="s">
        <v>12</v>
      </c>
      <c r="B210" s="1" t="s">
        <v>468</v>
      </c>
      <c r="C210" s="1" t="s">
        <v>20</v>
      </c>
      <c r="D210" s="1" t="s">
        <v>76</v>
      </c>
      <c r="E210" s="1" t="s">
        <v>57</v>
      </c>
      <c r="F210" s="1" t="s">
        <v>695</v>
      </c>
      <c r="G210" s="1">
        <v>1.5</v>
      </c>
      <c r="H210" s="1" t="s">
        <v>60</v>
      </c>
      <c r="I210" s="1">
        <v>-184.0</v>
      </c>
      <c r="J210" s="1">
        <v>-0.252556818510563</v>
      </c>
      <c r="K210" s="1" t="s">
        <v>61</v>
      </c>
      <c r="L210" s="1" t="s">
        <v>61</v>
      </c>
      <c r="M210" s="1" t="s">
        <v>62</v>
      </c>
      <c r="N210" s="1">
        <v>140.0</v>
      </c>
      <c r="O210" s="1">
        <v>0.188015568570833</v>
      </c>
      <c r="P210" s="1" t="s">
        <v>61</v>
      </c>
      <c r="Q210" s="1" t="s">
        <v>61</v>
      </c>
      <c r="R210" s="1">
        <f t="shared" si="1"/>
        <v>0.1880155686</v>
      </c>
      <c r="S210" s="1">
        <f t="shared" si="2"/>
        <v>140</v>
      </c>
      <c r="T210" s="1">
        <f t="shared" si="3"/>
        <v>2.4</v>
      </c>
      <c r="U210" s="1">
        <f t="shared" si="4"/>
        <v>0</v>
      </c>
      <c r="V210" s="3">
        <f t="shared" si="5"/>
        <v>3</v>
      </c>
      <c r="W210" s="3">
        <f t="shared" si="6"/>
        <v>1</v>
      </c>
      <c r="X210" s="3" t="str">
        <f>IFERROR(__xludf.DUMMYFUNCTION("split(B210,"" "")"),"N.")</f>
        <v>N.</v>
      </c>
      <c r="Y210" s="3" t="str">
        <f>IFERROR(__xludf.DUMMYFUNCTION("""COMPUTED_VALUE"""),"Gray")</f>
        <v>Gray</v>
      </c>
      <c r="AA210" s="8">
        <v>4.0</v>
      </c>
      <c r="AB210" s="3">
        <f t="shared" si="7"/>
        <v>1</v>
      </c>
      <c r="AC210" s="3">
        <f t="shared" si="8"/>
        <v>0</v>
      </c>
      <c r="AD210" s="3">
        <f t="shared" si="9"/>
        <v>4.2</v>
      </c>
      <c r="AE210" s="3">
        <f t="shared" si="10"/>
        <v>-3</v>
      </c>
      <c r="AF210" s="3">
        <f t="shared" si="11"/>
        <v>-1</v>
      </c>
      <c r="AG210" s="3">
        <f t="shared" si="12"/>
        <v>-1.666666667</v>
      </c>
    </row>
    <row r="211">
      <c r="A211" s="1" t="s">
        <v>9</v>
      </c>
      <c r="B211" s="1" t="s">
        <v>237</v>
      </c>
      <c r="C211" s="1" t="s">
        <v>18</v>
      </c>
      <c r="D211" s="1" t="s">
        <v>76</v>
      </c>
      <c r="E211" s="1" t="s">
        <v>57</v>
      </c>
      <c r="F211" s="1" t="s">
        <v>695</v>
      </c>
      <c r="G211" s="1">
        <v>13.5</v>
      </c>
      <c r="H211" s="1" t="s">
        <v>60</v>
      </c>
      <c r="I211" s="1">
        <v>-110.0</v>
      </c>
      <c r="J211" s="1">
        <v>0.181665466457525</v>
      </c>
      <c r="K211" s="1" t="s">
        <v>61</v>
      </c>
      <c r="L211" s="1" t="s">
        <v>61</v>
      </c>
      <c r="M211" s="1" t="s">
        <v>62</v>
      </c>
      <c r="N211" s="1">
        <v>-120.0</v>
      </c>
      <c r="O211" s="1">
        <v>-0.250867716124075</v>
      </c>
      <c r="P211" s="1" t="s">
        <v>61</v>
      </c>
      <c r="Q211" s="1" t="s">
        <v>61</v>
      </c>
      <c r="R211" s="1">
        <f t="shared" si="1"/>
        <v>0.1816654665</v>
      </c>
      <c r="S211" s="1">
        <f t="shared" si="2"/>
        <v>-110</v>
      </c>
      <c r="T211" s="1">
        <f t="shared" si="3"/>
        <v>1.909090909</v>
      </c>
      <c r="U211" s="1">
        <f t="shared" si="4"/>
        <v>1</v>
      </c>
      <c r="V211" s="3">
        <f t="shared" si="5"/>
        <v>3</v>
      </c>
      <c r="W211" s="3">
        <f t="shared" si="6"/>
        <v>2</v>
      </c>
      <c r="X211" s="3" t="str">
        <f>IFERROR(__xludf.DUMMYFUNCTION("split(B211,"" "")"),"J.")</f>
        <v>J.</v>
      </c>
      <c r="Y211" s="3" t="str">
        <f>IFERROR(__xludf.DUMMYFUNCTION("""COMPUTED_VALUE"""),"Watson")</f>
        <v>Watson</v>
      </c>
      <c r="AA211" s="8">
        <v>15.0</v>
      </c>
      <c r="AB211" s="3">
        <f t="shared" si="7"/>
        <v>1</v>
      </c>
      <c r="AC211" s="3">
        <f t="shared" si="8"/>
        <v>1</v>
      </c>
      <c r="AD211" s="3">
        <f t="shared" si="9"/>
        <v>2.727272727</v>
      </c>
      <c r="AE211" s="3">
        <f t="shared" si="10"/>
        <v>2.727272727</v>
      </c>
      <c r="AF211" s="3">
        <f t="shared" si="11"/>
        <v>1.818181818</v>
      </c>
      <c r="AG211" s="3">
        <f t="shared" si="12"/>
        <v>0.1111111111</v>
      </c>
    </row>
    <row r="212">
      <c r="A212" s="1" t="s">
        <v>12</v>
      </c>
      <c r="B212" s="1" t="s">
        <v>591</v>
      </c>
      <c r="C212" s="1" t="s">
        <v>19</v>
      </c>
      <c r="D212" s="1" t="s">
        <v>76</v>
      </c>
      <c r="E212" s="1" t="s">
        <v>57</v>
      </c>
      <c r="F212" s="1" t="s">
        <v>695</v>
      </c>
      <c r="G212" s="1">
        <v>1.5</v>
      </c>
      <c r="H212" s="1" t="s">
        <v>60</v>
      </c>
      <c r="I212" s="1">
        <v>-147.0</v>
      </c>
      <c r="J212" s="1">
        <v>-0.225292678595141</v>
      </c>
      <c r="K212" s="1" t="s">
        <v>61</v>
      </c>
      <c r="L212" s="1" t="s">
        <v>61</v>
      </c>
      <c r="M212" s="1" t="s">
        <v>62</v>
      </c>
      <c r="N212" s="1">
        <v>113.0</v>
      </c>
      <c r="O212" s="1">
        <v>0.160659585037558</v>
      </c>
      <c r="P212" s="1" t="s">
        <v>61</v>
      </c>
      <c r="Q212" s="1" t="s">
        <v>61</v>
      </c>
      <c r="R212" s="1">
        <f t="shared" si="1"/>
        <v>0.160659585</v>
      </c>
      <c r="S212" s="1">
        <f t="shared" si="2"/>
        <v>113</v>
      </c>
      <c r="T212" s="1">
        <f t="shared" si="3"/>
        <v>2.13</v>
      </c>
      <c r="U212" s="1">
        <f t="shared" si="4"/>
        <v>0</v>
      </c>
      <c r="V212" s="3">
        <f t="shared" si="5"/>
        <v>3</v>
      </c>
      <c r="W212" s="3">
        <f t="shared" si="6"/>
        <v>1</v>
      </c>
      <c r="X212" s="3" t="str">
        <f>IFERROR(__xludf.DUMMYFUNCTION("split(B212,"" "")"),"K.")</f>
        <v>K.</v>
      </c>
      <c r="Y212" s="3" t="str">
        <f>IFERROR(__xludf.DUMMYFUNCTION("""COMPUTED_VALUE"""),"Hunt")</f>
        <v>Hunt</v>
      </c>
      <c r="AA212" s="8">
        <v>3.0</v>
      </c>
      <c r="AB212" s="3">
        <f t="shared" si="7"/>
        <v>1</v>
      </c>
      <c r="AC212" s="3">
        <f t="shared" si="8"/>
        <v>0</v>
      </c>
      <c r="AD212" s="3">
        <f t="shared" si="9"/>
        <v>3.39</v>
      </c>
      <c r="AE212" s="3">
        <f t="shared" si="10"/>
        <v>-3</v>
      </c>
      <c r="AF212" s="3">
        <f t="shared" si="11"/>
        <v>-1</v>
      </c>
      <c r="AG212" s="3">
        <f t="shared" si="12"/>
        <v>-1</v>
      </c>
    </row>
    <row r="213">
      <c r="A213" s="1" t="s">
        <v>9</v>
      </c>
      <c r="B213" s="1" t="s">
        <v>590</v>
      </c>
      <c r="C213" s="1" t="s">
        <v>18</v>
      </c>
      <c r="D213" s="1" t="s">
        <v>76</v>
      </c>
      <c r="E213" s="1" t="s">
        <v>57</v>
      </c>
      <c r="F213" s="1" t="s">
        <v>695</v>
      </c>
      <c r="G213" s="1">
        <v>13.5</v>
      </c>
      <c r="H213" s="1" t="s">
        <v>60</v>
      </c>
      <c r="I213" s="1">
        <v>-120.0</v>
      </c>
      <c r="J213" s="1">
        <v>0.155159045229089</v>
      </c>
      <c r="K213" s="1" t="s">
        <v>61</v>
      </c>
      <c r="L213" s="1" t="s">
        <v>61</v>
      </c>
      <c r="M213" s="1" t="s">
        <v>62</v>
      </c>
      <c r="N213" s="1">
        <v>-110.0</v>
      </c>
      <c r="O213" s="1">
        <v>-0.224409947359235</v>
      </c>
      <c r="P213" s="1" t="s">
        <v>61</v>
      </c>
      <c r="Q213" s="1" t="s">
        <v>61</v>
      </c>
      <c r="R213" s="1">
        <f t="shared" si="1"/>
        <v>0.1551590452</v>
      </c>
      <c r="S213" s="1">
        <f t="shared" si="2"/>
        <v>-120</v>
      </c>
      <c r="T213" s="1">
        <f t="shared" si="3"/>
        <v>1.833333333</v>
      </c>
      <c r="U213" s="1">
        <f t="shared" si="4"/>
        <v>1</v>
      </c>
      <c r="V213" s="3">
        <f t="shared" si="5"/>
        <v>3</v>
      </c>
      <c r="W213" s="3">
        <f t="shared" si="6"/>
        <v>3</v>
      </c>
      <c r="X213" s="3" t="str">
        <f>IFERROR(__xludf.DUMMYFUNCTION("split(B213,"" "")"),"J.")</f>
        <v>J.</v>
      </c>
      <c r="Y213" s="3" t="str">
        <f>IFERROR(__xludf.DUMMYFUNCTION("""COMPUTED_VALUE"""),"Smith-Schuster")</f>
        <v>Smith-Schuster</v>
      </c>
      <c r="AA213" s="8">
        <v>6.0</v>
      </c>
      <c r="AB213" s="3">
        <f t="shared" si="7"/>
        <v>0</v>
      </c>
      <c r="AC213" s="3">
        <f t="shared" si="8"/>
        <v>0</v>
      </c>
      <c r="AD213" s="3">
        <f t="shared" si="9"/>
        <v>2.5</v>
      </c>
      <c r="AE213" s="3">
        <f t="shared" si="10"/>
        <v>-3</v>
      </c>
      <c r="AF213" s="3">
        <f t="shared" si="11"/>
        <v>-3</v>
      </c>
      <c r="AG213" s="3">
        <f t="shared" si="12"/>
        <v>-0.5555555556</v>
      </c>
    </row>
    <row r="214">
      <c r="A214" s="1" t="s">
        <v>12</v>
      </c>
      <c r="B214" s="1" t="s">
        <v>295</v>
      </c>
      <c r="C214" s="1" t="s">
        <v>18</v>
      </c>
      <c r="D214" s="1" t="s">
        <v>76</v>
      </c>
      <c r="E214" s="1" t="s">
        <v>57</v>
      </c>
      <c r="F214" s="1" t="s">
        <v>695</v>
      </c>
      <c r="G214" s="1">
        <v>2.5</v>
      </c>
      <c r="H214" s="1" t="s">
        <v>60</v>
      </c>
      <c r="I214" s="1">
        <v>-134.0</v>
      </c>
      <c r="J214" s="1">
        <v>-0.180489684829059</v>
      </c>
      <c r="K214" s="1" t="s">
        <v>61</v>
      </c>
      <c r="L214" s="1" t="s">
        <v>61</v>
      </c>
      <c r="M214" s="1" t="s">
        <v>62</v>
      </c>
      <c r="N214" s="1">
        <v>102.0</v>
      </c>
      <c r="O214" s="1">
        <v>0.112796961633663</v>
      </c>
      <c r="P214" s="1" t="s">
        <v>61</v>
      </c>
      <c r="Q214" s="1" t="s">
        <v>61</v>
      </c>
      <c r="R214" s="1">
        <f t="shared" si="1"/>
        <v>0.1127969616</v>
      </c>
      <c r="S214" s="1">
        <f t="shared" si="2"/>
        <v>102</v>
      </c>
      <c r="T214" s="1">
        <f t="shared" si="3"/>
        <v>2.02</v>
      </c>
      <c r="U214" s="1">
        <f t="shared" si="4"/>
        <v>0</v>
      </c>
      <c r="V214" s="3">
        <f t="shared" si="5"/>
        <v>3</v>
      </c>
      <c r="W214" s="3">
        <f t="shared" si="6"/>
        <v>2</v>
      </c>
      <c r="X214" s="3" t="str">
        <f>IFERROR(__xludf.DUMMYFUNCTION("split(B214,"" "")"),"X.")</f>
        <v>X.</v>
      </c>
      <c r="Y214" s="3" t="str">
        <f>IFERROR(__xludf.DUMMYFUNCTION("""COMPUTED_VALUE"""),"Worthy")</f>
        <v>Worthy</v>
      </c>
      <c r="AA214" s="8">
        <v>4.0</v>
      </c>
      <c r="AB214" s="3">
        <f t="shared" si="7"/>
        <v>1</v>
      </c>
      <c r="AC214" s="3">
        <f t="shared" si="8"/>
        <v>0</v>
      </c>
      <c r="AD214" s="3">
        <f t="shared" si="9"/>
        <v>3.06</v>
      </c>
      <c r="AE214" s="3">
        <f t="shared" si="10"/>
        <v>-3</v>
      </c>
      <c r="AF214" s="3">
        <f t="shared" si="11"/>
        <v>-2</v>
      </c>
      <c r="AG214" s="3">
        <f t="shared" si="12"/>
        <v>-0.6</v>
      </c>
    </row>
    <row r="215">
      <c r="A215" s="1" t="s">
        <v>10</v>
      </c>
      <c r="B215" s="1" t="s">
        <v>295</v>
      </c>
      <c r="C215" s="1" t="s">
        <v>18</v>
      </c>
      <c r="D215" s="1" t="s">
        <v>76</v>
      </c>
      <c r="E215" s="1" t="s">
        <v>57</v>
      </c>
      <c r="F215" s="1" t="s">
        <v>695</v>
      </c>
      <c r="G215" s="1">
        <v>0.5</v>
      </c>
      <c r="H215" s="1" t="s">
        <v>60</v>
      </c>
      <c r="I215" s="1">
        <v>-118.0</v>
      </c>
      <c r="J215" s="1">
        <v>0.0973303655857674</v>
      </c>
      <c r="K215" s="1" t="s">
        <v>61</v>
      </c>
      <c r="L215" s="1" t="s">
        <v>61</v>
      </c>
      <c r="M215" s="1" t="s">
        <v>62</v>
      </c>
      <c r="N215" s="1">
        <v>-111.0</v>
      </c>
      <c r="O215" s="1">
        <v>-0.164668606708439</v>
      </c>
      <c r="P215" s="1" t="s">
        <v>61</v>
      </c>
      <c r="Q215" s="1" t="s">
        <v>61</v>
      </c>
      <c r="R215" s="1">
        <f t="shared" si="1"/>
        <v>0.09733036559</v>
      </c>
      <c r="S215" s="1">
        <f t="shared" si="2"/>
        <v>-118</v>
      </c>
      <c r="T215" s="1">
        <f t="shared" si="3"/>
        <v>1.847457627</v>
      </c>
      <c r="U215" s="1">
        <f t="shared" si="4"/>
        <v>1</v>
      </c>
      <c r="V215" s="3">
        <f t="shared" si="5"/>
        <v>2</v>
      </c>
      <c r="W215" s="3">
        <f t="shared" si="6"/>
        <v>3</v>
      </c>
      <c r="X215" s="3" t="str">
        <f>IFERROR(__xludf.DUMMYFUNCTION("split(B215,"" "")"),"X.")</f>
        <v>X.</v>
      </c>
      <c r="Y215" s="3" t="str">
        <f>IFERROR(__xludf.DUMMYFUNCTION("""COMPUTED_VALUE"""),"Worthy")</f>
        <v>Worthy</v>
      </c>
      <c r="AA215" s="8">
        <v>5.0</v>
      </c>
      <c r="AB215" s="3">
        <f t="shared" si="7"/>
        <v>1</v>
      </c>
      <c r="AC215" s="3">
        <f t="shared" si="8"/>
        <v>1</v>
      </c>
      <c r="AD215" s="3">
        <f t="shared" si="9"/>
        <v>1.694915254</v>
      </c>
      <c r="AE215" s="3">
        <f t="shared" si="10"/>
        <v>1.694915254</v>
      </c>
      <c r="AF215" s="3">
        <f t="shared" si="11"/>
        <v>2.542372881</v>
      </c>
      <c r="AG215" s="3">
        <f t="shared" si="12"/>
        <v>9</v>
      </c>
    </row>
    <row r="216">
      <c r="A216" s="1" t="s">
        <v>8</v>
      </c>
      <c r="B216" s="1" t="s">
        <v>75</v>
      </c>
      <c r="C216" s="1" t="s">
        <v>21</v>
      </c>
      <c r="D216" s="1" t="s">
        <v>76</v>
      </c>
      <c r="E216" s="1" t="s">
        <v>57</v>
      </c>
      <c r="F216" s="1" t="s">
        <v>695</v>
      </c>
      <c r="G216" s="1">
        <v>3.5</v>
      </c>
      <c r="H216" s="1" t="s">
        <v>60</v>
      </c>
      <c r="I216" s="1">
        <v>-116.0</v>
      </c>
      <c r="J216" s="1">
        <v>-0.168878965850956</v>
      </c>
      <c r="K216" s="1" t="s">
        <v>61</v>
      </c>
      <c r="L216" s="1" t="s">
        <v>61</v>
      </c>
      <c r="M216" s="1" t="s">
        <v>62</v>
      </c>
      <c r="N216" s="1">
        <v>-116.0</v>
      </c>
      <c r="O216" s="1">
        <v>0.0948116003871095</v>
      </c>
      <c r="P216" s="1" t="s">
        <v>61</v>
      </c>
      <c r="Q216" s="1" t="s">
        <v>61</v>
      </c>
      <c r="R216" s="1">
        <f t="shared" si="1"/>
        <v>0.09481160039</v>
      </c>
      <c r="S216" s="1">
        <f t="shared" si="2"/>
        <v>-116</v>
      </c>
      <c r="T216" s="1">
        <f t="shared" si="3"/>
        <v>1.862068966</v>
      </c>
      <c r="U216" s="1">
        <f t="shared" si="4"/>
        <v>0</v>
      </c>
      <c r="V216" s="3">
        <f t="shared" si="5"/>
        <v>2</v>
      </c>
      <c r="W216" s="3">
        <f t="shared" si="6"/>
        <v>2</v>
      </c>
      <c r="X216" s="3" t="str">
        <f>IFERROR(__xludf.DUMMYFUNCTION("split(B216,"" "")"),"P.")</f>
        <v>P.</v>
      </c>
      <c r="Y216" s="3" t="str">
        <f>IFERROR(__xludf.DUMMYFUNCTION("""COMPUTED_VALUE"""),"Mahomes")</f>
        <v>Mahomes</v>
      </c>
      <c r="AA216" s="8">
        <v>5.0</v>
      </c>
      <c r="AB216" s="3">
        <f t="shared" si="7"/>
        <v>1</v>
      </c>
      <c r="AC216" s="3">
        <f t="shared" si="8"/>
        <v>0</v>
      </c>
      <c r="AD216" s="3">
        <f t="shared" si="9"/>
        <v>1.724137931</v>
      </c>
      <c r="AE216" s="3">
        <f t="shared" si="10"/>
        <v>-2</v>
      </c>
      <c r="AF216" s="3">
        <f t="shared" si="11"/>
        <v>-2</v>
      </c>
      <c r="AG216" s="3">
        <f t="shared" si="12"/>
        <v>-0.4285714286</v>
      </c>
    </row>
    <row r="217">
      <c r="A217" s="1" t="s">
        <v>11</v>
      </c>
      <c r="B217" s="1" t="s">
        <v>484</v>
      </c>
      <c r="C217" s="1" t="s">
        <v>18</v>
      </c>
      <c r="D217" s="1" t="s">
        <v>76</v>
      </c>
      <c r="E217" s="1" t="s">
        <v>57</v>
      </c>
      <c r="F217" s="1" t="s">
        <v>695</v>
      </c>
      <c r="G217" s="1">
        <v>6.5</v>
      </c>
      <c r="H217" s="1" t="s">
        <v>60</v>
      </c>
      <c r="I217" s="1">
        <v>-107.0</v>
      </c>
      <c r="J217" s="1">
        <v>0.08182918892358</v>
      </c>
      <c r="K217" s="1" t="s">
        <v>61</v>
      </c>
      <c r="L217" s="1" t="s">
        <v>61</v>
      </c>
      <c r="M217" s="1" t="s">
        <v>62</v>
      </c>
      <c r="N217" s="1">
        <v>-118.0</v>
      </c>
      <c r="O217" s="1">
        <v>-0.140002218745291</v>
      </c>
      <c r="P217" s="1" t="s">
        <v>61</v>
      </c>
      <c r="Q217" s="1" t="s">
        <v>61</v>
      </c>
      <c r="R217" s="1">
        <f t="shared" si="1"/>
        <v>0.08182918892</v>
      </c>
      <c r="S217" s="1">
        <f t="shared" si="2"/>
        <v>-107</v>
      </c>
      <c r="T217" s="1">
        <f t="shared" si="3"/>
        <v>1.934579439</v>
      </c>
      <c r="U217" s="1">
        <f t="shared" si="4"/>
        <v>1</v>
      </c>
      <c r="V217" s="3">
        <f t="shared" si="5"/>
        <v>2</v>
      </c>
      <c r="W217" s="3">
        <f t="shared" si="6"/>
        <v>2</v>
      </c>
      <c r="X217" s="3" t="str">
        <f>IFERROR(__xludf.DUMMYFUNCTION("split(B217,"" "")"),"M.")</f>
        <v>M.</v>
      </c>
      <c r="Y217" s="3" t="str">
        <f>IFERROR(__xludf.DUMMYFUNCTION("""COMPUTED_VALUE"""),"Hardman")</f>
        <v>Hardman</v>
      </c>
      <c r="Z217" s="3" t="str">
        <f>IFERROR(__xludf.DUMMYFUNCTION("""COMPUTED_VALUE"""),"Jr.")</f>
        <v>Jr.</v>
      </c>
      <c r="AA217" s="8">
        <v>0.0</v>
      </c>
      <c r="AB217" s="3">
        <f t="shared" si="7"/>
        <v>0</v>
      </c>
      <c r="AC217" s="3">
        <f t="shared" si="8"/>
        <v>0</v>
      </c>
      <c r="AD217" s="3">
        <f t="shared" si="9"/>
        <v>1.869158879</v>
      </c>
      <c r="AE217" s="3">
        <f t="shared" si="10"/>
        <v>-2</v>
      </c>
      <c r="AF217" s="3">
        <f t="shared" si="11"/>
        <v>-2</v>
      </c>
      <c r="AG217" s="3">
        <f t="shared" si="12"/>
        <v>-1</v>
      </c>
    </row>
    <row r="218">
      <c r="A218" s="1" t="s">
        <v>12</v>
      </c>
      <c r="B218" s="1" t="s">
        <v>590</v>
      </c>
      <c r="C218" s="1" t="s">
        <v>18</v>
      </c>
      <c r="D218" s="1" t="s">
        <v>76</v>
      </c>
      <c r="E218" s="1" t="s">
        <v>57</v>
      </c>
      <c r="F218" s="1" t="s">
        <v>695</v>
      </c>
      <c r="G218" s="1">
        <v>1.5</v>
      </c>
      <c r="H218" s="1" t="s">
        <v>60</v>
      </c>
      <c r="I218" s="1">
        <v>-103.0</v>
      </c>
      <c r="J218" s="1">
        <v>-0.139979073059113</v>
      </c>
      <c r="K218" s="1" t="s">
        <v>61</v>
      </c>
      <c r="L218" s="1" t="s">
        <v>61</v>
      </c>
      <c r="M218" s="1" t="s">
        <v>62</v>
      </c>
      <c r="N218" s="1">
        <v>-128.0</v>
      </c>
      <c r="O218" s="1">
        <v>0.0711849927354386</v>
      </c>
      <c r="P218" s="1" t="s">
        <v>61</v>
      </c>
      <c r="Q218" s="1" t="s">
        <v>61</v>
      </c>
      <c r="R218" s="1">
        <f t="shared" si="1"/>
        <v>0.07118499274</v>
      </c>
      <c r="S218" s="1">
        <f t="shared" si="2"/>
        <v>-128</v>
      </c>
      <c r="T218" s="1">
        <f t="shared" si="3"/>
        <v>1.78125</v>
      </c>
      <c r="U218" s="1">
        <f t="shared" si="4"/>
        <v>0</v>
      </c>
      <c r="V218" s="3">
        <f t="shared" si="5"/>
        <v>2</v>
      </c>
      <c r="W218" s="3">
        <f t="shared" si="6"/>
        <v>3</v>
      </c>
      <c r="X218" s="3" t="str">
        <f>IFERROR(__xludf.DUMMYFUNCTION("split(B218,"" "")"),"J.")</f>
        <v>J.</v>
      </c>
      <c r="Y218" s="3" t="str">
        <f>IFERROR(__xludf.DUMMYFUNCTION("""COMPUTED_VALUE"""),"Smith-Schuster")</f>
        <v>Smith-Schuster</v>
      </c>
      <c r="AA218" s="8">
        <v>1.0</v>
      </c>
      <c r="AB218" s="3">
        <f t="shared" si="7"/>
        <v>0</v>
      </c>
      <c r="AC218" s="3">
        <f t="shared" si="8"/>
        <v>1</v>
      </c>
      <c r="AD218" s="3">
        <f t="shared" si="9"/>
        <v>1.5625</v>
      </c>
      <c r="AE218" s="3">
        <f t="shared" si="10"/>
        <v>1.5625</v>
      </c>
      <c r="AF218" s="3">
        <f t="shared" si="11"/>
        <v>2.34375</v>
      </c>
      <c r="AG218" s="3">
        <f t="shared" si="12"/>
        <v>0.3333333333</v>
      </c>
    </row>
    <row r="219">
      <c r="A219" s="1" t="s">
        <v>14</v>
      </c>
      <c r="B219" s="1" t="s">
        <v>75</v>
      </c>
      <c r="C219" s="1" t="s">
        <v>21</v>
      </c>
      <c r="D219" s="1" t="s">
        <v>76</v>
      </c>
      <c r="E219" s="1" t="s">
        <v>57</v>
      </c>
      <c r="F219" s="1" t="s">
        <v>695</v>
      </c>
      <c r="G219" s="1">
        <v>1.5</v>
      </c>
      <c r="H219" s="1" t="s">
        <v>60</v>
      </c>
      <c r="I219" s="1">
        <v>-158.0</v>
      </c>
      <c r="J219" s="1">
        <v>-0.110903100775193</v>
      </c>
      <c r="K219" s="1" t="s">
        <v>61</v>
      </c>
      <c r="L219" s="1" t="s">
        <v>61</v>
      </c>
      <c r="M219" s="1" t="s">
        <v>62</v>
      </c>
      <c r="N219" s="1">
        <v>122.0</v>
      </c>
      <c r="O219" s="1">
        <v>0.0480495495495494</v>
      </c>
      <c r="P219" s="1" t="s">
        <v>61</v>
      </c>
      <c r="Q219" s="1" t="s">
        <v>61</v>
      </c>
      <c r="R219" s="1">
        <f t="shared" si="1"/>
        <v>0.04804954955</v>
      </c>
      <c r="S219" s="1">
        <f t="shared" si="2"/>
        <v>122</v>
      </c>
      <c r="T219" s="1">
        <f t="shared" si="3"/>
        <v>2.22</v>
      </c>
      <c r="U219" s="1">
        <f t="shared" si="4"/>
        <v>0</v>
      </c>
      <c r="V219" s="3">
        <f t="shared" si="5"/>
        <v>1</v>
      </c>
      <c r="W219" s="3">
        <f t="shared" si="6"/>
        <v>1</v>
      </c>
      <c r="X219" s="3" t="str">
        <f>IFERROR(__xludf.DUMMYFUNCTION("split(B219,"" "")"),"P.")</f>
        <v>P.</v>
      </c>
      <c r="Y219" s="3" t="str">
        <f>IFERROR(__xludf.DUMMYFUNCTION("""COMPUTED_VALUE"""),"Mahomes")</f>
        <v>Mahomes</v>
      </c>
      <c r="AA219" s="8">
        <v>3.0</v>
      </c>
      <c r="AB219" s="3">
        <f t="shared" si="7"/>
        <v>1</v>
      </c>
      <c r="AC219" s="3">
        <f t="shared" si="8"/>
        <v>0</v>
      </c>
      <c r="AD219" s="3">
        <f t="shared" si="9"/>
        <v>1.22</v>
      </c>
      <c r="AE219" s="3">
        <f t="shared" si="10"/>
        <v>-1</v>
      </c>
      <c r="AF219" s="3">
        <f t="shared" si="11"/>
        <v>-1</v>
      </c>
      <c r="AG219" s="3">
        <f t="shared" si="12"/>
        <v>-1</v>
      </c>
    </row>
    <row r="220">
      <c r="A220" s="1" t="s">
        <v>10</v>
      </c>
      <c r="B220" s="1" t="s">
        <v>591</v>
      </c>
      <c r="C220" s="1" t="s">
        <v>19</v>
      </c>
      <c r="D220" s="1" t="s">
        <v>76</v>
      </c>
      <c r="E220" s="1" t="s">
        <v>57</v>
      </c>
      <c r="F220" s="1" t="s">
        <v>695</v>
      </c>
      <c r="G220" s="1">
        <v>78.5</v>
      </c>
      <c r="H220" s="1" t="s">
        <v>60</v>
      </c>
      <c r="I220" s="1">
        <v>-118.0</v>
      </c>
      <c r="J220" s="1">
        <v>-0.114724266766536</v>
      </c>
      <c r="K220" s="1" t="s">
        <v>61</v>
      </c>
      <c r="L220" s="1" t="s">
        <v>61</v>
      </c>
      <c r="M220" s="1" t="s">
        <v>62</v>
      </c>
      <c r="N220" s="1">
        <v>-111.0</v>
      </c>
      <c r="O220" s="1">
        <v>0.047392946688021</v>
      </c>
      <c r="P220" s="1" t="s">
        <v>61</v>
      </c>
      <c r="Q220" s="1" t="s">
        <v>61</v>
      </c>
      <c r="R220" s="1">
        <f t="shared" si="1"/>
        <v>0.04739294669</v>
      </c>
      <c r="S220" s="1">
        <f t="shared" si="2"/>
        <v>-111</v>
      </c>
      <c r="T220" s="1">
        <f t="shared" si="3"/>
        <v>1.900900901</v>
      </c>
      <c r="U220" s="1">
        <f t="shared" si="4"/>
        <v>0</v>
      </c>
      <c r="V220" s="3">
        <f t="shared" si="5"/>
        <v>1</v>
      </c>
      <c r="W220" s="3">
        <f t="shared" si="6"/>
        <v>2</v>
      </c>
      <c r="X220" s="3" t="str">
        <f>IFERROR(__xludf.DUMMYFUNCTION("split(B220,"" "")"),"K.")</f>
        <v>K.</v>
      </c>
      <c r="Y220" s="3" t="str">
        <f>IFERROR(__xludf.DUMMYFUNCTION("""COMPUTED_VALUE"""),"Hunt")</f>
        <v>Hunt</v>
      </c>
      <c r="AA220" s="8">
        <v>68.0</v>
      </c>
      <c r="AB220" s="3">
        <f t="shared" si="7"/>
        <v>0</v>
      </c>
      <c r="AC220" s="3">
        <f t="shared" si="8"/>
        <v>1</v>
      </c>
      <c r="AD220" s="3">
        <f t="shared" si="9"/>
        <v>0.9009009009</v>
      </c>
      <c r="AE220" s="3">
        <f t="shared" si="10"/>
        <v>0.9009009009</v>
      </c>
      <c r="AF220" s="3">
        <f t="shared" si="11"/>
        <v>1.801801802</v>
      </c>
      <c r="AG220" s="3">
        <f t="shared" si="12"/>
        <v>0.1337579618</v>
      </c>
    </row>
    <row r="221">
      <c r="A221" s="1" t="s">
        <v>12</v>
      </c>
      <c r="B221" s="1" t="s">
        <v>406</v>
      </c>
      <c r="C221" s="1" t="s">
        <v>18</v>
      </c>
      <c r="D221" s="1" t="s">
        <v>76</v>
      </c>
      <c r="E221" s="1" t="s">
        <v>57</v>
      </c>
      <c r="F221" s="1" t="s">
        <v>695</v>
      </c>
      <c r="G221" s="1">
        <v>3.5</v>
      </c>
      <c r="H221" s="1" t="s">
        <v>60</v>
      </c>
      <c r="I221" s="1">
        <v>-128.0</v>
      </c>
      <c r="J221" s="1">
        <v>-0.115359649122806</v>
      </c>
      <c r="K221" s="1" t="s">
        <v>61</v>
      </c>
      <c r="L221" s="1" t="s">
        <v>61</v>
      </c>
      <c r="M221" s="1" t="s">
        <v>62</v>
      </c>
      <c r="N221" s="1">
        <v>-103.0</v>
      </c>
      <c r="O221" s="1">
        <v>0.0465600985221674</v>
      </c>
      <c r="P221" s="1" t="s">
        <v>61</v>
      </c>
      <c r="Q221" s="1" t="s">
        <v>61</v>
      </c>
      <c r="R221" s="1">
        <f t="shared" si="1"/>
        <v>0.04656009852</v>
      </c>
      <c r="S221" s="1">
        <f t="shared" si="2"/>
        <v>-103</v>
      </c>
      <c r="T221" s="1">
        <f t="shared" si="3"/>
        <v>1.970873786</v>
      </c>
      <c r="U221" s="1">
        <f t="shared" si="4"/>
        <v>0</v>
      </c>
      <c r="V221" s="3">
        <f t="shared" si="5"/>
        <v>1</v>
      </c>
      <c r="W221" s="3">
        <f t="shared" si="6"/>
        <v>2</v>
      </c>
      <c r="X221" s="3" t="str">
        <f>IFERROR(__xludf.DUMMYFUNCTION("split(B221,"" "")"),"D.")</f>
        <v>D.</v>
      </c>
      <c r="Y221" s="3" t="str">
        <f>IFERROR(__xludf.DUMMYFUNCTION("""COMPUTED_VALUE"""),"Hopkins")</f>
        <v>Hopkins</v>
      </c>
      <c r="AA221" s="8">
        <v>5.0</v>
      </c>
      <c r="AB221" s="3">
        <f t="shared" si="7"/>
        <v>1</v>
      </c>
      <c r="AC221" s="3">
        <f t="shared" si="8"/>
        <v>0</v>
      </c>
      <c r="AD221" s="3">
        <f t="shared" si="9"/>
        <v>0.9708737864</v>
      </c>
      <c r="AE221" s="3">
        <f t="shared" si="10"/>
        <v>-1</v>
      </c>
      <c r="AF221" s="3">
        <f t="shared" si="11"/>
        <v>-2</v>
      </c>
      <c r="AG221" s="3">
        <f t="shared" si="12"/>
        <v>-0.4285714286</v>
      </c>
    </row>
    <row r="222">
      <c r="A222" s="1" t="s">
        <v>15</v>
      </c>
      <c r="B222" s="1" t="s">
        <v>75</v>
      </c>
      <c r="C222" s="1" t="s">
        <v>21</v>
      </c>
      <c r="D222" s="1" t="s">
        <v>76</v>
      </c>
      <c r="E222" s="1" t="s">
        <v>57</v>
      </c>
      <c r="F222" s="1" t="s">
        <v>695</v>
      </c>
      <c r="G222" s="1">
        <v>22.5</v>
      </c>
      <c r="H222" s="1" t="s">
        <v>60</v>
      </c>
      <c r="I222" s="1">
        <v>-122.0</v>
      </c>
      <c r="J222" s="1">
        <v>0.0451954954954955</v>
      </c>
      <c r="K222" s="1" t="s">
        <v>61</v>
      </c>
      <c r="L222" s="1" t="s">
        <v>61</v>
      </c>
      <c r="M222" s="1" t="s">
        <v>62</v>
      </c>
      <c r="N222" s="1">
        <v>-107.0</v>
      </c>
      <c r="O222" s="1">
        <v>-0.111659903381642</v>
      </c>
      <c r="P222" s="1" t="s">
        <v>61</v>
      </c>
      <c r="Q222" s="1" t="s">
        <v>61</v>
      </c>
      <c r="R222" s="1">
        <f t="shared" si="1"/>
        <v>0.0451954955</v>
      </c>
      <c r="S222" s="1">
        <f t="shared" si="2"/>
        <v>-122</v>
      </c>
      <c r="T222" s="1">
        <f t="shared" si="3"/>
        <v>1.819672131</v>
      </c>
      <c r="U222" s="1">
        <f t="shared" si="4"/>
        <v>1</v>
      </c>
      <c r="V222" s="3">
        <f t="shared" si="5"/>
        <v>1</v>
      </c>
      <c r="W222" s="3">
        <f t="shared" si="6"/>
        <v>3</v>
      </c>
      <c r="X222" s="3" t="str">
        <f>IFERROR(__xludf.DUMMYFUNCTION("split(B222,"" "")"),"P.")</f>
        <v>P.</v>
      </c>
      <c r="Y222" s="3" t="str">
        <f>IFERROR(__xludf.DUMMYFUNCTION("""COMPUTED_VALUE"""),"Mahomes")</f>
        <v>Mahomes</v>
      </c>
      <c r="AA222" s="8">
        <v>27.0</v>
      </c>
      <c r="AB222" s="3">
        <f t="shared" si="7"/>
        <v>1</v>
      </c>
      <c r="AC222" s="3">
        <f t="shared" si="8"/>
        <v>1</v>
      </c>
      <c r="AD222" s="3">
        <f t="shared" si="9"/>
        <v>0.8196721311</v>
      </c>
      <c r="AE222" s="3">
        <f t="shared" si="10"/>
        <v>0.8196721311</v>
      </c>
      <c r="AF222" s="3">
        <f t="shared" si="11"/>
        <v>2.459016393</v>
      </c>
      <c r="AG222" s="3">
        <f t="shared" si="12"/>
        <v>0.2</v>
      </c>
    </row>
    <row r="223">
      <c r="A223" s="1" t="s">
        <v>9</v>
      </c>
      <c r="B223" s="1" t="s">
        <v>591</v>
      </c>
      <c r="C223" s="1" t="s">
        <v>19</v>
      </c>
      <c r="D223" s="1" t="s">
        <v>76</v>
      </c>
      <c r="E223" s="1" t="s">
        <v>57</v>
      </c>
      <c r="F223" s="1" t="s">
        <v>695</v>
      </c>
      <c r="G223" s="1">
        <v>91.5</v>
      </c>
      <c r="H223" s="1" t="s">
        <v>60</v>
      </c>
      <c r="I223" s="1">
        <v>-116.0</v>
      </c>
      <c r="J223" s="1">
        <v>-0.118989647258737</v>
      </c>
      <c r="K223" s="1" t="s">
        <v>61</v>
      </c>
      <c r="L223" s="1" t="s">
        <v>61</v>
      </c>
      <c r="M223" s="1" t="s">
        <v>62</v>
      </c>
      <c r="N223" s="1">
        <v>-116.0</v>
      </c>
      <c r="O223" s="1">
        <v>0.0448909178601359</v>
      </c>
      <c r="P223" s="1" t="s">
        <v>61</v>
      </c>
      <c r="Q223" s="1" t="s">
        <v>61</v>
      </c>
      <c r="R223" s="1">
        <f t="shared" si="1"/>
        <v>0.04489091786</v>
      </c>
      <c r="S223" s="1">
        <f t="shared" si="2"/>
        <v>-116</v>
      </c>
      <c r="T223" s="1">
        <f t="shared" si="3"/>
        <v>1.862068966</v>
      </c>
      <c r="U223" s="1">
        <f t="shared" si="4"/>
        <v>0</v>
      </c>
      <c r="V223" s="3">
        <f t="shared" si="5"/>
        <v>1</v>
      </c>
      <c r="W223" s="3">
        <f t="shared" si="6"/>
        <v>2</v>
      </c>
      <c r="X223" s="3" t="str">
        <f>IFERROR(__xludf.DUMMYFUNCTION("split(B223,"" "")"),"K.")</f>
        <v>K.</v>
      </c>
      <c r="Y223" s="3" t="str">
        <f>IFERROR(__xludf.DUMMYFUNCTION("""COMPUTED_VALUE"""),"Hunt")</f>
        <v>Hunt</v>
      </c>
      <c r="AA223" s="8">
        <v>87.0</v>
      </c>
      <c r="AB223" s="3">
        <f t="shared" si="7"/>
        <v>0</v>
      </c>
      <c r="AC223" s="3">
        <f t="shared" si="8"/>
        <v>1</v>
      </c>
      <c r="AD223" s="3">
        <f t="shared" si="9"/>
        <v>0.8620689655</v>
      </c>
      <c r="AE223" s="3">
        <f t="shared" si="10"/>
        <v>0.8620689655</v>
      </c>
      <c r="AF223" s="3">
        <f t="shared" si="11"/>
        <v>1.724137931</v>
      </c>
      <c r="AG223" s="3">
        <f t="shared" si="12"/>
        <v>0.04918032787</v>
      </c>
    </row>
    <row r="224">
      <c r="A224" s="1" t="s">
        <v>9</v>
      </c>
      <c r="B224" s="1" t="s">
        <v>295</v>
      </c>
      <c r="C224" s="1" t="s">
        <v>18</v>
      </c>
      <c r="D224" s="1" t="s">
        <v>76</v>
      </c>
      <c r="E224" s="1" t="s">
        <v>57</v>
      </c>
      <c r="F224" s="1" t="s">
        <v>695</v>
      </c>
      <c r="G224" s="1">
        <v>37.5</v>
      </c>
      <c r="H224" s="1" t="s">
        <v>60</v>
      </c>
      <c r="I224" s="1">
        <v>-110.0</v>
      </c>
      <c r="J224" s="1">
        <v>0.036063601326601</v>
      </c>
      <c r="K224" s="1" t="s">
        <v>61</v>
      </c>
      <c r="L224" s="1" t="s">
        <v>61</v>
      </c>
      <c r="M224" s="1" t="s">
        <v>62</v>
      </c>
      <c r="N224" s="1">
        <v>-120.0</v>
      </c>
      <c r="O224" s="1">
        <v>-0.105367397883197</v>
      </c>
      <c r="P224" s="1" t="s">
        <v>61</v>
      </c>
      <c r="Q224" s="1" t="s">
        <v>61</v>
      </c>
      <c r="R224" s="1">
        <f t="shared" si="1"/>
        <v>0.03606360133</v>
      </c>
      <c r="S224" s="1">
        <f t="shared" si="2"/>
        <v>-110</v>
      </c>
      <c r="T224" s="1">
        <f t="shared" si="3"/>
        <v>1.909090909</v>
      </c>
      <c r="U224" s="1">
        <f t="shared" si="4"/>
        <v>1</v>
      </c>
      <c r="V224" s="3">
        <f t="shared" si="5"/>
        <v>1</v>
      </c>
      <c r="W224" s="3">
        <f t="shared" si="6"/>
        <v>2</v>
      </c>
      <c r="X224" s="3" t="str">
        <f>IFERROR(__xludf.DUMMYFUNCTION("split(B224,"" "")"),"X.")</f>
        <v>X.</v>
      </c>
      <c r="Y224" s="3" t="str">
        <f>IFERROR(__xludf.DUMMYFUNCTION("""COMPUTED_VALUE"""),"Worthy")</f>
        <v>Worthy</v>
      </c>
      <c r="AA224" s="8">
        <v>51.0</v>
      </c>
      <c r="AB224" s="3">
        <f t="shared" si="7"/>
        <v>1</v>
      </c>
      <c r="AC224" s="3">
        <f t="shared" si="8"/>
        <v>1</v>
      </c>
      <c r="AD224" s="3">
        <f t="shared" si="9"/>
        <v>0.9090909091</v>
      </c>
      <c r="AE224" s="3">
        <f t="shared" si="10"/>
        <v>0.9090909091</v>
      </c>
      <c r="AF224" s="3">
        <f t="shared" si="11"/>
        <v>1.818181818</v>
      </c>
      <c r="AG224" s="3">
        <f t="shared" si="12"/>
        <v>0.36</v>
      </c>
    </row>
    <row r="225">
      <c r="A225" s="1" t="s">
        <v>11</v>
      </c>
      <c r="B225" s="1" t="s">
        <v>591</v>
      </c>
      <c r="C225" s="1" t="s">
        <v>19</v>
      </c>
      <c r="D225" s="1" t="s">
        <v>76</v>
      </c>
      <c r="E225" s="1" t="s">
        <v>57</v>
      </c>
      <c r="F225" s="1" t="s">
        <v>695</v>
      </c>
      <c r="G225" s="1">
        <v>9.5</v>
      </c>
      <c r="H225" s="1" t="s">
        <v>60</v>
      </c>
      <c r="I225" s="1">
        <v>-109.0</v>
      </c>
      <c r="J225" s="1">
        <v>0.03001163260382</v>
      </c>
      <c r="K225" s="1" t="s">
        <v>61</v>
      </c>
      <c r="L225" s="1" t="s">
        <v>61</v>
      </c>
      <c r="M225" s="1" t="s">
        <v>62</v>
      </c>
      <c r="N225" s="1">
        <v>-117.0</v>
      </c>
      <c r="O225" s="1">
        <v>-0.0906932881134197</v>
      </c>
      <c r="P225" s="1" t="s">
        <v>61</v>
      </c>
      <c r="Q225" s="1" t="s">
        <v>61</v>
      </c>
      <c r="R225" s="1">
        <f t="shared" si="1"/>
        <v>0.0300116326</v>
      </c>
      <c r="S225" s="1">
        <f t="shared" si="2"/>
        <v>-109</v>
      </c>
      <c r="T225" s="1">
        <f t="shared" si="3"/>
        <v>1.917431193</v>
      </c>
      <c r="U225" s="1">
        <f t="shared" si="4"/>
        <v>1</v>
      </c>
      <c r="V225" s="3">
        <f t="shared" si="5"/>
        <v>1</v>
      </c>
      <c r="W225" s="3">
        <f t="shared" si="6"/>
        <v>2</v>
      </c>
      <c r="X225" s="3" t="str">
        <f>IFERROR(__xludf.DUMMYFUNCTION("split(B225,"" "")"),"K.")</f>
        <v>K.</v>
      </c>
      <c r="Y225" s="3" t="str">
        <f>IFERROR(__xludf.DUMMYFUNCTION("""COMPUTED_VALUE"""),"Hunt")</f>
        <v>Hunt</v>
      </c>
      <c r="AA225" s="8">
        <v>19.0</v>
      </c>
      <c r="AB225" s="3">
        <f t="shared" si="7"/>
        <v>1</v>
      </c>
      <c r="AC225" s="3">
        <f t="shared" si="8"/>
        <v>1</v>
      </c>
      <c r="AD225" s="3">
        <f t="shared" si="9"/>
        <v>0.9174311927</v>
      </c>
      <c r="AE225" s="3">
        <f t="shared" si="10"/>
        <v>0.9174311927</v>
      </c>
      <c r="AF225" s="3">
        <f t="shared" si="11"/>
        <v>1.834862385</v>
      </c>
      <c r="AG225" s="3">
        <f t="shared" si="12"/>
        <v>1</v>
      </c>
    </row>
    <row r="226">
      <c r="A226" s="1" t="s">
        <v>12</v>
      </c>
      <c r="B226" s="1" t="s">
        <v>237</v>
      </c>
      <c r="C226" s="1" t="s">
        <v>18</v>
      </c>
      <c r="D226" s="1" t="s">
        <v>76</v>
      </c>
      <c r="E226" s="1" t="s">
        <v>57</v>
      </c>
      <c r="F226" s="1" t="s">
        <v>695</v>
      </c>
      <c r="G226" s="1">
        <v>1.5</v>
      </c>
      <c r="H226" s="1" t="s">
        <v>60</v>
      </c>
      <c r="I226" s="1">
        <v>126.0</v>
      </c>
      <c r="J226" s="1">
        <v>-0.0886239981051328</v>
      </c>
      <c r="K226" s="1" t="s">
        <v>61</v>
      </c>
      <c r="L226" s="1" t="s">
        <v>61</v>
      </c>
      <c r="M226" s="1" t="s">
        <v>62</v>
      </c>
      <c r="N226" s="1">
        <v>-166.0</v>
      </c>
      <c r="O226" s="1">
        <v>0.0220914760983458</v>
      </c>
      <c r="P226" s="1" t="s">
        <v>61</v>
      </c>
      <c r="Q226" s="1" t="s">
        <v>61</v>
      </c>
      <c r="R226" s="1">
        <f t="shared" si="1"/>
        <v>0.0220914761</v>
      </c>
      <c r="S226" s="1">
        <f t="shared" si="2"/>
        <v>-166</v>
      </c>
      <c r="T226" s="1">
        <f t="shared" si="3"/>
        <v>1.602409639</v>
      </c>
      <c r="U226" s="1">
        <f t="shared" si="4"/>
        <v>0</v>
      </c>
      <c r="V226" s="3">
        <f t="shared" si="5"/>
        <v>1</v>
      </c>
      <c r="W226" s="3">
        <f t="shared" si="6"/>
        <v>3</v>
      </c>
      <c r="X226" s="3" t="str">
        <f>IFERROR(__xludf.DUMMYFUNCTION("split(B226,"" "")"),"J.")</f>
        <v>J.</v>
      </c>
      <c r="Y226" s="3" t="str">
        <f>IFERROR(__xludf.DUMMYFUNCTION("""COMPUTED_VALUE"""),"Watson")</f>
        <v>Watson</v>
      </c>
      <c r="AA226" s="8">
        <v>1.0</v>
      </c>
      <c r="AB226" s="3">
        <f t="shared" si="7"/>
        <v>0</v>
      </c>
      <c r="AC226" s="3">
        <f t="shared" si="8"/>
        <v>1</v>
      </c>
      <c r="AD226" s="3">
        <f t="shared" si="9"/>
        <v>0.6024096386</v>
      </c>
      <c r="AE226" s="3">
        <f t="shared" si="10"/>
        <v>0.6024096386</v>
      </c>
      <c r="AF226" s="3">
        <f t="shared" si="11"/>
        <v>1.807228916</v>
      </c>
      <c r="AG226" s="3">
        <f t="shared" si="12"/>
        <v>0.3333333333</v>
      </c>
    </row>
    <row r="227">
      <c r="A227" s="1" t="s">
        <v>16</v>
      </c>
      <c r="B227" s="1" t="s">
        <v>75</v>
      </c>
      <c r="C227" s="1" t="s">
        <v>21</v>
      </c>
      <c r="D227" s="1" t="s">
        <v>76</v>
      </c>
      <c r="E227" s="1" t="s">
        <v>57</v>
      </c>
      <c r="F227" s="1" t="s">
        <v>695</v>
      </c>
      <c r="G227" s="1">
        <v>32.5</v>
      </c>
      <c r="H227" s="1" t="s">
        <v>60</v>
      </c>
      <c r="I227" s="1">
        <v>-112.0</v>
      </c>
      <c r="J227" s="1">
        <v>0.0168967692075471</v>
      </c>
      <c r="K227" s="1" t="s">
        <v>61</v>
      </c>
      <c r="L227" s="1" t="s">
        <v>61</v>
      </c>
      <c r="M227" s="1" t="s">
        <v>62</v>
      </c>
      <c r="N227" s="1">
        <v>-117.0</v>
      </c>
      <c r="O227" s="1">
        <v>-0.0843693345622119</v>
      </c>
      <c r="P227" s="1" t="s">
        <v>61</v>
      </c>
      <c r="Q227" s="1" t="s">
        <v>61</v>
      </c>
      <c r="R227" s="1">
        <f t="shared" si="1"/>
        <v>0.01689676921</v>
      </c>
      <c r="S227" s="1">
        <f t="shared" si="2"/>
        <v>-112</v>
      </c>
      <c r="T227" s="1">
        <f t="shared" si="3"/>
        <v>1.892857143</v>
      </c>
      <c r="U227" s="1">
        <f t="shared" si="4"/>
        <v>1</v>
      </c>
      <c r="V227" s="3">
        <f t="shared" si="5"/>
        <v>1</v>
      </c>
      <c r="W227" s="3">
        <f t="shared" si="6"/>
        <v>2</v>
      </c>
      <c r="X227" s="3" t="str">
        <f>IFERROR(__xludf.DUMMYFUNCTION("split(B227,"" "")"),"P.")</f>
        <v>P.</v>
      </c>
      <c r="Y227" s="3" t="str">
        <f>IFERROR(__xludf.DUMMYFUNCTION("""COMPUTED_VALUE"""),"Mahomes")</f>
        <v>Mahomes</v>
      </c>
      <c r="AA227" s="8">
        <v>37.0</v>
      </c>
      <c r="AB227" s="3">
        <f t="shared" si="7"/>
        <v>1</v>
      </c>
      <c r="AC227" s="3">
        <f t="shared" si="8"/>
        <v>1</v>
      </c>
      <c r="AD227" s="3">
        <f t="shared" si="9"/>
        <v>0.8928571429</v>
      </c>
      <c r="AE227" s="3">
        <f t="shared" si="10"/>
        <v>0.8928571429</v>
      </c>
      <c r="AF227" s="3">
        <f t="shared" si="11"/>
        <v>1.785714286</v>
      </c>
      <c r="AG227" s="3">
        <f t="shared" si="12"/>
        <v>0.1384615385</v>
      </c>
    </row>
    <row r="228">
      <c r="A228" s="1" t="s">
        <v>9</v>
      </c>
      <c r="B228" s="1" t="s">
        <v>406</v>
      </c>
      <c r="C228" s="1" t="s">
        <v>18</v>
      </c>
      <c r="D228" s="1" t="s">
        <v>76</v>
      </c>
      <c r="E228" s="1" t="s">
        <v>57</v>
      </c>
      <c r="F228" s="1" t="s">
        <v>695</v>
      </c>
      <c r="G228" s="1">
        <v>41.5</v>
      </c>
      <c r="H228" s="1" t="s">
        <v>60</v>
      </c>
      <c r="I228" s="1">
        <v>-115.0</v>
      </c>
      <c r="J228" s="1">
        <v>0.0117440012906003</v>
      </c>
      <c r="K228" s="1" t="s">
        <v>61</v>
      </c>
      <c r="L228" s="1" t="s">
        <v>61</v>
      </c>
      <c r="M228" s="1" t="s">
        <v>62</v>
      </c>
      <c r="N228" s="1">
        <v>-115.0</v>
      </c>
      <c r="O228" s="1">
        <v>-0.0815156014841906</v>
      </c>
      <c r="P228" s="1" t="s">
        <v>61</v>
      </c>
      <c r="Q228" s="1" t="s">
        <v>61</v>
      </c>
      <c r="R228" s="1">
        <f t="shared" si="1"/>
        <v>0.01174400129</v>
      </c>
      <c r="S228" s="1">
        <f t="shared" si="2"/>
        <v>-115</v>
      </c>
      <c r="T228" s="1">
        <f t="shared" si="3"/>
        <v>1.869565217</v>
      </c>
      <c r="U228" s="1">
        <f t="shared" si="4"/>
        <v>1</v>
      </c>
      <c r="V228" s="3">
        <f t="shared" si="5"/>
        <v>1</v>
      </c>
      <c r="W228" s="3">
        <f t="shared" si="6"/>
        <v>2</v>
      </c>
      <c r="X228" s="3" t="str">
        <f>IFERROR(__xludf.DUMMYFUNCTION("split(B228,"" "")"),"D.")</f>
        <v>D.</v>
      </c>
      <c r="Y228" s="3" t="str">
        <f>IFERROR(__xludf.DUMMYFUNCTION("""COMPUTED_VALUE"""),"Hopkins")</f>
        <v>Hopkins</v>
      </c>
      <c r="AA228" s="8">
        <v>35.0</v>
      </c>
      <c r="AB228" s="3">
        <f t="shared" si="7"/>
        <v>0</v>
      </c>
      <c r="AC228" s="3">
        <f t="shared" si="8"/>
        <v>0</v>
      </c>
      <c r="AD228" s="3">
        <f t="shared" si="9"/>
        <v>0.8695652174</v>
      </c>
      <c r="AE228" s="3">
        <f t="shared" si="10"/>
        <v>-1</v>
      </c>
      <c r="AF228" s="3">
        <f t="shared" si="11"/>
        <v>-2</v>
      </c>
      <c r="AG228" s="3">
        <f t="shared" si="12"/>
        <v>-0.156626506</v>
      </c>
    </row>
    <row r="229">
      <c r="A229" s="1" t="s">
        <v>11</v>
      </c>
      <c r="B229" s="1" t="s">
        <v>424</v>
      </c>
      <c r="C229" s="1" t="s">
        <v>19</v>
      </c>
      <c r="D229" s="1" t="s">
        <v>76</v>
      </c>
      <c r="E229" s="1" t="s">
        <v>57</v>
      </c>
      <c r="F229" s="1" t="s">
        <v>695</v>
      </c>
      <c r="G229" s="1">
        <v>10.5</v>
      </c>
      <c r="H229" s="1" t="s">
        <v>60</v>
      </c>
      <c r="I229" s="1">
        <v>-117.0</v>
      </c>
      <c r="J229" s="1">
        <v>0.0104241222384793</v>
      </c>
      <c r="K229" s="1" t="s">
        <v>61</v>
      </c>
      <c r="L229" s="1" t="s">
        <v>61</v>
      </c>
      <c r="M229" s="1" t="s">
        <v>62</v>
      </c>
      <c r="N229" s="1">
        <v>-117.0</v>
      </c>
      <c r="O229" s="1">
        <v>-0.0887472230190206</v>
      </c>
      <c r="P229" s="1" t="s">
        <v>61</v>
      </c>
      <c r="Q229" s="1" t="s">
        <v>61</v>
      </c>
      <c r="R229" s="1">
        <f t="shared" si="1"/>
        <v>0.01042412224</v>
      </c>
      <c r="S229" s="1">
        <f t="shared" si="2"/>
        <v>-117</v>
      </c>
      <c r="T229" s="1">
        <f t="shared" si="3"/>
        <v>1.854700855</v>
      </c>
      <c r="U229" s="1">
        <f t="shared" si="4"/>
        <v>1</v>
      </c>
      <c r="V229" s="3">
        <f t="shared" si="5"/>
        <v>1</v>
      </c>
      <c r="W229" s="3">
        <f t="shared" si="6"/>
        <v>2</v>
      </c>
      <c r="X229" s="3" t="str">
        <f>IFERROR(__xludf.DUMMYFUNCTION("split(B229,"" "")"),"S.")</f>
        <v>S.</v>
      </c>
      <c r="Y229" s="3" t="str">
        <f>IFERROR(__xludf.DUMMYFUNCTION("""COMPUTED_VALUE"""),"Perine")</f>
        <v>Perine</v>
      </c>
      <c r="AA229" s="8">
        <v>11.0</v>
      </c>
      <c r="AB229" s="3">
        <f t="shared" si="7"/>
        <v>1</v>
      </c>
      <c r="AC229" s="3">
        <f t="shared" si="8"/>
        <v>1</v>
      </c>
      <c r="AD229" s="3">
        <f t="shared" si="9"/>
        <v>0.8547008547</v>
      </c>
      <c r="AE229" s="3">
        <f t="shared" si="10"/>
        <v>0.8547008547</v>
      </c>
      <c r="AF229" s="3">
        <f t="shared" si="11"/>
        <v>1.709401709</v>
      </c>
      <c r="AG229" s="3">
        <f t="shared" si="12"/>
        <v>0.04761904762</v>
      </c>
    </row>
    <row r="230">
      <c r="A230" s="1" t="s">
        <v>8</v>
      </c>
      <c r="B230" s="1" t="s">
        <v>591</v>
      </c>
      <c r="C230" s="1" t="s">
        <v>19</v>
      </c>
      <c r="D230" s="1" t="s">
        <v>76</v>
      </c>
      <c r="E230" s="1" t="s">
        <v>57</v>
      </c>
      <c r="F230" s="1" t="s">
        <v>695</v>
      </c>
      <c r="G230" s="1">
        <v>19.5</v>
      </c>
      <c r="H230" s="1" t="s">
        <v>60</v>
      </c>
      <c r="I230" s="1">
        <v>-113.0</v>
      </c>
      <c r="J230" s="1">
        <v>0.00837463501408453</v>
      </c>
      <c r="K230" s="1" t="s">
        <v>61</v>
      </c>
      <c r="L230" s="1" t="s">
        <v>61</v>
      </c>
      <c r="M230" s="1" t="s">
        <v>62</v>
      </c>
      <c r="N230" s="1">
        <v>-119.0</v>
      </c>
      <c r="O230" s="1">
        <v>-0.0822852356164381</v>
      </c>
      <c r="P230" s="1" t="s">
        <v>61</v>
      </c>
      <c r="Q230" s="1" t="s">
        <v>61</v>
      </c>
      <c r="R230" s="1">
        <f t="shared" si="1"/>
        <v>0.008374635014</v>
      </c>
      <c r="S230" s="1">
        <f t="shared" si="2"/>
        <v>-113</v>
      </c>
      <c r="T230" s="1">
        <f t="shared" si="3"/>
        <v>1.884955752</v>
      </c>
      <c r="U230" s="1">
        <f t="shared" si="4"/>
        <v>1</v>
      </c>
      <c r="V230" s="3">
        <f t="shared" si="5"/>
        <v>1</v>
      </c>
      <c r="W230" s="3">
        <f t="shared" si="6"/>
        <v>2</v>
      </c>
      <c r="X230" s="3" t="str">
        <f>IFERROR(__xludf.DUMMYFUNCTION("split(B230,"" "")"),"K.")</f>
        <v>K.</v>
      </c>
      <c r="Y230" s="3" t="str">
        <f>IFERROR(__xludf.DUMMYFUNCTION("""COMPUTED_VALUE"""),"Hunt")</f>
        <v>Hunt</v>
      </c>
      <c r="AA230" s="8">
        <v>16.0</v>
      </c>
      <c r="AB230" s="3">
        <f t="shared" si="7"/>
        <v>0</v>
      </c>
      <c r="AC230" s="3">
        <f t="shared" si="8"/>
        <v>0</v>
      </c>
      <c r="AD230" s="3">
        <f t="shared" si="9"/>
        <v>0.8849557522</v>
      </c>
      <c r="AE230" s="3">
        <f t="shared" si="10"/>
        <v>-1</v>
      </c>
      <c r="AF230" s="3">
        <f t="shared" si="11"/>
        <v>-2</v>
      </c>
      <c r="AG230" s="3">
        <f t="shared" si="12"/>
        <v>-0.1794871795</v>
      </c>
    </row>
    <row r="231">
      <c r="A231" s="1" t="s">
        <v>10</v>
      </c>
      <c r="B231" s="1" t="s">
        <v>75</v>
      </c>
      <c r="C231" s="1" t="s">
        <v>21</v>
      </c>
      <c r="D231" s="1" t="s">
        <v>76</v>
      </c>
      <c r="E231" s="1" t="s">
        <v>57</v>
      </c>
      <c r="F231" s="1" t="s">
        <v>695</v>
      </c>
      <c r="G231" s="1">
        <v>13.5</v>
      </c>
      <c r="H231" s="1" t="s">
        <v>60</v>
      </c>
      <c r="I231" s="1">
        <v>-111.0</v>
      </c>
      <c r="J231" s="1">
        <v>-0.0707531625913585</v>
      </c>
      <c r="K231" s="1" t="s">
        <v>61</v>
      </c>
      <c r="L231" s="1" t="s">
        <v>61</v>
      </c>
      <c r="M231" s="1" t="s">
        <v>62</v>
      </c>
      <c r="N231" s="1">
        <v>-116.0</v>
      </c>
      <c r="O231" s="1">
        <v>0.00766133368454102</v>
      </c>
      <c r="P231" s="1" t="s">
        <v>61</v>
      </c>
      <c r="Q231" s="1" t="s">
        <v>61</v>
      </c>
      <c r="R231" s="1">
        <f t="shared" si="1"/>
        <v>0.007661333685</v>
      </c>
      <c r="S231" s="1">
        <f t="shared" si="2"/>
        <v>-116</v>
      </c>
      <c r="T231" s="1">
        <f t="shared" si="3"/>
        <v>1.862068966</v>
      </c>
      <c r="U231" s="1">
        <f t="shared" si="4"/>
        <v>0</v>
      </c>
      <c r="V231" s="3">
        <f t="shared" si="5"/>
        <v>1</v>
      </c>
      <c r="W231" s="3">
        <f t="shared" si="6"/>
        <v>2</v>
      </c>
      <c r="X231" s="3" t="str">
        <f>IFERROR(__xludf.DUMMYFUNCTION("split(B231,"" "")"),"P.")</f>
        <v>P.</v>
      </c>
      <c r="Y231" s="3" t="str">
        <f>IFERROR(__xludf.DUMMYFUNCTION("""COMPUTED_VALUE"""),"Mahomes")</f>
        <v>Mahomes</v>
      </c>
      <c r="AA231" s="8">
        <v>60.0</v>
      </c>
      <c r="AB231" s="3">
        <f t="shared" si="7"/>
        <v>1</v>
      </c>
      <c r="AC231" s="3">
        <f t="shared" si="8"/>
        <v>0</v>
      </c>
      <c r="AD231" s="3">
        <f t="shared" si="9"/>
        <v>0.8620689655</v>
      </c>
      <c r="AE231" s="3">
        <f t="shared" si="10"/>
        <v>-1</v>
      </c>
      <c r="AF231" s="3">
        <f t="shared" si="11"/>
        <v>-2</v>
      </c>
      <c r="AG231" s="3">
        <f t="shared" si="12"/>
        <v>-3.444444444</v>
      </c>
    </row>
    <row r="232">
      <c r="A232" s="1" t="s">
        <v>12</v>
      </c>
      <c r="B232" s="1" t="s">
        <v>381</v>
      </c>
      <c r="C232" s="1" t="s">
        <v>18</v>
      </c>
      <c r="D232" s="1" t="s">
        <v>135</v>
      </c>
      <c r="E232" s="1" t="s">
        <v>77</v>
      </c>
      <c r="F232" s="1" t="s">
        <v>694</v>
      </c>
      <c r="G232" s="1">
        <v>2.5</v>
      </c>
      <c r="H232" s="1" t="s">
        <v>60</v>
      </c>
      <c r="I232" s="1">
        <v>-125.0</v>
      </c>
      <c r="J232" s="1">
        <v>-0.196253616622222</v>
      </c>
      <c r="K232" s="1" t="s">
        <v>61</v>
      </c>
      <c r="L232" s="1" t="s">
        <v>61</v>
      </c>
      <c r="M232" s="1" t="s">
        <v>62</v>
      </c>
      <c r="N232" s="1">
        <v>-105.0</v>
      </c>
      <c r="O232" s="1">
        <v>0.128502643546341</v>
      </c>
      <c r="P232" s="1" t="s">
        <v>61</v>
      </c>
      <c r="Q232" s="1" t="s">
        <v>61</v>
      </c>
      <c r="R232" s="1">
        <f t="shared" si="1"/>
        <v>0.1285026435</v>
      </c>
      <c r="S232" s="1">
        <f t="shared" si="2"/>
        <v>-105</v>
      </c>
      <c r="T232" s="1">
        <f t="shared" si="3"/>
        <v>1.952380952</v>
      </c>
      <c r="U232" s="1">
        <f t="shared" si="4"/>
        <v>0</v>
      </c>
      <c r="V232" s="3">
        <f t="shared" si="5"/>
        <v>3</v>
      </c>
      <c r="W232" s="3">
        <f t="shared" si="6"/>
        <v>2</v>
      </c>
      <c r="X232" s="3" t="str">
        <f>IFERROR(__xludf.DUMMYFUNCTION("split(B232,"" "")"),"J.")</f>
        <v>J.</v>
      </c>
      <c r="Y232" s="3" t="str">
        <f>IFERROR(__xludf.DUMMYFUNCTION("""COMPUTED_VALUE"""),"Palmer")</f>
        <v>Palmer</v>
      </c>
      <c r="AA232" s="8">
        <v>3.0</v>
      </c>
      <c r="AB232" s="3">
        <f t="shared" si="7"/>
        <v>1</v>
      </c>
      <c r="AC232" s="3">
        <f t="shared" si="8"/>
        <v>0</v>
      </c>
      <c r="AD232" s="3">
        <f t="shared" si="9"/>
        <v>2.857142857</v>
      </c>
      <c r="AE232" s="3">
        <f t="shared" si="10"/>
        <v>-3</v>
      </c>
      <c r="AF232" s="3">
        <f t="shared" si="11"/>
        <v>-2</v>
      </c>
      <c r="AG232" s="3">
        <f t="shared" si="12"/>
        <v>-0.2</v>
      </c>
    </row>
    <row r="233">
      <c r="A233" s="1" t="s">
        <v>8</v>
      </c>
      <c r="B233" s="1" t="s">
        <v>405</v>
      </c>
      <c r="C233" s="1" t="s">
        <v>21</v>
      </c>
      <c r="D233" s="1" t="s">
        <v>135</v>
      </c>
      <c r="E233" s="1" t="s">
        <v>77</v>
      </c>
      <c r="F233" s="1" t="s">
        <v>694</v>
      </c>
      <c r="G233" s="1">
        <v>4.5</v>
      </c>
      <c r="H233" s="1" t="s">
        <v>60</v>
      </c>
      <c r="I233" s="1">
        <v>-101.0</v>
      </c>
      <c r="J233" s="1">
        <v>-0.178631222890215</v>
      </c>
      <c r="K233" s="1" t="s">
        <v>61</v>
      </c>
      <c r="L233" s="1" t="s">
        <v>61</v>
      </c>
      <c r="M233" s="1" t="s">
        <v>62</v>
      </c>
      <c r="N233" s="1">
        <v>-133.0</v>
      </c>
      <c r="O233" s="1">
        <v>0.105334642983868</v>
      </c>
      <c r="P233" s="1" t="s">
        <v>61</v>
      </c>
      <c r="Q233" s="1" t="s">
        <v>61</v>
      </c>
      <c r="R233" s="1">
        <f t="shared" si="1"/>
        <v>0.105334643</v>
      </c>
      <c r="S233" s="1">
        <f t="shared" si="2"/>
        <v>-133</v>
      </c>
      <c r="T233" s="1">
        <f t="shared" si="3"/>
        <v>1.751879699</v>
      </c>
      <c r="U233" s="1">
        <f t="shared" si="4"/>
        <v>0</v>
      </c>
      <c r="V233" s="3">
        <f t="shared" si="5"/>
        <v>3</v>
      </c>
      <c r="W233" s="3">
        <f t="shared" si="6"/>
        <v>3</v>
      </c>
      <c r="X233" s="3" t="str">
        <f>IFERROR(__xludf.DUMMYFUNCTION("split(B233,"" "")"),"J.")</f>
        <v>J.</v>
      </c>
      <c r="Y233" s="3" t="str">
        <f>IFERROR(__xludf.DUMMYFUNCTION("""COMPUTED_VALUE"""),"Herbert")</f>
        <v>Herbert</v>
      </c>
      <c r="AA233" s="8">
        <v>4.0</v>
      </c>
      <c r="AB233" s="3">
        <f t="shared" si="7"/>
        <v>0</v>
      </c>
      <c r="AC233" s="3">
        <f t="shared" si="8"/>
        <v>1</v>
      </c>
      <c r="AD233" s="3">
        <f t="shared" si="9"/>
        <v>2.255639098</v>
      </c>
      <c r="AE233" s="3">
        <f t="shared" si="10"/>
        <v>2.255639098</v>
      </c>
      <c r="AF233" s="3">
        <f t="shared" si="11"/>
        <v>2.255639098</v>
      </c>
      <c r="AG233" s="3">
        <f t="shared" si="12"/>
        <v>0.1111111111</v>
      </c>
    </row>
    <row r="234">
      <c r="A234" s="1" t="s">
        <v>11</v>
      </c>
      <c r="B234" s="1" t="s">
        <v>701</v>
      </c>
      <c r="C234" s="1" t="s">
        <v>18</v>
      </c>
      <c r="D234" s="1" t="s">
        <v>135</v>
      </c>
      <c r="E234" s="1" t="s">
        <v>77</v>
      </c>
      <c r="F234" s="1" t="s">
        <v>694</v>
      </c>
      <c r="G234" s="1">
        <v>4.5</v>
      </c>
      <c r="H234" s="1" t="s">
        <v>60</v>
      </c>
      <c r="I234" s="1">
        <v>-112.0</v>
      </c>
      <c r="J234" s="1">
        <v>0.103894616160481</v>
      </c>
      <c r="K234" s="1" t="s">
        <v>61</v>
      </c>
      <c r="L234" s="1" t="s">
        <v>61</v>
      </c>
      <c r="M234" s="1" t="s">
        <v>62</v>
      </c>
      <c r="N234" s="1">
        <v>-114.0</v>
      </c>
      <c r="O234" s="1">
        <v>-0.164867527260117</v>
      </c>
      <c r="P234" s="1" t="s">
        <v>61</v>
      </c>
      <c r="Q234" s="1" t="s">
        <v>61</v>
      </c>
      <c r="R234" s="1">
        <f t="shared" si="1"/>
        <v>0.1038946162</v>
      </c>
      <c r="S234" s="1">
        <f t="shared" si="2"/>
        <v>-112</v>
      </c>
      <c r="T234" s="1">
        <f t="shared" si="3"/>
        <v>1.892857143</v>
      </c>
      <c r="U234" s="1">
        <f t="shared" si="4"/>
        <v>1</v>
      </c>
      <c r="V234" s="3">
        <f t="shared" si="5"/>
        <v>3</v>
      </c>
      <c r="W234" s="3">
        <f t="shared" si="6"/>
        <v>2</v>
      </c>
      <c r="X234" s="3" t="str">
        <f>IFERROR(__xludf.DUMMYFUNCTION("split(B234,"" "")"),"J.")</f>
        <v>J.</v>
      </c>
      <c r="Y234" s="3" t="str">
        <f>IFERROR(__xludf.DUMMYFUNCTION("""COMPUTED_VALUE"""),"Reagor")</f>
        <v>Reagor</v>
      </c>
      <c r="AA234" s="8">
        <v>20.0</v>
      </c>
      <c r="AB234" s="3">
        <f t="shared" si="7"/>
        <v>1</v>
      </c>
      <c r="AC234" s="3">
        <f t="shared" si="8"/>
        <v>1</v>
      </c>
      <c r="AD234" s="3">
        <f t="shared" si="9"/>
        <v>2.678571429</v>
      </c>
      <c r="AE234" s="3">
        <f t="shared" si="10"/>
        <v>2.678571429</v>
      </c>
      <c r="AF234" s="3">
        <f t="shared" si="11"/>
        <v>1.785714286</v>
      </c>
      <c r="AG234" s="3">
        <f t="shared" si="12"/>
        <v>3.444444444</v>
      </c>
    </row>
    <row r="235">
      <c r="A235" s="1" t="s">
        <v>10</v>
      </c>
      <c r="B235" s="1" t="s">
        <v>405</v>
      </c>
      <c r="C235" s="1" t="s">
        <v>21</v>
      </c>
      <c r="D235" s="1" t="s">
        <v>135</v>
      </c>
      <c r="E235" s="1" t="s">
        <v>77</v>
      </c>
      <c r="F235" s="1" t="s">
        <v>694</v>
      </c>
      <c r="G235" s="1">
        <v>19.5</v>
      </c>
      <c r="H235" s="1" t="s">
        <v>60</v>
      </c>
      <c r="I235" s="1">
        <v>-121.0</v>
      </c>
      <c r="J235" s="1">
        <v>-0.159448881342224</v>
      </c>
      <c r="K235" s="1" t="s">
        <v>61</v>
      </c>
      <c r="L235" s="1" t="s">
        <v>61</v>
      </c>
      <c r="M235" s="1" t="s">
        <v>62</v>
      </c>
      <c r="N235" s="1">
        <v>-106.0</v>
      </c>
      <c r="O235" s="1">
        <v>0.0973796162292695</v>
      </c>
      <c r="P235" s="1" t="s">
        <v>61</v>
      </c>
      <c r="Q235" s="1" t="s">
        <v>61</v>
      </c>
      <c r="R235" s="1">
        <f t="shared" si="1"/>
        <v>0.09737961623</v>
      </c>
      <c r="S235" s="1">
        <f t="shared" si="2"/>
        <v>-106</v>
      </c>
      <c r="T235" s="1">
        <f t="shared" si="3"/>
        <v>1.943396226</v>
      </c>
      <c r="U235" s="1">
        <f t="shared" si="4"/>
        <v>0</v>
      </c>
      <c r="V235" s="3">
        <f t="shared" si="5"/>
        <v>2</v>
      </c>
      <c r="W235" s="3">
        <f t="shared" si="6"/>
        <v>2</v>
      </c>
      <c r="X235" s="3" t="str">
        <f>IFERROR(__xludf.DUMMYFUNCTION("split(B235,"" "")"),"J.")</f>
        <v>J.</v>
      </c>
      <c r="Y235" s="3" t="str">
        <f>IFERROR(__xludf.DUMMYFUNCTION("""COMPUTED_VALUE"""),"Herbert")</f>
        <v>Herbert</v>
      </c>
      <c r="AA235" s="8">
        <v>29.0</v>
      </c>
      <c r="AB235" s="3">
        <f t="shared" si="7"/>
        <v>1</v>
      </c>
      <c r="AC235" s="3">
        <f t="shared" si="8"/>
        <v>0</v>
      </c>
      <c r="AD235" s="3">
        <f t="shared" si="9"/>
        <v>1.886792453</v>
      </c>
      <c r="AE235" s="3">
        <f t="shared" si="10"/>
        <v>-2</v>
      </c>
      <c r="AF235" s="3">
        <f t="shared" si="11"/>
        <v>-2</v>
      </c>
      <c r="AG235" s="3">
        <f t="shared" si="12"/>
        <v>-0.4871794872</v>
      </c>
    </row>
    <row r="236">
      <c r="A236" s="1" t="s">
        <v>12</v>
      </c>
      <c r="B236" s="1" t="s">
        <v>432</v>
      </c>
      <c r="C236" s="1" t="s">
        <v>18</v>
      </c>
      <c r="D236" s="1" t="s">
        <v>135</v>
      </c>
      <c r="E236" s="1" t="s">
        <v>77</v>
      </c>
      <c r="F236" s="1" t="s">
        <v>694</v>
      </c>
      <c r="G236" s="1">
        <v>5.5</v>
      </c>
      <c r="H236" s="1" t="s">
        <v>60</v>
      </c>
      <c r="I236" s="1">
        <v>125.0</v>
      </c>
      <c r="J236" s="1">
        <v>0.0902999999999999</v>
      </c>
      <c r="K236" s="1" t="s">
        <v>61</v>
      </c>
      <c r="L236" s="1" t="s">
        <v>61</v>
      </c>
      <c r="M236" s="1" t="s">
        <v>62</v>
      </c>
      <c r="N236" s="1">
        <v>-162.0</v>
      </c>
      <c r="O236" s="1">
        <v>-0.153058778625954</v>
      </c>
      <c r="P236" s="1" t="s">
        <v>61</v>
      </c>
      <c r="Q236" s="1" t="s">
        <v>61</v>
      </c>
      <c r="R236" s="1">
        <f t="shared" si="1"/>
        <v>0.0903</v>
      </c>
      <c r="S236" s="1">
        <f t="shared" si="2"/>
        <v>125</v>
      </c>
      <c r="T236" s="1">
        <f t="shared" si="3"/>
        <v>2.25</v>
      </c>
      <c r="U236" s="1">
        <f t="shared" si="4"/>
        <v>1</v>
      </c>
      <c r="V236" s="3">
        <f t="shared" si="5"/>
        <v>2</v>
      </c>
      <c r="W236" s="3">
        <f t="shared" si="6"/>
        <v>1</v>
      </c>
      <c r="X236" s="3" t="str">
        <f>IFERROR(__xludf.DUMMYFUNCTION("split(B236,"" "")"),"L.")</f>
        <v>L.</v>
      </c>
      <c r="Y236" s="3" t="str">
        <f>IFERROR(__xludf.DUMMYFUNCTION("""COMPUTED_VALUE"""),"McConkey")</f>
        <v>McConkey</v>
      </c>
      <c r="AA236" s="8">
        <v>6.0</v>
      </c>
      <c r="AB236" s="3">
        <f t="shared" si="7"/>
        <v>1</v>
      </c>
      <c r="AC236" s="3">
        <f t="shared" si="8"/>
        <v>1</v>
      </c>
      <c r="AD236" s="3">
        <f t="shared" si="9"/>
        <v>2.5</v>
      </c>
      <c r="AE236" s="3">
        <f t="shared" si="10"/>
        <v>2.5</v>
      </c>
      <c r="AF236" s="3">
        <f t="shared" si="11"/>
        <v>1.25</v>
      </c>
      <c r="AG236" s="3">
        <f t="shared" si="12"/>
        <v>0.09090909091</v>
      </c>
    </row>
    <row r="237">
      <c r="A237" s="1" t="s">
        <v>12</v>
      </c>
      <c r="B237" s="1" t="s">
        <v>506</v>
      </c>
      <c r="C237" s="1" t="s">
        <v>18</v>
      </c>
      <c r="D237" s="1" t="s">
        <v>135</v>
      </c>
      <c r="E237" s="1" t="s">
        <v>77</v>
      </c>
      <c r="F237" s="1" t="s">
        <v>694</v>
      </c>
      <c r="G237" s="1">
        <v>3.5</v>
      </c>
      <c r="H237" s="1" t="s">
        <v>60</v>
      </c>
      <c r="I237" s="1">
        <v>-105.0</v>
      </c>
      <c r="J237" s="1">
        <v>-0.157395121951219</v>
      </c>
      <c r="K237" s="1" t="s">
        <v>61</v>
      </c>
      <c r="L237" s="1" t="s">
        <v>61</v>
      </c>
      <c r="M237" s="1" t="s">
        <v>62</v>
      </c>
      <c r="N237" s="1">
        <v>-125.0</v>
      </c>
      <c r="O237" s="1">
        <v>0.0896444444444444</v>
      </c>
      <c r="P237" s="1" t="s">
        <v>61</v>
      </c>
      <c r="Q237" s="1" t="s">
        <v>61</v>
      </c>
      <c r="R237" s="1">
        <f t="shared" si="1"/>
        <v>0.08964444444</v>
      </c>
      <c r="S237" s="1">
        <f t="shared" si="2"/>
        <v>-125</v>
      </c>
      <c r="T237" s="1">
        <f t="shared" si="3"/>
        <v>1.8</v>
      </c>
      <c r="U237" s="1">
        <f t="shared" si="4"/>
        <v>0</v>
      </c>
      <c r="V237" s="3">
        <f t="shared" si="5"/>
        <v>2</v>
      </c>
      <c r="W237" s="3">
        <f t="shared" si="6"/>
        <v>3</v>
      </c>
      <c r="X237" s="3" t="str">
        <f>IFERROR(__xludf.DUMMYFUNCTION("split(B237,"" "")"),"Q.")</f>
        <v>Q.</v>
      </c>
      <c r="Y237" s="3" t="str">
        <f>IFERROR(__xludf.DUMMYFUNCTION("""COMPUTED_VALUE"""),"Johnston")</f>
        <v>Johnston</v>
      </c>
      <c r="AA237" s="8">
        <v>0.0</v>
      </c>
      <c r="AB237" s="3">
        <f t="shared" si="7"/>
        <v>0</v>
      </c>
      <c r="AC237" s="3">
        <f t="shared" si="8"/>
        <v>1</v>
      </c>
      <c r="AD237" s="3">
        <f t="shared" si="9"/>
        <v>1.6</v>
      </c>
      <c r="AE237" s="3">
        <f t="shared" si="10"/>
        <v>1.6</v>
      </c>
      <c r="AF237" s="3">
        <f t="shared" si="11"/>
        <v>2.4</v>
      </c>
      <c r="AG237" s="3">
        <f t="shared" si="12"/>
        <v>1</v>
      </c>
    </row>
    <row r="238">
      <c r="A238" s="1" t="s">
        <v>12</v>
      </c>
      <c r="B238" s="1" t="s">
        <v>485</v>
      </c>
      <c r="C238" s="1" t="s">
        <v>19</v>
      </c>
      <c r="D238" s="1" t="s">
        <v>135</v>
      </c>
      <c r="E238" s="1" t="s">
        <v>77</v>
      </c>
      <c r="F238" s="1" t="s">
        <v>694</v>
      </c>
      <c r="G238" s="1">
        <v>2.5</v>
      </c>
      <c r="H238" s="1" t="s">
        <v>60</v>
      </c>
      <c r="I238" s="1">
        <v>-124.0</v>
      </c>
      <c r="J238" s="1">
        <v>-0.148068296205357</v>
      </c>
      <c r="K238" s="1" t="s">
        <v>61</v>
      </c>
      <c r="L238" s="1" t="s">
        <v>61</v>
      </c>
      <c r="M238" s="1" t="s">
        <v>62</v>
      </c>
      <c r="N238" s="1">
        <v>-106.0</v>
      </c>
      <c r="O238" s="1">
        <v>0.0799332827718446</v>
      </c>
      <c r="P238" s="1" t="s">
        <v>61</v>
      </c>
      <c r="Q238" s="1" t="s">
        <v>61</v>
      </c>
      <c r="R238" s="1">
        <f t="shared" si="1"/>
        <v>0.07993328277</v>
      </c>
      <c r="S238" s="1">
        <f t="shared" si="2"/>
        <v>-106</v>
      </c>
      <c r="T238" s="1">
        <f t="shared" si="3"/>
        <v>1.943396226</v>
      </c>
      <c r="U238" s="1">
        <f t="shared" si="4"/>
        <v>0</v>
      </c>
      <c r="V238" s="3">
        <f t="shared" si="5"/>
        <v>2</v>
      </c>
      <c r="W238" s="3">
        <f t="shared" si="6"/>
        <v>2</v>
      </c>
      <c r="X238" s="3" t="str">
        <f>IFERROR(__xludf.DUMMYFUNCTION("split(B238,"" "")"),"J.")</f>
        <v>J.</v>
      </c>
      <c r="Y238" s="3" t="str">
        <f>IFERROR(__xludf.DUMMYFUNCTION("""COMPUTED_VALUE"""),"Dobbins")</f>
        <v>Dobbins</v>
      </c>
      <c r="AA238" s="8">
        <v>3.0</v>
      </c>
      <c r="AB238" s="3">
        <f t="shared" si="7"/>
        <v>1</v>
      </c>
      <c r="AC238" s="3">
        <f t="shared" si="8"/>
        <v>0</v>
      </c>
      <c r="AD238" s="3">
        <f t="shared" si="9"/>
        <v>1.886792453</v>
      </c>
      <c r="AE238" s="3">
        <f t="shared" si="10"/>
        <v>-2</v>
      </c>
      <c r="AF238" s="3">
        <f t="shared" si="11"/>
        <v>-2</v>
      </c>
      <c r="AG238" s="3">
        <f t="shared" si="12"/>
        <v>-0.2</v>
      </c>
    </row>
    <row r="239">
      <c r="A239" s="1" t="s">
        <v>14</v>
      </c>
      <c r="B239" s="1" t="s">
        <v>405</v>
      </c>
      <c r="C239" s="1" t="s">
        <v>21</v>
      </c>
      <c r="D239" s="1" t="s">
        <v>135</v>
      </c>
      <c r="E239" s="1" t="s">
        <v>77</v>
      </c>
      <c r="F239" s="1" t="s">
        <v>694</v>
      </c>
      <c r="G239" s="1">
        <v>1.5</v>
      </c>
      <c r="H239" s="1" t="s">
        <v>60</v>
      </c>
      <c r="I239" s="1">
        <v>-140.0</v>
      </c>
      <c r="J239" s="1">
        <v>-0.137974999999999</v>
      </c>
      <c r="K239" s="1" t="s">
        <v>61</v>
      </c>
      <c r="L239" s="1" t="s">
        <v>61</v>
      </c>
      <c r="M239" s="1" t="s">
        <v>62</v>
      </c>
      <c r="N239" s="1">
        <v>107.0</v>
      </c>
      <c r="O239" s="1">
        <v>0.0715565217391304</v>
      </c>
      <c r="P239" s="1" t="s">
        <v>61</v>
      </c>
      <c r="Q239" s="1" t="s">
        <v>61</v>
      </c>
      <c r="R239" s="1">
        <f t="shared" si="1"/>
        <v>0.07155652174</v>
      </c>
      <c r="S239" s="1">
        <f t="shared" si="2"/>
        <v>107</v>
      </c>
      <c r="T239" s="1">
        <f t="shared" si="3"/>
        <v>2.07</v>
      </c>
      <c r="U239" s="1">
        <f t="shared" si="4"/>
        <v>0</v>
      </c>
      <c r="V239" s="3">
        <f t="shared" si="5"/>
        <v>2</v>
      </c>
      <c r="W239" s="3">
        <f t="shared" si="6"/>
        <v>2</v>
      </c>
      <c r="X239" s="3" t="str">
        <f>IFERROR(__xludf.DUMMYFUNCTION("split(B239,"" "")"),"J.")</f>
        <v>J.</v>
      </c>
      <c r="Y239" s="3" t="str">
        <f>IFERROR(__xludf.DUMMYFUNCTION("""COMPUTED_VALUE"""),"Herbert")</f>
        <v>Herbert</v>
      </c>
      <c r="AA239" s="8">
        <v>0.0</v>
      </c>
      <c r="AB239" s="3">
        <f t="shared" si="7"/>
        <v>0</v>
      </c>
      <c r="AC239" s="3">
        <f t="shared" si="8"/>
        <v>1</v>
      </c>
      <c r="AD239" s="3">
        <f t="shared" si="9"/>
        <v>2.14</v>
      </c>
      <c r="AE239" s="3">
        <f t="shared" si="10"/>
        <v>2.14</v>
      </c>
      <c r="AF239" s="3">
        <f t="shared" si="11"/>
        <v>2.14</v>
      </c>
      <c r="AG239" s="3">
        <f t="shared" si="12"/>
        <v>1</v>
      </c>
    </row>
    <row r="240">
      <c r="A240" s="1" t="s">
        <v>8</v>
      </c>
      <c r="B240" s="1" t="s">
        <v>439</v>
      </c>
      <c r="C240" s="1" t="s">
        <v>19</v>
      </c>
      <c r="D240" s="1" t="s">
        <v>135</v>
      </c>
      <c r="E240" s="1" t="s">
        <v>77</v>
      </c>
      <c r="F240" s="1" t="s">
        <v>694</v>
      </c>
      <c r="G240" s="1">
        <v>6.5</v>
      </c>
      <c r="H240" s="1" t="s">
        <v>60</v>
      </c>
      <c r="I240" s="1">
        <v>105.0</v>
      </c>
      <c r="J240" s="1">
        <v>-0.12944129719489</v>
      </c>
      <c r="K240" s="1" t="s">
        <v>61</v>
      </c>
      <c r="L240" s="1" t="s">
        <v>61</v>
      </c>
      <c r="M240" s="1" t="s">
        <v>62</v>
      </c>
      <c r="N240" s="1">
        <v>-139.0</v>
      </c>
      <c r="O240" s="1">
        <v>0.0600649437564617</v>
      </c>
      <c r="P240" s="1" t="s">
        <v>61</v>
      </c>
      <c r="Q240" s="1" t="s">
        <v>61</v>
      </c>
      <c r="R240" s="1">
        <f t="shared" si="1"/>
        <v>0.06006494376</v>
      </c>
      <c r="S240" s="1">
        <f t="shared" si="2"/>
        <v>-139</v>
      </c>
      <c r="T240" s="1">
        <f t="shared" si="3"/>
        <v>1.71942446</v>
      </c>
      <c r="U240" s="1">
        <f t="shared" si="4"/>
        <v>0</v>
      </c>
      <c r="V240" s="3">
        <f t="shared" si="5"/>
        <v>2</v>
      </c>
      <c r="W240" s="3">
        <f t="shared" si="6"/>
        <v>3</v>
      </c>
      <c r="X240" s="3" t="str">
        <f>IFERROR(__xludf.DUMMYFUNCTION("split(B240,"" "")"),"G.")</f>
        <v>G.</v>
      </c>
      <c r="Y240" s="3" t="str">
        <f>IFERROR(__xludf.DUMMYFUNCTION("""COMPUTED_VALUE"""),"Edwards")</f>
        <v>Edwards</v>
      </c>
      <c r="AA240" s="8">
        <v>9.0</v>
      </c>
      <c r="AB240" s="3">
        <f t="shared" si="7"/>
        <v>1</v>
      </c>
      <c r="AC240" s="3">
        <f t="shared" si="8"/>
        <v>0</v>
      </c>
      <c r="AD240" s="3">
        <f t="shared" si="9"/>
        <v>1.438848921</v>
      </c>
      <c r="AE240" s="3">
        <f t="shared" si="10"/>
        <v>-2</v>
      </c>
      <c r="AF240" s="3">
        <f t="shared" si="11"/>
        <v>-3</v>
      </c>
      <c r="AG240" s="3">
        <f t="shared" si="12"/>
        <v>-0.3846153846</v>
      </c>
    </row>
    <row r="241">
      <c r="A241" s="1" t="s">
        <v>8</v>
      </c>
      <c r="B241" s="1" t="s">
        <v>485</v>
      </c>
      <c r="C241" s="1" t="s">
        <v>19</v>
      </c>
      <c r="D241" s="1" t="s">
        <v>135</v>
      </c>
      <c r="E241" s="1" t="s">
        <v>77</v>
      </c>
      <c r="F241" s="1" t="s">
        <v>694</v>
      </c>
      <c r="G241" s="1">
        <v>12.5</v>
      </c>
      <c r="H241" s="1" t="s">
        <v>60</v>
      </c>
      <c r="I241" s="1">
        <v>100.0</v>
      </c>
      <c r="J241" s="1">
        <v>-0.116649442699249</v>
      </c>
      <c r="K241" s="1" t="s">
        <v>61</v>
      </c>
      <c r="L241" s="1" t="s">
        <v>61</v>
      </c>
      <c r="M241" s="1" t="s">
        <v>62</v>
      </c>
      <c r="N241" s="1">
        <v>-133.0</v>
      </c>
      <c r="O241" s="1">
        <v>0.0458409946695299</v>
      </c>
      <c r="P241" s="1" t="s">
        <v>61</v>
      </c>
      <c r="Q241" s="1" t="s">
        <v>61</v>
      </c>
      <c r="R241" s="1">
        <f t="shared" si="1"/>
        <v>0.04584099467</v>
      </c>
      <c r="S241" s="1">
        <f t="shared" si="2"/>
        <v>-133</v>
      </c>
      <c r="T241" s="1">
        <f t="shared" si="3"/>
        <v>1.751879699</v>
      </c>
      <c r="U241" s="1">
        <f t="shared" si="4"/>
        <v>0</v>
      </c>
      <c r="V241" s="3">
        <f t="shared" si="5"/>
        <v>1</v>
      </c>
      <c r="W241" s="3">
        <f t="shared" si="6"/>
        <v>3</v>
      </c>
      <c r="X241" s="3" t="str">
        <f>IFERROR(__xludf.DUMMYFUNCTION("split(B241,"" "")"),"J.")</f>
        <v>J.</v>
      </c>
      <c r="Y241" s="3" t="str">
        <f>IFERROR(__xludf.DUMMYFUNCTION("""COMPUTED_VALUE"""),"Dobbins")</f>
        <v>Dobbins</v>
      </c>
      <c r="AA241" s="8">
        <v>6.0</v>
      </c>
      <c r="AB241" s="3">
        <f t="shared" si="7"/>
        <v>0</v>
      </c>
      <c r="AC241" s="3">
        <f t="shared" si="8"/>
        <v>1</v>
      </c>
      <c r="AD241" s="3">
        <f t="shared" si="9"/>
        <v>0.7518796992</v>
      </c>
      <c r="AE241" s="3">
        <f t="shared" si="10"/>
        <v>0.7518796992</v>
      </c>
      <c r="AF241" s="3">
        <f t="shared" si="11"/>
        <v>2.255639098</v>
      </c>
      <c r="AG241" s="3">
        <f t="shared" si="12"/>
        <v>0.52</v>
      </c>
    </row>
    <row r="242">
      <c r="A242" s="1" t="s">
        <v>11</v>
      </c>
      <c r="B242" s="1" t="s">
        <v>506</v>
      </c>
      <c r="C242" s="1" t="s">
        <v>18</v>
      </c>
      <c r="D242" s="1" t="s">
        <v>135</v>
      </c>
      <c r="E242" s="1" t="s">
        <v>77</v>
      </c>
      <c r="F242" s="1" t="s">
        <v>694</v>
      </c>
      <c r="G242" s="1">
        <v>49.5</v>
      </c>
      <c r="H242" s="1" t="s">
        <v>60</v>
      </c>
      <c r="I242" s="1">
        <v>-115.0</v>
      </c>
      <c r="J242" s="1">
        <v>-0.114878790018604</v>
      </c>
      <c r="K242" s="1" t="s">
        <v>61</v>
      </c>
      <c r="L242" s="1" t="s">
        <v>61</v>
      </c>
      <c r="M242" s="1" t="s">
        <v>62</v>
      </c>
      <c r="N242" s="1">
        <v>-115.0</v>
      </c>
      <c r="O242" s="1">
        <v>0.0451248817803953</v>
      </c>
      <c r="P242" s="1" t="s">
        <v>61</v>
      </c>
      <c r="Q242" s="1" t="s">
        <v>61</v>
      </c>
      <c r="R242" s="1">
        <f t="shared" si="1"/>
        <v>0.04512488178</v>
      </c>
      <c r="S242" s="1">
        <f t="shared" si="2"/>
        <v>-115</v>
      </c>
      <c r="T242" s="1">
        <f t="shared" si="3"/>
        <v>1.869565217</v>
      </c>
      <c r="U242" s="1">
        <f t="shared" si="4"/>
        <v>0</v>
      </c>
      <c r="V242" s="3">
        <f t="shared" si="5"/>
        <v>1</v>
      </c>
      <c r="W242" s="3">
        <f t="shared" si="6"/>
        <v>2</v>
      </c>
      <c r="X242" s="3" t="str">
        <f>IFERROR(__xludf.DUMMYFUNCTION("split(B242,"" "")"),"Q.")</f>
        <v>Q.</v>
      </c>
      <c r="Y242" s="3" t="str">
        <f>IFERROR(__xludf.DUMMYFUNCTION("""COMPUTED_VALUE"""),"Johnston")</f>
        <v>Johnston</v>
      </c>
      <c r="AA242" s="8">
        <v>0.0</v>
      </c>
      <c r="AB242" s="3">
        <f t="shared" si="7"/>
        <v>0</v>
      </c>
      <c r="AC242" s="3">
        <f t="shared" si="8"/>
        <v>1</v>
      </c>
      <c r="AD242" s="3">
        <f t="shared" si="9"/>
        <v>0.8695652174</v>
      </c>
      <c r="AE242" s="3">
        <f t="shared" si="10"/>
        <v>0.8695652174</v>
      </c>
      <c r="AF242" s="3">
        <f t="shared" si="11"/>
        <v>1.739130435</v>
      </c>
      <c r="AG242" s="3">
        <f t="shared" si="12"/>
        <v>1</v>
      </c>
    </row>
    <row r="243">
      <c r="A243" s="1" t="s">
        <v>17</v>
      </c>
      <c r="B243" s="1" t="s">
        <v>405</v>
      </c>
      <c r="C243" s="1" t="s">
        <v>21</v>
      </c>
      <c r="D243" s="1" t="s">
        <v>135</v>
      </c>
      <c r="E243" s="1" t="s">
        <v>77</v>
      </c>
      <c r="F243" s="1" t="s">
        <v>694</v>
      </c>
      <c r="G243" s="1">
        <v>0.5</v>
      </c>
      <c r="H243" s="1" t="s">
        <v>60</v>
      </c>
      <c r="I243" s="1">
        <v>-112.0</v>
      </c>
      <c r="J243" s="1">
        <v>-0.100201886792452</v>
      </c>
      <c r="K243" s="1" t="s">
        <v>61</v>
      </c>
      <c r="L243" s="1" t="s">
        <v>61</v>
      </c>
      <c r="M243" s="1" t="s">
        <v>62</v>
      </c>
      <c r="N243" s="1">
        <v>-117.0</v>
      </c>
      <c r="O243" s="1">
        <v>0.0327294930875576</v>
      </c>
      <c r="P243" s="1" t="s">
        <v>61</v>
      </c>
      <c r="Q243" s="1" t="s">
        <v>61</v>
      </c>
      <c r="R243" s="1">
        <f t="shared" si="1"/>
        <v>0.03272949309</v>
      </c>
      <c r="S243" s="1">
        <f t="shared" si="2"/>
        <v>-117</v>
      </c>
      <c r="T243" s="1">
        <f t="shared" si="3"/>
        <v>1.854700855</v>
      </c>
      <c r="U243" s="1">
        <f t="shared" si="4"/>
        <v>0</v>
      </c>
      <c r="V243" s="3">
        <f t="shared" si="5"/>
        <v>1</v>
      </c>
      <c r="W243" s="3">
        <f t="shared" si="6"/>
        <v>2</v>
      </c>
      <c r="X243" s="3" t="str">
        <f>IFERROR(__xludf.DUMMYFUNCTION("split(B243,"" "")"),"J.")</f>
        <v>J.</v>
      </c>
      <c r="Y243" s="3" t="str">
        <f>IFERROR(__xludf.DUMMYFUNCTION("""COMPUTED_VALUE"""),"Herbert")</f>
        <v>Herbert</v>
      </c>
      <c r="AA243" s="8">
        <v>0.0</v>
      </c>
      <c r="AB243" s="3">
        <f t="shared" si="7"/>
        <v>0</v>
      </c>
      <c r="AC243" s="3">
        <f t="shared" si="8"/>
        <v>1</v>
      </c>
      <c r="AD243" s="3">
        <f t="shared" si="9"/>
        <v>0.8547008547</v>
      </c>
      <c r="AE243" s="3">
        <f t="shared" si="10"/>
        <v>0.8547008547</v>
      </c>
      <c r="AF243" s="3">
        <f t="shared" si="11"/>
        <v>1.709401709</v>
      </c>
      <c r="AG243" s="3">
        <f t="shared" si="12"/>
        <v>1</v>
      </c>
    </row>
    <row r="244">
      <c r="A244" s="1" t="s">
        <v>13</v>
      </c>
      <c r="B244" s="1" t="s">
        <v>405</v>
      </c>
      <c r="C244" s="1" t="s">
        <v>21</v>
      </c>
      <c r="D244" s="1" t="s">
        <v>135</v>
      </c>
      <c r="E244" s="1" t="s">
        <v>77</v>
      </c>
      <c r="F244" s="1" t="s">
        <v>694</v>
      </c>
      <c r="G244" s="1">
        <v>263.5</v>
      </c>
      <c r="H244" s="1" t="s">
        <v>60</v>
      </c>
      <c r="I244" s="1">
        <v>-127.0</v>
      </c>
      <c r="J244" s="1">
        <v>-0.106367790991629</v>
      </c>
      <c r="K244" s="1" t="s">
        <v>61</v>
      </c>
      <c r="L244" s="1" t="s">
        <v>61</v>
      </c>
      <c r="M244" s="1" t="s">
        <v>62</v>
      </c>
      <c r="N244" s="1">
        <v>-106.0</v>
      </c>
      <c r="O244" s="1">
        <v>0.0322808598543686</v>
      </c>
      <c r="P244" s="1" t="s">
        <v>61</v>
      </c>
      <c r="Q244" s="1" t="s">
        <v>61</v>
      </c>
      <c r="R244" s="1">
        <f t="shared" si="1"/>
        <v>0.03228085985</v>
      </c>
      <c r="S244" s="1">
        <f t="shared" si="2"/>
        <v>-106</v>
      </c>
      <c r="T244" s="1">
        <f t="shared" si="3"/>
        <v>1.943396226</v>
      </c>
      <c r="U244" s="1">
        <f t="shared" si="4"/>
        <v>0</v>
      </c>
      <c r="V244" s="3">
        <f t="shared" si="5"/>
        <v>1</v>
      </c>
      <c r="W244" s="3">
        <f t="shared" si="6"/>
        <v>2</v>
      </c>
      <c r="X244" s="3" t="str">
        <f>IFERROR(__xludf.DUMMYFUNCTION("split(B244,"" "")"),"J.")</f>
        <v>J.</v>
      </c>
      <c r="Y244" s="3" t="str">
        <f>IFERROR(__xludf.DUMMYFUNCTION("""COMPUTED_VALUE"""),"Herbert")</f>
        <v>Herbert</v>
      </c>
      <c r="AA244" s="8">
        <v>218.0</v>
      </c>
      <c r="AB244" s="3">
        <f t="shared" si="7"/>
        <v>0</v>
      </c>
      <c r="AC244" s="3">
        <f t="shared" si="8"/>
        <v>1</v>
      </c>
      <c r="AD244" s="3">
        <f t="shared" si="9"/>
        <v>0.9433962264</v>
      </c>
      <c r="AE244" s="3">
        <f t="shared" si="10"/>
        <v>0.9433962264</v>
      </c>
      <c r="AF244" s="3">
        <f t="shared" si="11"/>
        <v>1.886792453</v>
      </c>
      <c r="AG244" s="3">
        <f t="shared" si="12"/>
        <v>0.1726755218</v>
      </c>
    </row>
    <row r="245">
      <c r="A245" s="1" t="s">
        <v>11</v>
      </c>
      <c r="B245" s="1" t="s">
        <v>381</v>
      </c>
      <c r="C245" s="1" t="s">
        <v>18</v>
      </c>
      <c r="D245" s="1" t="s">
        <v>135</v>
      </c>
      <c r="E245" s="1" t="s">
        <v>77</v>
      </c>
      <c r="F245" s="1" t="s">
        <v>694</v>
      </c>
      <c r="G245" s="1">
        <v>35.5</v>
      </c>
      <c r="H245" s="1" t="s">
        <v>60</v>
      </c>
      <c r="I245" s="1">
        <v>-114.0</v>
      </c>
      <c r="J245" s="1">
        <v>-0.0954318471873832</v>
      </c>
      <c r="K245" s="1" t="s">
        <v>61</v>
      </c>
      <c r="L245" s="1" t="s">
        <v>61</v>
      </c>
      <c r="M245" s="1" t="s">
        <v>62</v>
      </c>
      <c r="N245" s="1">
        <v>-116.0</v>
      </c>
      <c r="O245" s="1">
        <v>0.0257162033695</v>
      </c>
      <c r="P245" s="1" t="s">
        <v>61</v>
      </c>
      <c r="Q245" s="1" t="s">
        <v>61</v>
      </c>
      <c r="R245" s="1">
        <f t="shared" si="1"/>
        <v>0.02571620337</v>
      </c>
      <c r="S245" s="1">
        <f t="shared" si="2"/>
        <v>-116</v>
      </c>
      <c r="T245" s="1">
        <f t="shared" si="3"/>
        <v>1.862068966</v>
      </c>
      <c r="U245" s="1">
        <f t="shared" si="4"/>
        <v>0</v>
      </c>
      <c r="V245" s="3">
        <f t="shared" si="5"/>
        <v>1</v>
      </c>
      <c r="W245" s="3">
        <f t="shared" si="6"/>
        <v>2</v>
      </c>
      <c r="X245" s="3" t="str">
        <f>IFERROR(__xludf.DUMMYFUNCTION("split(B245,"" "")"),"J.")</f>
        <v>J.</v>
      </c>
      <c r="Y245" s="3" t="str">
        <f>IFERROR(__xludf.DUMMYFUNCTION("""COMPUTED_VALUE"""),"Palmer")</f>
        <v>Palmer</v>
      </c>
      <c r="AA245" s="8">
        <v>38.0</v>
      </c>
      <c r="AB245" s="3">
        <f t="shared" si="7"/>
        <v>1</v>
      </c>
      <c r="AC245" s="3">
        <f t="shared" si="8"/>
        <v>0</v>
      </c>
      <c r="AD245" s="3">
        <f t="shared" si="9"/>
        <v>0.8620689655</v>
      </c>
      <c r="AE245" s="3">
        <f t="shared" si="10"/>
        <v>-1</v>
      </c>
      <c r="AF245" s="3">
        <f t="shared" si="11"/>
        <v>-2</v>
      </c>
      <c r="AG245" s="3">
        <f t="shared" si="12"/>
        <v>-0.07042253521</v>
      </c>
    </row>
    <row r="246">
      <c r="A246" s="1" t="s">
        <v>10</v>
      </c>
      <c r="B246" s="1" t="s">
        <v>485</v>
      </c>
      <c r="C246" s="1" t="s">
        <v>19</v>
      </c>
      <c r="D246" s="1" t="s">
        <v>135</v>
      </c>
      <c r="E246" s="1" t="s">
        <v>77</v>
      </c>
      <c r="F246" s="1" t="s">
        <v>694</v>
      </c>
      <c r="G246" s="1">
        <v>45.5</v>
      </c>
      <c r="H246" s="1" t="s">
        <v>60</v>
      </c>
      <c r="I246" s="1">
        <v>-112.0</v>
      </c>
      <c r="J246" s="1">
        <v>-0.0790276634551122</v>
      </c>
      <c r="K246" s="1" t="s">
        <v>61</v>
      </c>
      <c r="L246" s="1" t="s">
        <v>61</v>
      </c>
      <c r="M246" s="1" t="s">
        <v>62</v>
      </c>
      <c r="N246" s="1">
        <v>-112.0</v>
      </c>
      <c r="O246" s="1">
        <v>0.0224508676789257</v>
      </c>
      <c r="P246" s="1" t="s">
        <v>61</v>
      </c>
      <c r="Q246" s="1" t="s">
        <v>61</v>
      </c>
      <c r="R246" s="1">
        <f t="shared" si="1"/>
        <v>0.02245086768</v>
      </c>
      <c r="S246" s="1">
        <f t="shared" si="2"/>
        <v>-112</v>
      </c>
      <c r="T246" s="1">
        <f t="shared" si="3"/>
        <v>1.892857143</v>
      </c>
      <c r="U246" s="1">
        <f t="shared" si="4"/>
        <v>0</v>
      </c>
      <c r="V246" s="3">
        <f t="shared" si="5"/>
        <v>1</v>
      </c>
      <c r="W246" s="3">
        <f t="shared" si="6"/>
        <v>2</v>
      </c>
      <c r="X246" s="3" t="str">
        <f>IFERROR(__xludf.DUMMYFUNCTION("split(B246,"" "")"),"J.")</f>
        <v>J.</v>
      </c>
      <c r="Y246" s="3" t="str">
        <f>IFERROR(__xludf.DUMMYFUNCTION("""COMPUTED_VALUE"""),"Dobbins")</f>
        <v>Dobbins</v>
      </c>
      <c r="AA246" s="8">
        <v>40.0</v>
      </c>
      <c r="AB246" s="3">
        <f t="shared" si="7"/>
        <v>0</v>
      </c>
      <c r="AC246" s="3">
        <f t="shared" si="8"/>
        <v>1</v>
      </c>
      <c r="AD246" s="3">
        <f t="shared" si="9"/>
        <v>0.8928571429</v>
      </c>
      <c r="AE246" s="3">
        <f t="shared" si="10"/>
        <v>0.8928571429</v>
      </c>
      <c r="AF246" s="3">
        <f t="shared" si="11"/>
        <v>1.785714286</v>
      </c>
      <c r="AG246" s="3">
        <f t="shared" si="12"/>
        <v>0.1208791209</v>
      </c>
    </row>
    <row r="247">
      <c r="A247" s="1" t="s">
        <v>11</v>
      </c>
      <c r="B247" s="1" t="s">
        <v>471</v>
      </c>
      <c r="C247" s="1" t="s">
        <v>20</v>
      </c>
      <c r="D247" s="1" t="s">
        <v>135</v>
      </c>
      <c r="E247" s="1" t="s">
        <v>77</v>
      </c>
      <c r="F247" s="1" t="s">
        <v>694</v>
      </c>
      <c r="G247" s="1">
        <v>44.5</v>
      </c>
      <c r="H247" s="1" t="s">
        <v>60</v>
      </c>
      <c r="I247" s="1">
        <v>-114.0</v>
      </c>
      <c r="J247" s="1">
        <v>-0.0803535650540189</v>
      </c>
      <c r="K247" s="1" t="s">
        <v>61</v>
      </c>
      <c r="L247" s="1" t="s">
        <v>61</v>
      </c>
      <c r="M247" s="1" t="s">
        <v>62</v>
      </c>
      <c r="N247" s="1">
        <v>-115.0</v>
      </c>
      <c r="O247" s="1">
        <v>0.012779338307442</v>
      </c>
      <c r="P247" s="1" t="s">
        <v>61</v>
      </c>
      <c r="Q247" s="1" t="s">
        <v>61</v>
      </c>
      <c r="R247" s="1">
        <f t="shared" si="1"/>
        <v>0.01277933831</v>
      </c>
      <c r="S247" s="1">
        <f t="shared" si="2"/>
        <v>-115</v>
      </c>
      <c r="T247" s="1">
        <f t="shared" si="3"/>
        <v>1.869565217</v>
      </c>
      <c r="U247" s="1">
        <f t="shared" si="4"/>
        <v>0</v>
      </c>
      <c r="V247" s="3">
        <f t="shared" si="5"/>
        <v>1</v>
      </c>
      <c r="W247" s="3">
        <f t="shared" si="6"/>
        <v>2</v>
      </c>
      <c r="X247" s="3" t="str">
        <f>IFERROR(__xludf.DUMMYFUNCTION("split(B247,"" "")"),"W.")</f>
        <v>W.</v>
      </c>
      <c r="Y247" s="3" t="str">
        <f>IFERROR(__xludf.DUMMYFUNCTION("""COMPUTED_VALUE"""),"Dissly")</f>
        <v>Dissly</v>
      </c>
      <c r="AA247" s="8">
        <v>47.0</v>
      </c>
      <c r="AB247" s="3">
        <f t="shared" si="7"/>
        <v>1</v>
      </c>
      <c r="AC247" s="3">
        <f t="shared" si="8"/>
        <v>0</v>
      </c>
      <c r="AD247" s="3">
        <f t="shared" si="9"/>
        <v>0.8695652174</v>
      </c>
      <c r="AE247" s="3">
        <f t="shared" si="10"/>
        <v>-1</v>
      </c>
      <c r="AF247" s="3">
        <f t="shared" si="11"/>
        <v>-2</v>
      </c>
      <c r="AG247" s="3">
        <f t="shared" si="12"/>
        <v>-0.05617977528</v>
      </c>
    </row>
    <row r="248">
      <c r="A248" s="1" t="s">
        <v>9</v>
      </c>
      <c r="B248" s="1" t="s">
        <v>381</v>
      </c>
      <c r="C248" s="1" t="s">
        <v>18</v>
      </c>
      <c r="D248" s="1" t="s">
        <v>135</v>
      </c>
      <c r="E248" s="1" t="s">
        <v>77</v>
      </c>
      <c r="F248" s="1" t="s">
        <v>694</v>
      </c>
      <c r="G248" s="1">
        <v>34.5</v>
      </c>
      <c r="H248" s="1" t="s">
        <v>60</v>
      </c>
      <c r="I248" s="1">
        <v>-115.0</v>
      </c>
      <c r="J248" s="1">
        <v>0.011656529820081</v>
      </c>
      <c r="K248" s="1" t="s">
        <v>61</v>
      </c>
      <c r="L248" s="1" t="s">
        <v>61</v>
      </c>
      <c r="M248" s="1" t="s">
        <v>62</v>
      </c>
      <c r="N248" s="1">
        <v>-120.0</v>
      </c>
      <c r="O248" s="1">
        <v>-0.0920190213344587</v>
      </c>
      <c r="P248" s="1" t="s">
        <v>61</v>
      </c>
      <c r="Q248" s="1" t="s">
        <v>61</v>
      </c>
      <c r="R248" s="1">
        <f t="shared" si="1"/>
        <v>0.01165652982</v>
      </c>
      <c r="S248" s="1">
        <f t="shared" si="2"/>
        <v>-115</v>
      </c>
      <c r="T248" s="1">
        <f t="shared" si="3"/>
        <v>1.869565217</v>
      </c>
      <c r="U248" s="1">
        <f t="shared" si="4"/>
        <v>1</v>
      </c>
      <c r="V248" s="3">
        <f t="shared" si="5"/>
        <v>1</v>
      </c>
      <c r="W248" s="3">
        <f t="shared" si="6"/>
        <v>2</v>
      </c>
      <c r="X248" s="3" t="str">
        <f>IFERROR(__xludf.DUMMYFUNCTION("split(B248,"" "")"),"J.")</f>
        <v>J.</v>
      </c>
      <c r="Y248" s="3" t="str">
        <f>IFERROR(__xludf.DUMMYFUNCTION("""COMPUTED_VALUE"""),"Palmer")</f>
        <v>Palmer</v>
      </c>
      <c r="AA248" s="8">
        <v>38.0</v>
      </c>
      <c r="AB248" s="3">
        <f t="shared" si="7"/>
        <v>1</v>
      </c>
      <c r="AC248" s="3">
        <f t="shared" si="8"/>
        <v>1</v>
      </c>
      <c r="AD248" s="3">
        <f t="shared" si="9"/>
        <v>0.8695652174</v>
      </c>
      <c r="AE248" s="3">
        <f t="shared" si="10"/>
        <v>0.8695652174</v>
      </c>
      <c r="AF248" s="3">
        <f t="shared" si="11"/>
        <v>1.739130435</v>
      </c>
      <c r="AG248" s="3">
        <f t="shared" si="12"/>
        <v>0.1014492754</v>
      </c>
    </row>
    <row r="249">
      <c r="A249" s="1" t="s">
        <v>15</v>
      </c>
      <c r="B249" s="1" t="s">
        <v>405</v>
      </c>
      <c r="C249" s="1" t="s">
        <v>21</v>
      </c>
      <c r="D249" s="1" t="s">
        <v>135</v>
      </c>
      <c r="E249" s="1" t="s">
        <v>77</v>
      </c>
      <c r="F249" s="1" t="s">
        <v>694</v>
      </c>
      <c r="G249" s="1">
        <v>21.5</v>
      </c>
      <c r="H249" s="1" t="s">
        <v>60</v>
      </c>
      <c r="I249" s="1">
        <v>-124.0</v>
      </c>
      <c r="J249" s="1">
        <v>0.0106285714285714</v>
      </c>
      <c r="K249" s="1" t="s">
        <v>61</v>
      </c>
      <c r="L249" s="1" t="s">
        <v>61</v>
      </c>
      <c r="M249" s="1" t="s">
        <v>62</v>
      </c>
      <c r="N249" s="1">
        <v>-106.0</v>
      </c>
      <c r="O249" s="1">
        <v>-0.0787631067961164</v>
      </c>
      <c r="P249" s="1" t="s">
        <v>61</v>
      </c>
      <c r="Q249" s="1" t="s">
        <v>61</v>
      </c>
      <c r="R249" s="1">
        <f t="shared" si="1"/>
        <v>0.01062857143</v>
      </c>
      <c r="S249" s="1">
        <f t="shared" si="2"/>
        <v>-124</v>
      </c>
      <c r="T249" s="1">
        <f t="shared" si="3"/>
        <v>1.806451613</v>
      </c>
      <c r="U249" s="1">
        <f t="shared" si="4"/>
        <v>1</v>
      </c>
      <c r="V249" s="3">
        <f t="shared" si="5"/>
        <v>1</v>
      </c>
      <c r="W249" s="3">
        <f t="shared" si="6"/>
        <v>3</v>
      </c>
      <c r="X249" s="3" t="str">
        <f>IFERROR(__xludf.DUMMYFUNCTION("split(B249,"" "")"),"J.")</f>
        <v>J.</v>
      </c>
      <c r="Y249" s="3" t="str">
        <f>IFERROR(__xludf.DUMMYFUNCTION("""COMPUTED_VALUE"""),"Herbert")</f>
        <v>Herbert</v>
      </c>
      <c r="AA249" s="8">
        <v>21.0</v>
      </c>
      <c r="AB249" s="3">
        <f t="shared" si="7"/>
        <v>0</v>
      </c>
      <c r="AC249" s="3">
        <f t="shared" si="8"/>
        <v>0</v>
      </c>
      <c r="AD249" s="3">
        <f t="shared" si="9"/>
        <v>0.8064516129</v>
      </c>
      <c r="AE249" s="3">
        <f t="shared" si="10"/>
        <v>-1</v>
      </c>
      <c r="AF249" s="3">
        <f t="shared" si="11"/>
        <v>-3</v>
      </c>
      <c r="AG249" s="3">
        <f t="shared" si="12"/>
        <v>-0.02325581395</v>
      </c>
    </row>
    <row r="250">
      <c r="A250" s="1" t="s">
        <v>16</v>
      </c>
      <c r="B250" s="1" t="s">
        <v>405</v>
      </c>
      <c r="C250" s="1" t="s">
        <v>21</v>
      </c>
      <c r="D250" s="1" t="s">
        <v>135</v>
      </c>
      <c r="E250" s="1" t="s">
        <v>77</v>
      </c>
      <c r="F250" s="1" t="s">
        <v>694</v>
      </c>
      <c r="G250" s="1">
        <v>34.5</v>
      </c>
      <c r="H250" s="1" t="s">
        <v>60</v>
      </c>
      <c r="I250" s="1">
        <v>-125.0</v>
      </c>
      <c r="J250" s="1">
        <v>-0.0718674786111112</v>
      </c>
      <c r="K250" s="1" t="s">
        <v>61</v>
      </c>
      <c r="L250" s="1" t="s">
        <v>61</v>
      </c>
      <c r="M250" s="1" t="s">
        <v>62</v>
      </c>
      <c r="N250" s="1">
        <v>-103.0</v>
      </c>
      <c r="O250" s="1">
        <v>0.00891007955665013</v>
      </c>
      <c r="P250" s="1" t="s">
        <v>61</v>
      </c>
      <c r="Q250" s="1" t="s">
        <v>61</v>
      </c>
      <c r="R250" s="1">
        <f t="shared" si="1"/>
        <v>0.008910079557</v>
      </c>
      <c r="S250" s="1">
        <f t="shared" si="2"/>
        <v>-103</v>
      </c>
      <c r="T250" s="1">
        <f t="shared" si="3"/>
        <v>1.970873786</v>
      </c>
      <c r="U250" s="1">
        <f t="shared" si="4"/>
        <v>0</v>
      </c>
      <c r="V250" s="3">
        <f t="shared" si="5"/>
        <v>1</v>
      </c>
      <c r="W250" s="3">
        <f t="shared" si="6"/>
        <v>2</v>
      </c>
      <c r="X250" s="3" t="str">
        <f>IFERROR(__xludf.DUMMYFUNCTION("split(B250,"" "")"),"J.")</f>
        <v>J.</v>
      </c>
      <c r="Y250" s="3" t="str">
        <f>IFERROR(__xludf.DUMMYFUNCTION("""COMPUTED_VALUE"""),"Herbert")</f>
        <v>Herbert</v>
      </c>
      <c r="AA250" s="8">
        <v>36.0</v>
      </c>
      <c r="AB250" s="3">
        <f t="shared" si="7"/>
        <v>1</v>
      </c>
      <c r="AC250" s="3">
        <f t="shared" si="8"/>
        <v>0</v>
      </c>
      <c r="AD250" s="3">
        <f t="shared" si="9"/>
        <v>0.9708737864</v>
      </c>
      <c r="AE250" s="3">
        <f t="shared" si="10"/>
        <v>-1</v>
      </c>
      <c r="AF250" s="3">
        <f t="shared" si="11"/>
        <v>-2</v>
      </c>
      <c r="AG250" s="3">
        <f t="shared" si="12"/>
        <v>-0.04347826087</v>
      </c>
    </row>
    <row r="251">
      <c r="A251" s="1" t="s">
        <v>12</v>
      </c>
      <c r="B251" s="1" t="s">
        <v>641</v>
      </c>
      <c r="C251" s="1" t="s">
        <v>19</v>
      </c>
      <c r="D251" s="1" t="s">
        <v>134</v>
      </c>
      <c r="E251" s="1" t="s">
        <v>83</v>
      </c>
      <c r="F251" s="1" t="s">
        <v>699</v>
      </c>
      <c r="G251" s="1">
        <v>2.5</v>
      </c>
      <c r="H251" s="1" t="s">
        <v>60</v>
      </c>
      <c r="I251" s="1">
        <v>-148.0</v>
      </c>
      <c r="J251" s="1">
        <v>-0.304250989677419</v>
      </c>
      <c r="K251" s="1" t="s">
        <v>61</v>
      </c>
      <c r="L251" s="1" t="s">
        <v>61</v>
      </c>
      <c r="M251" s="1" t="s">
        <v>62</v>
      </c>
      <c r="N251" s="1">
        <v>113.0</v>
      </c>
      <c r="O251" s="1">
        <v>0.23800584713615</v>
      </c>
      <c r="P251" s="1" t="s">
        <v>61</v>
      </c>
      <c r="Q251" s="1" t="s">
        <v>61</v>
      </c>
      <c r="R251" s="1">
        <f t="shared" si="1"/>
        <v>0.2380058471</v>
      </c>
      <c r="S251" s="1">
        <f t="shared" si="2"/>
        <v>113</v>
      </c>
      <c r="T251" s="1">
        <f t="shared" si="3"/>
        <v>2.13</v>
      </c>
      <c r="U251" s="1">
        <f t="shared" si="4"/>
        <v>0</v>
      </c>
      <c r="V251" s="3">
        <f t="shared" si="5"/>
        <v>3</v>
      </c>
      <c r="W251" s="3">
        <f t="shared" si="6"/>
        <v>1</v>
      </c>
      <c r="X251" s="3" t="str">
        <f>IFERROR(__xludf.DUMMYFUNCTION("split(B251,"" "")"),"A.")</f>
        <v>A.</v>
      </c>
      <c r="Y251" s="3" t="str">
        <f>IFERROR(__xludf.DUMMYFUNCTION("""COMPUTED_VALUE"""),"Abdullah")</f>
        <v>Abdullah</v>
      </c>
      <c r="AA251" s="8">
        <v>5.0</v>
      </c>
      <c r="AB251" s="3">
        <f t="shared" si="7"/>
        <v>1</v>
      </c>
      <c r="AC251" s="3">
        <f t="shared" si="8"/>
        <v>0</v>
      </c>
      <c r="AD251" s="3">
        <f t="shared" si="9"/>
        <v>3.39</v>
      </c>
      <c r="AE251" s="3">
        <f t="shared" si="10"/>
        <v>-3</v>
      </c>
      <c r="AF251" s="3">
        <f t="shared" si="11"/>
        <v>-1</v>
      </c>
      <c r="AG251" s="3">
        <f t="shared" si="12"/>
        <v>-1</v>
      </c>
    </row>
    <row r="252">
      <c r="A252" s="1" t="s">
        <v>12</v>
      </c>
      <c r="B252" s="1" t="s">
        <v>472</v>
      </c>
      <c r="C252" s="1" t="s">
        <v>20</v>
      </c>
      <c r="D252" s="1" t="s">
        <v>134</v>
      </c>
      <c r="E252" s="1" t="s">
        <v>83</v>
      </c>
      <c r="F252" s="1" t="s">
        <v>699</v>
      </c>
      <c r="G252" s="1">
        <v>1.5</v>
      </c>
      <c r="H252" s="1" t="s">
        <v>60</v>
      </c>
      <c r="I252" s="1">
        <v>-147.0</v>
      </c>
      <c r="J252" s="1">
        <v>-0.258236080400809</v>
      </c>
      <c r="K252" s="1" t="s">
        <v>61</v>
      </c>
      <c r="L252" s="1" t="s">
        <v>61</v>
      </c>
      <c r="M252" s="1" t="s">
        <v>62</v>
      </c>
      <c r="N252" s="1">
        <v>112.0</v>
      </c>
      <c r="O252" s="1">
        <v>0.191395338957547</v>
      </c>
      <c r="P252" s="1" t="s">
        <v>61</v>
      </c>
      <c r="Q252" s="1" t="s">
        <v>61</v>
      </c>
      <c r="R252" s="1">
        <f t="shared" si="1"/>
        <v>0.191395339</v>
      </c>
      <c r="S252" s="1">
        <f t="shared" si="2"/>
        <v>112</v>
      </c>
      <c r="T252" s="1">
        <f t="shared" si="3"/>
        <v>2.12</v>
      </c>
      <c r="U252" s="1">
        <f t="shared" si="4"/>
        <v>0</v>
      </c>
      <c r="V252" s="3">
        <f t="shared" si="5"/>
        <v>3</v>
      </c>
      <c r="W252" s="3">
        <f t="shared" si="6"/>
        <v>1</v>
      </c>
      <c r="X252" s="3" t="str">
        <f>IFERROR(__xludf.DUMMYFUNCTION("split(B252,"" "")"),"M.")</f>
        <v>M.</v>
      </c>
      <c r="Y252" s="3" t="str">
        <f>IFERROR(__xludf.DUMMYFUNCTION("""COMPUTED_VALUE"""),"Mayer")</f>
        <v>Mayer</v>
      </c>
      <c r="AA252" s="8">
        <v>2.0</v>
      </c>
      <c r="AB252" s="3">
        <f t="shared" si="7"/>
        <v>1</v>
      </c>
      <c r="AC252" s="3">
        <f t="shared" si="8"/>
        <v>0</v>
      </c>
      <c r="AD252" s="3">
        <f t="shared" si="9"/>
        <v>3.36</v>
      </c>
      <c r="AE252" s="3">
        <f t="shared" si="10"/>
        <v>-3</v>
      </c>
      <c r="AF252" s="3">
        <f t="shared" si="11"/>
        <v>-1</v>
      </c>
      <c r="AG252" s="3">
        <f t="shared" si="12"/>
        <v>-0.3333333333</v>
      </c>
    </row>
    <row r="253">
      <c r="A253" s="1" t="s">
        <v>14</v>
      </c>
      <c r="B253" s="1" t="s">
        <v>474</v>
      </c>
      <c r="C253" s="1" t="s">
        <v>21</v>
      </c>
      <c r="D253" s="1" t="s">
        <v>134</v>
      </c>
      <c r="E253" s="1" t="s">
        <v>83</v>
      </c>
      <c r="F253" s="1" t="s">
        <v>699</v>
      </c>
      <c r="G253" s="1">
        <v>0.5</v>
      </c>
      <c r="H253" s="1" t="s">
        <v>60</v>
      </c>
      <c r="I253" s="1">
        <v>-242.0</v>
      </c>
      <c r="J253" s="1">
        <v>-0.210600691345029</v>
      </c>
      <c r="K253" s="1" t="s">
        <v>61</v>
      </c>
      <c r="L253" s="1" t="s">
        <v>61</v>
      </c>
      <c r="M253" s="1" t="s">
        <v>62</v>
      </c>
      <c r="N253" s="1">
        <v>182.0</v>
      </c>
      <c r="O253" s="1">
        <v>0.148388072482269</v>
      </c>
      <c r="P253" s="1" t="s">
        <v>61</v>
      </c>
      <c r="Q253" s="1" t="s">
        <v>61</v>
      </c>
      <c r="R253" s="1">
        <f t="shared" si="1"/>
        <v>0.1483880725</v>
      </c>
      <c r="S253" s="1">
        <f t="shared" si="2"/>
        <v>182</v>
      </c>
      <c r="T253" s="1">
        <f t="shared" si="3"/>
        <v>2.82</v>
      </c>
      <c r="U253" s="1">
        <f t="shared" si="4"/>
        <v>0</v>
      </c>
      <c r="V253" s="3">
        <f t="shared" si="5"/>
        <v>3</v>
      </c>
      <c r="W253" s="3">
        <f t="shared" si="6"/>
        <v>1</v>
      </c>
      <c r="X253" s="3" t="str">
        <f>IFERROR(__xludf.DUMMYFUNCTION("split(B253,"" "")"),"G.")</f>
        <v>G.</v>
      </c>
      <c r="Y253" s="3" t="str">
        <f>IFERROR(__xludf.DUMMYFUNCTION("""COMPUTED_VALUE"""),"Minshew")</f>
        <v>Minshew</v>
      </c>
      <c r="AA253" s="8">
        <v>1.0</v>
      </c>
      <c r="AB253" s="3">
        <f t="shared" si="7"/>
        <v>1</v>
      </c>
      <c r="AC253" s="3">
        <f t="shared" si="8"/>
        <v>0</v>
      </c>
      <c r="AD253" s="3">
        <f t="shared" si="9"/>
        <v>5.46</v>
      </c>
      <c r="AE253" s="3">
        <f t="shared" si="10"/>
        <v>-3</v>
      </c>
      <c r="AF253" s="3">
        <f t="shared" si="11"/>
        <v>-1</v>
      </c>
      <c r="AG253" s="3">
        <f t="shared" si="12"/>
        <v>-1</v>
      </c>
    </row>
    <row r="254">
      <c r="A254" s="1" t="s">
        <v>8</v>
      </c>
      <c r="B254" s="1" t="s">
        <v>641</v>
      </c>
      <c r="C254" s="1" t="s">
        <v>19</v>
      </c>
      <c r="D254" s="1" t="s">
        <v>134</v>
      </c>
      <c r="E254" s="1" t="s">
        <v>83</v>
      </c>
      <c r="F254" s="1" t="s">
        <v>699</v>
      </c>
      <c r="G254" s="1">
        <v>10.5</v>
      </c>
      <c r="H254" s="1" t="s">
        <v>60</v>
      </c>
      <c r="I254" s="1">
        <v>-104.0</v>
      </c>
      <c r="J254" s="1">
        <v>-0.207354014980073</v>
      </c>
      <c r="K254" s="1" t="s">
        <v>61</v>
      </c>
      <c r="L254" s="1" t="s">
        <v>61</v>
      </c>
      <c r="M254" s="1" t="s">
        <v>62</v>
      </c>
      <c r="N254" s="1">
        <v>-126.0</v>
      </c>
      <c r="O254" s="1">
        <v>0.140007380577336</v>
      </c>
      <c r="P254" s="1" t="s">
        <v>61</v>
      </c>
      <c r="Q254" s="1" t="s">
        <v>61</v>
      </c>
      <c r="R254" s="1">
        <f t="shared" si="1"/>
        <v>0.1400073806</v>
      </c>
      <c r="S254" s="1">
        <f t="shared" si="2"/>
        <v>-126</v>
      </c>
      <c r="T254" s="1">
        <f t="shared" si="3"/>
        <v>1.793650794</v>
      </c>
      <c r="U254" s="1">
        <f t="shared" si="4"/>
        <v>0</v>
      </c>
      <c r="V254" s="3">
        <f t="shared" si="5"/>
        <v>3</v>
      </c>
      <c r="W254" s="3">
        <f t="shared" si="6"/>
        <v>3</v>
      </c>
      <c r="X254" s="3" t="str">
        <f>IFERROR(__xludf.DUMMYFUNCTION("split(B254,"" "")"),"A.")</f>
        <v>A.</v>
      </c>
      <c r="Y254" s="3" t="str">
        <f>IFERROR(__xludf.DUMMYFUNCTION("""COMPUTED_VALUE"""),"Abdullah")</f>
        <v>Abdullah</v>
      </c>
      <c r="AA254" s="8">
        <v>8.0</v>
      </c>
      <c r="AB254" s="3">
        <f t="shared" si="7"/>
        <v>0</v>
      </c>
      <c r="AC254" s="3">
        <f t="shared" si="8"/>
        <v>1</v>
      </c>
      <c r="AD254" s="3">
        <f t="shared" si="9"/>
        <v>2.380952381</v>
      </c>
      <c r="AE254" s="3">
        <f t="shared" si="10"/>
        <v>2.380952381</v>
      </c>
      <c r="AF254" s="3">
        <f t="shared" si="11"/>
        <v>2.380952381</v>
      </c>
      <c r="AG254" s="3">
        <f t="shared" si="12"/>
        <v>0.2380952381</v>
      </c>
    </row>
    <row r="255">
      <c r="A255" s="1" t="s">
        <v>9</v>
      </c>
      <c r="B255" s="1" t="s">
        <v>593</v>
      </c>
      <c r="C255" s="1" t="s">
        <v>18</v>
      </c>
      <c r="D255" s="1" t="s">
        <v>134</v>
      </c>
      <c r="E255" s="1" t="s">
        <v>83</v>
      </c>
      <c r="F255" s="1" t="s">
        <v>699</v>
      </c>
      <c r="G255" s="1">
        <v>19.5</v>
      </c>
      <c r="H255" s="1" t="s">
        <v>60</v>
      </c>
      <c r="I255" s="1">
        <v>-120.0</v>
      </c>
      <c r="J255" s="1">
        <v>0.0904055506214456</v>
      </c>
      <c r="K255" s="1" t="s">
        <v>61</v>
      </c>
      <c r="L255" s="1" t="s">
        <v>61</v>
      </c>
      <c r="M255" s="1" t="s">
        <v>62</v>
      </c>
      <c r="N255" s="1">
        <v>-110.0</v>
      </c>
      <c r="O255" s="1">
        <v>-0.159648301192332</v>
      </c>
      <c r="P255" s="1" t="s">
        <v>61</v>
      </c>
      <c r="Q255" s="1" t="s">
        <v>61</v>
      </c>
      <c r="R255" s="1">
        <f t="shared" si="1"/>
        <v>0.09040555062</v>
      </c>
      <c r="S255" s="1">
        <f t="shared" si="2"/>
        <v>-120</v>
      </c>
      <c r="T255" s="1">
        <f t="shared" si="3"/>
        <v>1.833333333</v>
      </c>
      <c r="U255" s="1">
        <f t="shared" si="4"/>
        <v>1</v>
      </c>
      <c r="V255" s="3">
        <f t="shared" si="5"/>
        <v>2</v>
      </c>
      <c r="W255" s="3">
        <f t="shared" si="6"/>
        <v>3</v>
      </c>
      <c r="X255" s="3" t="str">
        <f>IFERROR(__xludf.DUMMYFUNCTION("split(B255,"" "")"),"D.")</f>
        <v>D.</v>
      </c>
      <c r="Y255" s="3" t="str">
        <f>IFERROR(__xludf.DUMMYFUNCTION("""COMPUTED_VALUE"""),"Turner")</f>
        <v>Turner</v>
      </c>
      <c r="AA255" s="8">
        <v>5.0</v>
      </c>
      <c r="AB255" s="3">
        <f t="shared" si="7"/>
        <v>0</v>
      </c>
      <c r="AC255" s="3">
        <f t="shared" si="8"/>
        <v>0</v>
      </c>
      <c r="AD255" s="3">
        <f t="shared" si="9"/>
        <v>1.666666667</v>
      </c>
      <c r="AE255" s="3">
        <f t="shared" si="10"/>
        <v>-2</v>
      </c>
      <c r="AF255" s="3">
        <f t="shared" si="11"/>
        <v>-3</v>
      </c>
      <c r="AG255" s="3">
        <f t="shared" si="12"/>
        <v>-0.7435897436</v>
      </c>
    </row>
    <row r="256">
      <c r="A256" s="1" t="s">
        <v>12</v>
      </c>
      <c r="B256" s="1" t="s">
        <v>593</v>
      </c>
      <c r="C256" s="1" t="s">
        <v>18</v>
      </c>
      <c r="D256" s="1" t="s">
        <v>134</v>
      </c>
      <c r="E256" s="1" t="s">
        <v>83</v>
      </c>
      <c r="F256" s="1" t="s">
        <v>699</v>
      </c>
      <c r="G256" s="1">
        <v>1.5</v>
      </c>
      <c r="H256" s="1" t="s">
        <v>60</v>
      </c>
      <c r="I256" s="1">
        <v>-104.0</v>
      </c>
      <c r="J256" s="1">
        <v>-0.150943916656862</v>
      </c>
      <c r="K256" s="1" t="s">
        <v>61</v>
      </c>
      <c r="L256" s="1" t="s">
        <v>61</v>
      </c>
      <c r="M256" s="1" t="s">
        <v>62</v>
      </c>
      <c r="N256" s="1">
        <v>-126.0</v>
      </c>
      <c r="O256" s="1">
        <v>0.0836233643251326</v>
      </c>
      <c r="P256" s="1" t="s">
        <v>61</v>
      </c>
      <c r="Q256" s="1" t="s">
        <v>61</v>
      </c>
      <c r="R256" s="1">
        <f t="shared" si="1"/>
        <v>0.08362336433</v>
      </c>
      <c r="S256" s="1">
        <f t="shared" si="2"/>
        <v>-126</v>
      </c>
      <c r="T256" s="1">
        <f t="shared" si="3"/>
        <v>1.793650794</v>
      </c>
      <c r="U256" s="1">
        <f t="shared" si="4"/>
        <v>0</v>
      </c>
      <c r="V256" s="3">
        <f t="shared" si="5"/>
        <v>2</v>
      </c>
      <c r="W256" s="3">
        <f t="shared" si="6"/>
        <v>3</v>
      </c>
      <c r="X256" s="3" t="str">
        <f>IFERROR(__xludf.DUMMYFUNCTION("split(B256,"" "")"),"D.")</f>
        <v>D.</v>
      </c>
      <c r="Y256" s="3" t="str">
        <f>IFERROR(__xludf.DUMMYFUNCTION("""COMPUTED_VALUE"""),"Turner")</f>
        <v>Turner</v>
      </c>
      <c r="AA256" s="8">
        <v>2.0</v>
      </c>
      <c r="AB256" s="3">
        <f t="shared" si="7"/>
        <v>1</v>
      </c>
      <c r="AC256" s="3">
        <f t="shared" si="8"/>
        <v>0</v>
      </c>
      <c r="AD256" s="3">
        <f t="shared" si="9"/>
        <v>1.587301587</v>
      </c>
      <c r="AE256" s="3">
        <f t="shared" si="10"/>
        <v>-2</v>
      </c>
      <c r="AF256" s="3">
        <f t="shared" si="11"/>
        <v>-3</v>
      </c>
      <c r="AG256" s="3">
        <f t="shared" si="12"/>
        <v>-0.3333333333</v>
      </c>
    </row>
    <row r="257">
      <c r="A257" s="1" t="s">
        <v>12</v>
      </c>
      <c r="B257" s="1" t="s">
        <v>494</v>
      </c>
      <c r="C257" s="1" t="s">
        <v>20</v>
      </c>
      <c r="D257" s="1" t="s">
        <v>134</v>
      </c>
      <c r="E257" s="1" t="s">
        <v>83</v>
      </c>
      <c r="F257" s="1" t="s">
        <v>699</v>
      </c>
      <c r="G257" s="1">
        <v>6.5</v>
      </c>
      <c r="H257" s="1" t="s">
        <v>60</v>
      </c>
      <c r="I257" s="1">
        <v>-112.0</v>
      </c>
      <c r="J257" s="1">
        <v>0.0758981132075471</v>
      </c>
      <c r="K257" s="1" t="s">
        <v>61</v>
      </c>
      <c r="L257" s="1" t="s">
        <v>61</v>
      </c>
      <c r="M257" s="1" t="s">
        <v>62</v>
      </c>
      <c r="N257" s="1">
        <v>-117.0</v>
      </c>
      <c r="O257" s="1">
        <v>-0.143370506912442</v>
      </c>
      <c r="P257" s="1" t="s">
        <v>61</v>
      </c>
      <c r="Q257" s="1" t="s">
        <v>61</v>
      </c>
      <c r="R257" s="1">
        <f t="shared" si="1"/>
        <v>0.07589811321</v>
      </c>
      <c r="S257" s="1">
        <f t="shared" si="2"/>
        <v>-112</v>
      </c>
      <c r="T257" s="1">
        <f t="shared" si="3"/>
        <v>1.892857143</v>
      </c>
      <c r="U257" s="1">
        <f t="shared" si="4"/>
        <v>1</v>
      </c>
      <c r="V257" s="3">
        <f t="shared" si="5"/>
        <v>2</v>
      </c>
      <c r="W257" s="3">
        <f t="shared" si="6"/>
        <v>2</v>
      </c>
      <c r="X257" s="3" t="str">
        <f>IFERROR(__xludf.DUMMYFUNCTION("split(B257,"" "")"),"B.")</f>
        <v>B.</v>
      </c>
      <c r="Y257" s="3" t="str">
        <f>IFERROR(__xludf.DUMMYFUNCTION("""COMPUTED_VALUE"""),"Bowers")</f>
        <v>Bowers</v>
      </c>
      <c r="AA257" s="8">
        <v>4.0</v>
      </c>
      <c r="AB257" s="3">
        <f t="shared" si="7"/>
        <v>0</v>
      </c>
      <c r="AC257" s="3">
        <f t="shared" si="8"/>
        <v>0</v>
      </c>
      <c r="AD257" s="3">
        <f t="shared" si="9"/>
        <v>1.785714286</v>
      </c>
      <c r="AE257" s="3">
        <f t="shared" si="10"/>
        <v>-2</v>
      </c>
      <c r="AF257" s="3">
        <f t="shared" si="11"/>
        <v>-2</v>
      </c>
      <c r="AG257" s="3">
        <f t="shared" si="12"/>
        <v>-0.3846153846</v>
      </c>
    </row>
    <row r="258">
      <c r="A258" s="1" t="s">
        <v>10</v>
      </c>
      <c r="B258" s="1" t="s">
        <v>486</v>
      </c>
      <c r="C258" s="1" t="s">
        <v>18</v>
      </c>
      <c r="D258" s="1" t="s">
        <v>134</v>
      </c>
      <c r="E258" s="1" t="s">
        <v>83</v>
      </c>
      <c r="F258" s="1" t="s">
        <v>699</v>
      </c>
      <c r="G258" s="1">
        <v>3.5</v>
      </c>
      <c r="H258" s="1" t="s">
        <v>60</v>
      </c>
      <c r="I258" s="1">
        <v>-102.0</v>
      </c>
      <c r="J258" s="1">
        <v>0.0718529376646071</v>
      </c>
      <c r="K258" s="1" t="s">
        <v>61</v>
      </c>
      <c r="L258" s="1" t="s">
        <v>61</v>
      </c>
      <c r="M258" s="1" t="s">
        <v>62</v>
      </c>
      <c r="N258" s="1">
        <v>-124.0</v>
      </c>
      <c r="O258" s="1">
        <v>-0.13039890993853</v>
      </c>
      <c r="P258" s="1" t="s">
        <v>61</v>
      </c>
      <c r="Q258" s="1" t="s">
        <v>61</v>
      </c>
      <c r="R258" s="1">
        <f t="shared" si="1"/>
        <v>0.07185293766</v>
      </c>
      <c r="S258" s="1">
        <f t="shared" si="2"/>
        <v>-102</v>
      </c>
      <c r="T258" s="1">
        <f t="shared" si="3"/>
        <v>1.980392157</v>
      </c>
      <c r="U258" s="1">
        <f t="shared" si="4"/>
        <v>1</v>
      </c>
      <c r="V258" s="3">
        <f t="shared" si="5"/>
        <v>2</v>
      </c>
      <c r="W258" s="3">
        <f t="shared" si="6"/>
        <v>2</v>
      </c>
      <c r="X258" s="3" t="str">
        <f>IFERROR(__xludf.DUMMYFUNCTION("split(B258,"" "")"),"T.")</f>
        <v>T.</v>
      </c>
      <c r="Y258" s="3" t="str">
        <f>IFERROR(__xludf.DUMMYFUNCTION("""COMPUTED_VALUE"""),"Tucker")</f>
        <v>Tucker</v>
      </c>
      <c r="AA258" s="8">
        <v>0.0</v>
      </c>
      <c r="AB258" s="3">
        <f t="shared" si="7"/>
        <v>0</v>
      </c>
      <c r="AC258" s="3">
        <f t="shared" si="8"/>
        <v>0</v>
      </c>
      <c r="AD258" s="3">
        <f t="shared" si="9"/>
        <v>1.960784314</v>
      </c>
      <c r="AE258" s="3">
        <f t="shared" si="10"/>
        <v>-2</v>
      </c>
      <c r="AF258" s="3">
        <f t="shared" si="11"/>
        <v>-2</v>
      </c>
      <c r="AG258" s="3">
        <f t="shared" si="12"/>
        <v>-1</v>
      </c>
    </row>
    <row r="259">
      <c r="A259" s="1" t="s">
        <v>10</v>
      </c>
      <c r="B259" s="1" t="s">
        <v>593</v>
      </c>
      <c r="C259" s="1" t="s">
        <v>18</v>
      </c>
      <c r="D259" s="1" t="s">
        <v>134</v>
      </c>
      <c r="E259" s="1" t="s">
        <v>83</v>
      </c>
      <c r="F259" s="1" t="s">
        <v>699</v>
      </c>
      <c r="G259" s="1">
        <v>0.5</v>
      </c>
      <c r="H259" s="1" t="s">
        <v>60</v>
      </c>
      <c r="I259" s="1">
        <v>-119.0</v>
      </c>
      <c r="J259" s="1">
        <v>0.0695643135533716</v>
      </c>
      <c r="K259" s="1" t="s">
        <v>61</v>
      </c>
      <c r="L259" s="1" t="s">
        <v>61</v>
      </c>
      <c r="M259" s="1" t="s">
        <v>62</v>
      </c>
      <c r="N259" s="1">
        <v>-107.0</v>
      </c>
      <c r="O259" s="1">
        <v>-0.129817630893534</v>
      </c>
      <c r="P259" s="1" t="s">
        <v>61</v>
      </c>
      <c r="Q259" s="1" t="s">
        <v>61</v>
      </c>
      <c r="R259" s="1">
        <f t="shared" si="1"/>
        <v>0.06956431355</v>
      </c>
      <c r="S259" s="1">
        <f t="shared" si="2"/>
        <v>-119</v>
      </c>
      <c r="T259" s="1">
        <f t="shared" si="3"/>
        <v>1.840336134</v>
      </c>
      <c r="U259" s="1">
        <f t="shared" si="4"/>
        <v>1</v>
      </c>
      <c r="V259" s="3">
        <f t="shared" si="5"/>
        <v>2</v>
      </c>
      <c r="W259" s="3">
        <f t="shared" si="6"/>
        <v>3</v>
      </c>
      <c r="X259" s="3" t="str">
        <f>IFERROR(__xludf.DUMMYFUNCTION("split(B259,"" "")"),"D.")</f>
        <v>D.</v>
      </c>
      <c r="Y259" s="3" t="str">
        <f>IFERROR(__xludf.DUMMYFUNCTION("""COMPUTED_VALUE"""),"Turner")</f>
        <v>Turner</v>
      </c>
      <c r="AA259" s="8">
        <v>0.0</v>
      </c>
      <c r="AB259" s="3">
        <f t="shared" si="7"/>
        <v>0</v>
      </c>
      <c r="AC259" s="3">
        <f t="shared" si="8"/>
        <v>0</v>
      </c>
      <c r="AD259" s="3">
        <f t="shared" si="9"/>
        <v>1.680672269</v>
      </c>
      <c r="AE259" s="3">
        <f t="shared" si="10"/>
        <v>-2</v>
      </c>
      <c r="AF259" s="3">
        <f t="shared" si="11"/>
        <v>-3</v>
      </c>
      <c r="AG259" s="3">
        <f t="shared" si="12"/>
        <v>-1</v>
      </c>
    </row>
    <row r="260">
      <c r="A260" s="1" t="s">
        <v>10</v>
      </c>
      <c r="B260" s="1" t="s">
        <v>641</v>
      </c>
      <c r="C260" s="1" t="s">
        <v>19</v>
      </c>
      <c r="D260" s="1" t="s">
        <v>134</v>
      </c>
      <c r="E260" s="1" t="s">
        <v>83</v>
      </c>
      <c r="F260" s="1" t="s">
        <v>699</v>
      </c>
      <c r="G260" s="1">
        <v>35.5</v>
      </c>
      <c r="H260" s="1" t="s">
        <v>60</v>
      </c>
      <c r="I260" s="1">
        <v>-110.0</v>
      </c>
      <c r="J260" s="1">
        <v>-0.135000195794231</v>
      </c>
      <c r="K260" s="1" t="s">
        <v>61</v>
      </c>
      <c r="L260" s="1" t="s">
        <v>61</v>
      </c>
      <c r="M260" s="1" t="s">
        <v>62</v>
      </c>
      <c r="N260" s="1">
        <v>-119.0</v>
      </c>
      <c r="O260" s="1">
        <v>0.0678526891734176</v>
      </c>
      <c r="P260" s="1" t="s">
        <v>61</v>
      </c>
      <c r="Q260" s="1" t="s">
        <v>61</v>
      </c>
      <c r="R260" s="1">
        <f t="shared" si="1"/>
        <v>0.06785268917</v>
      </c>
      <c r="S260" s="1">
        <f t="shared" si="2"/>
        <v>-119</v>
      </c>
      <c r="T260" s="1">
        <f t="shared" si="3"/>
        <v>1.840336134</v>
      </c>
      <c r="U260" s="1">
        <f t="shared" si="4"/>
        <v>0</v>
      </c>
      <c r="V260" s="3">
        <f t="shared" si="5"/>
        <v>2</v>
      </c>
      <c r="W260" s="3">
        <f t="shared" si="6"/>
        <v>3</v>
      </c>
      <c r="X260" s="3" t="str">
        <f>IFERROR(__xludf.DUMMYFUNCTION("split(B260,"" "")"),"A.")</f>
        <v>A.</v>
      </c>
      <c r="Y260" s="3" t="str">
        <f>IFERROR(__xludf.DUMMYFUNCTION("""COMPUTED_VALUE"""),"Abdullah")</f>
        <v>Abdullah</v>
      </c>
      <c r="AA260" s="8">
        <v>28.0</v>
      </c>
      <c r="AB260" s="3">
        <f t="shared" si="7"/>
        <v>0</v>
      </c>
      <c r="AC260" s="3">
        <f t="shared" si="8"/>
        <v>1</v>
      </c>
      <c r="AD260" s="3">
        <f t="shared" si="9"/>
        <v>1.680672269</v>
      </c>
      <c r="AE260" s="3">
        <f t="shared" si="10"/>
        <v>1.680672269</v>
      </c>
      <c r="AF260" s="3">
        <f t="shared" si="11"/>
        <v>2.521008403</v>
      </c>
      <c r="AG260" s="3">
        <f t="shared" si="12"/>
        <v>0.2112676056</v>
      </c>
    </row>
    <row r="261">
      <c r="A261" s="1" t="s">
        <v>12</v>
      </c>
      <c r="B261" s="1" t="s">
        <v>486</v>
      </c>
      <c r="C261" s="1" t="s">
        <v>18</v>
      </c>
      <c r="D261" s="1" t="s">
        <v>134</v>
      </c>
      <c r="E261" s="1" t="s">
        <v>83</v>
      </c>
      <c r="F261" s="1" t="s">
        <v>699</v>
      </c>
      <c r="G261" s="1">
        <v>2.5</v>
      </c>
      <c r="H261" s="1" t="s">
        <v>60</v>
      </c>
      <c r="I261" s="1">
        <v>-112.0</v>
      </c>
      <c r="J261" s="1">
        <v>-0.136546171556603</v>
      </c>
      <c r="K261" s="1" t="s">
        <v>61</v>
      </c>
      <c r="L261" s="1" t="s">
        <v>61</v>
      </c>
      <c r="M261" s="1" t="s">
        <v>62</v>
      </c>
      <c r="N261" s="1">
        <v>-118.0</v>
      </c>
      <c r="O261" s="1">
        <v>0.0669664141128441</v>
      </c>
      <c r="P261" s="1" t="s">
        <v>61</v>
      </c>
      <c r="Q261" s="1" t="s">
        <v>61</v>
      </c>
      <c r="R261" s="1">
        <f t="shared" si="1"/>
        <v>0.06696641411</v>
      </c>
      <c r="S261" s="1">
        <f t="shared" si="2"/>
        <v>-118</v>
      </c>
      <c r="T261" s="1">
        <f t="shared" si="3"/>
        <v>1.847457627</v>
      </c>
      <c r="U261" s="1">
        <f t="shared" si="4"/>
        <v>0</v>
      </c>
      <c r="V261" s="3">
        <f t="shared" si="5"/>
        <v>2</v>
      </c>
      <c r="W261" s="3">
        <f t="shared" si="6"/>
        <v>3</v>
      </c>
      <c r="X261" s="3" t="str">
        <f>IFERROR(__xludf.DUMMYFUNCTION("split(B261,"" "")"),"T.")</f>
        <v>T.</v>
      </c>
      <c r="Y261" s="3" t="str">
        <f>IFERROR(__xludf.DUMMYFUNCTION("""COMPUTED_VALUE"""),"Tucker")</f>
        <v>Tucker</v>
      </c>
      <c r="AA261" s="8">
        <v>7.0</v>
      </c>
      <c r="AB261" s="3">
        <f t="shared" si="7"/>
        <v>1</v>
      </c>
      <c r="AC261" s="3">
        <f t="shared" si="8"/>
        <v>0</v>
      </c>
      <c r="AD261" s="3">
        <f t="shared" si="9"/>
        <v>1.694915254</v>
      </c>
      <c r="AE261" s="3">
        <f t="shared" si="10"/>
        <v>-2</v>
      </c>
      <c r="AF261" s="3">
        <f t="shared" si="11"/>
        <v>-3</v>
      </c>
      <c r="AG261" s="3">
        <f t="shared" si="12"/>
        <v>-1.8</v>
      </c>
    </row>
    <row r="262">
      <c r="A262" s="1" t="s">
        <v>17</v>
      </c>
      <c r="B262" s="1" t="s">
        <v>474</v>
      </c>
      <c r="C262" s="1" t="s">
        <v>21</v>
      </c>
      <c r="D262" s="1" t="s">
        <v>134</v>
      </c>
      <c r="E262" s="1" t="s">
        <v>83</v>
      </c>
      <c r="F262" s="1" t="s">
        <v>699</v>
      </c>
      <c r="G262" s="1">
        <v>0.5</v>
      </c>
      <c r="H262" s="1" t="s">
        <v>60</v>
      </c>
      <c r="I262" s="1">
        <v>-135.0</v>
      </c>
      <c r="J262" s="1">
        <v>-0.126925531914893</v>
      </c>
      <c r="K262" s="1" t="s">
        <v>61</v>
      </c>
      <c r="L262" s="1" t="s">
        <v>61</v>
      </c>
      <c r="M262" s="1" t="s">
        <v>62</v>
      </c>
      <c r="N262" s="1">
        <v>105.0</v>
      </c>
      <c r="O262" s="1">
        <v>0.0646463414634145</v>
      </c>
      <c r="P262" s="1" t="s">
        <v>61</v>
      </c>
      <c r="Q262" s="1" t="s">
        <v>61</v>
      </c>
      <c r="R262" s="1">
        <f t="shared" si="1"/>
        <v>0.06464634146</v>
      </c>
      <c r="S262" s="1">
        <f t="shared" si="2"/>
        <v>105</v>
      </c>
      <c r="T262" s="1">
        <f t="shared" si="3"/>
        <v>2.05</v>
      </c>
      <c r="U262" s="1">
        <f t="shared" si="4"/>
        <v>0</v>
      </c>
      <c r="V262" s="3">
        <f t="shared" si="5"/>
        <v>2</v>
      </c>
      <c r="W262" s="3">
        <f t="shared" si="6"/>
        <v>2</v>
      </c>
      <c r="X262" s="3" t="str">
        <f>IFERROR(__xludf.DUMMYFUNCTION("split(B262,"" "")"),"G.")</f>
        <v>G.</v>
      </c>
      <c r="Y262" s="3" t="str">
        <f>IFERROR(__xludf.DUMMYFUNCTION("""COMPUTED_VALUE"""),"Minshew")</f>
        <v>Minshew</v>
      </c>
      <c r="AA262" s="8">
        <v>1.0</v>
      </c>
      <c r="AB262" s="3">
        <f t="shared" si="7"/>
        <v>1</v>
      </c>
      <c r="AC262" s="3">
        <f t="shared" si="8"/>
        <v>0</v>
      </c>
      <c r="AD262" s="3">
        <f t="shared" si="9"/>
        <v>2.1</v>
      </c>
      <c r="AE262" s="3">
        <f t="shared" si="10"/>
        <v>-2</v>
      </c>
      <c r="AF262" s="3">
        <f t="shared" si="11"/>
        <v>-2</v>
      </c>
      <c r="AG262" s="3">
        <f t="shared" si="12"/>
        <v>-1</v>
      </c>
    </row>
    <row r="263">
      <c r="A263" s="1" t="s">
        <v>9</v>
      </c>
      <c r="B263" s="1" t="s">
        <v>486</v>
      </c>
      <c r="C263" s="1" t="s">
        <v>18</v>
      </c>
      <c r="D263" s="1" t="s">
        <v>134</v>
      </c>
      <c r="E263" s="1" t="s">
        <v>83</v>
      </c>
      <c r="F263" s="1" t="s">
        <v>699</v>
      </c>
      <c r="G263" s="1">
        <v>32.5</v>
      </c>
      <c r="H263" s="1" t="s">
        <v>60</v>
      </c>
      <c r="I263" s="1">
        <v>-112.0</v>
      </c>
      <c r="J263" s="1">
        <v>0.055922164218493</v>
      </c>
      <c r="K263" s="1" t="s">
        <v>61</v>
      </c>
      <c r="L263" s="1" t="s">
        <v>61</v>
      </c>
      <c r="M263" s="1" t="s">
        <v>62</v>
      </c>
      <c r="N263" s="1">
        <v>-120.0</v>
      </c>
      <c r="O263" s="1">
        <v>-0.12972926625993</v>
      </c>
      <c r="P263" s="1" t="s">
        <v>61</v>
      </c>
      <c r="Q263" s="1" t="s">
        <v>61</v>
      </c>
      <c r="R263" s="1">
        <f t="shared" si="1"/>
        <v>0.05592216422</v>
      </c>
      <c r="S263" s="1">
        <f t="shared" si="2"/>
        <v>-112</v>
      </c>
      <c r="T263" s="1">
        <f t="shared" si="3"/>
        <v>1.892857143</v>
      </c>
      <c r="U263" s="1">
        <f t="shared" si="4"/>
        <v>1</v>
      </c>
      <c r="V263" s="3">
        <f t="shared" si="5"/>
        <v>2</v>
      </c>
      <c r="W263" s="3">
        <f t="shared" si="6"/>
        <v>2</v>
      </c>
      <c r="X263" s="3" t="str">
        <f>IFERROR(__xludf.DUMMYFUNCTION("split(B263,"" "")"),"T.")</f>
        <v>T.</v>
      </c>
      <c r="Y263" s="3" t="str">
        <f>IFERROR(__xludf.DUMMYFUNCTION("""COMPUTED_VALUE"""),"Tucker")</f>
        <v>Tucker</v>
      </c>
      <c r="AA263" s="8">
        <v>82.0</v>
      </c>
      <c r="AB263" s="3">
        <f t="shared" si="7"/>
        <v>1</v>
      </c>
      <c r="AC263" s="3">
        <f t="shared" si="8"/>
        <v>1</v>
      </c>
      <c r="AD263" s="3">
        <f t="shared" si="9"/>
        <v>1.785714286</v>
      </c>
      <c r="AE263" s="3">
        <f t="shared" si="10"/>
        <v>1.785714286</v>
      </c>
      <c r="AF263" s="3">
        <f t="shared" si="11"/>
        <v>1.785714286</v>
      </c>
      <c r="AG263" s="3">
        <f t="shared" si="12"/>
        <v>1.523076923</v>
      </c>
    </row>
    <row r="264">
      <c r="A264" s="1" t="s">
        <v>12</v>
      </c>
      <c r="B264" s="1" t="s">
        <v>278</v>
      </c>
      <c r="C264" s="1" t="s">
        <v>18</v>
      </c>
      <c r="D264" s="1" t="s">
        <v>134</v>
      </c>
      <c r="E264" s="1" t="s">
        <v>83</v>
      </c>
      <c r="F264" s="1" t="s">
        <v>699</v>
      </c>
      <c r="G264" s="1">
        <v>4.5</v>
      </c>
      <c r="H264" s="1" t="s">
        <v>60</v>
      </c>
      <c r="I264" s="1">
        <v>-141.0</v>
      </c>
      <c r="J264" s="1">
        <v>-0.109486721991701</v>
      </c>
      <c r="K264" s="1" t="s">
        <v>61</v>
      </c>
      <c r="L264" s="1" t="s">
        <v>61</v>
      </c>
      <c r="M264" s="1" t="s">
        <v>62</v>
      </c>
      <c r="N264" s="1">
        <v>106.0</v>
      </c>
      <c r="O264" s="1">
        <v>0.0390087378640776</v>
      </c>
      <c r="P264" s="1" t="s">
        <v>61</v>
      </c>
      <c r="Q264" s="1" t="s">
        <v>61</v>
      </c>
      <c r="R264" s="1">
        <f t="shared" si="1"/>
        <v>0.03900873786</v>
      </c>
      <c r="S264" s="1">
        <f t="shared" si="2"/>
        <v>106</v>
      </c>
      <c r="T264" s="1">
        <f t="shared" si="3"/>
        <v>2.06</v>
      </c>
      <c r="U264" s="1">
        <f t="shared" si="4"/>
        <v>0</v>
      </c>
      <c r="V264" s="3">
        <f t="shared" si="5"/>
        <v>1</v>
      </c>
      <c r="W264" s="3">
        <f t="shared" si="6"/>
        <v>2</v>
      </c>
      <c r="X264" s="3" t="str">
        <f>IFERROR(__xludf.DUMMYFUNCTION("split(B264,"" "")"),"J.")</f>
        <v>J.</v>
      </c>
      <c r="Y264" s="3" t="str">
        <f>IFERROR(__xludf.DUMMYFUNCTION("""COMPUTED_VALUE"""),"Meyers")</f>
        <v>Meyers</v>
      </c>
      <c r="AA264" s="8">
        <v>10.0</v>
      </c>
      <c r="AB264" s="3">
        <f t="shared" si="7"/>
        <v>1</v>
      </c>
      <c r="AC264" s="3">
        <f t="shared" si="8"/>
        <v>0</v>
      </c>
      <c r="AD264" s="3">
        <f t="shared" si="9"/>
        <v>1.06</v>
      </c>
      <c r="AE264" s="3">
        <f t="shared" si="10"/>
        <v>-1</v>
      </c>
      <c r="AF264" s="3">
        <f t="shared" si="11"/>
        <v>-2</v>
      </c>
      <c r="AG264" s="3">
        <f t="shared" si="12"/>
        <v>-1.222222222</v>
      </c>
    </row>
    <row r="265">
      <c r="A265" s="1" t="s">
        <v>10</v>
      </c>
      <c r="B265" s="1" t="s">
        <v>474</v>
      </c>
      <c r="C265" s="1" t="s">
        <v>21</v>
      </c>
      <c r="D265" s="1" t="s">
        <v>134</v>
      </c>
      <c r="E265" s="1" t="s">
        <v>83</v>
      </c>
      <c r="F265" s="1" t="s">
        <v>699</v>
      </c>
      <c r="G265" s="1">
        <v>4.5</v>
      </c>
      <c r="H265" s="1" t="s">
        <v>60</v>
      </c>
      <c r="I265" s="1">
        <v>-121.0</v>
      </c>
      <c r="J265" s="1">
        <v>0.0316371440863227</v>
      </c>
      <c r="K265" s="1" t="s">
        <v>61</v>
      </c>
      <c r="L265" s="1" t="s">
        <v>61</v>
      </c>
      <c r="M265" s="1" t="s">
        <v>62</v>
      </c>
      <c r="N265" s="1">
        <v>-109.0</v>
      </c>
      <c r="O265" s="1">
        <v>-0.100686950425618</v>
      </c>
      <c r="P265" s="1" t="s">
        <v>61</v>
      </c>
      <c r="Q265" s="1" t="s">
        <v>61</v>
      </c>
      <c r="R265" s="1">
        <f t="shared" si="1"/>
        <v>0.03163714409</v>
      </c>
      <c r="S265" s="1">
        <f t="shared" si="2"/>
        <v>-121</v>
      </c>
      <c r="T265" s="1">
        <f t="shared" si="3"/>
        <v>1.826446281</v>
      </c>
      <c r="U265" s="1">
        <f t="shared" si="4"/>
        <v>1</v>
      </c>
      <c r="V265" s="3">
        <f t="shared" si="5"/>
        <v>1</v>
      </c>
      <c r="W265" s="3">
        <f t="shared" si="6"/>
        <v>3</v>
      </c>
      <c r="X265" s="3" t="str">
        <f>IFERROR(__xludf.DUMMYFUNCTION("split(B265,"" "")"),"G.")</f>
        <v>G.</v>
      </c>
      <c r="Y265" s="3" t="str">
        <f>IFERROR(__xludf.DUMMYFUNCTION("""COMPUTED_VALUE"""),"Minshew")</f>
        <v>Minshew</v>
      </c>
      <c r="AA265" s="8">
        <v>5.0</v>
      </c>
      <c r="AB265" s="3">
        <f t="shared" si="7"/>
        <v>1</v>
      </c>
      <c r="AC265" s="3">
        <f t="shared" si="8"/>
        <v>1</v>
      </c>
      <c r="AD265" s="3">
        <f t="shared" si="9"/>
        <v>0.826446281</v>
      </c>
      <c r="AE265" s="3">
        <f t="shared" si="10"/>
        <v>0.826446281</v>
      </c>
      <c r="AF265" s="3">
        <f t="shared" si="11"/>
        <v>2.479338843</v>
      </c>
      <c r="AG265" s="3">
        <f t="shared" si="12"/>
        <v>0.1111111111</v>
      </c>
    </row>
    <row r="266">
      <c r="A266" s="1" t="s">
        <v>11</v>
      </c>
      <c r="B266" s="1" t="s">
        <v>494</v>
      </c>
      <c r="C266" s="1" t="s">
        <v>20</v>
      </c>
      <c r="D266" s="1" t="s">
        <v>134</v>
      </c>
      <c r="E266" s="1" t="s">
        <v>83</v>
      </c>
      <c r="F266" s="1" t="s">
        <v>699</v>
      </c>
      <c r="G266" s="1">
        <v>60.5</v>
      </c>
      <c r="H266" s="1" t="s">
        <v>60</v>
      </c>
      <c r="I266" s="1">
        <v>-119.0</v>
      </c>
      <c r="J266" s="1">
        <v>-0.0965346246670256</v>
      </c>
      <c r="K266" s="1" t="s">
        <v>61</v>
      </c>
      <c r="L266" s="1" t="s">
        <v>61</v>
      </c>
      <c r="M266" s="1" t="s">
        <v>62</v>
      </c>
      <c r="N266" s="1">
        <v>-110.0</v>
      </c>
      <c r="O266" s="1">
        <v>0.0293383981014748</v>
      </c>
      <c r="P266" s="1" t="s">
        <v>61</v>
      </c>
      <c r="Q266" s="1" t="s">
        <v>61</v>
      </c>
      <c r="R266" s="1">
        <f t="shared" si="1"/>
        <v>0.0293383981</v>
      </c>
      <c r="S266" s="1">
        <f t="shared" si="2"/>
        <v>-110</v>
      </c>
      <c r="T266" s="1">
        <f t="shared" si="3"/>
        <v>1.909090909</v>
      </c>
      <c r="U266" s="1">
        <f t="shared" si="4"/>
        <v>0</v>
      </c>
      <c r="V266" s="3">
        <f t="shared" si="5"/>
        <v>1</v>
      </c>
      <c r="W266" s="3">
        <f t="shared" si="6"/>
        <v>2</v>
      </c>
      <c r="X266" s="3" t="str">
        <f>IFERROR(__xludf.DUMMYFUNCTION("split(B266,"" "")"),"B.")</f>
        <v>B.</v>
      </c>
      <c r="Y266" s="3" t="str">
        <f>IFERROR(__xludf.DUMMYFUNCTION("""COMPUTED_VALUE"""),"Bowers")</f>
        <v>Bowers</v>
      </c>
      <c r="AA266" s="8">
        <v>38.0</v>
      </c>
      <c r="AB266" s="3">
        <f t="shared" si="7"/>
        <v>0</v>
      </c>
      <c r="AC266" s="3">
        <f t="shared" si="8"/>
        <v>1</v>
      </c>
      <c r="AD266" s="3">
        <f t="shared" si="9"/>
        <v>0.9090909091</v>
      </c>
      <c r="AE266" s="3">
        <f t="shared" si="10"/>
        <v>0.9090909091</v>
      </c>
      <c r="AF266" s="3">
        <f t="shared" si="11"/>
        <v>1.818181818</v>
      </c>
      <c r="AG266" s="3">
        <f t="shared" si="12"/>
        <v>0.3719008264</v>
      </c>
    </row>
    <row r="267">
      <c r="A267" s="1" t="s">
        <v>11</v>
      </c>
      <c r="B267" s="1" t="s">
        <v>641</v>
      </c>
      <c r="C267" s="1" t="s">
        <v>19</v>
      </c>
      <c r="D267" s="1" t="s">
        <v>134</v>
      </c>
      <c r="E267" s="1" t="s">
        <v>83</v>
      </c>
      <c r="F267" s="1" t="s">
        <v>699</v>
      </c>
      <c r="G267" s="1">
        <v>17.5</v>
      </c>
      <c r="H267" s="1" t="s">
        <v>60</v>
      </c>
      <c r="I267" s="1">
        <v>-117.0</v>
      </c>
      <c r="J267" s="1">
        <v>-0.0942023652756501</v>
      </c>
      <c r="K267" s="1" t="s">
        <v>61</v>
      </c>
      <c r="L267" s="1" t="s">
        <v>61</v>
      </c>
      <c r="M267" s="1" t="s">
        <v>62</v>
      </c>
      <c r="N267" s="1">
        <v>-112.0</v>
      </c>
      <c r="O267" s="1">
        <v>0.0267932021537453</v>
      </c>
      <c r="P267" s="1" t="s">
        <v>61</v>
      </c>
      <c r="Q267" s="1" t="s">
        <v>61</v>
      </c>
      <c r="R267" s="1">
        <f t="shared" si="1"/>
        <v>0.02679320215</v>
      </c>
      <c r="S267" s="1">
        <f t="shared" si="2"/>
        <v>-112</v>
      </c>
      <c r="T267" s="1">
        <f t="shared" si="3"/>
        <v>1.892857143</v>
      </c>
      <c r="U267" s="1">
        <f t="shared" si="4"/>
        <v>0</v>
      </c>
      <c r="V267" s="3">
        <f t="shared" si="5"/>
        <v>1</v>
      </c>
      <c r="W267" s="3">
        <f t="shared" si="6"/>
        <v>2</v>
      </c>
      <c r="X267" s="3" t="str">
        <f>IFERROR(__xludf.DUMMYFUNCTION("split(B267,"" "")"),"A.")</f>
        <v>A.</v>
      </c>
      <c r="Y267" s="3" t="str">
        <f>IFERROR(__xludf.DUMMYFUNCTION("""COMPUTED_VALUE"""),"Abdullah")</f>
        <v>Abdullah</v>
      </c>
      <c r="AA267" s="8">
        <v>37.0</v>
      </c>
      <c r="AB267" s="3">
        <f t="shared" si="7"/>
        <v>1</v>
      </c>
      <c r="AC267" s="3">
        <f t="shared" si="8"/>
        <v>0</v>
      </c>
      <c r="AD267" s="3">
        <f t="shared" si="9"/>
        <v>0.8928571429</v>
      </c>
      <c r="AE267" s="3">
        <f t="shared" si="10"/>
        <v>-1</v>
      </c>
      <c r="AF267" s="3">
        <f t="shared" si="11"/>
        <v>-2</v>
      </c>
      <c r="AG267" s="3">
        <f t="shared" si="12"/>
        <v>-1.114285714</v>
      </c>
    </row>
    <row r="268">
      <c r="A268" s="1" t="s">
        <v>9</v>
      </c>
      <c r="B268" s="1" t="s">
        <v>641</v>
      </c>
      <c r="C268" s="1" t="s">
        <v>19</v>
      </c>
      <c r="D268" s="1" t="s">
        <v>134</v>
      </c>
      <c r="E268" s="1" t="s">
        <v>83</v>
      </c>
      <c r="F268" s="1" t="s">
        <v>699</v>
      </c>
      <c r="G268" s="1">
        <v>56.0</v>
      </c>
      <c r="H268" s="1" t="s">
        <v>60</v>
      </c>
      <c r="I268" s="1">
        <v>-115.0</v>
      </c>
      <c r="J268" s="1">
        <v>-0.0903291234716374</v>
      </c>
      <c r="K268" s="1" t="s">
        <v>61</v>
      </c>
      <c r="L268" s="1" t="s">
        <v>61</v>
      </c>
      <c r="M268" s="1" t="s">
        <v>62</v>
      </c>
      <c r="N268" s="1">
        <v>-116.0</v>
      </c>
      <c r="O268" s="1">
        <v>0.0194050157121589</v>
      </c>
      <c r="P268" s="1" t="s">
        <v>61</v>
      </c>
      <c r="Q268" s="1" t="s">
        <v>61</v>
      </c>
      <c r="R268" s="1">
        <f t="shared" si="1"/>
        <v>0.01940501571</v>
      </c>
      <c r="S268" s="1">
        <f t="shared" si="2"/>
        <v>-116</v>
      </c>
      <c r="T268" s="1">
        <f t="shared" si="3"/>
        <v>1.862068966</v>
      </c>
      <c r="U268" s="1">
        <f t="shared" si="4"/>
        <v>0</v>
      </c>
      <c r="V268" s="3">
        <f t="shared" si="5"/>
        <v>1</v>
      </c>
      <c r="W268" s="3">
        <f t="shared" si="6"/>
        <v>2</v>
      </c>
      <c r="X268" s="3" t="str">
        <f>IFERROR(__xludf.DUMMYFUNCTION("split(B268,"" "")"),"A.")</f>
        <v>A.</v>
      </c>
      <c r="Y268" s="3" t="str">
        <f>IFERROR(__xludf.DUMMYFUNCTION("""COMPUTED_VALUE"""),"Abdullah")</f>
        <v>Abdullah</v>
      </c>
      <c r="AA268" s="8">
        <v>65.0</v>
      </c>
      <c r="AB268" s="3">
        <f t="shared" si="7"/>
        <v>1</v>
      </c>
      <c r="AC268" s="3">
        <f t="shared" si="8"/>
        <v>0</v>
      </c>
      <c r="AD268" s="3">
        <f t="shared" si="9"/>
        <v>0.8620689655</v>
      </c>
      <c r="AE268" s="3">
        <f t="shared" si="10"/>
        <v>-1</v>
      </c>
      <c r="AF268" s="3">
        <f t="shared" si="11"/>
        <v>-2</v>
      </c>
      <c r="AG268" s="3">
        <f t="shared" si="12"/>
        <v>-0.1607142857</v>
      </c>
    </row>
    <row r="269">
      <c r="A269" s="1" t="s">
        <v>16</v>
      </c>
      <c r="B269" s="1" t="s">
        <v>474</v>
      </c>
      <c r="C269" s="1" t="s">
        <v>21</v>
      </c>
      <c r="D269" s="1" t="s">
        <v>134</v>
      </c>
      <c r="E269" s="1" t="s">
        <v>83</v>
      </c>
      <c r="F269" s="1" t="s">
        <v>699</v>
      </c>
      <c r="G269" s="1">
        <v>32.5</v>
      </c>
      <c r="H269" s="1" t="s">
        <v>60</v>
      </c>
      <c r="I269" s="1">
        <v>-119.0</v>
      </c>
      <c r="J269" s="1">
        <v>-0.0862838236821917</v>
      </c>
      <c r="K269" s="1" t="s">
        <v>61</v>
      </c>
      <c r="L269" s="1" t="s">
        <v>61</v>
      </c>
      <c r="M269" s="1" t="s">
        <v>62</v>
      </c>
      <c r="N269" s="1">
        <v>-110.0</v>
      </c>
      <c r="O269" s="1">
        <v>0.0190947074285713</v>
      </c>
      <c r="P269" s="1" t="s">
        <v>61</v>
      </c>
      <c r="Q269" s="1" t="s">
        <v>61</v>
      </c>
      <c r="R269" s="1">
        <f t="shared" si="1"/>
        <v>0.01909470743</v>
      </c>
      <c r="S269" s="1">
        <f t="shared" si="2"/>
        <v>-110</v>
      </c>
      <c r="T269" s="1">
        <f t="shared" si="3"/>
        <v>1.909090909</v>
      </c>
      <c r="U269" s="1">
        <f t="shared" si="4"/>
        <v>0</v>
      </c>
      <c r="V269" s="3">
        <f t="shared" si="5"/>
        <v>1</v>
      </c>
      <c r="W269" s="3">
        <f t="shared" si="6"/>
        <v>2</v>
      </c>
      <c r="X269" s="3" t="str">
        <f>IFERROR(__xludf.DUMMYFUNCTION("split(B269,"" "")"),"G.")</f>
        <v>G.</v>
      </c>
      <c r="Y269" s="3" t="str">
        <f>IFERROR(__xludf.DUMMYFUNCTION("""COMPUTED_VALUE"""),"Minshew")</f>
        <v>Minshew</v>
      </c>
      <c r="AA269" s="8">
        <v>42.0</v>
      </c>
      <c r="AB269" s="3">
        <f t="shared" si="7"/>
        <v>1</v>
      </c>
      <c r="AC269" s="3">
        <f t="shared" si="8"/>
        <v>0</v>
      </c>
      <c r="AD269" s="3">
        <f t="shared" si="9"/>
        <v>0.9090909091</v>
      </c>
      <c r="AE269" s="3">
        <f t="shared" si="10"/>
        <v>-1</v>
      </c>
      <c r="AF269" s="3">
        <f t="shared" si="11"/>
        <v>-2</v>
      </c>
      <c r="AG269" s="3">
        <f t="shared" si="12"/>
        <v>-0.2923076923</v>
      </c>
    </row>
    <row r="270">
      <c r="A270" s="1" t="s">
        <v>11</v>
      </c>
      <c r="B270" s="1" t="s">
        <v>278</v>
      </c>
      <c r="C270" s="1" t="s">
        <v>18</v>
      </c>
      <c r="D270" s="1" t="s">
        <v>134</v>
      </c>
      <c r="E270" s="1" t="s">
        <v>83</v>
      </c>
      <c r="F270" s="1" t="s">
        <v>699</v>
      </c>
      <c r="G270" s="1">
        <v>49.5</v>
      </c>
      <c r="H270" s="1" t="s">
        <v>60</v>
      </c>
      <c r="I270" s="1">
        <v>-116.0</v>
      </c>
      <c r="J270" s="1">
        <v>-0.0904844263032965</v>
      </c>
      <c r="K270" s="1" t="s">
        <v>61</v>
      </c>
      <c r="L270" s="1" t="s">
        <v>61</v>
      </c>
      <c r="M270" s="1" t="s">
        <v>62</v>
      </c>
      <c r="N270" s="1">
        <v>-116.0</v>
      </c>
      <c r="O270" s="1">
        <v>0.0164173845027038</v>
      </c>
      <c r="P270" s="1" t="s">
        <v>61</v>
      </c>
      <c r="Q270" s="1" t="s">
        <v>61</v>
      </c>
      <c r="R270" s="1">
        <f t="shared" si="1"/>
        <v>0.0164173845</v>
      </c>
      <c r="S270" s="1">
        <f t="shared" si="2"/>
        <v>-116</v>
      </c>
      <c r="T270" s="1">
        <f t="shared" si="3"/>
        <v>1.862068966</v>
      </c>
      <c r="U270" s="1">
        <f t="shared" si="4"/>
        <v>0</v>
      </c>
      <c r="V270" s="3">
        <f t="shared" si="5"/>
        <v>1</v>
      </c>
      <c r="W270" s="3">
        <f t="shared" si="6"/>
        <v>2</v>
      </c>
      <c r="X270" s="3" t="str">
        <f>IFERROR(__xludf.DUMMYFUNCTION("split(B270,"" "")"),"J.")</f>
        <v>J.</v>
      </c>
      <c r="Y270" s="3" t="str">
        <f>IFERROR(__xludf.DUMMYFUNCTION("""COMPUTED_VALUE"""),"Meyers")</f>
        <v>Meyers</v>
      </c>
      <c r="AA270" s="8">
        <v>121.0</v>
      </c>
      <c r="AB270" s="3">
        <f t="shared" si="7"/>
        <v>1</v>
      </c>
      <c r="AC270" s="3">
        <f t="shared" si="8"/>
        <v>0</v>
      </c>
      <c r="AD270" s="3">
        <f t="shared" si="9"/>
        <v>0.8620689655</v>
      </c>
      <c r="AE270" s="3">
        <f t="shared" si="10"/>
        <v>-1</v>
      </c>
      <c r="AF270" s="3">
        <f t="shared" si="11"/>
        <v>-2</v>
      </c>
      <c r="AG270" s="3">
        <f t="shared" si="12"/>
        <v>-1.444444444</v>
      </c>
    </row>
    <row r="271">
      <c r="A271" s="1" t="s">
        <v>15</v>
      </c>
      <c r="B271" s="1" t="s">
        <v>474</v>
      </c>
      <c r="C271" s="1" t="s">
        <v>21</v>
      </c>
      <c r="D271" s="1" t="s">
        <v>134</v>
      </c>
      <c r="E271" s="1" t="s">
        <v>83</v>
      </c>
      <c r="F271" s="1" t="s">
        <v>699</v>
      </c>
      <c r="G271" s="1">
        <v>21.5</v>
      </c>
      <c r="H271" s="1" t="s">
        <v>60</v>
      </c>
      <c r="I271" s="1">
        <v>-105.0</v>
      </c>
      <c r="J271" s="1">
        <v>0.00745365853658541</v>
      </c>
      <c r="K271" s="1" t="s">
        <v>61</v>
      </c>
      <c r="L271" s="1" t="s">
        <v>61</v>
      </c>
      <c r="M271" s="1" t="s">
        <v>62</v>
      </c>
      <c r="N271" s="1">
        <v>-125.0</v>
      </c>
      <c r="O271" s="1">
        <v>-0.0752111111111111</v>
      </c>
      <c r="P271" s="1" t="s">
        <v>61</v>
      </c>
      <c r="Q271" s="1" t="s">
        <v>61</v>
      </c>
      <c r="R271" s="1">
        <f t="shared" si="1"/>
        <v>0.007453658537</v>
      </c>
      <c r="S271" s="1">
        <f t="shared" si="2"/>
        <v>-105</v>
      </c>
      <c r="T271" s="1">
        <f t="shared" si="3"/>
        <v>1.952380952</v>
      </c>
      <c r="U271" s="1">
        <f t="shared" si="4"/>
        <v>1</v>
      </c>
      <c r="V271" s="3">
        <f t="shared" si="5"/>
        <v>1</v>
      </c>
      <c r="W271" s="3">
        <f t="shared" si="6"/>
        <v>2</v>
      </c>
      <c r="X271" s="3" t="str">
        <f>IFERROR(__xludf.DUMMYFUNCTION("split(B271,"" "")"),"G.")</f>
        <v>G.</v>
      </c>
      <c r="Y271" s="3" t="str">
        <f>IFERROR(__xludf.DUMMYFUNCTION("""COMPUTED_VALUE"""),"Minshew")</f>
        <v>Minshew</v>
      </c>
      <c r="AA271" s="8">
        <v>25.0</v>
      </c>
      <c r="AB271" s="3">
        <f t="shared" si="7"/>
        <v>1</v>
      </c>
      <c r="AC271" s="3">
        <f t="shared" si="8"/>
        <v>1</v>
      </c>
      <c r="AD271" s="3">
        <f t="shared" si="9"/>
        <v>0.9523809524</v>
      </c>
      <c r="AE271" s="3">
        <f t="shared" si="10"/>
        <v>0.9523809524</v>
      </c>
      <c r="AF271" s="3">
        <f t="shared" si="11"/>
        <v>1.904761905</v>
      </c>
      <c r="AG271" s="3">
        <f t="shared" si="12"/>
        <v>0.1627906977</v>
      </c>
    </row>
    <row r="272">
      <c r="A272" s="1" t="s">
        <v>8</v>
      </c>
      <c r="B272" s="1" t="s">
        <v>635</v>
      </c>
      <c r="C272" s="1" t="s">
        <v>19</v>
      </c>
      <c r="D272" s="1" t="s">
        <v>94</v>
      </c>
      <c r="E272" s="1" t="s">
        <v>66</v>
      </c>
      <c r="F272" s="1" t="s">
        <v>695</v>
      </c>
      <c r="G272" s="1">
        <v>5.5</v>
      </c>
      <c r="H272" s="1" t="s">
        <v>60</v>
      </c>
      <c r="I272" s="1">
        <v>104.0</v>
      </c>
      <c r="J272" s="1">
        <v>-0.241337525335979</v>
      </c>
      <c r="K272" s="1" t="s">
        <v>61</v>
      </c>
      <c r="L272" s="1" t="s">
        <v>61</v>
      </c>
      <c r="M272" s="1" t="s">
        <v>62</v>
      </c>
      <c r="N272" s="1">
        <v>-139.0</v>
      </c>
      <c r="O272" s="1">
        <v>0.169543243821493</v>
      </c>
      <c r="P272" s="1" t="s">
        <v>61</v>
      </c>
      <c r="Q272" s="1" t="s">
        <v>61</v>
      </c>
      <c r="R272" s="1">
        <f t="shared" si="1"/>
        <v>0.1695432438</v>
      </c>
      <c r="S272" s="1">
        <f t="shared" si="2"/>
        <v>-139</v>
      </c>
      <c r="T272" s="1">
        <f t="shared" si="3"/>
        <v>1.71942446</v>
      </c>
      <c r="U272" s="1">
        <f t="shared" si="4"/>
        <v>0</v>
      </c>
      <c r="V272" s="3">
        <f t="shared" si="5"/>
        <v>3</v>
      </c>
      <c r="W272" s="3">
        <f t="shared" si="6"/>
        <v>3</v>
      </c>
      <c r="X272" s="3" t="str">
        <f>IFERROR(__xludf.DUMMYFUNCTION("split(B272,"" "")"),"J.")</f>
        <v>J.</v>
      </c>
      <c r="Y272" s="3" t="str">
        <f>IFERROR(__xludf.DUMMYFUNCTION("""COMPUTED_VALUE"""),"Wright")</f>
        <v>Wright</v>
      </c>
      <c r="AA272" s="8">
        <v>7.0</v>
      </c>
      <c r="AB272" s="3">
        <f t="shared" si="7"/>
        <v>1</v>
      </c>
      <c r="AC272" s="3">
        <f t="shared" si="8"/>
        <v>0</v>
      </c>
      <c r="AD272" s="3">
        <f t="shared" si="9"/>
        <v>2.158273381</v>
      </c>
      <c r="AE272" s="3">
        <f t="shared" si="10"/>
        <v>-3</v>
      </c>
      <c r="AF272" s="3">
        <f t="shared" si="11"/>
        <v>-3</v>
      </c>
      <c r="AG272" s="3">
        <f t="shared" si="12"/>
        <v>-0.2727272727</v>
      </c>
    </row>
    <row r="273">
      <c r="A273" s="1" t="s">
        <v>9</v>
      </c>
      <c r="B273" s="1" t="s">
        <v>595</v>
      </c>
      <c r="C273" s="1" t="s">
        <v>18</v>
      </c>
      <c r="D273" s="1" t="s">
        <v>94</v>
      </c>
      <c r="E273" s="1" t="s">
        <v>66</v>
      </c>
      <c r="F273" s="1" t="s">
        <v>695</v>
      </c>
      <c r="G273" s="1">
        <v>12.5</v>
      </c>
      <c r="H273" s="1" t="s">
        <v>60</v>
      </c>
      <c r="I273" s="1">
        <v>-120.0</v>
      </c>
      <c r="J273" s="1">
        <v>0.14282574511013</v>
      </c>
      <c r="K273" s="1" t="s">
        <v>61</v>
      </c>
      <c r="L273" s="1" t="s">
        <v>61</v>
      </c>
      <c r="M273" s="1" t="s">
        <v>62</v>
      </c>
      <c r="N273" s="1">
        <v>-110.0</v>
      </c>
      <c r="O273" s="1">
        <v>-0.212056334841198</v>
      </c>
      <c r="P273" s="1" t="s">
        <v>61</v>
      </c>
      <c r="Q273" s="1" t="s">
        <v>61</v>
      </c>
      <c r="R273" s="1">
        <f t="shared" si="1"/>
        <v>0.1428257451</v>
      </c>
      <c r="S273" s="1">
        <f t="shared" si="2"/>
        <v>-120</v>
      </c>
      <c r="T273" s="1">
        <f t="shared" si="3"/>
        <v>1.833333333</v>
      </c>
      <c r="U273" s="1">
        <f t="shared" si="4"/>
        <v>1</v>
      </c>
      <c r="V273" s="3">
        <f t="shared" si="5"/>
        <v>3</v>
      </c>
      <c r="W273" s="3">
        <f t="shared" si="6"/>
        <v>3</v>
      </c>
      <c r="X273" s="3" t="str">
        <f>IFERROR(__xludf.DUMMYFUNCTION("split(B273,"" "")"),"O.")</f>
        <v>O.</v>
      </c>
      <c r="Y273" s="3" t="str">
        <f>IFERROR(__xludf.DUMMYFUNCTION("""COMPUTED_VALUE"""),"Beckham")</f>
        <v>Beckham</v>
      </c>
      <c r="Z273" s="3" t="str">
        <f>IFERROR(__xludf.DUMMYFUNCTION("""COMPUTED_VALUE"""),"Jr.")</f>
        <v>Jr.</v>
      </c>
      <c r="AA273" s="8">
        <v>0.0</v>
      </c>
      <c r="AB273" s="3">
        <f t="shared" si="7"/>
        <v>0</v>
      </c>
      <c r="AC273" s="3">
        <f t="shared" si="8"/>
        <v>0</v>
      </c>
      <c r="AD273" s="3">
        <f t="shared" si="9"/>
        <v>2.5</v>
      </c>
      <c r="AE273" s="3">
        <f t="shared" si="10"/>
        <v>-3</v>
      </c>
      <c r="AF273" s="3">
        <f t="shared" si="11"/>
        <v>-3</v>
      </c>
      <c r="AG273" s="3">
        <f t="shared" si="12"/>
        <v>-1</v>
      </c>
    </row>
    <row r="274">
      <c r="A274" s="1" t="s">
        <v>12</v>
      </c>
      <c r="B274" s="1" t="s">
        <v>182</v>
      </c>
      <c r="C274" s="1" t="s">
        <v>20</v>
      </c>
      <c r="D274" s="1" t="s">
        <v>94</v>
      </c>
      <c r="E274" s="1" t="s">
        <v>66</v>
      </c>
      <c r="F274" s="1" t="s">
        <v>695</v>
      </c>
      <c r="G274" s="1">
        <v>0.5</v>
      </c>
      <c r="H274" s="1" t="s">
        <v>60</v>
      </c>
      <c r="I274" s="1">
        <v>-229.0</v>
      </c>
      <c r="J274" s="1">
        <v>-0.186845499901519</v>
      </c>
      <c r="K274" s="1" t="s">
        <v>61</v>
      </c>
      <c r="L274" s="1" t="s">
        <v>61</v>
      </c>
      <c r="M274" s="1" t="s">
        <v>62</v>
      </c>
      <c r="N274" s="1">
        <v>171.0</v>
      </c>
      <c r="O274" s="1">
        <v>0.121792507260516</v>
      </c>
      <c r="P274" s="1" t="s">
        <v>61</v>
      </c>
      <c r="Q274" s="1" t="s">
        <v>61</v>
      </c>
      <c r="R274" s="1">
        <f t="shared" si="1"/>
        <v>0.1217925073</v>
      </c>
      <c r="S274" s="1">
        <f t="shared" si="2"/>
        <v>171</v>
      </c>
      <c r="T274" s="1">
        <f t="shared" si="3"/>
        <v>2.71</v>
      </c>
      <c r="U274" s="1">
        <f t="shared" si="4"/>
        <v>0</v>
      </c>
      <c r="V274" s="3">
        <f t="shared" si="5"/>
        <v>3</v>
      </c>
      <c r="W274" s="3">
        <f t="shared" si="6"/>
        <v>1</v>
      </c>
      <c r="X274" s="3" t="str">
        <f>IFERROR(__xludf.DUMMYFUNCTION("split(B274,"" "")"),"J.")</f>
        <v>J.</v>
      </c>
      <c r="Y274" s="3" t="str">
        <f>IFERROR(__xludf.DUMMYFUNCTION("""COMPUTED_VALUE"""),"Hill")</f>
        <v>Hill</v>
      </c>
      <c r="AA274" s="8">
        <v>5.0</v>
      </c>
      <c r="AB274" s="3">
        <f t="shared" si="7"/>
        <v>1</v>
      </c>
      <c r="AC274" s="3">
        <f t="shared" si="8"/>
        <v>0</v>
      </c>
      <c r="AD274" s="3">
        <f t="shared" si="9"/>
        <v>5.13</v>
      </c>
      <c r="AE274" s="3">
        <f t="shared" si="10"/>
        <v>-3</v>
      </c>
      <c r="AF274" s="3">
        <f t="shared" si="11"/>
        <v>-1</v>
      </c>
      <c r="AG274" s="3">
        <f t="shared" si="12"/>
        <v>-9</v>
      </c>
    </row>
    <row r="275">
      <c r="A275" s="1" t="s">
        <v>10</v>
      </c>
      <c r="B275" s="1" t="s">
        <v>316</v>
      </c>
      <c r="C275" s="1" t="s">
        <v>21</v>
      </c>
      <c r="D275" s="1" t="s">
        <v>94</v>
      </c>
      <c r="E275" s="1" t="s">
        <v>66</v>
      </c>
      <c r="F275" s="1" t="s">
        <v>695</v>
      </c>
      <c r="G275" s="1">
        <v>2.5</v>
      </c>
      <c r="H275" s="1" t="s">
        <v>60</v>
      </c>
      <c r="I275" s="1">
        <v>-108.0</v>
      </c>
      <c r="J275" s="1">
        <v>0.0953224223151454</v>
      </c>
      <c r="K275" s="1" t="s">
        <v>61</v>
      </c>
      <c r="L275" s="1" t="s">
        <v>61</v>
      </c>
      <c r="M275" s="1" t="s">
        <v>62</v>
      </c>
      <c r="N275" s="1">
        <v>-120.0</v>
      </c>
      <c r="O275" s="1">
        <v>-0.160014893681183</v>
      </c>
      <c r="P275" s="1" t="s">
        <v>61</v>
      </c>
      <c r="Q275" s="1" t="s">
        <v>61</v>
      </c>
      <c r="R275" s="1">
        <f t="shared" si="1"/>
        <v>0.09532242232</v>
      </c>
      <c r="S275" s="1">
        <f t="shared" si="2"/>
        <v>-108</v>
      </c>
      <c r="T275" s="1">
        <f t="shared" si="3"/>
        <v>1.925925926</v>
      </c>
      <c r="U275" s="1">
        <f t="shared" si="4"/>
        <v>1</v>
      </c>
      <c r="V275" s="3">
        <f t="shared" si="5"/>
        <v>2</v>
      </c>
      <c r="W275" s="3">
        <f t="shared" si="6"/>
        <v>2</v>
      </c>
      <c r="X275" s="3" t="str">
        <f>IFERROR(__xludf.DUMMYFUNCTION("split(B275,"" "")"),"T.")</f>
        <v>T.</v>
      </c>
      <c r="Y275" s="3" t="str">
        <f>IFERROR(__xludf.DUMMYFUNCTION("""COMPUTED_VALUE"""),"Tagovailoa")</f>
        <v>Tagovailoa</v>
      </c>
      <c r="AA275" s="8">
        <v>-2.0</v>
      </c>
      <c r="AB275" s="3">
        <f t="shared" si="7"/>
        <v>0</v>
      </c>
      <c r="AC275" s="3">
        <f t="shared" si="8"/>
        <v>0</v>
      </c>
      <c r="AD275" s="3">
        <f t="shared" si="9"/>
        <v>1.851851852</v>
      </c>
      <c r="AE275" s="3">
        <f t="shared" si="10"/>
        <v>-2</v>
      </c>
      <c r="AF275" s="3">
        <f t="shared" si="11"/>
        <v>-2</v>
      </c>
      <c r="AG275" s="3">
        <f t="shared" si="12"/>
        <v>-1.8</v>
      </c>
    </row>
    <row r="276">
      <c r="A276" s="1" t="s">
        <v>12</v>
      </c>
      <c r="B276" s="1" t="s">
        <v>220</v>
      </c>
      <c r="C276" s="1" t="s">
        <v>20</v>
      </c>
      <c r="D276" s="1" t="s">
        <v>94</v>
      </c>
      <c r="E276" s="1" t="s">
        <v>66</v>
      </c>
      <c r="F276" s="1" t="s">
        <v>695</v>
      </c>
      <c r="G276" s="1">
        <v>3.5</v>
      </c>
      <c r="H276" s="1" t="s">
        <v>60</v>
      </c>
      <c r="I276" s="1">
        <v>-131.0</v>
      </c>
      <c r="J276" s="1">
        <v>-0.159099567099567</v>
      </c>
      <c r="K276" s="1" t="s">
        <v>61</v>
      </c>
      <c r="L276" s="1" t="s">
        <v>61</v>
      </c>
      <c r="M276" s="1" t="s">
        <v>62</v>
      </c>
      <c r="N276" s="1">
        <v>100.0</v>
      </c>
      <c r="O276" s="1">
        <v>0.092</v>
      </c>
      <c r="P276" s="1" t="s">
        <v>61</v>
      </c>
      <c r="Q276" s="1" t="s">
        <v>61</v>
      </c>
      <c r="R276" s="1">
        <f t="shared" si="1"/>
        <v>0.092</v>
      </c>
      <c r="S276" s="1">
        <f t="shared" si="2"/>
        <v>100</v>
      </c>
      <c r="T276" s="1">
        <f t="shared" si="3"/>
        <v>2</v>
      </c>
      <c r="U276" s="1">
        <f t="shared" si="4"/>
        <v>0</v>
      </c>
      <c r="V276" s="3">
        <f t="shared" si="5"/>
        <v>2</v>
      </c>
      <c r="W276" s="3">
        <f t="shared" si="6"/>
        <v>2</v>
      </c>
      <c r="X276" s="3" t="str">
        <f>IFERROR(__xludf.DUMMYFUNCTION("split(B276,"" "")"),"J.")</f>
        <v>J.</v>
      </c>
      <c r="Y276" s="3" t="str">
        <f>IFERROR(__xludf.DUMMYFUNCTION("""COMPUTED_VALUE"""),"Smith")</f>
        <v>Smith</v>
      </c>
      <c r="AA276" s="8">
        <v>9.0</v>
      </c>
      <c r="AB276" s="3">
        <f t="shared" si="7"/>
        <v>1</v>
      </c>
      <c r="AC276" s="3">
        <f t="shared" si="8"/>
        <v>0</v>
      </c>
      <c r="AD276" s="3">
        <f t="shared" si="9"/>
        <v>2</v>
      </c>
      <c r="AE276" s="3">
        <f t="shared" si="10"/>
        <v>-2</v>
      </c>
      <c r="AF276" s="3">
        <f t="shared" si="11"/>
        <v>-2</v>
      </c>
      <c r="AG276" s="3">
        <f t="shared" si="12"/>
        <v>-1.571428571</v>
      </c>
    </row>
    <row r="277">
      <c r="A277" s="1" t="s">
        <v>8</v>
      </c>
      <c r="B277" s="1" t="s">
        <v>289</v>
      </c>
      <c r="C277" s="1" t="s">
        <v>19</v>
      </c>
      <c r="D277" s="1" t="s">
        <v>94</v>
      </c>
      <c r="E277" s="1" t="s">
        <v>66</v>
      </c>
      <c r="F277" s="1" t="s">
        <v>695</v>
      </c>
      <c r="G277" s="1">
        <v>14.5</v>
      </c>
      <c r="H277" s="1" t="s">
        <v>60</v>
      </c>
      <c r="I277" s="1">
        <v>-128.0</v>
      </c>
      <c r="J277" s="1">
        <v>-0.158955765381578</v>
      </c>
      <c r="K277" s="1" t="s">
        <v>61</v>
      </c>
      <c r="L277" s="1" t="s">
        <v>61</v>
      </c>
      <c r="M277" s="1" t="s">
        <v>62</v>
      </c>
      <c r="N277" s="1">
        <v>-105.0</v>
      </c>
      <c r="O277" s="1">
        <v>0.085349123084634</v>
      </c>
      <c r="P277" s="1" t="s">
        <v>61</v>
      </c>
      <c r="Q277" s="1" t="s">
        <v>61</v>
      </c>
      <c r="R277" s="1">
        <f t="shared" si="1"/>
        <v>0.08534912308</v>
      </c>
      <c r="S277" s="1">
        <f t="shared" si="2"/>
        <v>-105</v>
      </c>
      <c r="T277" s="1">
        <f t="shared" si="3"/>
        <v>1.952380952</v>
      </c>
      <c r="U277" s="1">
        <f t="shared" si="4"/>
        <v>0</v>
      </c>
      <c r="V277" s="3">
        <f t="shared" si="5"/>
        <v>2</v>
      </c>
      <c r="W277" s="3">
        <f t="shared" si="6"/>
        <v>2</v>
      </c>
      <c r="X277" s="3" t="str">
        <f>IFERROR(__xludf.DUMMYFUNCTION("split(B277,"" "")"),"D.")</f>
        <v>D.</v>
      </c>
      <c r="Y277" s="3" t="str">
        <f>IFERROR(__xludf.DUMMYFUNCTION("""COMPUTED_VALUE"""),"Achane")</f>
        <v>Achane</v>
      </c>
      <c r="AA277" s="8">
        <v>10.0</v>
      </c>
      <c r="AB277" s="3">
        <f t="shared" si="7"/>
        <v>0</v>
      </c>
      <c r="AC277" s="3">
        <f t="shared" si="8"/>
        <v>1</v>
      </c>
      <c r="AD277" s="3">
        <f t="shared" si="9"/>
        <v>1.904761905</v>
      </c>
      <c r="AE277" s="3">
        <f t="shared" si="10"/>
        <v>1.904761905</v>
      </c>
      <c r="AF277" s="3">
        <f t="shared" si="11"/>
        <v>1.904761905</v>
      </c>
      <c r="AG277" s="3">
        <f t="shared" si="12"/>
        <v>0.3103448276</v>
      </c>
    </row>
    <row r="278">
      <c r="A278" s="1" t="s">
        <v>10</v>
      </c>
      <c r="B278" s="1" t="s">
        <v>635</v>
      </c>
      <c r="C278" s="1" t="s">
        <v>19</v>
      </c>
      <c r="D278" s="1" t="s">
        <v>94</v>
      </c>
      <c r="E278" s="1" t="s">
        <v>66</v>
      </c>
      <c r="F278" s="1" t="s">
        <v>695</v>
      </c>
      <c r="G278" s="1">
        <v>20.5</v>
      </c>
      <c r="H278" s="1" t="s">
        <v>60</v>
      </c>
      <c r="I278" s="1">
        <v>-107.0</v>
      </c>
      <c r="J278" s="1">
        <v>-0.146886178222646</v>
      </c>
      <c r="K278" s="1" t="s">
        <v>61</v>
      </c>
      <c r="L278" s="1" t="s">
        <v>61</v>
      </c>
      <c r="M278" s="1" t="s">
        <v>62</v>
      </c>
      <c r="N278" s="1">
        <v>-121.0</v>
      </c>
      <c r="O278" s="1">
        <v>0.0825170545675394</v>
      </c>
      <c r="P278" s="1" t="s">
        <v>61</v>
      </c>
      <c r="Q278" s="1" t="s">
        <v>61</v>
      </c>
      <c r="R278" s="1">
        <f t="shared" si="1"/>
        <v>0.08251705457</v>
      </c>
      <c r="S278" s="1">
        <f t="shared" si="2"/>
        <v>-121</v>
      </c>
      <c r="T278" s="1">
        <f t="shared" si="3"/>
        <v>1.826446281</v>
      </c>
      <c r="U278" s="1">
        <f t="shared" si="4"/>
        <v>0</v>
      </c>
      <c r="V278" s="3">
        <f t="shared" si="5"/>
        <v>2</v>
      </c>
      <c r="W278" s="3">
        <f t="shared" si="6"/>
        <v>3</v>
      </c>
      <c r="X278" s="3" t="str">
        <f>IFERROR(__xludf.DUMMYFUNCTION("split(B278,"" "")"),"J.")</f>
        <v>J.</v>
      </c>
      <c r="Y278" s="3" t="str">
        <f>IFERROR(__xludf.DUMMYFUNCTION("""COMPUTED_VALUE"""),"Wright")</f>
        <v>Wright</v>
      </c>
      <c r="AA278" s="8">
        <v>28.0</v>
      </c>
      <c r="AB278" s="3">
        <f t="shared" si="7"/>
        <v>1</v>
      </c>
      <c r="AC278" s="3">
        <f t="shared" si="8"/>
        <v>0</v>
      </c>
      <c r="AD278" s="3">
        <f t="shared" si="9"/>
        <v>1.652892562</v>
      </c>
      <c r="AE278" s="3">
        <f t="shared" si="10"/>
        <v>-2</v>
      </c>
      <c r="AF278" s="3">
        <f t="shared" si="11"/>
        <v>-3</v>
      </c>
      <c r="AG278" s="3">
        <f t="shared" si="12"/>
        <v>-0.3658536585</v>
      </c>
    </row>
    <row r="279">
      <c r="A279" s="1" t="s">
        <v>11</v>
      </c>
      <c r="B279" s="1" t="s">
        <v>702</v>
      </c>
      <c r="C279" s="1" t="s">
        <v>18</v>
      </c>
      <c r="D279" s="1" t="s">
        <v>94</v>
      </c>
      <c r="E279" s="1" t="s">
        <v>66</v>
      </c>
      <c r="F279" s="1" t="s">
        <v>695</v>
      </c>
      <c r="G279" s="1">
        <v>6.5</v>
      </c>
      <c r="H279" s="1" t="s">
        <v>60</v>
      </c>
      <c r="I279" s="1">
        <v>-110.0</v>
      </c>
      <c r="J279" s="1">
        <v>0.0771224496845326</v>
      </c>
      <c r="K279" s="1" t="s">
        <v>61</v>
      </c>
      <c r="L279" s="1" t="s">
        <v>61</v>
      </c>
      <c r="M279" s="1" t="s">
        <v>62</v>
      </c>
      <c r="N279" s="1">
        <v>-116.0</v>
      </c>
      <c r="O279" s="1">
        <v>-0.137960318255334</v>
      </c>
      <c r="P279" s="1" t="s">
        <v>61</v>
      </c>
      <c r="Q279" s="1" t="s">
        <v>61</v>
      </c>
      <c r="R279" s="1">
        <f t="shared" si="1"/>
        <v>0.07712244968</v>
      </c>
      <c r="S279" s="1">
        <f t="shared" si="2"/>
        <v>-110</v>
      </c>
      <c r="T279" s="1">
        <f t="shared" si="3"/>
        <v>1.909090909</v>
      </c>
      <c r="U279" s="1">
        <f t="shared" si="4"/>
        <v>1</v>
      </c>
      <c r="V279" s="3">
        <f t="shared" si="5"/>
        <v>2</v>
      </c>
      <c r="W279" s="3">
        <f t="shared" si="6"/>
        <v>2</v>
      </c>
      <c r="X279" s="3" t="str">
        <f>IFERROR(__xludf.DUMMYFUNCTION("split(B279,"" "")"),"M.")</f>
        <v>M.</v>
      </c>
      <c r="Y279" s="3" t="str">
        <f>IFERROR(__xludf.DUMMYFUNCTION("""COMPUTED_VALUE"""),"Washington")</f>
        <v>Washington</v>
      </c>
      <c r="AA279" s="8">
        <v>1.0</v>
      </c>
      <c r="AB279" s="3">
        <f t="shared" si="7"/>
        <v>0</v>
      </c>
      <c r="AC279" s="3">
        <f t="shared" si="8"/>
        <v>0</v>
      </c>
      <c r="AD279" s="3">
        <f t="shared" si="9"/>
        <v>1.818181818</v>
      </c>
      <c r="AE279" s="3">
        <f t="shared" si="10"/>
        <v>-2</v>
      </c>
      <c r="AF279" s="3">
        <f t="shared" si="11"/>
        <v>-2</v>
      </c>
      <c r="AG279" s="3">
        <f t="shared" si="12"/>
        <v>-0.8461538462</v>
      </c>
    </row>
    <row r="280">
      <c r="A280" s="1" t="s">
        <v>12</v>
      </c>
      <c r="B280" s="1" t="s">
        <v>441</v>
      </c>
      <c r="C280" s="1" t="s">
        <v>18</v>
      </c>
      <c r="D280" s="1" t="s">
        <v>94</v>
      </c>
      <c r="E280" s="1" t="s">
        <v>66</v>
      </c>
      <c r="F280" s="1" t="s">
        <v>695</v>
      </c>
      <c r="G280" s="1">
        <v>5.5</v>
      </c>
      <c r="H280" s="1" t="s">
        <v>60</v>
      </c>
      <c r="I280" s="1">
        <v>112.0</v>
      </c>
      <c r="J280" s="1">
        <v>0.0683018867924528</v>
      </c>
      <c r="K280" s="1" t="s">
        <v>61</v>
      </c>
      <c r="L280" s="1" t="s">
        <v>61</v>
      </c>
      <c r="M280" s="1" t="s">
        <v>62</v>
      </c>
      <c r="N280" s="1">
        <v>-147.0</v>
      </c>
      <c r="O280" s="1">
        <v>-0.135141700404858</v>
      </c>
      <c r="P280" s="1" t="s">
        <v>61</v>
      </c>
      <c r="Q280" s="1" t="s">
        <v>61</v>
      </c>
      <c r="R280" s="1">
        <f t="shared" si="1"/>
        <v>0.06830188679</v>
      </c>
      <c r="S280" s="1">
        <f t="shared" si="2"/>
        <v>112</v>
      </c>
      <c r="T280" s="1">
        <f t="shared" si="3"/>
        <v>2.12</v>
      </c>
      <c r="U280" s="1">
        <f t="shared" si="4"/>
        <v>1</v>
      </c>
      <c r="V280" s="3">
        <f t="shared" si="5"/>
        <v>2</v>
      </c>
      <c r="W280" s="3">
        <f t="shared" si="6"/>
        <v>1</v>
      </c>
      <c r="X280" s="3" t="str">
        <f>IFERROR(__xludf.DUMMYFUNCTION("split(B280,"" "")"),"T.")</f>
        <v>T.</v>
      </c>
      <c r="Y280" s="3" t="str">
        <f>IFERROR(__xludf.DUMMYFUNCTION("""COMPUTED_VALUE"""),"Hill")</f>
        <v>Hill</v>
      </c>
      <c r="AA280" s="8">
        <v>5.0</v>
      </c>
      <c r="AB280" s="3">
        <f t="shared" si="7"/>
        <v>0</v>
      </c>
      <c r="AC280" s="3">
        <f t="shared" si="8"/>
        <v>0</v>
      </c>
      <c r="AD280" s="3">
        <f t="shared" si="9"/>
        <v>2.24</v>
      </c>
      <c r="AE280" s="3">
        <f t="shared" si="10"/>
        <v>-2</v>
      </c>
      <c r="AF280" s="3">
        <f t="shared" si="11"/>
        <v>-1</v>
      </c>
      <c r="AG280" s="3">
        <f t="shared" si="12"/>
        <v>-0.09090909091</v>
      </c>
    </row>
    <row r="281">
      <c r="A281" s="1" t="s">
        <v>12</v>
      </c>
      <c r="B281" s="1" t="s">
        <v>595</v>
      </c>
      <c r="C281" s="1" t="s">
        <v>18</v>
      </c>
      <c r="D281" s="1" t="s">
        <v>94</v>
      </c>
      <c r="E281" s="1" t="s">
        <v>66</v>
      </c>
      <c r="F281" s="1" t="s">
        <v>695</v>
      </c>
      <c r="G281" s="1">
        <v>1.5</v>
      </c>
      <c r="H281" s="1" t="s">
        <v>60</v>
      </c>
      <c r="I281" s="1">
        <v>122.0</v>
      </c>
      <c r="J281" s="1">
        <v>-0.123678667683783</v>
      </c>
      <c r="K281" s="1" t="s">
        <v>61</v>
      </c>
      <c r="L281" s="1" t="s">
        <v>61</v>
      </c>
      <c r="M281" s="1" t="s">
        <v>62</v>
      </c>
      <c r="N281" s="1">
        <v>-160.0</v>
      </c>
      <c r="O281" s="1">
        <v>0.0578350023999999</v>
      </c>
      <c r="P281" s="1" t="s">
        <v>61</v>
      </c>
      <c r="Q281" s="1" t="s">
        <v>61</v>
      </c>
      <c r="R281" s="1">
        <f t="shared" si="1"/>
        <v>0.0578350024</v>
      </c>
      <c r="S281" s="1">
        <f t="shared" si="2"/>
        <v>-160</v>
      </c>
      <c r="T281" s="1">
        <f t="shared" si="3"/>
        <v>1.625</v>
      </c>
      <c r="U281" s="1">
        <f t="shared" si="4"/>
        <v>0</v>
      </c>
      <c r="V281" s="3">
        <f t="shared" si="5"/>
        <v>2</v>
      </c>
      <c r="W281" s="3">
        <f t="shared" si="6"/>
        <v>3</v>
      </c>
      <c r="X281" s="3" t="str">
        <f>IFERROR(__xludf.DUMMYFUNCTION("split(B281,"" "")"),"O.")</f>
        <v>O.</v>
      </c>
      <c r="Y281" s="3" t="str">
        <f>IFERROR(__xludf.DUMMYFUNCTION("""COMPUTED_VALUE"""),"Beckham")</f>
        <v>Beckham</v>
      </c>
      <c r="Z281" s="3" t="str">
        <f>IFERROR(__xludf.DUMMYFUNCTION("""COMPUTED_VALUE"""),"Jr.")</f>
        <v>Jr.</v>
      </c>
      <c r="AA281" s="8">
        <v>0.0</v>
      </c>
      <c r="AB281" s="3">
        <f t="shared" si="7"/>
        <v>0</v>
      </c>
      <c r="AC281" s="3">
        <f t="shared" si="8"/>
        <v>1</v>
      </c>
      <c r="AD281" s="3">
        <f t="shared" si="9"/>
        <v>1.25</v>
      </c>
      <c r="AE281" s="3">
        <f t="shared" si="10"/>
        <v>1.25</v>
      </c>
      <c r="AF281" s="3">
        <f t="shared" si="11"/>
        <v>1.875</v>
      </c>
      <c r="AG281" s="3">
        <f t="shared" si="12"/>
        <v>1</v>
      </c>
    </row>
    <row r="282">
      <c r="A282" s="1" t="s">
        <v>12</v>
      </c>
      <c r="B282" s="1" t="s">
        <v>702</v>
      </c>
      <c r="C282" s="1" t="s">
        <v>18</v>
      </c>
      <c r="D282" s="1" t="s">
        <v>94</v>
      </c>
      <c r="E282" s="1" t="s">
        <v>66</v>
      </c>
      <c r="F282" s="1" t="s">
        <v>695</v>
      </c>
      <c r="G282" s="1">
        <v>0.5</v>
      </c>
      <c r="H282" s="1" t="s">
        <v>60</v>
      </c>
      <c r="I282" s="1">
        <v>-183.0</v>
      </c>
      <c r="J282" s="1">
        <v>-0.122173704632862</v>
      </c>
      <c r="K282" s="1" t="s">
        <v>61</v>
      </c>
      <c r="L282" s="1" t="s">
        <v>61</v>
      </c>
      <c r="M282" s="1" t="s">
        <v>62</v>
      </c>
      <c r="N282" s="1">
        <v>137.0</v>
      </c>
      <c r="O282" s="1">
        <v>0.0535956051101266</v>
      </c>
      <c r="P282" s="1" t="s">
        <v>61</v>
      </c>
      <c r="Q282" s="1" t="s">
        <v>61</v>
      </c>
      <c r="R282" s="1">
        <f t="shared" si="1"/>
        <v>0.05359560511</v>
      </c>
      <c r="S282" s="1">
        <f t="shared" si="2"/>
        <v>137</v>
      </c>
      <c r="T282" s="1">
        <f t="shared" si="3"/>
        <v>2.37</v>
      </c>
      <c r="U282" s="1">
        <f t="shared" si="4"/>
        <v>0</v>
      </c>
      <c r="V282" s="3">
        <f t="shared" si="5"/>
        <v>2</v>
      </c>
      <c r="W282" s="3">
        <f t="shared" si="6"/>
        <v>1</v>
      </c>
      <c r="X282" s="3" t="str">
        <f>IFERROR(__xludf.DUMMYFUNCTION("split(B282,"" "")"),"M.")</f>
        <v>M.</v>
      </c>
      <c r="Y282" s="3" t="str">
        <f>IFERROR(__xludf.DUMMYFUNCTION("""COMPUTED_VALUE"""),"Washington")</f>
        <v>Washington</v>
      </c>
      <c r="AA282" s="8">
        <v>1.0</v>
      </c>
      <c r="AB282" s="3">
        <f t="shared" si="7"/>
        <v>1</v>
      </c>
      <c r="AC282" s="3">
        <f t="shared" si="8"/>
        <v>0</v>
      </c>
      <c r="AD282" s="3">
        <f t="shared" si="9"/>
        <v>2.74</v>
      </c>
      <c r="AE282" s="3">
        <f t="shared" si="10"/>
        <v>-2</v>
      </c>
      <c r="AF282" s="3">
        <f t="shared" si="11"/>
        <v>-1</v>
      </c>
      <c r="AG282" s="3">
        <f t="shared" si="12"/>
        <v>-1</v>
      </c>
    </row>
    <row r="283">
      <c r="A283" s="1" t="s">
        <v>11</v>
      </c>
      <c r="B283" s="1" t="s">
        <v>182</v>
      </c>
      <c r="C283" s="1" t="s">
        <v>20</v>
      </c>
      <c r="D283" s="1" t="s">
        <v>94</v>
      </c>
      <c r="E283" s="1" t="s">
        <v>66</v>
      </c>
      <c r="F283" s="1" t="s">
        <v>695</v>
      </c>
      <c r="G283" s="1">
        <v>7.5</v>
      </c>
      <c r="H283" s="1" t="s">
        <v>60</v>
      </c>
      <c r="I283" s="1">
        <v>-107.0</v>
      </c>
      <c r="J283" s="1">
        <v>0.0532294267010529</v>
      </c>
      <c r="K283" s="1" t="s">
        <v>61</v>
      </c>
      <c r="L283" s="1" t="s">
        <v>61</v>
      </c>
      <c r="M283" s="1" t="s">
        <v>62</v>
      </c>
      <c r="N283" s="1">
        <v>-118.0</v>
      </c>
      <c r="O283" s="1">
        <v>-0.111390439293574</v>
      </c>
      <c r="P283" s="1" t="s">
        <v>61</v>
      </c>
      <c r="Q283" s="1" t="s">
        <v>61</v>
      </c>
      <c r="R283" s="1">
        <f t="shared" si="1"/>
        <v>0.0532294267</v>
      </c>
      <c r="S283" s="1">
        <f t="shared" si="2"/>
        <v>-107</v>
      </c>
      <c r="T283" s="1">
        <f t="shared" si="3"/>
        <v>1.934579439</v>
      </c>
      <c r="U283" s="1">
        <f t="shared" si="4"/>
        <v>1</v>
      </c>
      <c r="V283" s="3">
        <f t="shared" si="5"/>
        <v>2</v>
      </c>
      <c r="W283" s="3">
        <f t="shared" si="6"/>
        <v>2</v>
      </c>
      <c r="X283" s="3" t="str">
        <f>IFERROR(__xludf.DUMMYFUNCTION("split(B283,"" "")"),"J.")</f>
        <v>J.</v>
      </c>
      <c r="Y283" s="3" t="str">
        <f>IFERROR(__xludf.DUMMYFUNCTION("""COMPUTED_VALUE"""),"Hill")</f>
        <v>Hill</v>
      </c>
      <c r="AA283" s="8">
        <v>48.0</v>
      </c>
      <c r="AB283" s="3">
        <f t="shared" si="7"/>
        <v>1</v>
      </c>
      <c r="AC283" s="3">
        <f t="shared" si="8"/>
        <v>1</v>
      </c>
      <c r="AD283" s="3">
        <f t="shared" si="9"/>
        <v>1.869158879</v>
      </c>
      <c r="AE283" s="3">
        <f t="shared" si="10"/>
        <v>1.869158879</v>
      </c>
      <c r="AF283" s="3">
        <f t="shared" si="11"/>
        <v>1.869158879</v>
      </c>
      <c r="AG283" s="3">
        <f t="shared" si="12"/>
        <v>5.4</v>
      </c>
    </row>
    <row r="284">
      <c r="A284" s="1" t="s">
        <v>8</v>
      </c>
      <c r="B284" s="1" t="s">
        <v>316</v>
      </c>
      <c r="C284" s="1" t="s">
        <v>21</v>
      </c>
      <c r="D284" s="1" t="s">
        <v>94</v>
      </c>
      <c r="E284" s="1" t="s">
        <v>66</v>
      </c>
      <c r="F284" s="1" t="s">
        <v>695</v>
      </c>
      <c r="G284" s="1">
        <v>1.5</v>
      </c>
      <c r="H284" s="1" t="s">
        <v>60</v>
      </c>
      <c r="I284" s="1">
        <v>-185.0</v>
      </c>
      <c r="J284" s="1">
        <v>-0.121086708488274</v>
      </c>
      <c r="K284" s="1" t="s">
        <v>61</v>
      </c>
      <c r="L284" s="1" t="s">
        <v>61</v>
      </c>
      <c r="M284" s="1" t="s">
        <v>62</v>
      </c>
      <c r="N284" s="1">
        <v>137.0</v>
      </c>
      <c r="O284" s="1">
        <v>0.0500359152707101</v>
      </c>
      <c r="P284" s="1" t="s">
        <v>61</v>
      </c>
      <c r="Q284" s="1" t="s">
        <v>61</v>
      </c>
      <c r="R284" s="1">
        <f t="shared" si="1"/>
        <v>0.05003591527</v>
      </c>
      <c r="S284" s="1">
        <f t="shared" si="2"/>
        <v>137</v>
      </c>
      <c r="T284" s="1">
        <f t="shared" si="3"/>
        <v>2.37</v>
      </c>
      <c r="U284" s="1">
        <f t="shared" si="4"/>
        <v>0</v>
      </c>
      <c r="V284" s="3">
        <f t="shared" si="5"/>
        <v>2</v>
      </c>
      <c r="W284" s="3">
        <f t="shared" si="6"/>
        <v>1</v>
      </c>
      <c r="X284" s="3" t="str">
        <f>IFERROR(__xludf.DUMMYFUNCTION("split(B284,"" "")"),"T.")</f>
        <v>T.</v>
      </c>
      <c r="Y284" s="3" t="str">
        <f>IFERROR(__xludf.DUMMYFUNCTION("""COMPUTED_VALUE"""),"Tagovailoa")</f>
        <v>Tagovailoa</v>
      </c>
      <c r="AA284" s="8">
        <v>3.0</v>
      </c>
      <c r="AB284" s="3">
        <f t="shared" si="7"/>
        <v>1</v>
      </c>
      <c r="AC284" s="3">
        <f t="shared" si="8"/>
        <v>0</v>
      </c>
      <c r="AD284" s="3">
        <f t="shared" si="9"/>
        <v>2.74</v>
      </c>
      <c r="AE284" s="3">
        <f t="shared" si="10"/>
        <v>-2</v>
      </c>
      <c r="AF284" s="3">
        <f t="shared" si="11"/>
        <v>-1</v>
      </c>
      <c r="AG284" s="3">
        <f t="shared" si="12"/>
        <v>-1</v>
      </c>
    </row>
    <row r="285">
      <c r="A285" s="1" t="s">
        <v>14</v>
      </c>
      <c r="B285" s="1" t="s">
        <v>316</v>
      </c>
      <c r="C285" s="1" t="s">
        <v>21</v>
      </c>
      <c r="D285" s="1" t="s">
        <v>94</v>
      </c>
      <c r="E285" s="1" t="s">
        <v>66</v>
      </c>
      <c r="F285" s="1" t="s">
        <v>695</v>
      </c>
      <c r="G285" s="1">
        <v>1.5</v>
      </c>
      <c r="H285" s="1" t="s">
        <v>60</v>
      </c>
      <c r="I285" s="1">
        <v>-124.0</v>
      </c>
      <c r="J285" s="1">
        <v>-0.107171428571428</v>
      </c>
      <c r="K285" s="1" t="s">
        <v>61</v>
      </c>
      <c r="L285" s="1" t="s">
        <v>61</v>
      </c>
      <c r="M285" s="1" t="s">
        <v>62</v>
      </c>
      <c r="N285" s="1">
        <v>-105.0</v>
      </c>
      <c r="O285" s="1">
        <v>0.0414048780487804</v>
      </c>
      <c r="P285" s="1" t="s">
        <v>61</v>
      </c>
      <c r="Q285" s="1" t="s">
        <v>61</v>
      </c>
      <c r="R285" s="1">
        <f t="shared" si="1"/>
        <v>0.04140487805</v>
      </c>
      <c r="S285" s="1">
        <f t="shared" si="2"/>
        <v>-105</v>
      </c>
      <c r="T285" s="1">
        <f t="shared" si="3"/>
        <v>1.952380952</v>
      </c>
      <c r="U285" s="1">
        <f t="shared" si="4"/>
        <v>0</v>
      </c>
      <c r="V285" s="3">
        <f t="shared" si="5"/>
        <v>1</v>
      </c>
      <c r="W285" s="3">
        <f t="shared" si="6"/>
        <v>2</v>
      </c>
      <c r="X285" s="3" t="str">
        <f>IFERROR(__xludf.DUMMYFUNCTION("split(B285,"" "")"),"T.")</f>
        <v>T.</v>
      </c>
      <c r="Y285" s="3" t="str">
        <f>IFERROR(__xludf.DUMMYFUNCTION("""COMPUTED_VALUE"""),"Tagovailoa")</f>
        <v>Tagovailoa</v>
      </c>
      <c r="AA285" s="8">
        <v>4.0</v>
      </c>
      <c r="AB285" s="3">
        <f t="shared" si="7"/>
        <v>1</v>
      </c>
      <c r="AC285" s="3">
        <f t="shared" si="8"/>
        <v>0</v>
      </c>
      <c r="AD285" s="3">
        <f t="shared" si="9"/>
        <v>0.9523809524</v>
      </c>
      <c r="AE285" s="3">
        <f t="shared" si="10"/>
        <v>-1</v>
      </c>
      <c r="AF285" s="3">
        <f t="shared" si="11"/>
        <v>-2</v>
      </c>
      <c r="AG285" s="3">
        <f t="shared" si="12"/>
        <v>-1.666666667</v>
      </c>
    </row>
    <row r="286">
      <c r="A286" s="1" t="s">
        <v>10</v>
      </c>
      <c r="B286" s="1" t="s">
        <v>289</v>
      </c>
      <c r="C286" s="1" t="s">
        <v>19</v>
      </c>
      <c r="D286" s="1" t="s">
        <v>94</v>
      </c>
      <c r="E286" s="1" t="s">
        <v>66</v>
      </c>
      <c r="F286" s="1" t="s">
        <v>695</v>
      </c>
      <c r="G286" s="1">
        <v>66.5</v>
      </c>
      <c r="H286" s="1" t="s">
        <v>60</v>
      </c>
      <c r="I286" s="1">
        <v>-113.0</v>
      </c>
      <c r="J286" s="1">
        <v>-0.103980406670266</v>
      </c>
      <c r="K286" s="1" t="s">
        <v>61</v>
      </c>
      <c r="L286" s="1" t="s">
        <v>61</v>
      </c>
      <c r="M286" s="1" t="s">
        <v>62</v>
      </c>
      <c r="N286" s="1">
        <v>-114.0</v>
      </c>
      <c r="O286" s="1">
        <v>0.0407081448961876</v>
      </c>
      <c r="P286" s="1" t="s">
        <v>61</v>
      </c>
      <c r="Q286" s="1" t="s">
        <v>61</v>
      </c>
      <c r="R286" s="1">
        <f t="shared" si="1"/>
        <v>0.0407081449</v>
      </c>
      <c r="S286" s="1">
        <f t="shared" si="2"/>
        <v>-114</v>
      </c>
      <c r="T286" s="1">
        <f t="shared" si="3"/>
        <v>1.877192982</v>
      </c>
      <c r="U286" s="1">
        <f t="shared" si="4"/>
        <v>0</v>
      </c>
      <c r="V286" s="3">
        <f t="shared" si="5"/>
        <v>1</v>
      </c>
      <c r="W286" s="3">
        <f t="shared" si="6"/>
        <v>2</v>
      </c>
      <c r="X286" s="3" t="str">
        <f>IFERROR(__xludf.DUMMYFUNCTION("split(B286,"" "")"),"D.")</f>
        <v>D.</v>
      </c>
      <c r="Y286" s="3" t="str">
        <f>IFERROR(__xludf.DUMMYFUNCTION("""COMPUTED_VALUE"""),"Achane")</f>
        <v>Achane</v>
      </c>
      <c r="AA286" s="8">
        <v>32.0</v>
      </c>
      <c r="AB286" s="3">
        <f t="shared" si="7"/>
        <v>0</v>
      </c>
      <c r="AC286" s="3">
        <f t="shared" si="8"/>
        <v>1</v>
      </c>
      <c r="AD286" s="3">
        <f t="shared" si="9"/>
        <v>0.8771929825</v>
      </c>
      <c r="AE286" s="3">
        <f t="shared" si="10"/>
        <v>0.8771929825</v>
      </c>
      <c r="AF286" s="3">
        <f t="shared" si="11"/>
        <v>1.754385965</v>
      </c>
      <c r="AG286" s="3">
        <f t="shared" si="12"/>
        <v>0.5187969925</v>
      </c>
    </row>
    <row r="287">
      <c r="A287" s="1" t="s">
        <v>11</v>
      </c>
      <c r="B287" s="1" t="s">
        <v>289</v>
      </c>
      <c r="C287" s="1" t="s">
        <v>19</v>
      </c>
      <c r="D287" s="1" t="s">
        <v>94</v>
      </c>
      <c r="E287" s="1" t="s">
        <v>66</v>
      </c>
      <c r="F287" s="1" t="s">
        <v>695</v>
      </c>
      <c r="G287" s="1">
        <v>31.5</v>
      </c>
      <c r="H287" s="1" t="s">
        <v>60</v>
      </c>
      <c r="I287" s="1">
        <v>-116.0</v>
      </c>
      <c r="J287" s="1">
        <v>-0.0924055788410188</v>
      </c>
      <c r="K287" s="1" t="s">
        <v>61</v>
      </c>
      <c r="L287" s="1" t="s">
        <v>61</v>
      </c>
      <c r="M287" s="1" t="s">
        <v>62</v>
      </c>
      <c r="N287" s="1">
        <v>-111.0</v>
      </c>
      <c r="O287" s="1">
        <v>0.0293107855902683</v>
      </c>
      <c r="P287" s="1" t="s">
        <v>61</v>
      </c>
      <c r="Q287" s="1" t="s">
        <v>61</v>
      </c>
      <c r="R287" s="1">
        <f t="shared" si="1"/>
        <v>0.02931078559</v>
      </c>
      <c r="S287" s="1">
        <f t="shared" si="2"/>
        <v>-111</v>
      </c>
      <c r="T287" s="1">
        <f t="shared" si="3"/>
        <v>1.900900901</v>
      </c>
      <c r="U287" s="1">
        <f t="shared" si="4"/>
        <v>0</v>
      </c>
      <c r="V287" s="3">
        <f t="shared" si="5"/>
        <v>1</v>
      </c>
      <c r="W287" s="3">
        <f t="shared" si="6"/>
        <v>2</v>
      </c>
      <c r="X287" s="3" t="str">
        <f>IFERROR(__xludf.DUMMYFUNCTION("split(B287,"" "")"),"D.")</f>
        <v>D.</v>
      </c>
      <c r="Y287" s="3" t="str">
        <f>IFERROR(__xludf.DUMMYFUNCTION("""COMPUTED_VALUE"""),"Achane")</f>
        <v>Achane</v>
      </c>
      <c r="AA287" s="8">
        <v>24.0</v>
      </c>
      <c r="AB287" s="3">
        <f t="shared" si="7"/>
        <v>0</v>
      </c>
      <c r="AC287" s="3">
        <f t="shared" si="8"/>
        <v>1</v>
      </c>
      <c r="AD287" s="3">
        <f t="shared" si="9"/>
        <v>0.9009009009</v>
      </c>
      <c r="AE287" s="3">
        <f t="shared" si="10"/>
        <v>0.9009009009</v>
      </c>
      <c r="AF287" s="3">
        <f t="shared" si="11"/>
        <v>1.801801802</v>
      </c>
      <c r="AG287" s="3">
        <f t="shared" si="12"/>
        <v>0.2380952381</v>
      </c>
    </row>
    <row r="288">
      <c r="A288" s="1" t="s">
        <v>9</v>
      </c>
      <c r="B288" s="1" t="s">
        <v>289</v>
      </c>
      <c r="C288" s="1" t="s">
        <v>19</v>
      </c>
      <c r="D288" s="1" t="s">
        <v>94</v>
      </c>
      <c r="E288" s="1" t="s">
        <v>66</v>
      </c>
      <c r="F288" s="1" t="s">
        <v>695</v>
      </c>
      <c r="G288" s="1">
        <v>103.0</v>
      </c>
      <c r="H288" s="1" t="s">
        <v>60</v>
      </c>
      <c r="I288" s="1">
        <v>-118.0</v>
      </c>
      <c r="J288" s="1">
        <v>-0.09653800813747</v>
      </c>
      <c r="K288" s="1" t="s">
        <v>61</v>
      </c>
      <c r="L288" s="1" t="s">
        <v>61</v>
      </c>
      <c r="M288" s="1" t="s">
        <v>62</v>
      </c>
      <c r="N288" s="1">
        <v>-113.0</v>
      </c>
      <c r="O288" s="1">
        <v>0.0249018608053445</v>
      </c>
      <c r="P288" s="1" t="s">
        <v>61</v>
      </c>
      <c r="Q288" s="1" t="s">
        <v>61</v>
      </c>
      <c r="R288" s="1">
        <f t="shared" si="1"/>
        <v>0.02490186081</v>
      </c>
      <c r="S288" s="1">
        <f t="shared" si="2"/>
        <v>-113</v>
      </c>
      <c r="T288" s="1">
        <f t="shared" si="3"/>
        <v>1.884955752</v>
      </c>
      <c r="U288" s="1">
        <f t="shared" si="4"/>
        <v>0</v>
      </c>
      <c r="V288" s="3">
        <f t="shared" si="5"/>
        <v>1</v>
      </c>
      <c r="W288" s="3">
        <f t="shared" si="6"/>
        <v>2</v>
      </c>
      <c r="X288" s="3" t="str">
        <f>IFERROR(__xludf.DUMMYFUNCTION("split(B288,"" "")"),"D.")</f>
        <v>D.</v>
      </c>
      <c r="Y288" s="3" t="str">
        <f>IFERROR(__xludf.DUMMYFUNCTION("""COMPUTED_VALUE"""),"Achane")</f>
        <v>Achane</v>
      </c>
      <c r="AA288" s="8">
        <v>56.0</v>
      </c>
      <c r="AB288" s="3">
        <f t="shared" si="7"/>
        <v>0</v>
      </c>
      <c r="AC288" s="3">
        <f t="shared" si="8"/>
        <v>1</v>
      </c>
      <c r="AD288" s="3">
        <f t="shared" si="9"/>
        <v>0.8849557522</v>
      </c>
      <c r="AE288" s="3">
        <f t="shared" si="10"/>
        <v>0.8849557522</v>
      </c>
      <c r="AF288" s="3">
        <f t="shared" si="11"/>
        <v>1.769911504</v>
      </c>
      <c r="AG288" s="3">
        <f t="shared" si="12"/>
        <v>0.4563106796</v>
      </c>
    </row>
    <row r="289">
      <c r="A289" s="1" t="s">
        <v>9</v>
      </c>
      <c r="B289" s="1" t="s">
        <v>475</v>
      </c>
      <c r="C289" s="1" t="s">
        <v>18</v>
      </c>
      <c r="D289" s="1" t="s">
        <v>94</v>
      </c>
      <c r="E289" s="1" t="s">
        <v>66</v>
      </c>
      <c r="F289" s="1" t="s">
        <v>695</v>
      </c>
      <c r="G289" s="1">
        <v>41.5</v>
      </c>
      <c r="H289" s="1" t="s">
        <v>60</v>
      </c>
      <c r="I289" s="1">
        <v>-115.0</v>
      </c>
      <c r="J289" s="1">
        <v>0.0210070592865905</v>
      </c>
      <c r="K289" s="1" t="s">
        <v>61</v>
      </c>
      <c r="L289" s="1" t="s">
        <v>61</v>
      </c>
      <c r="M289" s="1" t="s">
        <v>62</v>
      </c>
      <c r="N289" s="1">
        <v>-115.0</v>
      </c>
      <c r="O289" s="1">
        <v>-0.0907281181795791</v>
      </c>
      <c r="P289" s="1" t="s">
        <v>61</v>
      </c>
      <c r="Q289" s="1" t="s">
        <v>61</v>
      </c>
      <c r="R289" s="1">
        <f t="shared" si="1"/>
        <v>0.02100705929</v>
      </c>
      <c r="S289" s="1">
        <f t="shared" si="2"/>
        <v>-115</v>
      </c>
      <c r="T289" s="1">
        <f t="shared" si="3"/>
        <v>1.869565217</v>
      </c>
      <c r="U289" s="1">
        <f t="shared" si="4"/>
        <v>1</v>
      </c>
      <c r="V289" s="3">
        <f t="shared" si="5"/>
        <v>1</v>
      </c>
      <c r="W289" s="3">
        <f t="shared" si="6"/>
        <v>2</v>
      </c>
      <c r="X289" s="3" t="str">
        <f>IFERROR(__xludf.DUMMYFUNCTION("split(B289,"" "")"),"J.")</f>
        <v>J.</v>
      </c>
      <c r="Y289" s="3" t="str">
        <f>IFERROR(__xludf.DUMMYFUNCTION("""COMPUTED_VALUE"""),"Waddle")</f>
        <v>Waddle</v>
      </c>
      <c r="AA289" s="8">
        <v>144.0</v>
      </c>
      <c r="AB289" s="3">
        <f t="shared" si="7"/>
        <v>1</v>
      </c>
      <c r="AC289" s="3">
        <f t="shared" si="8"/>
        <v>1</v>
      </c>
      <c r="AD289" s="3">
        <f t="shared" si="9"/>
        <v>0.8695652174</v>
      </c>
      <c r="AE289" s="3">
        <f t="shared" si="10"/>
        <v>0.8695652174</v>
      </c>
      <c r="AF289" s="3">
        <f t="shared" si="11"/>
        <v>1.739130435</v>
      </c>
      <c r="AG289" s="3">
        <f t="shared" si="12"/>
        <v>2.469879518</v>
      </c>
    </row>
    <row r="290">
      <c r="A290" s="1" t="s">
        <v>11</v>
      </c>
      <c r="B290" s="1" t="s">
        <v>220</v>
      </c>
      <c r="C290" s="1" t="s">
        <v>20</v>
      </c>
      <c r="D290" s="1" t="s">
        <v>94</v>
      </c>
      <c r="E290" s="1" t="s">
        <v>66</v>
      </c>
      <c r="F290" s="1" t="s">
        <v>695</v>
      </c>
      <c r="G290" s="1">
        <v>36.5</v>
      </c>
      <c r="H290" s="1" t="s">
        <v>60</v>
      </c>
      <c r="I290" s="1">
        <v>-110.0</v>
      </c>
      <c r="J290" s="1">
        <v>-0.0778490373213335</v>
      </c>
      <c r="K290" s="1" t="s">
        <v>61</v>
      </c>
      <c r="L290" s="1" t="s">
        <v>61</v>
      </c>
      <c r="M290" s="1" t="s">
        <v>62</v>
      </c>
      <c r="N290" s="1">
        <v>-117.0</v>
      </c>
      <c r="O290" s="1">
        <v>0.0148601308944774</v>
      </c>
      <c r="P290" s="1" t="s">
        <v>61</v>
      </c>
      <c r="Q290" s="1" t="s">
        <v>61</v>
      </c>
      <c r="R290" s="1">
        <f t="shared" si="1"/>
        <v>0.01486013089</v>
      </c>
      <c r="S290" s="1">
        <f t="shared" si="2"/>
        <v>-117</v>
      </c>
      <c r="T290" s="1">
        <f t="shared" si="3"/>
        <v>1.854700855</v>
      </c>
      <c r="U290" s="1">
        <f t="shared" si="4"/>
        <v>0</v>
      </c>
      <c r="V290" s="3">
        <f t="shared" si="5"/>
        <v>1</v>
      </c>
      <c r="W290" s="3">
        <f t="shared" si="6"/>
        <v>2</v>
      </c>
      <c r="X290" s="3" t="str">
        <f>IFERROR(__xludf.DUMMYFUNCTION("split(B290,"" "")"),"J.")</f>
        <v>J.</v>
      </c>
      <c r="Y290" s="3" t="str">
        <f>IFERROR(__xludf.DUMMYFUNCTION("""COMPUTED_VALUE"""),"Smith")</f>
        <v>Smith</v>
      </c>
      <c r="AA290" s="8">
        <v>87.0</v>
      </c>
      <c r="AB290" s="3">
        <f t="shared" si="7"/>
        <v>1</v>
      </c>
      <c r="AC290" s="3">
        <f t="shared" si="8"/>
        <v>0</v>
      </c>
      <c r="AD290" s="3">
        <f t="shared" si="9"/>
        <v>0.8547008547</v>
      </c>
      <c r="AE290" s="3">
        <f t="shared" si="10"/>
        <v>-1</v>
      </c>
      <c r="AF290" s="3">
        <f t="shared" si="11"/>
        <v>-2</v>
      </c>
      <c r="AG290" s="3">
        <f t="shared" si="12"/>
        <v>-1.383561644</v>
      </c>
    </row>
    <row r="291">
      <c r="A291" s="1" t="s">
        <v>8</v>
      </c>
      <c r="B291" s="1" t="s">
        <v>538</v>
      </c>
      <c r="C291" s="1" t="s">
        <v>19</v>
      </c>
      <c r="D291" s="1" t="s">
        <v>146</v>
      </c>
      <c r="E291" s="1" t="s">
        <v>99</v>
      </c>
      <c r="F291" s="1" t="s">
        <v>695</v>
      </c>
      <c r="G291" s="1">
        <v>6.5</v>
      </c>
      <c r="H291" s="1" t="s">
        <v>60</v>
      </c>
      <c r="I291" s="1">
        <v>-130.0</v>
      </c>
      <c r="J291" s="1">
        <v>-0.297464908343772</v>
      </c>
      <c r="K291" s="1" t="s">
        <v>61</v>
      </c>
      <c r="L291" s="1" t="s">
        <v>61</v>
      </c>
      <c r="M291" s="1" t="s">
        <v>62</v>
      </c>
      <c r="N291" s="1">
        <v>-105.0</v>
      </c>
      <c r="O291" s="1">
        <v>0.220043050561078</v>
      </c>
      <c r="P291" s="1" t="s">
        <v>61</v>
      </c>
      <c r="Q291" s="1" t="s">
        <v>61</v>
      </c>
      <c r="R291" s="1">
        <f t="shared" si="1"/>
        <v>0.2200430506</v>
      </c>
      <c r="S291" s="1">
        <f t="shared" si="2"/>
        <v>-105</v>
      </c>
      <c r="T291" s="1">
        <f t="shared" si="3"/>
        <v>1.952380952</v>
      </c>
      <c r="U291" s="1">
        <f t="shared" si="4"/>
        <v>0</v>
      </c>
      <c r="V291" s="3">
        <f t="shared" si="5"/>
        <v>3</v>
      </c>
      <c r="W291" s="3">
        <f t="shared" si="6"/>
        <v>2</v>
      </c>
      <c r="X291" s="3" t="str">
        <f>IFERROR(__xludf.DUMMYFUNCTION("split(B291,"" "")"),"C.")</f>
        <v>C.</v>
      </c>
      <c r="Y291" s="3" t="str">
        <f>IFERROR(__xludf.DUMMYFUNCTION("""COMPUTED_VALUE"""),"Akers")</f>
        <v>Akers</v>
      </c>
      <c r="AA291" s="8">
        <v>3.0</v>
      </c>
      <c r="AB291" s="3">
        <f t="shared" si="7"/>
        <v>0</v>
      </c>
      <c r="AC291" s="3">
        <f t="shared" si="8"/>
        <v>1</v>
      </c>
      <c r="AD291" s="3">
        <f t="shared" si="9"/>
        <v>2.857142857</v>
      </c>
      <c r="AE291" s="3">
        <f t="shared" si="10"/>
        <v>2.857142857</v>
      </c>
      <c r="AF291" s="3">
        <f t="shared" si="11"/>
        <v>1.904761905</v>
      </c>
      <c r="AG291" s="3">
        <f t="shared" si="12"/>
        <v>0.5384615385</v>
      </c>
    </row>
    <row r="292">
      <c r="A292" s="1" t="s">
        <v>8</v>
      </c>
      <c r="B292" s="1" t="s">
        <v>145</v>
      </c>
      <c r="C292" s="1" t="s">
        <v>21</v>
      </c>
      <c r="D292" s="1" t="s">
        <v>146</v>
      </c>
      <c r="E292" s="1" t="s">
        <v>99</v>
      </c>
      <c r="F292" s="1" t="s">
        <v>695</v>
      </c>
      <c r="G292" s="1">
        <v>3.5</v>
      </c>
      <c r="H292" s="1" t="s">
        <v>60</v>
      </c>
      <c r="I292" s="1">
        <v>-144.0</v>
      </c>
      <c r="J292" s="1">
        <v>-0.260758976598413</v>
      </c>
      <c r="K292" s="1" t="s">
        <v>61</v>
      </c>
      <c r="L292" s="1" t="s">
        <v>61</v>
      </c>
      <c r="M292" s="1" t="s">
        <v>62</v>
      </c>
      <c r="N292" s="1">
        <v>106.0</v>
      </c>
      <c r="O292" s="1">
        <v>0.185157234417538</v>
      </c>
      <c r="P292" s="1" t="s">
        <v>61</v>
      </c>
      <c r="Q292" s="1" t="s">
        <v>61</v>
      </c>
      <c r="R292" s="1">
        <f t="shared" si="1"/>
        <v>0.1851572344</v>
      </c>
      <c r="S292" s="1">
        <f t="shared" si="2"/>
        <v>106</v>
      </c>
      <c r="T292" s="1">
        <f t="shared" si="3"/>
        <v>2.06</v>
      </c>
      <c r="U292" s="1">
        <f t="shared" si="4"/>
        <v>0</v>
      </c>
      <c r="V292" s="3">
        <f t="shared" si="5"/>
        <v>3</v>
      </c>
      <c r="W292" s="3">
        <f t="shared" si="6"/>
        <v>2</v>
      </c>
      <c r="X292" s="3" t="str">
        <f>IFERROR(__xludf.DUMMYFUNCTION("split(B292,"" "")"),"S.")</f>
        <v>S.</v>
      </c>
      <c r="Y292" s="3" t="str">
        <f>IFERROR(__xludf.DUMMYFUNCTION("""COMPUTED_VALUE"""),"Darnold")</f>
        <v>Darnold</v>
      </c>
      <c r="AA292" s="8">
        <v>2.0</v>
      </c>
      <c r="AB292" s="3">
        <f t="shared" si="7"/>
        <v>0</v>
      </c>
      <c r="AC292" s="3">
        <f t="shared" si="8"/>
        <v>1</v>
      </c>
      <c r="AD292" s="3">
        <f t="shared" si="9"/>
        <v>3.18</v>
      </c>
      <c r="AE292" s="3">
        <f t="shared" si="10"/>
        <v>3.18</v>
      </c>
      <c r="AF292" s="3">
        <f t="shared" si="11"/>
        <v>2.12</v>
      </c>
      <c r="AG292" s="3">
        <f t="shared" si="12"/>
        <v>0.4285714286</v>
      </c>
    </row>
    <row r="293">
      <c r="A293" s="1" t="s">
        <v>12</v>
      </c>
      <c r="B293" s="1" t="s">
        <v>175</v>
      </c>
      <c r="C293" s="1" t="s">
        <v>18</v>
      </c>
      <c r="D293" s="1" t="s">
        <v>146</v>
      </c>
      <c r="E293" s="1" t="s">
        <v>99</v>
      </c>
      <c r="F293" s="1" t="s">
        <v>695</v>
      </c>
      <c r="G293" s="1">
        <v>2.5</v>
      </c>
      <c r="H293" s="1" t="s">
        <v>60</v>
      </c>
      <c r="I293" s="1">
        <v>-166.0</v>
      </c>
      <c r="J293" s="1">
        <v>-0.208257234849624</v>
      </c>
      <c r="K293" s="1" t="s">
        <v>61</v>
      </c>
      <c r="L293" s="1" t="s">
        <v>61</v>
      </c>
      <c r="M293" s="1" t="s">
        <v>62</v>
      </c>
      <c r="N293" s="1">
        <v>126.0</v>
      </c>
      <c r="O293" s="1">
        <v>0.141718692345132</v>
      </c>
      <c r="P293" s="1" t="s">
        <v>61</v>
      </c>
      <c r="Q293" s="1" t="s">
        <v>61</v>
      </c>
      <c r="R293" s="1">
        <f t="shared" si="1"/>
        <v>0.1417186923</v>
      </c>
      <c r="S293" s="1">
        <f t="shared" si="2"/>
        <v>126</v>
      </c>
      <c r="T293" s="1">
        <f t="shared" si="3"/>
        <v>2.26</v>
      </c>
      <c r="U293" s="1">
        <f t="shared" si="4"/>
        <v>0</v>
      </c>
      <c r="V293" s="3">
        <f t="shared" si="5"/>
        <v>3</v>
      </c>
      <c r="W293" s="3">
        <f t="shared" si="6"/>
        <v>1</v>
      </c>
      <c r="X293" s="3" t="str">
        <f>IFERROR(__xludf.DUMMYFUNCTION("split(B293,"" "")"),"J.")</f>
        <v>J.</v>
      </c>
      <c r="Y293" s="3" t="str">
        <f>IFERROR(__xludf.DUMMYFUNCTION("""COMPUTED_VALUE"""),"Addison")</f>
        <v>Addison</v>
      </c>
      <c r="AA293" s="8">
        <v>8.0</v>
      </c>
      <c r="AB293" s="3">
        <f t="shared" si="7"/>
        <v>1</v>
      </c>
      <c r="AC293" s="3">
        <f t="shared" si="8"/>
        <v>0</v>
      </c>
      <c r="AD293" s="3">
        <f t="shared" si="9"/>
        <v>3.78</v>
      </c>
      <c r="AE293" s="3">
        <f t="shared" si="10"/>
        <v>-3</v>
      </c>
      <c r="AF293" s="3">
        <f t="shared" si="11"/>
        <v>-1</v>
      </c>
      <c r="AG293" s="3">
        <f t="shared" si="12"/>
        <v>-2.2</v>
      </c>
    </row>
    <row r="294">
      <c r="A294" s="1" t="s">
        <v>12</v>
      </c>
      <c r="B294" s="1" t="s">
        <v>538</v>
      </c>
      <c r="C294" s="1" t="s">
        <v>19</v>
      </c>
      <c r="D294" s="1" t="s">
        <v>146</v>
      </c>
      <c r="E294" s="1" t="s">
        <v>99</v>
      </c>
      <c r="F294" s="1" t="s">
        <v>695</v>
      </c>
      <c r="G294" s="1">
        <v>0.5</v>
      </c>
      <c r="H294" s="1" t="s">
        <v>60</v>
      </c>
      <c r="I294" s="1">
        <v>-233.0</v>
      </c>
      <c r="J294" s="1">
        <v>-0.202897212134834</v>
      </c>
      <c r="K294" s="1" t="s">
        <v>61</v>
      </c>
      <c r="L294" s="1" t="s">
        <v>61</v>
      </c>
      <c r="M294" s="1" t="s">
        <v>62</v>
      </c>
      <c r="N294" s="1">
        <v>175.0</v>
      </c>
      <c r="O294" s="1">
        <v>0.139560624148727</v>
      </c>
      <c r="P294" s="1" t="s">
        <v>61</v>
      </c>
      <c r="Q294" s="1" t="s">
        <v>61</v>
      </c>
      <c r="R294" s="1">
        <f t="shared" si="1"/>
        <v>0.1395606241</v>
      </c>
      <c r="S294" s="1">
        <f t="shared" si="2"/>
        <v>175</v>
      </c>
      <c r="T294" s="1">
        <f t="shared" si="3"/>
        <v>2.75</v>
      </c>
      <c r="U294" s="1">
        <f t="shared" si="4"/>
        <v>0</v>
      </c>
      <c r="V294" s="3">
        <f t="shared" si="5"/>
        <v>3</v>
      </c>
      <c r="W294" s="3">
        <f t="shared" si="6"/>
        <v>1</v>
      </c>
      <c r="X294" s="3" t="str">
        <f>IFERROR(__xludf.DUMMYFUNCTION("split(B294,"" "")"),"C.")</f>
        <v>C.</v>
      </c>
      <c r="Y294" s="3" t="str">
        <f>IFERROR(__xludf.DUMMYFUNCTION("""COMPUTED_VALUE"""),"Akers")</f>
        <v>Akers</v>
      </c>
      <c r="AA294" s="8">
        <v>1.0</v>
      </c>
      <c r="AB294" s="3">
        <f t="shared" si="7"/>
        <v>1</v>
      </c>
      <c r="AC294" s="3">
        <f t="shared" si="8"/>
        <v>0</v>
      </c>
      <c r="AD294" s="3">
        <f t="shared" si="9"/>
        <v>5.25</v>
      </c>
      <c r="AE294" s="3">
        <f t="shared" si="10"/>
        <v>-3</v>
      </c>
      <c r="AF294" s="3">
        <f t="shared" si="11"/>
        <v>-1</v>
      </c>
      <c r="AG294" s="3">
        <f t="shared" si="12"/>
        <v>-1</v>
      </c>
    </row>
    <row r="295">
      <c r="A295" s="1" t="s">
        <v>11</v>
      </c>
      <c r="B295" s="1" t="s">
        <v>538</v>
      </c>
      <c r="C295" s="1" t="s">
        <v>19</v>
      </c>
      <c r="D295" s="1" t="s">
        <v>146</v>
      </c>
      <c r="E295" s="1" t="s">
        <v>99</v>
      </c>
      <c r="F295" s="1" t="s">
        <v>695</v>
      </c>
      <c r="G295" s="1">
        <v>4.5</v>
      </c>
      <c r="H295" s="1" t="s">
        <v>60</v>
      </c>
      <c r="I295" s="1">
        <v>-113.0</v>
      </c>
      <c r="J295" s="1">
        <v>0.0877418950266031</v>
      </c>
      <c r="K295" s="1" t="s">
        <v>61</v>
      </c>
      <c r="L295" s="1" t="s">
        <v>61</v>
      </c>
      <c r="M295" s="1" t="s">
        <v>62</v>
      </c>
      <c r="N295" s="1">
        <v>-114.0</v>
      </c>
      <c r="O295" s="1">
        <v>-0.150949527805419</v>
      </c>
      <c r="P295" s="1" t="s">
        <v>61</v>
      </c>
      <c r="Q295" s="1" t="s">
        <v>61</v>
      </c>
      <c r="R295" s="1">
        <f t="shared" si="1"/>
        <v>0.08774189503</v>
      </c>
      <c r="S295" s="1">
        <f t="shared" si="2"/>
        <v>-113</v>
      </c>
      <c r="T295" s="1">
        <f t="shared" si="3"/>
        <v>1.884955752</v>
      </c>
      <c r="U295" s="1">
        <f t="shared" si="4"/>
        <v>1</v>
      </c>
      <c r="V295" s="3">
        <f t="shared" si="5"/>
        <v>2</v>
      </c>
      <c r="W295" s="3">
        <f t="shared" si="6"/>
        <v>2</v>
      </c>
      <c r="X295" s="3" t="str">
        <f>IFERROR(__xludf.DUMMYFUNCTION("split(B295,"" "")"),"C.")</f>
        <v>C.</v>
      </c>
      <c r="Y295" s="3" t="str">
        <f>IFERROR(__xludf.DUMMYFUNCTION("""COMPUTED_VALUE"""),"Akers")</f>
        <v>Akers</v>
      </c>
      <c r="AA295" s="8">
        <v>6.0</v>
      </c>
      <c r="AB295" s="3">
        <f t="shared" si="7"/>
        <v>1</v>
      </c>
      <c r="AC295" s="3">
        <f t="shared" si="8"/>
        <v>1</v>
      </c>
      <c r="AD295" s="3">
        <f t="shared" si="9"/>
        <v>1.769911504</v>
      </c>
      <c r="AE295" s="3">
        <f t="shared" si="10"/>
        <v>1.769911504</v>
      </c>
      <c r="AF295" s="3">
        <f t="shared" si="11"/>
        <v>1.769911504</v>
      </c>
      <c r="AG295" s="3">
        <f t="shared" si="12"/>
        <v>0.3333333333</v>
      </c>
    </row>
    <row r="296">
      <c r="A296" s="1" t="s">
        <v>11</v>
      </c>
      <c r="B296" s="1" t="s">
        <v>185</v>
      </c>
      <c r="C296" s="1" t="s">
        <v>20</v>
      </c>
      <c r="D296" s="1" t="s">
        <v>146</v>
      </c>
      <c r="E296" s="1" t="s">
        <v>99</v>
      </c>
      <c r="F296" s="1" t="s">
        <v>695</v>
      </c>
      <c r="G296" s="1">
        <v>7.5</v>
      </c>
      <c r="H296" s="1" t="s">
        <v>60</v>
      </c>
      <c r="I296" s="1">
        <v>-110.0</v>
      </c>
      <c r="J296" s="1">
        <v>0.0790773900694642</v>
      </c>
      <c r="K296" s="1" t="s">
        <v>61</v>
      </c>
      <c r="L296" s="1" t="s">
        <v>61</v>
      </c>
      <c r="M296" s="1" t="s">
        <v>62</v>
      </c>
      <c r="N296" s="1">
        <v>-116.0</v>
      </c>
      <c r="O296" s="1">
        <v>-0.139896723245006</v>
      </c>
      <c r="P296" s="1" t="s">
        <v>61</v>
      </c>
      <c r="Q296" s="1" t="s">
        <v>61</v>
      </c>
      <c r="R296" s="1">
        <f t="shared" si="1"/>
        <v>0.07907739007</v>
      </c>
      <c r="S296" s="1">
        <f t="shared" si="2"/>
        <v>-110</v>
      </c>
      <c r="T296" s="1">
        <f t="shared" si="3"/>
        <v>1.909090909</v>
      </c>
      <c r="U296" s="1">
        <f t="shared" si="4"/>
        <v>1</v>
      </c>
      <c r="V296" s="3">
        <f t="shared" si="5"/>
        <v>2</v>
      </c>
      <c r="W296" s="3">
        <f t="shared" si="6"/>
        <v>2</v>
      </c>
      <c r="X296" s="3" t="str">
        <f>IFERROR(__xludf.DUMMYFUNCTION("split(B296,"" "")"),"J.")</f>
        <v>J.</v>
      </c>
      <c r="Y296" s="3" t="str">
        <f>IFERROR(__xludf.DUMMYFUNCTION("""COMPUTED_VALUE"""),"Mundt")</f>
        <v>Mundt</v>
      </c>
      <c r="AA296" s="8">
        <v>7.0</v>
      </c>
      <c r="AB296" s="3">
        <f t="shared" si="7"/>
        <v>0</v>
      </c>
      <c r="AC296" s="3">
        <f t="shared" si="8"/>
        <v>0</v>
      </c>
      <c r="AD296" s="3">
        <f t="shared" si="9"/>
        <v>1.818181818</v>
      </c>
      <c r="AE296" s="3">
        <f t="shared" si="10"/>
        <v>-2</v>
      </c>
      <c r="AF296" s="3">
        <f t="shared" si="11"/>
        <v>-2</v>
      </c>
      <c r="AG296" s="3">
        <f t="shared" si="12"/>
        <v>-0.06666666667</v>
      </c>
    </row>
    <row r="297">
      <c r="A297" s="1" t="s">
        <v>12</v>
      </c>
      <c r="B297" s="1" t="s">
        <v>654</v>
      </c>
      <c r="C297" s="1" t="s">
        <v>20</v>
      </c>
      <c r="D297" s="1" t="s">
        <v>146</v>
      </c>
      <c r="E297" s="1" t="s">
        <v>99</v>
      </c>
      <c r="F297" s="1" t="s">
        <v>695</v>
      </c>
      <c r="G297" s="1">
        <v>3.5</v>
      </c>
      <c r="H297" s="1" t="s">
        <v>60</v>
      </c>
      <c r="I297" s="1">
        <v>-154.0</v>
      </c>
      <c r="J297" s="1">
        <v>-0.125220472440944</v>
      </c>
      <c r="K297" s="1" t="s">
        <v>61</v>
      </c>
      <c r="L297" s="1" t="s">
        <v>61</v>
      </c>
      <c r="M297" s="1" t="s">
        <v>62</v>
      </c>
      <c r="N297" s="1">
        <v>119.0</v>
      </c>
      <c r="O297" s="1">
        <v>0.0622876712328767</v>
      </c>
      <c r="P297" s="1" t="s">
        <v>61</v>
      </c>
      <c r="Q297" s="1" t="s">
        <v>61</v>
      </c>
      <c r="R297" s="1">
        <f t="shared" si="1"/>
        <v>0.06228767123</v>
      </c>
      <c r="S297" s="1">
        <f t="shared" si="2"/>
        <v>119</v>
      </c>
      <c r="T297" s="1">
        <f t="shared" si="3"/>
        <v>2.19</v>
      </c>
      <c r="U297" s="1">
        <f t="shared" si="4"/>
        <v>0</v>
      </c>
      <c r="V297" s="3">
        <f t="shared" si="5"/>
        <v>2</v>
      </c>
      <c r="W297" s="3">
        <f t="shared" si="6"/>
        <v>1</v>
      </c>
      <c r="X297" s="3" t="str">
        <f>IFERROR(__xludf.DUMMYFUNCTION("split(B297,"" "")"),"T.")</f>
        <v>T.</v>
      </c>
      <c r="Y297" s="3" t="str">
        <f>IFERROR(__xludf.DUMMYFUNCTION("""COMPUTED_VALUE"""),"Hockenson")</f>
        <v>Hockenson</v>
      </c>
      <c r="AA297" s="8">
        <v>7.0</v>
      </c>
      <c r="AB297" s="3">
        <f t="shared" si="7"/>
        <v>1</v>
      </c>
      <c r="AC297" s="3">
        <f t="shared" si="8"/>
        <v>0</v>
      </c>
      <c r="AD297" s="3">
        <f t="shared" si="9"/>
        <v>2.38</v>
      </c>
      <c r="AE297" s="3">
        <f t="shared" si="10"/>
        <v>-2</v>
      </c>
      <c r="AF297" s="3">
        <f t="shared" si="11"/>
        <v>-1</v>
      </c>
      <c r="AG297" s="3">
        <f t="shared" si="12"/>
        <v>-1</v>
      </c>
    </row>
    <row r="298">
      <c r="A298" s="1" t="s">
        <v>12</v>
      </c>
      <c r="B298" s="1" t="s">
        <v>379</v>
      </c>
      <c r="C298" s="1" t="s">
        <v>18</v>
      </c>
      <c r="D298" s="1" t="s">
        <v>146</v>
      </c>
      <c r="E298" s="1" t="s">
        <v>99</v>
      </c>
      <c r="F298" s="1" t="s">
        <v>695</v>
      </c>
      <c r="G298" s="1">
        <v>5.5</v>
      </c>
      <c r="H298" s="1" t="s">
        <v>60</v>
      </c>
      <c r="I298" s="1">
        <v>-125.0</v>
      </c>
      <c r="J298" s="1">
        <v>0.0595333333333333</v>
      </c>
      <c r="K298" s="1" t="s">
        <v>61</v>
      </c>
      <c r="L298" s="1" t="s">
        <v>61</v>
      </c>
      <c r="M298" s="1" t="s">
        <v>62</v>
      </c>
      <c r="N298" s="1">
        <v>-105.0</v>
      </c>
      <c r="O298" s="1">
        <v>-0.127297560975609</v>
      </c>
      <c r="P298" s="1" t="s">
        <v>61</v>
      </c>
      <c r="Q298" s="1" t="s">
        <v>61</v>
      </c>
      <c r="R298" s="1">
        <f t="shared" si="1"/>
        <v>0.05953333333</v>
      </c>
      <c r="S298" s="1">
        <f t="shared" si="2"/>
        <v>-125</v>
      </c>
      <c r="T298" s="1">
        <f t="shared" si="3"/>
        <v>1.8</v>
      </c>
      <c r="U298" s="1">
        <f t="shared" si="4"/>
        <v>1</v>
      </c>
      <c r="V298" s="3">
        <f t="shared" si="5"/>
        <v>2</v>
      </c>
      <c r="W298" s="3">
        <f t="shared" si="6"/>
        <v>3</v>
      </c>
      <c r="X298" s="3" t="str">
        <f>IFERROR(__xludf.DUMMYFUNCTION("split(B298,"" "")"),"J.")</f>
        <v>J.</v>
      </c>
      <c r="Y298" s="3" t="str">
        <f>IFERROR(__xludf.DUMMYFUNCTION("""COMPUTED_VALUE"""),"Jefferson")</f>
        <v>Jefferson</v>
      </c>
      <c r="AA298" s="8">
        <v>2.0</v>
      </c>
      <c r="AB298" s="3">
        <f t="shared" si="7"/>
        <v>0</v>
      </c>
      <c r="AC298" s="3">
        <f t="shared" si="8"/>
        <v>0</v>
      </c>
      <c r="AD298" s="3">
        <f t="shared" si="9"/>
        <v>1.6</v>
      </c>
      <c r="AE298" s="3">
        <f t="shared" si="10"/>
        <v>-2</v>
      </c>
      <c r="AF298" s="3">
        <f t="shared" si="11"/>
        <v>-3</v>
      </c>
      <c r="AG298" s="3">
        <f t="shared" si="12"/>
        <v>-0.6363636364</v>
      </c>
    </row>
    <row r="299">
      <c r="A299" s="1" t="s">
        <v>10</v>
      </c>
      <c r="B299" s="1" t="s">
        <v>538</v>
      </c>
      <c r="C299" s="1" t="s">
        <v>19</v>
      </c>
      <c r="D299" s="1" t="s">
        <v>146</v>
      </c>
      <c r="E299" s="1" t="s">
        <v>99</v>
      </c>
      <c r="F299" s="1" t="s">
        <v>695</v>
      </c>
      <c r="G299" s="1">
        <v>26.5</v>
      </c>
      <c r="H299" s="1" t="s">
        <v>60</v>
      </c>
      <c r="I299" s="1">
        <v>-109.0</v>
      </c>
      <c r="J299" s="1">
        <v>-0.123469781516246</v>
      </c>
      <c r="K299" s="1" t="s">
        <v>61</v>
      </c>
      <c r="L299" s="1" t="s">
        <v>61</v>
      </c>
      <c r="M299" s="1" t="s">
        <v>62</v>
      </c>
      <c r="N299" s="1">
        <v>-119.0</v>
      </c>
      <c r="O299" s="1">
        <v>0.0585649331548204</v>
      </c>
      <c r="P299" s="1" t="s">
        <v>61</v>
      </c>
      <c r="Q299" s="1" t="s">
        <v>61</v>
      </c>
      <c r="R299" s="1">
        <f t="shared" si="1"/>
        <v>0.05856493315</v>
      </c>
      <c r="S299" s="1">
        <f t="shared" si="2"/>
        <v>-119</v>
      </c>
      <c r="T299" s="1">
        <f t="shared" si="3"/>
        <v>1.840336134</v>
      </c>
      <c r="U299" s="1">
        <f t="shared" si="4"/>
        <v>0</v>
      </c>
      <c r="V299" s="3">
        <f t="shared" si="5"/>
        <v>2</v>
      </c>
      <c r="W299" s="3">
        <f t="shared" si="6"/>
        <v>3</v>
      </c>
      <c r="X299" s="3" t="str">
        <f>IFERROR(__xludf.DUMMYFUNCTION("split(B299,"" "")"),"C.")</f>
        <v>C.</v>
      </c>
      <c r="Y299" s="3" t="str">
        <f>IFERROR(__xludf.DUMMYFUNCTION("""COMPUTED_VALUE"""),"Akers")</f>
        <v>Akers</v>
      </c>
      <c r="AA299" s="8">
        <v>19.0</v>
      </c>
      <c r="AB299" s="3">
        <f t="shared" si="7"/>
        <v>0</v>
      </c>
      <c r="AC299" s="3">
        <f t="shared" si="8"/>
        <v>1</v>
      </c>
      <c r="AD299" s="3">
        <f t="shared" si="9"/>
        <v>1.680672269</v>
      </c>
      <c r="AE299" s="3">
        <f t="shared" si="10"/>
        <v>1.680672269</v>
      </c>
      <c r="AF299" s="3">
        <f t="shared" si="11"/>
        <v>2.521008403</v>
      </c>
      <c r="AG299" s="3">
        <f t="shared" si="12"/>
        <v>0.2830188679</v>
      </c>
    </row>
    <row r="300">
      <c r="A300" s="1" t="s">
        <v>12</v>
      </c>
      <c r="B300" s="1" t="s">
        <v>304</v>
      </c>
      <c r="C300" s="1" t="s">
        <v>19</v>
      </c>
      <c r="D300" s="1" t="s">
        <v>146</v>
      </c>
      <c r="E300" s="1" t="s">
        <v>99</v>
      </c>
      <c r="F300" s="1" t="s">
        <v>695</v>
      </c>
      <c r="G300" s="1">
        <v>2.5</v>
      </c>
      <c r="H300" s="1" t="s">
        <v>60</v>
      </c>
      <c r="I300" s="1">
        <v>113.0</v>
      </c>
      <c r="J300" s="1">
        <v>-0.113334383007981</v>
      </c>
      <c r="K300" s="1" t="s">
        <v>61</v>
      </c>
      <c r="L300" s="1" t="s">
        <v>61</v>
      </c>
      <c r="M300" s="1" t="s">
        <v>62</v>
      </c>
      <c r="N300" s="1">
        <v>-149.0</v>
      </c>
      <c r="O300" s="1">
        <v>0.0454637421730923</v>
      </c>
      <c r="P300" s="1" t="s">
        <v>61</v>
      </c>
      <c r="Q300" s="1" t="s">
        <v>61</v>
      </c>
      <c r="R300" s="1">
        <f t="shared" si="1"/>
        <v>0.04546374217</v>
      </c>
      <c r="S300" s="1">
        <f t="shared" si="2"/>
        <v>-149</v>
      </c>
      <c r="T300" s="1">
        <f t="shared" si="3"/>
        <v>1.67114094</v>
      </c>
      <c r="U300" s="1">
        <f t="shared" si="4"/>
        <v>0</v>
      </c>
      <c r="V300" s="3">
        <f t="shared" si="5"/>
        <v>1</v>
      </c>
      <c r="W300" s="3">
        <f t="shared" si="6"/>
        <v>3</v>
      </c>
      <c r="X300" s="3" t="str">
        <f>IFERROR(__xludf.DUMMYFUNCTION("split(B300,"" "")"),"A.")</f>
        <v>A.</v>
      </c>
      <c r="Y300" s="3" t="str">
        <f>IFERROR(__xludf.DUMMYFUNCTION("""COMPUTED_VALUE"""),"Jones")</f>
        <v>Jones</v>
      </c>
      <c r="AA300" s="8">
        <v>3.0</v>
      </c>
      <c r="AB300" s="3">
        <f t="shared" si="7"/>
        <v>1</v>
      </c>
      <c r="AC300" s="3">
        <f t="shared" si="8"/>
        <v>0</v>
      </c>
      <c r="AD300" s="3">
        <f t="shared" si="9"/>
        <v>0.6711409396</v>
      </c>
      <c r="AE300" s="3">
        <f t="shared" si="10"/>
        <v>-1</v>
      </c>
      <c r="AF300" s="3">
        <f t="shared" si="11"/>
        <v>-3</v>
      </c>
      <c r="AG300" s="3">
        <f t="shared" si="12"/>
        <v>-0.2</v>
      </c>
    </row>
    <row r="301">
      <c r="A301" s="1" t="s">
        <v>17</v>
      </c>
      <c r="B301" s="1" t="s">
        <v>145</v>
      </c>
      <c r="C301" s="1" t="s">
        <v>21</v>
      </c>
      <c r="D301" s="1" t="s">
        <v>146</v>
      </c>
      <c r="E301" s="1" t="s">
        <v>99</v>
      </c>
      <c r="F301" s="1" t="s">
        <v>695</v>
      </c>
      <c r="G301" s="1">
        <v>0.5</v>
      </c>
      <c r="H301" s="1" t="s">
        <v>60</v>
      </c>
      <c r="I301" s="1">
        <v>-129.0</v>
      </c>
      <c r="J301" s="1">
        <v>-0.102018777292576</v>
      </c>
      <c r="K301" s="1" t="s">
        <v>61</v>
      </c>
      <c r="L301" s="1" t="s">
        <v>61</v>
      </c>
      <c r="M301" s="1" t="s">
        <v>62</v>
      </c>
      <c r="N301" s="1">
        <v>-101.0</v>
      </c>
      <c r="O301" s="1">
        <v>0.0362124378109451</v>
      </c>
      <c r="P301" s="1" t="s">
        <v>61</v>
      </c>
      <c r="Q301" s="1" t="s">
        <v>61</v>
      </c>
      <c r="R301" s="1">
        <f t="shared" si="1"/>
        <v>0.03621243781</v>
      </c>
      <c r="S301" s="1">
        <f t="shared" si="2"/>
        <v>-101</v>
      </c>
      <c r="T301" s="1">
        <f t="shared" si="3"/>
        <v>1.99009901</v>
      </c>
      <c r="U301" s="1">
        <f t="shared" si="4"/>
        <v>0</v>
      </c>
      <c r="V301" s="3">
        <f t="shared" si="5"/>
        <v>1</v>
      </c>
      <c r="W301" s="3">
        <f t="shared" si="6"/>
        <v>2</v>
      </c>
      <c r="X301" s="3" t="str">
        <f>IFERROR(__xludf.DUMMYFUNCTION("split(B301,"" "")"),"S.")</f>
        <v>S.</v>
      </c>
      <c r="Y301" s="3" t="str">
        <f>IFERROR(__xludf.DUMMYFUNCTION("""COMPUTED_VALUE"""),"Darnold")</f>
        <v>Darnold</v>
      </c>
      <c r="AA301" s="8">
        <v>0.0</v>
      </c>
      <c r="AB301" s="3">
        <f t="shared" si="7"/>
        <v>0</v>
      </c>
      <c r="AC301" s="3">
        <f t="shared" si="8"/>
        <v>1</v>
      </c>
      <c r="AD301" s="3">
        <f t="shared" si="9"/>
        <v>0.9900990099</v>
      </c>
      <c r="AE301" s="3">
        <f t="shared" si="10"/>
        <v>0.9900990099</v>
      </c>
      <c r="AF301" s="3">
        <f t="shared" si="11"/>
        <v>1.98019802</v>
      </c>
      <c r="AG301" s="3">
        <f t="shared" si="12"/>
        <v>1</v>
      </c>
    </row>
    <row r="302">
      <c r="A302" s="1" t="s">
        <v>10</v>
      </c>
      <c r="B302" s="1" t="s">
        <v>145</v>
      </c>
      <c r="C302" s="1" t="s">
        <v>21</v>
      </c>
      <c r="D302" s="1" t="s">
        <v>146</v>
      </c>
      <c r="E302" s="1" t="s">
        <v>99</v>
      </c>
      <c r="F302" s="1" t="s">
        <v>695</v>
      </c>
      <c r="G302" s="1">
        <v>12.5</v>
      </c>
      <c r="H302" s="1" t="s">
        <v>60</v>
      </c>
      <c r="I302" s="1">
        <v>-113.0</v>
      </c>
      <c r="J302" s="1">
        <v>-0.0938596409192564</v>
      </c>
      <c r="K302" s="1" t="s">
        <v>61</v>
      </c>
      <c r="L302" s="1" t="s">
        <v>61</v>
      </c>
      <c r="M302" s="1" t="s">
        <v>62</v>
      </c>
      <c r="N302" s="1">
        <v>-117.0</v>
      </c>
      <c r="O302" s="1">
        <v>0.024179115730359</v>
      </c>
      <c r="P302" s="1" t="s">
        <v>61</v>
      </c>
      <c r="Q302" s="1" t="s">
        <v>61</v>
      </c>
      <c r="R302" s="1">
        <f t="shared" si="1"/>
        <v>0.02417911573</v>
      </c>
      <c r="S302" s="1">
        <f t="shared" si="2"/>
        <v>-117</v>
      </c>
      <c r="T302" s="1">
        <f t="shared" si="3"/>
        <v>1.854700855</v>
      </c>
      <c r="U302" s="1">
        <f t="shared" si="4"/>
        <v>0</v>
      </c>
      <c r="V302" s="3">
        <f t="shared" si="5"/>
        <v>1</v>
      </c>
      <c r="W302" s="3">
        <f t="shared" si="6"/>
        <v>2</v>
      </c>
      <c r="X302" s="3" t="str">
        <f>IFERROR(__xludf.DUMMYFUNCTION("split(B302,"" "")"),"S.")</f>
        <v>S.</v>
      </c>
      <c r="Y302" s="3" t="str">
        <f>IFERROR(__xludf.DUMMYFUNCTION("""COMPUTED_VALUE"""),"Darnold")</f>
        <v>Darnold</v>
      </c>
      <c r="AA302" s="8">
        <v>-1.0</v>
      </c>
      <c r="AB302" s="3">
        <f t="shared" si="7"/>
        <v>0</v>
      </c>
      <c r="AC302" s="3">
        <f t="shared" si="8"/>
        <v>1</v>
      </c>
      <c r="AD302" s="3">
        <f t="shared" si="9"/>
        <v>0.8547008547</v>
      </c>
      <c r="AE302" s="3">
        <f t="shared" si="10"/>
        <v>0.8547008547</v>
      </c>
      <c r="AF302" s="3">
        <f t="shared" si="11"/>
        <v>1.709401709</v>
      </c>
      <c r="AG302" s="3">
        <f t="shared" si="12"/>
        <v>1.08</v>
      </c>
    </row>
    <row r="303">
      <c r="A303" s="1" t="s">
        <v>12</v>
      </c>
      <c r="B303" s="1" t="s">
        <v>549</v>
      </c>
      <c r="C303" s="1" t="s">
        <v>18</v>
      </c>
      <c r="D303" s="1" t="s">
        <v>146</v>
      </c>
      <c r="E303" s="1" t="s">
        <v>99</v>
      </c>
      <c r="F303" s="1" t="s">
        <v>695</v>
      </c>
      <c r="G303" s="1">
        <v>1.5</v>
      </c>
      <c r="H303" s="1" t="s">
        <v>60</v>
      </c>
      <c r="I303" s="1">
        <v>133.0</v>
      </c>
      <c r="J303" s="1">
        <v>-0.084318684388412</v>
      </c>
      <c r="K303" s="1" t="s">
        <v>61</v>
      </c>
      <c r="L303" s="1" t="s">
        <v>61</v>
      </c>
      <c r="M303" s="1" t="s">
        <v>62</v>
      </c>
      <c r="N303" s="1">
        <v>-175.0</v>
      </c>
      <c r="O303" s="1">
        <v>0.0187629352272727</v>
      </c>
      <c r="P303" s="1" t="s">
        <v>61</v>
      </c>
      <c r="Q303" s="1" t="s">
        <v>61</v>
      </c>
      <c r="R303" s="1">
        <f t="shared" si="1"/>
        <v>0.01876293523</v>
      </c>
      <c r="S303" s="1">
        <f t="shared" si="2"/>
        <v>-175</v>
      </c>
      <c r="T303" s="1">
        <f t="shared" si="3"/>
        <v>1.571428571</v>
      </c>
      <c r="U303" s="1">
        <f t="shared" si="4"/>
        <v>0</v>
      </c>
      <c r="V303" s="3">
        <f t="shared" si="5"/>
        <v>1</v>
      </c>
      <c r="W303" s="3">
        <f t="shared" si="6"/>
        <v>3</v>
      </c>
      <c r="X303" s="3" t="str">
        <f>IFERROR(__xludf.DUMMYFUNCTION("split(B303,"" "")"),"J.")</f>
        <v>J.</v>
      </c>
      <c r="Y303" s="3" t="str">
        <f>IFERROR(__xludf.DUMMYFUNCTION("""COMPUTED_VALUE"""),"Nailor")</f>
        <v>Nailor</v>
      </c>
      <c r="AA303" s="8">
        <v>1.0</v>
      </c>
      <c r="AB303" s="3">
        <f t="shared" si="7"/>
        <v>0</v>
      </c>
      <c r="AC303" s="3">
        <f t="shared" si="8"/>
        <v>1</v>
      </c>
      <c r="AD303" s="3">
        <f t="shared" si="9"/>
        <v>0.5714285714</v>
      </c>
      <c r="AE303" s="3">
        <f t="shared" si="10"/>
        <v>0.5714285714</v>
      </c>
      <c r="AF303" s="3">
        <f t="shared" si="11"/>
        <v>1.714285714</v>
      </c>
      <c r="AG303" s="3">
        <f t="shared" si="12"/>
        <v>0.3333333333</v>
      </c>
    </row>
    <row r="304">
      <c r="A304" s="1" t="s">
        <v>9</v>
      </c>
      <c r="B304" s="1" t="s">
        <v>379</v>
      </c>
      <c r="C304" s="1" t="s">
        <v>18</v>
      </c>
      <c r="D304" s="1" t="s">
        <v>146</v>
      </c>
      <c r="E304" s="1" t="s">
        <v>99</v>
      </c>
      <c r="F304" s="1" t="s">
        <v>695</v>
      </c>
      <c r="G304" s="1">
        <v>80.5</v>
      </c>
      <c r="H304" s="1" t="s">
        <v>60</v>
      </c>
      <c r="I304" s="1">
        <v>-120.0</v>
      </c>
      <c r="J304" s="1">
        <v>-0.0871459723853821</v>
      </c>
      <c r="K304" s="1" t="s">
        <v>61</v>
      </c>
      <c r="L304" s="1" t="s">
        <v>61</v>
      </c>
      <c r="M304" s="1" t="s">
        <v>62</v>
      </c>
      <c r="N304" s="1">
        <v>-110.0</v>
      </c>
      <c r="O304" s="1">
        <v>0.0178805967488689</v>
      </c>
      <c r="P304" s="1" t="s">
        <v>61</v>
      </c>
      <c r="Q304" s="1" t="s">
        <v>61</v>
      </c>
      <c r="R304" s="1">
        <f t="shared" si="1"/>
        <v>0.01788059675</v>
      </c>
      <c r="S304" s="1">
        <f t="shared" si="2"/>
        <v>-110</v>
      </c>
      <c r="T304" s="1">
        <f t="shared" si="3"/>
        <v>1.909090909</v>
      </c>
      <c r="U304" s="1">
        <f t="shared" si="4"/>
        <v>0</v>
      </c>
      <c r="V304" s="3">
        <f t="shared" si="5"/>
        <v>1</v>
      </c>
      <c r="W304" s="3">
        <f t="shared" si="6"/>
        <v>2</v>
      </c>
      <c r="X304" s="3" t="str">
        <f>IFERROR(__xludf.DUMMYFUNCTION("split(B304,"" "")"),"J.")</f>
        <v>J.</v>
      </c>
      <c r="Y304" s="3" t="str">
        <f>IFERROR(__xludf.DUMMYFUNCTION("""COMPUTED_VALUE"""),"Jefferson")</f>
        <v>Jefferson</v>
      </c>
      <c r="AA304" s="8">
        <v>27.0</v>
      </c>
      <c r="AB304" s="3">
        <f t="shared" si="7"/>
        <v>0</v>
      </c>
      <c r="AC304" s="3">
        <f t="shared" si="8"/>
        <v>1</v>
      </c>
      <c r="AD304" s="3">
        <f t="shared" si="9"/>
        <v>0.9090909091</v>
      </c>
      <c r="AE304" s="3">
        <f t="shared" si="10"/>
        <v>0.9090909091</v>
      </c>
      <c r="AF304" s="3">
        <f t="shared" si="11"/>
        <v>1.818181818</v>
      </c>
      <c r="AG304" s="3">
        <f t="shared" si="12"/>
        <v>0.6645962733</v>
      </c>
    </row>
    <row r="305">
      <c r="A305" s="1" t="s">
        <v>9</v>
      </c>
      <c r="B305" s="1" t="s">
        <v>175</v>
      </c>
      <c r="C305" s="1" t="s">
        <v>18</v>
      </c>
      <c r="D305" s="1" t="s">
        <v>146</v>
      </c>
      <c r="E305" s="1" t="s">
        <v>99</v>
      </c>
      <c r="F305" s="1" t="s">
        <v>695</v>
      </c>
      <c r="G305" s="1">
        <v>38.5</v>
      </c>
      <c r="H305" s="1" t="s">
        <v>60</v>
      </c>
      <c r="I305" s="1">
        <v>-115.0</v>
      </c>
      <c r="J305" s="1">
        <v>0.0166168621720417</v>
      </c>
      <c r="K305" s="1" t="s">
        <v>61</v>
      </c>
      <c r="L305" s="1" t="s">
        <v>61</v>
      </c>
      <c r="M305" s="1" t="s">
        <v>62</v>
      </c>
      <c r="N305" s="1">
        <v>-120.0</v>
      </c>
      <c r="O305" s="1">
        <v>-0.0969206838199398</v>
      </c>
      <c r="P305" s="1" t="s">
        <v>61</v>
      </c>
      <c r="Q305" s="1" t="s">
        <v>61</v>
      </c>
      <c r="R305" s="1">
        <f t="shared" si="1"/>
        <v>0.01661686217</v>
      </c>
      <c r="S305" s="1">
        <f t="shared" si="2"/>
        <v>-115</v>
      </c>
      <c r="T305" s="1">
        <f t="shared" si="3"/>
        <v>1.869565217</v>
      </c>
      <c r="U305" s="1">
        <f t="shared" si="4"/>
        <v>1</v>
      </c>
      <c r="V305" s="3">
        <f t="shared" si="5"/>
        <v>1</v>
      </c>
      <c r="W305" s="3">
        <f t="shared" si="6"/>
        <v>2</v>
      </c>
      <c r="X305" s="3" t="str">
        <f>IFERROR(__xludf.DUMMYFUNCTION("split(B305,"" "")"),"J.")</f>
        <v>J.</v>
      </c>
      <c r="Y305" s="3" t="str">
        <f>IFERROR(__xludf.DUMMYFUNCTION("""COMPUTED_VALUE"""),"Addison")</f>
        <v>Addison</v>
      </c>
      <c r="AA305" s="8">
        <v>162.0</v>
      </c>
      <c r="AB305" s="3">
        <f t="shared" si="7"/>
        <v>1</v>
      </c>
      <c r="AC305" s="3">
        <f t="shared" si="8"/>
        <v>1</v>
      </c>
      <c r="AD305" s="3">
        <f t="shared" si="9"/>
        <v>0.8695652174</v>
      </c>
      <c r="AE305" s="3">
        <f t="shared" si="10"/>
        <v>0.8695652174</v>
      </c>
      <c r="AF305" s="3">
        <f t="shared" si="11"/>
        <v>1.739130435</v>
      </c>
      <c r="AG305" s="3">
        <f t="shared" si="12"/>
        <v>3.207792208</v>
      </c>
    </row>
    <row r="306">
      <c r="A306" s="1" t="s">
        <v>12</v>
      </c>
      <c r="B306" s="1" t="s">
        <v>476</v>
      </c>
      <c r="C306" s="1" t="s">
        <v>19</v>
      </c>
      <c r="D306" s="1" t="s">
        <v>66</v>
      </c>
      <c r="E306" s="1" t="s">
        <v>94</v>
      </c>
      <c r="F306" s="1" t="s">
        <v>695</v>
      </c>
      <c r="G306" s="1">
        <v>2.5</v>
      </c>
      <c r="H306" s="1" t="s">
        <v>60</v>
      </c>
      <c r="I306" s="1">
        <v>-140.0</v>
      </c>
      <c r="J306" s="1">
        <v>-0.256532066833333</v>
      </c>
      <c r="K306" s="1" t="s">
        <v>61</v>
      </c>
      <c r="L306" s="1" t="s">
        <v>61</v>
      </c>
      <c r="M306" s="1" t="s">
        <v>62</v>
      </c>
      <c r="N306" s="1">
        <v>107.0</v>
      </c>
      <c r="O306" s="1">
        <v>0.190106744154589</v>
      </c>
      <c r="P306" s="1" t="s">
        <v>61</v>
      </c>
      <c r="Q306" s="1" t="s">
        <v>61</v>
      </c>
      <c r="R306" s="1">
        <f t="shared" si="1"/>
        <v>0.1901067442</v>
      </c>
      <c r="S306" s="1">
        <f t="shared" si="2"/>
        <v>107</v>
      </c>
      <c r="T306" s="1">
        <f t="shared" si="3"/>
        <v>2.07</v>
      </c>
      <c r="U306" s="1">
        <f t="shared" si="4"/>
        <v>0</v>
      </c>
      <c r="V306" s="3">
        <f t="shared" si="5"/>
        <v>3</v>
      </c>
      <c r="W306" s="3">
        <f t="shared" si="6"/>
        <v>2</v>
      </c>
      <c r="X306" s="3" t="str">
        <f>IFERROR(__xludf.DUMMYFUNCTION("split(B306,"" "")"),"R.")</f>
        <v>R.</v>
      </c>
      <c r="Y306" s="3" t="str">
        <f>IFERROR(__xludf.DUMMYFUNCTION("""COMPUTED_VALUE"""),"Stevenson")</f>
        <v>Stevenson</v>
      </c>
      <c r="AA306" s="8">
        <v>0.0</v>
      </c>
      <c r="AB306" s="3">
        <f t="shared" si="7"/>
        <v>0</v>
      </c>
      <c r="AC306" s="3">
        <f t="shared" si="8"/>
        <v>1</v>
      </c>
      <c r="AD306" s="3">
        <f t="shared" si="9"/>
        <v>3.21</v>
      </c>
      <c r="AE306" s="3">
        <f t="shared" si="10"/>
        <v>3.21</v>
      </c>
      <c r="AF306" s="3">
        <f t="shared" si="11"/>
        <v>2.14</v>
      </c>
      <c r="AG306" s="3">
        <f t="shared" si="12"/>
        <v>1</v>
      </c>
    </row>
    <row r="307">
      <c r="A307" s="1" t="s">
        <v>12</v>
      </c>
      <c r="B307" s="1" t="s">
        <v>628</v>
      </c>
      <c r="C307" s="1" t="s">
        <v>18</v>
      </c>
      <c r="D307" s="1" t="s">
        <v>66</v>
      </c>
      <c r="E307" s="1" t="s">
        <v>94</v>
      </c>
      <c r="F307" s="1" t="s">
        <v>695</v>
      </c>
      <c r="G307" s="1">
        <v>2.5</v>
      </c>
      <c r="H307" s="1" t="s">
        <v>60</v>
      </c>
      <c r="I307" s="1">
        <v>-141.0</v>
      </c>
      <c r="J307" s="1">
        <v>-0.233502070705394</v>
      </c>
      <c r="K307" s="1" t="s">
        <v>61</v>
      </c>
      <c r="L307" s="1" t="s">
        <v>61</v>
      </c>
      <c r="M307" s="1" t="s">
        <v>62</v>
      </c>
      <c r="N307" s="1">
        <v>106.0</v>
      </c>
      <c r="O307" s="1">
        <v>0.163009704077669</v>
      </c>
      <c r="P307" s="1" t="s">
        <v>61</v>
      </c>
      <c r="Q307" s="1" t="s">
        <v>61</v>
      </c>
      <c r="R307" s="1">
        <f t="shared" si="1"/>
        <v>0.1630097041</v>
      </c>
      <c r="S307" s="1">
        <f t="shared" si="2"/>
        <v>106</v>
      </c>
      <c r="T307" s="1">
        <f t="shared" si="3"/>
        <v>2.06</v>
      </c>
      <c r="U307" s="1">
        <f t="shared" si="4"/>
        <v>0</v>
      </c>
      <c r="V307" s="3">
        <f t="shared" si="5"/>
        <v>3</v>
      </c>
      <c r="W307" s="3">
        <f t="shared" si="6"/>
        <v>2</v>
      </c>
      <c r="X307" s="3" t="str">
        <f>IFERROR(__xludf.DUMMYFUNCTION("split(B307,"" "")"),"K.")</f>
        <v>K.</v>
      </c>
      <c r="Y307" s="3" t="str">
        <f>IFERROR(__xludf.DUMMYFUNCTION("""COMPUTED_VALUE"""),"Boutte")</f>
        <v>Boutte</v>
      </c>
      <c r="AA307" s="8">
        <v>1.0</v>
      </c>
      <c r="AB307" s="3">
        <f t="shared" si="7"/>
        <v>0</v>
      </c>
      <c r="AC307" s="3">
        <f t="shared" si="8"/>
        <v>1</v>
      </c>
      <c r="AD307" s="3">
        <f t="shared" si="9"/>
        <v>3.18</v>
      </c>
      <c r="AE307" s="3">
        <f t="shared" si="10"/>
        <v>3.18</v>
      </c>
      <c r="AF307" s="3">
        <f t="shared" si="11"/>
        <v>2.12</v>
      </c>
      <c r="AG307" s="3">
        <f t="shared" si="12"/>
        <v>0.6</v>
      </c>
    </row>
    <row r="308">
      <c r="A308" s="1" t="s">
        <v>8</v>
      </c>
      <c r="B308" s="1" t="s">
        <v>476</v>
      </c>
      <c r="C308" s="1" t="s">
        <v>19</v>
      </c>
      <c r="D308" s="1" t="s">
        <v>66</v>
      </c>
      <c r="E308" s="1" t="s">
        <v>94</v>
      </c>
      <c r="F308" s="1" t="s">
        <v>695</v>
      </c>
      <c r="G308" s="1">
        <v>14.5</v>
      </c>
      <c r="H308" s="1" t="s">
        <v>60</v>
      </c>
      <c r="I308" s="1">
        <v>-112.0</v>
      </c>
      <c r="J308" s="1">
        <v>-0.205153138035377</v>
      </c>
      <c r="K308" s="1" t="s">
        <v>61</v>
      </c>
      <c r="L308" s="1" t="s">
        <v>61</v>
      </c>
      <c r="M308" s="1" t="s">
        <v>62</v>
      </c>
      <c r="N308" s="1">
        <v>-121.0</v>
      </c>
      <c r="O308" s="1">
        <v>0.129332103931379</v>
      </c>
      <c r="P308" s="1" t="s">
        <v>61</v>
      </c>
      <c r="Q308" s="1" t="s">
        <v>61</v>
      </c>
      <c r="R308" s="1">
        <f t="shared" si="1"/>
        <v>0.1293321039</v>
      </c>
      <c r="S308" s="1">
        <f t="shared" si="2"/>
        <v>-121</v>
      </c>
      <c r="T308" s="1">
        <f t="shared" si="3"/>
        <v>1.826446281</v>
      </c>
      <c r="U308" s="1">
        <f t="shared" si="4"/>
        <v>0</v>
      </c>
      <c r="V308" s="3">
        <f t="shared" si="5"/>
        <v>3</v>
      </c>
      <c r="W308" s="3">
        <f t="shared" si="6"/>
        <v>3</v>
      </c>
      <c r="X308" s="3" t="str">
        <f>IFERROR(__xludf.DUMMYFUNCTION("split(B308,"" "")"),"R.")</f>
        <v>R.</v>
      </c>
      <c r="Y308" s="3" t="str">
        <f>IFERROR(__xludf.DUMMYFUNCTION("""COMPUTED_VALUE"""),"Stevenson")</f>
        <v>Stevenson</v>
      </c>
      <c r="AA308" s="8">
        <v>8.0</v>
      </c>
      <c r="AB308" s="3">
        <f t="shared" si="7"/>
        <v>0</v>
      </c>
      <c r="AC308" s="3">
        <f t="shared" si="8"/>
        <v>1</v>
      </c>
      <c r="AD308" s="3">
        <f t="shared" si="9"/>
        <v>2.479338843</v>
      </c>
      <c r="AE308" s="3">
        <f t="shared" si="10"/>
        <v>2.479338843</v>
      </c>
      <c r="AF308" s="3">
        <f t="shared" si="11"/>
        <v>2.479338843</v>
      </c>
      <c r="AG308" s="3">
        <f t="shared" si="12"/>
        <v>0.4482758621</v>
      </c>
    </row>
    <row r="309">
      <c r="A309" s="1" t="s">
        <v>12</v>
      </c>
      <c r="B309" s="1" t="s">
        <v>597</v>
      </c>
      <c r="C309" s="1" t="s">
        <v>18</v>
      </c>
      <c r="D309" s="1" t="s">
        <v>66</v>
      </c>
      <c r="E309" s="1" t="s">
        <v>94</v>
      </c>
      <c r="F309" s="1" t="s">
        <v>695</v>
      </c>
      <c r="G309" s="1">
        <v>2.5</v>
      </c>
      <c r="H309" s="1" t="s">
        <v>60</v>
      </c>
      <c r="I309" s="1">
        <v>108.0</v>
      </c>
      <c r="J309" s="1">
        <v>-0.195412784309615</v>
      </c>
      <c r="K309" s="1" t="s">
        <v>61</v>
      </c>
      <c r="L309" s="1" t="s">
        <v>61</v>
      </c>
      <c r="M309" s="1" t="s">
        <v>62</v>
      </c>
      <c r="N309" s="1">
        <v>-143.0</v>
      </c>
      <c r="O309" s="1">
        <v>0.126158659369958</v>
      </c>
      <c r="P309" s="1" t="s">
        <v>61</v>
      </c>
      <c r="Q309" s="1" t="s">
        <v>61</v>
      </c>
      <c r="R309" s="1">
        <f t="shared" si="1"/>
        <v>0.1261586594</v>
      </c>
      <c r="S309" s="1">
        <f t="shared" si="2"/>
        <v>-143</v>
      </c>
      <c r="T309" s="1">
        <f t="shared" si="3"/>
        <v>1.699300699</v>
      </c>
      <c r="U309" s="1">
        <f t="shared" si="4"/>
        <v>0</v>
      </c>
      <c r="V309" s="3">
        <f t="shared" si="5"/>
        <v>3</v>
      </c>
      <c r="W309" s="3">
        <f t="shared" si="6"/>
        <v>3</v>
      </c>
      <c r="X309" s="3" t="str">
        <f>IFERROR(__xludf.DUMMYFUNCTION("split(B309,"" "")"),"K.")</f>
        <v>K.</v>
      </c>
      <c r="Y309" s="3" t="str">
        <f>IFERROR(__xludf.DUMMYFUNCTION("""COMPUTED_VALUE"""),"Bourne")</f>
        <v>Bourne</v>
      </c>
      <c r="AA309" s="8">
        <v>3.0</v>
      </c>
      <c r="AB309" s="3">
        <f t="shared" si="7"/>
        <v>1</v>
      </c>
      <c r="AC309" s="3">
        <f t="shared" si="8"/>
        <v>0</v>
      </c>
      <c r="AD309" s="3">
        <f t="shared" si="9"/>
        <v>2.097902098</v>
      </c>
      <c r="AE309" s="3">
        <f t="shared" si="10"/>
        <v>-3</v>
      </c>
      <c r="AF309" s="3">
        <f t="shared" si="11"/>
        <v>-3</v>
      </c>
      <c r="AG309" s="3">
        <f t="shared" si="12"/>
        <v>-0.2</v>
      </c>
    </row>
    <row r="310">
      <c r="A310" s="1" t="s">
        <v>12</v>
      </c>
      <c r="B310" s="1" t="s">
        <v>131</v>
      </c>
      <c r="C310" s="1" t="s">
        <v>18</v>
      </c>
      <c r="D310" s="1" t="s">
        <v>66</v>
      </c>
      <c r="E310" s="1" t="s">
        <v>94</v>
      </c>
      <c r="F310" s="1" t="s">
        <v>695</v>
      </c>
      <c r="G310" s="1">
        <v>3.5</v>
      </c>
      <c r="H310" s="1" t="s">
        <v>60</v>
      </c>
      <c r="I310" s="1">
        <v>-158.0</v>
      </c>
      <c r="J310" s="1">
        <v>-0.173503100775193</v>
      </c>
      <c r="K310" s="1" t="s">
        <v>61</v>
      </c>
      <c r="L310" s="1" t="s">
        <v>61</v>
      </c>
      <c r="M310" s="1" t="s">
        <v>62</v>
      </c>
      <c r="N310" s="1">
        <v>120.0</v>
      </c>
      <c r="O310" s="1">
        <v>0.106554545454545</v>
      </c>
      <c r="P310" s="1" t="s">
        <v>61</v>
      </c>
      <c r="Q310" s="1" t="s">
        <v>61</v>
      </c>
      <c r="R310" s="1">
        <f t="shared" si="1"/>
        <v>0.1065545455</v>
      </c>
      <c r="S310" s="1">
        <f t="shared" si="2"/>
        <v>120</v>
      </c>
      <c r="T310" s="1">
        <f t="shared" si="3"/>
        <v>2.2</v>
      </c>
      <c r="U310" s="1">
        <f t="shared" si="4"/>
        <v>0</v>
      </c>
      <c r="V310" s="3">
        <f t="shared" si="5"/>
        <v>3</v>
      </c>
      <c r="W310" s="3">
        <f t="shared" si="6"/>
        <v>1</v>
      </c>
      <c r="X310" s="3" t="str">
        <f>IFERROR(__xludf.DUMMYFUNCTION("split(B310,"" "")"),"D.")</f>
        <v>D.</v>
      </c>
      <c r="Y310" s="3" t="str">
        <f>IFERROR(__xludf.DUMMYFUNCTION("""COMPUTED_VALUE"""),"Douglas")</f>
        <v>Douglas</v>
      </c>
      <c r="AA310" s="8">
        <v>5.0</v>
      </c>
      <c r="AB310" s="3">
        <f t="shared" si="7"/>
        <v>1</v>
      </c>
      <c r="AC310" s="3">
        <f t="shared" si="8"/>
        <v>0</v>
      </c>
      <c r="AD310" s="3">
        <f t="shared" si="9"/>
        <v>3.6</v>
      </c>
      <c r="AE310" s="3">
        <f t="shared" si="10"/>
        <v>-3</v>
      </c>
      <c r="AF310" s="3">
        <f t="shared" si="11"/>
        <v>-1</v>
      </c>
      <c r="AG310" s="3">
        <f t="shared" si="12"/>
        <v>-0.4285714286</v>
      </c>
    </row>
    <row r="311">
      <c r="A311" s="1" t="s">
        <v>9</v>
      </c>
      <c r="B311" s="1" t="s">
        <v>476</v>
      </c>
      <c r="C311" s="1" t="s">
        <v>19</v>
      </c>
      <c r="D311" s="1" t="s">
        <v>66</v>
      </c>
      <c r="E311" s="1" t="s">
        <v>94</v>
      </c>
      <c r="F311" s="1" t="s">
        <v>695</v>
      </c>
      <c r="G311" s="1">
        <v>74.5</v>
      </c>
      <c r="H311" s="1" t="s">
        <v>60</v>
      </c>
      <c r="I311" s="1">
        <v>-118.0</v>
      </c>
      <c r="J311" s="1">
        <v>-0.149492713275047</v>
      </c>
      <c r="K311" s="1" t="s">
        <v>61</v>
      </c>
      <c r="L311" s="1" t="s">
        <v>61</v>
      </c>
      <c r="M311" s="1" t="s">
        <v>62</v>
      </c>
      <c r="N311" s="1">
        <v>-114.0</v>
      </c>
      <c r="O311" s="1">
        <v>0.0755155004818456</v>
      </c>
      <c r="P311" s="1" t="s">
        <v>61</v>
      </c>
      <c r="Q311" s="1" t="s">
        <v>61</v>
      </c>
      <c r="R311" s="1">
        <f t="shared" si="1"/>
        <v>0.07551550048</v>
      </c>
      <c r="S311" s="1">
        <f t="shared" si="2"/>
        <v>-114</v>
      </c>
      <c r="T311" s="1">
        <f t="shared" si="3"/>
        <v>1.877192982</v>
      </c>
      <c r="U311" s="1">
        <f t="shared" si="4"/>
        <v>0</v>
      </c>
      <c r="V311" s="3">
        <f t="shared" si="5"/>
        <v>2</v>
      </c>
      <c r="W311" s="3">
        <f t="shared" si="6"/>
        <v>2</v>
      </c>
      <c r="X311" s="3" t="str">
        <f>IFERROR(__xludf.DUMMYFUNCTION("split(B311,"" "")"),"R.")</f>
        <v>R.</v>
      </c>
      <c r="Y311" s="3" t="str">
        <f>IFERROR(__xludf.DUMMYFUNCTION("""COMPUTED_VALUE"""),"Stevenson")</f>
        <v>Stevenson</v>
      </c>
      <c r="AA311" s="8">
        <v>13.0</v>
      </c>
      <c r="AB311" s="3">
        <f t="shared" si="7"/>
        <v>0</v>
      </c>
      <c r="AC311" s="3">
        <f t="shared" si="8"/>
        <v>1</v>
      </c>
      <c r="AD311" s="3">
        <f t="shared" si="9"/>
        <v>1.754385965</v>
      </c>
      <c r="AE311" s="3">
        <f t="shared" si="10"/>
        <v>1.754385965</v>
      </c>
      <c r="AF311" s="3">
        <f t="shared" si="11"/>
        <v>1.754385965</v>
      </c>
      <c r="AG311" s="3">
        <f t="shared" si="12"/>
        <v>0.8255033557</v>
      </c>
    </row>
    <row r="312">
      <c r="A312" s="1" t="s">
        <v>10</v>
      </c>
      <c r="B312" s="1" t="s">
        <v>476</v>
      </c>
      <c r="C312" s="1" t="s">
        <v>19</v>
      </c>
      <c r="D312" s="1" t="s">
        <v>66</v>
      </c>
      <c r="E312" s="1" t="s">
        <v>94</v>
      </c>
      <c r="F312" s="1" t="s">
        <v>695</v>
      </c>
      <c r="G312" s="1">
        <v>56.5</v>
      </c>
      <c r="H312" s="1" t="s">
        <v>60</v>
      </c>
      <c r="I312" s="1">
        <v>-108.0</v>
      </c>
      <c r="J312" s="1">
        <v>-0.116988000980185</v>
      </c>
      <c r="K312" s="1" t="s">
        <v>61</v>
      </c>
      <c r="L312" s="1" t="s">
        <v>61</v>
      </c>
      <c r="M312" s="1" t="s">
        <v>62</v>
      </c>
      <c r="N312" s="1">
        <v>-119.0</v>
      </c>
      <c r="O312" s="1">
        <v>0.0543442201872818</v>
      </c>
      <c r="P312" s="1" t="s">
        <v>61</v>
      </c>
      <c r="Q312" s="1" t="s">
        <v>61</v>
      </c>
      <c r="R312" s="1">
        <f t="shared" si="1"/>
        <v>0.05434422019</v>
      </c>
      <c r="S312" s="1">
        <f t="shared" si="2"/>
        <v>-119</v>
      </c>
      <c r="T312" s="1">
        <f t="shared" si="3"/>
        <v>1.840336134</v>
      </c>
      <c r="U312" s="1">
        <f t="shared" si="4"/>
        <v>0</v>
      </c>
      <c r="V312" s="3">
        <f t="shared" si="5"/>
        <v>2</v>
      </c>
      <c r="W312" s="3">
        <f t="shared" si="6"/>
        <v>3</v>
      </c>
      <c r="X312" s="3" t="str">
        <f>IFERROR(__xludf.DUMMYFUNCTION("split(B312,"" "")"),"R.")</f>
        <v>R.</v>
      </c>
      <c r="Y312" s="3" t="str">
        <f>IFERROR(__xludf.DUMMYFUNCTION("""COMPUTED_VALUE"""),"Stevenson")</f>
        <v>Stevenson</v>
      </c>
      <c r="AA312" s="8">
        <v>13.0</v>
      </c>
      <c r="AB312" s="3">
        <f t="shared" si="7"/>
        <v>0</v>
      </c>
      <c r="AC312" s="3">
        <f t="shared" si="8"/>
        <v>1</v>
      </c>
      <c r="AD312" s="3">
        <f t="shared" si="9"/>
        <v>1.680672269</v>
      </c>
      <c r="AE312" s="3">
        <f t="shared" si="10"/>
        <v>1.680672269</v>
      </c>
      <c r="AF312" s="3">
        <f t="shared" si="11"/>
        <v>2.521008403</v>
      </c>
      <c r="AG312" s="3">
        <f t="shared" si="12"/>
        <v>0.7699115044</v>
      </c>
    </row>
    <row r="313">
      <c r="A313" s="1" t="s">
        <v>11</v>
      </c>
      <c r="B313" s="1" t="s">
        <v>140</v>
      </c>
      <c r="C313" s="1" t="s">
        <v>20</v>
      </c>
      <c r="D313" s="1" t="s">
        <v>66</v>
      </c>
      <c r="E313" s="1" t="s">
        <v>94</v>
      </c>
      <c r="F313" s="1" t="s">
        <v>695</v>
      </c>
      <c r="G313" s="1">
        <v>43.5</v>
      </c>
      <c r="H313" s="1" t="s">
        <v>60</v>
      </c>
      <c r="I313" s="1">
        <v>-115.0</v>
      </c>
      <c r="J313" s="1">
        <v>-0.116519347231395</v>
      </c>
      <c r="K313" s="1" t="s">
        <v>61</v>
      </c>
      <c r="L313" s="1" t="s">
        <v>61</v>
      </c>
      <c r="M313" s="1" t="s">
        <v>62</v>
      </c>
      <c r="N313" s="1">
        <v>-112.0</v>
      </c>
      <c r="O313" s="1">
        <v>0.0533641439419245</v>
      </c>
      <c r="P313" s="1" t="s">
        <v>61</v>
      </c>
      <c r="Q313" s="1" t="s">
        <v>61</v>
      </c>
      <c r="R313" s="1">
        <f t="shared" si="1"/>
        <v>0.05336414394</v>
      </c>
      <c r="S313" s="1">
        <f t="shared" si="2"/>
        <v>-112</v>
      </c>
      <c r="T313" s="1">
        <f t="shared" si="3"/>
        <v>1.892857143</v>
      </c>
      <c r="U313" s="1">
        <f t="shared" si="4"/>
        <v>0</v>
      </c>
      <c r="V313" s="3">
        <f t="shared" si="5"/>
        <v>2</v>
      </c>
      <c r="W313" s="3">
        <f t="shared" si="6"/>
        <v>2</v>
      </c>
      <c r="X313" s="3" t="str">
        <f>IFERROR(__xludf.DUMMYFUNCTION("split(B313,"" "")"),"H.")</f>
        <v>H.</v>
      </c>
      <c r="Y313" s="3" t="str">
        <f>IFERROR(__xludf.DUMMYFUNCTION("""COMPUTED_VALUE"""),"Henry")</f>
        <v>Henry</v>
      </c>
      <c r="AA313" s="8">
        <v>44.0</v>
      </c>
      <c r="AB313" s="3">
        <f t="shared" si="7"/>
        <v>1</v>
      </c>
      <c r="AC313" s="3">
        <f t="shared" si="8"/>
        <v>0</v>
      </c>
      <c r="AD313" s="3">
        <f t="shared" si="9"/>
        <v>1.785714286</v>
      </c>
      <c r="AE313" s="3">
        <f t="shared" si="10"/>
        <v>-2</v>
      </c>
      <c r="AF313" s="3">
        <f t="shared" si="11"/>
        <v>-2</v>
      </c>
      <c r="AG313" s="3">
        <f t="shared" si="12"/>
        <v>-0.01149425287</v>
      </c>
    </row>
    <row r="314">
      <c r="A314" s="1" t="s">
        <v>12</v>
      </c>
      <c r="B314" s="1" t="s">
        <v>140</v>
      </c>
      <c r="C314" s="1" t="s">
        <v>20</v>
      </c>
      <c r="D314" s="1" t="s">
        <v>66</v>
      </c>
      <c r="E314" s="1" t="s">
        <v>94</v>
      </c>
      <c r="F314" s="1" t="s">
        <v>695</v>
      </c>
      <c r="G314" s="1">
        <v>4.5</v>
      </c>
      <c r="H314" s="1" t="s">
        <v>60</v>
      </c>
      <c r="I314" s="1">
        <v>-111.0</v>
      </c>
      <c r="J314" s="1">
        <v>-0.119318957345971</v>
      </c>
      <c r="K314" s="1" t="s">
        <v>61</v>
      </c>
      <c r="L314" s="1" t="s">
        <v>61</v>
      </c>
      <c r="M314" s="1" t="s">
        <v>62</v>
      </c>
      <c r="N314" s="1">
        <v>-119.0</v>
      </c>
      <c r="O314" s="1">
        <v>0.0498666666666668</v>
      </c>
      <c r="P314" s="1" t="s">
        <v>61</v>
      </c>
      <c r="Q314" s="1" t="s">
        <v>61</v>
      </c>
      <c r="R314" s="1">
        <f t="shared" si="1"/>
        <v>0.04986666667</v>
      </c>
      <c r="S314" s="1">
        <f t="shared" si="2"/>
        <v>-119</v>
      </c>
      <c r="T314" s="1">
        <f t="shared" si="3"/>
        <v>1.840336134</v>
      </c>
      <c r="U314" s="1">
        <f t="shared" si="4"/>
        <v>0</v>
      </c>
      <c r="V314" s="3">
        <f t="shared" si="5"/>
        <v>1</v>
      </c>
      <c r="W314" s="3">
        <f t="shared" si="6"/>
        <v>3</v>
      </c>
      <c r="X314" s="3" t="str">
        <f>IFERROR(__xludf.DUMMYFUNCTION("split(B314,"" "")"),"H.")</f>
        <v>H.</v>
      </c>
      <c r="Y314" s="3" t="str">
        <f>IFERROR(__xludf.DUMMYFUNCTION("""COMPUTED_VALUE"""),"Henry")</f>
        <v>Henry</v>
      </c>
      <c r="AA314" s="8">
        <v>5.0</v>
      </c>
      <c r="AB314" s="3">
        <f t="shared" si="7"/>
        <v>1</v>
      </c>
      <c r="AC314" s="3">
        <f t="shared" si="8"/>
        <v>0</v>
      </c>
      <c r="AD314" s="3">
        <f t="shared" si="9"/>
        <v>0.8403361345</v>
      </c>
      <c r="AE314" s="3">
        <f t="shared" si="10"/>
        <v>-1</v>
      </c>
      <c r="AF314" s="3">
        <f t="shared" si="11"/>
        <v>-3</v>
      </c>
      <c r="AG314" s="3">
        <f t="shared" si="12"/>
        <v>-0.1111111111</v>
      </c>
    </row>
    <row r="315">
      <c r="A315" s="1" t="s">
        <v>17</v>
      </c>
      <c r="B315" s="1" t="s">
        <v>621</v>
      </c>
      <c r="C315" s="1" t="s">
        <v>21</v>
      </c>
      <c r="D315" s="1" t="s">
        <v>66</v>
      </c>
      <c r="E315" s="1" t="s">
        <v>94</v>
      </c>
      <c r="F315" s="1" t="s">
        <v>695</v>
      </c>
      <c r="G315" s="1">
        <v>0.5</v>
      </c>
      <c r="H315" s="1" t="s">
        <v>60</v>
      </c>
      <c r="I315" s="1">
        <v>-134.0</v>
      </c>
      <c r="J315" s="1">
        <v>-0.109906837606837</v>
      </c>
      <c r="K315" s="1" t="s">
        <v>61</v>
      </c>
      <c r="L315" s="1" t="s">
        <v>61</v>
      </c>
      <c r="M315" s="1" t="s">
        <v>62</v>
      </c>
      <c r="N315" s="1">
        <v>103.0</v>
      </c>
      <c r="O315" s="1">
        <v>0.0446399014778325</v>
      </c>
      <c r="P315" s="1" t="s">
        <v>61</v>
      </c>
      <c r="Q315" s="1" t="s">
        <v>61</v>
      </c>
      <c r="R315" s="1">
        <f t="shared" si="1"/>
        <v>0.04463990148</v>
      </c>
      <c r="S315" s="1">
        <f t="shared" si="2"/>
        <v>103</v>
      </c>
      <c r="T315" s="1">
        <f t="shared" si="3"/>
        <v>2.03</v>
      </c>
      <c r="U315" s="1">
        <f t="shared" si="4"/>
        <v>0</v>
      </c>
      <c r="V315" s="3">
        <f t="shared" si="5"/>
        <v>1</v>
      </c>
      <c r="W315" s="3">
        <f t="shared" si="6"/>
        <v>2</v>
      </c>
      <c r="X315" s="3" t="str">
        <f>IFERROR(__xludf.DUMMYFUNCTION("split(B315,"" "")"),"D.")</f>
        <v>D.</v>
      </c>
      <c r="Y315" s="3" t="str">
        <f>IFERROR(__xludf.DUMMYFUNCTION("""COMPUTED_VALUE"""),"Maye")</f>
        <v>Maye</v>
      </c>
      <c r="AA315" s="8">
        <v>1.0</v>
      </c>
      <c r="AB315" s="3">
        <f t="shared" si="7"/>
        <v>1</v>
      </c>
      <c r="AC315" s="3">
        <f t="shared" si="8"/>
        <v>0</v>
      </c>
      <c r="AD315" s="3">
        <f t="shared" si="9"/>
        <v>1.03</v>
      </c>
      <c r="AE315" s="3">
        <f t="shared" si="10"/>
        <v>-1</v>
      </c>
      <c r="AF315" s="3">
        <f t="shared" si="11"/>
        <v>-2</v>
      </c>
      <c r="AG315" s="3">
        <f t="shared" si="12"/>
        <v>-1</v>
      </c>
    </row>
    <row r="316">
      <c r="A316" s="1" t="s">
        <v>12</v>
      </c>
      <c r="B316" s="1" t="s">
        <v>552</v>
      </c>
      <c r="C316" s="1" t="s">
        <v>20</v>
      </c>
      <c r="D316" s="1" t="s">
        <v>66</v>
      </c>
      <c r="E316" s="1" t="s">
        <v>94</v>
      </c>
      <c r="F316" s="1" t="s">
        <v>695</v>
      </c>
      <c r="G316" s="1">
        <v>2.5</v>
      </c>
      <c r="H316" s="1" t="s">
        <v>60</v>
      </c>
      <c r="I316" s="1">
        <v>143.0</v>
      </c>
      <c r="J316" s="1">
        <v>-0.10347467809465</v>
      </c>
      <c r="K316" s="1" t="s">
        <v>61</v>
      </c>
      <c r="L316" s="1" t="s">
        <v>61</v>
      </c>
      <c r="M316" s="1" t="s">
        <v>62</v>
      </c>
      <c r="N316" s="1">
        <v>-188.0</v>
      </c>
      <c r="O316" s="1">
        <v>0.039179953236111</v>
      </c>
      <c r="P316" s="1" t="s">
        <v>61</v>
      </c>
      <c r="Q316" s="1" t="s">
        <v>61</v>
      </c>
      <c r="R316" s="1">
        <f t="shared" si="1"/>
        <v>0.03917995324</v>
      </c>
      <c r="S316" s="1">
        <f t="shared" si="2"/>
        <v>-188</v>
      </c>
      <c r="T316" s="1">
        <f t="shared" si="3"/>
        <v>1.531914894</v>
      </c>
      <c r="U316" s="1">
        <f t="shared" si="4"/>
        <v>0</v>
      </c>
      <c r="V316" s="3">
        <f t="shared" si="5"/>
        <v>1</v>
      </c>
      <c r="W316" s="3">
        <f t="shared" si="6"/>
        <v>3</v>
      </c>
      <c r="X316" s="3" t="str">
        <f>IFERROR(__xludf.DUMMYFUNCTION("split(B316,"" "")"),"A.")</f>
        <v>A.</v>
      </c>
      <c r="Y316" s="3" t="str">
        <f>IFERROR(__xludf.DUMMYFUNCTION("""COMPUTED_VALUE"""),"Hooper")</f>
        <v>Hooper</v>
      </c>
      <c r="AA316" s="8">
        <v>4.0</v>
      </c>
      <c r="AB316" s="3">
        <f t="shared" si="7"/>
        <v>1</v>
      </c>
      <c r="AC316" s="3">
        <f t="shared" si="8"/>
        <v>0</v>
      </c>
      <c r="AD316" s="3">
        <f t="shared" si="9"/>
        <v>0.5319148936</v>
      </c>
      <c r="AE316" s="3">
        <f t="shared" si="10"/>
        <v>-1</v>
      </c>
      <c r="AF316" s="3">
        <f t="shared" si="11"/>
        <v>-3</v>
      </c>
      <c r="AG316" s="3">
        <f t="shared" si="12"/>
        <v>-0.6</v>
      </c>
    </row>
    <row r="317">
      <c r="A317" s="1" t="s">
        <v>8</v>
      </c>
      <c r="B317" s="1" t="s">
        <v>621</v>
      </c>
      <c r="C317" s="1" t="s">
        <v>21</v>
      </c>
      <c r="D317" s="1" t="s">
        <v>66</v>
      </c>
      <c r="E317" s="1" t="s">
        <v>94</v>
      </c>
      <c r="F317" s="1" t="s">
        <v>695</v>
      </c>
      <c r="G317" s="1">
        <v>4.5</v>
      </c>
      <c r="H317" s="1" t="s">
        <v>60</v>
      </c>
      <c r="I317" s="1">
        <v>103.0</v>
      </c>
      <c r="J317" s="1">
        <v>-0.109797379598973</v>
      </c>
      <c r="K317" s="1" t="s">
        <v>61</v>
      </c>
      <c r="L317" s="1" t="s">
        <v>61</v>
      </c>
      <c r="M317" s="1" t="s">
        <v>62</v>
      </c>
      <c r="N317" s="1">
        <v>-138.0</v>
      </c>
      <c r="O317" s="1">
        <v>0.0373526879369193</v>
      </c>
      <c r="P317" s="1" t="s">
        <v>61</v>
      </c>
      <c r="Q317" s="1" t="s">
        <v>61</v>
      </c>
      <c r="R317" s="1">
        <f t="shared" si="1"/>
        <v>0.03735268794</v>
      </c>
      <c r="S317" s="1">
        <f t="shared" si="2"/>
        <v>-138</v>
      </c>
      <c r="T317" s="1">
        <f t="shared" si="3"/>
        <v>1.724637681</v>
      </c>
      <c r="U317" s="1">
        <f t="shared" si="4"/>
        <v>0</v>
      </c>
      <c r="V317" s="3">
        <f t="shared" si="5"/>
        <v>1</v>
      </c>
      <c r="W317" s="3">
        <f t="shared" si="6"/>
        <v>3</v>
      </c>
      <c r="X317" s="3" t="str">
        <f>IFERROR(__xludf.DUMMYFUNCTION("split(B317,"" "")"),"D.")</f>
        <v>D.</v>
      </c>
      <c r="Y317" s="3" t="str">
        <f>IFERROR(__xludf.DUMMYFUNCTION("""COMPUTED_VALUE"""),"Maye")</f>
        <v>Maye</v>
      </c>
      <c r="AA317" s="8">
        <v>5.0</v>
      </c>
      <c r="AB317" s="3">
        <f t="shared" si="7"/>
        <v>1</v>
      </c>
      <c r="AC317" s="3">
        <f t="shared" si="8"/>
        <v>0</v>
      </c>
      <c r="AD317" s="3">
        <f t="shared" si="9"/>
        <v>0.7246376812</v>
      </c>
      <c r="AE317" s="3">
        <f t="shared" si="10"/>
        <v>-1</v>
      </c>
      <c r="AF317" s="3">
        <f t="shared" si="11"/>
        <v>-3</v>
      </c>
      <c r="AG317" s="3">
        <f t="shared" si="12"/>
        <v>-0.1111111111</v>
      </c>
    </row>
    <row r="318">
      <c r="A318" s="1" t="s">
        <v>16</v>
      </c>
      <c r="B318" s="1" t="s">
        <v>621</v>
      </c>
      <c r="C318" s="1" t="s">
        <v>21</v>
      </c>
      <c r="D318" s="1" t="s">
        <v>66</v>
      </c>
      <c r="E318" s="1" t="s">
        <v>94</v>
      </c>
      <c r="F318" s="1" t="s">
        <v>695</v>
      </c>
      <c r="G318" s="1">
        <v>32.5</v>
      </c>
      <c r="H318" s="1" t="s">
        <v>60</v>
      </c>
      <c r="I318" s="1">
        <v>-120.0</v>
      </c>
      <c r="J318" s="1">
        <v>-0.101081818181818</v>
      </c>
      <c r="K318" s="1" t="s">
        <v>61</v>
      </c>
      <c r="L318" s="1" t="s">
        <v>61</v>
      </c>
      <c r="M318" s="1" t="s">
        <v>62</v>
      </c>
      <c r="N318" s="1">
        <v>-108.0</v>
      </c>
      <c r="O318" s="1">
        <v>0.0364288461538462</v>
      </c>
      <c r="P318" s="1" t="s">
        <v>61</v>
      </c>
      <c r="Q318" s="1" t="s">
        <v>61</v>
      </c>
      <c r="R318" s="1">
        <f t="shared" si="1"/>
        <v>0.03642884615</v>
      </c>
      <c r="S318" s="1">
        <f t="shared" si="2"/>
        <v>-108</v>
      </c>
      <c r="T318" s="1">
        <f t="shared" si="3"/>
        <v>1.925925926</v>
      </c>
      <c r="U318" s="1">
        <f t="shared" si="4"/>
        <v>0</v>
      </c>
      <c r="V318" s="3">
        <f t="shared" si="5"/>
        <v>1</v>
      </c>
      <c r="W318" s="3">
        <f t="shared" si="6"/>
        <v>2</v>
      </c>
      <c r="X318" s="3" t="str">
        <f>IFERROR(__xludf.DUMMYFUNCTION("split(B318,"" "")"),"D.")</f>
        <v>D.</v>
      </c>
      <c r="Y318" s="3" t="str">
        <f>IFERROR(__xludf.DUMMYFUNCTION("""COMPUTED_VALUE"""),"Maye")</f>
        <v>Maye</v>
      </c>
      <c r="AA318" s="8">
        <v>37.0</v>
      </c>
      <c r="AB318" s="3">
        <f t="shared" si="7"/>
        <v>1</v>
      </c>
      <c r="AC318" s="3">
        <f t="shared" si="8"/>
        <v>0</v>
      </c>
      <c r="AD318" s="3">
        <f t="shared" si="9"/>
        <v>0.9259259259</v>
      </c>
      <c r="AE318" s="3">
        <f t="shared" si="10"/>
        <v>-1</v>
      </c>
      <c r="AF318" s="3">
        <f t="shared" si="11"/>
        <v>-2</v>
      </c>
      <c r="AG318" s="3">
        <f t="shared" si="12"/>
        <v>-0.1384615385</v>
      </c>
    </row>
    <row r="319">
      <c r="A319" s="1" t="s">
        <v>11</v>
      </c>
      <c r="B319" s="1" t="s">
        <v>597</v>
      </c>
      <c r="C319" s="1" t="s">
        <v>18</v>
      </c>
      <c r="D319" s="1" t="s">
        <v>66</v>
      </c>
      <c r="E319" s="1" t="s">
        <v>94</v>
      </c>
      <c r="F319" s="1" t="s">
        <v>695</v>
      </c>
      <c r="G319" s="1">
        <v>26.5</v>
      </c>
      <c r="H319" s="1" t="s">
        <v>60</v>
      </c>
      <c r="I319" s="1">
        <v>-101.0</v>
      </c>
      <c r="J319" s="1">
        <v>-0.0904156359539452</v>
      </c>
      <c r="K319" s="1" t="s">
        <v>61</v>
      </c>
      <c r="L319" s="1" t="s">
        <v>61</v>
      </c>
      <c r="M319" s="1" t="s">
        <v>62</v>
      </c>
      <c r="N319" s="1">
        <v>-126.0</v>
      </c>
      <c r="O319" s="1">
        <v>0.0304334600075051</v>
      </c>
      <c r="P319" s="1" t="s">
        <v>61</v>
      </c>
      <c r="Q319" s="1" t="s">
        <v>61</v>
      </c>
      <c r="R319" s="1">
        <f t="shared" si="1"/>
        <v>0.03043346001</v>
      </c>
      <c r="S319" s="1">
        <f t="shared" si="2"/>
        <v>-126</v>
      </c>
      <c r="T319" s="1">
        <f t="shared" si="3"/>
        <v>1.793650794</v>
      </c>
      <c r="U319" s="1">
        <f t="shared" si="4"/>
        <v>0</v>
      </c>
      <c r="V319" s="3">
        <f t="shared" si="5"/>
        <v>1</v>
      </c>
      <c r="W319" s="3">
        <f t="shared" si="6"/>
        <v>3</v>
      </c>
      <c r="X319" s="3" t="str">
        <f>IFERROR(__xludf.DUMMYFUNCTION("split(B319,"" "")"),"K.")</f>
        <v>K.</v>
      </c>
      <c r="Y319" s="3" t="str">
        <f>IFERROR(__xludf.DUMMYFUNCTION("""COMPUTED_VALUE"""),"Bourne")</f>
        <v>Bourne</v>
      </c>
      <c r="AA319" s="8">
        <v>30.0</v>
      </c>
      <c r="AB319" s="3">
        <f t="shared" si="7"/>
        <v>1</v>
      </c>
      <c r="AC319" s="3">
        <f t="shared" si="8"/>
        <v>0</v>
      </c>
      <c r="AD319" s="3">
        <f t="shared" si="9"/>
        <v>0.7936507937</v>
      </c>
      <c r="AE319" s="3">
        <f t="shared" si="10"/>
        <v>-1</v>
      </c>
      <c r="AF319" s="3">
        <f t="shared" si="11"/>
        <v>-3</v>
      </c>
      <c r="AG319" s="3">
        <f t="shared" si="12"/>
        <v>-0.1320754717</v>
      </c>
    </row>
    <row r="320">
      <c r="A320" s="1" t="s">
        <v>14</v>
      </c>
      <c r="B320" s="1" t="s">
        <v>621</v>
      </c>
      <c r="C320" s="1" t="s">
        <v>21</v>
      </c>
      <c r="D320" s="1" t="s">
        <v>66</v>
      </c>
      <c r="E320" s="1" t="s">
        <v>94</v>
      </c>
      <c r="F320" s="1" t="s">
        <v>695</v>
      </c>
      <c r="G320" s="1">
        <v>1.5</v>
      </c>
      <c r="H320" s="1" t="s">
        <v>60</v>
      </c>
      <c r="I320" s="1">
        <v>172.0</v>
      </c>
      <c r="J320" s="1">
        <v>0.0297529411764705</v>
      </c>
      <c r="K320" s="1" t="s">
        <v>61</v>
      </c>
      <c r="L320" s="1" t="s">
        <v>61</v>
      </c>
      <c r="M320" s="1" t="s">
        <v>62</v>
      </c>
      <c r="N320" s="1">
        <v>-226.0</v>
      </c>
      <c r="O320" s="1">
        <v>-0.0906515337423312</v>
      </c>
      <c r="P320" s="1" t="s">
        <v>61</v>
      </c>
      <c r="Q320" s="1" t="s">
        <v>61</v>
      </c>
      <c r="R320" s="1">
        <f t="shared" si="1"/>
        <v>0.02975294118</v>
      </c>
      <c r="S320" s="1">
        <f t="shared" si="2"/>
        <v>172</v>
      </c>
      <c r="T320" s="1">
        <f t="shared" si="3"/>
        <v>2.72</v>
      </c>
      <c r="U320" s="1">
        <f t="shared" si="4"/>
        <v>1</v>
      </c>
      <c r="V320" s="3">
        <f t="shared" si="5"/>
        <v>1</v>
      </c>
      <c r="W320" s="3">
        <f t="shared" si="6"/>
        <v>1</v>
      </c>
      <c r="X320" s="3" t="str">
        <f>IFERROR(__xludf.DUMMYFUNCTION("split(B320,"" "")"),"D.")</f>
        <v>D.</v>
      </c>
      <c r="Y320" s="3" t="str">
        <f>IFERROR(__xludf.DUMMYFUNCTION("""COMPUTED_VALUE"""),"Maye")</f>
        <v>Maye</v>
      </c>
      <c r="AA320" s="8">
        <v>1.0</v>
      </c>
      <c r="AB320" s="3">
        <f t="shared" si="7"/>
        <v>0</v>
      </c>
      <c r="AC320" s="3">
        <f t="shared" si="8"/>
        <v>0</v>
      </c>
      <c r="AD320" s="3">
        <f t="shared" si="9"/>
        <v>1.72</v>
      </c>
      <c r="AE320" s="3">
        <f t="shared" si="10"/>
        <v>-1</v>
      </c>
      <c r="AF320" s="3">
        <f t="shared" si="11"/>
        <v>-1</v>
      </c>
      <c r="AG320" s="3">
        <f t="shared" si="12"/>
        <v>-0.3333333333</v>
      </c>
    </row>
    <row r="321">
      <c r="A321" s="1" t="s">
        <v>11</v>
      </c>
      <c r="B321" s="1" t="s">
        <v>628</v>
      </c>
      <c r="C321" s="1" t="s">
        <v>18</v>
      </c>
      <c r="D321" s="1" t="s">
        <v>66</v>
      </c>
      <c r="E321" s="1" t="s">
        <v>94</v>
      </c>
      <c r="F321" s="1" t="s">
        <v>695</v>
      </c>
      <c r="G321" s="1">
        <v>33.5</v>
      </c>
      <c r="H321" s="1" t="s">
        <v>60</v>
      </c>
      <c r="I321" s="1">
        <v>-113.0</v>
      </c>
      <c r="J321" s="1">
        <v>-0.0930701838100939</v>
      </c>
      <c r="K321" s="1" t="s">
        <v>61</v>
      </c>
      <c r="L321" s="1" t="s">
        <v>61</v>
      </c>
      <c r="M321" s="1" t="s">
        <v>62</v>
      </c>
      <c r="N321" s="1">
        <v>-116.0</v>
      </c>
      <c r="O321" s="1">
        <v>0.0255800862322129</v>
      </c>
      <c r="P321" s="1" t="s">
        <v>61</v>
      </c>
      <c r="Q321" s="1" t="s">
        <v>61</v>
      </c>
      <c r="R321" s="1">
        <f t="shared" si="1"/>
        <v>0.02558008623</v>
      </c>
      <c r="S321" s="1">
        <f t="shared" si="2"/>
        <v>-116</v>
      </c>
      <c r="T321" s="1">
        <f t="shared" si="3"/>
        <v>1.862068966</v>
      </c>
      <c r="U321" s="1">
        <f t="shared" si="4"/>
        <v>0</v>
      </c>
      <c r="V321" s="3">
        <f t="shared" si="5"/>
        <v>1</v>
      </c>
      <c r="W321" s="3">
        <f t="shared" si="6"/>
        <v>2</v>
      </c>
      <c r="X321" s="3" t="str">
        <f>IFERROR(__xludf.DUMMYFUNCTION("split(B321,"" "")"),"K.")</f>
        <v>K.</v>
      </c>
      <c r="Y321" s="3" t="str">
        <f>IFERROR(__xludf.DUMMYFUNCTION("""COMPUTED_VALUE"""),"Boutte")</f>
        <v>Boutte</v>
      </c>
      <c r="AA321" s="8">
        <v>6.0</v>
      </c>
      <c r="AB321" s="3">
        <f t="shared" si="7"/>
        <v>0</v>
      </c>
      <c r="AC321" s="3">
        <f t="shared" si="8"/>
        <v>1</v>
      </c>
      <c r="AD321" s="3">
        <f t="shared" si="9"/>
        <v>0.8620689655</v>
      </c>
      <c r="AE321" s="3">
        <f t="shared" si="10"/>
        <v>0.8620689655</v>
      </c>
      <c r="AF321" s="3">
        <f t="shared" si="11"/>
        <v>1.724137931</v>
      </c>
      <c r="AG321" s="3">
        <f t="shared" si="12"/>
        <v>0.8208955224</v>
      </c>
    </row>
    <row r="322">
      <c r="A322" s="1" t="s">
        <v>9</v>
      </c>
      <c r="B322" s="1" t="s">
        <v>628</v>
      </c>
      <c r="C322" s="1" t="s">
        <v>18</v>
      </c>
      <c r="D322" s="1" t="s">
        <v>66</v>
      </c>
      <c r="E322" s="1" t="s">
        <v>94</v>
      </c>
      <c r="F322" s="1" t="s">
        <v>695</v>
      </c>
      <c r="G322" s="1">
        <v>33.5</v>
      </c>
      <c r="H322" s="1" t="s">
        <v>60</v>
      </c>
      <c r="I322" s="1">
        <v>-115.0</v>
      </c>
      <c r="J322" s="1">
        <v>0.0220164262301661</v>
      </c>
      <c r="K322" s="1" t="s">
        <v>61</v>
      </c>
      <c r="L322" s="1" t="s">
        <v>61</v>
      </c>
      <c r="M322" s="1" t="s">
        <v>62</v>
      </c>
      <c r="N322" s="1">
        <v>-115.0</v>
      </c>
      <c r="O322" s="1">
        <v>-0.0917838901646913</v>
      </c>
      <c r="P322" s="1" t="s">
        <v>61</v>
      </c>
      <c r="Q322" s="1" t="s">
        <v>61</v>
      </c>
      <c r="R322" s="1">
        <f t="shared" si="1"/>
        <v>0.02201642623</v>
      </c>
      <c r="S322" s="1">
        <f t="shared" si="2"/>
        <v>-115</v>
      </c>
      <c r="T322" s="1">
        <f t="shared" si="3"/>
        <v>1.869565217</v>
      </c>
      <c r="U322" s="1">
        <f t="shared" si="4"/>
        <v>1</v>
      </c>
      <c r="V322" s="3">
        <f t="shared" si="5"/>
        <v>1</v>
      </c>
      <c r="W322" s="3">
        <f t="shared" si="6"/>
        <v>2</v>
      </c>
      <c r="X322" s="3" t="str">
        <f>IFERROR(__xludf.DUMMYFUNCTION("split(B322,"" "")"),"K.")</f>
        <v>K.</v>
      </c>
      <c r="Y322" s="3" t="str">
        <f>IFERROR(__xludf.DUMMYFUNCTION("""COMPUTED_VALUE"""),"Boutte")</f>
        <v>Boutte</v>
      </c>
      <c r="AA322" s="8">
        <v>6.0</v>
      </c>
      <c r="AB322" s="3">
        <f t="shared" si="7"/>
        <v>0</v>
      </c>
      <c r="AC322" s="3">
        <f t="shared" si="8"/>
        <v>0</v>
      </c>
      <c r="AD322" s="3">
        <f t="shared" si="9"/>
        <v>0.8695652174</v>
      </c>
      <c r="AE322" s="3">
        <f t="shared" si="10"/>
        <v>-1</v>
      </c>
      <c r="AF322" s="3">
        <f t="shared" si="11"/>
        <v>-2</v>
      </c>
      <c r="AG322" s="3">
        <f t="shared" si="12"/>
        <v>-0.8208955224</v>
      </c>
    </row>
    <row r="323">
      <c r="A323" s="1" t="s">
        <v>10</v>
      </c>
      <c r="B323" s="1" t="s">
        <v>621</v>
      </c>
      <c r="C323" s="1" t="s">
        <v>21</v>
      </c>
      <c r="D323" s="1" t="s">
        <v>66</v>
      </c>
      <c r="E323" s="1" t="s">
        <v>94</v>
      </c>
      <c r="F323" s="1" t="s">
        <v>695</v>
      </c>
      <c r="G323" s="1">
        <v>27.5</v>
      </c>
      <c r="H323" s="1" t="s">
        <v>60</v>
      </c>
      <c r="I323" s="1">
        <v>-117.0</v>
      </c>
      <c r="J323" s="1">
        <v>-0.0875372427466294</v>
      </c>
      <c r="K323" s="1" t="s">
        <v>61</v>
      </c>
      <c r="L323" s="1" t="s">
        <v>61</v>
      </c>
      <c r="M323" s="1" t="s">
        <v>62</v>
      </c>
      <c r="N323" s="1">
        <v>-112.0</v>
      </c>
      <c r="O323" s="1">
        <v>0.0201185447034945</v>
      </c>
      <c r="P323" s="1" t="s">
        <v>61</v>
      </c>
      <c r="Q323" s="1" t="s">
        <v>61</v>
      </c>
      <c r="R323" s="1">
        <f t="shared" si="1"/>
        <v>0.0201185447</v>
      </c>
      <c r="S323" s="1">
        <f t="shared" si="2"/>
        <v>-112</v>
      </c>
      <c r="T323" s="1">
        <f t="shared" si="3"/>
        <v>1.892857143</v>
      </c>
      <c r="U323" s="1">
        <f t="shared" si="4"/>
        <v>0</v>
      </c>
      <c r="V323" s="3">
        <f t="shared" si="5"/>
        <v>1</v>
      </c>
      <c r="W323" s="3">
        <f t="shared" si="6"/>
        <v>2</v>
      </c>
      <c r="X323" s="3" t="str">
        <f>IFERROR(__xludf.DUMMYFUNCTION("split(B323,"" "")"),"D.")</f>
        <v>D.</v>
      </c>
      <c r="Y323" s="3" t="str">
        <f>IFERROR(__xludf.DUMMYFUNCTION("""COMPUTED_VALUE"""),"Maye")</f>
        <v>Maye</v>
      </c>
      <c r="AA323" s="8">
        <v>26.0</v>
      </c>
      <c r="AB323" s="3">
        <f t="shared" si="7"/>
        <v>0</v>
      </c>
      <c r="AC323" s="3">
        <f t="shared" si="8"/>
        <v>1</v>
      </c>
      <c r="AD323" s="3">
        <f t="shared" si="9"/>
        <v>0.8928571429</v>
      </c>
      <c r="AE323" s="3">
        <f t="shared" si="10"/>
        <v>0.8928571429</v>
      </c>
      <c r="AF323" s="3">
        <f t="shared" si="11"/>
        <v>1.785714286</v>
      </c>
      <c r="AG323" s="3">
        <f t="shared" si="12"/>
        <v>0.05454545455</v>
      </c>
    </row>
    <row r="324">
      <c r="A324" s="1" t="s">
        <v>9</v>
      </c>
      <c r="B324" s="1" t="s">
        <v>597</v>
      </c>
      <c r="C324" s="1" t="s">
        <v>18</v>
      </c>
      <c r="D324" s="1" t="s">
        <v>66</v>
      </c>
      <c r="E324" s="1" t="s">
        <v>94</v>
      </c>
      <c r="F324" s="1" t="s">
        <v>695</v>
      </c>
      <c r="G324" s="1">
        <v>26.5</v>
      </c>
      <c r="H324" s="1" t="s">
        <v>60</v>
      </c>
      <c r="I324" s="1">
        <v>-115.0</v>
      </c>
      <c r="J324" s="1">
        <v>0.00811489328383341</v>
      </c>
      <c r="K324" s="1" t="s">
        <v>61</v>
      </c>
      <c r="L324" s="1" t="s">
        <v>61</v>
      </c>
      <c r="M324" s="1" t="s">
        <v>62</v>
      </c>
      <c r="N324" s="1">
        <v>-115.0</v>
      </c>
      <c r="O324" s="1">
        <v>-0.0778521272764085</v>
      </c>
      <c r="P324" s="1" t="s">
        <v>61</v>
      </c>
      <c r="Q324" s="1" t="s">
        <v>61</v>
      </c>
      <c r="R324" s="1">
        <f t="shared" si="1"/>
        <v>0.008114893284</v>
      </c>
      <c r="S324" s="1">
        <f t="shared" si="2"/>
        <v>-115</v>
      </c>
      <c r="T324" s="1">
        <f t="shared" si="3"/>
        <v>1.869565217</v>
      </c>
      <c r="U324" s="1">
        <f t="shared" si="4"/>
        <v>1</v>
      </c>
      <c r="V324" s="3">
        <f t="shared" si="5"/>
        <v>1</v>
      </c>
      <c r="W324" s="3">
        <f t="shared" si="6"/>
        <v>2</v>
      </c>
      <c r="X324" s="3" t="str">
        <f>IFERROR(__xludf.DUMMYFUNCTION("split(B324,"" "")"),"K.")</f>
        <v>K.</v>
      </c>
      <c r="Y324" s="3" t="str">
        <f>IFERROR(__xludf.DUMMYFUNCTION("""COMPUTED_VALUE"""),"Bourne")</f>
        <v>Bourne</v>
      </c>
      <c r="AA324" s="8">
        <v>30.0</v>
      </c>
      <c r="AB324" s="3">
        <f t="shared" si="7"/>
        <v>1</v>
      </c>
      <c r="AC324" s="3">
        <f t="shared" si="8"/>
        <v>1</v>
      </c>
      <c r="AD324" s="3">
        <f t="shared" si="9"/>
        <v>0.8695652174</v>
      </c>
      <c r="AE324" s="3">
        <f t="shared" si="10"/>
        <v>0.8695652174</v>
      </c>
      <c r="AF324" s="3">
        <f t="shared" si="11"/>
        <v>1.739130435</v>
      </c>
      <c r="AG324" s="3">
        <f t="shared" si="12"/>
        <v>0.1320754717</v>
      </c>
    </row>
    <row r="325">
      <c r="A325" s="1" t="s">
        <v>11</v>
      </c>
      <c r="B325" s="1" t="s">
        <v>131</v>
      </c>
      <c r="C325" s="1" t="s">
        <v>18</v>
      </c>
      <c r="D325" s="1" t="s">
        <v>66</v>
      </c>
      <c r="E325" s="1" t="s">
        <v>94</v>
      </c>
      <c r="F325" s="1" t="s">
        <v>695</v>
      </c>
      <c r="G325" s="1">
        <v>38.5</v>
      </c>
      <c r="H325" s="1" t="s">
        <v>60</v>
      </c>
      <c r="I325" s="1">
        <v>-114.0</v>
      </c>
      <c r="J325" s="1">
        <v>-0.069354721407944</v>
      </c>
      <c r="K325" s="1" t="s">
        <v>61</v>
      </c>
      <c r="L325" s="1" t="s">
        <v>61</v>
      </c>
      <c r="M325" s="1" t="s">
        <v>62</v>
      </c>
      <c r="N325" s="1">
        <v>-113.0</v>
      </c>
      <c r="O325" s="1">
        <v>0.00612002499964803</v>
      </c>
      <c r="P325" s="1" t="s">
        <v>61</v>
      </c>
      <c r="Q325" s="1" t="s">
        <v>61</v>
      </c>
      <c r="R325" s="1">
        <f t="shared" si="1"/>
        <v>0.006120025</v>
      </c>
      <c r="S325" s="1">
        <f t="shared" si="2"/>
        <v>-113</v>
      </c>
      <c r="T325" s="1">
        <f t="shared" si="3"/>
        <v>1.884955752</v>
      </c>
      <c r="U325" s="1">
        <f t="shared" si="4"/>
        <v>0</v>
      </c>
      <c r="V325" s="3">
        <f t="shared" si="5"/>
        <v>1</v>
      </c>
      <c r="W325" s="3">
        <f t="shared" si="6"/>
        <v>2</v>
      </c>
      <c r="X325" s="3" t="str">
        <f>IFERROR(__xludf.DUMMYFUNCTION("split(B325,"" "")"),"D.")</f>
        <v>D.</v>
      </c>
      <c r="Y325" s="3" t="str">
        <f>IFERROR(__xludf.DUMMYFUNCTION("""COMPUTED_VALUE"""),"Douglas")</f>
        <v>Douglas</v>
      </c>
      <c r="AA325" s="8">
        <v>62.0</v>
      </c>
      <c r="AB325" s="3">
        <f t="shared" si="7"/>
        <v>1</v>
      </c>
      <c r="AC325" s="3">
        <f t="shared" si="8"/>
        <v>0</v>
      </c>
      <c r="AD325" s="3">
        <f t="shared" si="9"/>
        <v>0.8849557522</v>
      </c>
      <c r="AE325" s="3">
        <f t="shared" si="10"/>
        <v>-1</v>
      </c>
      <c r="AF325" s="3">
        <f t="shared" si="11"/>
        <v>-2</v>
      </c>
      <c r="AG325" s="3">
        <f t="shared" si="12"/>
        <v>-0.6103896104</v>
      </c>
    </row>
    <row r="326">
      <c r="A326" s="1" t="s">
        <v>9</v>
      </c>
      <c r="B326" s="1" t="s">
        <v>131</v>
      </c>
      <c r="C326" s="1" t="s">
        <v>18</v>
      </c>
      <c r="D326" s="1" t="s">
        <v>66</v>
      </c>
      <c r="E326" s="1" t="s">
        <v>94</v>
      </c>
      <c r="F326" s="1" t="s">
        <v>695</v>
      </c>
      <c r="G326" s="1">
        <v>39.5</v>
      </c>
      <c r="H326" s="1" t="s">
        <v>60</v>
      </c>
      <c r="I326" s="1">
        <v>-115.0</v>
      </c>
      <c r="J326" s="1">
        <v>0.00222918991921283</v>
      </c>
      <c r="K326" s="1" t="s">
        <v>61</v>
      </c>
      <c r="L326" s="1" t="s">
        <v>61</v>
      </c>
      <c r="M326" s="1" t="s">
        <v>62</v>
      </c>
      <c r="N326" s="1">
        <v>-115.0</v>
      </c>
      <c r="O326" s="1">
        <v>-0.071938568407095</v>
      </c>
      <c r="P326" s="1" t="s">
        <v>61</v>
      </c>
      <c r="Q326" s="1" t="s">
        <v>61</v>
      </c>
      <c r="R326" s="1">
        <f t="shared" si="1"/>
        <v>0.002229189919</v>
      </c>
      <c r="S326" s="1">
        <f t="shared" si="2"/>
        <v>-115</v>
      </c>
      <c r="T326" s="1">
        <f t="shared" si="3"/>
        <v>1.869565217</v>
      </c>
      <c r="U326" s="1">
        <f t="shared" si="4"/>
        <v>1</v>
      </c>
      <c r="V326" s="3">
        <f t="shared" si="5"/>
        <v>1</v>
      </c>
      <c r="W326" s="3">
        <f t="shared" si="6"/>
        <v>2</v>
      </c>
      <c r="X326" s="3" t="str">
        <f>IFERROR(__xludf.DUMMYFUNCTION("split(B326,"" "")"),"D.")</f>
        <v>D.</v>
      </c>
      <c r="Y326" s="3" t="str">
        <f>IFERROR(__xludf.DUMMYFUNCTION("""COMPUTED_VALUE"""),"Douglas")</f>
        <v>Douglas</v>
      </c>
      <c r="AA326" s="8">
        <v>63.0</v>
      </c>
      <c r="AB326" s="3">
        <f t="shared" si="7"/>
        <v>1</v>
      </c>
      <c r="AC326" s="3">
        <f t="shared" si="8"/>
        <v>1</v>
      </c>
      <c r="AD326" s="3">
        <f t="shared" si="9"/>
        <v>0.8695652174</v>
      </c>
      <c r="AE326" s="3">
        <f t="shared" si="10"/>
        <v>0.8695652174</v>
      </c>
      <c r="AF326" s="3">
        <f t="shared" si="11"/>
        <v>1.739130435</v>
      </c>
      <c r="AG326" s="3">
        <f t="shared" si="12"/>
        <v>0.5949367089</v>
      </c>
    </row>
    <row r="327">
      <c r="A327" s="1" t="s">
        <v>10</v>
      </c>
      <c r="B327" s="1" t="s">
        <v>354</v>
      </c>
      <c r="C327" s="1" t="s">
        <v>18</v>
      </c>
      <c r="D327" s="1" t="s">
        <v>147</v>
      </c>
      <c r="E327" s="1" t="s">
        <v>113</v>
      </c>
      <c r="F327" s="1" t="s">
        <v>695</v>
      </c>
      <c r="G327" s="1">
        <v>0.5</v>
      </c>
      <c r="H327" s="1" t="s">
        <v>60</v>
      </c>
      <c r="I327" s="1">
        <v>396.0</v>
      </c>
      <c r="J327" s="1">
        <v>0.437199505840556</v>
      </c>
      <c r="K327" s="1" t="s">
        <v>61</v>
      </c>
      <c r="L327" s="1" t="s">
        <v>61</v>
      </c>
      <c r="M327" s="1" t="s">
        <v>62</v>
      </c>
      <c r="N327" s="1">
        <v>-629.0</v>
      </c>
      <c r="O327" s="1">
        <v>-0.501606915258478</v>
      </c>
      <c r="P327" s="1" t="s">
        <v>61</v>
      </c>
      <c r="Q327" s="1" t="s">
        <v>61</v>
      </c>
      <c r="R327" s="1">
        <f t="shared" si="1"/>
        <v>0.4371995058</v>
      </c>
      <c r="S327" s="1">
        <f t="shared" si="2"/>
        <v>396</v>
      </c>
      <c r="T327" s="1">
        <f t="shared" si="3"/>
        <v>4.96</v>
      </c>
      <c r="U327" s="1">
        <f t="shared" si="4"/>
        <v>1</v>
      </c>
      <c r="V327" s="3">
        <f t="shared" si="5"/>
        <v>3</v>
      </c>
      <c r="W327" s="3">
        <f t="shared" si="6"/>
        <v>1</v>
      </c>
      <c r="X327" s="3" t="str">
        <f>IFERROR(__xludf.DUMMYFUNCTION("split(B327,"" "")"),"W.")</f>
        <v>W.</v>
      </c>
      <c r="Y327" s="3" t="str">
        <f>IFERROR(__xludf.DUMMYFUNCTION("""COMPUTED_VALUE"""),"Robinson")</f>
        <v>Robinson</v>
      </c>
      <c r="AA327" s="8">
        <v>0.0</v>
      </c>
      <c r="AB327" s="3">
        <f t="shared" si="7"/>
        <v>0</v>
      </c>
      <c r="AC327" s="3">
        <f t="shared" si="8"/>
        <v>0</v>
      </c>
      <c r="AD327" s="3">
        <f t="shared" si="9"/>
        <v>11.88</v>
      </c>
      <c r="AE327" s="3">
        <f t="shared" si="10"/>
        <v>0</v>
      </c>
      <c r="AF327" s="3">
        <f t="shared" si="11"/>
        <v>-1</v>
      </c>
      <c r="AG327" s="3">
        <f t="shared" si="12"/>
        <v>-1</v>
      </c>
    </row>
    <row r="328">
      <c r="A328" s="1" t="s">
        <v>10</v>
      </c>
      <c r="B328" s="1" t="s">
        <v>478</v>
      </c>
      <c r="C328" s="1" t="s">
        <v>18</v>
      </c>
      <c r="D328" s="1" t="s">
        <v>147</v>
      </c>
      <c r="E328" s="1" t="s">
        <v>113</v>
      </c>
      <c r="F328" s="1" t="s">
        <v>695</v>
      </c>
      <c r="G328" s="1">
        <v>0.5</v>
      </c>
      <c r="H328" s="1" t="s">
        <v>60</v>
      </c>
      <c r="I328" s="1">
        <v>340.0</v>
      </c>
      <c r="J328" s="1">
        <v>0.38549288152691</v>
      </c>
      <c r="K328" s="1" t="s">
        <v>61</v>
      </c>
      <c r="L328" s="1" t="s">
        <v>61</v>
      </c>
      <c r="M328" s="1" t="s">
        <v>62</v>
      </c>
      <c r="N328" s="1">
        <v>-500.0</v>
      </c>
      <c r="O328" s="1">
        <v>-0.446064872234903</v>
      </c>
      <c r="P328" s="1" t="s">
        <v>61</v>
      </c>
      <c r="Q328" s="1" t="s">
        <v>61</v>
      </c>
      <c r="R328" s="1">
        <f t="shared" si="1"/>
        <v>0.3854928815</v>
      </c>
      <c r="S328" s="1">
        <f t="shared" si="2"/>
        <v>340</v>
      </c>
      <c r="T328" s="1">
        <f t="shared" si="3"/>
        <v>4.4</v>
      </c>
      <c r="U328" s="1">
        <f t="shared" si="4"/>
        <v>1</v>
      </c>
      <c r="V328" s="3">
        <f t="shared" si="5"/>
        <v>3</v>
      </c>
      <c r="W328" s="3">
        <f t="shared" si="6"/>
        <v>1</v>
      </c>
      <c r="X328" s="3" t="str">
        <f>IFERROR(__xludf.DUMMYFUNCTION("split(B328,"" "")"),"M.")</f>
        <v>M.</v>
      </c>
      <c r="Y328" s="3" t="str">
        <f>IFERROR(__xludf.DUMMYFUNCTION("""COMPUTED_VALUE"""),"Nabers")</f>
        <v>Nabers</v>
      </c>
      <c r="AA328" s="8">
        <v>0.0</v>
      </c>
      <c r="AB328" s="3">
        <f t="shared" si="7"/>
        <v>0</v>
      </c>
      <c r="AC328" s="3">
        <f t="shared" si="8"/>
        <v>0</v>
      </c>
      <c r="AD328" s="3">
        <f t="shared" si="9"/>
        <v>10.2</v>
      </c>
      <c r="AE328" s="3">
        <f t="shared" si="10"/>
        <v>0</v>
      </c>
      <c r="AF328" s="3">
        <f t="shared" si="11"/>
        <v>-1</v>
      </c>
      <c r="AG328" s="3">
        <f t="shared" si="12"/>
        <v>-1</v>
      </c>
    </row>
    <row r="329">
      <c r="A329" s="1" t="s">
        <v>11</v>
      </c>
      <c r="B329" s="1" t="s">
        <v>270</v>
      </c>
      <c r="C329" s="1" t="s">
        <v>19</v>
      </c>
      <c r="D329" s="1" t="s">
        <v>147</v>
      </c>
      <c r="E329" s="1" t="s">
        <v>113</v>
      </c>
      <c r="F329" s="1" t="s">
        <v>695</v>
      </c>
      <c r="G329" s="1">
        <v>0.5</v>
      </c>
      <c r="H329" s="1" t="s">
        <v>60</v>
      </c>
      <c r="I329" s="1">
        <v>-106.0</v>
      </c>
      <c r="J329" s="1">
        <v>0.195838392067906</v>
      </c>
      <c r="K329" s="1" t="s">
        <v>61</v>
      </c>
      <c r="L329" s="1" t="s">
        <v>61</v>
      </c>
      <c r="M329" s="1" t="s">
        <v>62</v>
      </c>
      <c r="N329" s="1">
        <v>-120.0</v>
      </c>
      <c r="O329" s="1">
        <v>-0.255831502359938</v>
      </c>
      <c r="P329" s="1" t="s">
        <v>61</v>
      </c>
      <c r="Q329" s="1" t="s">
        <v>61</v>
      </c>
      <c r="R329" s="1">
        <f t="shared" si="1"/>
        <v>0.1958383921</v>
      </c>
      <c r="S329" s="1">
        <f t="shared" si="2"/>
        <v>-106</v>
      </c>
      <c r="T329" s="1">
        <f t="shared" si="3"/>
        <v>1.943396226</v>
      </c>
      <c r="U329" s="1">
        <f t="shared" si="4"/>
        <v>1</v>
      </c>
      <c r="V329" s="3">
        <f t="shared" si="5"/>
        <v>3</v>
      </c>
      <c r="W329" s="3">
        <f t="shared" si="6"/>
        <v>2</v>
      </c>
      <c r="X329" s="3" t="str">
        <f>IFERROR(__xludf.DUMMYFUNCTION("split(B329,"" "")"),"D.")</f>
        <v>D.</v>
      </c>
      <c r="Y329" s="3" t="str">
        <f>IFERROR(__xludf.DUMMYFUNCTION("""COMPUTED_VALUE"""),"Singletary")</f>
        <v>Singletary</v>
      </c>
      <c r="AA329" s="8">
        <v>7.0</v>
      </c>
      <c r="AB329" s="3">
        <f t="shared" si="7"/>
        <v>1</v>
      </c>
      <c r="AC329" s="3">
        <f t="shared" si="8"/>
        <v>1</v>
      </c>
      <c r="AD329" s="3">
        <f t="shared" si="9"/>
        <v>2.830188679</v>
      </c>
      <c r="AE329" s="3">
        <f t="shared" si="10"/>
        <v>2.830188679</v>
      </c>
      <c r="AF329" s="3">
        <f t="shared" si="11"/>
        <v>1.886792453</v>
      </c>
      <c r="AG329" s="3">
        <f t="shared" si="12"/>
        <v>13</v>
      </c>
    </row>
    <row r="330">
      <c r="A330" s="1" t="s">
        <v>12</v>
      </c>
      <c r="B330" s="1" t="s">
        <v>477</v>
      </c>
      <c r="C330" s="1" t="s">
        <v>20</v>
      </c>
      <c r="D330" s="1" t="s">
        <v>147</v>
      </c>
      <c r="E330" s="1" t="s">
        <v>113</v>
      </c>
      <c r="F330" s="1" t="s">
        <v>695</v>
      </c>
      <c r="G330" s="1">
        <v>2.5</v>
      </c>
      <c r="H330" s="1" t="s">
        <v>60</v>
      </c>
      <c r="I330" s="1">
        <v>106.0</v>
      </c>
      <c r="J330" s="1">
        <v>-0.216630374935922</v>
      </c>
      <c r="K330" s="1" t="s">
        <v>61</v>
      </c>
      <c r="L330" s="1" t="s">
        <v>61</v>
      </c>
      <c r="M330" s="1" t="s">
        <v>62</v>
      </c>
      <c r="N330" s="1">
        <v>-140.0</v>
      </c>
      <c r="O330" s="1">
        <v>0.147845912466666</v>
      </c>
      <c r="P330" s="1" t="s">
        <v>61</v>
      </c>
      <c r="Q330" s="1" t="s">
        <v>61</v>
      </c>
      <c r="R330" s="1">
        <f t="shared" si="1"/>
        <v>0.1478459125</v>
      </c>
      <c r="S330" s="1">
        <f t="shared" si="2"/>
        <v>-140</v>
      </c>
      <c r="T330" s="1">
        <f t="shared" si="3"/>
        <v>1.714285714</v>
      </c>
      <c r="U330" s="1">
        <f t="shared" si="4"/>
        <v>0</v>
      </c>
      <c r="V330" s="3">
        <f t="shared" si="5"/>
        <v>3</v>
      </c>
      <c r="W330" s="3">
        <f t="shared" si="6"/>
        <v>3</v>
      </c>
      <c r="X330" s="3" t="str">
        <f>IFERROR(__xludf.DUMMYFUNCTION("split(B330,"" "")"),"T.")</f>
        <v>T.</v>
      </c>
      <c r="Y330" s="3" t="str">
        <f>IFERROR(__xludf.DUMMYFUNCTION("""COMPUTED_VALUE"""),"Johnson")</f>
        <v>Johnson</v>
      </c>
      <c r="AA330" s="8">
        <v>3.0</v>
      </c>
      <c r="AB330" s="3">
        <f t="shared" si="7"/>
        <v>1</v>
      </c>
      <c r="AC330" s="3">
        <f t="shared" si="8"/>
        <v>0</v>
      </c>
      <c r="AD330" s="3">
        <f t="shared" si="9"/>
        <v>2.142857143</v>
      </c>
      <c r="AE330" s="3">
        <f t="shared" si="10"/>
        <v>-3</v>
      </c>
      <c r="AF330" s="3">
        <f t="shared" si="11"/>
        <v>-3</v>
      </c>
      <c r="AG330" s="3">
        <f t="shared" si="12"/>
        <v>-0.2</v>
      </c>
    </row>
    <row r="331">
      <c r="A331" s="1" t="s">
        <v>8</v>
      </c>
      <c r="B331" s="1" t="s">
        <v>568</v>
      </c>
      <c r="C331" s="1" t="s">
        <v>19</v>
      </c>
      <c r="D331" s="1" t="s">
        <v>147</v>
      </c>
      <c r="E331" s="1" t="s">
        <v>113</v>
      </c>
      <c r="F331" s="1" t="s">
        <v>695</v>
      </c>
      <c r="G331" s="1">
        <v>14.5</v>
      </c>
      <c r="H331" s="1" t="s">
        <v>60</v>
      </c>
      <c r="I331" s="1">
        <v>-136.0</v>
      </c>
      <c r="J331" s="1">
        <v>-0.200595563511864</v>
      </c>
      <c r="K331" s="1" t="s">
        <v>61</v>
      </c>
      <c r="L331" s="1" t="s">
        <v>61</v>
      </c>
      <c r="M331" s="1" t="s">
        <v>62</v>
      </c>
      <c r="N331" s="1">
        <v>103.0</v>
      </c>
      <c r="O331" s="1">
        <v>0.131733758565517</v>
      </c>
      <c r="P331" s="1" t="s">
        <v>61</v>
      </c>
      <c r="Q331" s="1" t="s">
        <v>61</v>
      </c>
      <c r="R331" s="1">
        <f t="shared" si="1"/>
        <v>0.1317337586</v>
      </c>
      <c r="S331" s="1">
        <f t="shared" si="2"/>
        <v>103</v>
      </c>
      <c r="T331" s="1">
        <f t="shared" si="3"/>
        <v>2.03</v>
      </c>
      <c r="U331" s="1">
        <f t="shared" si="4"/>
        <v>0</v>
      </c>
      <c r="V331" s="3">
        <f t="shared" si="5"/>
        <v>3</v>
      </c>
      <c r="W331" s="3">
        <f t="shared" si="6"/>
        <v>2</v>
      </c>
      <c r="X331" s="3" t="str">
        <f>IFERROR(__xludf.DUMMYFUNCTION("split(B331,"" "")"),"T.")</f>
        <v>T.</v>
      </c>
      <c r="Y331" s="3" t="str">
        <f>IFERROR(__xludf.DUMMYFUNCTION("""COMPUTED_VALUE"""),"Tracy")</f>
        <v>Tracy</v>
      </c>
      <c r="AA331" s="8">
        <v>9.0</v>
      </c>
      <c r="AB331" s="3">
        <f t="shared" si="7"/>
        <v>0</v>
      </c>
      <c r="AC331" s="3">
        <f t="shared" si="8"/>
        <v>1</v>
      </c>
      <c r="AD331" s="3">
        <f t="shared" si="9"/>
        <v>3.09</v>
      </c>
      <c r="AE331" s="3">
        <f t="shared" si="10"/>
        <v>3.09</v>
      </c>
      <c r="AF331" s="3">
        <f t="shared" si="11"/>
        <v>2.06</v>
      </c>
      <c r="AG331" s="3">
        <f t="shared" si="12"/>
        <v>0.3793103448</v>
      </c>
    </row>
    <row r="332">
      <c r="A332" s="1" t="s">
        <v>9</v>
      </c>
      <c r="B332" s="1" t="s">
        <v>270</v>
      </c>
      <c r="C332" s="1" t="s">
        <v>19</v>
      </c>
      <c r="D332" s="1" t="s">
        <v>147</v>
      </c>
      <c r="E332" s="1" t="s">
        <v>113</v>
      </c>
      <c r="F332" s="1" t="s">
        <v>695</v>
      </c>
      <c r="G332" s="1">
        <v>25.5</v>
      </c>
      <c r="H332" s="1" t="s">
        <v>60</v>
      </c>
      <c r="I332" s="1">
        <v>-110.0</v>
      </c>
      <c r="J332" s="1">
        <v>0.110651255590802</v>
      </c>
      <c r="K332" s="1" t="s">
        <v>61</v>
      </c>
      <c r="L332" s="1" t="s">
        <v>61</v>
      </c>
      <c r="M332" s="1" t="s">
        <v>62</v>
      </c>
      <c r="N332" s="1">
        <v>-120.0</v>
      </c>
      <c r="O332" s="1">
        <v>-0.179909620040373</v>
      </c>
      <c r="P332" s="1" t="s">
        <v>61</v>
      </c>
      <c r="Q332" s="1" t="s">
        <v>61</v>
      </c>
      <c r="R332" s="1">
        <f t="shared" si="1"/>
        <v>0.1106512556</v>
      </c>
      <c r="S332" s="1">
        <f t="shared" si="2"/>
        <v>-110</v>
      </c>
      <c r="T332" s="1">
        <f t="shared" si="3"/>
        <v>1.909090909</v>
      </c>
      <c r="U332" s="1">
        <f t="shared" si="4"/>
        <v>1</v>
      </c>
      <c r="V332" s="3">
        <f t="shared" si="5"/>
        <v>3</v>
      </c>
      <c r="W332" s="3">
        <f t="shared" si="6"/>
        <v>2</v>
      </c>
      <c r="X332" s="3" t="str">
        <f>IFERROR(__xludf.DUMMYFUNCTION("split(B332,"" "")"),"D.")</f>
        <v>D.</v>
      </c>
      <c r="Y332" s="3" t="str">
        <f>IFERROR(__xludf.DUMMYFUNCTION("""COMPUTED_VALUE"""),"Singletary")</f>
        <v>Singletary</v>
      </c>
      <c r="AA332" s="8">
        <v>10.0</v>
      </c>
      <c r="AB332" s="3">
        <f t="shared" si="7"/>
        <v>0</v>
      </c>
      <c r="AC332" s="3">
        <f t="shared" si="8"/>
        <v>0</v>
      </c>
      <c r="AD332" s="3">
        <f t="shared" si="9"/>
        <v>2.727272727</v>
      </c>
      <c r="AE332" s="3">
        <f t="shared" si="10"/>
        <v>-3</v>
      </c>
      <c r="AF332" s="3">
        <f t="shared" si="11"/>
        <v>-2</v>
      </c>
      <c r="AG332" s="3">
        <f t="shared" si="12"/>
        <v>-0.6078431373</v>
      </c>
    </row>
    <row r="333">
      <c r="A333" s="1" t="s">
        <v>12</v>
      </c>
      <c r="B333" s="1" t="s">
        <v>478</v>
      </c>
      <c r="C333" s="1" t="s">
        <v>18</v>
      </c>
      <c r="D333" s="1" t="s">
        <v>147</v>
      </c>
      <c r="E333" s="1" t="s">
        <v>113</v>
      </c>
      <c r="F333" s="1" t="s">
        <v>695</v>
      </c>
      <c r="G333" s="1">
        <v>5.5</v>
      </c>
      <c r="H333" s="1" t="s">
        <v>60</v>
      </c>
      <c r="I333" s="1">
        <v>-104.0</v>
      </c>
      <c r="J333" s="1">
        <v>0.0932941176470588</v>
      </c>
      <c r="K333" s="1" t="s">
        <v>61</v>
      </c>
      <c r="L333" s="1" t="s">
        <v>61</v>
      </c>
      <c r="M333" s="1" t="s">
        <v>62</v>
      </c>
      <c r="N333" s="1">
        <v>-128.0</v>
      </c>
      <c r="O333" s="1">
        <v>-0.164515789473684</v>
      </c>
      <c r="P333" s="1" t="s">
        <v>61</v>
      </c>
      <c r="Q333" s="1" t="s">
        <v>61</v>
      </c>
      <c r="R333" s="1">
        <f t="shared" si="1"/>
        <v>0.09329411765</v>
      </c>
      <c r="S333" s="1">
        <f t="shared" si="2"/>
        <v>-104</v>
      </c>
      <c r="T333" s="1">
        <f t="shared" si="3"/>
        <v>1.961538462</v>
      </c>
      <c r="U333" s="1">
        <f t="shared" si="4"/>
        <v>1</v>
      </c>
      <c r="V333" s="3">
        <f t="shared" si="5"/>
        <v>2</v>
      </c>
      <c r="W333" s="3">
        <f t="shared" si="6"/>
        <v>2</v>
      </c>
      <c r="X333" s="3" t="str">
        <f>IFERROR(__xludf.DUMMYFUNCTION("split(B333,"" "")"),"M.")</f>
        <v>M.</v>
      </c>
      <c r="Y333" s="3" t="str">
        <f>IFERROR(__xludf.DUMMYFUNCTION("""COMPUTED_VALUE"""),"Nabers")</f>
        <v>Nabers</v>
      </c>
      <c r="AA333" s="8">
        <v>6.0</v>
      </c>
      <c r="AB333" s="3">
        <f t="shared" si="7"/>
        <v>1</v>
      </c>
      <c r="AC333" s="3">
        <f t="shared" si="8"/>
        <v>1</v>
      </c>
      <c r="AD333" s="3">
        <f t="shared" si="9"/>
        <v>1.923076923</v>
      </c>
      <c r="AE333" s="3">
        <f t="shared" si="10"/>
        <v>1.923076923</v>
      </c>
      <c r="AF333" s="3">
        <f t="shared" si="11"/>
        <v>1.923076923</v>
      </c>
      <c r="AG333" s="3">
        <f t="shared" si="12"/>
        <v>0.09090909091</v>
      </c>
    </row>
    <row r="334">
      <c r="A334" s="1" t="s">
        <v>14</v>
      </c>
      <c r="B334" s="1" t="s">
        <v>703</v>
      </c>
      <c r="C334" s="1" t="s">
        <v>21</v>
      </c>
      <c r="D334" s="1" t="s">
        <v>147</v>
      </c>
      <c r="E334" s="1" t="s">
        <v>113</v>
      </c>
      <c r="F334" s="1" t="s">
        <v>695</v>
      </c>
      <c r="G334" s="1">
        <v>0.5</v>
      </c>
      <c r="H334" s="1" t="s">
        <v>60</v>
      </c>
      <c r="I334" s="1">
        <v>-183.0</v>
      </c>
      <c r="J334" s="1">
        <v>-0.149076433533568</v>
      </c>
      <c r="K334" s="1" t="s">
        <v>61</v>
      </c>
      <c r="L334" s="1" t="s">
        <v>61</v>
      </c>
      <c r="M334" s="1" t="s">
        <v>62</v>
      </c>
      <c r="N334" s="1">
        <v>141.0</v>
      </c>
      <c r="O334" s="1">
        <v>0.0875013721576764</v>
      </c>
      <c r="P334" s="1" t="s">
        <v>61</v>
      </c>
      <c r="Q334" s="1" t="s">
        <v>61</v>
      </c>
      <c r="R334" s="1">
        <f t="shared" si="1"/>
        <v>0.08750137216</v>
      </c>
      <c r="S334" s="1">
        <f t="shared" si="2"/>
        <v>141</v>
      </c>
      <c r="T334" s="1">
        <f t="shared" si="3"/>
        <v>2.41</v>
      </c>
      <c r="U334" s="1">
        <f t="shared" si="4"/>
        <v>0</v>
      </c>
      <c r="V334" s="3">
        <f t="shared" si="5"/>
        <v>2</v>
      </c>
      <c r="W334" s="3">
        <f t="shared" si="6"/>
        <v>1</v>
      </c>
      <c r="X334" s="3" t="str">
        <f>IFERROR(__xludf.DUMMYFUNCTION("split(B334,"" "")"),"T.")</f>
        <v>T.</v>
      </c>
      <c r="Y334" s="3" t="str">
        <f>IFERROR(__xludf.DUMMYFUNCTION("""COMPUTED_VALUE"""),"DeVito")</f>
        <v>DeVito</v>
      </c>
      <c r="AA334" s="8">
        <v>0.0</v>
      </c>
      <c r="AB334" s="3">
        <f t="shared" si="7"/>
        <v>0</v>
      </c>
      <c r="AC334" s="3">
        <f t="shared" si="8"/>
        <v>1</v>
      </c>
      <c r="AD334" s="3">
        <f t="shared" si="9"/>
        <v>2.82</v>
      </c>
      <c r="AE334" s="3">
        <f t="shared" si="10"/>
        <v>2.82</v>
      </c>
      <c r="AF334" s="3">
        <f t="shared" si="11"/>
        <v>1.41</v>
      </c>
      <c r="AG334" s="3">
        <f t="shared" si="12"/>
        <v>1</v>
      </c>
    </row>
    <row r="335">
      <c r="A335" s="1" t="s">
        <v>12</v>
      </c>
      <c r="B335" s="1" t="s">
        <v>483</v>
      </c>
      <c r="C335" s="1" t="s">
        <v>18</v>
      </c>
      <c r="D335" s="1" t="s">
        <v>147</v>
      </c>
      <c r="E335" s="1" t="s">
        <v>113</v>
      </c>
      <c r="F335" s="1" t="s">
        <v>695</v>
      </c>
      <c r="G335" s="1">
        <v>2.5</v>
      </c>
      <c r="H335" s="1" t="s">
        <v>60</v>
      </c>
      <c r="I335" s="1">
        <v>116.0</v>
      </c>
      <c r="J335" s="1">
        <v>-0.146407809796296</v>
      </c>
      <c r="K335" s="1" t="s">
        <v>61</v>
      </c>
      <c r="L335" s="1" t="s">
        <v>61</v>
      </c>
      <c r="M335" s="1" t="s">
        <v>62</v>
      </c>
      <c r="N335" s="1">
        <v>-153.0</v>
      </c>
      <c r="O335" s="1">
        <v>0.078694810486166</v>
      </c>
      <c r="P335" s="1" t="s">
        <v>61</v>
      </c>
      <c r="Q335" s="1" t="s">
        <v>61</v>
      </c>
      <c r="R335" s="1">
        <f t="shared" si="1"/>
        <v>0.07869481049</v>
      </c>
      <c r="S335" s="1">
        <f t="shared" si="2"/>
        <v>-153</v>
      </c>
      <c r="T335" s="1">
        <f t="shared" si="3"/>
        <v>1.653594771</v>
      </c>
      <c r="U335" s="1">
        <f t="shared" si="4"/>
        <v>0</v>
      </c>
      <c r="V335" s="3">
        <f t="shared" si="5"/>
        <v>2</v>
      </c>
      <c r="W335" s="3">
        <f t="shared" si="6"/>
        <v>3</v>
      </c>
      <c r="X335" s="3" t="str">
        <f>IFERROR(__xludf.DUMMYFUNCTION("split(B335,"" "")"),"D.")</f>
        <v>D.</v>
      </c>
      <c r="Y335" s="3" t="str">
        <f>IFERROR(__xludf.DUMMYFUNCTION("""COMPUTED_VALUE"""),"Slayton")</f>
        <v>Slayton</v>
      </c>
      <c r="AA335" s="8">
        <v>0.0</v>
      </c>
      <c r="AB335" s="3">
        <f t="shared" si="7"/>
        <v>0</v>
      </c>
      <c r="AC335" s="3">
        <f t="shared" si="8"/>
        <v>1</v>
      </c>
      <c r="AD335" s="3">
        <f t="shared" si="9"/>
        <v>1.307189542</v>
      </c>
      <c r="AE335" s="3">
        <f t="shared" si="10"/>
        <v>1.307189542</v>
      </c>
      <c r="AF335" s="3">
        <f t="shared" si="11"/>
        <v>1.960784314</v>
      </c>
      <c r="AG335" s="3">
        <f t="shared" si="12"/>
        <v>1</v>
      </c>
    </row>
    <row r="336">
      <c r="A336" s="1" t="s">
        <v>8</v>
      </c>
      <c r="B336" s="1" t="s">
        <v>703</v>
      </c>
      <c r="C336" s="1" t="s">
        <v>21</v>
      </c>
      <c r="D336" s="1" t="s">
        <v>147</v>
      </c>
      <c r="E336" s="1" t="s">
        <v>113</v>
      </c>
      <c r="F336" s="1" t="s">
        <v>695</v>
      </c>
      <c r="G336" s="1">
        <v>4.5</v>
      </c>
      <c r="H336" s="1" t="s">
        <v>60</v>
      </c>
      <c r="I336" s="1">
        <v>-130.0</v>
      </c>
      <c r="J336" s="1">
        <v>-0.151005784226996</v>
      </c>
      <c r="K336" s="1" t="s">
        <v>61</v>
      </c>
      <c r="L336" s="1" t="s">
        <v>61</v>
      </c>
      <c r="M336" s="1" t="s">
        <v>62</v>
      </c>
      <c r="N336" s="1">
        <v>-103.0</v>
      </c>
      <c r="O336" s="1">
        <v>0.0783972920363319</v>
      </c>
      <c r="P336" s="1" t="s">
        <v>61</v>
      </c>
      <c r="Q336" s="1" t="s">
        <v>61</v>
      </c>
      <c r="R336" s="1">
        <f t="shared" si="1"/>
        <v>0.07839729204</v>
      </c>
      <c r="S336" s="1">
        <f t="shared" si="2"/>
        <v>-103</v>
      </c>
      <c r="T336" s="1">
        <f t="shared" si="3"/>
        <v>1.970873786</v>
      </c>
      <c r="U336" s="1">
        <f t="shared" si="4"/>
        <v>0</v>
      </c>
      <c r="V336" s="3">
        <f t="shared" si="5"/>
        <v>2</v>
      </c>
      <c r="W336" s="3">
        <f t="shared" si="6"/>
        <v>2</v>
      </c>
      <c r="X336" s="3" t="str">
        <f>IFERROR(__xludf.DUMMYFUNCTION("split(B336,"" "")"),"T.")</f>
        <v>T.</v>
      </c>
      <c r="Y336" s="3" t="str">
        <f>IFERROR(__xludf.DUMMYFUNCTION("""COMPUTED_VALUE"""),"DeVito")</f>
        <v>DeVito</v>
      </c>
      <c r="AA336" s="8">
        <v>7.0</v>
      </c>
      <c r="AB336" s="3">
        <f t="shared" si="7"/>
        <v>1</v>
      </c>
      <c r="AC336" s="3">
        <f t="shared" si="8"/>
        <v>0</v>
      </c>
      <c r="AD336" s="3">
        <f t="shared" si="9"/>
        <v>1.941747573</v>
      </c>
      <c r="AE336" s="3">
        <f t="shared" si="10"/>
        <v>-2</v>
      </c>
      <c r="AF336" s="3">
        <f t="shared" si="11"/>
        <v>-2</v>
      </c>
      <c r="AG336" s="3">
        <f t="shared" si="12"/>
        <v>-0.5555555556</v>
      </c>
    </row>
    <row r="337">
      <c r="A337" s="1" t="s">
        <v>8</v>
      </c>
      <c r="B337" s="1" t="s">
        <v>270</v>
      </c>
      <c r="C337" s="1" t="s">
        <v>19</v>
      </c>
      <c r="D337" s="1" t="s">
        <v>147</v>
      </c>
      <c r="E337" s="1" t="s">
        <v>113</v>
      </c>
      <c r="F337" s="1" t="s">
        <v>695</v>
      </c>
      <c r="G337" s="1">
        <v>5.5</v>
      </c>
      <c r="H337" s="1" t="s">
        <v>60</v>
      </c>
      <c r="I337" s="1">
        <v>-113.0</v>
      </c>
      <c r="J337" s="1">
        <v>-0.144062838483465</v>
      </c>
      <c r="K337" s="1" t="s">
        <v>61</v>
      </c>
      <c r="L337" s="1" t="s">
        <v>61</v>
      </c>
      <c r="M337" s="1" t="s">
        <v>62</v>
      </c>
      <c r="N337" s="1">
        <v>-118.0</v>
      </c>
      <c r="O337" s="1">
        <v>0.0722538065341018</v>
      </c>
      <c r="P337" s="1" t="s">
        <v>61</v>
      </c>
      <c r="Q337" s="1" t="s">
        <v>61</v>
      </c>
      <c r="R337" s="1">
        <f t="shared" si="1"/>
        <v>0.07225380653</v>
      </c>
      <c r="S337" s="1">
        <f t="shared" si="2"/>
        <v>-118</v>
      </c>
      <c r="T337" s="1">
        <f t="shared" si="3"/>
        <v>1.847457627</v>
      </c>
      <c r="U337" s="1">
        <f t="shared" si="4"/>
        <v>0</v>
      </c>
      <c r="V337" s="3">
        <f t="shared" si="5"/>
        <v>2</v>
      </c>
      <c r="W337" s="3">
        <f t="shared" si="6"/>
        <v>3</v>
      </c>
      <c r="X337" s="3" t="str">
        <f>IFERROR(__xludf.DUMMYFUNCTION("split(B337,"" "")"),"D.")</f>
        <v>D.</v>
      </c>
      <c r="Y337" s="3" t="str">
        <f>IFERROR(__xludf.DUMMYFUNCTION("""COMPUTED_VALUE"""),"Singletary")</f>
        <v>Singletary</v>
      </c>
      <c r="AA337" s="8">
        <v>2.0</v>
      </c>
      <c r="AB337" s="3">
        <f t="shared" si="7"/>
        <v>0</v>
      </c>
      <c r="AC337" s="3">
        <f t="shared" si="8"/>
        <v>1</v>
      </c>
      <c r="AD337" s="3">
        <f t="shared" si="9"/>
        <v>1.694915254</v>
      </c>
      <c r="AE337" s="3">
        <f t="shared" si="10"/>
        <v>1.694915254</v>
      </c>
      <c r="AF337" s="3">
        <f t="shared" si="11"/>
        <v>2.542372881</v>
      </c>
      <c r="AG337" s="3">
        <f t="shared" si="12"/>
        <v>0.6363636364</v>
      </c>
    </row>
    <row r="338">
      <c r="A338" s="1" t="s">
        <v>12</v>
      </c>
      <c r="B338" s="1" t="s">
        <v>568</v>
      </c>
      <c r="C338" s="1" t="s">
        <v>19</v>
      </c>
      <c r="D338" s="1" t="s">
        <v>147</v>
      </c>
      <c r="E338" s="1" t="s">
        <v>113</v>
      </c>
      <c r="F338" s="1" t="s">
        <v>695</v>
      </c>
      <c r="G338" s="1">
        <v>2.5</v>
      </c>
      <c r="H338" s="1" t="s">
        <v>60</v>
      </c>
      <c r="I338" s="1">
        <v>135.0</v>
      </c>
      <c r="J338" s="1">
        <v>-0.137926760478723</v>
      </c>
      <c r="K338" s="1" t="s">
        <v>61</v>
      </c>
      <c r="L338" s="1" t="s">
        <v>61</v>
      </c>
      <c r="M338" s="1" t="s">
        <v>62</v>
      </c>
      <c r="N338" s="1">
        <v>-179.0</v>
      </c>
      <c r="O338" s="1">
        <v>0.0708171825179212</v>
      </c>
      <c r="P338" s="1" t="s">
        <v>61</v>
      </c>
      <c r="Q338" s="1" t="s">
        <v>61</v>
      </c>
      <c r="R338" s="1">
        <f t="shared" si="1"/>
        <v>0.07081718252</v>
      </c>
      <c r="S338" s="1">
        <f t="shared" si="2"/>
        <v>-179</v>
      </c>
      <c r="T338" s="1">
        <f t="shared" si="3"/>
        <v>1.558659218</v>
      </c>
      <c r="U338" s="1">
        <f t="shared" si="4"/>
        <v>0</v>
      </c>
      <c r="V338" s="3">
        <f t="shared" si="5"/>
        <v>2</v>
      </c>
      <c r="W338" s="3">
        <f t="shared" si="6"/>
        <v>3</v>
      </c>
      <c r="X338" s="3" t="str">
        <f>IFERROR(__xludf.DUMMYFUNCTION("split(B338,"" "")"),"T.")</f>
        <v>T.</v>
      </c>
      <c r="Y338" s="3" t="str">
        <f>IFERROR(__xludf.DUMMYFUNCTION("""COMPUTED_VALUE"""),"Tracy")</f>
        <v>Tracy</v>
      </c>
      <c r="AA338" s="8">
        <v>4.0</v>
      </c>
      <c r="AB338" s="3">
        <f t="shared" si="7"/>
        <v>1</v>
      </c>
      <c r="AC338" s="3">
        <f t="shared" si="8"/>
        <v>0</v>
      </c>
      <c r="AD338" s="3">
        <f t="shared" si="9"/>
        <v>1.117318436</v>
      </c>
      <c r="AE338" s="3">
        <f t="shared" si="10"/>
        <v>-2</v>
      </c>
      <c r="AF338" s="3">
        <f t="shared" si="11"/>
        <v>-3</v>
      </c>
      <c r="AG338" s="3">
        <f t="shared" si="12"/>
        <v>-0.6</v>
      </c>
    </row>
    <row r="339">
      <c r="A339" s="1" t="s">
        <v>17</v>
      </c>
      <c r="B339" s="1" t="s">
        <v>703</v>
      </c>
      <c r="C339" s="1" t="s">
        <v>21</v>
      </c>
      <c r="D339" s="1" t="s">
        <v>147</v>
      </c>
      <c r="E339" s="1" t="s">
        <v>113</v>
      </c>
      <c r="F339" s="1" t="s">
        <v>695</v>
      </c>
      <c r="G339" s="1">
        <v>0.5</v>
      </c>
      <c r="H339" s="1" t="s">
        <v>60</v>
      </c>
      <c r="I339" s="1">
        <v>-135.0</v>
      </c>
      <c r="J339" s="1">
        <v>-0.133425531914893</v>
      </c>
      <c r="K339" s="1" t="s">
        <v>61</v>
      </c>
      <c r="L339" s="1" t="s">
        <v>61</v>
      </c>
      <c r="M339" s="1" t="s">
        <v>62</v>
      </c>
      <c r="N339" s="1">
        <v>103.0</v>
      </c>
      <c r="O339" s="1">
        <v>0.0663399014778325</v>
      </c>
      <c r="P339" s="1" t="s">
        <v>61</v>
      </c>
      <c r="Q339" s="1" t="s">
        <v>61</v>
      </c>
      <c r="R339" s="1">
        <f t="shared" si="1"/>
        <v>0.06633990148</v>
      </c>
      <c r="S339" s="1">
        <f t="shared" si="2"/>
        <v>103</v>
      </c>
      <c r="T339" s="1">
        <f t="shared" si="3"/>
        <v>2.03</v>
      </c>
      <c r="U339" s="1">
        <f t="shared" si="4"/>
        <v>0</v>
      </c>
      <c r="V339" s="3">
        <f t="shared" si="5"/>
        <v>2</v>
      </c>
      <c r="W339" s="3">
        <f t="shared" si="6"/>
        <v>2</v>
      </c>
      <c r="X339" s="3" t="str">
        <f>IFERROR(__xludf.DUMMYFUNCTION("split(B339,"" "")"),"T.")</f>
        <v>T.</v>
      </c>
      <c r="Y339" s="3" t="str">
        <f>IFERROR(__xludf.DUMMYFUNCTION("""COMPUTED_VALUE"""),"DeVito")</f>
        <v>DeVito</v>
      </c>
      <c r="AA339" s="8">
        <v>0.0</v>
      </c>
      <c r="AB339" s="3">
        <f t="shared" si="7"/>
        <v>0</v>
      </c>
      <c r="AC339" s="3">
        <f t="shared" si="8"/>
        <v>1</v>
      </c>
      <c r="AD339" s="3">
        <f t="shared" si="9"/>
        <v>2.06</v>
      </c>
      <c r="AE339" s="3">
        <f t="shared" si="10"/>
        <v>2.06</v>
      </c>
      <c r="AF339" s="3">
        <f t="shared" si="11"/>
        <v>2.06</v>
      </c>
      <c r="AG339" s="3">
        <f t="shared" si="12"/>
        <v>1</v>
      </c>
    </row>
    <row r="340">
      <c r="A340" s="1" t="s">
        <v>11</v>
      </c>
      <c r="B340" s="1" t="s">
        <v>477</v>
      </c>
      <c r="C340" s="1" t="s">
        <v>20</v>
      </c>
      <c r="D340" s="1" t="s">
        <v>147</v>
      </c>
      <c r="E340" s="1" t="s">
        <v>113</v>
      </c>
      <c r="F340" s="1" t="s">
        <v>695</v>
      </c>
      <c r="G340" s="1">
        <v>21.5</v>
      </c>
      <c r="H340" s="1" t="s">
        <v>60</v>
      </c>
      <c r="I340" s="1">
        <v>-120.0</v>
      </c>
      <c r="J340" s="1">
        <v>-0.126970903207641</v>
      </c>
      <c r="K340" s="1" t="s">
        <v>61</v>
      </c>
      <c r="L340" s="1" t="s">
        <v>61</v>
      </c>
      <c r="M340" s="1" t="s">
        <v>62</v>
      </c>
      <c r="N340" s="1">
        <v>-108.0</v>
      </c>
      <c r="O340" s="1">
        <v>0.0623163778948823</v>
      </c>
      <c r="P340" s="1" t="s">
        <v>61</v>
      </c>
      <c r="Q340" s="1" t="s">
        <v>61</v>
      </c>
      <c r="R340" s="1">
        <f t="shared" si="1"/>
        <v>0.06231637789</v>
      </c>
      <c r="S340" s="1">
        <f t="shared" si="2"/>
        <v>-108</v>
      </c>
      <c r="T340" s="1">
        <f t="shared" si="3"/>
        <v>1.925925926</v>
      </c>
      <c r="U340" s="1">
        <f t="shared" si="4"/>
        <v>0</v>
      </c>
      <c r="V340" s="3">
        <f t="shared" si="5"/>
        <v>2</v>
      </c>
      <c r="W340" s="3">
        <f t="shared" si="6"/>
        <v>2</v>
      </c>
      <c r="X340" s="3" t="str">
        <f>IFERROR(__xludf.DUMMYFUNCTION("split(B340,"" "")"),"T.")</f>
        <v>T.</v>
      </c>
      <c r="Y340" s="3" t="str">
        <f>IFERROR(__xludf.DUMMYFUNCTION("""COMPUTED_VALUE"""),"Johnson")</f>
        <v>Johnson</v>
      </c>
      <c r="AA340" s="8">
        <v>39.0</v>
      </c>
      <c r="AB340" s="3">
        <f t="shared" si="7"/>
        <v>1</v>
      </c>
      <c r="AC340" s="3">
        <f t="shared" si="8"/>
        <v>0</v>
      </c>
      <c r="AD340" s="3">
        <f t="shared" si="9"/>
        <v>1.851851852</v>
      </c>
      <c r="AE340" s="3">
        <f t="shared" si="10"/>
        <v>-2</v>
      </c>
      <c r="AF340" s="3">
        <f t="shared" si="11"/>
        <v>-2</v>
      </c>
      <c r="AG340" s="3">
        <f t="shared" si="12"/>
        <v>-0.8139534884</v>
      </c>
    </row>
    <row r="341">
      <c r="A341" s="1" t="s">
        <v>9</v>
      </c>
      <c r="B341" s="1" t="s">
        <v>568</v>
      </c>
      <c r="C341" s="1" t="s">
        <v>19</v>
      </c>
      <c r="D341" s="1" t="s">
        <v>147</v>
      </c>
      <c r="E341" s="1" t="s">
        <v>113</v>
      </c>
      <c r="F341" s="1" t="s">
        <v>695</v>
      </c>
      <c r="G341" s="1">
        <v>77.5</v>
      </c>
      <c r="H341" s="1" t="s">
        <v>60</v>
      </c>
      <c r="I341" s="1">
        <v>-114.0</v>
      </c>
      <c r="J341" s="1">
        <v>-0.119944094950969</v>
      </c>
      <c r="K341" s="1" t="s">
        <v>61</v>
      </c>
      <c r="L341" s="1" t="s">
        <v>61</v>
      </c>
      <c r="M341" s="1" t="s">
        <v>62</v>
      </c>
      <c r="N341" s="1">
        <v>-119.0</v>
      </c>
      <c r="O341" s="1">
        <v>0.0438440421014328</v>
      </c>
      <c r="P341" s="1" t="s">
        <v>61</v>
      </c>
      <c r="Q341" s="1" t="s">
        <v>61</v>
      </c>
      <c r="R341" s="1">
        <f t="shared" si="1"/>
        <v>0.0438440421</v>
      </c>
      <c r="S341" s="1">
        <f t="shared" si="2"/>
        <v>-119</v>
      </c>
      <c r="T341" s="1">
        <f t="shared" si="3"/>
        <v>1.840336134</v>
      </c>
      <c r="U341" s="1">
        <f t="shared" si="4"/>
        <v>0</v>
      </c>
      <c r="V341" s="3">
        <f t="shared" si="5"/>
        <v>1</v>
      </c>
      <c r="W341" s="3">
        <f t="shared" si="6"/>
        <v>3</v>
      </c>
      <c r="X341" s="3" t="str">
        <f>IFERROR(__xludf.DUMMYFUNCTION("split(B341,"" "")"),"T.")</f>
        <v>T.</v>
      </c>
      <c r="Y341" s="3" t="str">
        <f>IFERROR(__xludf.DUMMYFUNCTION("""COMPUTED_VALUE"""),"Tracy")</f>
        <v>Tracy</v>
      </c>
      <c r="AA341" s="8">
        <v>70.0</v>
      </c>
      <c r="AB341" s="3">
        <f t="shared" si="7"/>
        <v>0</v>
      </c>
      <c r="AC341" s="3">
        <f t="shared" si="8"/>
        <v>1</v>
      </c>
      <c r="AD341" s="3">
        <f t="shared" si="9"/>
        <v>0.8403361345</v>
      </c>
      <c r="AE341" s="3">
        <f t="shared" si="10"/>
        <v>0.8403361345</v>
      </c>
      <c r="AF341" s="3">
        <f t="shared" si="11"/>
        <v>2.521008403</v>
      </c>
      <c r="AG341" s="3">
        <f t="shared" si="12"/>
        <v>0.09677419355</v>
      </c>
    </row>
    <row r="342">
      <c r="A342" s="1" t="s">
        <v>10</v>
      </c>
      <c r="B342" s="1" t="s">
        <v>568</v>
      </c>
      <c r="C342" s="1" t="s">
        <v>19</v>
      </c>
      <c r="D342" s="1" t="s">
        <v>147</v>
      </c>
      <c r="E342" s="1" t="s">
        <v>113</v>
      </c>
      <c r="F342" s="1" t="s">
        <v>695</v>
      </c>
      <c r="G342" s="1">
        <v>61.5</v>
      </c>
      <c r="H342" s="1" t="s">
        <v>60</v>
      </c>
      <c r="I342" s="1">
        <v>-118.0</v>
      </c>
      <c r="J342" s="1">
        <v>-0.108470963373559</v>
      </c>
      <c r="K342" s="1" t="s">
        <v>61</v>
      </c>
      <c r="L342" s="1" t="s">
        <v>61</v>
      </c>
      <c r="M342" s="1" t="s">
        <v>62</v>
      </c>
      <c r="N342" s="1">
        <v>-110.0</v>
      </c>
      <c r="O342" s="1">
        <v>0.0433885731493308</v>
      </c>
      <c r="P342" s="1" t="s">
        <v>61</v>
      </c>
      <c r="Q342" s="1" t="s">
        <v>61</v>
      </c>
      <c r="R342" s="1">
        <f t="shared" si="1"/>
        <v>0.04338857315</v>
      </c>
      <c r="S342" s="1">
        <f t="shared" si="2"/>
        <v>-110</v>
      </c>
      <c r="T342" s="1">
        <f t="shared" si="3"/>
        <v>1.909090909</v>
      </c>
      <c r="U342" s="1">
        <f t="shared" si="4"/>
        <v>0</v>
      </c>
      <c r="V342" s="3">
        <f t="shared" si="5"/>
        <v>1</v>
      </c>
      <c r="W342" s="3">
        <f t="shared" si="6"/>
        <v>2</v>
      </c>
      <c r="X342" s="3" t="str">
        <f>IFERROR(__xludf.DUMMYFUNCTION("split(B342,"" "")"),"T.")</f>
        <v>T.</v>
      </c>
      <c r="Y342" s="3" t="str">
        <f>IFERROR(__xludf.DUMMYFUNCTION("""COMPUTED_VALUE"""),"Tracy")</f>
        <v>Tracy</v>
      </c>
      <c r="AA342" s="8">
        <v>42.0</v>
      </c>
      <c r="AB342" s="3">
        <f t="shared" si="7"/>
        <v>0</v>
      </c>
      <c r="AC342" s="3">
        <f t="shared" si="8"/>
        <v>1</v>
      </c>
      <c r="AD342" s="3">
        <f t="shared" si="9"/>
        <v>0.9090909091</v>
      </c>
      <c r="AE342" s="3">
        <f t="shared" si="10"/>
        <v>0.9090909091</v>
      </c>
      <c r="AF342" s="3">
        <f t="shared" si="11"/>
        <v>1.818181818</v>
      </c>
      <c r="AG342" s="3">
        <f t="shared" si="12"/>
        <v>0.3170731707</v>
      </c>
    </row>
    <row r="343">
      <c r="A343" s="1" t="s">
        <v>16</v>
      </c>
      <c r="B343" s="1" t="s">
        <v>703</v>
      </c>
      <c r="C343" s="1" t="s">
        <v>21</v>
      </c>
      <c r="D343" s="1" t="s">
        <v>147</v>
      </c>
      <c r="E343" s="1" t="s">
        <v>113</v>
      </c>
      <c r="F343" s="1" t="s">
        <v>695</v>
      </c>
      <c r="G343" s="1">
        <v>28.5</v>
      </c>
      <c r="H343" s="1" t="s">
        <v>60</v>
      </c>
      <c r="I343" s="1">
        <v>-113.0</v>
      </c>
      <c r="J343" s="1">
        <v>-0.112309488685446</v>
      </c>
      <c r="K343" s="1" t="s">
        <v>61</v>
      </c>
      <c r="L343" s="1" t="s">
        <v>61</v>
      </c>
      <c r="M343" s="1" t="s">
        <v>62</v>
      </c>
      <c r="N343" s="1">
        <v>-117.0</v>
      </c>
      <c r="O343" s="1">
        <v>0.0426363625589862</v>
      </c>
      <c r="P343" s="1" t="s">
        <v>61</v>
      </c>
      <c r="Q343" s="1" t="s">
        <v>61</v>
      </c>
      <c r="R343" s="1">
        <f t="shared" si="1"/>
        <v>0.04263636256</v>
      </c>
      <c r="S343" s="1">
        <f t="shared" si="2"/>
        <v>-117</v>
      </c>
      <c r="T343" s="1">
        <f t="shared" si="3"/>
        <v>1.854700855</v>
      </c>
      <c r="U343" s="1">
        <f t="shared" si="4"/>
        <v>0</v>
      </c>
      <c r="V343" s="3">
        <f t="shared" si="5"/>
        <v>1</v>
      </c>
      <c r="W343" s="3">
        <f t="shared" si="6"/>
        <v>2</v>
      </c>
      <c r="X343" s="3" t="str">
        <f>IFERROR(__xludf.DUMMYFUNCTION("split(B343,"" "")"),"T.")</f>
        <v>T.</v>
      </c>
      <c r="Y343" s="3" t="str">
        <f>IFERROR(__xludf.DUMMYFUNCTION("""COMPUTED_VALUE"""),"DeVito")</f>
        <v>DeVito</v>
      </c>
      <c r="AA343" s="8">
        <v>31.0</v>
      </c>
      <c r="AB343" s="3">
        <f t="shared" si="7"/>
        <v>1</v>
      </c>
      <c r="AC343" s="3">
        <f t="shared" si="8"/>
        <v>0</v>
      </c>
      <c r="AD343" s="3">
        <f t="shared" si="9"/>
        <v>0.8547008547</v>
      </c>
      <c r="AE343" s="3">
        <f t="shared" si="10"/>
        <v>-1</v>
      </c>
      <c r="AF343" s="3">
        <f t="shared" si="11"/>
        <v>-2</v>
      </c>
      <c r="AG343" s="3">
        <f t="shared" si="12"/>
        <v>-0.08771929825</v>
      </c>
    </row>
    <row r="344">
      <c r="A344" s="1" t="s">
        <v>11</v>
      </c>
      <c r="B344" s="1" t="s">
        <v>483</v>
      </c>
      <c r="C344" s="1" t="s">
        <v>18</v>
      </c>
      <c r="D344" s="1" t="s">
        <v>147</v>
      </c>
      <c r="E344" s="1" t="s">
        <v>113</v>
      </c>
      <c r="F344" s="1" t="s">
        <v>695</v>
      </c>
      <c r="G344" s="1">
        <v>26.5</v>
      </c>
      <c r="H344" s="1" t="s">
        <v>60</v>
      </c>
      <c r="I344" s="1">
        <v>-114.0</v>
      </c>
      <c r="J344" s="1">
        <v>-0.0796625647808411</v>
      </c>
      <c r="K344" s="1" t="s">
        <v>61</v>
      </c>
      <c r="L344" s="1" t="s">
        <v>61</v>
      </c>
      <c r="M344" s="1" t="s">
        <v>62</v>
      </c>
      <c r="N344" s="1">
        <v>-113.0</v>
      </c>
      <c r="O344" s="1">
        <v>0.0164699878652723</v>
      </c>
      <c r="P344" s="1" t="s">
        <v>61</v>
      </c>
      <c r="Q344" s="1" t="s">
        <v>61</v>
      </c>
      <c r="R344" s="1">
        <f t="shared" si="1"/>
        <v>0.01646998787</v>
      </c>
      <c r="S344" s="1">
        <f t="shared" si="2"/>
        <v>-113</v>
      </c>
      <c r="T344" s="1">
        <f t="shared" si="3"/>
        <v>1.884955752</v>
      </c>
      <c r="U344" s="1">
        <f t="shared" si="4"/>
        <v>0</v>
      </c>
      <c r="V344" s="3">
        <f t="shared" si="5"/>
        <v>1</v>
      </c>
      <c r="W344" s="3">
        <f t="shared" si="6"/>
        <v>2</v>
      </c>
      <c r="X344" s="3" t="str">
        <f>IFERROR(__xludf.DUMMYFUNCTION("split(B344,"" "")"),"D.")</f>
        <v>D.</v>
      </c>
      <c r="Y344" s="3" t="str">
        <f>IFERROR(__xludf.DUMMYFUNCTION("""COMPUTED_VALUE"""),"Slayton")</f>
        <v>Slayton</v>
      </c>
      <c r="AA344" s="8">
        <v>0.0</v>
      </c>
      <c r="AB344" s="3">
        <f t="shared" si="7"/>
        <v>0</v>
      </c>
      <c r="AC344" s="3">
        <f t="shared" si="8"/>
        <v>1</v>
      </c>
      <c r="AD344" s="3">
        <f t="shared" si="9"/>
        <v>0.8849557522</v>
      </c>
      <c r="AE344" s="3">
        <f t="shared" si="10"/>
        <v>0.8849557522</v>
      </c>
      <c r="AF344" s="3">
        <f t="shared" si="11"/>
        <v>1.769911504</v>
      </c>
      <c r="AG344" s="3">
        <f t="shared" si="12"/>
        <v>1</v>
      </c>
    </row>
    <row r="345">
      <c r="A345" s="1" t="s">
        <v>9</v>
      </c>
      <c r="B345" s="1" t="s">
        <v>354</v>
      </c>
      <c r="C345" s="1" t="s">
        <v>18</v>
      </c>
      <c r="D345" s="1" t="s">
        <v>147</v>
      </c>
      <c r="E345" s="1" t="s">
        <v>113</v>
      </c>
      <c r="F345" s="1" t="s">
        <v>695</v>
      </c>
      <c r="G345" s="1">
        <v>37.5</v>
      </c>
      <c r="H345" s="1" t="s">
        <v>60</v>
      </c>
      <c r="I345" s="1">
        <v>-120.0</v>
      </c>
      <c r="J345" s="1">
        <v>0.00777669218215448</v>
      </c>
      <c r="K345" s="1" t="s">
        <v>61</v>
      </c>
      <c r="L345" s="1" t="s">
        <v>61</v>
      </c>
      <c r="M345" s="1" t="s">
        <v>62</v>
      </c>
      <c r="N345" s="1">
        <v>-110.0</v>
      </c>
      <c r="O345" s="1">
        <v>-0.0770455214670542</v>
      </c>
      <c r="P345" s="1" t="s">
        <v>61</v>
      </c>
      <c r="Q345" s="1" t="s">
        <v>61</v>
      </c>
      <c r="R345" s="1">
        <f t="shared" si="1"/>
        <v>0.007776692182</v>
      </c>
      <c r="S345" s="1">
        <f t="shared" si="2"/>
        <v>-120</v>
      </c>
      <c r="T345" s="1">
        <f t="shared" si="3"/>
        <v>1.833333333</v>
      </c>
      <c r="U345" s="1">
        <f t="shared" si="4"/>
        <v>1</v>
      </c>
      <c r="V345" s="3">
        <f t="shared" si="5"/>
        <v>1</v>
      </c>
      <c r="W345" s="3">
        <f t="shared" si="6"/>
        <v>3</v>
      </c>
      <c r="X345" s="3" t="str">
        <f>IFERROR(__xludf.DUMMYFUNCTION("split(B345,"" "")"),"W.")</f>
        <v>W.</v>
      </c>
      <c r="Y345" s="3" t="str">
        <f>IFERROR(__xludf.DUMMYFUNCTION("""COMPUTED_VALUE"""),"Robinson")</f>
        <v>Robinson</v>
      </c>
      <c r="AA345" s="8">
        <v>47.0</v>
      </c>
      <c r="AB345" s="3">
        <f t="shared" si="7"/>
        <v>1</v>
      </c>
      <c r="AC345" s="3">
        <f t="shared" si="8"/>
        <v>1</v>
      </c>
      <c r="AD345" s="3">
        <f t="shared" si="9"/>
        <v>0.8333333333</v>
      </c>
      <c r="AE345" s="3">
        <f t="shared" si="10"/>
        <v>0.8333333333</v>
      </c>
      <c r="AF345" s="3">
        <f t="shared" si="11"/>
        <v>2.5</v>
      </c>
      <c r="AG345" s="3">
        <f t="shared" si="12"/>
        <v>0.2533333333</v>
      </c>
    </row>
    <row r="346">
      <c r="A346" s="1" t="s">
        <v>13</v>
      </c>
      <c r="B346" s="1" t="s">
        <v>703</v>
      </c>
      <c r="C346" s="1" t="s">
        <v>21</v>
      </c>
      <c r="D346" s="1" t="s">
        <v>147</v>
      </c>
      <c r="E346" s="1" t="s">
        <v>113</v>
      </c>
      <c r="F346" s="1" t="s">
        <v>695</v>
      </c>
      <c r="G346" s="1">
        <v>181.5</v>
      </c>
      <c r="H346" s="1" t="s">
        <v>60</v>
      </c>
      <c r="I346" s="1">
        <v>-115.0</v>
      </c>
      <c r="J346" s="1">
        <v>0.00724552879999973</v>
      </c>
      <c r="K346" s="1" t="s">
        <v>61</v>
      </c>
      <c r="L346" s="1" t="s">
        <v>61</v>
      </c>
      <c r="M346" s="1" t="s">
        <v>62</v>
      </c>
      <c r="N346" s="1">
        <v>-115.0</v>
      </c>
      <c r="O346" s="1">
        <v>-0.0769573581199997</v>
      </c>
      <c r="P346" s="1" t="s">
        <v>61</v>
      </c>
      <c r="Q346" s="1" t="s">
        <v>61</v>
      </c>
      <c r="R346" s="1">
        <f t="shared" si="1"/>
        <v>0.0072455288</v>
      </c>
      <c r="S346" s="1">
        <f t="shared" si="2"/>
        <v>-115</v>
      </c>
      <c r="T346" s="1">
        <f t="shared" si="3"/>
        <v>1.869565217</v>
      </c>
      <c r="U346" s="1">
        <f t="shared" si="4"/>
        <v>1</v>
      </c>
      <c r="V346" s="3">
        <f t="shared" si="5"/>
        <v>1</v>
      </c>
      <c r="W346" s="3">
        <f t="shared" si="6"/>
        <v>2</v>
      </c>
      <c r="X346" s="3" t="str">
        <f>IFERROR(__xludf.DUMMYFUNCTION("split(B346,"" "")"),"T.")</f>
        <v>T.</v>
      </c>
      <c r="Y346" s="3" t="str">
        <f>IFERROR(__xludf.DUMMYFUNCTION("""COMPUTED_VALUE"""),"DeVito")</f>
        <v>DeVito</v>
      </c>
      <c r="AA346" s="8">
        <v>189.0</v>
      </c>
      <c r="AB346" s="3">
        <f t="shared" si="7"/>
        <v>1</v>
      </c>
      <c r="AC346" s="3">
        <f t="shared" si="8"/>
        <v>1</v>
      </c>
      <c r="AD346" s="3">
        <f t="shared" si="9"/>
        <v>0.8695652174</v>
      </c>
      <c r="AE346" s="3">
        <f t="shared" si="10"/>
        <v>0.8695652174</v>
      </c>
      <c r="AF346" s="3">
        <f t="shared" si="11"/>
        <v>1.739130435</v>
      </c>
      <c r="AG346" s="3">
        <f t="shared" si="12"/>
        <v>0.04132231405</v>
      </c>
    </row>
    <row r="347">
      <c r="A347" s="1" t="s">
        <v>15</v>
      </c>
      <c r="B347" s="1" t="s">
        <v>703</v>
      </c>
      <c r="C347" s="1" t="s">
        <v>21</v>
      </c>
      <c r="D347" s="1" t="s">
        <v>147</v>
      </c>
      <c r="E347" s="1" t="s">
        <v>113</v>
      </c>
      <c r="F347" s="1" t="s">
        <v>695</v>
      </c>
      <c r="G347" s="1">
        <v>18.5</v>
      </c>
      <c r="H347" s="1" t="s">
        <v>60</v>
      </c>
      <c r="I347" s="1">
        <v>-102.0</v>
      </c>
      <c r="J347" s="1">
        <v>-0.0662506794554454</v>
      </c>
      <c r="K347" s="1" t="s">
        <v>61</v>
      </c>
      <c r="L347" s="1" t="s">
        <v>61</v>
      </c>
      <c r="M347" s="1" t="s">
        <v>62</v>
      </c>
      <c r="N347" s="1">
        <v>-126.0</v>
      </c>
      <c r="O347" s="1">
        <v>0.00376546431415913</v>
      </c>
      <c r="P347" s="1" t="s">
        <v>61</v>
      </c>
      <c r="Q347" s="1" t="s">
        <v>61</v>
      </c>
      <c r="R347" s="1">
        <f t="shared" si="1"/>
        <v>0.003765464314</v>
      </c>
      <c r="S347" s="1">
        <f t="shared" si="2"/>
        <v>-126</v>
      </c>
      <c r="T347" s="1">
        <f t="shared" si="3"/>
        <v>1.793650794</v>
      </c>
      <c r="U347" s="1">
        <f t="shared" si="4"/>
        <v>0</v>
      </c>
      <c r="V347" s="3">
        <f t="shared" si="5"/>
        <v>1</v>
      </c>
      <c r="W347" s="3">
        <f t="shared" si="6"/>
        <v>3</v>
      </c>
      <c r="X347" s="3" t="str">
        <f>IFERROR(__xludf.DUMMYFUNCTION("split(B347,"" "")"),"T.")</f>
        <v>T.</v>
      </c>
      <c r="Y347" s="3" t="str">
        <f>IFERROR(__xludf.DUMMYFUNCTION("""COMPUTED_VALUE"""),"DeVito")</f>
        <v>DeVito</v>
      </c>
      <c r="AA347" s="8">
        <v>21.0</v>
      </c>
      <c r="AB347" s="3">
        <f t="shared" si="7"/>
        <v>1</v>
      </c>
      <c r="AC347" s="3">
        <f t="shared" si="8"/>
        <v>0</v>
      </c>
      <c r="AD347" s="3">
        <f t="shared" si="9"/>
        <v>0.7936507937</v>
      </c>
      <c r="AE347" s="3">
        <f t="shared" si="10"/>
        <v>-1</v>
      </c>
      <c r="AF347" s="3">
        <f t="shared" si="11"/>
        <v>-3</v>
      </c>
      <c r="AG347" s="3">
        <f t="shared" si="12"/>
        <v>-0.1351351351</v>
      </c>
    </row>
    <row r="348">
      <c r="A348" s="1" t="s">
        <v>12</v>
      </c>
      <c r="B348" s="1" t="s">
        <v>354</v>
      </c>
      <c r="C348" s="1" t="s">
        <v>18</v>
      </c>
      <c r="D348" s="1" t="s">
        <v>147</v>
      </c>
      <c r="E348" s="1" t="s">
        <v>113</v>
      </c>
      <c r="F348" s="1" t="s">
        <v>695</v>
      </c>
      <c r="G348" s="1">
        <v>4.5</v>
      </c>
      <c r="H348" s="1" t="s">
        <v>60</v>
      </c>
      <c r="I348" s="1">
        <v>106.0</v>
      </c>
      <c r="J348" s="1">
        <v>6.14563106796084E-4</v>
      </c>
      <c r="K348" s="1" t="s">
        <v>61</v>
      </c>
      <c r="L348" s="1" t="s">
        <v>61</v>
      </c>
      <c r="M348" s="1" t="s">
        <v>62</v>
      </c>
      <c r="N348" s="1">
        <v>-140.0</v>
      </c>
      <c r="O348" s="1">
        <v>-0.0693916666666665</v>
      </c>
      <c r="P348" s="1" t="s">
        <v>61</v>
      </c>
      <c r="Q348" s="1" t="s">
        <v>61</v>
      </c>
      <c r="R348" s="1">
        <f t="shared" si="1"/>
        <v>0.0006145631068</v>
      </c>
      <c r="S348" s="1">
        <f t="shared" si="2"/>
        <v>106</v>
      </c>
      <c r="T348" s="1">
        <f t="shared" si="3"/>
        <v>2.06</v>
      </c>
      <c r="U348" s="1">
        <f t="shared" si="4"/>
        <v>1</v>
      </c>
      <c r="V348" s="3">
        <f t="shared" si="5"/>
        <v>1</v>
      </c>
      <c r="W348" s="3">
        <f t="shared" si="6"/>
        <v>2</v>
      </c>
      <c r="X348" s="3" t="str">
        <f>IFERROR(__xludf.DUMMYFUNCTION("split(B348,"" "")"),"W.")</f>
        <v>W.</v>
      </c>
      <c r="Y348" s="3" t="str">
        <f>IFERROR(__xludf.DUMMYFUNCTION("""COMPUTED_VALUE"""),"Robinson")</f>
        <v>Robinson</v>
      </c>
      <c r="AA348" s="8">
        <v>5.0</v>
      </c>
      <c r="AB348" s="3">
        <f t="shared" si="7"/>
        <v>1</v>
      </c>
      <c r="AC348" s="3">
        <f t="shared" si="8"/>
        <v>1</v>
      </c>
      <c r="AD348" s="3">
        <f t="shared" si="9"/>
        <v>1.06</v>
      </c>
      <c r="AE348" s="3">
        <f t="shared" si="10"/>
        <v>1.06</v>
      </c>
      <c r="AF348" s="3">
        <f t="shared" si="11"/>
        <v>2.12</v>
      </c>
      <c r="AG348" s="3">
        <f t="shared" si="12"/>
        <v>0.1111111111</v>
      </c>
    </row>
    <row r="349">
      <c r="A349" s="1" t="s">
        <v>9</v>
      </c>
      <c r="B349" s="1" t="s">
        <v>478</v>
      </c>
      <c r="C349" s="1" t="s">
        <v>18</v>
      </c>
      <c r="D349" s="1" t="s">
        <v>147</v>
      </c>
      <c r="E349" s="1" t="s">
        <v>113</v>
      </c>
      <c r="F349" s="1" t="s">
        <v>695</v>
      </c>
      <c r="G349" s="1">
        <v>57.5</v>
      </c>
      <c r="H349" s="1" t="s">
        <v>60</v>
      </c>
      <c r="I349" s="1">
        <v>-120.0</v>
      </c>
      <c r="J349" s="1">
        <v>4.7285116658513E-4</v>
      </c>
      <c r="K349" s="1" t="s">
        <v>61</v>
      </c>
      <c r="L349" s="1" t="s">
        <v>61</v>
      </c>
      <c r="M349" s="1" t="s">
        <v>62</v>
      </c>
      <c r="N349" s="1">
        <v>-115.0</v>
      </c>
      <c r="O349" s="1">
        <v>-0.0807982853262607</v>
      </c>
      <c r="P349" s="1" t="s">
        <v>61</v>
      </c>
      <c r="Q349" s="1" t="s">
        <v>61</v>
      </c>
      <c r="R349" s="1">
        <f t="shared" si="1"/>
        <v>0.0004728511666</v>
      </c>
      <c r="S349" s="1">
        <f t="shared" si="2"/>
        <v>-120</v>
      </c>
      <c r="T349" s="1">
        <f t="shared" si="3"/>
        <v>1.833333333</v>
      </c>
      <c r="U349" s="1">
        <f t="shared" si="4"/>
        <v>1</v>
      </c>
      <c r="V349" s="3">
        <f t="shared" si="5"/>
        <v>1</v>
      </c>
      <c r="W349" s="3">
        <f t="shared" si="6"/>
        <v>3</v>
      </c>
      <c r="X349" s="3" t="str">
        <f>IFERROR(__xludf.DUMMYFUNCTION("split(B349,"" "")"),"M.")</f>
        <v>M.</v>
      </c>
      <c r="Y349" s="3" t="str">
        <f>IFERROR(__xludf.DUMMYFUNCTION("""COMPUTED_VALUE"""),"Nabers")</f>
        <v>Nabers</v>
      </c>
      <c r="AA349" s="8">
        <v>64.0</v>
      </c>
      <c r="AB349" s="3">
        <f t="shared" si="7"/>
        <v>1</v>
      </c>
      <c r="AC349" s="3">
        <f t="shared" si="8"/>
        <v>1</v>
      </c>
      <c r="AD349" s="3">
        <f t="shared" si="9"/>
        <v>0.8333333333</v>
      </c>
      <c r="AE349" s="3">
        <f t="shared" si="10"/>
        <v>0.8333333333</v>
      </c>
      <c r="AF349" s="3">
        <f t="shared" si="11"/>
        <v>2.5</v>
      </c>
      <c r="AG349" s="3">
        <f t="shared" si="12"/>
        <v>0.1130434783</v>
      </c>
    </row>
    <row r="350">
      <c r="A350" s="1" t="s">
        <v>10</v>
      </c>
      <c r="B350" s="1" t="s">
        <v>415</v>
      </c>
      <c r="C350" s="1" t="s">
        <v>18</v>
      </c>
      <c r="D350" s="1" t="s">
        <v>110</v>
      </c>
      <c r="E350" s="1" t="s">
        <v>89</v>
      </c>
      <c r="F350" s="1" t="s">
        <v>696</v>
      </c>
      <c r="G350" s="1">
        <v>0.5</v>
      </c>
      <c r="H350" s="1" t="s">
        <v>60</v>
      </c>
      <c r="I350" s="1">
        <v>370.0</v>
      </c>
      <c r="J350" s="1">
        <v>0.399991496324036</v>
      </c>
      <c r="K350" s="1" t="s">
        <v>61</v>
      </c>
      <c r="L350" s="1" t="s">
        <v>61</v>
      </c>
      <c r="M350" s="1" t="s">
        <v>62</v>
      </c>
      <c r="N350" s="1">
        <v>-571.0</v>
      </c>
      <c r="O350" s="1">
        <v>-0.463690328547475</v>
      </c>
      <c r="P350" s="1" t="s">
        <v>61</v>
      </c>
      <c r="Q350" s="1" t="s">
        <v>61</v>
      </c>
      <c r="R350" s="1">
        <f t="shared" si="1"/>
        <v>0.3999914963</v>
      </c>
      <c r="S350" s="1">
        <f t="shared" si="2"/>
        <v>370</v>
      </c>
      <c r="T350" s="1">
        <f t="shared" si="3"/>
        <v>4.7</v>
      </c>
      <c r="U350" s="1">
        <f t="shared" si="4"/>
        <v>1</v>
      </c>
      <c r="V350" s="3">
        <f t="shared" si="5"/>
        <v>3</v>
      </c>
      <c r="W350" s="3">
        <f t="shared" si="6"/>
        <v>1</v>
      </c>
      <c r="X350" s="3" t="str">
        <f>IFERROR(__xludf.DUMMYFUNCTION("split(B350,"" "")"),"G.")</f>
        <v>G.</v>
      </c>
      <c r="Y350" s="3" t="str">
        <f>IFERROR(__xludf.DUMMYFUNCTION("""COMPUTED_VALUE"""),"Pickens")</f>
        <v>Pickens</v>
      </c>
      <c r="AA350" s="8">
        <v>0.0</v>
      </c>
      <c r="AB350" s="3">
        <f t="shared" si="7"/>
        <v>0</v>
      </c>
      <c r="AC350" s="3">
        <f t="shared" si="8"/>
        <v>0</v>
      </c>
      <c r="AD350" s="3">
        <f t="shared" si="9"/>
        <v>11.1</v>
      </c>
      <c r="AE350" s="3">
        <f t="shared" si="10"/>
        <v>0</v>
      </c>
      <c r="AF350" s="3">
        <f t="shared" si="11"/>
        <v>-1</v>
      </c>
      <c r="AG350" s="3">
        <f t="shared" si="12"/>
        <v>-1</v>
      </c>
    </row>
    <row r="351">
      <c r="A351" s="1" t="s">
        <v>12</v>
      </c>
      <c r="B351" s="1" t="s">
        <v>489</v>
      </c>
      <c r="C351" s="1" t="s">
        <v>20</v>
      </c>
      <c r="D351" s="1" t="s">
        <v>110</v>
      </c>
      <c r="E351" s="1" t="s">
        <v>89</v>
      </c>
      <c r="F351" s="1" t="s">
        <v>696</v>
      </c>
      <c r="G351" s="1">
        <v>1.5</v>
      </c>
      <c r="H351" s="1" t="s">
        <v>60</v>
      </c>
      <c r="I351" s="1">
        <v>-228.0</v>
      </c>
      <c r="J351" s="1">
        <v>-0.257881571695121</v>
      </c>
      <c r="K351" s="1" t="s">
        <v>61</v>
      </c>
      <c r="L351" s="1" t="s">
        <v>61</v>
      </c>
      <c r="M351" s="1" t="s">
        <v>62</v>
      </c>
      <c r="N351" s="1">
        <v>173.0</v>
      </c>
      <c r="O351" s="1">
        <v>0.196471265626373</v>
      </c>
      <c r="P351" s="1" t="s">
        <v>61</v>
      </c>
      <c r="Q351" s="1" t="s">
        <v>61</v>
      </c>
      <c r="R351" s="1">
        <f t="shared" si="1"/>
        <v>0.1964712656</v>
      </c>
      <c r="S351" s="1">
        <f t="shared" si="2"/>
        <v>173</v>
      </c>
      <c r="T351" s="1">
        <f t="shared" si="3"/>
        <v>2.73</v>
      </c>
      <c r="U351" s="1">
        <f t="shared" si="4"/>
        <v>0</v>
      </c>
      <c r="V351" s="3">
        <f t="shared" si="5"/>
        <v>3</v>
      </c>
      <c r="W351" s="3">
        <f t="shared" si="6"/>
        <v>1</v>
      </c>
      <c r="X351" s="3" t="str">
        <f>IFERROR(__xludf.DUMMYFUNCTION("split(B351,"" "")"),"P.")</f>
        <v>P.</v>
      </c>
      <c r="Y351" s="3" t="str">
        <f>IFERROR(__xludf.DUMMYFUNCTION("""COMPUTED_VALUE"""),"Freiermuth")</f>
        <v>Freiermuth</v>
      </c>
      <c r="AA351" s="8">
        <v>4.0</v>
      </c>
      <c r="AB351" s="3">
        <f t="shared" si="7"/>
        <v>1</v>
      </c>
      <c r="AC351" s="3">
        <f t="shared" si="8"/>
        <v>0</v>
      </c>
      <c r="AD351" s="3">
        <f t="shared" si="9"/>
        <v>5.19</v>
      </c>
      <c r="AE351" s="3">
        <f t="shared" si="10"/>
        <v>-3</v>
      </c>
      <c r="AF351" s="3">
        <f t="shared" si="11"/>
        <v>-1</v>
      </c>
      <c r="AG351" s="3">
        <f t="shared" si="12"/>
        <v>-1.666666667</v>
      </c>
    </row>
    <row r="352">
      <c r="A352" s="1" t="s">
        <v>8</v>
      </c>
      <c r="B352" s="1" t="s">
        <v>214</v>
      </c>
      <c r="C352" s="1" t="s">
        <v>21</v>
      </c>
      <c r="D352" s="1" t="s">
        <v>110</v>
      </c>
      <c r="E352" s="1" t="s">
        <v>89</v>
      </c>
      <c r="F352" s="1" t="s">
        <v>696</v>
      </c>
      <c r="G352" s="1">
        <v>3.5</v>
      </c>
      <c r="H352" s="1" t="s">
        <v>60</v>
      </c>
      <c r="I352" s="1">
        <v>-143.0</v>
      </c>
      <c r="J352" s="1">
        <v>-0.240412187865642</v>
      </c>
      <c r="K352" s="1" t="s">
        <v>61</v>
      </c>
      <c r="L352" s="1" t="s">
        <v>61</v>
      </c>
      <c r="M352" s="1" t="s">
        <v>62</v>
      </c>
      <c r="N352" s="1">
        <v>106.0</v>
      </c>
      <c r="O352" s="1">
        <v>0.166504182773549</v>
      </c>
      <c r="P352" s="1" t="s">
        <v>61</v>
      </c>
      <c r="Q352" s="1" t="s">
        <v>61</v>
      </c>
      <c r="R352" s="1">
        <f t="shared" si="1"/>
        <v>0.1665041828</v>
      </c>
      <c r="S352" s="1">
        <f t="shared" si="2"/>
        <v>106</v>
      </c>
      <c r="T352" s="1">
        <f t="shared" si="3"/>
        <v>2.06</v>
      </c>
      <c r="U352" s="1">
        <f t="shared" si="4"/>
        <v>0</v>
      </c>
      <c r="V352" s="3">
        <f t="shared" si="5"/>
        <v>3</v>
      </c>
      <c r="W352" s="3">
        <f t="shared" si="6"/>
        <v>2</v>
      </c>
      <c r="X352" s="3" t="str">
        <f>IFERROR(__xludf.DUMMYFUNCTION("split(B352,"" "")"),"R.")</f>
        <v>R.</v>
      </c>
      <c r="Y352" s="3" t="str">
        <f>IFERROR(__xludf.DUMMYFUNCTION("""COMPUTED_VALUE"""),"Wilson")</f>
        <v>Wilson</v>
      </c>
      <c r="AA352" s="8">
        <v>3.0</v>
      </c>
      <c r="AB352" s="3">
        <f t="shared" si="7"/>
        <v>0</v>
      </c>
      <c r="AC352" s="3">
        <f t="shared" si="8"/>
        <v>1</v>
      </c>
      <c r="AD352" s="3">
        <f t="shared" si="9"/>
        <v>3.18</v>
      </c>
      <c r="AE352" s="3">
        <f t="shared" si="10"/>
        <v>3.18</v>
      </c>
      <c r="AF352" s="3">
        <f t="shared" si="11"/>
        <v>2.12</v>
      </c>
      <c r="AG352" s="3">
        <f t="shared" si="12"/>
        <v>0.1428571429</v>
      </c>
    </row>
    <row r="353">
      <c r="A353" s="1" t="s">
        <v>9</v>
      </c>
      <c r="B353" s="1" t="s">
        <v>600</v>
      </c>
      <c r="C353" s="1" t="s">
        <v>18</v>
      </c>
      <c r="D353" s="1" t="s">
        <v>110</v>
      </c>
      <c r="E353" s="1" t="s">
        <v>89</v>
      </c>
      <c r="F353" s="1" t="s">
        <v>696</v>
      </c>
      <c r="G353" s="1">
        <v>14.5</v>
      </c>
      <c r="H353" s="1" t="s">
        <v>60</v>
      </c>
      <c r="I353" s="1">
        <v>-114.0</v>
      </c>
      <c r="J353" s="1">
        <v>0.16149043342294</v>
      </c>
      <c r="K353" s="1" t="s">
        <v>61</v>
      </c>
      <c r="L353" s="1" t="s">
        <v>61</v>
      </c>
      <c r="M353" s="1" t="s">
        <v>62</v>
      </c>
      <c r="N353" s="1">
        <v>-118.0</v>
      </c>
      <c r="O353" s="1">
        <v>-0.235390221320921</v>
      </c>
      <c r="P353" s="1" t="s">
        <v>61</v>
      </c>
      <c r="Q353" s="1" t="s">
        <v>61</v>
      </c>
      <c r="R353" s="1">
        <f t="shared" si="1"/>
        <v>0.1614904334</v>
      </c>
      <c r="S353" s="1">
        <f t="shared" si="2"/>
        <v>-114</v>
      </c>
      <c r="T353" s="1">
        <f t="shared" si="3"/>
        <v>1.877192982</v>
      </c>
      <c r="U353" s="1">
        <f t="shared" si="4"/>
        <v>1</v>
      </c>
      <c r="V353" s="3">
        <f t="shared" si="5"/>
        <v>3</v>
      </c>
      <c r="W353" s="3">
        <f t="shared" si="6"/>
        <v>2</v>
      </c>
      <c r="X353" s="3" t="str">
        <f>IFERROR(__xludf.DUMMYFUNCTION("split(B353,"" "")"),"C.")</f>
        <v>C.</v>
      </c>
      <c r="Y353" s="3" t="str">
        <f>IFERROR(__xludf.DUMMYFUNCTION("""COMPUTED_VALUE"""),"Austin")</f>
        <v>Austin</v>
      </c>
      <c r="Z353" s="3" t="str">
        <f>IFERROR(__xludf.DUMMYFUNCTION("""COMPUTED_VALUE"""),"III")</f>
        <v>III</v>
      </c>
      <c r="AA353" s="8">
        <v>78.0</v>
      </c>
      <c r="AB353" s="3">
        <f t="shared" si="7"/>
        <v>1</v>
      </c>
      <c r="AC353" s="3">
        <f t="shared" si="8"/>
        <v>1</v>
      </c>
      <c r="AD353" s="3">
        <f t="shared" si="9"/>
        <v>2.631578947</v>
      </c>
      <c r="AE353" s="3">
        <f t="shared" si="10"/>
        <v>2.631578947</v>
      </c>
      <c r="AF353" s="3">
        <f t="shared" si="11"/>
        <v>1.754385965</v>
      </c>
      <c r="AG353" s="3">
        <f t="shared" si="12"/>
        <v>4.379310345</v>
      </c>
    </row>
    <row r="354">
      <c r="A354" s="1" t="s">
        <v>11</v>
      </c>
      <c r="B354" s="1" t="s">
        <v>403</v>
      </c>
      <c r="C354" s="1" t="s">
        <v>18</v>
      </c>
      <c r="D354" s="1" t="s">
        <v>110</v>
      </c>
      <c r="E354" s="1" t="s">
        <v>89</v>
      </c>
      <c r="F354" s="1" t="s">
        <v>696</v>
      </c>
      <c r="G354" s="1">
        <v>5.5</v>
      </c>
      <c r="H354" s="1" t="s">
        <v>60</v>
      </c>
      <c r="I354" s="1">
        <v>-109.0</v>
      </c>
      <c r="J354" s="1">
        <v>0.11581716869944</v>
      </c>
      <c r="K354" s="1" t="s">
        <v>61</v>
      </c>
      <c r="L354" s="1" t="s">
        <v>61</v>
      </c>
      <c r="M354" s="1" t="s">
        <v>62</v>
      </c>
      <c r="N354" s="1">
        <v>-118.0</v>
      </c>
      <c r="O354" s="1">
        <v>-0.178586496076403</v>
      </c>
      <c r="P354" s="1" t="s">
        <v>61</v>
      </c>
      <c r="Q354" s="1" t="s">
        <v>61</v>
      </c>
      <c r="R354" s="1">
        <f t="shared" si="1"/>
        <v>0.1158171687</v>
      </c>
      <c r="S354" s="1">
        <f t="shared" si="2"/>
        <v>-109</v>
      </c>
      <c r="T354" s="1">
        <f t="shared" si="3"/>
        <v>1.917431193</v>
      </c>
      <c r="U354" s="1">
        <f t="shared" si="4"/>
        <v>1</v>
      </c>
      <c r="V354" s="3">
        <f t="shared" si="5"/>
        <v>3</v>
      </c>
      <c r="W354" s="3">
        <f t="shared" si="6"/>
        <v>2</v>
      </c>
      <c r="X354" s="3" t="str">
        <f>IFERROR(__xludf.DUMMYFUNCTION("split(B354,"" "")"),"V.")</f>
        <v>V.</v>
      </c>
      <c r="Y354" s="3" t="str">
        <f>IFERROR(__xludf.DUMMYFUNCTION("""COMPUTED_VALUE"""),"Jefferson")</f>
        <v>Jefferson</v>
      </c>
      <c r="AA354" s="8">
        <v>39.0</v>
      </c>
      <c r="AB354" s="3">
        <f t="shared" si="7"/>
        <v>1</v>
      </c>
      <c r="AC354" s="3">
        <f t="shared" si="8"/>
        <v>1</v>
      </c>
      <c r="AD354" s="3">
        <f t="shared" si="9"/>
        <v>2.752293578</v>
      </c>
      <c r="AE354" s="3">
        <f t="shared" si="10"/>
        <v>2.752293578</v>
      </c>
      <c r="AF354" s="3">
        <f t="shared" si="11"/>
        <v>1.834862385</v>
      </c>
      <c r="AG354" s="3">
        <f t="shared" si="12"/>
        <v>6.090909091</v>
      </c>
    </row>
    <row r="355">
      <c r="A355" s="1" t="s">
        <v>11</v>
      </c>
      <c r="B355" s="1" t="s">
        <v>303</v>
      </c>
      <c r="C355" s="1" t="s">
        <v>18</v>
      </c>
      <c r="D355" s="1" t="s">
        <v>110</v>
      </c>
      <c r="E355" s="1" t="s">
        <v>89</v>
      </c>
      <c r="F355" s="1" t="s">
        <v>696</v>
      </c>
      <c r="G355" s="1">
        <v>6.5</v>
      </c>
      <c r="H355" s="1" t="s">
        <v>60</v>
      </c>
      <c r="I355" s="1">
        <v>-118.0</v>
      </c>
      <c r="J355" s="1">
        <v>0.112148826879245</v>
      </c>
      <c r="K355" s="1" t="s">
        <v>61</v>
      </c>
      <c r="L355" s="1" t="s">
        <v>61</v>
      </c>
      <c r="M355" s="1" t="s">
        <v>62</v>
      </c>
      <c r="N355" s="1">
        <v>-109.0</v>
      </c>
      <c r="O355" s="1">
        <v>-0.174968881545676</v>
      </c>
      <c r="P355" s="1" t="s">
        <v>61</v>
      </c>
      <c r="Q355" s="1" t="s">
        <v>61</v>
      </c>
      <c r="R355" s="1">
        <f t="shared" si="1"/>
        <v>0.1121488269</v>
      </c>
      <c r="S355" s="1">
        <f t="shared" si="2"/>
        <v>-118</v>
      </c>
      <c r="T355" s="1">
        <f t="shared" si="3"/>
        <v>1.847457627</v>
      </c>
      <c r="U355" s="1">
        <f t="shared" si="4"/>
        <v>1</v>
      </c>
      <c r="V355" s="3">
        <f t="shared" si="5"/>
        <v>3</v>
      </c>
      <c r="W355" s="3">
        <f t="shared" si="6"/>
        <v>3</v>
      </c>
      <c r="X355" s="3" t="str">
        <f>IFERROR(__xludf.DUMMYFUNCTION("split(B355,"" "")"),"M.")</f>
        <v>M.</v>
      </c>
      <c r="Y355" s="3" t="str">
        <f>IFERROR(__xludf.DUMMYFUNCTION("""COMPUTED_VALUE"""),"Williams")</f>
        <v>Williams</v>
      </c>
      <c r="AA355" s="8">
        <v>0.0</v>
      </c>
      <c r="AB355" s="3">
        <f t="shared" si="7"/>
        <v>0</v>
      </c>
      <c r="AC355" s="3">
        <f t="shared" si="8"/>
        <v>0</v>
      </c>
      <c r="AD355" s="3">
        <f t="shared" si="9"/>
        <v>2.542372881</v>
      </c>
      <c r="AE355" s="3">
        <f t="shared" si="10"/>
        <v>-3</v>
      </c>
      <c r="AF355" s="3">
        <f t="shared" si="11"/>
        <v>-3</v>
      </c>
      <c r="AG355" s="3">
        <f t="shared" si="12"/>
        <v>-1</v>
      </c>
    </row>
    <row r="356">
      <c r="A356" s="1" t="s">
        <v>14</v>
      </c>
      <c r="B356" s="1" t="s">
        <v>214</v>
      </c>
      <c r="C356" s="1" t="s">
        <v>21</v>
      </c>
      <c r="D356" s="1" t="s">
        <v>110</v>
      </c>
      <c r="E356" s="1" t="s">
        <v>89</v>
      </c>
      <c r="F356" s="1" t="s">
        <v>696</v>
      </c>
      <c r="G356" s="1">
        <v>0.5</v>
      </c>
      <c r="H356" s="1" t="s">
        <v>60</v>
      </c>
      <c r="I356" s="1">
        <v>-231.0</v>
      </c>
      <c r="J356" s="1">
        <v>-0.161885196374622</v>
      </c>
      <c r="K356" s="1" t="s">
        <v>61</v>
      </c>
      <c r="L356" s="1" t="s">
        <v>61</v>
      </c>
      <c r="M356" s="1" t="s">
        <v>62</v>
      </c>
      <c r="N356" s="1">
        <v>176.0</v>
      </c>
      <c r="O356" s="1">
        <v>0.101681159420289</v>
      </c>
      <c r="P356" s="1" t="s">
        <v>61</v>
      </c>
      <c r="Q356" s="1" t="s">
        <v>61</v>
      </c>
      <c r="R356" s="1">
        <f t="shared" si="1"/>
        <v>0.1016811594</v>
      </c>
      <c r="S356" s="1">
        <f t="shared" si="2"/>
        <v>176</v>
      </c>
      <c r="T356" s="1">
        <f t="shared" si="3"/>
        <v>2.76</v>
      </c>
      <c r="U356" s="1">
        <f t="shared" si="4"/>
        <v>0</v>
      </c>
      <c r="V356" s="3">
        <f t="shared" si="5"/>
        <v>3</v>
      </c>
      <c r="W356" s="3">
        <f t="shared" si="6"/>
        <v>1</v>
      </c>
      <c r="X356" s="3" t="str">
        <f>IFERROR(__xludf.DUMMYFUNCTION("split(B356,"" "")"),"R.")</f>
        <v>R.</v>
      </c>
      <c r="Y356" s="3" t="str">
        <f>IFERROR(__xludf.DUMMYFUNCTION("""COMPUTED_VALUE"""),"Wilson")</f>
        <v>Wilson</v>
      </c>
      <c r="AA356" s="8">
        <v>1.0</v>
      </c>
      <c r="AB356" s="3">
        <f t="shared" si="7"/>
        <v>1</v>
      </c>
      <c r="AC356" s="3">
        <f t="shared" si="8"/>
        <v>0</v>
      </c>
      <c r="AD356" s="3">
        <f t="shared" si="9"/>
        <v>5.28</v>
      </c>
      <c r="AE356" s="3">
        <f t="shared" si="10"/>
        <v>-3</v>
      </c>
      <c r="AF356" s="3">
        <f t="shared" si="11"/>
        <v>-1</v>
      </c>
      <c r="AG356" s="3">
        <f t="shared" si="12"/>
        <v>-1</v>
      </c>
    </row>
    <row r="357">
      <c r="A357" s="1" t="s">
        <v>12</v>
      </c>
      <c r="B357" s="1" t="s">
        <v>602</v>
      </c>
      <c r="C357" s="1" t="s">
        <v>20</v>
      </c>
      <c r="D357" s="1" t="s">
        <v>110</v>
      </c>
      <c r="E357" s="1" t="s">
        <v>89</v>
      </c>
      <c r="F357" s="1" t="s">
        <v>696</v>
      </c>
      <c r="G357" s="1">
        <v>1.5</v>
      </c>
      <c r="H357" s="1" t="s">
        <v>60</v>
      </c>
      <c r="I357" s="1">
        <v>105.0</v>
      </c>
      <c r="J357" s="1">
        <v>-0.160389051665121</v>
      </c>
      <c r="K357" s="1" t="s">
        <v>61</v>
      </c>
      <c r="L357" s="1" t="s">
        <v>61</v>
      </c>
      <c r="M357" s="1" t="s">
        <v>62</v>
      </c>
      <c r="N357" s="1">
        <v>-138.0</v>
      </c>
      <c r="O357" s="1">
        <v>0.092750150924622</v>
      </c>
      <c r="P357" s="1" t="s">
        <v>61</v>
      </c>
      <c r="Q357" s="1" t="s">
        <v>61</v>
      </c>
      <c r="R357" s="1">
        <f t="shared" si="1"/>
        <v>0.09275015092</v>
      </c>
      <c r="S357" s="1">
        <f t="shared" si="2"/>
        <v>-138</v>
      </c>
      <c r="T357" s="1">
        <f t="shared" si="3"/>
        <v>1.724637681</v>
      </c>
      <c r="U357" s="1">
        <f t="shared" si="4"/>
        <v>0</v>
      </c>
      <c r="V357" s="3">
        <f t="shared" si="5"/>
        <v>2</v>
      </c>
      <c r="W357" s="3">
        <f t="shared" si="6"/>
        <v>3</v>
      </c>
      <c r="X357" s="3" t="str">
        <f>IFERROR(__xludf.DUMMYFUNCTION("split(B357,"" "")"),"D.")</f>
        <v>D.</v>
      </c>
      <c r="Y357" s="3" t="str">
        <f>IFERROR(__xludf.DUMMYFUNCTION("""COMPUTED_VALUE"""),"Washington")</f>
        <v>Washington</v>
      </c>
      <c r="AA357" s="8">
        <v>3.0</v>
      </c>
      <c r="AB357" s="3">
        <f t="shared" si="7"/>
        <v>1</v>
      </c>
      <c r="AC357" s="3">
        <f t="shared" si="8"/>
        <v>0</v>
      </c>
      <c r="AD357" s="3">
        <f t="shared" si="9"/>
        <v>1.449275362</v>
      </c>
      <c r="AE357" s="3">
        <f t="shared" si="10"/>
        <v>-2</v>
      </c>
      <c r="AF357" s="3">
        <f t="shared" si="11"/>
        <v>-3</v>
      </c>
      <c r="AG357" s="3">
        <f t="shared" si="12"/>
        <v>-1</v>
      </c>
    </row>
    <row r="358">
      <c r="A358" s="1" t="s">
        <v>8</v>
      </c>
      <c r="B358" s="1" t="s">
        <v>177</v>
      </c>
      <c r="C358" s="1" t="s">
        <v>19</v>
      </c>
      <c r="D358" s="1" t="s">
        <v>110</v>
      </c>
      <c r="E358" s="1" t="s">
        <v>89</v>
      </c>
      <c r="F358" s="1" t="s">
        <v>696</v>
      </c>
      <c r="G358" s="1">
        <v>8.5</v>
      </c>
      <c r="H358" s="1" t="s">
        <v>60</v>
      </c>
      <c r="I358" s="1">
        <v>-106.0</v>
      </c>
      <c r="J358" s="1">
        <v>-0.15986163042955</v>
      </c>
      <c r="K358" s="1" t="s">
        <v>61</v>
      </c>
      <c r="L358" s="1" t="s">
        <v>61</v>
      </c>
      <c r="M358" s="1" t="s">
        <v>62</v>
      </c>
      <c r="N358" s="1">
        <v>-127.0</v>
      </c>
      <c r="O358" s="1">
        <v>0.0858269328325069</v>
      </c>
      <c r="P358" s="1" t="s">
        <v>61</v>
      </c>
      <c r="Q358" s="1" t="s">
        <v>61</v>
      </c>
      <c r="R358" s="1">
        <f t="shared" si="1"/>
        <v>0.08582693283</v>
      </c>
      <c r="S358" s="1">
        <f t="shared" si="2"/>
        <v>-127</v>
      </c>
      <c r="T358" s="1">
        <f t="shared" si="3"/>
        <v>1.787401575</v>
      </c>
      <c r="U358" s="1">
        <f t="shared" si="4"/>
        <v>0</v>
      </c>
      <c r="V358" s="3">
        <f t="shared" si="5"/>
        <v>2</v>
      </c>
      <c r="W358" s="3">
        <f t="shared" si="6"/>
        <v>3</v>
      </c>
      <c r="X358" s="3" t="str">
        <f>IFERROR(__xludf.DUMMYFUNCTION("split(B358,"" "")"),"J.")</f>
        <v>J.</v>
      </c>
      <c r="Y358" s="3" t="str">
        <f>IFERROR(__xludf.DUMMYFUNCTION("""COMPUTED_VALUE"""),"Warren")</f>
        <v>Warren</v>
      </c>
      <c r="AA358" s="8">
        <v>11.0</v>
      </c>
      <c r="AB358" s="3">
        <f t="shared" si="7"/>
        <v>1</v>
      </c>
      <c r="AC358" s="3">
        <f t="shared" si="8"/>
        <v>0</v>
      </c>
      <c r="AD358" s="3">
        <f t="shared" si="9"/>
        <v>1.57480315</v>
      </c>
      <c r="AE358" s="3">
        <f t="shared" si="10"/>
        <v>-2</v>
      </c>
      <c r="AF358" s="3">
        <f t="shared" si="11"/>
        <v>-3</v>
      </c>
      <c r="AG358" s="3">
        <f t="shared" si="12"/>
        <v>-0.2941176471</v>
      </c>
    </row>
    <row r="359">
      <c r="A359" s="1" t="s">
        <v>11</v>
      </c>
      <c r="B359" s="1" t="s">
        <v>123</v>
      </c>
      <c r="C359" s="1" t="s">
        <v>19</v>
      </c>
      <c r="D359" s="1" t="s">
        <v>110</v>
      </c>
      <c r="E359" s="1" t="s">
        <v>89</v>
      </c>
      <c r="F359" s="1" t="s">
        <v>696</v>
      </c>
      <c r="G359" s="1">
        <v>8.5</v>
      </c>
      <c r="H359" s="1" t="s">
        <v>60</v>
      </c>
      <c r="I359" s="1">
        <v>-110.0</v>
      </c>
      <c r="J359" s="1">
        <v>0.0643872293772142</v>
      </c>
      <c r="K359" s="1" t="s">
        <v>61</v>
      </c>
      <c r="L359" s="1" t="s">
        <v>61</v>
      </c>
      <c r="M359" s="1" t="s">
        <v>62</v>
      </c>
      <c r="N359" s="1">
        <v>-117.0</v>
      </c>
      <c r="O359" s="1">
        <v>-0.127340379069039</v>
      </c>
      <c r="P359" s="1" t="s">
        <v>61</v>
      </c>
      <c r="Q359" s="1" t="s">
        <v>61</v>
      </c>
      <c r="R359" s="1">
        <f t="shared" si="1"/>
        <v>0.06438722938</v>
      </c>
      <c r="S359" s="1">
        <f t="shared" si="2"/>
        <v>-110</v>
      </c>
      <c r="T359" s="1">
        <f t="shared" si="3"/>
        <v>1.909090909</v>
      </c>
      <c r="U359" s="1">
        <f t="shared" si="4"/>
        <v>1</v>
      </c>
      <c r="V359" s="3">
        <f t="shared" si="5"/>
        <v>2</v>
      </c>
      <c r="W359" s="3">
        <f t="shared" si="6"/>
        <v>2</v>
      </c>
      <c r="X359" s="3" t="str">
        <f>IFERROR(__xludf.DUMMYFUNCTION("split(B359,"" "")"),"N.")</f>
        <v>N.</v>
      </c>
      <c r="Y359" s="3" t="str">
        <f>IFERROR(__xludf.DUMMYFUNCTION("""COMPUTED_VALUE"""),"Harris")</f>
        <v>Harris</v>
      </c>
      <c r="AA359" s="8">
        <v>13.0</v>
      </c>
      <c r="AB359" s="3">
        <f t="shared" si="7"/>
        <v>1</v>
      </c>
      <c r="AC359" s="3">
        <f t="shared" si="8"/>
        <v>1</v>
      </c>
      <c r="AD359" s="3">
        <f t="shared" si="9"/>
        <v>1.818181818</v>
      </c>
      <c r="AE359" s="3">
        <f t="shared" si="10"/>
        <v>1.818181818</v>
      </c>
      <c r="AF359" s="3">
        <f t="shared" si="11"/>
        <v>1.818181818</v>
      </c>
      <c r="AG359" s="3">
        <f t="shared" si="12"/>
        <v>0.5294117647</v>
      </c>
    </row>
    <row r="360">
      <c r="A360" s="1" t="s">
        <v>12</v>
      </c>
      <c r="B360" s="1" t="s">
        <v>123</v>
      </c>
      <c r="C360" s="1" t="s">
        <v>19</v>
      </c>
      <c r="D360" s="1" t="s">
        <v>110</v>
      </c>
      <c r="E360" s="1" t="s">
        <v>89</v>
      </c>
      <c r="F360" s="1" t="s">
        <v>696</v>
      </c>
      <c r="G360" s="1">
        <v>1.5</v>
      </c>
      <c r="H360" s="1" t="s">
        <v>60</v>
      </c>
      <c r="I360" s="1">
        <v>-108.0</v>
      </c>
      <c r="J360" s="1">
        <v>-0.12267756026923</v>
      </c>
      <c r="K360" s="1" t="s">
        <v>61</v>
      </c>
      <c r="L360" s="1" t="s">
        <v>61</v>
      </c>
      <c r="M360" s="1" t="s">
        <v>62</v>
      </c>
      <c r="N360" s="1">
        <v>-122.0</v>
      </c>
      <c r="O360" s="1">
        <v>0.0539039355581982</v>
      </c>
      <c r="P360" s="1" t="s">
        <v>61</v>
      </c>
      <c r="Q360" s="1" t="s">
        <v>61</v>
      </c>
      <c r="R360" s="1">
        <f t="shared" si="1"/>
        <v>0.05390393556</v>
      </c>
      <c r="S360" s="1">
        <f t="shared" si="2"/>
        <v>-122</v>
      </c>
      <c r="T360" s="1">
        <f t="shared" si="3"/>
        <v>1.819672131</v>
      </c>
      <c r="U360" s="1">
        <f t="shared" si="4"/>
        <v>0</v>
      </c>
      <c r="V360" s="3">
        <f t="shared" si="5"/>
        <v>2</v>
      </c>
      <c r="W360" s="3">
        <f t="shared" si="6"/>
        <v>3</v>
      </c>
      <c r="X360" s="3" t="str">
        <f>IFERROR(__xludf.DUMMYFUNCTION("split(B360,"" "")"),"N.")</f>
        <v>N.</v>
      </c>
      <c r="Y360" s="3" t="str">
        <f>IFERROR(__xludf.DUMMYFUNCTION("""COMPUTED_VALUE"""),"Harris")</f>
        <v>Harris</v>
      </c>
      <c r="AA360" s="8">
        <v>2.0</v>
      </c>
      <c r="AB360" s="3">
        <f t="shared" si="7"/>
        <v>1</v>
      </c>
      <c r="AC360" s="3">
        <f t="shared" si="8"/>
        <v>0</v>
      </c>
      <c r="AD360" s="3">
        <f t="shared" si="9"/>
        <v>1.639344262</v>
      </c>
      <c r="AE360" s="3">
        <f t="shared" si="10"/>
        <v>-2</v>
      </c>
      <c r="AF360" s="3">
        <f t="shared" si="11"/>
        <v>-3</v>
      </c>
      <c r="AG360" s="3">
        <f t="shared" si="12"/>
        <v>-0.3333333333</v>
      </c>
    </row>
    <row r="361">
      <c r="A361" s="1" t="s">
        <v>16</v>
      </c>
      <c r="B361" s="1" t="s">
        <v>214</v>
      </c>
      <c r="C361" s="1" t="s">
        <v>21</v>
      </c>
      <c r="D361" s="1" t="s">
        <v>110</v>
      </c>
      <c r="E361" s="1" t="s">
        <v>89</v>
      </c>
      <c r="F361" s="1" t="s">
        <v>696</v>
      </c>
      <c r="G361" s="1">
        <v>26.5</v>
      </c>
      <c r="H361" s="1" t="s">
        <v>60</v>
      </c>
      <c r="I361" s="1">
        <v>-118.0</v>
      </c>
      <c r="J361" s="1">
        <v>-0.112492443995412</v>
      </c>
      <c r="K361" s="1" t="s">
        <v>61</v>
      </c>
      <c r="L361" s="1" t="s">
        <v>61</v>
      </c>
      <c r="M361" s="1" t="s">
        <v>62</v>
      </c>
      <c r="N361" s="1">
        <v>-111.0</v>
      </c>
      <c r="O361" s="1">
        <v>0.0451281876682938</v>
      </c>
      <c r="P361" s="1" t="s">
        <v>61</v>
      </c>
      <c r="Q361" s="1" t="s">
        <v>61</v>
      </c>
      <c r="R361" s="1">
        <f t="shared" si="1"/>
        <v>0.04512818767</v>
      </c>
      <c r="S361" s="1">
        <f t="shared" si="2"/>
        <v>-111</v>
      </c>
      <c r="T361" s="1">
        <f t="shared" si="3"/>
        <v>1.900900901</v>
      </c>
      <c r="U361" s="1">
        <f t="shared" si="4"/>
        <v>0</v>
      </c>
      <c r="V361" s="3">
        <f t="shared" si="5"/>
        <v>1</v>
      </c>
      <c r="W361" s="3">
        <f t="shared" si="6"/>
        <v>2</v>
      </c>
      <c r="X361" s="3" t="str">
        <f>IFERROR(__xludf.DUMMYFUNCTION("split(B361,"" "")"),"R.")</f>
        <v>R.</v>
      </c>
      <c r="Y361" s="3" t="str">
        <f>IFERROR(__xludf.DUMMYFUNCTION("""COMPUTED_VALUE"""),"Wilson")</f>
        <v>Wilson</v>
      </c>
      <c r="AA361" s="8">
        <v>28.0</v>
      </c>
      <c r="AB361" s="3">
        <f t="shared" si="7"/>
        <v>1</v>
      </c>
      <c r="AC361" s="3">
        <f t="shared" si="8"/>
        <v>0</v>
      </c>
      <c r="AD361" s="3">
        <f t="shared" si="9"/>
        <v>0.9009009009</v>
      </c>
      <c r="AE361" s="3">
        <f t="shared" si="10"/>
        <v>-1</v>
      </c>
      <c r="AF361" s="3">
        <f t="shared" si="11"/>
        <v>-2</v>
      </c>
      <c r="AG361" s="3">
        <f t="shared" si="12"/>
        <v>-0.05660377358</v>
      </c>
    </row>
    <row r="362">
      <c r="A362" s="1" t="s">
        <v>10</v>
      </c>
      <c r="B362" s="1" t="s">
        <v>123</v>
      </c>
      <c r="C362" s="1" t="s">
        <v>19</v>
      </c>
      <c r="D362" s="1" t="s">
        <v>110</v>
      </c>
      <c r="E362" s="1" t="s">
        <v>89</v>
      </c>
      <c r="F362" s="1" t="s">
        <v>696</v>
      </c>
      <c r="G362" s="1">
        <v>71.5</v>
      </c>
      <c r="H362" s="1" t="s">
        <v>60</v>
      </c>
      <c r="I362" s="1">
        <v>-118.0</v>
      </c>
      <c r="J362" s="1">
        <v>-0.100934416429324</v>
      </c>
      <c r="K362" s="1" t="s">
        <v>61</v>
      </c>
      <c r="L362" s="1" t="s">
        <v>61</v>
      </c>
      <c r="M362" s="1" t="s">
        <v>62</v>
      </c>
      <c r="N362" s="1">
        <v>-107.0</v>
      </c>
      <c r="O362" s="1">
        <v>0.0427462614292331</v>
      </c>
      <c r="P362" s="1" t="s">
        <v>61</v>
      </c>
      <c r="Q362" s="1" t="s">
        <v>61</v>
      </c>
      <c r="R362" s="1">
        <f t="shared" si="1"/>
        <v>0.04274626143</v>
      </c>
      <c r="S362" s="1">
        <f t="shared" si="2"/>
        <v>-107</v>
      </c>
      <c r="T362" s="1">
        <f t="shared" si="3"/>
        <v>1.934579439</v>
      </c>
      <c r="U362" s="1">
        <f t="shared" si="4"/>
        <v>0</v>
      </c>
      <c r="V362" s="3">
        <f t="shared" si="5"/>
        <v>1</v>
      </c>
      <c r="W362" s="3">
        <f t="shared" si="6"/>
        <v>2</v>
      </c>
      <c r="X362" s="3" t="str">
        <f>IFERROR(__xludf.DUMMYFUNCTION("split(B362,"" "")"),"N.")</f>
        <v>N.</v>
      </c>
      <c r="Y362" s="3" t="str">
        <f>IFERROR(__xludf.DUMMYFUNCTION("""COMPUTED_VALUE"""),"Harris")</f>
        <v>Harris</v>
      </c>
      <c r="AA362" s="8">
        <v>41.0</v>
      </c>
      <c r="AB362" s="3">
        <f t="shared" si="7"/>
        <v>0</v>
      </c>
      <c r="AC362" s="3">
        <f t="shared" si="8"/>
        <v>1</v>
      </c>
      <c r="AD362" s="3">
        <f t="shared" si="9"/>
        <v>0.9345794393</v>
      </c>
      <c r="AE362" s="3">
        <f t="shared" si="10"/>
        <v>0.9345794393</v>
      </c>
      <c r="AF362" s="3">
        <f t="shared" si="11"/>
        <v>1.869158879</v>
      </c>
      <c r="AG362" s="3">
        <f t="shared" si="12"/>
        <v>0.4265734266</v>
      </c>
    </row>
    <row r="363">
      <c r="A363" s="1" t="s">
        <v>12</v>
      </c>
      <c r="B363" s="1" t="s">
        <v>600</v>
      </c>
      <c r="C363" s="1" t="s">
        <v>18</v>
      </c>
      <c r="D363" s="1" t="s">
        <v>110</v>
      </c>
      <c r="E363" s="1" t="s">
        <v>89</v>
      </c>
      <c r="F363" s="1" t="s">
        <v>696</v>
      </c>
      <c r="G363" s="1">
        <v>1.5</v>
      </c>
      <c r="H363" s="1" t="s">
        <v>60</v>
      </c>
      <c r="I363" s="1">
        <v>116.0</v>
      </c>
      <c r="J363" s="1">
        <v>-0.109807465407037</v>
      </c>
      <c r="K363" s="1" t="s">
        <v>61</v>
      </c>
      <c r="L363" s="1" t="s">
        <v>61</v>
      </c>
      <c r="M363" s="1" t="s">
        <v>62</v>
      </c>
      <c r="N363" s="1">
        <v>-154.0</v>
      </c>
      <c r="O363" s="1">
        <v>0.0405510293680314</v>
      </c>
      <c r="P363" s="1" t="s">
        <v>61</v>
      </c>
      <c r="Q363" s="1" t="s">
        <v>61</v>
      </c>
      <c r="R363" s="1">
        <f t="shared" si="1"/>
        <v>0.04055102937</v>
      </c>
      <c r="S363" s="1">
        <f t="shared" si="2"/>
        <v>-154</v>
      </c>
      <c r="T363" s="1">
        <f t="shared" si="3"/>
        <v>1.649350649</v>
      </c>
      <c r="U363" s="1">
        <f t="shared" si="4"/>
        <v>0</v>
      </c>
      <c r="V363" s="3">
        <f t="shared" si="5"/>
        <v>1</v>
      </c>
      <c r="W363" s="3">
        <f t="shared" si="6"/>
        <v>3</v>
      </c>
      <c r="X363" s="3" t="str">
        <f>IFERROR(__xludf.DUMMYFUNCTION("split(B363,"" "")"),"C.")</f>
        <v>C.</v>
      </c>
      <c r="Y363" s="3" t="str">
        <f>IFERROR(__xludf.DUMMYFUNCTION("""COMPUTED_VALUE"""),"Austin")</f>
        <v>Austin</v>
      </c>
      <c r="Z363" s="3" t="str">
        <f>IFERROR(__xludf.DUMMYFUNCTION("""COMPUTED_VALUE"""),"III")</f>
        <v>III</v>
      </c>
      <c r="AA363" s="8">
        <v>3.0</v>
      </c>
      <c r="AB363" s="3">
        <f t="shared" si="7"/>
        <v>1</v>
      </c>
      <c r="AC363" s="3">
        <f t="shared" si="8"/>
        <v>0</v>
      </c>
      <c r="AD363" s="3">
        <f t="shared" si="9"/>
        <v>0.6493506494</v>
      </c>
      <c r="AE363" s="3">
        <f t="shared" si="10"/>
        <v>-1</v>
      </c>
      <c r="AF363" s="3">
        <f t="shared" si="11"/>
        <v>-3</v>
      </c>
      <c r="AG363" s="3">
        <f t="shared" si="12"/>
        <v>-1</v>
      </c>
    </row>
    <row r="364">
      <c r="A364" s="1" t="s">
        <v>13</v>
      </c>
      <c r="B364" s="1" t="s">
        <v>214</v>
      </c>
      <c r="C364" s="1" t="s">
        <v>21</v>
      </c>
      <c r="D364" s="1" t="s">
        <v>110</v>
      </c>
      <c r="E364" s="1" t="s">
        <v>89</v>
      </c>
      <c r="F364" s="1" t="s">
        <v>696</v>
      </c>
      <c r="G364" s="1">
        <v>186.5</v>
      </c>
      <c r="H364" s="1" t="s">
        <v>60</v>
      </c>
      <c r="I364" s="1">
        <v>-118.0</v>
      </c>
      <c r="J364" s="1">
        <v>0.0213915077522933</v>
      </c>
      <c r="K364" s="1" t="s">
        <v>61</v>
      </c>
      <c r="L364" s="1" t="s">
        <v>61</v>
      </c>
      <c r="M364" s="1" t="s">
        <v>62</v>
      </c>
      <c r="N364" s="1">
        <v>-108.0</v>
      </c>
      <c r="O364" s="1">
        <v>-0.0818243489673075</v>
      </c>
      <c r="P364" s="1" t="s">
        <v>61</v>
      </c>
      <c r="Q364" s="1" t="s">
        <v>61</v>
      </c>
      <c r="R364" s="1">
        <f t="shared" si="1"/>
        <v>0.02139150775</v>
      </c>
      <c r="S364" s="1">
        <f t="shared" si="2"/>
        <v>-118</v>
      </c>
      <c r="T364" s="1">
        <f t="shared" si="3"/>
        <v>1.847457627</v>
      </c>
      <c r="U364" s="1">
        <f t="shared" si="4"/>
        <v>1</v>
      </c>
      <c r="V364" s="3">
        <f t="shared" si="5"/>
        <v>1</v>
      </c>
      <c r="W364" s="3">
        <f t="shared" si="6"/>
        <v>3</v>
      </c>
      <c r="X364" s="3" t="str">
        <f>IFERROR(__xludf.DUMMYFUNCTION("split(B364,"" "")"),"R.")</f>
        <v>R.</v>
      </c>
      <c r="Y364" s="3" t="str">
        <f>IFERROR(__xludf.DUMMYFUNCTION("""COMPUTED_VALUE"""),"Wilson")</f>
        <v>Wilson</v>
      </c>
      <c r="AA364" s="8">
        <v>270.0</v>
      </c>
      <c r="AB364" s="3">
        <f t="shared" si="7"/>
        <v>1</v>
      </c>
      <c r="AC364" s="3">
        <f t="shared" si="8"/>
        <v>1</v>
      </c>
      <c r="AD364" s="3">
        <f t="shared" si="9"/>
        <v>0.8474576271</v>
      </c>
      <c r="AE364" s="3">
        <f t="shared" si="10"/>
        <v>0.8474576271</v>
      </c>
      <c r="AF364" s="3">
        <f t="shared" si="11"/>
        <v>2.542372881</v>
      </c>
      <c r="AG364" s="3">
        <f t="shared" si="12"/>
        <v>0.4477211796</v>
      </c>
    </row>
    <row r="365">
      <c r="A365" s="1" t="s">
        <v>12</v>
      </c>
      <c r="B365" s="1" t="s">
        <v>415</v>
      </c>
      <c r="C365" s="1" t="s">
        <v>18</v>
      </c>
      <c r="D365" s="1" t="s">
        <v>110</v>
      </c>
      <c r="E365" s="1" t="s">
        <v>89</v>
      </c>
      <c r="F365" s="1" t="s">
        <v>696</v>
      </c>
      <c r="G365" s="1">
        <v>4.5</v>
      </c>
      <c r="H365" s="1" t="s">
        <v>60</v>
      </c>
      <c r="I365" s="1">
        <v>114.0</v>
      </c>
      <c r="J365" s="1">
        <v>0.0109102803738317</v>
      </c>
      <c r="K365" s="1" t="s">
        <v>61</v>
      </c>
      <c r="L365" s="1" t="s">
        <v>61</v>
      </c>
      <c r="M365" s="1" t="s">
        <v>62</v>
      </c>
      <c r="N365" s="1">
        <v>-148.0</v>
      </c>
      <c r="O365" s="1">
        <v>-0.074974193548387</v>
      </c>
      <c r="P365" s="1" t="s">
        <v>61</v>
      </c>
      <c r="Q365" s="1" t="s">
        <v>61</v>
      </c>
      <c r="R365" s="1">
        <f t="shared" si="1"/>
        <v>0.01091028037</v>
      </c>
      <c r="S365" s="1">
        <f t="shared" si="2"/>
        <v>114</v>
      </c>
      <c r="T365" s="1">
        <f t="shared" si="3"/>
        <v>2.14</v>
      </c>
      <c r="U365" s="1">
        <f t="shared" si="4"/>
        <v>1</v>
      </c>
      <c r="V365" s="3">
        <f t="shared" si="5"/>
        <v>1</v>
      </c>
      <c r="W365" s="3">
        <f t="shared" si="6"/>
        <v>1</v>
      </c>
      <c r="X365" s="3" t="str">
        <f>IFERROR(__xludf.DUMMYFUNCTION("split(B365,"" "")"),"G.")</f>
        <v>G.</v>
      </c>
      <c r="Y365" s="3" t="str">
        <f>IFERROR(__xludf.DUMMYFUNCTION("""COMPUTED_VALUE"""),"Pickens")</f>
        <v>Pickens</v>
      </c>
      <c r="AA365" s="8">
        <v>4.0</v>
      </c>
      <c r="AB365" s="3">
        <f t="shared" si="7"/>
        <v>0</v>
      </c>
      <c r="AC365" s="3">
        <f t="shared" si="8"/>
        <v>0</v>
      </c>
      <c r="AD365" s="3">
        <f t="shared" si="9"/>
        <v>1.14</v>
      </c>
      <c r="AE365" s="3">
        <f t="shared" si="10"/>
        <v>-1</v>
      </c>
      <c r="AF365" s="3">
        <f t="shared" si="11"/>
        <v>-1</v>
      </c>
      <c r="AG365" s="3">
        <f t="shared" si="12"/>
        <v>-0.1111111111</v>
      </c>
    </row>
    <row r="366">
      <c r="A366" s="1" t="s">
        <v>9</v>
      </c>
      <c r="B366" s="1" t="s">
        <v>123</v>
      </c>
      <c r="C366" s="1" t="s">
        <v>19</v>
      </c>
      <c r="D366" s="1" t="s">
        <v>110</v>
      </c>
      <c r="E366" s="1" t="s">
        <v>89</v>
      </c>
      <c r="F366" s="1" t="s">
        <v>696</v>
      </c>
      <c r="G366" s="1">
        <v>83.5</v>
      </c>
      <c r="H366" s="1" t="s">
        <v>60</v>
      </c>
      <c r="I366" s="1">
        <v>-116.0</v>
      </c>
      <c r="J366" s="1">
        <v>-0.0893961523545889</v>
      </c>
      <c r="K366" s="1" t="s">
        <v>61</v>
      </c>
      <c r="L366" s="1" t="s">
        <v>61</v>
      </c>
      <c r="M366" s="1" t="s">
        <v>62</v>
      </c>
      <c r="N366" s="1">
        <v>-119.0</v>
      </c>
      <c r="O366" s="1">
        <v>0.00904249772248178</v>
      </c>
      <c r="P366" s="1" t="s">
        <v>61</v>
      </c>
      <c r="Q366" s="1" t="s">
        <v>61</v>
      </c>
      <c r="R366" s="1">
        <f t="shared" si="1"/>
        <v>0.009042497722</v>
      </c>
      <c r="S366" s="1">
        <f t="shared" si="2"/>
        <v>-119</v>
      </c>
      <c r="T366" s="1">
        <f t="shared" si="3"/>
        <v>1.840336134</v>
      </c>
      <c r="U366" s="1">
        <f t="shared" si="4"/>
        <v>0</v>
      </c>
      <c r="V366" s="3">
        <f t="shared" si="5"/>
        <v>1</v>
      </c>
      <c r="W366" s="3">
        <f t="shared" si="6"/>
        <v>3</v>
      </c>
      <c r="X366" s="3" t="str">
        <f>IFERROR(__xludf.DUMMYFUNCTION("split(B366,"" "")"),"N.")</f>
        <v>N.</v>
      </c>
      <c r="Y366" s="3" t="str">
        <f>IFERROR(__xludf.DUMMYFUNCTION("""COMPUTED_VALUE"""),"Harris")</f>
        <v>Harris</v>
      </c>
      <c r="AA366" s="8">
        <v>54.0</v>
      </c>
      <c r="AB366" s="3">
        <f t="shared" si="7"/>
        <v>0</v>
      </c>
      <c r="AC366" s="3">
        <f t="shared" si="8"/>
        <v>1</v>
      </c>
      <c r="AD366" s="3">
        <f t="shared" si="9"/>
        <v>0.8403361345</v>
      </c>
      <c r="AE366" s="3">
        <f t="shared" si="10"/>
        <v>0.8403361345</v>
      </c>
      <c r="AF366" s="3">
        <f t="shared" si="11"/>
        <v>2.521008403</v>
      </c>
      <c r="AG366" s="3">
        <f t="shared" si="12"/>
        <v>0.3532934132</v>
      </c>
    </row>
    <row r="367">
      <c r="A367" s="1" t="s">
        <v>15</v>
      </c>
      <c r="B367" s="1" t="s">
        <v>214</v>
      </c>
      <c r="C367" s="1" t="s">
        <v>21</v>
      </c>
      <c r="D367" s="1" t="s">
        <v>110</v>
      </c>
      <c r="E367" s="1" t="s">
        <v>89</v>
      </c>
      <c r="F367" s="1" t="s">
        <v>696</v>
      </c>
      <c r="G367" s="1">
        <v>16.5</v>
      </c>
      <c r="H367" s="1" t="s">
        <v>60</v>
      </c>
      <c r="I367" s="1">
        <v>-106.0</v>
      </c>
      <c r="J367" s="1">
        <v>-0.0763106005728156</v>
      </c>
      <c r="K367" s="1" t="s">
        <v>61</v>
      </c>
      <c r="L367" s="1" t="s">
        <v>61</v>
      </c>
      <c r="M367" s="1" t="s">
        <v>62</v>
      </c>
      <c r="N367" s="1">
        <v>-124.0</v>
      </c>
      <c r="O367" s="1">
        <v>0.00816869558178567</v>
      </c>
      <c r="P367" s="1" t="s">
        <v>61</v>
      </c>
      <c r="Q367" s="1" t="s">
        <v>61</v>
      </c>
      <c r="R367" s="1">
        <f t="shared" si="1"/>
        <v>0.008168695582</v>
      </c>
      <c r="S367" s="1">
        <f t="shared" si="2"/>
        <v>-124</v>
      </c>
      <c r="T367" s="1">
        <f t="shared" si="3"/>
        <v>1.806451613</v>
      </c>
      <c r="U367" s="1">
        <f t="shared" si="4"/>
        <v>0</v>
      </c>
      <c r="V367" s="3">
        <f t="shared" si="5"/>
        <v>1</v>
      </c>
      <c r="W367" s="3">
        <f t="shared" si="6"/>
        <v>3</v>
      </c>
      <c r="X367" s="3" t="str">
        <f>IFERROR(__xludf.DUMMYFUNCTION("split(B367,"" "")"),"R.")</f>
        <v>R.</v>
      </c>
      <c r="Y367" s="3" t="str">
        <f>IFERROR(__xludf.DUMMYFUNCTION("""COMPUTED_VALUE"""),"Wilson")</f>
        <v>Wilson</v>
      </c>
      <c r="AA367" s="8">
        <v>21.0</v>
      </c>
      <c r="AB367" s="3">
        <f t="shared" si="7"/>
        <v>1</v>
      </c>
      <c r="AC367" s="3">
        <f t="shared" si="8"/>
        <v>0</v>
      </c>
      <c r="AD367" s="3">
        <f t="shared" si="9"/>
        <v>0.8064516129</v>
      </c>
      <c r="AE367" s="3">
        <f t="shared" si="10"/>
        <v>-1</v>
      </c>
      <c r="AF367" s="3">
        <f t="shared" si="11"/>
        <v>-3</v>
      </c>
      <c r="AG367" s="3">
        <f t="shared" si="12"/>
        <v>-0.2727272727</v>
      </c>
    </row>
    <row r="368">
      <c r="A368" s="1" t="s">
        <v>11</v>
      </c>
      <c r="B368" s="1" t="s">
        <v>177</v>
      </c>
      <c r="C368" s="1" t="s">
        <v>19</v>
      </c>
      <c r="D368" s="1" t="s">
        <v>110</v>
      </c>
      <c r="E368" s="1" t="s">
        <v>89</v>
      </c>
      <c r="F368" s="1" t="s">
        <v>696</v>
      </c>
      <c r="G368" s="1">
        <v>12.5</v>
      </c>
      <c r="H368" s="1" t="s">
        <v>60</v>
      </c>
      <c r="I368" s="1">
        <v>-113.0</v>
      </c>
      <c r="J368" s="1">
        <v>0.00699741872164971</v>
      </c>
      <c r="K368" s="1" t="s">
        <v>61</v>
      </c>
      <c r="L368" s="1" t="s">
        <v>61</v>
      </c>
      <c r="M368" s="1" t="s">
        <v>62</v>
      </c>
      <c r="N368" s="1">
        <v>-113.0</v>
      </c>
      <c r="O368" s="1">
        <v>-0.0679800831554642</v>
      </c>
      <c r="P368" s="1" t="s">
        <v>61</v>
      </c>
      <c r="Q368" s="1" t="s">
        <v>61</v>
      </c>
      <c r="R368" s="1">
        <f t="shared" si="1"/>
        <v>0.006997418722</v>
      </c>
      <c r="S368" s="1">
        <f t="shared" si="2"/>
        <v>-113</v>
      </c>
      <c r="T368" s="1">
        <f t="shared" si="3"/>
        <v>1.884955752</v>
      </c>
      <c r="U368" s="1">
        <f t="shared" si="4"/>
        <v>1</v>
      </c>
      <c r="V368" s="3">
        <f t="shared" si="5"/>
        <v>1</v>
      </c>
      <c r="W368" s="3">
        <f t="shared" si="6"/>
        <v>2</v>
      </c>
      <c r="X368" s="3" t="str">
        <f>IFERROR(__xludf.DUMMYFUNCTION("split(B368,"" "")"),"J.")</f>
        <v>J.</v>
      </c>
      <c r="Y368" s="3" t="str">
        <f>IFERROR(__xludf.DUMMYFUNCTION("""COMPUTED_VALUE"""),"Warren")</f>
        <v>Warren</v>
      </c>
      <c r="AA368" s="8">
        <v>19.0</v>
      </c>
      <c r="AB368" s="3">
        <f t="shared" si="7"/>
        <v>1</v>
      </c>
      <c r="AC368" s="3">
        <f t="shared" si="8"/>
        <v>1</v>
      </c>
      <c r="AD368" s="3">
        <f t="shared" si="9"/>
        <v>0.8849557522</v>
      </c>
      <c r="AE368" s="3">
        <f t="shared" si="10"/>
        <v>0.8849557522</v>
      </c>
      <c r="AF368" s="3">
        <f t="shared" si="11"/>
        <v>1.769911504</v>
      </c>
      <c r="AG368" s="3">
        <f t="shared" si="12"/>
        <v>0.52</v>
      </c>
    </row>
    <row r="369">
      <c r="A369" s="1" t="s">
        <v>9</v>
      </c>
      <c r="B369" s="1" t="s">
        <v>177</v>
      </c>
      <c r="C369" s="1" t="s">
        <v>19</v>
      </c>
      <c r="D369" s="1" t="s">
        <v>110</v>
      </c>
      <c r="E369" s="1" t="s">
        <v>89</v>
      </c>
      <c r="F369" s="1" t="s">
        <v>696</v>
      </c>
      <c r="G369" s="1">
        <v>49.5</v>
      </c>
      <c r="H369" s="1" t="s">
        <v>60</v>
      </c>
      <c r="I369" s="1">
        <v>-122.0</v>
      </c>
      <c r="J369" s="1">
        <v>0.00595936438551059</v>
      </c>
      <c r="K369" s="1" t="s">
        <v>61</v>
      </c>
      <c r="L369" s="1" t="s">
        <v>61</v>
      </c>
      <c r="M369" s="1" t="s">
        <v>62</v>
      </c>
      <c r="N369" s="1">
        <v>-111.0</v>
      </c>
      <c r="O369" s="1">
        <v>-0.0815935477340165</v>
      </c>
      <c r="P369" s="1" t="s">
        <v>61</v>
      </c>
      <c r="Q369" s="1" t="s">
        <v>61</v>
      </c>
      <c r="R369" s="1">
        <f t="shared" si="1"/>
        <v>0.005959364386</v>
      </c>
      <c r="S369" s="1">
        <f t="shared" si="2"/>
        <v>-122</v>
      </c>
      <c r="T369" s="1">
        <f t="shared" si="3"/>
        <v>1.819672131</v>
      </c>
      <c r="U369" s="1">
        <f t="shared" si="4"/>
        <v>1</v>
      </c>
      <c r="V369" s="3">
        <f t="shared" si="5"/>
        <v>1</v>
      </c>
      <c r="W369" s="3">
        <f t="shared" si="6"/>
        <v>3</v>
      </c>
      <c r="X369" s="3" t="str">
        <f>IFERROR(__xludf.DUMMYFUNCTION("split(B369,"" "")"),"J.")</f>
        <v>J.</v>
      </c>
      <c r="Y369" s="3" t="str">
        <f>IFERROR(__xludf.DUMMYFUNCTION("""COMPUTED_VALUE"""),"Warren")</f>
        <v>Warren</v>
      </c>
      <c r="AA369" s="8">
        <v>64.0</v>
      </c>
      <c r="AB369" s="3">
        <f t="shared" si="7"/>
        <v>1</v>
      </c>
      <c r="AC369" s="3">
        <f t="shared" si="8"/>
        <v>1</v>
      </c>
      <c r="AD369" s="3">
        <f t="shared" si="9"/>
        <v>0.8196721311</v>
      </c>
      <c r="AE369" s="3">
        <f t="shared" si="10"/>
        <v>0.8196721311</v>
      </c>
      <c r="AF369" s="3">
        <f t="shared" si="11"/>
        <v>2.459016393</v>
      </c>
      <c r="AG369" s="3">
        <f t="shared" si="12"/>
        <v>0.2929292929</v>
      </c>
    </row>
    <row r="370">
      <c r="A370" s="1" t="s">
        <v>17</v>
      </c>
      <c r="B370" s="1" t="s">
        <v>214</v>
      </c>
      <c r="C370" s="1" t="s">
        <v>21</v>
      </c>
      <c r="D370" s="1" t="s">
        <v>110</v>
      </c>
      <c r="E370" s="1" t="s">
        <v>89</v>
      </c>
      <c r="F370" s="1" t="s">
        <v>696</v>
      </c>
      <c r="G370" s="1">
        <v>0.5</v>
      </c>
      <c r="H370" s="1" t="s">
        <v>60</v>
      </c>
      <c r="I370" s="1">
        <v>-101.0</v>
      </c>
      <c r="J370" s="1">
        <v>-0.0702378109452737</v>
      </c>
      <c r="K370" s="1" t="s">
        <v>61</v>
      </c>
      <c r="L370" s="1" t="s">
        <v>61</v>
      </c>
      <c r="M370" s="1" t="s">
        <v>62</v>
      </c>
      <c r="N370" s="1">
        <v>-130.0</v>
      </c>
      <c r="O370" s="1">
        <v>0.00252608695652167</v>
      </c>
      <c r="P370" s="1" t="s">
        <v>61</v>
      </c>
      <c r="Q370" s="1" t="s">
        <v>61</v>
      </c>
      <c r="R370" s="1">
        <f t="shared" si="1"/>
        <v>0.002526086957</v>
      </c>
      <c r="S370" s="1">
        <f t="shared" si="2"/>
        <v>-130</v>
      </c>
      <c r="T370" s="1">
        <f t="shared" si="3"/>
        <v>1.769230769</v>
      </c>
      <c r="U370" s="1">
        <f t="shared" si="4"/>
        <v>0</v>
      </c>
      <c r="V370" s="3">
        <f t="shared" si="5"/>
        <v>1</v>
      </c>
      <c r="W370" s="3">
        <f t="shared" si="6"/>
        <v>3</v>
      </c>
      <c r="X370" s="3" t="str">
        <f>IFERROR(__xludf.DUMMYFUNCTION("split(B370,"" "")"),"R.")</f>
        <v>R.</v>
      </c>
      <c r="Y370" s="3" t="str">
        <f>IFERROR(__xludf.DUMMYFUNCTION("""COMPUTED_VALUE"""),"Wilson")</f>
        <v>Wilson</v>
      </c>
      <c r="AA370" s="8">
        <v>0.0</v>
      </c>
      <c r="AB370" s="3">
        <f t="shared" si="7"/>
        <v>0</v>
      </c>
      <c r="AC370" s="3">
        <f t="shared" si="8"/>
        <v>1</v>
      </c>
      <c r="AD370" s="3">
        <f t="shared" si="9"/>
        <v>0.7692307692</v>
      </c>
      <c r="AE370" s="3">
        <f t="shared" si="10"/>
        <v>0.7692307692</v>
      </c>
      <c r="AF370" s="3">
        <f t="shared" si="11"/>
        <v>2.307692308</v>
      </c>
      <c r="AG370" s="3">
        <f t="shared" si="12"/>
        <v>1</v>
      </c>
    </row>
    <row r="371">
      <c r="A371" s="1" t="s">
        <v>12</v>
      </c>
      <c r="B371" s="1" t="s">
        <v>603</v>
      </c>
      <c r="C371" s="1" t="s">
        <v>20</v>
      </c>
      <c r="D371" s="1" t="s">
        <v>82</v>
      </c>
      <c r="E371" s="1" t="s">
        <v>105</v>
      </c>
      <c r="F371" s="1" t="s">
        <v>693</v>
      </c>
      <c r="G371" s="1">
        <v>2.5</v>
      </c>
      <c r="H371" s="1" t="s">
        <v>60</v>
      </c>
      <c r="I371" s="1">
        <v>-153.0</v>
      </c>
      <c r="J371" s="1">
        <v>-0.231041077114624</v>
      </c>
      <c r="K371" s="1" t="s">
        <v>61</v>
      </c>
      <c r="L371" s="1" t="s">
        <v>61</v>
      </c>
      <c r="M371" s="1" t="s">
        <v>62</v>
      </c>
      <c r="N371" s="1">
        <v>114.0</v>
      </c>
      <c r="O371" s="1">
        <v>0.159007908925233</v>
      </c>
      <c r="P371" s="1" t="s">
        <v>61</v>
      </c>
      <c r="Q371" s="1" t="s">
        <v>61</v>
      </c>
      <c r="R371" s="1">
        <f t="shared" si="1"/>
        <v>0.1590079089</v>
      </c>
      <c r="S371" s="1">
        <f t="shared" si="2"/>
        <v>114</v>
      </c>
      <c r="T371" s="1">
        <f t="shared" si="3"/>
        <v>2.14</v>
      </c>
      <c r="U371" s="1">
        <f t="shared" si="4"/>
        <v>0</v>
      </c>
      <c r="V371" s="3">
        <f t="shared" si="5"/>
        <v>3</v>
      </c>
      <c r="W371" s="3">
        <f t="shared" si="6"/>
        <v>1</v>
      </c>
      <c r="X371" s="3" t="str">
        <f>IFERROR(__xludf.DUMMYFUNCTION("split(B371,"" "")"),"A.")</f>
        <v>A.</v>
      </c>
      <c r="Y371" s="3" t="str">
        <f>IFERROR(__xludf.DUMMYFUNCTION("""COMPUTED_VALUE"""),"Barner")</f>
        <v>Barner</v>
      </c>
      <c r="AA371" s="8">
        <v>3.0</v>
      </c>
      <c r="AB371" s="3">
        <f t="shared" si="7"/>
        <v>1</v>
      </c>
      <c r="AC371" s="3">
        <f t="shared" si="8"/>
        <v>0</v>
      </c>
      <c r="AD371" s="3">
        <f t="shared" si="9"/>
        <v>3.42</v>
      </c>
      <c r="AE371" s="3">
        <f t="shared" si="10"/>
        <v>-3</v>
      </c>
      <c r="AF371" s="3">
        <f t="shared" si="11"/>
        <v>-1</v>
      </c>
      <c r="AG371" s="3">
        <f t="shared" si="12"/>
        <v>-0.2</v>
      </c>
    </row>
    <row r="372">
      <c r="A372" s="1" t="s">
        <v>12</v>
      </c>
      <c r="B372" s="1" t="s">
        <v>361</v>
      </c>
      <c r="C372" s="1" t="s">
        <v>19</v>
      </c>
      <c r="D372" s="1" t="s">
        <v>82</v>
      </c>
      <c r="E372" s="1" t="s">
        <v>105</v>
      </c>
      <c r="F372" s="1" t="s">
        <v>693</v>
      </c>
      <c r="G372" s="1">
        <v>1.5</v>
      </c>
      <c r="H372" s="1" t="s">
        <v>60</v>
      </c>
      <c r="I372" s="1">
        <v>-142.0</v>
      </c>
      <c r="J372" s="1">
        <v>-0.205175951276859</v>
      </c>
      <c r="K372" s="1" t="s">
        <v>61</v>
      </c>
      <c r="L372" s="1" t="s">
        <v>61</v>
      </c>
      <c r="M372" s="1" t="s">
        <v>62</v>
      </c>
      <c r="N372" s="1">
        <v>108.0</v>
      </c>
      <c r="O372" s="1">
        <v>0.137629712543269</v>
      </c>
      <c r="P372" s="1" t="s">
        <v>61</v>
      </c>
      <c r="Q372" s="1" t="s">
        <v>61</v>
      </c>
      <c r="R372" s="1">
        <f t="shared" si="1"/>
        <v>0.1376297125</v>
      </c>
      <c r="S372" s="1">
        <f t="shared" si="2"/>
        <v>108</v>
      </c>
      <c r="T372" s="1">
        <f t="shared" si="3"/>
        <v>2.08</v>
      </c>
      <c r="U372" s="1">
        <f t="shared" si="4"/>
        <v>0</v>
      </c>
      <c r="V372" s="3">
        <f t="shared" si="5"/>
        <v>3</v>
      </c>
      <c r="W372" s="3">
        <f t="shared" si="6"/>
        <v>2</v>
      </c>
      <c r="X372" s="3" t="str">
        <f>IFERROR(__xludf.DUMMYFUNCTION("split(B372,"" "")"),"Z.")</f>
        <v>Z.</v>
      </c>
      <c r="Y372" s="3" t="str">
        <f>IFERROR(__xludf.DUMMYFUNCTION("""COMPUTED_VALUE"""),"Charbonnet")</f>
        <v>Charbonnet</v>
      </c>
      <c r="AA372" s="8">
        <v>0.0</v>
      </c>
      <c r="AB372" s="3">
        <f t="shared" si="7"/>
        <v>0</v>
      </c>
      <c r="AC372" s="3">
        <f t="shared" si="8"/>
        <v>1</v>
      </c>
      <c r="AD372" s="3">
        <f t="shared" si="9"/>
        <v>3.24</v>
      </c>
      <c r="AE372" s="3">
        <f t="shared" si="10"/>
        <v>3.24</v>
      </c>
      <c r="AF372" s="3">
        <f t="shared" si="11"/>
        <v>2.16</v>
      </c>
      <c r="AG372" s="3">
        <f t="shared" si="12"/>
        <v>1</v>
      </c>
    </row>
    <row r="373">
      <c r="A373" s="1" t="s">
        <v>8</v>
      </c>
      <c r="B373" s="1" t="s">
        <v>500</v>
      </c>
      <c r="C373" s="1" t="s">
        <v>21</v>
      </c>
      <c r="D373" s="1" t="s">
        <v>82</v>
      </c>
      <c r="E373" s="1" t="s">
        <v>105</v>
      </c>
      <c r="F373" s="1" t="s">
        <v>693</v>
      </c>
      <c r="G373" s="1">
        <v>3.5</v>
      </c>
      <c r="H373" s="1" t="s">
        <v>60</v>
      </c>
      <c r="I373" s="1">
        <v>112.0</v>
      </c>
      <c r="J373" s="1">
        <v>-0.163446115580114</v>
      </c>
      <c r="K373" s="1" t="s">
        <v>61</v>
      </c>
      <c r="L373" s="1" t="s">
        <v>61</v>
      </c>
      <c r="M373" s="1" t="s">
        <v>62</v>
      </c>
      <c r="N373" s="1">
        <v>-149.0</v>
      </c>
      <c r="O373" s="1">
        <v>0.0933607967206204</v>
      </c>
      <c r="P373" s="1" t="s">
        <v>61</v>
      </c>
      <c r="Q373" s="1" t="s">
        <v>61</v>
      </c>
      <c r="R373" s="1">
        <f t="shared" si="1"/>
        <v>0.09336079672</v>
      </c>
      <c r="S373" s="1">
        <f t="shared" si="2"/>
        <v>-149</v>
      </c>
      <c r="T373" s="1">
        <f t="shared" si="3"/>
        <v>1.67114094</v>
      </c>
      <c r="U373" s="1">
        <f t="shared" si="4"/>
        <v>0</v>
      </c>
      <c r="V373" s="3">
        <f t="shared" si="5"/>
        <v>2</v>
      </c>
      <c r="W373" s="3">
        <f t="shared" si="6"/>
        <v>3</v>
      </c>
      <c r="X373" s="3" t="str">
        <f>IFERROR(__xludf.DUMMYFUNCTION("split(B373,"" "")"),"G.")</f>
        <v>G.</v>
      </c>
      <c r="Y373" s="3" t="str">
        <f>IFERROR(__xludf.DUMMYFUNCTION("""COMPUTED_VALUE"""),"Smith")</f>
        <v>Smith</v>
      </c>
      <c r="AA373" s="8">
        <v>3.0</v>
      </c>
      <c r="AB373" s="3">
        <f t="shared" si="7"/>
        <v>0</v>
      </c>
      <c r="AC373" s="3">
        <f t="shared" si="8"/>
        <v>1</v>
      </c>
      <c r="AD373" s="3">
        <f t="shared" si="9"/>
        <v>1.342281879</v>
      </c>
      <c r="AE373" s="3">
        <f t="shared" si="10"/>
        <v>1.342281879</v>
      </c>
      <c r="AF373" s="3">
        <f t="shared" si="11"/>
        <v>2.013422819</v>
      </c>
      <c r="AG373" s="3">
        <f t="shared" si="12"/>
        <v>0.1428571429</v>
      </c>
    </row>
    <row r="374">
      <c r="A374" s="1" t="s">
        <v>12</v>
      </c>
      <c r="B374" s="1" t="s">
        <v>490</v>
      </c>
      <c r="C374" s="1" t="s">
        <v>19</v>
      </c>
      <c r="D374" s="1" t="s">
        <v>82</v>
      </c>
      <c r="E374" s="1" t="s">
        <v>105</v>
      </c>
      <c r="F374" s="1" t="s">
        <v>693</v>
      </c>
      <c r="G374" s="1">
        <v>3.5</v>
      </c>
      <c r="H374" s="1" t="s">
        <v>60</v>
      </c>
      <c r="I374" s="1">
        <v>110.0</v>
      </c>
      <c r="J374" s="1">
        <v>-0.154038095238095</v>
      </c>
      <c r="K374" s="1" t="s">
        <v>61</v>
      </c>
      <c r="L374" s="1" t="s">
        <v>61</v>
      </c>
      <c r="M374" s="1" t="s">
        <v>62</v>
      </c>
      <c r="N374" s="1">
        <v>-146.0</v>
      </c>
      <c r="O374" s="1">
        <v>0.0843447154471545</v>
      </c>
      <c r="P374" s="1" t="s">
        <v>61</v>
      </c>
      <c r="Q374" s="1" t="s">
        <v>61</v>
      </c>
      <c r="R374" s="1">
        <f t="shared" si="1"/>
        <v>0.08434471545</v>
      </c>
      <c r="S374" s="1">
        <f t="shared" si="2"/>
        <v>-146</v>
      </c>
      <c r="T374" s="1">
        <f t="shared" si="3"/>
        <v>1.684931507</v>
      </c>
      <c r="U374" s="1">
        <f t="shared" si="4"/>
        <v>0</v>
      </c>
      <c r="V374" s="3">
        <f t="shared" si="5"/>
        <v>2</v>
      </c>
      <c r="W374" s="3">
        <f t="shared" si="6"/>
        <v>3</v>
      </c>
      <c r="X374" s="3" t="str">
        <f>IFERROR(__xludf.DUMMYFUNCTION("split(B374,"" "")"),"K.")</f>
        <v>K.</v>
      </c>
      <c r="Y374" s="3" t="str">
        <f>IFERROR(__xludf.DUMMYFUNCTION("""COMPUTED_VALUE"""),"Walker")</f>
        <v>Walker</v>
      </c>
      <c r="Z374" s="3" t="str">
        <f>IFERROR(__xludf.DUMMYFUNCTION("""COMPUTED_VALUE"""),"III")</f>
        <v>III</v>
      </c>
      <c r="AA374" s="8">
        <v>4.0</v>
      </c>
      <c r="AB374" s="3">
        <f t="shared" si="7"/>
        <v>1</v>
      </c>
      <c r="AC374" s="3">
        <f t="shared" si="8"/>
        <v>0</v>
      </c>
      <c r="AD374" s="3">
        <f t="shared" si="9"/>
        <v>1.369863014</v>
      </c>
      <c r="AE374" s="3">
        <f t="shared" si="10"/>
        <v>-2</v>
      </c>
      <c r="AF374" s="3">
        <f t="shared" si="11"/>
        <v>-3</v>
      </c>
      <c r="AG374" s="3">
        <f t="shared" si="12"/>
        <v>-0.1428571429</v>
      </c>
    </row>
    <row r="375">
      <c r="A375" s="1" t="s">
        <v>9</v>
      </c>
      <c r="B375" s="1" t="s">
        <v>361</v>
      </c>
      <c r="C375" s="1" t="s">
        <v>19</v>
      </c>
      <c r="D375" s="1" t="s">
        <v>82</v>
      </c>
      <c r="E375" s="1" t="s">
        <v>105</v>
      </c>
      <c r="F375" s="1" t="s">
        <v>693</v>
      </c>
      <c r="G375" s="1">
        <v>29.5</v>
      </c>
      <c r="H375" s="1" t="s">
        <v>60</v>
      </c>
      <c r="I375" s="1">
        <v>-112.0</v>
      </c>
      <c r="J375" s="1">
        <v>0.0777769056667355</v>
      </c>
      <c r="K375" s="1" t="s">
        <v>61</v>
      </c>
      <c r="L375" s="1" t="s">
        <v>61</v>
      </c>
      <c r="M375" s="1" t="s">
        <v>62</v>
      </c>
      <c r="N375" s="1">
        <v>-117.0</v>
      </c>
      <c r="O375" s="1">
        <v>-0.145189049223857</v>
      </c>
      <c r="P375" s="1" t="s">
        <v>61</v>
      </c>
      <c r="Q375" s="1" t="s">
        <v>61</v>
      </c>
      <c r="R375" s="1">
        <f t="shared" si="1"/>
        <v>0.07777690567</v>
      </c>
      <c r="S375" s="1">
        <f t="shared" si="2"/>
        <v>-112</v>
      </c>
      <c r="T375" s="1">
        <f t="shared" si="3"/>
        <v>1.892857143</v>
      </c>
      <c r="U375" s="1">
        <f t="shared" si="4"/>
        <v>1</v>
      </c>
      <c r="V375" s="3">
        <f t="shared" si="5"/>
        <v>2</v>
      </c>
      <c r="W375" s="3">
        <f t="shared" si="6"/>
        <v>2</v>
      </c>
      <c r="X375" s="3" t="str">
        <f>IFERROR(__xludf.DUMMYFUNCTION("split(B375,"" "")"),"Z.")</f>
        <v>Z.</v>
      </c>
      <c r="Y375" s="3" t="str">
        <f>IFERROR(__xludf.DUMMYFUNCTION("""COMPUTED_VALUE"""),"Charbonnet")</f>
        <v>Charbonnet</v>
      </c>
      <c r="AA375" s="8">
        <v>22.0</v>
      </c>
      <c r="AB375" s="3">
        <f t="shared" si="7"/>
        <v>0</v>
      </c>
      <c r="AC375" s="3">
        <f t="shared" si="8"/>
        <v>0</v>
      </c>
      <c r="AD375" s="3">
        <f t="shared" si="9"/>
        <v>1.785714286</v>
      </c>
      <c r="AE375" s="3">
        <f t="shared" si="10"/>
        <v>-2</v>
      </c>
      <c r="AF375" s="3">
        <f t="shared" si="11"/>
        <v>-2</v>
      </c>
      <c r="AG375" s="3">
        <f t="shared" si="12"/>
        <v>-0.2542372881</v>
      </c>
    </row>
    <row r="376">
      <c r="A376" s="1" t="s">
        <v>12</v>
      </c>
      <c r="B376" s="1" t="s">
        <v>387</v>
      </c>
      <c r="C376" s="1" t="s">
        <v>18</v>
      </c>
      <c r="D376" s="1" t="s">
        <v>82</v>
      </c>
      <c r="E376" s="1" t="s">
        <v>105</v>
      </c>
      <c r="F376" s="1" t="s">
        <v>693</v>
      </c>
      <c r="G376" s="1">
        <v>5.5</v>
      </c>
      <c r="H376" s="1" t="s">
        <v>60</v>
      </c>
      <c r="I376" s="1">
        <v>123.0</v>
      </c>
      <c r="J376" s="1">
        <v>0.0772695067264573</v>
      </c>
      <c r="K376" s="1" t="s">
        <v>61</v>
      </c>
      <c r="L376" s="1" t="s">
        <v>61</v>
      </c>
      <c r="M376" s="1" t="s">
        <v>62</v>
      </c>
      <c r="N376" s="1">
        <v>-158.0</v>
      </c>
      <c r="O376" s="1">
        <v>-0.138103100775193</v>
      </c>
      <c r="P376" s="1" t="s">
        <v>61</v>
      </c>
      <c r="Q376" s="1" t="s">
        <v>61</v>
      </c>
      <c r="R376" s="1">
        <f t="shared" si="1"/>
        <v>0.07726950673</v>
      </c>
      <c r="S376" s="1">
        <f t="shared" si="2"/>
        <v>123</v>
      </c>
      <c r="T376" s="1">
        <f t="shared" si="3"/>
        <v>2.23</v>
      </c>
      <c r="U376" s="1">
        <f t="shared" si="4"/>
        <v>1</v>
      </c>
      <c r="V376" s="3">
        <f t="shared" si="5"/>
        <v>2</v>
      </c>
      <c r="W376" s="3">
        <f t="shared" si="6"/>
        <v>1</v>
      </c>
      <c r="X376" s="3" t="str">
        <f>IFERROR(__xludf.DUMMYFUNCTION("split(B376,"" "")"),"D.")</f>
        <v>D.</v>
      </c>
      <c r="Y376" s="3" t="str">
        <f>IFERROR(__xludf.DUMMYFUNCTION("""COMPUTED_VALUE"""),"Metcalf")</f>
        <v>Metcalf</v>
      </c>
      <c r="AA376" s="8">
        <v>4.0</v>
      </c>
      <c r="AB376" s="3">
        <f t="shared" si="7"/>
        <v>0</v>
      </c>
      <c r="AC376" s="3">
        <f t="shared" si="8"/>
        <v>0</v>
      </c>
      <c r="AD376" s="3">
        <f t="shared" si="9"/>
        <v>2.46</v>
      </c>
      <c r="AE376" s="3">
        <f t="shared" si="10"/>
        <v>-2</v>
      </c>
      <c r="AF376" s="3">
        <f t="shared" si="11"/>
        <v>-1</v>
      </c>
      <c r="AG376" s="3">
        <f t="shared" si="12"/>
        <v>-0.2727272727</v>
      </c>
    </row>
    <row r="377">
      <c r="A377" s="1" t="s">
        <v>9</v>
      </c>
      <c r="B377" s="1" t="s">
        <v>490</v>
      </c>
      <c r="C377" s="1" t="s">
        <v>19</v>
      </c>
      <c r="D377" s="1" t="s">
        <v>82</v>
      </c>
      <c r="E377" s="1" t="s">
        <v>105</v>
      </c>
      <c r="F377" s="1" t="s">
        <v>693</v>
      </c>
      <c r="G377" s="1">
        <v>88.5</v>
      </c>
      <c r="H377" s="1" t="s">
        <v>60</v>
      </c>
      <c r="I377" s="1">
        <v>-120.0</v>
      </c>
      <c r="J377" s="1">
        <v>-0.117655828691009</v>
      </c>
      <c r="K377" s="1" t="s">
        <v>61</v>
      </c>
      <c r="L377" s="1" t="s">
        <v>61</v>
      </c>
      <c r="M377" s="1" t="s">
        <v>62</v>
      </c>
      <c r="N377" s="1">
        <v>-112.0</v>
      </c>
      <c r="O377" s="1">
        <v>0.0438819048287957</v>
      </c>
      <c r="P377" s="1" t="s">
        <v>61</v>
      </c>
      <c r="Q377" s="1" t="s">
        <v>61</v>
      </c>
      <c r="R377" s="1">
        <f t="shared" si="1"/>
        <v>0.04388190483</v>
      </c>
      <c r="S377" s="1">
        <f t="shared" si="2"/>
        <v>-112</v>
      </c>
      <c r="T377" s="1">
        <f t="shared" si="3"/>
        <v>1.892857143</v>
      </c>
      <c r="U377" s="1">
        <f t="shared" si="4"/>
        <v>0</v>
      </c>
      <c r="V377" s="3">
        <f t="shared" si="5"/>
        <v>1</v>
      </c>
      <c r="W377" s="3">
        <f t="shared" si="6"/>
        <v>2</v>
      </c>
      <c r="X377" s="3" t="str">
        <f>IFERROR(__xludf.DUMMYFUNCTION("split(B377,"" "")"),"K.")</f>
        <v>K.</v>
      </c>
      <c r="Y377" s="3" t="str">
        <f>IFERROR(__xludf.DUMMYFUNCTION("""COMPUTED_VALUE"""),"Walker")</f>
        <v>Walker</v>
      </c>
      <c r="Z377" s="3" t="str">
        <f>IFERROR(__xludf.DUMMYFUNCTION("""COMPUTED_VALUE"""),"III")</f>
        <v>III</v>
      </c>
      <c r="AA377" s="8">
        <v>93.0</v>
      </c>
      <c r="AB377" s="3">
        <f t="shared" si="7"/>
        <v>1</v>
      </c>
      <c r="AC377" s="3">
        <f t="shared" si="8"/>
        <v>0</v>
      </c>
      <c r="AD377" s="3">
        <f t="shared" si="9"/>
        <v>0.8928571429</v>
      </c>
      <c r="AE377" s="3">
        <f t="shared" si="10"/>
        <v>-1</v>
      </c>
      <c r="AF377" s="3">
        <f t="shared" si="11"/>
        <v>-2</v>
      </c>
      <c r="AG377" s="3">
        <f t="shared" si="12"/>
        <v>-0.05084745763</v>
      </c>
    </row>
    <row r="378">
      <c r="A378" s="1" t="s">
        <v>14</v>
      </c>
      <c r="B378" s="1" t="s">
        <v>500</v>
      </c>
      <c r="C378" s="1" t="s">
        <v>21</v>
      </c>
      <c r="D378" s="1" t="s">
        <v>82</v>
      </c>
      <c r="E378" s="1" t="s">
        <v>105</v>
      </c>
      <c r="F378" s="1" t="s">
        <v>693</v>
      </c>
      <c r="G378" s="1">
        <v>1.5</v>
      </c>
      <c r="H378" s="1" t="s">
        <v>60</v>
      </c>
      <c r="I378" s="1">
        <v>-120.0</v>
      </c>
      <c r="J378" s="1">
        <v>-0.108454545454545</v>
      </c>
      <c r="K378" s="1" t="s">
        <v>61</v>
      </c>
      <c r="L378" s="1" t="s">
        <v>61</v>
      </c>
      <c r="M378" s="1" t="s">
        <v>62</v>
      </c>
      <c r="N378" s="1">
        <v>-108.0</v>
      </c>
      <c r="O378" s="1">
        <v>0.0437692307692308</v>
      </c>
      <c r="P378" s="1" t="s">
        <v>61</v>
      </c>
      <c r="Q378" s="1" t="s">
        <v>61</v>
      </c>
      <c r="R378" s="1">
        <f t="shared" si="1"/>
        <v>0.04376923077</v>
      </c>
      <c r="S378" s="1">
        <f t="shared" si="2"/>
        <v>-108</v>
      </c>
      <c r="T378" s="1">
        <f t="shared" si="3"/>
        <v>1.925925926</v>
      </c>
      <c r="U378" s="1">
        <f t="shared" si="4"/>
        <v>0</v>
      </c>
      <c r="V378" s="3">
        <f t="shared" si="5"/>
        <v>1</v>
      </c>
      <c r="W378" s="3">
        <f t="shared" si="6"/>
        <v>2</v>
      </c>
      <c r="X378" s="3" t="str">
        <f>IFERROR(__xludf.DUMMYFUNCTION("split(B378,"" "")"),"G.")</f>
        <v>G.</v>
      </c>
      <c r="Y378" s="3" t="str">
        <f>IFERROR(__xludf.DUMMYFUNCTION("""COMPUTED_VALUE"""),"Smith")</f>
        <v>Smith</v>
      </c>
      <c r="AA378" s="8">
        <v>1.0</v>
      </c>
      <c r="AB378" s="3">
        <f t="shared" si="7"/>
        <v>0</v>
      </c>
      <c r="AC378" s="3">
        <f t="shared" si="8"/>
        <v>1</v>
      </c>
      <c r="AD378" s="3">
        <f t="shared" si="9"/>
        <v>0.9259259259</v>
      </c>
      <c r="AE378" s="3">
        <f t="shared" si="10"/>
        <v>0.9259259259</v>
      </c>
      <c r="AF378" s="3">
        <f t="shared" si="11"/>
        <v>1.851851852</v>
      </c>
      <c r="AG378" s="3">
        <f t="shared" si="12"/>
        <v>0.3333333333</v>
      </c>
    </row>
    <row r="379">
      <c r="A379" s="1" t="s">
        <v>10</v>
      </c>
      <c r="B379" s="1" t="s">
        <v>490</v>
      </c>
      <c r="C379" s="1" t="s">
        <v>19</v>
      </c>
      <c r="D379" s="1" t="s">
        <v>82</v>
      </c>
      <c r="E379" s="1" t="s">
        <v>105</v>
      </c>
      <c r="F379" s="1" t="s">
        <v>693</v>
      </c>
      <c r="G379" s="1">
        <v>64.5</v>
      </c>
      <c r="H379" s="1" t="s">
        <v>60</v>
      </c>
      <c r="I379" s="1">
        <v>-122.0</v>
      </c>
      <c r="J379" s="1">
        <v>-0.114424218432286</v>
      </c>
      <c r="K379" s="1" t="s">
        <v>61</v>
      </c>
      <c r="L379" s="1" t="s">
        <v>61</v>
      </c>
      <c r="M379" s="1" t="s">
        <v>62</v>
      </c>
      <c r="N379" s="1">
        <v>-111.0</v>
      </c>
      <c r="O379" s="1">
        <v>0.038837183528678</v>
      </c>
      <c r="P379" s="1" t="s">
        <v>61</v>
      </c>
      <c r="Q379" s="1" t="s">
        <v>61</v>
      </c>
      <c r="R379" s="1">
        <f t="shared" si="1"/>
        <v>0.03883718353</v>
      </c>
      <c r="S379" s="1">
        <f t="shared" si="2"/>
        <v>-111</v>
      </c>
      <c r="T379" s="1">
        <f t="shared" si="3"/>
        <v>1.900900901</v>
      </c>
      <c r="U379" s="1">
        <f t="shared" si="4"/>
        <v>0</v>
      </c>
      <c r="V379" s="3">
        <f t="shared" si="5"/>
        <v>1</v>
      </c>
      <c r="W379" s="3">
        <f t="shared" si="6"/>
        <v>2</v>
      </c>
      <c r="X379" s="3" t="str">
        <f>IFERROR(__xludf.DUMMYFUNCTION("split(B379,"" "")"),"K.")</f>
        <v>K.</v>
      </c>
      <c r="Y379" s="3" t="str">
        <f>IFERROR(__xludf.DUMMYFUNCTION("""COMPUTED_VALUE"""),"Walker")</f>
        <v>Walker</v>
      </c>
      <c r="Z379" s="3" t="str">
        <f>IFERROR(__xludf.DUMMYFUNCTION("""COMPUTED_VALUE"""),"III")</f>
        <v>III</v>
      </c>
      <c r="AA379" s="8">
        <v>41.0</v>
      </c>
      <c r="AB379" s="3">
        <f t="shared" si="7"/>
        <v>0</v>
      </c>
      <c r="AC379" s="3">
        <f t="shared" si="8"/>
        <v>1</v>
      </c>
      <c r="AD379" s="3">
        <f t="shared" si="9"/>
        <v>0.9009009009</v>
      </c>
      <c r="AE379" s="3">
        <f t="shared" si="10"/>
        <v>0.9009009009</v>
      </c>
      <c r="AF379" s="3">
        <f t="shared" si="11"/>
        <v>1.801801802</v>
      </c>
      <c r="AG379" s="3">
        <f t="shared" si="12"/>
        <v>0.3643410853</v>
      </c>
    </row>
    <row r="380">
      <c r="A380" s="1" t="s">
        <v>11</v>
      </c>
      <c r="B380" s="1" t="s">
        <v>490</v>
      </c>
      <c r="C380" s="1" t="s">
        <v>19</v>
      </c>
      <c r="D380" s="1" t="s">
        <v>82</v>
      </c>
      <c r="E380" s="1" t="s">
        <v>105</v>
      </c>
      <c r="F380" s="1" t="s">
        <v>693</v>
      </c>
      <c r="G380" s="1">
        <v>21.5</v>
      </c>
      <c r="H380" s="1" t="s">
        <v>60</v>
      </c>
      <c r="I380" s="1">
        <v>-117.0</v>
      </c>
      <c r="J380" s="1">
        <v>-0.101494278676424</v>
      </c>
      <c r="K380" s="1" t="s">
        <v>61</v>
      </c>
      <c r="L380" s="1" t="s">
        <v>61</v>
      </c>
      <c r="M380" s="1" t="s">
        <v>62</v>
      </c>
      <c r="N380" s="1">
        <v>-110.0</v>
      </c>
      <c r="O380" s="1">
        <v>0.0385721634288686</v>
      </c>
      <c r="P380" s="1" t="s">
        <v>61</v>
      </c>
      <c r="Q380" s="1" t="s">
        <v>61</v>
      </c>
      <c r="R380" s="1">
        <f t="shared" si="1"/>
        <v>0.03857216343</v>
      </c>
      <c r="S380" s="1">
        <f t="shared" si="2"/>
        <v>-110</v>
      </c>
      <c r="T380" s="1">
        <f t="shared" si="3"/>
        <v>1.909090909</v>
      </c>
      <c r="U380" s="1">
        <f t="shared" si="4"/>
        <v>0</v>
      </c>
      <c r="V380" s="3">
        <f t="shared" si="5"/>
        <v>1</v>
      </c>
      <c r="W380" s="3">
        <f t="shared" si="6"/>
        <v>2</v>
      </c>
      <c r="X380" s="3" t="str">
        <f>IFERROR(__xludf.DUMMYFUNCTION("split(B380,"" "")"),"K.")</f>
        <v>K.</v>
      </c>
      <c r="Y380" s="3" t="str">
        <f>IFERROR(__xludf.DUMMYFUNCTION("""COMPUTED_VALUE"""),"Walker")</f>
        <v>Walker</v>
      </c>
      <c r="Z380" s="3" t="str">
        <f>IFERROR(__xludf.DUMMYFUNCTION("""COMPUTED_VALUE"""),"III")</f>
        <v>III</v>
      </c>
      <c r="AA380" s="8">
        <v>52.0</v>
      </c>
      <c r="AB380" s="3">
        <f t="shared" si="7"/>
        <v>1</v>
      </c>
      <c r="AC380" s="3">
        <f t="shared" si="8"/>
        <v>0</v>
      </c>
      <c r="AD380" s="3">
        <f t="shared" si="9"/>
        <v>0.9090909091</v>
      </c>
      <c r="AE380" s="3">
        <f t="shared" si="10"/>
        <v>-1</v>
      </c>
      <c r="AF380" s="3">
        <f t="shared" si="11"/>
        <v>-2</v>
      </c>
      <c r="AG380" s="3">
        <f t="shared" si="12"/>
        <v>-1.418604651</v>
      </c>
    </row>
    <row r="381">
      <c r="A381" s="1" t="s">
        <v>10</v>
      </c>
      <c r="B381" s="1" t="s">
        <v>500</v>
      </c>
      <c r="C381" s="1" t="s">
        <v>21</v>
      </c>
      <c r="D381" s="1" t="s">
        <v>82</v>
      </c>
      <c r="E381" s="1" t="s">
        <v>105</v>
      </c>
      <c r="F381" s="1" t="s">
        <v>693</v>
      </c>
      <c r="G381" s="1">
        <v>13.5</v>
      </c>
      <c r="H381" s="1" t="s">
        <v>60</v>
      </c>
      <c r="I381" s="1">
        <v>-111.0</v>
      </c>
      <c r="J381" s="1">
        <v>-0.0976607405450439</v>
      </c>
      <c r="K381" s="1" t="s">
        <v>61</v>
      </c>
      <c r="L381" s="1" t="s">
        <v>61</v>
      </c>
      <c r="M381" s="1" t="s">
        <v>62</v>
      </c>
      <c r="N381" s="1">
        <v>-117.0</v>
      </c>
      <c r="O381" s="1">
        <v>0.0324093457067052</v>
      </c>
      <c r="P381" s="1" t="s">
        <v>61</v>
      </c>
      <c r="Q381" s="1" t="s">
        <v>61</v>
      </c>
      <c r="R381" s="1">
        <f t="shared" si="1"/>
        <v>0.03240934571</v>
      </c>
      <c r="S381" s="1">
        <f t="shared" si="2"/>
        <v>-117</v>
      </c>
      <c r="T381" s="1">
        <f t="shared" si="3"/>
        <v>1.854700855</v>
      </c>
      <c r="U381" s="1">
        <f t="shared" si="4"/>
        <v>0</v>
      </c>
      <c r="V381" s="3">
        <f t="shared" si="5"/>
        <v>1</v>
      </c>
      <c r="W381" s="3">
        <f t="shared" si="6"/>
        <v>2</v>
      </c>
      <c r="X381" s="3" t="str">
        <f>IFERROR(__xludf.DUMMYFUNCTION("split(B381,"" "")"),"G.")</f>
        <v>G.</v>
      </c>
      <c r="Y381" s="3" t="str">
        <f>IFERROR(__xludf.DUMMYFUNCTION("""COMPUTED_VALUE"""),"Smith")</f>
        <v>Smith</v>
      </c>
      <c r="AA381" s="8">
        <v>2.0</v>
      </c>
      <c r="AB381" s="3">
        <f t="shared" si="7"/>
        <v>0</v>
      </c>
      <c r="AC381" s="3">
        <f t="shared" si="8"/>
        <v>1</v>
      </c>
      <c r="AD381" s="3">
        <f t="shared" si="9"/>
        <v>0.8547008547</v>
      </c>
      <c r="AE381" s="3">
        <f t="shared" si="10"/>
        <v>0.8547008547</v>
      </c>
      <c r="AF381" s="3">
        <f t="shared" si="11"/>
        <v>1.709401709</v>
      </c>
      <c r="AG381" s="3">
        <f t="shared" si="12"/>
        <v>0.8518518519</v>
      </c>
    </row>
    <row r="382">
      <c r="A382" s="1" t="s">
        <v>15</v>
      </c>
      <c r="B382" s="1" t="s">
        <v>500</v>
      </c>
      <c r="C382" s="1" t="s">
        <v>21</v>
      </c>
      <c r="D382" s="1" t="s">
        <v>82</v>
      </c>
      <c r="E382" s="1" t="s">
        <v>105</v>
      </c>
      <c r="F382" s="1" t="s">
        <v>693</v>
      </c>
      <c r="G382" s="1">
        <v>23.5</v>
      </c>
      <c r="H382" s="1" t="s">
        <v>60</v>
      </c>
      <c r="I382" s="1">
        <v>-113.0</v>
      </c>
      <c r="J382" s="1">
        <v>0.0287774647887324</v>
      </c>
      <c r="K382" s="1" t="s">
        <v>61</v>
      </c>
      <c r="L382" s="1" t="s">
        <v>61</v>
      </c>
      <c r="M382" s="1" t="s">
        <v>62</v>
      </c>
      <c r="N382" s="1">
        <v>-116.0</v>
      </c>
      <c r="O382" s="1">
        <v>-0.0963444444444446</v>
      </c>
      <c r="P382" s="1" t="s">
        <v>61</v>
      </c>
      <c r="Q382" s="1" t="s">
        <v>61</v>
      </c>
      <c r="R382" s="1">
        <f t="shared" si="1"/>
        <v>0.02877746479</v>
      </c>
      <c r="S382" s="1">
        <f t="shared" si="2"/>
        <v>-113</v>
      </c>
      <c r="T382" s="1">
        <f t="shared" si="3"/>
        <v>1.884955752</v>
      </c>
      <c r="U382" s="1">
        <f t="shared" si="4"/>
        <v>1</v>
      </c>
      <c r="V382" s="3">
        <f t="shared" si="5"/>
        <v>1</v>
      </c>
      <c r="W382" s="3">
        <f t="shared" si="6"/>
        <v>2</v>
      </c>
      <c r="X382" s="3" t="str">
        <f>IFERROR(__xludf.DUMMYFUNCTION("split(B382,"" "")"),"G.")</f>
        <v>G.</v>
      </c>
      <c r="Y382" s="3" t="str">
        <f>IFERROR(__xludf.DUMMYFUNCTION("""COMPUTED_VALUE"""),"Smith")</f>
        <v>Smith</v>
      </c>
      <c r="AA382" s="8">
        <v>22.0</v>
      </c>
      <c r="AB382" s="3">
        <f t="shared" si="7"/>
        <v>0</v>
      </c>
      <c r="AC382" s="3">
        <f t="shared" si="8"/>
        <v>0</v>
      </c>
      <c r="AD382" s="3">
        <f t="shared" si="9"/>
        <v>0.8849557522</v>
      </c>
      <c r="AE382" s="3">
        <f t="shared" si="10"/>
        <v>-1</v>
      </c>
      <c r="AF382" s="3">
        <f t="shared" si="11"/>
        <v>-2</v>
      </c>
      <c r="AG382" s="3">
        <f t="shared" si="12"/>
        <v>-0.06382978723</v>
      </c>
    </row>
    <row r="383">
      <c r="A383" s="1" t="s">
        <v>11</v>
      </c>
      <c r="B383" s="1" t="s">
        <v>603</v>
      </c>
      <c r="C383" s="1" t="s">
        <v>20</v>
      </c>
      <c r="D383" s="1" t="s">
        <v>82</v>
      </c>
      <c r="E383" s="1" t="s">
        <v>105</v>
      </c>
      <c r="F383" s="1" t="s">
        <v>693</v>
      </c>
      <c r="G383" s="1">
        <v>27.5</v>
      </c>
      <c r="H383" s="1" t="s">
        <v>60</v>
      </c>
      <c r="I383" s="1">
        <v>-113.0</v>
      </c>
      <c r="J383" s="1">
        <v>-0.0897042770272301</v>
      </c>
      <c r="K383" s="1" t="s">
        <v>61</v>
      </c>
      <c r="L383" s="1" t="s">
        <v>61</v>
      </c>
      <c r="M383" s="1" t="s">
        <v>62</v>
      </c>
      <c r="N383" s="1">
        <v>-114.0</v>
      </c>
      <c r="O383" s="1">
        <v>0.0265432642418319</v>
      </c>
      <c r="P383" s="1" t="s">
        <v>61</v>
      </c>
      <c r="Q383" s="1" t="s">
        <v>61</v>
      </c>
      <c r="R383" s="1">
        <f t="shared" si="1"/>
        <v>0.02654326424</v>
      </c>
      <c r="S383" s="1">
        <f t="shared" si="2"/>
        <v>-114</v>
      </c>
      <c r="T383" s="1">
        <f t="shared" si="3"/>
        <v>1.877192982</v>
      </c>
      <c r="U383" s="1">
        <f t="shared" si="4"/>
        <v>0</v>
      </c>
      <c r="V383" s="3">
        <f t="shared" si="5"/>
        <v>1</v>
      </c>
      <c r="W383" s="3">
        <f t="shared" si="6"/>
        <v>2</v>
      </c>
      <c r="X383" s="3" t="str">
        <f>IFERROR(__xludf.DUMMYFUNCTION("split(B383,"" "")"),"A.")</f>
        <v>A.</v>
      </c>
      <c r="Y383" s="3" t="str">
        <f>IFERROR(__xludf.DUMMYFUNCTION("""COMPUTED_VALUE"""),"Barner")</f>
        <v>Barner</v>
      </c>
      <c r="AA383" s="8">
        <v>19.0</v>
      </c>
      <c r="AB383" s="3">
        <f t="shared" si="7"/>
        <v>0</v>
      </c>
      <c r="AC383" s="3">
        <f t="shared" si="8"/>
        <v>1</v>
      </c>
      <c r="AD383" s="3">
        <f t="shared" si="9"/>
        <v>0.8771929825</v>
      </c>
      <c r="AE383" s="3">
        <f t="shared" si="10"/>
        <v>0.8771929825</v>
      </c>
      <c r="AF383" s="3">
        <f t="shared" si="11"/>
        <v>1.754385965</v>
      </c>
      <c r="AG383" s="3">
        <f t="shared" si="12"/>
        <v>0.3090909091</v>
      </c>
    </row>
    <row r="384">
      <c r="A384" s="1" t="s">
        <v>11</v>
      </c>
      <c r="B384" s="1" t="s">
        <v>334</v>
      </c>
      <c r="C384" s="1" t="s">
        <v>18</v>
      </c>
      <c r="D384" s="1" t="s">
        <v>82</v>
      </c>
      <c r="E384" s="1" t="s">
        <v>105</v>
      </c>
      <c r="F384" s="1" t="s">
        <v>693</v>
      </c>
      <c r="G384" s="1">
        <v>58.5</v>
      </c>
      <c r="H384" s="1" t="s">
        <v>60</v>
      </c>
      <c r="I384" s="1">
        <v>-118.0</v>
      </c>
      <c r="J384" s="1">
        <v>-0.0831779285560476</v>
      </c>
      <c r="K384" s="1" t="s">
        <v>61</v>
      </c>
      <c r="L384" s="1" t="s">
        <v>61</v>
      </c>
      <c r="M384" s="1" t="s">
        <v>62</v>
      </c>
      <c r="N384" s="1">
        <v>-109.0</v>
      </c>
      <c r="O384" s="1">
        <v>0.0203740593051664</v>
      </c>
      <c r="P384" s="1" t="s">
        <v>61</v>
      </c>
      <c r="Q384" s="1" t="s">
        <v>61</v>
      </c>
      <c r="R384" s="1">
        <f t="shared" si="1"/>
        <v>0.02037405931</v>
      </c>
      <c r="S384" s="1">
        <f t="shared" si="2"/>
        <v>-109</v>
      </c>
      <c r="T384" s="1">
        <f t="shared" si="3"/>
        <v>1.917431193</v>
      </c>
      <c r="U384" s="1">
        <f t="shared" si="4"/>
        <v>0</v>
      </c>
      <c r="V384" s="3">
        <f t="shared" si="5"/>
        <v>1</v>
      </c>
      <c r="W384" s="3">
        <f t="shared" si="6"/>
        <v>2</v>
      </c>
      <c r="X384" s="3" t="str">
        <f>IFERROR(__xludf.DUMMYFUNCTION("split(B384,"" "")"),"J.")</f>
        <v>J.</v>
      </c>
      <c r="Y384" s="3" t="str">
        <f>IFERROR(__xludf.DUMMYFUNCTION("""COMPUTED_VALUE"""),"Smith-Njigba")</f>
        <v>Smith-Njigba</v>
      </c>
      <c r="AA384" s="8">
        <v>77.0</v>
      </c>
      <c r="AB384" s="3">
        <f t="shared" si="7"/>
        <v>1</v>
      </c>
      <c r="AC384" s="3">
        <f t="shared" si="8"/>
        <v>0</v>
      </c>
      <c r="AD384" s="3">
        <f t="shared" si="9"/>
        <v>0.9174311927</v>
      </c>
      <c r="AE384" s="3">
        <f t="shared" si="10"/>
        <v>-1</v>
      </c>
      <c r="AF384" s="3">
        <f t="shared" si="11"/>
        <v>-2</v>
      </c>
      <c r="AG384" s="3">
        <f t="shared" si="12"/>
        <v>-0.3162393162</v>
      </c>
    </row>
    <row r="385">
      <c r="A385" s="1" t="s">
        <v>11</v>
      </c>
      <c r="B385" s="1" t="s">
        <v>361</v>
      </c>
      <c r="C385" s="1" t="s">
        <v>19</v>
      </c>
      <c r="D385" s="1" t="s">
        <v>82</v>
      </c>
      <c r="E385" s="1" t="s">
        <v>105</v>
      </c>
      <c r="F385" s="1" t="s">
        <v>693</v>
      </c>
      <c r="G385" s="1">
        <v>10.5</v>
      </c>
      <c r="H385" s="1" t="s">
        <v>60</v>
      </c>
      <c r="I385" s="1">
        <v>-113.0</v>
      </c>
      <c r="J385" s="1">
        <v>0.0141224596600295</v>
      </c>
      <c r="K385" s="1" t="s">
        <v>61</v>
      </c>
      <c r="L385" s="1" t="s">
        <v>61</v>
      </c>
      <c r="M385" s="1" t="s">
        <v>62</v>
      </c>
      <c r="N385" s="1">
        <v>-115.0</v>
      </c>
      <c r="O385" s="1">
        <v>-0.0795280302033687</v>
      </c>
      <c r="P385" s="1" t="s">
        <v>61</v>
      </c>
      <c r="Q385" s="1" t="s">
        <v>61</v>
      </c>
      <c r="R385" s="1">
        <f t="shared" si="1"/>
        <v>0.01412245966</v>
      </c>
      <c r="S385" s="1">
        <f t="shared" si="2"/>
        <v>-113</v>
      </c>
      <c r="T385" s="1">
        <f t="shared" si="3"/>
        <v>1.884955752</v>
      </c>
      <c r="U385" s="1">
        <f t="shared" si="4"/>
        <v>1</v>
      </c>
      <c r="V385" s="3">
        <f t="shared" si="5"/>
        <v>1</v>
      </c>
      <c r="W385" s="3">
        <f t="shared" si="6"/>
        <v>2</v>
      </c>
      <c r="X385" s="3" t="str">
        <f>IFERROR(__xludf.DUMMYFUNCTION("split(B385,"" "")"),"Z.")</f>
        <v>Z.</v>
      </c>
      <c r="Y385" s="3" t="str">
        <f>IFERROR(__xludf.DUMMYFUNCTION("""COMPUTED_VALUE"""),"Charbonnet")</f>
        <v>Charbonnet</v>
      </c>
      <c r="AA385" s="8">
        <v>0.0</v>
      </c>
      <c r="AB385" s="3">
        <f t="shared" si="7"/>
        <v>0</v>
      </c>
      <c r="AC385" s="3">
        <f t="shared" si="8"/>
        <v>0</v>
      </c>
      <c r="AD385" s="3">
        <f t="shared" si="9"/>
        <v>0.8849557522</v>
      </c>
      <c r="AE385" s="3">
        <f t="shared" si="10"/>
        <v>-1</v>
      </c>
      <c r="AF385" s="3">
        <f t="shared" si="11"/>
        <v>-2</v>
      </c>
      <c r="AG385" s="3">
        <f t="shared" si="12"/>
        <v>-1</v>
      </c>
    </row>
    <row r="386">
      <c r="A386" s="1" t="s">
        <v>17</v>
      </c>
      <c r="B386" s="1" t="s">
        <v>500</v>
      </c>
      <c r="C386" s="1" t="s">
        <v>21</v>
      </c>
      <c r="D386" s="1" t="s">
        <v>82</v>
      </c>
      <c r="E386" s="1" t="s">
        <v>105</v>
      </c>
      <c r="F386" s="1" t="s">
        <v>693</v>
      </c>
      <c r="G386" s="1">
        <v>0.5</v>
      </c>
      <c r="H386" s="1" t="s">
        <v>60</v>
      </c>
      <c r="I386" s="1">
        <v>-111.0</v>
      </c>
      <c r="J386" s="1">
        <v>-0.0748189573459715</v>
      </c>
      <c r="K386" s="1" t="s">
        <v>61</v>
      </c>
      <c r="L386" s="1" t="s">
        <v>61</v>
      </c>
      <c r="M386" s="1" t="s">
        <v>62</v>
      </c>
      <c r="N386" s="1">
        <v>-117.0</v>
      </c>
      <c r="O386" s="1">
        <v>0.00957557603686631</v>
      </c>
      <c r="P386" s="1" t="s">
        <v>61</v>
      </c>
      <c r="Q386" s="1" t="s">
        <v>61</v>
      </c>
      <c r="R386" s="1">
        <f t="shared" si="1"/>
        <v>0.009575576037</v>
      </c>
      <c r="S386" s="1">
        <f t="shared" si="2"/>
        <v>-117</v>
      </c>
      <c r="T386" s="1">
        <f t="shared" si="3"/>
        <v>1.854700855</v>
      </c>
      <c r="U386" s="1">
        <f t="shared" si="4"/>
        <v>0</v>
      </c>
      <c r="V386" s="3">
        <f t="shared" si="5"/>
        <v>1</v>
      </c>
      <c r="W386" s="3">
        <f t="shared" si="6"/>
        <v>2</v>
      </c>
      <c r="X386" s="3" t="str">
        <f>IFERROR(__xludf.DUMMYFUNCTION("split(B386,"" "")"),"G.")</f>
        <v>G.</v>
      </c>
      <c r="Y386" s="3" t="str">
        <f>IFERROR(__xludf.DUMMYFUNCTION("""COMPUTED_VALUE"""),"Smith")</f>
        <v>Smith</v>
      </c>
      <c r="AA386" s="8">
        <v>1.0</v>
      </c>
      <c r="AB386" s="3">
        <f t="shared" si="7"/>
        <v>1</v>
      </c>
      <c r="AC386" s="3">
        <f t="shared" si="8"/>
        <v>0</v>
      </c>
      <c r="AD386" s="3">
        <f t="shared" si="9"/>
        <v>0.8547008547</v>
      </c>
      <c r="AE386" s="3">
        <f t="shared" si="10"/>
        <v>-1</v>
      </c>
      <c r="AF386" s="3">
        <f t="shared" si="11"/>
        <v>-2</v>
      </c>
      <c r="AG386" s="3">
        <f t="shared" si="12"/>
        <v>-1</v>
      </c>
    </row>
    <row r="387">
      <c r="A387" s="1" t="s">
        <v>8</v>
      </c>
      <c r="B387" s="1" t="s">
        <v>490</v>
      </c>
      <c r="C387" s="1" t="s">
        <v>19</v>
      </c>
      <c r="D387" s="1" t="s">
        <v>82</v>
      </c>
      <c r="E387" s="1" t="s">
        <v>105</v>
      </c>
      <c r="F387" s="1" t="s">
        <v>693</v>
      </c>
      <c r="G387" s="1">
        <v>15.5</v>
      </c>
      <c r="H387" s="1" t="s">
        <v>60</v>
      </c>
      <c r="I387" s="1">
        <v>-115.0</v>
      </c>
      <c r="J387" s="1">
        <v>-0.080383433088372</v>
      </c>
      <c r="K387" s="1" t="s">
        <v>61</v>
      </c>
      <c r="L387" s="1" t="s">
        <v>61</v>
      </c>
      <c r="M387" s="1" t="s">
        <v>62</v>
      </c>
      <c r="N387" s="1">
        <v>-117.0</v>
      </c>
      <c r="O387" s="1">
        <v>0.00632915941649758</v>
      </c>
      <c r="P387" s="1" t="s">
        <v>61</v>
      </c>
      <c r="Q387" s="1" t="s">
        <v>61</v>
      </c>
      <c r="R387" s="1">
        <f t="shared" si="1"/>
        <v>0.006329159416</v>
      </c>
      <c r="S387" s="1">
        <f t="shared" si="2"/>
        <v>-117</v>
      </c>
      <c r="T387" s="1">
        <f t="shared" si="3"/>
        <v>1.854700855</v>
      </c>
      <c r="U387" s="1">
        <f t="shared" si="4"/>
        <v>0</v>
      </c>
      <c r="V387" s="3">
        <f t="shared" si="5"/>
        <v>1</v>
      </c>
      <c r="W387" s="3">
        <f t="shared" si="6"/>
        <v>2</v>
      </c>
      <c r="X387" s="3" t="str">
        <f>IFERROR(__xludf.DUMMYFUNCTION("split(B387,"" "")"),"K.")</f>
        <v>K.</v>
      </c>
      <c r="Y387" s="3" t="str">
        <f>IFERROR(__xludf.DUMMYFUNCTION("""COMPUTED_VALUE"""),"Walker")</f>
        <v>Walker</v>
      </c>
      <c r="Z387" s="3" t="str">
        <f>IFERROR(__xludf.DUMMYFUNCTION("""COMPUTED_VALUE"""),"III")</f>
        <v>III</v>
      </c>
      <c r="AA387" s="8">
        <v>16.0</v>
      </c>
      <c r="AB387" s="3">
        <f t="shared" si="7"/>
        <v>1</v>
      </c>
      <c r="AC387" s="3">
        <f t="shared" si="8"/>
        <v>0</v>
      </c>
      <c r="AD387" s="3">
        <f t="shared" si="9"/>
        <v>0.8547008547</v>
      </c>
      <c r="AE387" s="3">
        <f t="shared" si="10"/>
        <v>-1</v>
      </c>
      <c r="AF387" s="3">
        <f t="shared" si="11"/>
        <v>-2</v>
      </c>
      <c r="AG387" s="3">
        <f t="shared" si="12"/>
        <v>-0.03225806452</v>
      </c>
    </row>
    <row r="388">
      <c r="A388" s="1" t="s">
        <v>9</v>
      </c>
      <c r="B388" s="1" t="s">
        <v>387</v>
      </c>
      <c r="C388" s="1" t="s">
        <v>18</v>
      </c>
      <c r="D388" s="1" t="s">
        <v>82</v>
      </c>
      <c r="E388" s="1" t="s">
        <v>105</v>
      </c>
      <c r="F388" s="1" t="s">
        <v>693</v>
      </c>
      <c r="G388" s="1">
        <v>70.5</v>
      </c>
      <c r="H388" s="1" t="s">
        <v>60</v>
      </c>
      <c r="I388" s="1">
        <v>-115.0</v>
      </c>
      <c r="J388" s="1">
        <v>-0.0760499389952508</v>
      </c>
      <c r="K388" s="1" t="s">
        <v>61</v>
      </c>
      <c r="L388" s="1" t="s">
        <v>61</v>
      </c>
      <c r="M388" s="1" t="s">
        <v>62</v>
      </c>
      <c r="N388" s="1">
        <v>-115.0</v>
      </c>
      <c r="O388" s="1">
        <v>0.00629242984453826</v>
      </c>
      <c r="P388" s="1" t="s">
        <v>61</v>
      </c>
      <c r="Q388" s="1" t="s">
        <v>61</v>
      </c>
      <c r="R388" s="1">
        <f t="shared" si="1"/>
        <v>0.006292429845</v>
      </c>
      <c r="S388" s="1">
        <f t="shared" si="2"/>
        <v>-115</v>
      </c>
      <c r="T388" s="1">
        <f t="shared" si="3"/>
        <v>1.869565217</v>
      </c>
      <c r="U388" s="1">
        <f t="shared" si="4"/>
        <v>0</v>
      </c>
      <c r="V388" s="3">
        <f t="shared" si="5"/>
        <v>1</v>
      </c>
      <c r="W388" s="3">
        <f t="shared" si="6"/>
        <v>2</v>
      </c>
      <c r="X388" s="3" t="str">
        <f>IFERROR(__xludf.DUMMYFUNCTION("split(B388,"" "")"),"D.")</f>
        <v>D.</v>
      </c>
      <c r="Y388" s="3" t="str">
        <f>IFERROR(__xludf.DUMMYFUNCTION("""COMPUTED_VALUE"""),"Metcalf")</f>
        <v>Metcalf</v>
      </c>
      <c r="AA388" s="8">
        <v>59.0</v>
      </c>
      <c r="AB388" s="3">
        <f t="shared" si="7"/>
        <v>0</v>
      </c>
      <c r="AC388" s="3">
        <f t="shared" si="8"/>
        <v>1</v>
      </c>
      <c r="AD388" s="3">
        <f t="shared" si="9"/>
        <v>0.8695652174</v>
      </c>
      <c r="AE388" s="3">
        <f t="shared" si="10"/>
        <v>0.8695652174</v>
      </c>
      <c r="AF388" s="3">
        <f t="shared" si="11"/>
        <v>1.739130435</v>
      </c>
      <c r="AG388" s="3">
        <f t="shared" si="12"/>
        <v>0.1631205674</v>
      </c>
    </row>
    <row r="389">
      <c r="A389" s="1" t="s">
        <v>14</v>
      </c>
      <c r="B389" s="1" t="s">
        <v>554</v>
      </c>
      <c r="C389" s="1" t="s">
        <v>21</v>
      </c>
      <c r="D389" s="1" t="s">
        <v>164</v>
      </c>
      <c r="E389" s="1" t="s">
        <v>157</v>
      </c>
      <c r="F389" s="1" t="s">
        <v>693</v>
      </c>
      <c r="G389" s="1">
        <v>0.5</v>
      </c>
      <c r="H389" s="1" t="s">
        <v>60</v>
      </c>
      <c r="I389" s="1">
        <v>-267.0</v>
      </c>
      <c r="J389" s="1">
        <v>-0.235891789645776</v>
      </c>
      <c r="K389" s="1" t="s">
        <v>61</v>
      </c>
      <c r="L389" s="1" t="s">
        <v>61</v>
      </c>
      <c r="M389" s="1" t="s">
        <v>62</v>
      </c>
      <c r="N389" s="1">
        <v>196.0</v>
      </c>
      <c r="O389" s="1">
        <v>0.170526644594594</v>
      </c>
      <c r="P389" s="1" t="s">
        <v>61</v>
      </c>
      <c r="Q389" s="1" t="s">
        <v>61</v>
      </c>
      <c r="R389" s="1">
        <f t="shared" si="1"/>
        <v>0.1705266446</v>
      </c>
      <c r="S389" s="1">
        <f t="shared" si="2"/>
        <v>196</v>
      </c>
      <c r="T389" s="1">
        <f t="shared" si="3"/>
        <v>2.96</v>
      </c>
      <c r="U389" s="1">
        <f t="shared" si="4"/>
        <v>0</v>
      </c>
      <c r="V389" s="3">
        <f t="shared" si="5"/>
        <v>3</v>
      </c>
      <c r="W389" s="3">
        <f t="shared" si="6"/>
        <v>1</v>
      </c>
      <c r="X389" s="3" t="str">
        <f>IFERROR(__xludf.DUMMYFUNCTION("split(B389,"" "")"),"B.")</f>
        <v>B.</v>
      </c>
      <c r="Y389" s="3" t="str">
        <f>IFERROR(__xludf.DUMMYFUNCTION("""COMPUTED_VALUE"""),"Allen")</f>
        <v>Allen</v>
      </c>
      <c r="AA389" s="8">
        <v>1.0</v>
      </c>
      <c r="AB389" s="3">
        <f t="shared" si="7"/>
        <v>1</v>
      </c>
      <c r="AC389" s="3">
        <f t="shared" si="8"/>
        <v>0</v>
      </c>
      <c r="AD389" s="3">
        <f t="shared" si="9"/>
        <v>5.88</v>
      </c>
      <c r="AE389" s="3">
        <f t="shared" si="10"/>
        <v>-3</v>
      </c>
      <c r="AF389" s="3">
        <f t="shared" si="11"/>
        <v>-1</v>
      </c>
      <c r="AG389" s="3">
        <f t="shared" si="12"/>
        <v>-1</v>
      </c>
    </row>
    <row r="390">
      <c r="A390" s="1" t="s">
        <v>9</v>
      </c>
      <c r="B390" s="1" t="s">
        <v>639</v>
      </c>
      <c r="C390" s="1" t="s">
        <v>18</v>
      </c>
      <c r="D390" s="1" t="s">
        <v>164</v>
      </c>
      <c r="E390" s="1" t="s">
        <v>157</v>
      </c>
      <c r="F390" s="1" t="s">
        <v>693</v>
      </c>
      <c r="G390" s="1">
        <v>18.5</v>
      </c>
      <c r="H390" s="1" t="s">
        <v>60</v>
      </c>
      <c r="I390" s="1">
        <v>-115.0</v>
      </c>
      <c r="J390" s="1">
        <v>0.13578755384804</v>
      </c>
      <c r="K390" s="1" t="s">
        <v>61</v>
      </c>
      <c r="L390" s="1" t="s">
        <v>61</v>
      </c>
      <c r="M390" s="1" t="s">
        <v>62</v>
      </c>
      <c r="N390" s="1">
        <v>-115.0</v>
      </c>
      <c r="O390" s="1">
        <v>-0.205505686925246</v>
      </c>
      <c r="P390" s="1" t="s">
        <v>61</v>
      </c>
      <c r="Q390" s="1" t="s">
        <v>61</v>
      </c>
      <c r="R390" s="1">
        <f t="shared" si="1"/>
        <v>0.1357875538</v>
      </c>
      <c r="S390" s="1">
        <f t="shared" si="2"/>
        <v>-115</v>
      </c>
      <c r="T390" s="1">
        <f t="shared" si="3"/>
        <v>1.869565217</v>
      </c>
      <c r="U390" s="1">
        <f t="shared" si="4"/>
        <v>1</v>
      </c>
      <c r="V390" s="3">
        <f t="shared" si="5"/>
        <v>3</v>
      </c>
      <c r="W390" s="3">
        <f t="shared" si="6"/>
        <v>2</v>
      </c>
      <c r="X390" s="3" t="str">
        <f>IFERROR(__xludf.DUMMYFUNCTION("split(B390,"" "")"),"R.")</f>
        <v>R.</v>
      </c>
      <c r="Y390" s="3" t="str">
        <f>IFERROR(__xludf.DUMMYFUNCTION("""COMPUTED_VALUE"""),"Pearsall")</f>
        <v>Pearsall</v>
      </c>
      <c r="AA390" s="8">
        <v>0.0</v>
      </c>
      <c r="AB390" s="3">
        <f t="shared" si="7"/>
        <v>0</v>
      </c>
      <c r="AC390" s="3">
        <f t="shared" si="8"/>
        <v>0</v>
      </c>
      <c r="AD390" s="3">
        <f t="shared" si="9"/>
        <v>2.608695652</v>
      </c>
      <c r="AE390" s="3">
        <f t="shared" si="10"/>
        <v>-3</v>
      </c>
      <c r="AF390" s="3">
        <f t="shared" si="11"/>
        <v>-2</v>
      </c>
      <c r="AG390" s="3">
        <f t="shared" si="12"/>
        <v>-1</v>
      </c>
    </row>
    <row r="391">
      <c r="A391" s="1" t="s">
        <v>12</v>
      </c>
      <c r="B391" s="1" t="s">
        <v>639</v>
      </c>
      <c r="C391" s="1" t="s">
        <v>18</v>
      </c>
      <c r="D391" s="1" t="s">
        <v>164</v>
      </c>
      <c r="E391" s="1" t="s">
        <v>157</v>
      </c>
      <c r="F391" s="1" t="s">
        <v>693</v>
      </c>
      <c r="G391" s="1">
        <v>1.5</v>
      </c>
      <c r="H391" s="1" t="s">
        <v>60</v>
      </c>
      <c r="I391" s="1">
        <v>-139.0</v>
      </c>
      <c r="J391" s="1">
        <v>-0.163988497715481</v>
      </c>
      <c r="K391" s="1" t="s">
        <v>61</v>
      </c>
      <c r="L391" s="1" t="s">
        <v>61</v>
      </c>
      <c r="M391" s="1" t="s">
        <v>62</v>
      </c>
      <c r="N391" s="1">
        <v>106.0</v>
      </c>
      <c r="O391" s="1">
        <v>0.0969614123980582</v>
      </c>
      <c r="P391" s="1" t="s">
        <v>61</v>
      </c>
      <c r="Q391" s="1" t="s">
        <v>61</v>
      </c>
      <c r="R391" s="1">
        <f t="shared" si="1"/>
        <v>0.0969614124</v>
      </c>
      <c r="S391" s="1">
        <f t="shared" si="2"/>
        <v>106</v>
      </c>
      <c r="T391" s="1">
        <f t="shared" si="3"/>
        <v>2.06</v>
      </c>
      <c r="U391" s="1">
        <f t="shared" si="4"/>
        <v>0</v>
      </c>
      <c r="V391" s="3">
        <f t="shared" si="5"/>
        <v>2</v>
      </c>
      <c r="W391" s="3">
        <f t="shared" si="6"/>
        <v>2</v>
      </c>
      <c r="X391" s="3" t="str">
        <f>IFERROR(__xludf.DUMMYFUNCTION("split(B391,"" "")"),"R.")</f>
        <v>R.</v>
      </c>
      <c r="Y391" s="3" t="str">
        <f>IFERROR(__xludf.DUMMYFUNCTION("""COMPUTED_VALUE"""),"Pearsall")</f>
        <v>Pearsall</v>
      </c>
      <c r="AA391" s="8">
        <v>0.0</v>
      </c>
      <c r="AB391" s="3">
        <f t="shared" si="7"/>
        <v>0</v>
      </c>
      <c r="AC391" s="3">
        <f t="shared" si="8"/>
        <v>1</v>
      </c>
      <c r="AD391" s="3">
        <f t="shared" si="9"/>
        <v>2.12</v>
      </c>
      <c r="AE391" s="3">
        <f t="shared" si="10"/>
        <v>2.12</v>
      </c>
      <c r="AF391" s="3">
        <f t="shared" si="11"/>
        <v>2.12</v>
      </c>
      <c r="AG391" s="3">
        <f t="shared" si="12"/>
        <v>1</v>
      </c>
    </row>
    <row r="392">
      <c r="A392" s="1" t="s">
        <v>10</v>
      </c>
      <c r="B392" s="1" t="s">
        <v>262</v>
      </c>
      <c r="C392" s="1" t="s">
        <v>21</v>
      </c>
      <c r="D392" s="1" t="s">
        <v>164</v>
      </c>
      <c r="E392" s="1" t="s">
        <v>157</v>
      </c>
      <c r="F392" s="1" t="s">
        <v>693</v>
      </c>
      <c r="G392" s="1">
        <v>21.5</v>
      </c>
      <c r="H392" s="1" t="s">
        <v>60</v>
      </c>
      <c r="I392" s="1">
        <v>-117.0</v>
      </c>
      <c r="J392" s="1">
        <v>-0.137179105286493</v>
      </c>
      <c r="K392" s="1" t="s">
        <v>61</v>
      </c>
      <c r="L392" s="1" t="s">
        <v>61</v>
      </c>
      <c r="M392" s="1" t="s">
        <v>62</v>
      </c>
      <c r="N392" s="1">
        <v>-113.0</v>
      </c>
      <c r="O392" s="1">
        <v>0.0675388328981273</v>
      </c>
      <c r="P392" s="1" t="s">
        <v>61</v>
      </c>
      <c r="Q392" s="1" t="s">
        <v>61</v>
      </c>
      <c r="R392" s="1">
        <f t="shared" si="1"/>
        <v>0.0675388329</v>
      </c>
      <c r="S392" s="1">
        <f t="shared" si="2"/>
        <v>-113</v>
      </c>
      <c r="T392" s="1">
        <f t="shared" si="3"/>
        <v>1.884955752</v>
      </c>
      <c r="U392" s="1">
        <f t="shared" si="4"/>
        <v>0</v>
      </c>
      <c r="V392" s="3">
        <f t="shared" si="5"/>
        <v>2</v>
      </c>
      <c r="W392" s="3">
        <f t="shared" si="6"/>
        <v>2</v>
      </c>
      <c r="X392" s="3" t="str">
        <f>IFERROR(__xludf.DUMMYFUNCTION("split(B392,"" "")"),"B.")</f>
        <v>B.</v>
      </c>
      <c r="Y392" s="3" t="str">
        <f>IFERROR(__xludf.DUMMYFUNCTION("""COMPUTED_VALUE"""),"Purdy")</f>
        <v>Purdy</v>
      </c>
      <c r="AA392" s="8">
        <v>0.0</v>
      </c>
      <c r="AB392" s="3">
        <f t="shared" si="7"/>
        <v>0</v>
      </c>
      <c r="AC392" s="3">
        <f t="shared" si="8"/>
        <v>1</v>
      </c>
      <c r="AD392" s="3">
        <f t="shared" si="9"/>
        <v>1.769911504</v>
      </c>
      <c r="AE392" s="3">
        <f t="shared" si="10"/>
        <v>1.769911504</v>
      </c>
      <c r="AF392" s="3">
        <f t="shared" si="11"/>
        <v>1.769911504</v>
      </c>
      <c r="AG392" s="3">
        <f t="shared" si="12"/>
        <v>1</v>
      </c>
    </row>
    <row r="393">
      <c r="A393" s="1" t="s">
        <v>11</v>
      </c>
      <c r="B393" s="1" t="s">
        <v>420</v>
      </c>
      <c r="C393" s="1" t="s">
        <v>19</v>
      </c>
      <c r="D393" s="1" t="s">
        <v>164</v>
      </c>
      <c r="E393" s="1" t="s">
        <v>157</v>
      </c>
      <c r="F393" s="1" t="s">
        <v>693</v>
      </c>
      <c r="G393" s="1">
        <v>30.5</v>
      </c>
      <c r="H393" s="1" t="s">
        <v>60</v>
      </c>
      <c r="I393" s="1">
        <v>-119.0</v>
      </c>
      <c r="J393" s="1">
        <v>-0.116788282579497</v>
      </c>
      <c r="K393" s="1" t="s">
        <v>61</v>
      </c>
      <c r="L393" s="1" t="s">
        <v>61</v>
      </c>
      <c r="M393" s="1" t="s">
        <v>62</v>
      </c>
      <c r="N393" s="1">
        <v>-111.0</v>
      </c>
      <c r="O393" s="1">
        <v>0.047358177822991</v>
      </c>
      <c r="P393" s="1" t="s">
        <v>61</v>
      </c>
      <c r="Q393" s="1" t="s">
        <v>61</v>
      </c>
      <c r="R393" s="1">
        <f t="shared" si="1"/>
        <v>0.04735817782</v>
      </c>
      <c r="S393" s="1">
        <f t="shared" si="2"/>
        <v>-111</v>
      </c>
      <c r="T393" s="1">
        <f t="shared" si="3"/>
        <v>1.900900901</v>
      </c>
      <c r="U393" s="1">
        <f t="shared" si="4"/>
        <v>0</v>
      </c>
      <c r="V393" s="3">
        <f t="shared" si="5"/>
        <v>1</v>
      </c>
      <c r="W393" s="3">
        <f t="shared" si="6"/>
        <v>2</v>
      </c>
      <c r="X393" s="3" t="str">
        <f>IFERROR(__xludf.DUMMYFUNCTION("split(B393,"" "")"),"C.")</f>
        <v>C.</v>
      </c>
      <c r="Y393" s="3" t="str">
        <f>IFERROR(__xludf.DUMMYFUNCTION("""COMPUTED_VALUE"""),"McCaffrey")</f>
        <v>McCaffrey</v>
      </c>
      <c r="AA393" s="8">
        <v>37.0</v>
      </c>
      <c r="AB393" s="3">
        <f t="shared" si="7"/>
        <v>1</v>
      </c>
      <c r="AC393" s="3">
        <f t="shared" si="8"/>
        <v>0</v>
      </c>
      <c r="AD393" s="3">
        <f t="shared" si="9"/>
        <v>0.9009009009</v>
      </c>
      <c r="AE393" s="3">
        <f t="shared" si="10"/>
        <v>-1</v>
      </c>
      <c r="AF393" s="3">
        <f t="shared" si="11"/>
        <v>-2</v>
      </c>
      <c r="AG393" s="3">
        <f t="shared" si="12"/>
        <v>-0.2131147541</v>
      </c>
    </row>
    <row r="394">
      <c r="A394" s="1" t="s">
        <v>10</v>
      </c>
      <c r="B394" s="1" t="s">
        <v>554</v>
      </c>
      <c r="C394" s="1" t="s">
        <v>21</v>
      </c>
      <c r="D394" s="1" t="s">
        <v>164</v>
      </c>
      <c r="E394" s="1" t="s">
        <v>157</v>
      </c>
      <c r="F394" s="1" t="s">
        <v>693</v>
      </c>
      <c r="G394" s="1">
        <v>6.5</v>
      </c>
      <c r="H394" s="1" t="s">
        <v>60</v>
      </c>
      <c r="I394" s="1">
        <v>-108.0</v>
      </c>
      <c r="J394" s="1">
        <v>0.0463913298117504</v>
      </c>
      <c r="K394" s="1" t="s">
        <v>61</v>
      </c>
      <c r="L394" s="1" t="s">
        <v>61</v>
      </c>
      <c r="M394" s="1" t="s">
        <v>62</v>
      </c>
      <c r="N394" s="1">
        <v>-119.0</v>
      </c>
      <c r="O394" s="1">
        <v>-0.10897792673518</v>
      </c>
      <c r="P394" s="1" t="s">
        <v>61</v>
      </c>
      <c r="Q394" s="1" t="s">
        <v>61</v>
      </c>
      <c r="R394" s="1">
        <f t="shared" si="1"/>
        <v>0.04639132981</v>
      </c>
      <c r="S394" s="1">
        <f t="shared" si="2"/>
        <v>-108</v>
      </c>
      <c r="T394" s="1">
        <f t="shared" si="3"/>
        <v>1.925925926</v>
      </c>
      <c r="U394" s="1">
        <f t="shared" si="4"/>
        <v>1</v>
      </c>
      <c r="V394" s="3">
        <f t="shared" si="5"/>
        <v>1</v>
      </c>
      <c r="W394" s="3">
        <f t="shared" si="6"/>
        <v>2</v>
      </c>
      <c r="X394" s="3" t="str">
        <f>IFERROR(__xludf.DUMMYFUNCTION("split(B394,"" "")"),"B.")</f>
        <v>B.</v>
      </c>
      <c r="Y394" s="3" t="str">
        <f>IFERROR(__xludf.DUMMYFUNCTION("""COMPUTED_VALUE"""),"Allen")</f>
        <v>Allen</v>
      </c>
      <c r="AA394" s="8">
        <v>5.0</v>
      </c>
      <c r="AB394" s="3">
        <f t="shared" si="7"/>
        <v>0</v>
      </c>
      <c r="AC394" s="3">
        <f t="shared" si="8"/>
        <v>0</v>
      </c>
      <c r="AD394" s="3">
        <f t="shared" si="9"/>
        <v>0.9259259259</v>
      </c>
      <c r="AE394" s="3">
        <f t="shared" si="10"/>
        <v>-1</v>
      </c>
      <c r="AF394" s="3">
        <f t="shared" si="11"/>
        <v>-2</v>
      </c>
      <c r="AG394" s="3">
        <f t="shared" si="12"/>
        <v>-0.2307692308</v>
      </c>
    </row>
    <row r="395">
      <c r="A395" s="1" t="s">
        <v>15</v>
      </c>
      <c r="B395" s="1" t="s">
        <v>262</v>
      </c>
      <c r="C395" s="1" t="s">
        <v>21</v>
      </c>
      <c r="D395" s="1" t="s">
        <v>164</v>
      </c>
      <c r="E395" s="1" t="s">
        <v>157</v>
      </c>
      <c r="F395" s="1" t="s">
        <v>693</v>
      </c>
      <c r="G395" s="1">
        <v>19.5</v>
      </c>
      <c r="H395" s="1" t="s">
        <v>60</v>
      </c>
      <c r="I395" s="1">
        <v>-116.0</v>
      </c>
      <c r="J395" s="1">
        <v>0.0444629629629628</v>
      </c>
      <c r="K395" s="1" t="s">
        <v>61</v>
      </c>
      <c r="L395" s="1" t="s">
        <v>61</v>
      </c>
      <c r="M395" s="1" t="s">
        <v>62</v>
      </c>
      <c r="N395" s="1">
        <v>-116.0</v>
      </c>
      <c r="O395" s="1">
        <v>-0.118537037037037</v>
      </c>
      <c r="P395" s="1" t="s">
        <v>61</v>
      </c>
      <c r="Q395" s="1" t="s">
        <v>61</v>
      </c>
      <c r="R395" s="1">
        <f t="shared" si="1"/>
        <v>0.04446296296</v>
      </c>
      <c r="S395" s="1">
        <f t="shared" si="2"/>
        <v>-116</v>
      </c>
      <c r="T395" s="1">
        <f t="shared" si="3"/>
        <v>1.862068966</v>
      </c>
      <c r="U395" s="1">
        <f t="shared" si="4"/>
        <v>1</v>
      </c>
      <c r="V395" s="3">
        <f t="shared" si="5"/>
        <v>1</v>
      </c>
      <c r="W395" s="3">
        <f t="shared" si="6"/>
        <v>2</v>
      </c>
      <c r="X395" s="3" t="str">
        <f>IFERROR(__xludf.DUMMYFUNCTION("split(B395,"" "")"),"B.")</f>
        <v>B.</v>
      </c>
      <c r="Y395" s="3" t="str">
        <f>IFERROR(__xludf.DUMMYFUNCTION("""COMPUTED_VALUE"""),"Purdy")</f>
        <v>Purdy</v>
      </c>
      <c r="AA395" s="8">
        <v>0.0</v>
      </c>
      <c r="AB395" s="3">
        <f t="shared" si="7"/>
        <v>0</v>
      </c>
      <c r="AC395" s="3">
        <f t="shared" si="8"/>
        <v>0</v>
      </c>
      <c r="AD395" s="3">
        <f t="shared" si="9"/>
        <v>0.8620689655</v>
      </c>
      <c r="AE395" s="3">
        <f t="shared" si="10"/>
        <v>-1</v>
      </c>
      <c r="AF395" s="3">
        <f t="shared" si="11"/>
        <v>-2</v>
      </c>
      <c r="AG395" s="3">
        <f t="shared" si="12"/>
        <v>-1</v>
      </c>
    </row>
    <row r="396">
      <c r="A396" s="1" t="s">
        <v>13</v>
      </c>
      <c r="B396" s="1" t="s">
        <v>262</v>
      </c>
      <c r="C396" s="1" t="s">
        <v>21</v>
      </c>
      <c r="D396" s="1" t="s">
        <v>164</v>
      </c>
      <c r="E396" s="1" t="s">
        <v>157</v>
      </c>
      <c r="F396" s="1" t="s">
        <v>693</v>
      </c>
      <c r="G396" s="1">
        <v>231.0</v>
      </c>
      <c r="H396" s="1" t="s">
        <v>60</v>
      </c>
      <c r="I396" s="1">
        <v>-109.0</v>
      </c>
      <c r="J396" s="1">
        <v>0.0402980861244016</v>
      </c>
      <c r="K396" s="1" t="s">
        <v>61</v>
      </c>
      <c r="L396" s="1" t="s">
        <v>61</v>
      </c>
      <c r="M396" s="1" t="s">
        <v>62</v>
      </c>
      <c r="N396" s="1">
        <v>-124.0</v>
      </c>
      <c r="O396" s="1">
        <v>-0.114949999999999</v>
      </c>
      <c r="P396" s="1" t="s">
        <v>61</v>
      </c>
      <c r="Q396" s="1" t="s">
        <v>61</v>
      </c>
      <c r="R396" s="1">
        <f t="shared" si="1"/>
        <v>0.04029808612</v>
      </c>
      <c r="S396" s="1">
        <f t="shared" si="2"/>
        <v>-109</v>
      </c>
      <c r="T396" s="1">
        <f t="shared" si="3"/>
        <v>1.917431193</v>
      </c>
      <c r="U396" s="1">
        <f t="shared" si="4"/>
        <v>1</v>
      </c>
      <c r="V396" s="3">
        <f t="shared" si="5"/>
        <v>1</v>
      </c>
      <c r="W396" s="3">
        <f t="shared" si="6"/>
        <v>2</v>
      </c>
      <c r="X396" s="3" t="str">
        <f>IFERROR(__xludf.DUMMYFUNCTION("split(B396,"" "")"),"B.")</f>
        <v>B.</v>
      </c>
      <c r="Y396" s="3" t="str">
        <f>IFERROR(__xludf.DUMMYFUNCTION("""COMPUTED_VALUE"""),"Purdy")</f>
        <v>Purdy</v>
      </c>
      <c r="AA396" s="8">
        <v>0.0</v>
      </c>
      <c r="AB396" s="3">
        <f t="shared" si="7"/>
        <v>0</v>
      </c>
      <c r="AC396" s="3">
        <f t="shared" si="8"/>
        <v>0</v>
      </c>
      <c r="AD396" s="3">
        <f t="shared" si="9"/>
        <v>0.9174311927</v>
      </c>
      <c r="AE396" s="3">
        <f t="shared" si="10"/>
        <v>-1</v>
      </c>
      <c r="AF396" s="3">
        <f t="shared" si="11"/>
        <v>-2</v>
      </c>
      <c r="AG396" s="3">
        <f t="shared" si="12"/>
        <v>-1</v>
      </c>
    </row>
    <row r="397">
      <c r="A397" s="1" t="s">
        <v>10</v>
      </c>
      <c r="B397" s="1" t="s">
        <v>496</v>
      </c>
      <c r="C397" s="1" t="s">
        <v>18</v>
      </c>
      <c r="D397" s="1" t="s">
        <v>164</v>
      </c>
      <c r="E397" s="1" t="s">
        <v>157</v>
      </c>
      <c r="F397" s="1" t="s">
        <v>693</v>
      </c>
      <c r="G397" s="1">
        <v>12.5</v>
      </c>
      <c r="H397" s="1" t="s">
        <v>60</v>
      </c>
      <c r="I397" s="1">
        <v>-113.0</v>
      </c>
      <c r="J397" s="1">
        <v>-0.105455219435903</v>
      </c>
      <c r="K397" s="1" t="s">
        <v>61</v>
      </c>
      <c r="L397" s="1" t="s">
        <v>61</v>
      </c>
      <c r="M397" s="1" t="s">
        <v>62</v>
      </c>
      <c r="N397" s="1">
        <v>-115.0</v>
      </c>
      <c r="O397" s="1">
        <v>0.0400604697712773</v>
      </c>
      <c r="P397" s="1" t="s">
        <v>61</v>
      </c>
      <c r="Q397" s="1" t="s">
        <v>61</v>
      </c>
      <c r="R397" s="1">
        <f t="shared" si="1"/>
        <v>0.04006046977</v>
      </c>
      <c r="S397" s="1">
        <f t="shared" si="2"/>
        <v>-115</v>
      </c>
      <c r="T397" s="1">
        <f t="shared" si="3"/>
        <v>1.869565217</v>
      </c>
      <c r="U397" s="1">
        <f t="shared" si="4"/>
        <v>0</v>
      </c>
      <c r="V397" s="3">
        <f t="shared" si="5"/>
        <v>1</v>
      </c>
      <c r="W397" s="3">
        <f t="shared" si="6"/>
        <v>2</v>
      </c>
      <c r="X397" s="3" t="str">
        <f>IFERROR(__xludf.DUMMYFUNCTION("split(B397,"" "")"),"D.")</f>
        <v>D.</v>
      </c>
      <c r="Y397" s="3" t="str">
        <f>IFERROR(__xludf.DUMMYFUNCTION("""COMPUTED_VALUE"""),"Samuel")</f>
        <v>Samuel</v>
      </c>
      <c r="AA397" s="8">
        <v>0.0</v>
      </c>
      <c r="AB397" s="3">
        <f t="shared" si="7"/>
        <v>0</v>
      </c>
      <c r="AC397" s="3">
        <f t="shared" si="8"/>
        <v>1</v>
      </c>
      <c r="AD397" s="3">
        <f t="shared" si="9"/>
        <v>0.8695652174</v>
      </c>
      <c r="AE397" s="3">
        <f t="shared" si="10"/>
        <v>0.8695652174</v>
      </c>
      <c r="AF397" s="3">
        <f t="shared" si="11"/>
        <v>1.739130435</v>
      </c>
      <c r="AG397" s="3">
        <f t="shared" si="12"/>
        <v>1</v>
      </c>
    </row>
    <row r="398">
      <c r="A398" s="1" t="s">
        <v>12</v>
      </c>
      <c r="B398" s="1" t="s">
        <v>496</v>
      </c>
      <c r="C398" s="1" t="s">
        <v>18</v>
      </c>
      <c r="D398" s="1" t="s">
        <v>164</v>
      </c>
      <c r="E398" s="1" t="s">
        <v>157</v>
      </c>
      <c r="F398" s="1" t="s">
        <v>693</v>
      </c>
      <c r="G398" s="1">
        <v>3.5</v>
      </c>
      <c r="H398" s="1" t="s">
        <v>60</v>
      </c>
      <c r="I398" s="1">
        <v>-144.0</v>
      </c>
      <c r="J398" s="1">
        <v>-0.108063934426229</v>
      </c>
      <c r="K398" s="1" t="s">
        <v>61</v>
      </c>
      <c r="L398" s="1" t="s">
        <v>61</v>
      </c>
      <c r="M398" s="1" t="s">
        <v>62</v>
      </c>
      <c r="N398" s="1">
        <v>109.0</v>
      </c>
      <c r="O398" s="1">
        <v>0.0394311004784688</v>
      </c>
      <c r="P398" s="1" t="s">
        <v>61</v>
      </c>
      <c r="Q398" s="1" t="s">
        <v>61</v>
      </c>
      <c r="R398" s="1">
        <f t="shared" si="1"/>
        <v>0.03943110048</v>
      </c>
      <c r="S398" s="1">
        <f t="shared" si="2"/>
        <v>109</v>
      </c>
      <c r="T398" s="1">
        <f t="shared" si="3"/>
        <v>2.09</v>
      </c>
      <c r="U398" s="1">
        <f t="shared" si="4"/>
        <v>0</v>
      </c>
      <c r="V398" s="3">
        <f t="shared" si="5"/>
        <v>1</v>
      </c>
      <c r="W398" s="3">
        <f t="shared" si="6"/>
        <v>2</v>
      </c>
      <c r="X398" s="3" t="str">
        <f>IFERROR(__xludf.DUMMYFUNCTION("split(B398,"" "")"),"D.")</f>
        <v>D.</v>
      </c>
      <c r="Y398" s="3" t="str">
        <f>IFERROR(__xludf.DUMMYFUNCTION("""COMPUTED_VALUE"""),"Samuel")</f>
        <v>Samuel</v>
      </c>
      <c r="AA398" s="8">
        <v>1.0</v>
      </c>
      <c r="AB398" s="3">
        <f t="shared" si="7"/>
        <v>0</v>
      </c>
      <c r="AC398" s="3">
        <f t="shared" si="8"/>
        <v>1</v>
      </c>
      <c r="AD398" s="3">
        <f t="shared" si="9"/>
        <v>1.09</v>
      </c>
      <c r="AE398" s="3">
        <f t="shared" si="10"/>
        <v>1.09</v>
      </c>
      <c r="AF398" s="3">
        <f t="shared" si="11"/>
        <v>2.18</v>
      </c>
      <c r="AG398" s="3">
        <f t="shared" si="12"/>
        <v>0.7142857143</v>
      </c>
    </row>
    <row r="399">
      <c r="A399" s="1" t="s">
        <v>11</v>
      </c>
      <c r="B399" s="1" t="s">
        <v>285</v>
      </c>
      <c r="C399" s="1" t="s">
        <v>18</v>
      </c>
      <c r="D399" s="1" t="s">
        <v>164</v>
      </c>
      <c r="E399" s="1" t="s">
        <v>157</v>
      </c>
      <c r="F399" s="1" t="s">
        <v>693</v>
      </c>
      <c r="G399" s="1">
        <v>50.5</v>
      </c>
      <c r="H399" s="1" t="s">
        <v>60</v>
      </c>
      <c r="I399" s="1">
        <v>-108.0</v>
      </c>
      <c r="J399" s="1">
        <v>-0.0929320498249998</v>
      </c>
      <c r="K399" s="1" t="s">
        <v>61</v>
      </c>
      <c r="L399" s="1" t="s">
        <v>61</v>
      </c>
      <c r="M399" s="1" t="s">
        <v>62</v>
      </c>
      <c r="N399" s="1">
        <v>-119.0</v>
      </c>
      <c r="O399" s="1">
        <v>0.0303219535267853</v>
      </c>
      <c r="P399" s="1" t="s">
        <v>61</v>
      </c>
      <c r="Q399" s="1" t="s">
        <v>61</v>
      </c>
      <c r="R399" s="1">
        <f t="shared" si="1"/>
        <v>0.03032195353</v>
      </c>
      <c r="S399" s="1">
        <f t="shared" si="2"/>
        <v>-119</v>
      </c>
      <c r="T399" s="1">
        <f t="shared" si="3"/>
        <v>1.840336134</v>
      </c>
      <c r="U399" s="1">
        <f t="shared" si="4"/>
        <v>0</v>
      </c>
      <c r="V399" s="3">
        <f t="shared" si="5"/>
        <v>1</v>
      </c>
      <c r="W399" s="3">
        <f t="shared" si="6"/>
        <v>3</v>
      </c>
      <c r="X399" s="3" t="str">
        <f>IFERROR(__xludf.DUMMYFUNCTION("split(B399,"" "")"),"J.")</f>
        <v>J.</v>
      </c>
      <c r="Y399" s="3" t="str">
        <f>IFERROR(__xludf.DUMMYFUNCTION("""COMPUTED_VALUE"""),"Jennings")</f>
        <v>Jennings</v>
      </c>
      <c r="AA399" s="8">
        <v>40.0</v>
      </c>
      <c r="AB399" s="3">
        <f t="shared" si="7"/>
        <v>0</v>
      </c>
      <c r="AC399" s="3">
        <f t="shared" si="8"/>
        <v>1</v>
      </c>
      <c r="AD399" s="3">
        <f t="shared" si="9"/>
        <v>0.8403361345</v>
      </c>
      <c r="AE399" s="3">
        <f t="shared" si="10"/>
        <v>0.8403361345</v>
      </c>
      <c r="AF399" s="3">
        <f t="shared" si="11"/>
        <v>2.521008403</v>
      </c>
      <c r="AG399" s="3">
        <f t="shared" si="12"/>
        <v>0.2079207921</v>
      </c>
    </row>
    <row r="400">
      <c r="A400" s="1" t="s">
        <v>17</v>
      </c>
      <c r="B400" s="1" t="s">
        <v>554</v>
      </c>
      <c r="C400" s="1" t="s">
        <v>21</v>
      </c>
      <c r="D400" s="1" t="s">
        <v>164</v>
      </c>
      <c r="E400" s="1" t="s">
        <v>157</v>
      </c>
      <c r="F400" s="1" t="s">
        <v>693</v>
      </c>
      <c r="G400" s="1">
        <v>0.5</v>
      </c>
      <c r="H400" s="1" t="s">
        <v>60</v>
      </c>
      <c r="I400" s="1">
        <v>-125.0</v>
      </c>
      <c r="J400" s="1">
        <v>-0.0935666666666666</v>
      </c>
      <c r="K400" s="1" t="s">
        <v>61</v>
      </c>
      <c r="L400" s="1" t="s">
        <v>61</v>
      </c>
      <c r="M400" s="1" t="s">
        <v>62</v>
      </c>
      <c r="N400" s="1">
        <v>-104.0</v>
      </c>
      <c r="O400" s="1">
        <v>0.0281941176470589</v>
      </c>
      <c r="P400" s="1" t="s">
        <v>61</v>
      </c>
      <c r="Q400" s="1" t="s">
        <v>61</v>
      </c>
      <c r="R400" s="1">
        <f t="shared" si="1"/>
        <v>0.02819411765</v>
      </c>
      <c r="S400" s="1">
        <f t="shared" si="2"/>
        <v>-104</v>
      </c>
      <c r="T400" s="1">
        <f t="shared" si="3"/>
        <v>1.961538462</v>
      </c>
      <c r="U400" s="1">
        <f t="shared" si="4"/>
        <v>0</v>
      </c>
      <c r="V400" s="3">
        <f t="shared" si="5"/>
        <v>1</v>
      </c>
      <c r="W400" s="3">
        <f t="shared" si="6"/>
        <v>2</v>
      </c>
      <c r="X400" s="3" t="str">
        <f>IFERROR(__xludf.DUMMYFUNCTION("split(B400,"" "")"),"B.")</f>
        <v>B.</v>
      </c>
      <c r="Y400" s="3" t="str">
        <f>IFERROR(__xludf.DUMMYFUNCTION("""COMPUTED_VALUE"""),"Allen")</f>
        <v>Allen</v>
      </c>
      <c r="AA400" s="8">
        <v>1.0</v>
      </c>
      <c r="AB400" s="3">
        <f t="shared" si="7"/>
        <v>1</v>
      </c>
      <c r="AC400" s="3">
        <f t="shared" si="8"/>
        <v>0</v>
      </c>
      <c r="AD400" s="3">
        <f t="shared" si="9"/>
        <v>0.9615384615</v>
      </c>
      <c r="AE400" s="3">
        <f t="shared" si="10"/>
        <v>-1</v>
      </c>
      <c r="AF400" s="3">
        <f t="shared" si="11"/>
        <v>-2</v>
      </c>
      <c r="AG400" s="3">
        <f t="shared" si="12"/>
        <v>-1</v>
      </c>
    </row>
    <row r="401">
      <c r="A401" s="1" t="s">
        <v>10</v>
      </c>
      <c r="B401" s="1" t="s">
        <v>420</v>
      </c>
      <c r="C401" s="1" t="s">
        <v>19</v>
      </c>
      <c r="D401" s="1" t="s">
        <v>164</v>
      </c>
      <c r="E401" s="1" t="s">
        <v>157</v>
      </c>
      <c r="F401" s="1" t="s">
        <v>693</v>
      </c>
      <c r="G401" s="1">
        <v>80.5</v>
      </c>
      <c r="H401" s="1" t="s">
        <v>60</v>
      </c>
      <c r="I401" s="1">
        <v>-113.0</v>
      </c>
      <c r="J401" s="1">
        <v>-0.0788687318611506</v>
      </c>
      <c r="K401" s="1" t="s">
        <v>61</v>
      </c>
      <c r="L401" s="1" t="s">
        <v>61</v>
      </c>
      <c r="M401" s="1" t="s">
        <v>62</v>
      </c>
      <c r="N401" s="1">
        <v>-113.0</v>
      </c>
      <c r="O401" s="1">
        <v>0.01782911849344</v>
      </c>
      <c r="P401" s="1" t="s">
        <v>61</v>
      </c>
      <c r="Q401" s="1" t="s">
        <v>61</v>
      </c>
      <c r="R401" s="1">
        <f t="shared" si="1"/>
        <v>0.01782911849</v>
      </c>
      <c r="S401" s="1">
        <f t="shared" si="2"/>
        <v>-113</v>
      </c>
      <c r="T401" s="1">
        <f t="shared" si="3"/>
        <v>1.884955752</v>
      </c>
      <c r="U401" s="1">
        <f t="shared" si="4"/>
        <v>0</v>
      </c>
      <c r="V401" s="3">
        <f t="shared" si="5"/>
        <v>1</v>
      </c>
      <c r="W401" s="3">
        <f t="shared" si="6"/>
        <v>2</v>
      </c>
      <c r="X401" s="3" t="str">
        <f>IFERROR(__xludf.DUMMYFUNCTION("split(B401,"" "")"),"C.")</f>
        <v>C.</v>
      </c>
      <c r="Y401" s="3" t="str">
        <f>IFERROR(__xludf.DUMMYFUNCTION("""COMPUTED_VALUE"""),"McCaffrey")</f>
        <v>McCaffrey</v>
      </c>
      <c r="AA401" s="8">
        <v>31.0</v>
      </c>
      <c r="AB401" s="3">
        <f t="shared" si="7"/>
        <v>0</v>
      </c>
      <c r="AC401" s="3">
        <f t="shared" si="8"/>
        <v>1</v>
      </c>
      <c r="AD401" s="3">
        <f t="shared" si="9"/>
        <v>0.8849557522</v>
      </c>
      <c r="AE401" s="3">
        <f t="shared" si="10"/>
        <v>0.8849557522</v>
      </c>
      <c r="AF401" s="3">
        <f t="shared" si="11"/>
        <v>1.769911504</v>
      </c>
      <c r="AG401" s="3">
        <f t="shared" si="12"/>
        <v>0.6149068323</v>
      </c>
    </row>
    <row r="402">
      <c r="A402" s="1" t="s">
        <v>17</v>
      </c>
      <c r="B402" s="1" t="s">
        <v>262</v>
      </c>
      <c r="C402" s="1" t="s">
        <v>21</v>
      </c>
      <c r="D402" s="1" t="s">
        <v>164</v>
      </c>
      <c r="E402" s="1" t="s">
        <v>157</v>
      </c>
      <c r="F402" s="1" t="s">
        <v>693</v>
      </c>
      <c r="G402" s="1">
        <v>0.5</v>
      </c>
      <c r="H402" s="1" t="s">
        <v>60</v>
      </c>
      <c r="I402" s="1">
        <v>-117.0</v>
      </c>
      <c r="J402" s="1">
        <v>-0.0933705069124423</v>
      </c>
      <c r="K402" s="1" t="s">
        <v>61</v>
      </c>
      <c r="L402" s="1" t="s">
        <v>61</v>
      </c>
      <c r="M402" s="1" t="s">
        <v>62</v>
      </c>
      <c r="N402" s="1">
        <v>-117.0</v>
      </c>
      <c r="O402" s="1">
        <v>0.0150294930875576</v>
      </c>
      <c r="P402" s="1" t="s">
        <v>61</v>
      </c>
      <c r="Q402" s="1" t="s">
        <v>61</v>
      </c>
      <c r="R402" s="1">
        <f t="shared" si="1"/>
        <v>0.01502949309</v>
      </c>
      <c r="S402" s="1">
        <f t="shared" si="2"/>
        <v>-117</v>
      </c>
      <c r="T402" s="1">
        <f t="shared" si="3"/>
        <v>1.854700855</v>
      </c>
      <c r="U402" s="1">
        <f t="shared" si="4"/>
        <v>0</v>
      </c>
      <c r="V402" s="3">
        <f t="shared" si="5"/>
        <v>1</v>
      </c>
      <c r="W402" s="3">
        <f t="shared" si="6"/>
        <v>2</v>
      </c>
      <c r="X402" s="3" t="str">
        <f>IFERROR(__xludf.DUMMYFUNCTION("split(B402,"" "")"),"B.")</f>
        <v>B.</v>
      </c>
      <c r="Y402" s="3" t="str">
        <f>IFERROR(__xludf.DUMMYFUNCTION("""COMPUTED_VALUE"""),"Purdy")</f>
        <v>Purdy</v>
      </c>
      <c r="AA402" s="8">
        <v>0.0</v>
      </c>
      <c r="AB402" s="3">
        <f t="shared" si="7"/>
        <v>0</v>
      </c>
      <c r="AC402" s="3">
        <f t="shared" si="8"/>
        <v>1</v>
      </c>
      <c r="AD402" s="3">
        <f t="shared" si="9"/>
        <v>0.8547008547</v>
      </c>
      <c r="AE402" s="3">
        <f t="shared" si="10"/>
        <v>0.8547008547</v>
      </c>
      <c r="AF402" s="3">
        <f t="shared" si="11"/>
        <v>1.709401709</v>
      </c>
      <c r="AG402" s="3">
        <f t="shared" si="12"/>
        <v>1</v>
      </c>
    </row>
    <row r="403">
      <c r="A403" s="1" t="s">
        <v>9</v>
      </c>
      <c r="B403" s="1" t="s">
        <v>420</v>
      </c>
      <c r="C403" s="1" t="s">
        <v>19</v>
      </c>
      <c r="D403" s="1" t="s">
        <v>164</v>
      </c>
      <c r="E403" s="1" t="s">
        <v>157</v>
      </c>
      <c r="F403" s="1" t="s">
        <v>693</v>
      </c>
      <c r="G403" s="1">
        <v>113.5</v>
      </c>
      <c r="H403" s="1" t="s">
        <v>60</v>
      </c>
      <c r="I403" s="1">
        <v>-121.0</v>
      </c>
      <c r="J403" s="1">
        <v>-0.0879483984426668</v>
      </c>
      <c r="K403" s="1" t="s">
        <v>61</v>
      </c>
      <c r="L403" s="1" t="s">
        <v>61</v>
      </c>
      <c r="M403" s="1" t="s">
        <v>62</v>
      </c>
      <c r="N403" s="1">
        <v>-111.0</v>
      </c>
      <c r="O403" s="1">
        <v>0.0143767065367957</v>
      </c>
      <c r="P403" s="1" t="s">
        <v>61</v>
      </c>
      <c r="Q403" s="1" t="s">
        <v>61</v>
      </c>
      <c r="R403" s="1">
        <f t="shared" si="1"/>
        <v>0.01437670654</v>
      </c>
      <c r="S403" s="1">
        <f t="shared" si="2"/>
        <v>-111</v>
      </c>
      <c r="T403" s="1">
        <f t="shared" si="3"/>
        <v>1.900900901</v>
      </c>
      <c r="U403" s="1">
        <f t="shared" si="4"/>
        <v>0</v>
      </c>
      <c r="V403" s="3">
        <f t="shared" si="5"/>
        <v>1</v>
      </c>
      <c r="W403" s="3">
        <f t="shared" si="6"/>
        <v>2</v>
      </c>
      <c r="X403" s="3" t="str">
        <f>IFERROR(__xludf.DUMMYFUNCTION("split(B403,"" "")"),"C.")</f>
        <v>C.</v>
      </c>
      <c r="Y403" s="3" t="str">
        <f>IFERROR(__xludf.DUMMYFUNCTION("""COMPUTED_VALUE"""),"McCaffrey")</f>
        <v>McCaffrey</v>
      </c>
      <c r="AA403" s="8">
        <v>68.0</v>
      </c>
      <c r="AB403" s="3">
        <f t="shared" si="7"/>
        <v>0</v>
      </c>
      <c r="AC403" s="3">
        <f t="shared" si="8"/>
        <v>1</v>
      </c>
      <c r="AD403" s="3">
        <f t="shared" si="9"/>
        <v>0.9009009009</v>
      </c>
      <c r="AE403" s="3">
        <f t="shared" si="10"/>
        <v>0.9009009009</v>
      </c>
      <c r="AF403" s="3">
        <f t="shared" si="11"/>
        <v>1.801801802</v>
      </c>
      <c r="AG403" s="3">
        <f t="shared" si="12"/>
        <v>0.4008810573</v>
      </c>
    </row>
    <row r="404">
      <c r="A404" s="1" t="s">
        <v>14</v>
      </c>
      <c r="B404" s="1" t="s">
        <v>262</v>
      </c>
      <c r="C404" s="1" t="s">
        <v>21</v>
      </c>
      <c r="D404" s="1" t="s">
        <v>164</v>
      </c>
      <c r="E404" s="1" t="s">
        <v>157</v>
      </c>
      <c r="F404" s="1" t="s">
        <v>693</v>
      </c>
      <c r="G404" s="1">
        <v>1.5</v>
      </c>
      <c r="H404" s="1" t="s">
        <v>60</v>
      </c>
      <c r="I404" s="1">
        <v>124.0</v>
      </c>
      <c r="J404" s="1">
        <v>0.0121160714285714</v>
      </c>
      <c r="K404" s="1" t="s">
        <v>61</v>
      </c>
      <c r="L404" s="1" t="s">
        <v>61</v>
      </c>
      <c r="M404" s="1" t="s">
        <v>62</v>
      </c>
      <c r="N404" s="1">
        <v>-167.0</v>
      </c>
      <c r="O404" s="1">
        <v>-0.0840056179775281</v>
      </c>
      <c r="P404" s="1" t="s">
        <v>61</v>
      </c>
      <c r="Q404" s="1" t="s">
        <v>61</v>
      </c>
      <c r="R404" s="1">
        <f t="shared" si="1"/>
        <v>0.01211607143</v>
      </c>
      <c r="S404" s="1">
        <f t="shared" si="2"/>
        <v>124</v>
      </c>
      <c r="T404" s="1">
        <f t="shared" si="3"/>
        <v>2.24</v>
      </c>
      <c r="U404" s="1">
        <f t="shared" si="4"/>
        <v>1</v>
      </c>
      <c r="V404" s="3">
        <f t="shared" si="5"/>
        <v>1</v>
      </c>
      <c r="W404" s="3">
        <f t="shared" si="6"/>
        <v>1</v>
      </c>
      <c r="X404" s="3" t="str">
        <f>IFERROR(__xludf.DUMMYFUNCTION("split(B404,"" "")"),"B.")</f>
        <v>B.</v>
      </c>
      <c r="Y404" s="3" t="str">
        <f>IFERROR(__xludf.DUMMYFUNCTION("""COMPUTED_VALUE"""),"Purdy")</f>
        <v>Purdy</v>
      </c>
      <c r="AA404" s="8">
        <v>0.0</v>
      </c>
      <c r="AB404" s="3">
        <f t="shared" si="7"/>
        <v>0</v>
      </c>
      <c r="AC404" s="3">
        <f t="shared" si="8"/>
        <v>0</v>
      </c>
      <c r="AD404" s="3">
        <f t="shared" si="9"/>
        <v>1.24</v>
      </c>
      <c r="AE404" s="3">
        <f t="shared" si="10"/>
        <v>-1</v>
      </c>
      <c r="AF404" s="3">
        <f t="shared" si="11"/>
        <v>-1</v>
      </c>
      <c r="AG404" s="3">
        <f t="shared" si="12"/>
        <v>-1</v>
      </c>
    </row>
    <row r="405">
      <c r="A405" s="1" t="s">
        <v>16</v>
      </c>
      <c r="B405" s="1" t="s">
        <v>554</v>
      </c>
      <c r="C405" s="1" t="s">
        <v>21</v>
      </c>
      <c r="D405" s="1" t="s">
        <v>164</v>
      </c>
      <c r="E405" s="1" t="s">
        <v>157</v>
      </c>
      <c r="F405" s="1" t="s">
        <v>693</v>
      </c>
      <c r="G405" s="1">
        <v>30.5</v>
      </c>
      <c r="H405" s="1" t="s">
        <v>60</v>
      </c>
      <c r="I405" s="1">
        <v>101.0</v>
      </c>
      <c r="J405" s="1">
        <v>0.00128805970149253</v>
      </c>
      <c r="K405" s="1" t="s">
        <v>61</v>
      </c>
      <c r="L405" s="1" t="s">
        <v>61</v>
      </c>
      <c r="M405" s="1" t="s">
        <v>62</v>
      </c>
      <c r="N405" s="1">
        <v>-131.0</v>
      </c>
      <c r="O405" s="1">
        <v>-0.0659129870129869</v>
      </c>
      <c r="P405" s="1" t="s">
        <v>61</v>
      </c>
      <c r="Q405" s="1" t="s">
        <v>61</v>
      </c>
      <c r="R405" s="1">
        <f t="shared" si="1"/>
        <v>0.001288059701</v>
      </c>
      <c r="S405" s="1">
        <f t="shared" si="2"/>
        <v>101</v>
      </c>
      <c r="T405" s="1">
        <f t="shared" si="3"/>
        <v>2.01</v>
      </c>
      <c r="U405" s="1">
        <f t="shared" si="4"/>
        <v>1</v>
      </c>
      <c r="V405" s="3">
        <f t="shared" si="5"/>
        <v>1</v>
      </c>
      <c r="W405" s="3">
        <f t="shared" si="6"/>
        <v>2</v>
      </c>
      <c r="X405" s="3" t="str">
        <f>IFERROR(__xludf.DUMMYFUNCTION("split(B405,"" "")"),"B.")</f>
        <v>B.</v>
      </c>
      <c r="Y405" s="3" t="str">
        <f>IFERROR(__xludf.DUMMYFUNCTION("""COMPUTED_VALUE"""),"Allen")</f>
        <v>Allen</v>
      </c>
      <c r="AA405" s="8">
        <v>29.0</v>
      </c>
      <c r="AB405" s="3">
        <f t="shared" si="7"/>
        <v>0</v>
      </c>
      <c r="AC405" s="3">
        <f t="shared" si="8"/>
        <v>0</v>
      </c>
      <c r="AD405" s="3">
        <f t="shared" si="9"/>
        <v>1.01</v>
      </c>
      <c r="AE405" s="3">
        <f t="shared" si="10"/>
        <v>-1</v>
      </c>
      <c r="AF405" s="3">
        <f t="shared" si="11"/>
        <v>-2</v>
      </c>
      <c r="AG405" s="3">
        <f t="shared" si="12"/>
        <v>-0.04918032787</v>
      </c>
    </row>
    <row r="406">
      <c r="A406" s="1" t="s">
        <v>9</v>
      </c>
      <c r="B406" s="1" t="s">
        <v>307</v>
      </c>
      <c r="C406" s="1" t="s">
        <v>18</v>
      </c>
      <c r="D406" s="1" t="s">
        <v>113</v>
      </c>
      <c r="E406" s="1" t="s">
        <v>147</v>
      </c>
      <c r="F406" s="1" t="s">
        <v>695</v>
      </c>
      <c r="G406" s="1">
        <v>23.5</v>
      </c>
      <c r="H406" s="1" t="s">
        <v>60</v>
      </c>
      <c r="I406" s="1">
        <v>-110.0</v>
      </c>
      <c r="J406" s="1">
        <v>0.129493400469472</v>
      </c>
      <c r="K406" s="1" t="s">
        <v>61</v>
      </c>
      <c r="L406" s="1" t="s">
        <v>61</v>
      </c>
      <c r="M406" s="1" t="s">
        <v>62</v>
      </c>
      <c r="N406" s="1">
        <v>-120.0</v>
      </c>
      <c r="O406" s="1">
        <v>-0.198743349628668</v>
      </c>
      <c r="P406" s="1" t="s">
        <v>61</v>
      </c>
      <c r="Q406" s="1" t="s">
        <v>61</v>
      </c>
      <c r="R406" s="1">
        <f t="shared" si="1"/>
        <v>0.1294934005</v>
      </c>
      <c r="S406" s="1">
        <f t="shared" si="2"/>
        <v>-110</v>
      </c>
      <c r="T406" s="1">
        <f t="shared" si="3"/>
        <v>1.909090909</v>
      </c>
      <c r="U406" s="1">
        <f t="shared" si="4"/>
        <v>1</v>
      </c>
      <c r="V406" s="3">
        <f t="shared" si="5"/>
        <v>3</v>
      </c>
      <c r="W406" s="3">
        <f t="shared" si="6"/>
        <v>2</v>
      </c>
      <c r="X406" s="3" t="str">
        <f>IFERROR(__xludf.DUMMYFUNCTION("split(B406,"" "")"),"J.")</f>
        <v>J.</v>
      </c>
      <c r="Y406" s="3" t="str">
        <f>IFERROR(__xludf.DUMMYFUNCTION("""COMPUTED_VALUE"""),"McMillan")</f>
        <v>McMillan</v>
      </c>
      <c r="AA406" s="8">
        <f> iferror(VLOOKUP(Y406, 'Stat data'!C$2:Z10210,MATCH(A406,'Stat data'!C$1:Z$1,0), False), 0)</f>
        <v>0</v>
      </c>
      <c r="AB406" s="3">
        <f t="shared" si="7"/>
        <v>0</v>
      </c>
      <c r="AC406" s="3">
        <f t="shared" si="8"/>
        <v>0</v>
      </c>
      <c r="AD406" s="3">
        <f t="shared" si="9"/>
        <v>2.727272727</v>
      </c>
      <c r="AE406" s="3">
        <f t="shared" si="10"/>
        <v>-3</v>
      </c>
      <c r="AF406" s="3">
        <f t="shared" si="11"/>
        <v>-2</v>
      </c>
      <c r="AG406" s="3">
        <f t="shared" si="12"/>
        <v>-1</v>
      </c>
    </row>
    <row r="407">
      <c r="A407" s="1" t="s">
        <v>12</v>
      </c>
      <c r="B407" s="1" t="s">
        <v>557</v>
      </c>
      <c r="C407" s="1" t="s">
        <v>19</v>
      </c>
      <c r="D407" s="1" t="s">
        <v>113</v>
      </c>
      <c r="E407" s="1" t="s">
        <v>147</v>
      </c>
      <c r="F407" s="1" t="s">
        <v>695</v>
      </c>
      <c r="G407" s="1">
        <v>2.5</v>
      </c>
      <c r="H407" s="1" t="s">
        <v>60</v>
      </c>
      <c r="I407" s="1">
        <v>115.0</v>
      </c>
      <c r="J407" s="1">
        <v>-0.194665929116279</v>
      </c>
      <c r="K407" s="1" t="s">
        <v>61</v>
      </c>
      <c r="L407" s="1" t="s">
        <v>61</v>
      </c>
      <c r="M407" s="1" t="s">
        <v>62</v>
      </c>
      <c r="N407" s="1">
        <v>-152.0</v>
      </c>
      <c r="O407" s="1">
        <v>0.126381385904762</v>
      </c>
      <c r="P407" s="1" t="s">
        <v>61</v>
      </c>
      <c r="Q407" s="1" t="s">
        <v>61</v>
      </c>
      <c r="R407" s="1">
        <f t="shared" si="1"/>
        <v>0.1263813859</v>
      </c>
      <c r="S407" s="1">
        <f t="shared" si="2"/>
        <v>-152</v>
      </c>
      <c r="T407" s="1">
        <f t="shared" si="3"/>
        <v>1.657894737</v>
      </c>
      <c r="U407" s="1">
        <f t="shared" si="4"/>
        <v>0</v>
      </c>
      <c r="V407" s="3">
        <f t="shared" si="5"/>
        <v>3</v>
      </c>
      <c r="W407" s="3">
        <f t="shared" si="6"/>
        <v>3</v>
      </c>
      <c r="X407" s="3" t="str">
        <f>IFERROR(__xludf.DUMMYFUNCTION("split(B407,"" "")"),"B.")</f>
        <v>B.</v>
      </c>
      <c r="Y407" s="3" t="str">
        <f>IFERROR(__xludf.DUMMYFUNCTION("""COMPUTED_VALUE"""),"Irving")</f>
        <v>Irving</v>
      </c>
      <c r="AA407" s="8">
        <f> iferror(VLOOKUP(Y407, 'Stat data'!C$2:Z10211,MATCH(A407,'Stat data'!C$1:Z$1,0), False), 0)</f>
        <v>0</v>
      </c>
      <c r="AB407" s="3">
        <f t="shared" si="7"/>
        <v>0</v>
      </c>
      <c r="AC407" s="3">
        <f t="shared" si="8"/>
        <v>1</v>
      </c>
      <c r="AD407" s="3">
        <f t="shared" si="9"/>
        <v>1.973684211</v>
      </c>
      <c r="AE407" s="3">
        <f t="shared" si="10"/>
        <v>1.973684211</v>
      </c>
      <c r="AF407" s="3">
        <f t="shared" si="11"/>
        <v>1.973684211</v>
      </c>
      <c r="AG407" s="3">
        <f t="shared" si="12"/>
        <v>1</v>
      </c>
    </row>
    <row r="408">
      <c r="A408" s="1" t="s">
        <v>12</v>
      </c>
      <c r="B408" s="1" t="s">
        <v>307</v>
      </c>
      <c r="C408" s="1" t="s">
        <v>18</v>
      </c>
      <c r="D408" s="1" t="s">
        <v>113</v>
      </c>
      <c r="E408" s="1" t="s">
        <v>147</v>
      </c>
      <c r="F408" s="1" t="s">
        <v>695</v>
      </c>
      <c r="G408" s="1">
        <v>1.5</v>
      </c>
      <c r="H408" s="1" t="s">
        <v>60</v>
      </c>
      <c r="I408" s="1">
        <v>-176.0</v>
      </c>
      <c r="J408" s="1">
        <v>-0.187351738623188</v>
      </c>
      <c r="K408" s="1" t="s">
        <v>61</v>
      </c>
      <c r="L408" s="1" t="s">
        <v>61</v>
      </c>
      <c r="M408" s="1" t="s">
        <v>62</v>
      </c>
      <c r="N408" s="1">
        <v>134.0</v>
      </c>
      <c r="O408" s="1">
        <v>0.122332819914529</v>
      </c>
      <c r="P408" s="1" t="s">
        <v>61</v>
      </c>
      <c r="Q408" s="1" t="s">
        <v>61</v>
      </c>
      <c r="R408" s="1">
        <f t="shared" si="1"/>
        <v>0.1223328199</v>
      </c>
      <c r="S408" s="1">
        <f t="shared" si="2"/>
        <v>134</v>
      </c>
      <c r="T408" s="1">
        <f t="shared" si="3"/>
        <v>2.34</v>
      </c>
      <c r="U408" s="1">
        <f t="shared" si="4"/>
        <v>0</v>
      </c>
      <c r="V408" s="3">
        <f t="shared" si="5"/>
        <v>3</v>
      </c>
      <c r="W408" s="3">
        <f t="shared" si="6"/>
        <v>1</v>
      </c>
      <c r="X408" s="3" t="str">
        <f>IFERROR(__xludf.DUMMYFUNCTION("split(B408,"" "")"),"J.")</f>
        <v>J.</v>
      </c>
      <c r="Y408" s="3" t="str">
        <f>IFERROR(__xludf.DUMMYFUNCTION("""COMPUTED_VALUE"""),"McMillan")</f>
        <v>McMillan</v>
      </c>
      <c r="AA408" s="8">
        <v>1.0</v>
      </c>
      <c r="AB408" s="3">
        <f t="shared" si="7"/>
        <v>0</v>
      </c>
      <c r="AC408" s="3">
        <f t="shared" si="8"/>
        <v>1</v>
      </c>
      <c r="AD408" s="3">
        <f t="shared" si="9"/>
        <v>4.02</v>
      </c>
      <c r="AE408" s="3">
        <f t="shared" si="10"/>
        <v>4.02</v>
      </c>
      <c r="AF408" s="3">
        <f t="shared" si="11"/>
        <v>1.34</v>
      </c>
      <c r="AG408" s="3">
        <f t="shared" si="12"/>
        <v>0.3333333333</v>
      </c>
    </row>
    <row r="409">
      <c r="A409" s="1" t="s">
        <v>12</v>
      </c>
      <c r="B409" s="1" t="s">
        <v>645</v>
      </c>
      <c r="C409" s="1" t="s">
        <v>18</v>
      </c>
      <c r="D409" s="1" t="s">
        <v>113</v>
      </c>
      <c r="E409" s="1" t="s">
        <v>147</v>
      </c>
      <c r="F409" s="1" t="s">
        <v>695</v>
      </c>
      <c r="G409" s="1">
        <v>1.5</v>
      </c>
      <c r="H409" s="1" t="s">
        <v>60</v>
      </c>
      <c r="I409" s="1">
        <v>-166.0</v>
      </c>
      <c r="J409" s="1">
        <v>-0.186696071601503</v>
      </c>
      <c r="K409" s="1" t="s">
        <v>61</v>
      </c>
      <c r="L409" s="1" t="s">
        <v>61</v>
      </c>
      <c r="M409" s="1" t="s">
        <v>62</v>
      </c>
      <c r="N409" s="1">
        <v>126.0</v>
      </c>
      <c r="O409" s="1">
        <v>0.120164402858407</v>
      </c>
      <c r="P409" s="1" t="s">
        <v>61</v>
      </c>
      <c r="Q409" s="1" t="s">
        <v>61</v>
      </c>
      <c r="R409" s="1">
        <f t="shared" si="1"/>
        <v>0.1201644029</v>
      </c>
      <c r="S409" s="1">
        <f t="shared" si="2"/>
        <v>126</v>
      </c>
      <c r="T409" s="1">
        <f t="shared" si="3"/>
        <v>2.26</v>
      </c>
      <c r="U409" s="1">
        <f t="shared" si="4"/>
        <v>0</v>
      </c>
      <c r="V409" s="3">
        <f t="shared" si="5"/>
        <v>3</v>
      </c>
      <c r="W409" s="3">
        <f t="shared" si="6"/>
        <v>1</v>
      </c>
      <c r="X409" s="3" t="str">
        <f>IFERROR(__xludf.DUMMYFUNCTION("split(B409,"" "")"),"S.")</f>
        <v>S.</v>
      </c>
      <c r="Y409" s="3" t="str">
        <f>IFERROR(__xludf.DUMMYFUNCTION("""COMPUTED_VALUE"""),"Shepard")</f>
        <v>Shepard</v>
      </c>
      <c r="AA409" s="8">
        <v>5.0</v>
      </c>
      <c r="AB409" s="3">
        <f t="shared" si="7"/>
        <v>1</v>
      </c>
      <c r="AC409" s="3">
        <f t="shared" si="8"/>
        <v>0</v>
      </c>
      <c r="AD409" s="3">
        <f t="shared" si="9"/>
        <v>3.78</v>
      </c>
      <c r="AE409" s="3">
        <f t="shared" si="10"/>
        <v>-3</v>
      </c>
      <c r="AF409" s="3">
        <f t="shared" si="11"/>
        <v>-1</v>
      </c>
      <c r="AG409" s="3">
        <f t="shared" si="12"/>
        <v>-2.333333333</v>
      </c>
    </row>
    <row r="410">
      <c r="A410" s="1" t="s">
        <v>8</v>
      </c>
      <c r="B410" s="1" t="s">
        <v>417</v>
      </c>
      <c r="C410" s="1" t="s">
        <v>19</v>
      </c>
      <c r="D410" s="1" t="s">
        <v>113</v>
      </c>
      <c r="E410" s="1" t="s">
        <v>147</v>
      </c>
      <c r="F410" s="1" t="s">
        <v>695</v>
      </c>
      <c r="G410" s="1">
        <v>8.5</v>
      </c>
      <c r="H410" s="1" t="s">
        <v>60</v>
      </c>
      <c r="I410" s="1">
        <v>108.0</v>
      </c>
      <c r="J410" s="1">
        <v>-0.170011186267097</v>
      </c>
      <c r="K410" s="1" t="s">
        <v>61</v>
      </c>
      <c r="L410" s="1" t="s">
        <v>61</v>
      </c>
      <c r="M410" s="1" t="s">
        <v>62</v>
      </c>
      <c r="N410" s="1">
        <v>-145.0</v>
      </c>
      <c r="O410" s="1">
        <v>0.0974110875969633</v>
      </c>
      <c r="P410" s="1" t="s">
        <v>61</v>
      </c>
      <c r="Q410" s="1" t="s">
        <v>61</v>
      </c>
      <c r="R410" s="1">
        <f t="shared" si="1"/>
        <v>0.0974110876</v>
      </c>
      <c r="S410" s="1">
        <f t="shared" si="2"/>
        <v>-145</v>
      </c>
      <c r="T410" s="1">
        <f t="shared" si="3"/>
        <v>1.689655172</v>
      </c>
      <c r="U410" s="1">
        <f t="shared" si="4"/>
        <v>0</v>
      </c>
      <c r="V410" s="3">
        <f t="shared" si="5"/>
        <v>2</v>
      </c>
      <c r="W410" s="3">
        <f t="shared" si="6"/>
        <v>3</v>
      </c>
      <c r="X410" s="3" t="str">
        <f>IFERROR(__xludf.DUMMYFUNCTION("split(B410,"" "")"),"R.")</f>
        <v>R.</v>
      </c>
      <c r="Y410" s="3" t="str">
        <f>IFERROR(__xludf.DUMMYFUNCTION("""COMPUTED_VALUE"""),"White")</f>
        <v>White</v>
      </c>
      <c r="AA410" s="8">
        <v>12.0</v>
      </c>
      <c r="AB410" s="3">
        <f t="shared" si="7"/>
        <v>1</v>
      </c>
      <c r="AC410" s="3">
        <f t="shared" si="8"/>
        <v>0</v>
      </c>
      <c r="AD410" s="3">
        <f t="shared" si="9"/>
        <v>1.379310345</v>
      </c>
      <c r="AE410" s="3">
        <f t="shared" si="10"/>
        <v>-2</v>
      </c>
      <c r="AF410" s="3">
        <f t="shared" si="11"/>
        <v>-3</v>
      </c>
      <c r="AG410" s="3">
        <f t="shared" si="12"/>
        <v>-0.4117647059</v>
      </c>
    </row>
    <row r="411">
      <c r="A411" s="1" t="s">
        <v>12</v>
      </c>
      <c r="B411" s="1" t="s">
        <v>673</v>
      </c>
      <c r="C411" s="1" t="s">
        <v>18</v>
      </c>
      <c r="D411" s="1" t="s">
        <v>113</v>
      </c>
      <c r="E411" s="1" t="s">
        <v>147</v>
      </c>
      <c r="F411" s="1" t="s">
        <v>695</v>
      </c>
      <c r="G411" s="1">
        <v>0.5</v>
      </c>
      <c r="H411" s="1" t="s">
        <v>60</v>
      </c>
      <c r="I411" s="1">
        <v>-193.0</v>
      </c>
      <c r="J411" s="1">
        <v>-0.15563404146587</v>
      </c>
      <c r="K411" s="1" t="s">
        <v>61</v>
      </c>
      <c r="L411" s="1" t="s">
        <v>61</v>
      </c>
      <c r="M411" s="1" t="s">
        <v>62</v>
      </c>
      <c r="N411" s="1">
        <v>148.0</v>
      </c>
      <c r="O411" s="1">
        <v>0.093710782860887</v>
      </c>
      <c r="P411" s="1" t="s">
        <v>61</v>
      </c>
      <c r="Q411" s="1" t="s">
        <v>61</v>
      </c>
      <c r="R411" s="1">
        <f t="shared" si="1"/>
        <v>0.09371078286</v>
      </c>
      <c r="S411" s="1">
        <f t="shared" si="2"/>
        <v>148</v>
      </c>
      <c r="T411" s="1">
        <f t="shared" si="3"/>
        <v>2.48</v>
      </c>
      <c r="U411" s="1">
        <f t="shared" si="4"/>
        <v>0</v>
      </c>
      <c r="V411" s="3">
        <f t="shared" si="5"/>
        <v>2</v>
      </c>
      <c r="W411" s="3">
        <f t="shared" si="6"/>
        <v>1</v>
      </c>
      <c r="X411" s="3" t="str">
        <f>IFERROR(__xludf.DUMMYFUNCTION("split(B411,"" "")"),"R.")</f>
        <v>R.</v>
      </c>
      <c r="Y411" s="3" t="str">
        <f>IFERROR(__xludf.DUMMYFUNCTION("""COMPUTED_VALUE"""),"Jarrett")</f>
        <v>Jarrett</v>
      </c>
      <c r="AA411" s="8">
        <v>1.0</v>
      </c>
      <c r="AB411" s="3">
        <f t="shared" si="7"/>
        <v>1</v>
      </c>
      <c r="AC411" s="3">
        <f t="shared" si="8"/>
        <v>0</v>
      </c>
      <c r="AD411" s="3">
        <f t="shared" si="9"/>
        <v>2.96</v>
      </c>
      <c r="AE411" s="3">
        <f t="shared" si="10"/>
        <v>-2</v>
      </c>
      <c r="AF411" s="3">
        <f t="shared" si="11"/>
        <v>-1</v>
      </c>
      <c r="AG411" s="3">
        <f t="shared" si="12"/>
        <v>-1</v>
      </c>
    </row>
    <row r="412">
      <c r="A412" s="1" t="s">
        <v>8</v>
      </c>
      <c r="B412" s="1" t="s">
        <v>253</v>
      </c>
      <c r="C412" s="1" t="s">
        <v>21</v>
      </c>
      <c r="D412" s="1" t="s">
        <v>113</v>
      </c>
      <c r="E412" s="1" t="s">
        <v>147</v>
      </c>
      <c r="F412" s="1" t="s">
        <v>695</v>
      </c>
      <c r="G412" s="1">
        <v>3.5</v>
      </c>
      <c r="H412" s="1" t="s">
        <v>60</v>
      </c>
      <c r="I412" s="1">
        <v>106.0</v>
      </c>
      <c r="J412" s="1">
        <v>-0.157733717164565</v>
      </c>
      <c r="K412" s="1" t="s">
        <v>61</v>
      </c>
      <c r="L412" s="1" t="s">
        <v>61</v>
      </c>
      <c r="M412" s="1" t="s">
        <v>62</v>
      </c>
      <c r="N412" s="1">
        <v>-144.0</v>
      </c>
      <c r="O412" s="1">
        <v>0.0821471151395634</v>
      </c>
      <c r="P412" s="1" t="s">
        <v>61</v>
      </c>
      <c r="Q412" s="1" t="s">
        <v>61</v>
      </c>
      <c r="R412" s="1">
        <f t="shared" si="1"/>
        <v>0.08214711514</v>
      </c>
      <c r="S412" s="1">
        <f t="shared" si="2"/>
        <v>-144</v>
      </c>
      <c r="T412" s="1">
        <f t="shared" si="3"/>
        <v>1.694444444</v>
      </c>
      <c r="U412" s="1">
        <f t="shared" si="4"/>
        <v>0</v>
      </c>
      <c r="V412" s="3">
        <f t="shared" si="5"/>
        <v>2</v>
      </c>
      <c r="W412" s="3">
        <f t="shared" si="6"/>
        <v>3</v>
      </c>
      <c r="X412" s="3" t="str">
        <f>IFERROR(__xludf.DUMMYFUNCTION("split(B412,"" "")"),"B.")</f>
        <v>B.</v>
      </c>
      <c r="Y412" s="3" t="str">
        <f>IFERROR(__xludf.DUMMYFUNCTION("""COMPUTED_VALUE"""),"Mayfield")</f>
        <v>Mayfield</v>
      </c>
      <c r="AA412" s="8">
        <v>4.0</v>
      </c>
      <c r="AB412" s="3">
        <f t="shared" si="7"/>
        <v>1</v>
      </c>
      <c r="AC412" s="3">
        <f t="shared" si="8"/>
        <v>0</v>
      </c>
      <c r="AD412" s="3">
        <f t="shared" si="9"/>
        <v>1.388888889</v>
      </c>
      <c r="AE412" s="3">
        <f t="shared" si="10"/>
        <v>-2</v>
      </c>
      <c r="AF412" s="3">
        <f t="shared" si="11"/>
        <v>-3</v>
      </c>
      <c r="AG412" s="3">
        <f t="shared" si="12"/>
        <v>-0.1428571429</v>
      </c>
    </row>
    <row r="413">
      <c r="A413" s="1" t="s">
        <v>12</v>
      </c>
      <c r="B413" s="1" t="s">
        <v>481</v>
      </c>
      <c r="C413" s="1" t="s">
        <v>18</v>
      </c>
      <c r="D413" s="1" t="s">
        <v>113</v>
      </c>
      <c r="E413" s="1" t="s">
        <v>147</v>
      </c>
      <c r="F413" s="1" t="s">
        <v>695</v>
      </c>
      <c r="G413" s="1">
        <v>3.5</v>
      </c>
      <c r="H413" s="1" t="s">
        <v>60</v>
      </c>
      <c r="I413" s="1">
        <v>-147.0</v>
      </c>
      <c r="J413" s="1">
        <v>-0.121060728744939</v>
      </c>
      <c r="K413" s="1" t="s">
        <v>61</v>
      </c>
      <c r="L413" s="1" t="s">
        <v>61</v>
      </c>
      <c r="M413" s="1" t="s">
        <v>62</v>
      </c>
      <c r="N413" s="1">
        <v>115.0</v>
      </c>
      <c r="O413" s="1">
        <v>0.0607906976744186</v>
      </c>
      <c r="P413" s="1" t="s">
        <v>61</v>
      </c>
      <c r="Q413" s="1" t="s">
        <v>61</v>
      </c>
      <c r="R413" s="1">
        <f t="shared" si="1"/>
        <v>0.06079069767</v>
      </c>
      <c r="S413" s="1">
        <f t="shared" si="2"/>
        <v>115</v>
      </c>
      <c r="T413" s="1">
        <f t="shared" si="3"/>
        <v>2.15</v>
      </c>
      <c r="U413" s="1">
        <f t="shared" si="4"/>
        <v>0</v>
      </c>
      <c r="V413" s="3">
        <f t="shared" si="5"/>
        <v>2</v>
      </c>
      <c r="W413" s="3">
        <f t="shared" si="6"/>
        <v>1</v>
      </c>
      <c r="X413" s="3" t="str">
        <f>IFERROR(__xludf.DUMMYFUNCTION("split(B413,"" "")"),"M.")</f>
        <v>M.</v>
      </c>
      <c r="Y413" s="3" t="str">
        <f>IFERROR(__xludf.DUMMYFUNCTION("""COMPUTED_VALUE"""),"Evans")</f>
        <v>Evans</v>
      </c>
      <c r="AA413" s="8">
        <v>5.0</v>
      </c>
      <c r="AB413" s="3">
        <f t="shared" si="7"/>
        <v>1</v>
      </c>
      <c r="AC413" s="3">
        <f t="shared" si="8"/>
        <v>0</v>
      </c>
      <c r="AD413" s="3">
        <f t="shared" si="9"/>
        <v>2.3</v>
      </c>
      <c r="AE413" s="3">
        <f t="shared" si="10"/>
        <v>-2</v>
      </c>
      <c r="AF413" s="3">
        <f t="shared" si="11"/>
        <v>-1</v>
      </c>
      <c r="AG413" s="3">
        <f t="shared" si="12"/>
        <v>-0.4285714286</v>
      </c>
    </row>
    <row r="414">
      <c r="A414" s="1" t="s">
        <v>12</v>
      </c>
      <c r="B414" s="1" t="s">
        <v>112</v>
      </c>
      <c r="C414" s="1" t="s">
        <v>20</v>
      </c>
      <c r="D414" s="1" t="s">
        <v>113</v>
      </c>
      <c r="E414" s="1" t="s">
        <v>147</v>
      </c>
      <c r="F414" s="1" t="s">
        <v>695</v>
      </c>
      <c r="G414" s="1">
        <v>4.5</v>
      </c>
      <c r="H414" s="1" t="s">
        <v>60</v>
      </c>
      <c r="I414" s="1">
        <v>-128.0</v>
      </c>
      <c r="J414" s="1">
        <v>-0.129547368421052</v>
      </c>
      <c r="K414" s="1" t="s">
        <v>61</v>
      </c>
      <c r="L414" s="1" t="s">
        <v>61</v>
      </c>
      <c r="M414" s="1" t="s">
        <v>62</v>
      </c>
      <c r="N414" s="1">
        <v>-103.0</v>
      </c>
      <c r="O414" s="1">
        <v>0.0607615763546797</v>
      </c>
      <c r="P414" s="1" t="s">
        <v>61</v>
      </c>
      <c r="Q414" s="1" t="s">
        <v>61</v>
      </c>
      <c r="R414" s="1">
        <f t="shared" si="1"/>
        <v>0.06076157635</v>
      </c>
      <c r="S414" s="1">
        <f t="shared" si="2"/>
        <v>-103</v>
      </c>
      <c r="T414" s="1">
        <f t="shared" si="3"/>
        <v>1.970873786</v>
      </c>
      <c r="U414" s="1">
        <f t="shared" si="4"/>
        <v>0</v>
      </c>
      <c r="V414" s="3">
        <f t="shared" si="5"/>
        <v>2</v>
      </c>
      <c r="W414" s="3">
        <f t="shared" si="6"/>
        <v>2</v>
      </c>
      <c r="X414" s="3" t="str">
        <f>IFERROR(__xludf.DUMMYFUNCTION("split(B414,"" "")"),"C.")</f>
        <v>C.</v>
      </c>
      <c r="Y414" s="3" t="str">
        <f>IFERROR(__xludf.DUMMYFUNCTION("""COMPUTED_VALUE"""),"Otton")</f>
        <v>Otton</v>
      </c>
      <c r="AA414" s="8">
        <v>1.0</v>
      </c>
      <c r="AB414" s="3">
        <f t="shared" si="7"/>
        <v>0</v>
      </c>
      <c r="AC414" s="3">
        <f t="shared" si="8"/>
        <v>1</v>
      </c>
      <c r="AD414" s="3">
        <f t="shared" si="9"/>
        <v>1.941747573</v>
      </c>
      <c r="AE414" s="3">
        <f t="shared" si="10"/>
        <v>1.941747573</v>
      </c>
      <c r="AF414" s="3">
        <f t="shared" si="11"/>
        <v>1.941747573</v>
      </c>
      <c r="AG414" s="3">
        <f t="shared" si="12"/>
        <v>0.7777777778</v>
      </c>
    </row>
    <row r="415">
      <c r="A415" s="1" t="s">
        <v>12</v>
      </c>
      <c r="B415" s="1" t="s">
        <v>417</v>
      </c>
      <c r="C415" s="1" t="s">
        <v>19</v>
      </c>
      <c r="D415" s="1" t="s">
        <v>113</v>
      </c>
      <c r="E415" s="1" t="s">
        <v>147</v>
      </c>
      <c r="F415" s="1" t="s">
        <v>695</v>
      </c>
      <c r="G415" s="1">
        <v>3.5</v>
      </c>
      <c r="H415" s="1" t="s">
        <v>60</v>
      </c>
      <c r="I415" s="1">
        <v>126.0</v>
      </c>
      <c r="J415" s="1">
        <v>-0.111877876106194</v>
      </c>
      <c r="K415" s="1" t="s">
        <v>61</v>
      </c>
      <c r="L415" s="1" t="s">
        <v>61</v>
      </c>
      <c r="M415" s="1" t="s">
        <v>62</v>
      </c>
      <c r="N415" s="1">
        <v>-167.0</v>
      </c>
      <c r="O415" s="1">
        <v>0.0439318352059924</v>
      </c>
      <c r="P415" s="1" t="s">
        <v>61</v>
      </c>
      <c r="Q415" s="1" t="s">
        <v>61</v>
      </c>
      <c r="R415" s="1">
        <f t="shared" si="1"/>
        <v>0.04393183521</v>
      </c>
      <c r="S415" s="1">
        <f t="shared" si="2"/>
        <v>-167</v>
      </c>
      <c r="T415" s="1">
        <f t="shared" si="3"/>
        <v>1.598802395</v>
      </c>
      <c r="U415" s="1">
        <f t="shared" si="4"/>
        <v>0</v>
      </c>
      <c r="V415" s="3">
        <f t="shared" si="5"/>
        <v>1</v>
      </c>
      <c r="W415" s="3">
        <f t="shared" si="6"/>
        <v>3</v>
      </c>
      <c r="X415" s="3" t="str">
        <f>IFERROR(__xludf.DUMMYFUNCTION("split(B415,"" "")"),"R.")</f>
        <v>R.</v>
      </c>
      <c r="Y415" s="3" t="str">
        <f>IFERROR(__xludf.DUMMYFUNCTION("""COMPUTED_VALUE"""),"White")</f>
        <v>White</v>
      </c>
      <c r="AA415" s="8">
        <v>1.0</v>
      </c>
      <c r="AB415" s="3">
        <f t="shared" si="7"/>
        <v>0</v>
      </c>
      <c r="AC415" s="3">
        <f t="shared" si="8"/>
        <v>1</v>
      </c>
      <c r="AD415" s="3">
        <f t="shared" si="9"/>
        <v>0.5988023952</v>
      </c>
      <c r="AE415" s="3">
        <f t="shared" si="10"/>
        <v>0.5988023952</v>
      </c>
      <c r="AF415" s="3">
        <f t="shared" si="11"/>
        <v>1.796407186</v>
      </c>
      <c r="AG415" s="3">
        <f t="shared" si="12"/>
        <v>0.7142857143</v>
      </c>
    </row>
    <row r="416">
      <c r="A416" s="1" t="s">
        <v>8</v>
      </c>
      <c r="B416" s="1" t="s">
        <v>557</v>
      </c>
      <c r="C416" s="1" t="s">
        <v>19</v>
      </c>
      <c r="D416" s="1" t="s">
        <v>113</v>
      </c>
      <c r="E416" s="1" t="s">
        <v>147</v>
      </c>
      <c r="F416" s="1" t="s">
        <v>695</v>
      </c>
      <c r="G416" s="1">
        <v>12.5</v>
      </c>
      <c r="H416" s="1" t="s">
        <v>60</v>
      </c>
      <c r="I416" s="1">
        <v>-114.0</v>
      </c>
      <c r="J416" s="1">
        <v>-0.115002938971027</v>
      </c>
      <c r="K416" s="1" t="s">
        <v>61</v>
      </c>
      <c r="L416" s="1" t="s">
        <v>61</v>
      </c>
      <c r="M416" s="1" t="s">
        <v>62</v>
      </c>
      <c r="N416" s="1">
        <v>-117.0</v>
      </c>
      <c r="O416" s="1">
        <v>0.0431364048827925</v>
      </c>
      <c r="P416" s="1" t="s">
        <v>61</v>
      </c>
      <c r="Q416" s="1" t="s">
        <v>61</v>
      </c>
      <c r="R416" s="1">
        <f t="shared" si="1"/>
        <v>0.04313640488</v>
      </c>
      <c r="S416" s="1">
        <f t="shared" si="2"/>
        <v>-117</v>
      </c>
      <c r="T416" s="1">
        <f t="shared" si="3"/>
        <v>1.854700855</v>
      </c>
      <c r="U416" s="1">
        <f t="shared" si="4"/>
        <v>0</v>
      </c>
      <c r="V416" s="3">
        <f t="shared" si="5"/>
        <v>1</v>
      </c>
      <c r="W416" s="3">
        <f t="shared" si="6"/>
        <v>2</v>
      </c>
      <c r="X416" s="3" t="str">
        <f>IFERROR(__xludf.DUMMYFUNCTION("split(B416,"" "")"),"B.")</f>
        <v>B.</v>
      </c>
      <c r="Y416" s="3" t="str">
        <f>IFERROR(__xludf.DUMMYFUNCTION("""COMPUTED_VALUE"""),"Irving")</f>
        <v>Irving</v>
      </c>
      <c r="AA416" s="8">
        <v>12.0</v>
      </c>
      <c r="AB416" s="3">
        <f t="shared" si="7"/>
        <v>0</v>
      </c>
      <c r="AC416" s="3">
        <f t="shared" si="8"/>
        <v>1</v>
      </c>
      <c r="AD416" s="3">
        <f t="shared" si="9"/>
        <v>0.8547008547</v>
      </c>
      <c r="AE416" s="3">
        <f t="shared" si="10"/>
        <v>0.8547008547</v>
      </c>
      <c r="AF416" s="3">
        <f t="shared" si="11"/>
        <v>1.709401709</v>
      </c>
      <c r="AG416" s="3">
        <f t="shared" si="12"/>
        <v>0.04</v>
      </c>
    </row>
    <row r="417">
      <c r="A417" s="1" t="s">
        <v>9</v>
      </c>
      <c r="B417" s="1" t="s">
        <v>557</v>
      </c>
      <c r="C417" s="1" t="s">
        <v>19</v>
      </c>
      <c r="D417" s="1" t="s">
        <v>113</v>
      </c>
      <c r="E417" s="1" t="s">
        <v>147</v>
      </c>
      <c r="F417" s="1" t="s">
        <v>695</v>
      </c>
      <c r="G417" s="1">
        <v>73.5</v>
      </c>
      <c r="H417" s="1" t="s">
        <v>60</v>
      </c>
      <c r="I417" s="1">
        <v>-119.0</v>
      </c>
      <c r="J417" s="1">
        <v>-0.108758529907247</v>
      </c>
      <c r="K417" s="1" t="s">
        <v>61</v>
      </c>
      <c r="L417" s="1" t="s">
        <v>61</v>
      </c>
      <c r="M417" s="1" t="s">
        <v>62</v>
      </c>
      <c r="N417" s="1">
        <v>-112.0</v>
      </c>
      <c r="O417" s="1">
        <v>0.0370744349794797</v>
      </c>
      <c r="P417" s="1" t="s">
        <v>61</v>
      </c>
      <c r="Q417" s="1" t="s">
        <v>61</v>
      </c>
      <c r="R417" s="1">
        <f t="shared" si="1"/>
        <v>0.03707443498</v>
      </c>
      <c r="S417" s="1">
        <f t="shared" si="2"/>
        <v>-112</v>
      </c>
      <c r="T417" s="1">
        <f t="shared" si="3"/>
        <v>1.892857143</v>
      </c>
      <c r="U417" s="1">
        <f t="shared" si="4"/>
        <v>0</v>
      </c>
      <c r="V417" s="3">
        <f t="shared" si="5"/>
        <v>1</v>
      </c>
      <c r="W417" s="3">
        <f t="shared" si="6"/>
        <v>2</v>
      </c>
      <c r="X417" s="3" t="str">
        <f>IFERROR(__xludf.DUMMYFUNCTION("split(B417,"" "")"),"B.")</f>
        <v>B.</v>
      </c>
      <c r="Y417" s="3" t="str">
        <f>IFERROR(__xludf.DUMMYFUNCTION("""COMPUTED_VALUE"""),"Irving")</f>
        <v>Irving</v>
      </c>
      <c r="AA417" s="8">
        <v>151.0</v>
      </c>
      <c r="AB417" s="3">
        <f t="shared" si="7"/>
        <v>1</v>
      </c>
      <c r="AC417" s="3">
        <f t="shared" si="8"/>
        <v>0</v>
      </c>
      <c r="AD417" s="3">
        <f t="shared" si="9"/>
        <v>0.8928571429</v>
      </c>
      <c r="AE417" s="3">
        <f t="shared" si="10"/>
        <v>-1</v>
      </c>
      <c r="AF417" s="3">
        <f t="shared" si="11"/>
        <v>-2</v>
      </c>
      <c r="AG417" s="3">
        <f t="shared" si="12"/>
        <v>-1.054421769</v>
      </c>
    </row>
    <row r="418">
      <c r="A418" s="1" t="s">
        <v>10</v>
      </c>
      <c r="B418" s="1" t="s">
        <v>417</v>
      </c>
      <c r="C418" s="1" t="s">
        <v>19</v>
      </c>
      <c r="D418" s="1" t="s">
        <v>113</v>
      </c>
      <c r="E418" s="1" t="s">
        <v>147</v>
      </c>
      <c r="F418" s="1" t="s">
        <v>695</v>
      </c>
      <c r="G418" s="1">
        <v>34.5</v>
      </c>
      <c r="H418" s="1" t="s">
        <v>60</v>
      </c>
      <c r="I418" s="1">
        <v>-115.0</v>
      </c>
      <c r="J418" s="1">
        <v>-0.100271644705212</v>
      </c>
      <c r="K418" s="1" t="s">
        <v>61</v>
      </c>
      <c r="L418" s="1" t="s">
        <v>61</v>
      </c>
      <c r="M418" s="1" t="s">
        <v>62</v>
      </c>
      <c r="N418" s="1">
        <v>-113.0</v>
      </c>
      <c r="O418" s="1">
        <v>0.0349119769067195</v>
      </c>
      <c r="P418" s="1" t="s">
        <v>61</v>
      </c>
      <c r="Q418" s="1" t="s">
        <v>61</v>
      </c>
      <c r="R418" s="1">
        <f t="shared" si="1"/>
        <v>0.03491197691</v>
      </c>
      <c r="S418" s="1">
        <f t="shared" si="2"/>
        <v>-113</v>
      </c>
      <c r="T418" s="1">
        <f t="shared" si="3"/>
        <v>1.884955752</v>
      </c>
      <c r="U418" s="1">
        <f t="shared" si="4"/>
        <v>0</v>
      </c>
      <c r="V418" s="3">
        <f t="shared" si="5"/>
        <v>1</v>
      </c>
      <c r="W418" s="3">
        <f t="shared" si="6"/>
        <v>2</v>
      </c>
      <c r="X418" s="3" t="str">
        <f>IFERROR(__xludf.DUMMYFUNCTION("split(B418,"" "")"),"R.")</f>
        <v>R.</v>
      </c>
      <c r="Y418" s="3" t="str">
        <f>IFERROR(__xludf.DUMMYFUNCTION("""COMPUTED_VALUE"""),"White")</f>
        <v>White</v>
      </c>
      <c r="AA418" s="8">
        <v>37.0</v>
      </c>
      <c r="AB418" s="3">
        <f t="shared" si="7"/>
        <v>1</v>
      </c>
      <c r="AC418" s="3">
        <f t="shared" si="8"/>
        <v>0</v>
      </c>
      <c r="AD418" s="3">
        <f t="shared" si="9"/>
        <v>0.8849557522</v>
      </c>
      <c r="AE418" s="3">
        <f t="shared" si="10"/>
        <v>-1</v>
      </c>
      <c r="AF418" s="3">
        <f t="shared" si="11"/>
        <v>-2</v>
      </c>
      <c r="AG418" s="3">
        <f t="shared" si="12"/>
        <v>-0.07246376812</v>
      </c>
    </row>
    <row r="419">
      <c r="A419" s="1" t="s">
        <v>11</v>
      </c>
      <c r="B419" s="1" t="s">
        <v>673</v>
      </c>
      <c r="C419" s="1" t="s">
        <v>18</v>
      </c>
      <c r="D419" s="1" t="s">
        <v>113</v>
      </c>
      <c r="E419" s="1" t="s">
        <v>147</v>
      </c>
      <c r="F419" s="1" t="s">
        <v>695</v>
      </c>
      <c r="G419" s="1">
        <v>7.5</v>
      </c>
      <c r="H419" s="1" t="s">
        <v>60</v>
      </c>
      <c r="I419" s="1">
        <v>-116.0</v>
      </c>
      <c r="J419" s="1">
        <v>0.0330040145578697</v>
      </c>
      <c r="K419" s="1" t="s">
        <v>61</v>
      </c>
      <c r="L419" s="1" t="s">
        <v>61</v>
      </c>
      <c r="M419" s="1" t="s">
        <v>62</v>
      </c>
      <c r="N419" s="1">
        <v>-112.0</v>
      </c>
      <c r="O419" s="1">
        <v>-0.0983205056690558</v>
      </c>
      <c r="P419" s="1" t="s">
        <v>61</v>
      </c>
      <c r="Q419" s="1" t="s">
        <v>61</v>
      </c>
      <c r="R419" s="1">
        <f t="shared" si="1"/>
        <v>0.03300401456</v>
      </c>
      <c r="S419" s="1">
        <f t="shared" si="2"/>
        <v>-116</v>
      </c>
      <c r="T419" s="1">
        <f t="shared" si="3"/>
        <v>1.862068966</v>
      </c>
      <c r="U419" s="1">
        <f t="shared" si="4"/>
        <v>1</v>
      </c>
      <c r="V419" s="3">
        <f t="shared" si="5"/>
        <v>1</v>
      </c>
      <c r="W419" s="3">
        <f t="shared" si="6"/>
        <v>2</v>
      </c>
      <c r="X419" s="3" t="str">
        <f>IFERROR(__xludf.DUMMYFUNCTION("split(B419,"" "")"),"R.")</f>
        <v>R.</v>
      </c>
      <c r="Y419" s="3" t="str">
        <f>IFERROR(__xludf.DUMMYFUNCTION("""COMPUTED_VALUE"""),"Jarrett")</f>
        <v>Jarrett</v>
      </c>
      <c r="AA419" s="8">
        <v>30.0</v>
      </c>
      <c r="AB419" s="3">
        <f t="shared" si="7"/>
        <v>1</v>
      </c>
      <c r="AC419" s="3">
        <f t="shared" si="8"/>
        <v>1</v>
      </c>
      <c r="AD419" s="3">
        <f t="shared" si="9"/>
        <v>0.8620689655</v>
      </c>
      <c r="AE419" s="3">
        <f t="shared" si="10"/>
        <v>0.8620689655</v>
      </c>
      <c r="AF419" s="3">
        <f t="shared" si="11"/>
        <v>1.724137931</v>
      </c>
      <c r="AG419" s="3">
        <f t="shared" si="12"/>
        <v>3</v>
      </c>
    </row>
    <row r="420">
      <c r="A420" s="1" t="s">
        <v>16</v>
      </c>
      <c r="B420" s="1" t="s">
        <v>253</v>
      </c>
      <c r="C420" s="1" t="s">
        <v>21</v>
      </c>
      <c r="D420" s="1" t="s">
        <v>113</v>
      </c>
      <c r="E420" s="1" t="s">
        <v>147</v>
      </c>
      <c r="F420" s="1" t="s">
        <v>695</v>
      </c>
      <c r="G420" s="1">
        <v>31.5</v>
      </c>
      <c r="H420" s="1" t="s">
        <v>60</v>
      </c>
      <c r="I420" s="1">
        <v>-126.0</v>
      </c>
      <c r="J420" s="1">
        <v>-0.0910451327433629</v>
      </c>
      <c r="K420" s="1" t="s">
        <v>61</v>
      </c>
      <c r="L420" s="1" t="s">
        <v>61</v>
      </c>
      <c r="M420" s="1" t="s">
        <v>62</v>
      </c>
      <c r="N420" s="1">
        <v>-104.0</v>
      </c>
      <c r="O420" s="1">
        <v>0.023692156862745</v>
      </c>
      <c r="P420" s="1" t="s">
        <v>61</v>
      </c>
      <c r="Q420" s="1" t="s">
        <v>61</v>
      </c>
      <c r="R420" s="1">
        <f t="shared" si="1"/>
        <v>0.02369215686</v>
      </c>
      <c r="S420" s="1">
        <f t="shared" si="2"/>
        <v>-104</v>
      </c>
      <c r="T420" s="1">
        <f t="shared" si="3"/>
        <v>1.961538462</v>
      </c>
      <c r="U420" s="1">
        <f t="shared" si="4"/>
        <v>0</v>
      </c>
      <c r="V420" s="3">
        <f t="shared" si="5"/>
        <v>1</v>
      </c>
      <c r="W420" s="3">
        <f t="shared" si="6"/>
        <v>2</v>
      </c>
      <c r="X420" s="3" t="str">
        <f>IFERROR(__xludf.DUMMYFUNCTION("split(B420,"" "")"),"B.")</f>
        <v>B.</v>
      </c>
      <c r="Y420" s="3" t="str">
        <f>IFERROR(__xludf.DUMMYFUNCTION("""COMPUTED_VALUE"""),"Mayfield")</f>
        <v>Mayfield</v>
      </c>
      <c r="AA420" s="8">
        <v>30.0</v>
      </c>
      <c r="AB420" s="3">
        <f t="shared" si="7"/>
        <v>0</v>
      </c>
      <c r="AC420" s="3">
        <f t="shared" si="8"/>
        <v>1</v>
      </c>
      <c r="AD420" s="3">
        <f t="shared" si="9"/>
        <v>0.9615384615</v>
      </c>
      <c r="AE420" s="3">
        <f t="shared" si="10"/>
        <v>0.9615384615</v>
      </c>
      <c r="AF420" s="3">
        <f t="shared" si="11"/>
        <v>1.923076923</v>
      </c>
      <c r="AG420" s="3">
        <f t="shared" si="12"/>
        <v>0.04761904762</v>
      </c>
    </row>
    <row r="421">
      <c r="A421" s="1" t="s">
        <v>11</v>
      </c>
      <c r="B421" s="1" t="s">
        <v>112</v>
      </c>
      <c r="C421" s="1" t="s">
        <v>20</v>
      </c>
      <c r="D421" s="1" t="s">
        <v>113</v>
      </c>
      <c r="E421" s="1" t="s">
        <v>147</v>
      </c>
      <c r="F421" s="1" t="s">
        <v>695</v>
      </c>
      <c r="G421" s="1">
        <v>45.5</v>
      </c>
      <c r="H421" s="1" t="s">
        <v>60</v>
      </c>
      <c r="I421" s="1">
        <v>-111.0</v>
      </c>
      <c r="J421" s="1">
        <v>-0.0932707636736967</v>
      </c>
      <c r="K421" s="1" t="s">
        <v>61</v>
      </c>
      <c r="L421" s="1" t="s">
        <v>61</v>
      </c>
      <c r="M421" s="1" t="s">
        <v>62</v>
      </c>
      <c r="N421" s="1">
        <v>-121.0</v>
      </c>
      <c r="O421" s="1">
        <v>0.0196770963901041</v>
      </c>
      <c r="P421" s="1" t="s">
        <v>61</v>
      </c>
      <c r="Q421" s="1" t="s">
        <v>61</v>
      </c>
      <c r="R421" s="1">
        <f t="shared" si="1"/>
        <v>0.01967709639</v>
      </c>
      <c r="S421" s="1">
        <f t="shared" si="2"/>
        <v>-121</v>
      </c>
      <c r="T421" s="1">
        <f t="shared" si="3"/>
        <v>1.826446281</v>
      </c>
      <c r="U421" s="1">
        <f t="shared" si="4"/>
        <v>0</v>
      </c>
      <c r="V421" s="3">
        <f t="shared" si="5"/>
        <v>1</v>
      </c>
      <c r="W421" s="3">
        <f t="shared" si="6"/>
        <v>3</v>
      </c>
      <c r="X421" s="3" t="str">
        <f>IFERROR(__xludf.DUMMYFUNCTION("split(B421,"" "")"),"C.")</f>
        <v>C.</v>
      </c>
      <c r="Y421" s="3" t="str">
        <f>IFERROR(__xludf.DUMMYFUNCTION("""COMPUTED_VALUE"""),"Otton")</f>
        <v>Otton</v>
      </c>
      <c r="AA421" s="8">
        <v>30.0</v>
      </c>
      <c r="AB421" s="3">
        <f t="shared" si="7"/>
        <v>0</v>
      </c>
      <c r="AC421" s="3">
        <f t="shared" si="8"/>
        <v>1</v>
      </c>
      <c r="AD421" s="3">
        <f t="shared" si="9"/>
        <v>0.826446281</v>
      </c>
      <c r="AE421" s="3">
        <f t="shared" si="10"/>
        <v>0.826446281</v>
      </c>
      <c r="AF421" s="3">
        <f t="shared" si="11"/>
        <v>2.479338843</v>
      </c>
      <c r="AG421" s="3">
        <f t="shared" si="12"/>
        <v>0.3406593407</v>
      </c>
    </row>
    <row r="422">
      <c r="A422" s="1" t="s">
        <v>11</v>
      </c>
      <c r="B422" s="1" t="s">
        <v>417</v>
      </c>
      <c r="C422" s="1" t="s">
        <v>19</v>
      </c>
      <c r="D422" s="1" t="s">
        <v>113</v>
      </c>
      <c r="E422" s="1" t="s">
        <v>147</v>
      </c>
      <c r="F422" s="1" t="s">
        <v>695</v>
      </c>
      <c r="G422" s="1">
        <v>20.5</v>
      </c>
      <c r="H422" s="1" t="s">
        <v>60</v>
      </c>
      <c r="I422" s="1">
        <v>-114.0</v>
      </c>
      <c r="J422" s="1">
        <v>-0.0830599207498644</v>
      </c>
      <c r="K422" s="1" t="s">
        <v>61</v>
      </c>
      <c r="L422" s="1" t="s">
        <v>61</v>
      </c>
      <c r="M422" s="1" t="s">
        <v>62</v>
      </c>
      <c r="N422" s="1">
        <v>-116.0</v>
      </c>
      <c r="O422" s="1">
        <v>0.0133349385506775</v>
      </c>
      <c r="P422" s="1" t="s">
        <v>61</v>
      </c>
      <c r="Q422" s="1" t="s">
        <v>61</v>
      </c>
      <c r="R422" s="1">
        <f t="shared" si="1"/>
        <v>0.01333493855</v>
      </c>
      <c r="S422" s="1">
        <f t="shared" si="2"/>
        <v>-116</v>
      </c>
      <c r="T422" s="1">
        <f t="shared" si="3"/>
        <v>1.862068966</v>
      </c>
      <c r="U422" s="1">
        <f t="shared" si="4"/>
        <v>0</v>
      </c>
      <c r="V422" s="3">
        <f t="shared" si="5"/>
        <v>1</v>
      </c>
      <c r="W422" s="3">
        <f t="shared" si="6"/>
        <v>2</v>
      </c>
      <c r="X422" s="3" t="str">
        <f>IFERROR(__xludf.DUMMYFUNCTION("split(B422,"" "")"),"R.")</f>
        <v>R.</v>
      </c>
      <c r="Y422" s="3" t="str">
        <f>IFERROR(__xludf.DUMMYFUNCTION("""COMPUTED_VALUE"""),"White")</f>
        <v>White</v>
      </c>
      <c r="AA422" s="8">
        <v>10.0</v>
      </c>
      <c r="AB422" s="3">
        <f t="shared" si="7"/>
        <v>0</v>
      </c>
      <c r="AC422" s="3">
        <f t="shared" si="8"/>
        <v>1</v>
      </c>
      <c r="AD422" s="3">
        <f t="shared" si="9"/>
        <v>0.8620689655</v>
      </c>
      <c r="AE422" s="3">
        <f t="shared" si="10"/>
        <v>0.8620689655</v>
      </c>
      <c r="AF422" s="3">
        <f t="shared" si="11"/>
        <v>1.724137931</v>
      </c>
      <c r="AG422" s="3">
        <f t="shared" si="12"/>
        <v>0.512195122</v>
      </c>
    </row>
    <row r="423">
      <c r="A423" s="1" t="s">
        <v>10</v>
      </c>
      <c r="B423" s="1" t="s">
        <v>253</v>
      </c>
      <c r="C423" s="1" t="s">
        <v>21</v>
      </c>
      <c r="D423" s="1" t="s">
        <v>113</v>
      </c>
      <c r="E423" s="1" t="s">
        <v>147</v>
      </c>
      <c r="F423" s="1" t="s">
        <v>695</v>
      </c>
      <c r="G423" s="1">
        <v>11.5</v>
      </c>
      <c r="H423" s="1" t="s">
        <v>60</v>
      </c>
      <c r="I423" s="1">
        <v>-116.0</v>
      </c>
      <c r="J423" s="1">
        <v>-0.0786815305959688</v>
      </c>
      <c r="K423" s="1" t="s">
        <v>61</v>
      </c>
      <c r="L423" s="1" t="s">
        <v>61</v>
      </c>
      <c r="M423" s="1" t="s">
        <v>62</v>
      </c>
      <c r="N423" s="1">
        <v>-113.0</v>
      </c>
      <c r="O423" s="1">
        <v>0.0111199623843383</v>
      </c>
      <c r="P423" s="1" t="s">
        <v>61</v>
      </c>
      <c r="Q423" s="1" t="s">
        <v>61</v>
      </c>
      <c r="R423" s="1">
        <f t="shared" si="1"/>
        <v>0.01111996238</v>
      </c>
      <c r="S423" s="1">
        <f t="shared" si="2"/>
        <v>-113</v>
      </c>
      <c r="T423" s="1">
        <f t="shared" si="3"/>
        <v>1.884955752</v>
      </c>
      <c r="U423" s="1">
        <f t="shared" si="4"/>
        <v>0</v>
      </c>
      <c r="V423" s="3">
        <f t="shared" si="5"/>
        <v>1</v>
      </c>
      <c r="W423" s="3">
        <f t="shared" si="6"/>
        <v>2</v>
      </c>
      <c r="X423" s="3" t="str">
        <f>IFERROR(__xludf.DUMMYFUNCTION("split(B423,"" "")"),"B.")</f>
        <v>B.</v>
      </c>
      <c r="Y423" s="3" t="str">
        <f>IFERROR(__xludf.DUMMYFUNCTION("""COMPUTED_VALUE"""),"Mayfield")</f>
        <v>Mayfield</v>
      </c>
      <c r="AA423" s="8">
        <v>29.0</v>
      </c>
      <c r="AB423" s="3">
        <f t="shared" si="7"/>
        <v>1</v>
      </c>
      <c r="AC423" s="3">
        <f t="shared" si="8"/>
        <v>0</v>
      </c>
      <c r="AD423" s="3">
        <f t="shared" si="9"/>
        <v>0.8849557522</v>
      </c>
      <c r="AE423" s="3">
        <f t="shared" si="10"/>
        <v>-1</v>
      </c>
      <c r="AF423" s="3">
        <f t="shared" si="11"/>
        <v>-2</v>
      </c>
      <c r="AG423" s="3">
        <f t="shared" si="12"/>
        <v>-1.52173913</v>
      </c>
    </row>
    <row r="424">
      <c r="A424" s="1" t="s">
        <v>14</v>
      </c>
      <c r="B424" s="1" t="s">
        <v>253</v>
      </c>
      <c r="C424" s="1" t="s">
        <v>21</v>
      </c>
      <c r="D424" s="1" t="s">
        <v>113</v>
      </c>
      <c r="E424" s="1" t="s">
        <v>147</v>
      </c>
      <c r="F424" s="1" t="s">
        <v>695</v>
      </c>
      <c r="G424" s="1">
        <v>1.5</v>
      </c>
      <c r="H424" s="1" t="s">
        <v>60</v>
      </c>
      <c r="I424" s="1">
        <v>-114.0</v>
      </c>
      <c r="J424" s="1">
        <v>-0.0752570093457942</v>
      </c>
      <c r="K424" s="1" t="s">
        <v>61</v>
      </c>
      <c r="L424" s="1" t="s">
        <v>61</v>
      </c>
      <c r="M424" s="1" t="s">
        <v>62</v>
      </c>
      <c r="N424" s="1">
        <v>-114.0</v>
      </c>
      <c r="O424" s="1">
        <v>0.00984299065420568</v>
      </c>
      <c r="P424" s="1" t="s">
        <v>61</v>
      </c>
      <c r="Q424" s="1" t="s">
        <v>61</v>
      </c>
      <c r="R424" s="1">
        <f t="shared" si="1"/>
        <v>0.009842990654</v>
      </c>
      <c r="S424" s="1">
        <f t="shared" si="2"/>
        <v>-114</v>
      </c>
      <c r="T424" s="1">
        <f t="shared" si="3"/>
        <v>1.877192982</v>
      </c>
      <c r="U424" s="1">
        <f t="shared" si="4"/>
        <v>0</v>
      </c>
      <c r="V424" s="3">
        <f t="shared" si="5"/>
        <v>1</v>
      </c>
      <c r="W424" s="3">
        <f t="shared" si="6"/>
        <v>2</v>
      </c>
      <c r="X424" s="3" t="str">
        <f>IFERROR(__xludf.DUMMYFUNCTION("split(B424,"" "")"),"B.")</f>
        <v>B.</v>
      </c>
      <c r="Y424" s="3" t="str">
        <f>IFERROR(__xludf.DUMMYFUNCTION("""COMPUTED_VALUE"""),"Mayfield")</f>
        <v>Mayfield</v>
      </c>
      <c r="AA424" s="8">
        <v>0.0</v>
      </c>
      <c r="AB424" s="3">
        <f t="shared" si="7"/>
        <v>0</v>
      </c>
      <c r="AC424" s="3">
        <f t="shared" si="8"/>
        <v>1</v>
      </c>
      <c r="AD424" s="3">
        <f t="shared" si="9"/>
        <v>0.8771929825</v>
      </c>
      <c r="AE424" s="3">
        <f t="shared" si="10"/>
        <v>0.8771929825</v>
      </c>
      <c r="AF424" s="3">
        <f t="shared" si="11"/>
        <v>1.754385965</v>
      </c>
      <c r="AG424" s="3">
        <f t="shared" si="12"/>
        <v>1</v>
      </c>
    </row>
    <row r="425">
      <c r="A425" s="1" t="s">
        <v>9</v>
      </c>
      <c r="B425" s="1" t="s">
        <v>481</v>
      </c>
      <c r="C425" s="1" t="s">
        <v>18</v>
      </c>
      <c r="D425" s="1" t="s">
        <v>113</v>
      </c>
      <c r="E425" s="1" t="s">
        <v>147</v>
      </c>
      <c r="F425" s="1" t="s">
        <v>695</v>
      </c>
      <c r="G425" s="1">
        <v>53.5</v>
      </c>
      <c r="H425" s="1" t="s">
        <v>60</v>
      </c>
      <c r="I425" s="1">
        <v>-115.0</v>
      </c>
      <c r="J425" s="1">
        <v>0.00527642562069974</v>
      </c>
      <c r="K425" s="1" t="s">
        <v>61</v>
      </c>
      <c r="L425" s="1" t="s">
        <v>61</v>
      </c>
      <c r="M425" s="1" t="s">
        <v>62</v>
      </c>
      <c r="N425" s="1">
        <v>-115.0</v>
      </c>
      <c r="O425" s="1">
        <v>-0.0750678894638047</v>
      </c>
      <c r="P425" s="1" t="s">
        <v>61</v>
      </c>
      <c r="Q425" s="1" t="s">
        <v>61</v>
      </c>
      <c r="R425" s="1">
        <f t="shared" si="1"/>
        <v>0.005276425621</v>
      </c>
      <c r="S425" s="1">
        <f t="shared" si="2"/>
        <v>-115</v>
      </c>
      <c r="T425" s="1">
        <f t="shared" si="3"/>
        <v>1.869565217</v>
      </c>
      <c r="U425" s="1">
        <f t="shared" si="4"/>
        <v>1</v>
      </c>
      <c r="V425" s="3">
        <f t="shared" si="5"/>
        <v>1</v>
      </c>
      <c r="W425" s="3">
        <f t="shared" si="6"/>
        <v>2</v>
      </c>
      <c r="X425" s="3" t="str">
        <f>IFERROR(__xludf.DUMMYFUNCTION("split(B425,"" "")"),"M.")</f>
        <v>M.</v>
      </c>
      <c r="Y425" s="3" t="str">
        <f>IFERROR(__xludf.DUMMYFUNCTION("""COMPUTED_VALUE"""),"Evans")</f>
        <v>Evans</v>
      </c>
      <c r="AA425" s="8">
        <v>68.0</v>
      </c>
      <c r="AB425" s="3">
        <f t="shared" si="7"/>
        <v>1</v>
      </c>
      <c r="AC425" s="3">
        <f t="shared" si="8"/>
        <v>1</v>
      </c>
      <c r="AD425" s="3">
        <f t="shared" si="9"/>
        <v>0.8695652174</v>
      </c>
      <c r="AE425" s="3">
        <f t="shared" si="10"/>
        <v>0.8695652174</v>
      </c>
      <c r="AF425" s="3">
        <f t="shared" si="11"/>
        <v>1.739130435</v>
      </c>
      <c r="AG425" s="3">
        <f t="shared" si="12"/>
        <v>0.2710280374</v>
      </c>
    </row>
    <row r="426">
      <c r="A426" s="1" t="s">
        <v>11</v>
      </c>
      <c r="B426" s="1" t="s">
        <v>557</v>
      </c>
      <c r="C426" s="1" t="s">
        <v>19</v>
      </c>
      <c r="D426" s="1" t="s">
        <v>113</v>
      </c>
      <c r="E426" s="1" t="s">
        <v>147</v>
      </c>
      <c r="F426" s="1" t="s">
        <v>695</v>
      </c>
      <c r="G426" s="1">
        <v>14.5</v>
      </c>
      <c r="H426" s="1" t="s">
        <v>60</v>
      </c>
      <c r="I426" s="1">
        <v>-115.0</v>
      </c>
      <c r="J426" s="1">
        <v>-0.0655331954837606</v>
      </c>
      <c r="K426" s="1" t="s">
        <v>61</v>
      </c>
      <c r="L426" s="1" t="s">
        <v>61</v>
      </c>
      <c r="M426" s="1" t="s">
        <v>62</v>
      </c>
      <c r="N426" s="1">
        <v>-113.0</v>
      </c>
      <c r="O426" s="1">
        <v>1.54060294740188E-4</v>
      </c>
      <c r="P426" s="1" t="s">
        <v>61</v>
      </c>
      <c r="Q426" s="1" t="s">
        <v>61</v>
      </c>
      <c r="R426" s="1">
        <f t="shared" si="1"/>
        <v>0.0001540602947</v>
      </c>
      <c r="S426" s="1">
        <f t="shared" si="2"/>
        <v>-113</v>
      </c>
      <c r="T426" s="1">
        <f t="shared" si="3"/>
        <v>1.884955752</v>
      </c>
      <c r="U426" s="1">
        <f t="shared" si="4"/>
        <v>0</v>
      </c>
      <c r="V426" s="3">
        <f t="shared" si="5"/>
        <v>1</v>
      </c>
      <c r="W426" s="3">
        <f t="shared" si="6"/>
        <v>2</v>
      </c>
      <c r="X426" s="3" t="str">
        <f>IFERROR(__xludf.DUMMYFUNCTION("split(B426,"" "")"),"B.")</f>
        <v>B.</v>
      </c>
      <c r="Y426" s="3" t="str">
        <f>IFERROR(__xludf.DUMMYFUNCTION("""COMPUTED_VALUE"""),"Irving")</f>
        <v>Irving</v>
      </c>
      <c r="AA426" s="8">
        <v>64.0</v>
      </c>
      <c r="AB426" s="3">
        <f t="shared" si="7"/>
        <v>1</v>
      </c>
      <c r="AC426" s="3">
        <f t="shared" si="8"/>
        <v>0</v>
      </c>
      <c r="AD426" s="3">
        <f t="shared" si="9"/>
        <v>0.8849557522</v>
      </c>
      <c r="AE426" s="3">
        <f t="shared" si="10"/>
        <v>-1</v>
      </c>
      <c r="AF426" s="3">
        <f t="shared" si="11"/>
        <v>-2</v>
      </c>
      <c r="AG426" s="3">
        <f t="shared" si="12"/>
        <v>-3.413793103</v>
      </c>
    </row>
    <row r="427">
      <c r="A427" s="1" t="s">
        <v>8</v>
      </c>
      <c r="B427" s="1" t="s">
        <v>275</v>
      </c>
      <c r="C427" s="1" t="s">
        <v>21</v>
      </c>
      <c r="D427" s="1" t="s">
        <v>100</v>
      </c>
      <c r="E427" s="1" t="s">
        <v>72</v>
      </c>
      <c r="F427" s="1" t="s">
        <v>695</v>
      </c>
      <c r="G427" s="1">
        <v>4.5</v>
      </c>
      <c r="H427" s="1" t="s">
        <v>60</v>
      </c>
      <c r="I427" s="1">
        <v>-143.0</v>
      </c>
      <c r="J427" s="1">
        <v>-0.263072223701143</v>
      </c>
      <c r="K427" s="1" t="s">
        <v>61</v>
      </c>
      <c r="L427" s="1" t="s">
        <v>61</v>
      </c>
      <c r="M427" s="1" t="s">
        <v>62</v>
      </c>
      <c r="N427" s="1">
        <v>108.0</v>
      </c>
      <c r="O427" s="1">
        <v>0.193824761343162</v>
      </c>
      <c r="P427" s="1" t="s">
        <v>61</v>
      </c>
      <c r="Q427" s="1" t="s">
        <v>61</v>
      </c>
      <c r="R427" s="1">
        <f t="shared" si="1"/>
        <v>0.1938247613</v>
      </c>
      <c r="S427" s="1">
        <f t="shared" si="2"/>
        <v>108</v>
      </c>
      <c r="T427" s="1">
        <f t="shared" si="3"/>
        <v>2.08</v>
      </c>
      <c r="U427" s="1">
        <f t="shared" si="4"/>
        <v>0</v>
      </c>
      <c r="V427" s="3">
        <f t="shared" si="5"/>
        <v>3</v>
      </c>
      <c r="W427" s="3">
        <f t="shared" si="6"/>
        <v>2</v>
      </c>
      <c r="X427" s="3" t="str">
        <f>IFERROR(__xludf.DUMMYFUNCTION("split(B427,"" "")"),"W.")</f>
        <v>W.</v>
      </c>
      <c r="Y427" s="3" t="str">
        <f>IFERROR(__xludf.DUMMYFUNCTION("""COMPUTED_VALUE"""),"Levis")</f>
        <v>Levis</v>
      </c>
      <c r="AA427" s="8">
        <v>8.0</v>
      </c>
      <c r="AB427" s="3">
        <f t="shared" si="7"/>
        <v>1</v>
      </c>
      <c r="AC427" s="3">
        <f t="shared" si="8"/>
        <v>0</v>
      </c>
      <c r="AD427" s="3">
        <f t="shared" si="9"/>
        <v>3.24</v>
      </c>
      <c r="AE427" s="3">
        <f t="shared" si="10"/>
        <v>-3</v>
      </c>
      <c r="AF427" s="3">
        <f t="shared" si="11"/>
        <v>-2</v>
      </c>
      <c r="AG427" s="3">
        <f t="shared" si="12"/>
        <v>-0.7777777778</v>
      </c>
    </row>
    <row r="428">
      <c r="A428" s="1" t="s">
        <v>14</v>
      </c>
      <c r="B428" s="1" t="s">
        <v>275</v>
      </c>
      <c r="C428" s="1" t="s">
        <v>21</v>
      </c>
      <c r="D428" s="1" t="s">
        <v>100</v>
      </c>
      <c r="E428" s="1" t="s">
        <v>72</v>
      </c>
      <c r="F428" s="1" t="s">
        <v>695</v>
      </c>
      <c r="G428" s="1">
        <v>0.5</v>
      </c>
      <c r="H428" s="1" t="s">
        <v>60</v>
      </c>
      <c r="I428" s="1">
        <v>-223.0</v>
      </c>
      <c r="J428" s="1">
        <v>-0.203501011517027</v>
      </c>
      <c r="K428" s="1" t="s">
        <v>61</v>
      </c>
      <c r="L428" s="1" t="s">
        <v>61</v>
      </c>
      <c r="M428" s="1" t="s">
        <v>62</v>
      </c>
      <c r="N428" s="1">
        <v>170.0</v>
      </c>
      <c r="O428" s="1">
        <v>0.14272787674074</v>
      </c>
      <c r="P428" s="1" t="s">
        <v>61</v>
      </c>
      <c r="Q428" s="1" t="s">
        <v>61</v>
      </c>
      <c r="R428" s="1">
        <f t="shared" si="1"/>
        <v>0.1427278767</v>
      </c>
      <c r="S428" s="1">
        <f t="shared" si="2"/>
        <v>170</v>
      </c>
      <c r="T428" s="1">
        <f t="shared" si="3"/>
        <v>2.7</v>
      </c>
      <c r="U428" s="1">
        <f t="shared" si="4"/>
        <v>0</v>
      </c>
      <c r="V428" s="3">
        <f t="shared" si="5"/>
        <v>3</v>
      </c>
      <c r="W428" s="3">
        <f t="shared" si="6"/>
        <v>1</v>
      </c>
      <c r="X428" s="3" t="str">
        <f>IFERROR(__xludf.DUMMYFUNCTION("split(B428,"" "")"),"W.")</f>
        <v>W.</v>
      </c>
      <c r="Y428" s="3" t="str">
        <f>IFERROR(__xludf.DUMMYFUNCTION("""COMPUTED_VALUE"""),"Levis")</f>
        <v>Levis</v>
      </c>
      <c r="AA428" s="8">
        <v>2.0</v>
      </c>
      <c r="AB428" s="3">
        <f t="shared" si="7"/>
        <v>1</v>
      </c>
      <c r="AC428" s="3">
        <f t="shared" si="8"/>
        <v>0</v>
      </c>
      <c r="AD428" s="3">
        <f t="shared" si="9"/>
        <v>5.1</v>
      </c>
      <c r="AE428" s="3">
        <f t="shared" si="10"/>
        <v>-3</v>
      </c>
      <c r="AF428" s="3">
        <f t="shared" si="11"/>
        <v>-1</v>
      </c>
      <c r="AG428" s="3">
        <f t="shared" si="12"/>
        <v>-3</v>
      </c>
    </row>
    <row r="429">
      <c r="A429" s="1" t="s">
        <v>17</v>
      </c>
      <c r="B429" s="1" t="s">
        <v>275</v>
      </c>
      <c r="C429" s="1" t="s">
        <v>21</v>
      </c>
      <c r="D429" s="1" t="s">
        <v>100</v>
      </c>
      <c r="E429" s="1" t="s">
        <v>72</v>
      </c>
      <c r="F429" s="1" t="s">
        <v>695</v>
      </c>
      <c r="G429" s="1">
        <v>0.5</v>
      </c>
      <c r="H429" s="1" t="s">
        <v>60</v>
      </c>
      <c r="I429" s="1">
        <v>-183.0</v>
      </c>
      <c r="J429" s="1">
        <v>-0.193843109540635</v>
      </c>
      <c r="K429" s="1" t="s">
        <v>61</v>
      </c>
      <c r="L429" s="1" t="s">
        <v>61</v>
      </c>
      <c r="M429" s="1" t="s">
        <v>62</v>
      </c>
      <c r="N429" s="1">
        <v>139.0</v>
      </c>
      <c r="O429" s="1">
        <v>0.128789958158995</v>
      </c>
      <c r="P429" s="1" t="s">
        <v>61</v>
      </c>
      <c r="Q429" s="1" t="s">
        <v>61</v>
      </c>
      <c r="R429" s="1">
        <f t="shared" si="1"/>
        <v>0.1287899582</v>
      </c>
      <c r="S429" s="1">
        <f t="shared" si="2"/>
        <v>139</v>
      </c>
      <c r="T429" s="1">
        <f t="shared" si="3"/>
        <v>2.39</v>
      </c>
      <c r="U429" s="1">
        <f t="shared" si="4"/>
        <v>0</v>
      </c>
      <c r="V429" s="3">
        <f t="shared" si="5"/>
        <v>3</v>
      </c>
      <c r="W429" s="3">
        <f t="shared" si="6"/>
        <v>1</v>
      </c>
      <c r="X429" s="3" t="str">
        <f>IFERROR(__xludf.DUMMYFUNCTION("split(B429,"" "")"),"W.")</f>
        <v>W.</v>
      </c>
      <c r="Y429" s="3" t="str">
        <f>IFERROR(__xludf.DUMMYFUNCTION("""COMPUTED_VALUE"""),"Levis")</f>
        <v>Levis</v>
      </c>
      <c r="AA429" s="8">
        <v>1.0</v>
      </c>
      <c r="AB429" s="3">
        <f t="shared" si="7"/>
        <v>1</v>
      </c>
      <c r="AC429" s="3">
        <f t="shared" si="8"/>
        <v>0</v>
      </c>
      <c r="AD429" s="3">
        <f t="shared" si="9"/>
        <v>4.17</v>
      </c>
      <c r="AE429" s="3">
        <f t="shared" si="10"/>
        <v>-3</v>
      </c>
      <c r="AF429" s="3">
        <f t="shared" si="11"/>
        <v>-1</v>
      </c>
      <c r="AG429" s="3">
        <f t="shared" si="12"/>
        <v>-1</v>
      </c>
    </row>
    <row r="430">
      <c r="A430" s="1" t="s">
        <v>15</v>
      </c>
      <c r="B430" s="1" t="s">
        <v>275</v>
      </c>
      <c r="C430" s="1" t="s">
        <v>21</v>
      </c>
      <c r="D430" s="1" t="s">
        <v>100</v>
      </c>
      <c r="E430" s="1" t="s">
        <v>72</v>
      </c>
      <c r="F430" s="1" t="s">
        <v>695</v>
      </c>
      <c r="G430" s="1">
        <v>17.5</v>
      </c>
      <c r="H430" s="1" t="s">
        <v>60</v>
      </c>
      <c r="I430" s="1">
        <v>-123.0</v>
      </c>
      <c r="J430" s="1">
        <v>-0.182569264816143</v>
      </c>
      <c r="K430" s="1" t="s">
        <v>61</v>
      </c>
      <c r="L430" s="1" t="s">
        <v>61</v>
      </c>
      <c r="M430" s="1" t="s">
        <v>62</v>
      </c>
      <c r="N430" s="1">
        <v>-107.0</v>
      </c>
      <c r="O430" s="1">
        <v>0.114091508588309</v>
      </c>
      <c r="P430" s="1" t="s">
        <v>61</v>
      </c>
      <c r="Q430" s="1" t="s">
        <v>61</v>
      </c>
      <c r="R430" s="1">
        <f t="shared" si="1"/>
        <v>0.1140915086</v>
      </c>
      <c r="S430" s="1">
        <f t="shared" si="2"/>
        <v>-107</v>
      </c>
      <c r="T430" s="1">
        <f t="shared" si="3"/>
        <v>1.934579439</v>
      </c>
      <c r="U430" s="1">
        <f t="shared" si="4"/>
        <v>0</v>
      </c>
      <c r="V430" s="3">
        <f t="shared" si="5"/>
        <v>3</v>
      </c>
      <c r="W430" s="3">
        <f t="shared" si="6"/>
        <v>2</v>
      </c>
      <c r="X430" s="3" t="str">
        <f>IFERROR(__xludf.DUMMYFUNCTION("split(B430,"" "")"),"W.")</f>
        <v>W.</v>
      </c>
      <c r="Y430" s="3" t="str">
        <f>IFERROR(__xludf.DUMMYFUNCTION("""COMPUTED_VALUE"""),"Levis")</f>
        <v>Levis</v>
      </c>
      <c r="AA430" s="8">
        <v>18.0</v>
      </c>
      <c r="AB430" s="3">
        <f t="shared" si="7"/>
        <v>1</v>
      </c>
      <c r="AC430" s="3">
        <f t="shared" si="8"/>
        <v>0</v>
      </c>
      <c r="AD430" s="3">
        <f t="shared" si="9"/>
        <v>2.803738318</v>
      </c>
      <c r="AE430" s="3">
        <f t="shared" si="10"/>
        <v>-3</v>
      </c>
      <c r="AF430" s="3">
        <f t="shared" si="11"/>
        <v>-2</v>
      </c>
      <c r="AG430" s="3">
        <f t="shared" si="12"/>
        <v>-0.02857142857</v>
      </c>
    </row>
    <row r="431">
      <c r="A431" s="1" t="s">
        <v>12</v>
      </c>
      <c r="B431" s="1" t="s">
        <v>559</v>
      </c>
      <c r="C431" s="1" t="s">
        <v>18</v>
      </c>
      <c r="D431" s="1" t="s">
        <v>100</v>
      </c>
      <c r="E431" s="1" t="s">
        <v>72</v>
      </c>
      <c r="F431" s="1" t="s">
        <v>695</v>
      </c>
      <c r="G431" s="1">
        <v>1.5</v>
      </c>
      <c r="H431" s="1" t="s">
        <v>60</v>
      </c>
      <c r="I431" s="1">
        <v>-153.0</v>
      </c>
      <c r="J431" s="1">
        <v>-0.171920468596837</v>
      </c>
      <c r="K431" s="1" t="s">
        <v>61</v>
      </c>
      <c r="L431" s="1" t="s">
        <v>61</v>
      </c>
      <c r="M431" s="1" t="s">
        <v>62</v>
      </c>
      <c r="N431" s="1">
        <v>117.0</v>
      </c>
      <c r="O431" s="1">
        <v>0.106360730668202</v>
      </c>
      <c r="P431" s="1" t="s">
        <v>61</v>
      </c>
      <c r="Q431" s="1" t="s">
        <v>61</v>
      </c>
      <c r="R431" s="1">
        <f t="shared" si="1"/>
        <v>0.1063607307</v>
      </c>
      <c r="S431" s="1">
        <f t="shared" si="2"/>
        <v>117</v>
      </c>
      <c r="T431" s="1">
        <f t="shared" si="3"/>
        <v>2.17</v>
      </c>
      <c r="U431" s="1">
        <f t="shared" si="4"/>
        <v>0</v>
      </c>
      <c r="V431" s="3">
        <f t="shared" si="5"/>
        <v>3</v>
      </c>
      <c r="W431" s="3">
        <f t="shared" si="6"/>
        <v>1</v>
      </c>
      <c r="X431" s="3" t="str">
        <f>IFERROR(__xludf.DUMMYFUNCTION("split(B431,"" "")"),"T.")</f>
        <v>T.</v>
      </c>
      <c r="Y431" s="3" t="str">
        <f>IFERROR(__xludf.DUMMYFUNCTION("""COMPUTED_VALUE"""),"Boyd")</f>
        <v>Boyd</v>
      </c>
      <c r="AA431" s="8">
        <v>6.0</v>
      </c>
      <c r="AB431" s="3">
        <f t="shared" si="7"/>
        <v>1</v>
      </c>
      <c r="AC431" s="3">
        <f t="shared" si="8"/>
        <v>0</v>
      </c>
      <c r="AD431" s="3">
        <f t="shared" si="9"/>
        <v>3.51</v>
      </c>
      <c r="AE431" s="3">
        <f t="shared" si="10"/>
        <v>-3</v>
      </c>
      <c r="AF431" s="3">
        <f t="shared" si="11"/>
        <v>-1</v>
      </c>
      <c r="AG431" s="3">
        <f t="shared" si="12"/>
        <v>-3</v>
      </c>
    </row>
    <row r="432">
      <c r="A432" s="1" t="s">
        <v>10</v>
      </c>
      <c r="B432" s="1" t="s">
        <v>275</v>
      </c>
      <c r="C432" s="1" t="s">
        <v>21</v>
      </c>
      <c r="D432" s="1" t="s">
        <v>100</v>
      </c>
      <c r="E432" s="1" t="s">
        <v>72</v>
      </c>
      <c r="F432" s="1" t="s">
        <v>695</v>
      </c>
      <c r="G432" s="1">
        <v>23.5</v>
      </c>
      <c r="H432" s="1" t="s">
        <v>60</v>
      </c>
      <c r="I432" s="1">
        <v>-122.0</v>
      </c>
      <c r="J432" s="1">
        <v>-0.16137916809272</v>
      </c>
      <c r="K432" s="1" t="s">
        <v>61</v>
      </c>
      <c r="L432" s="1" t="s">
        <v>61</v>
      </c>
      <c r="M432" s="1" t="s">
        <v>62</v>
      </c>
      <c r="N432" s="1">
        <v>-111.0</v>
      </c>
      <c r="O432" s="1">
        <v>0.0858353867365312</v>
      </c>
      <c r="P432" s="1" t="s">
        <v>61</v>
      </c>
      <c r="Q432" s="1" t="s">
        <v>61</v>
      </c>
      <c r="R432" s="1">
        <f t="shared" si="1"/>
        <v>0.08583538674</v>
      </c>
      <c r="S432" s="1">
        <f t="shared" si="2"/>
        <v>-111</v>
      </c>
      <c r="T432" s="1">
        <f t="shared" si="3"/>
        <v>1.900900901</v>
      </c>
      <c r="U432" s="1">
        <f t="shared" si="4"/>
        <v>0</v>
      </c>
      <c r="V432" s="3">
        <f t="shared" si="5"/>
        <v>2</v>
      </c>
      <c r="W432" s="3">
        <f t="shared" si="6"/>
        <v>2</v>
      </c>
      <c r="X432" s="3" t="str">
        <f>IFERROR(__xludf.DUMMYFUNCTION("split(B432,"" "")"),"W.")</f>
        <v>W.</v>
      </c>
      <c r="Y432" s="3" t="str">
        <f>IFERROR(__xludf.DUMMYFUNCTION("""COMPUTED_VALUE"""),"Levis")</f>
        <v>Levis</v>
      </c>
      <c r="AA432" s="8">
        <v>10.0</v>
      </c>
      <c r="AB432" s="3">
        <f t="shared" si="7"/>
        <v>0</v>
      </c>
      <c r="AC432" s="3">
        <f t="shared" si="8"/>
        <v>1</v>
      </c>
      <c r="AD432" s="3">
        <f t="shared" si="9"/>
        <v>1.801801802</v>
      </c>
      <c r="AE432" s="3">
        <f t="shared" si="10"/>
        <v>1.801801802</v>
      </c>
      <c r="AF432" s="3">
        <f t="shared" si="11"/>
        <v>1.801801802</v>
      </c>
      <c r="AG432" s="3">
        <f t="shared" si="12"/>
        <v>0.5744680851</v>
      </c>
    </row>
    <row r="433">
      <c r="A433" s="1" t="s">
        <v>11</v>
      </c>
      <c r="B433" s="1" t="s">
        <v>563</v>
      </c>
      <c r="C433" s="1" t="s">
        <v>20</v>
      </c>
      <c r="D433" s="1" t="s">
        <v>100</v>
      </c>
      <c r="E433" s="1" t="s">
        <v>72</v>
      </c>
      <c r="F433" s="1" t="s">
        <v>695</v>
      </c>
      <c r="G433" s="1">
        <v>6.5</v>
      </c>
      <c r="H433" s="1" t="s">
        <v>60</v>
      </c>
      <c r="I433" s="1">
        <v>-108.0</v>
      </c>
      <c r="J433" s="1">
        <v>0.082605247972373</v>
      </c>
      <c r="K433" s="1" t="s">
        <v>61</v>
      </c>
      <c r="L433" s="1" t="s">
        <v>61</v>
      </c>
      <c r="M433" s="1" t="s">
        <v>62</v>
      </c>
      <c r="N433" s="1">
        <v>-118.0</v>
      </c>
      <c r="O433" s="1">
        <v>-0.143099780102473</v>
      </c>
      <c r="P433" s="1" t="s">
        <v>61</v>
      </c>
      <c r="Q433" s="1" t="s">
        <v>61</v>
      </c>
      <c r="R433" s="1">
        <f t="shared" si="1"/>
        <v>0.08260524797</v>
      </c>
      <c r="S433" s="1">
        <f t="shared" si="2"/>
        <v>-108</v>
      </c>
      <c r="T433" s="1">
        <f t="shared" si="3"/>
        <v>1.925925926</v>
      </c>
      <c r="U433" s="1">
        <f t="shared" si="4"/>
        <v>1</v>
      </c>
      <c r="V433" s="3">
        <f t="shared" si="5"/>
        <v>2</v>
      </c>
      <c r="W433" s="3">
        <f t="shared" si="6"/>
        <v>2</v>
      </c>
      <c r="X433" s="3" t="str">
        <f>IFERROR(__xludf.DUMMYFUNCTION("split(B433,"" "")"),"J.")</f>
        <v>J.</v>
      </c>
      <c r="Y433" s="3" t="str">
        <f>IFERROR(__xludf.DUMMYFUNCTION("""COMPUTED_VALUE"""),"Whyle")</f>
        <v>Whyle</v>
      </c>
      <c r="AA433" s="8">
        <v>0.0</v>
      </c>
      <c r="AB433" s="3">
        <f t="shared" si="7"/>
        <v>0</v>
      </c>
      <c r="AC433" s="3">
        <f t="shared" si="8"/>
        <v>0</v>
      </c>
      <c r="AD433" s="3">
        <f t="shared" si="9"/>
        <v>1.851851852</v>
      </c>
      <c r="AE433" s="3">
        <f t="shared" si="10"/>
        <v>-2</v>
      </c>
      <c r="AF433" s="3">
        <f t="shared" si="11"/>
        <v>-2</v>
      </c>
      <c r="AG433" s="3">
        <f t="shared" si="12"/>
        <v>-1</v>
      </c>
    </row>
    <row r="434">
      <c r="A434" s="1" t="s">
        <v>10</v>
      </c>
      <c r="B434" s="1" t="s">
        <v>559</v>
      </c>
      <c r="C434" s="1" t="s">
        <v>18</v>
      </c>
      <c r="D434" s="1" t="s">
        <v>100</v>
      </c>
      <c r="E434" s="1" t="s">
        <v>72</v>
      </c>
      <c r="F434" s="1" t="s">
        <v>695</v>
      </c>
      <c r="G434" s="1">
        <v>0.5</v>
      </c>
      <c r="H434" s="1" t="s">
        <v>60</v>
      </c>
      <c r="I434" s="1">
        <v>-115.0</v>
      </c>
      <c r="J434" s="1">
        <v>0.0780548124101785</v>
      </c>
      <c r="K434" s="1" t="s">
        <v>61</v>
      </c>
      <c r="L434" s="1" t="s">
        <v>61</v>
      </c>
      <c r="M434" s="1" t="s">
        <v>62</v>
      </c>
      <c r="N434" s="1">
        <v>-115.0</v>
      </c>
      <c r="O434" s="1">
        <v>-0.147783034271705</v>
      </c>
      <c r="P434" s="1" t="s">
        <v>61</v>
      </c>
      <c r="Q434" s="1" t="s">
        <v>61</v>
      </c>
      <c r="R434" s="1">
        <f t="shared" si="1"/>
        <v>0.07805481241</v>
      </c>
      <c r="S434" s="1">
        <f t="shared" si="2"/>
        <v>-115</v>
      </c>
      <c r="T434" s="1">
        <f t="shared" si="3"/>
        <v>1.869565217</v>
      </c>
      <c r="U434" s="1">
        <f t="shared" si="4"/>
        <v>1</v>
      </c>
      <c r="V434" s="3">
        <f t="shared" si="5"/>
        <v>2</v>
      </c>
      <c r="W434" s="3">
        <f t="shared" si="6"/>
        <v>2</v>
      </c>
      <c r="X434" s="3" t="str">
        <f>IFERROR(__xludf.DUMMYFUNCTION("split(B434,"" "")"),"T.")</f>
        <v>T.</v>
      </c>
      <c r="Y434" s="3" t="str">
        <f>IFERROR(__xludf.DUMMYFUNCTION("""COMPUTED_VALUE"""),"Boyd")</f>
        <v>Boyd</v>
      </c>
      <c r="AA434" s="8">
        <v>0.0</v>
      </c>
      <c r="AB434" s="3">
        <f t="shared" si="7"/>
        <v>0</v>
      </c>
      <c r="AC434" s="3">
        <f t="shared" si="8"/>
        <v>0</v>
      </c>
      <c r="AD434" s="3">
        <f t="shared" si="9"/>
        <v>1.739130435</v>
      </c>
      <c r="AE434" s="3">
        <f t="shared" si="10"/>
        <v>-2</v>
      </c>
      <c r="AF434" s="3">
        <f t="shared" si="11"/>
        <v>-2</v>
      </c>
      <c r="AG434" s="3">
        <f t="shared" si="12"/>
        <v>-1</v>
      </c>
    </row>
    <row r="435">
      <c r="A435" s="1" t="s">
        <v>9</v>
      </c>
      <c r="B435" s="1" t="s">
        <v>669</v>
      </c>
      <c r="C435" s="1" t="s">
        <v>18</v>
      </c>
      <c r="D435" s="1" t="s">
        <v>100</v>
      </c>
      <c r="E435" s="1" t="s">
        <v>72</v>
      </c>
      <c r="F435" s="1" t="s">
        <v>695</v>
      </c>
      <c r="G435" s="1">
        <v>28.5</v>
      </c>
      <c r="H435" s="1" t="s">
        <v>60</v>
      </c>
      <c r="I435" s="1">
        <v>-120.0</v>
      </c>
      <c r="J435" s="1">
        <v>0.0486083117495346</v>
      </c>
      <c r="K435" s="1" t="s">
        <v>61</v>
      </c>
      <c r="L435" s="1" t="s">
        <v>61</v>
      </c>
      <c r="M435" s="1" t="s">
        <v>62</v>
      </c>
      <c r="N435" s="1">
        <v>-110.0</v>
      </c>
      <c r="O435" s="1">
        <v>-0.117866721158987</v>
      </c>
      <c r="P435" s="1" t="s">
        <v>61</v>
      </c>
      <c r="Q435" s="1" t="s">
        <v>61</v>
      </c>
      <c r="R435" s="1">
        <f t="shared" si="1"/>
        <v>0.04860831175</v>
      </c>
      <c r="S435" s="1">
        <f t="shared" si="2"/>
        <v>-120</v>
      </c>
      <c r="T435" s="1">
        <f t="shared" si="3"/>
        <v>1.833333333</v>
      </c>
      <c r="U435" s="1">
        <f t="shared" si="4"/>
        <v>1</v>
      </c>
      <c r="V435" s="3">
        <f t="shared" si="5"/>
        <v>1</v>
      </c>
      <c r="W435" s="3">
        <f t="shared" si="6"/>
        <v>3</v>
      </c>
      <c r="X435" s="3" t="str">
        <f>IFERROR(__xludf.DUMMYFUNCTION("split(B435,"" "")"),"N.")</f>
        <v>N.</v>
      </c>
      <c r="Y435" s="3" t="str">
        <f>IFERROR(__xludf.DUMMYFUNCTION("""COMPUTED_VALUE"""),"Westbrook-Ikhine")</f>
        <v>Westbrook-Ikhine</v>
      </c>
      <c r="AA435" s="8">
        <v>48.0</v>
      </c>
      <c r="AB435" s="3">
        <f t="shared" si="7"/>
        <v>1</v>
      </c>
      <c r="AC435" s="3">
        <f t="shared" si="8"/>
        <v>1</v>
      </c>
      <c r="AD435" s="3">
        <f t="shared" si="9"/>
        <v>0.8333333333</v>
      </c>
      <c r="AE435" s="3">
        <f t="shared" si="10"/>
        <v>0.8333333333</v>
      </c>
      <c r="AF435" s="3">
        <f t="shared" si="11"/>
        <v>2.5</v>
      </c>
      <c r="AG435" s="3">
        <f t="shared" si="12"/>
        <v>0.6842105263</v>
      </c>
    </row>
    <row r="436">
      <c r="A436" s="1" t="s">
        <v>12</v>
      </c>
      <c r="B436" s="1" t="s">
        <v>430</v>
      </c>
      <c r="C436" s="1" t="s">
        <v>20</v>
      </c>
      <c r="D436" s="1" t="s">
        <v>100</v>
      </c>
      <c r="E436" s="1" t="s">
        <v>72</v>
      </c>
      <c r="F436" s="1" t="s">
        <v>695</v>
      </c>
      <c r="G436" s="1">
        <v>2.5</v>
      </c>
      <c r="H436" s="1" t="s">
        <v>60</v>
      </c>
      <c r="I436" s="1">
        <v>109.0</v>
      </c>
      <c r="J436" s="1">
        <v>-0.111318580000478</v>
      </c>
      <c r="K436" s="1" t="s">
        <v>61</v>
      </c>
      <c r="L436" s="1" t="s">
        <v>61</v>
      </c>
      <c r="M436" s="1" t="s">
        <v>62</v>
      </c>
      <c r="N436" s="1">
        <v>-141.0</v>
      </c>
      <c r="O436" s="1">
        <v>0.0477934917215768</v>
      </c>
      <c r="P436" s="1" t="s">
        <v>61</v>
      </c>
      <c r="Q436" s="1" t="s">
        <v>61</v>
      </c>
      <c r="R436" s="1">
        <f t="shared" si="1"/>
        <v>0.04779349172</v>
      </c>
      <c r="S436" s="1">
        <f t="shared" si="2"/>
        <v>-141</v>
      </c>
      <c r="T436" s="1">
        <f t="shared" si="3"/>
        <v>1.709219858</v>
      </c>
      <c r="U436" s="1">
        <f t="shared" si="4"/>
        <v>0</v>
      </c>
      <c r="V436" s="3">
        <f t="shared" si="5"/>
        <v>1</v>
      </c>
      <c r="W436" s="3">
        <f t="shared" si="6"/>
        <v>3</v>
      </c>
      <c r="X436" s="3" t="str">
        <f>IFERROR(__xludf.DUMMYFUNCTION("split(B436,"" "")"),"C.")</f>
        <v>C.</v>
      </c>
      <c r="Y436" s="3" t="str">
        <f>IFERROR(__xludf.DUMMYFUNCTION("""COMPUTED_VALUE"""),"Okonkwo")</f>
        <v>Okonkwo</v>
      </c>
      <c r="AA436" s="8">
        <v>1.0</v>
      </c>
      <c r="AB436" s="3">
        <f t="shared" si="7"/>
        <v>0</v>
      </c>
      <c r="AC436" s="3">
        <f t="shared" si="8"/>
        <v>1</v>
      </c>
      <c r="AD436" s="3">
        <f t="shared" si="9"/>
        <v>0.7092198582</v>
      </c>
      <c r="AE436" s="3">
        <f t="shared" si="10"/>
        <v>0.7092198582</v>
      </c>
      <c r="AF436" s="3">
        <f t="shared" si="11"/>
        <v>2.127659574</v>
      </c>
      <c r="AG436" s="3">
        <f t="shared" si="12"/>
        <v>0.6</v>
      </c>
    </row>
    <row r="437">
      <c r="A437" s="1" t="s">
        <v>12</v>
      </c>
      <c r="B437" s="1" t="s">
        <v>340</v>
      </c>
      <c r="C437" s="1" t="s">
        <v>19</v>
      </c>
      <c r="D437" s="1" t="s">
        <v>100</v>
      </c>
      <c r="E437" s="1" t="s">
        <v>72</v>
      </c>
      <c r="F437" s="1" t="s">
        <v>695</v>
      </c>
      <c r="G437" s="1">
        <v>3.5</v>
      </c>
      <c r="H437" s="1" t="s">
        <v>60</v>
      </c>
      <c r="I437" s="1">
        <v>136.0</v>
      </c>
      <c r="J437" s="1">
        <v>-0.110528813559321</v>
      </c>
      <c r="K437" s="1" t="s">
        <v>61</v>
      </c>
      <c r="L437" s="1" t="s">
        <v>61</v>
      </c>
      <c r="M437" s="1" t="s">
        <v>62</v>
      </c>
      <c r="N437" s="1">
        <v>-179.0</v>
      </c>
      <c r="O437" s="1">
        <v>0.0452229390681003</v>
      </c>
      <c r="P437" s="1" t="s">
        <v>61</v>
      </c>
      <c r="Q437" s="1" t="s">
        <v>61</v>
      </c>
      <c r="R437" s="1">
        <f t="shared" si="1"/>
        <v>0.04522293907</v>
      </c>
      <c r="S437" s="1">
        <f t="shared" si="2"/>
        <v>-179</v>
      </c>
      <c r="T437" s="1">
        <f t="shared" si="3"/>
        <v>1.558659218</v>
      </c>
      <c r="U437" s="1">
        <f t="shared" si="4"/>
        <v>0</v>
      </c>
      <c r="V437" s="3">
        <f t="shared" si="5"/>
        <v>1</v>
      </c>
      <c r="W437" s="3">
        <f t="shared" si="6"/>
        <v>3</v>
      </c>
      <c r="X437" s="3" t="str">
        <f>IFERROR(__xludf.DUMMYFUNCTION("split(B437,"" "")"),"T.")</f>
        <v>T.</v>
      </c>
      <c r="Y437" s="3" t="str">
        <f>IFERROR(__xludf.DUMMYFUNCTION("""COMPUTED_VALUE"""),"Pollard")</f>
        <v>Pollard</v>
      </c>
      <c r="AA437" s="8">
        <v>3.0</v>
      </c>
      <c r="AB437" s="3">
        <f t="shared" si="7"/>
        <v>0</v>
      </c>
      <c r="AC437" s="3">
        <f t="shared" si="8"/>
        <v>1</v>
      </c>
      <c r="AD437" s="3">
        <f t="shared" si="9"/>
        <v>0.5586592179</v>
      </c>
      <c r="AE437" s="3">
        <f t="shared" si="10"/>
        <v>0.5586592179</v>
      </c>
      <c r="AF437" s="3">
        <f t="shared" si="11"/>
        <v>1.675977654</v>
      </c>
      <c r="AG437" s="3">
        <f t="shared" si="12"/>
        <v>0.1428571429</v>
      </c>
    </row>
    <row r="438">
      <c r="A438" s="1" t="s">
        <v>12</v>
      </c>
      <c r="B438" s="1" t="s">
        <v>437</v>
      </c>
      <c r="C438" s="1" t="s">
        <v>18</v>
      </c>
      <c r="D438" s="1" t="s">
        <v>100</v>
      </c>
      <c r="E438" s="1" t="s">
        <v>72</v>
      </c>
      <c r="F438" s="1" t="s">
        <v>695</v>
      </c>
      <c r="G438" s="1">
        <v>4.5</v>
      </c>
      <c r="H438" s="1" t="s">
        <v>60</v>
      </c>
      <c r="I438" s="1">
        <v>-121.0</v>
      </c>
      <c r="J438" s="1">
        <v>-0.111411312217194</v>
      </c>
      <c r="K438" s="1" t="s">
        <v>61</v>
      </c>
      <c r="L438" s="1" t="s">
        <v>61</v>
      </c>
      <c r="M438" s="1" t="s">
        <v>62</v>
      </c>
      <c r="N438" s="1">
        <v>-109.0</v>
      </c>
      <c r="O438" s="1">
        <v>0.0423688995215312</v>
      </c>
      <c r="P438" s="1" t="s">
        <v>61</v>
      </c>
      <c r="Q438" s="1" t="s">
        <v>61</v>
      </c>
      <c r="R438" s="1">
        <f t="shared" si="1"/>
        <v>0.04236889952</v>
      </c>
      <c r="S438" s="1">
        <f t="shared" si="2"/>
        <v>-109</v>
      </c>
      <c r="T438" s="1">
        <f t="shared" si="3"/>
        <v>1.917431193</v>
      </c>
      <c r="U438" s="1">
        <f t="shared" si="4"/>
        <v>0</v>
      </c>
      <c r="V438" s="3">
        <f t="shared" si="5"/>
        <v>1</v>
      </c>
      <c r="W438" s="3">
        <f t="shared" si="6"/>
        <v>2</v>
      </c>
      <c r="X438" s="3" t="str">
        <f>IFERROR(__xludf.DUMMYFUNCTION("split(B438,"" "")"),"C.")</f>
        <v>C.</v>
      </c>
      <c r="Y438" s="3" t="str">
        <f>IFERROR(__xludf.DUMMYFUNCTION("""COMPUTED_VALUE"""),"Ridley")</f>
        <v>Ridley</v>
      </c>
      <c r="AA438" s="8">
        <v>5.0</v>
      </c>
      <c r="AB438" s="3">
        <f t="shared" si="7"/>
        <v>1</v>
      </c>
      <c r="AC438" s="3">
        <f t="shared" si="8"/>
        <v>0</v>
      </c>
      <c r="AD438" s="3">
        <f t="shared" si="9"/>
        <v>0.9174311927</v>
      </c>
      <c r="AE438" s="3">
        <f t="shared" si="10"/>
        <v>-1</v>
      </c>
      <c r="AF438" s="3">
        <f t="shared" si="11"/>
        <v>-2</v>
      </c>
      <c r="AG438" s="3">
        <f t="shared" si="12"/>
        <v>-0.1111111111</v>
      </c>
    </row>
    <row r="439">
      <c r="A439" s="1" t="s">
        <v>11</v>
      </c>
      <c r="B439" s="1" t="s">
        <v>437</v>
      </c>
      <c r="C439" s="1" t="s">
        <v>18</v>
      </c>
      <c r="D439" s="1" t="s">
        <v>100</v>
      </c>
      <c r="E439" s="1" t="s">
        <v>72</v>
      </c>
      <c r="F439" s="1" t="s">
        <v>695</v>
      </c>
      <c r="G439" s="1">
        <v>60.5</v>
      </c>
      <c r="H439" s="1" t="s">
        <v>60</v>
      </c>
      <c r="I439" s="1">
        <v>-113.0</v>
      </c>
      <c r="J439" s="1">
        <v>-0.0917304155649108</v>
      </c>
      <c r="K439" s="1" t="s">
        <v>61</v>
      </c>
      <c r="L439" s="1" t="s">
        <v>61</v>
      </c>
      <c r="M439" s="1" t="s">
        <v>62</v>
      </c>
      <c r="N439" s="1">
        <v>-111.0</v>
      </c>
      <c r="O439" s="1">
        <v>0.0351241618710418</v>
      </c>
      <c r="P439" s="1" t="s">
        <v>61</v>
      </c>
      <c r="Q439" s="1" t="s">
        <v>61</v>
      </c>
      <c r="R439" s="1">
        <f t="shared" si="1"/>
        <v>0.03512416187</v>
      </c>
      <c r="S439" s="1">
        <f t="shared" si="2"/>
        <v>-111</v>
      </c>
      <c r="T439" s="1">
        <f t="shared" si="3"/>
        <v>1.900900901</v>
      </c>
      <c r="U439" s="1">
        <f t="shared" si="4"/>
        <v>0</v>
      </c>
      <c r="V439" s="3">
        <f t="shared" si="5"/>
        <v>1</v>
      </c>
      <c r="W439" s="3">
        <f t="shared" si="6"/>
        <v>2</v>
      </c>
      <c r="X439" s="3" t="str">
        <f>IFERROR(__xludf.DUMMYFUNCTION("split(B439,"" "")"),"C.")</f>
        <v>C.</v>
      </c>
      <c r="Y439" s="3" t="str">
        <f>IFERROR(__xludf.DUMMYFUNCTION("""COMPUTED_VALUE"""),"Ridley")</f>
        <v>Ridley</v>
      </c>
      <c r="AA439" s="8">
        <v>93.0</v>
      </c>
      <c r="AB439" s="3">
        <f t="shared" si="7"/>
        <v>1</v>
      </c>
      <c r="AC439" s="3">
        <f t="shared" si="8"/>
        <v>0</v>
      </c>
      <c r="AD439" s="3">
        <f t="shared" si="9"/>
        <v>0.9009009009</v>
      </c>
      <c r="AE439" s="3">
        <f t="shared" si="10"/>
        <v>-1</v>
      </c>
      <c r="AF439" s="3">
        <f t="shared" si="11"/>
        <v>-2</v>
      </c>
      <c r="AG439" s="3">
        <f t="shared" si="12"/>
        <v>-0.5371900826</v>
      </c>
    </row>
    <row r="440">
      <c r="A440" s="1" t="s">
        <v>16</v>
      </c>
      <c r="B440" s="1" t="s">
        <v>275</v>
      </c>
      <c r="C440" s="1" t="s">
        <v>21</v>
      </c>
      <c r="D440" s="1" t="s">
        <v>100</v>
      </c>
      <c r="E440" s="1" t="s">
        <v>72</v>
      </c>
      <c r="F440" s="1" t="s">
        <v>695</v>
      </c>
      <c r="G440" s="1">
        <v>30.5</v>
      </c>
      <c r="H440" s="1" t="s">
        <v>60</v>
      </c>
      <c r="I440" s="1">
        <v>100.0</v>
      </c>
      <c r="J440" s="1">
        <v>-0.09474782095</v>
      </c>
      <c r="K440" s="1" t="s">
        <v>61</v>
      </c>
      <c r="L440" s="1" t="s">
        <v>61</v>
      </c>
      <c r="M440" s="1" t="s">
        <v>62</v>
      </c>
      <c r="N440" s="1">
        <v>-129.0</v>
      </c>
      <c r="O440" s="1">
        <v>0.0313971083192139</v>
      </c>
      <c r="P440" s="1" t="s">
        <v>61</v>
      </c>
      <c r="Q440" s="1" t="s">
        <v>61</v>
      </c>
      <c r="R440" s="1">
        <f t="shared" si="1"/>
        <v>0.03139710832</v>
      </c>
      <c r="S440" s="1">
        <f t="shared" si="2"/>
        <v>-129</v>
      </c>
      <c r="T440" s="1">
        <f t="shared" si="3"/>
        <v>1.775193798</v>
      </c>
      <c r="U440" s="1">
        <f t="shared" si="4"/>
        <v>0</v>
      </c>
      <c r="V440" s="3">
        <f t="shared" si="5"/>
        <v>1</v>
      </c>
      <c r="W440" s="3">
        <f t="shared" si="6"/>
        <v>3</v>
      </c>
      <c r="X440" s="3" t="str">
        <f>IFERROR(__xludf.DUMMYFUNCTION("split(B440,"" "")"),"W.")</f>
        <v>W.</v>
      </c>
      <c r="Y440" s="3" t="str">
        <f>IFERROR(__xludf.DUMMYFUNCTION("""COMPUTED_VALUE"""),"Levis")</f>
        <v>Levis</v>
      </c>
      <c r="AA440" s="8">
        <v>24.0</v>
      </c>
      <c r="AB440" s="3">
        <f t="shared" si="7"/>
        <v>0</v>
      </c>
      <c r="AC440" s="3">
        <f t="shared" si="8"/>
        <v>1</v>
      </c>
      <c r="AD440" s="3">
        <f t="shared" si="9"/>
        <v>0.7751937984</v>
      </c>
      <c r="AE440" s="3">
        <f t="shared" si="10"/>
        <v>0.7751937984</v>
      </c>
      <c r="AF440" s="3">
        <f t="shared" si="11"/>
        <v>2.325581395</v>
      </c>
      <c r="AG440" s="3">
        <f t="shared" si="12"/>
        <v>0.2131147541</v>
      </c>
    </row>
    <row r="441">
      <c r="A441" s="1" t="s">
        <v>12</v>
      </c>
      <c r="B441" s="1" t="s">
        <v>669</v>
      </c>
      <c r="C441" s="1" t="s">
        <v>18</v>
      </c>
      <c r="D441" s="1" t="s">
        <v>100</v>
      </c>
      <c r="E441" s="1" t="s">
        <v>72</v>
      </c>
      <c r="F441" s="1" t="s">
        <v>695</v>
      </c>
      <c r="G441" s="1">
        <v>2.5</v>
      </c>
      <c r="H441" s="1" t="s">
        <v>60</v>
      </c>
      <c r="I441" s="1">
        <v>107.0</v>
      </c>
      <c r="J441" s="1">
        <v>-0.0908403013946859</v>
      </c>
      <c r="K441" s="1" t="s">
        <v>61</v>
      </c>
      <c r="L441" s="1" t="s">
        <v>61</v>
      </c>
      <c r="M441" s="1" t="s">
        <v>62</v>
      </c>
      <c r="N441" s="1">
        <v>-141.0</v>
      </c>
      <c r="O441" s="1">
        <v>0.0226926698261412</v>
      </c>
      <c r="P441" s="1" t="s">
        <v>61</v>
      </c>
      <c r="Q441" s="1" t="s">
        <v>61</v>
      </c>
      <c r="R441" s="1">
        <f t="shared" si="1"/>
        <v>0.02269266983</v>
      </c>
      <c r="S441" s="1">
        <f t="shared" si="2"/>
        <v>-141</v>
      </c>
      <c r="T441" s="1">
        <f t="shared" si="3"/>
        <v>1.709219858</v>
      </c>
      <c r="U441" s="1">
        <f t="shared" si="4"/>
        <v>0</v>
      </c>
      <c r="V441" s="3">
        <f t="shared" si="5"/>
        <v>1</v>
      </c>
      <c r="W441" s="3">
        <f t="shared" si="6"/>
        <v>3</v>
      </c>
      <c r="X441" s="3" t="str">
        <f>IFERROR(__xludf.DUMMYFUNCTION("split(B441,"" "")"),"N.")</f>
        <v>N.</v>
      </c>
      <c r="Y441" s="3" t="str">
        <f>IFERROR(__xludf.DUMMYFUNCTION("""COMPUTED_VALUE"""),"Westbrook-Ikhine")</f>
        <v>Westbrook-Ikhine</v>
      </c>
      <c r="AA441" s="8">
        <v>2.0</v>
      </c>
      <c r="AB441" s="3">
        <f t="shared" si="7"/>
        <v>0</v>
      </c>
      <c r="AC441" s="3">
        <f t="shared" si="8"/>
        <v>1</v>
      </c>
      <c r="AD441" s="3">
        <f t="shared" si="9"/>
        <v>0.7092198582</v>
      </c>
      <c r="AE441" s="3">
        <f t="shared" si="10"/>
        <v>0.7092198582</v>
      </c>
      <c r="AF441" s="3">
        <f t="shared" si="11"/>
        <v>2.127659574</v>
      </c>
      <c r="AG441" s="3">
        <f t="shared" si="12"/>
        <v>0.2</v>
      </c>
    </row>
    <row r="442">
      <c r="A442" s="1" t="s">
        <v>9</v>
      </c>
      <c r="B442" s="1" t="s">
        <v>437</v>
      </c>
      <c r="C442" s="1" t="s">
        <v>18</v>
      </c>
      <c r="D442" s="1" t="s">
        <v>100</v>
      </c>
      <c r="E442" s="1" t="s">
        <v>72</v>
      </c>
      <c r="F442" s="1" t="s">
        <v>695</v>
      </c>
      <c r="G442" s="1">
        <v>62.5</v>
      </c>
      <c r="H442" s="1" t="s">
        <v>60</v>
      </c>
      <c r="I442" s="1">
        <v>-115.0</v>
      </c>
      <c r="J442" s="1">
        <v>-0.0792192512299608</v>
      </c>
      <c r="K442" s="1" t="s">
        <v>61</v>
      </c>
      <c r="L442" s="1" t="s">
        <v>61</v>
      </c>
      <c r="M442" s="1" t="s">
        <v>62</v>
      </c>
      <c r="N442" s="1">
        <v>-115.0</v>
      </c>
      <c r="O442" s="1">
        <v>0.00944213891445477</v>
      </c>
      <c r="P442" s="1" t="s">
        <v>61</v>
      </c>
      <c r="Q442" s="1" t="s">
        <v>61</v>
      </c>
      <c r="R442" s="1">
        <f t="shared" si="1"/>
        <v>0.009442138914</v>
      </c>
      <c r="S442" s="1">
        <f t="shared" si="2"/>
        <v>-115</v>
      </c>
      <c r="T442" s="1">
        <f t="shared" si="3"/>
        <v>1.869565217</v>
      </c>
      <c r="U442" s="1">
        <f t="shared" si="4"/>
        <v>0</v>
      </c>
      <c r="V442" s="3">
        <f t="shared" si="5"/>
        <v>1</v>
      </c>
      <c r="W442" s="3">
        <f t="shared" si="6"/>
        <v>2</v>
      </c>
      <c r="X442" s="3" t="str">
        <f>IFERROR(__xludf.DUMMYFUNCTION("split(B442,"" "")"),"C.")</f>
        <v>C.</v>
      </c>
      <c r="Y442" s="3" t="str">
        <f>IFERROR(__xludf.DUMMYFUNCTION("""COMPUTED_VALUE"""),"Ridley")</f>
        <v>Ridley</v>
      </c>
      <c r="AA442" s="8">
        <v>93.0</v>
      </c>
      <c r="AB442" s="3">
        <f t="shared" si="7"/>
        <v>1</v>
      </c>
      <c r="AC442" s="3">
        <f t="shared" si="8"/>
        <v>0</v>
      </c>
      <c r="AD442" s="3">
        <f t="shared" si="9"/>
        <v>0.8695652174</v>
      </c>
      <c r="AE442" s="3">
        <f t="shared" si="10"/>
        <v>-1</v>
      </c>
      <c r="AF442" s="3">
        <f t="shared" si="11"/>
        <v>-2</v>
      </c>
      <c r="AG442" s="3">
        <f t="shared" si="12"/>
        <v>-0.488</v>
      </c>
    </row>
    <row r="443">
      <c r="A443" s="1" t="s">
        <v>8</v>
      </c>
      <c r="B443" s="1" t="s">
        <v>340</v>
      </c>
      <c r="C443" s="1" t="s">
        <v>19</v>
      </c>
      <c r="D443" s="1" t="s">
        <v>100</v>
      </c>
      <c r="E443" s="1" t="s">
        <v>72</v>
      </c>
      <c r="F443" s="1" t="s">
        <v>695</v>
      </c>
      <c r="G443" s="1">
        <v>15.5</v>
      </c>
      <c r="H443" s="1" t="s">
        <v>60</v>
      </c>
      <c r="I443" s="1">
        <v>-124.0</v>
      </c>
      <c r="J443" s="1">
        <v>0.00248495236607149</v>
      </c>
      <c r="K443" s="1" t="s">
        <v>61</v>
      </c>
      <c r="L443" s="1" t="s">
        <v>61</v>
      </c>
      <c r="M443" s="1" t="s">
        <v>62</v>
      </c>
      <c r="N443" s="1">
        <v>-108.0</v>
      </c>
      <c r="O443" s="1">
        <v>-0.0752800369057692</v>
      </c>
      <c r="P443" s="1" t="s">
        <v>61</v>
      </c>
      <c r="Q443" s="1" t="s">
        <v>61</v>
      </c>
      <c r="R443" s="1">
        <f t="shared" si="1"/>
        <v>0.002484952366</v>
      </c>
      <c r="S443" s="1">
        <f t="shared" si="2"/>
        <v>-124</v>
      </c>
      <c r="T443" s="1">
        <f t="shared" si="3"/>
        <v>1.806451613</v>
      </c>
      <c r="U443" s="1">
        <f t="shared" si="4"/>
        <v>1</v>
      </c>
      <c r="V443" s="3">
        <f t="shared" si="5"/>
        <v>1</v>
      </c>
      <c r="W443" s="3">
        <f t="shared" si="6"/>
        <v>3</v>
      </c>
      <c r="X443" s="3" t="str">
        <f>IFERROR(__xludf.DUMMYFUNCTION("split(B443,"" "")"),"T.")</f>
        <v>T.</v>
      </c>
      <c r="Y443" s="3" t="str">
        <f>IFERROR(__xludf.DUMMYFUNCTION("""COMPUTED_VALUE"""),"Pollard")</f>
        <v>Pollard</v>
      </c>
      <c r="AA443" s="8">
        <v>24.0</v>
      </c>
      <c r="AB443" s="3">
        <f t="shared" si="7"/>
        <v>1</v>
      </c>
      <c r="AC443" s="3">
        <f t="shared" si="8"/>
        <v>1</v>
      </c>
      <c r="AD443" s="3">
        <f t="shared" si="9"/>
        <v>0.8064516129</v>
      </c>
      <c r="AE443" s="3">
        <f t="shared" si="10"/>
        <v>0.8064516129</v>
      </c>
      <c r="AF443" s="3">
        <f t="shared" si="11"/>
        <v>2.419354839</v>
      </c>
      <c r="AG443" s="3">
        <f t="shared" si="12"/>
        <v>0.5483870968</v>
      </c>
    </row>
    <row r="444">
      <c r="A444" s="1" t="s">
        <v>11</v>
      </c>
      <c r="B444" s="1" t="s">
        <v>340</v>
      </c>
      <c r="C444" s="1" t="s">
        <v>19</v>
      </c>
      <c r="D444" s="1" t="s">
        <v>100</v>
      </c>
      <c r="E444" s="1" t="s">
        <v>72</v>
      </c>
      <c r="F444" s="1" t="s">
        <v>695</v>
      </c>
      <c r="G444" s="1">
        <v>17.5</v>
      </c>
      <c r="H444" s="1" t="s">
        <v>60</v>
      </c>
      <c r="I444" s="1">
        <v>-112.0</v>
      </c>
      <c r="J444" s="1">
        <v>-0.0676539183335283</v>
      </c>
      <c r="K444" s="1" t="s">
        <v>61</v>
      </c>
      <c r="L444" s="1" t="s">
        <v>61</v>
      </c>
      <c r="M444" s="1" t="s">
        <v>62</v>
      </c>
      <c r="N444" s="1">
        <v>-116.0</v>
      </c>
      <c r="O444" s="1">
        <v>0.0023637573915799</v>
      </c>
      <c r="P444" s="1" t="s">
        <v>61</v>
      </c>
      <c r="Q444" s="1" t="s">
        <v>61</v>
      </c>
      <c r="R444" s="1">
        <f t="shared" si="1"/>
        <v>0.002363757392</v>
      </c>
      <c r="S444" s="1">
        <f t="shared" si="2"/>
        <v>-116</v>
      </c>
      <c r="T444" s="1">
        <f t="shared" si="3"/>
        <v>1.862068966</v>
      </c>
      <c r="U444" s="1">
        <f t="shared" si="4"/>
        <v>0</v>
      </c>
      <c r="V444" s="3">
        <f t="shared" si="5"/>
        <v>1</v>
      </c>
      <c r="W444" s="3">
        <f t="shared" si="6"/>
        <v>2</v>
      </c>
      <c r="X444" s="3" t="str">
        <f>IFERROR(__xludf.DUMMYFUNCTION("split(B444,"" "")"),"T.")</f>
        <v>T.</v>
      </c>
      <c r="Y444" s="3" t="str">
        <f>IFERROR(__xludf.DUMMYFUNCTION("""COMPUTED_VALUE"""),"Pollard")</f>
        <v>Pollard</v>
      </c>
      <c r="AA444" s="8">
        <v>10.0</v>
      </c>
      <c r="AB444" s="3">
        <f t="shared" si="7"/>
        <v>0</v>
      </c>
      <c r="AC444" s="3">
        <f t="shared" si="8"/>
        <v>1</v>
      </c>
      <c r="AD444" s="3">
        <f t="shared" si="9"/>
        <v>0.8620689655</v>
      </c>
      <c r="AE444" s="3">
        <f t="shared" si="10"/>
        <v>0.8620689655</v>
      </c>
      <c r="AF444" s="3">
        <f t="shared" si="11"/>
        <v>1.724137931</v>
      </c>
      <c r="AG444" s="3">
        <f t="shared" si="12"/>
        <v>0.4285714286</v>
      </c>
    </row>
    <row r="445">
      <c r="A445" s="1" t="s">
        <v>12</v>
      </c>
      <c r="B445" s="1" t="s">
        <v>561</v>
      </c>
      <c r="C445" s="1" t="s">
        <v>18</v>
      </c>
      <c r="D445" s="1" t="s">
        <v>114</v>
      </c>
      <c r="E445" s="1" t="s">
        <v>88</v>
      </c>
      <c r="F445" s="1" t="s">
        <v>695</v>
      </c>
      <c r="G445" s="1">
        <v>2.5</v>
      </c>
      <c r="H445" s="1" t="s">
        <v>60</v>
      </c>
      <c r="I445" s="1">
        <v>-163.0</v>
      </c>
      <c r="J445" s="1">
        <v>-0.26643228581749</v>
      </c>
      <c r="K445" s="1" t="s">
        <v>61</v>
      </c>
      <c r="L445" s="1" t="s">
        <v>61</v>
      </c>
      <c r="M445" s="1" t="s">
        <v>62</v>
      </c>
      <c r="N445" s="1">
        <v>123.0</v>
      </c>
      <c r="O445" s="1">
        <v>0.198222830358744</v>
      </c>
      <c r="P445" s="1" t="s">
        <v>61</v>
      </c>
      <c r="Q445" s="1" t="s">
        <v>61</v>
      </c>
      <c r="R445" s="1">
        <f t="shared" si="1"/>
        <v>0.1982228304</v>
      </c>
      <c r="S445" s="1">
        <f t="shared" si="2"/>
        <v>123</v>
      </c>
      <c r="T445" s="1">
        <f t="shared" si="3"/>
        <v>2.23</v>
      </c>
      <c r="U445" s="1">
        <f t="shared" si="4"/>
        <v>0</v>
      </c>
      <c r="V445" s="3">
        <f t="shared" si="5"/>
        <v>3</v>
      </c>
      <c r="W445" s="3">
        <f t="shared" si="6"/>
        <v>1</v>
      </c>
      <c r="X445" s="3" t="str">
        <f>IFERROR(__xludf.DUMMYFUNCTION("split(B445,"" "")"),"N.")</f>
        <v>N.</v>
      </c>
      <c r="Y445" s="3" t="str">
        <f>IFERROR(__xludf.DUMMYFUNCTION("""COMPUTED_VALUE"""),"Brown")</f>
        <v>Brown</v>
      </c>
      <c r="AA445" s="8">
        <v>2.0</v>
      </c>
      <c r="AB445" s="3">
        <f t="shared" si="7"/>
        <v>0</v>
      </c>
      <c r="AC445" s="3">
        <f t="shared" si="8"/>
        <v>1</v>
      </c>
      <c r="AD445" s="3">
        <f t="shared" si="9"/>
        <v>3.69</v>
      </c>
      <c r="AE445" s="3">
        <f t="shared" si="10"/>
        <v>3.69</v>
      </c>
      <c r="AF445" s="3">
        <f t="shared" si="11"/>
        <v>1.23</v>
      </c>
      <c r="AG445" s="3">
        <f t="shared" si="12"/>
        <v>0.2</v>
      </c>
    </row>
    <row r="446">
      <c r="A446" s="1" t="s">
        <v>9</v>
      </c>
      <c r="B446" s="1" t="s">
        <v>606</v>
      </c>
      <c r="C446" s="1" t="s">
        <v>18</v>
      </c>
      <c r="D446" s="1" t="s">
        <v>114</v>
      </c>
      <c r="E446" s="1" t="s">
        <v>88</v>
      </c>
      <c r="F446" s="1" t="s">
        <v>695</v>
      </c>
      <c r="G446" s="1">
        <v>13.5</v>
      </c>
      <c r="H446" s="1" t="s">
        <v>60</v>
      </c>
      <c r="I446" s="1">
        <v>-115.0</v>
      </c>
      <c r="J446" s="1">
        <v>0.151674555582848</v>
      </c>
      <c r="K446" s="1" t="s">
        <v>61</v>
      </c>
      <c r="L446" s="1" t="s">
        <v>61</v>
      </c>
      <c r="M446" s="1" t="s">
        <v>62</v>
      </c>
      <c r="N446" s="1">
        <v>-115.0</v>
      </c>
      <c r="O446" s="1">
        <v>-0.221435738920275</v>
      </c>
      <c r="P446" s="1" t="s">
        <v>61</v>
      </c>
      <c r="Q446" s="1" t="s">
        <v>61</v>
      </c>
      <c r="R446" s="1">
        <f t="shared" si="1"/>
        <v>0.1516745556</v>
      </c>
      <c r="S446" s="1">
        <f t="shared" si="2"/>
        <v>-115</v>
      </c>
      <c r="T446" s="1">
        <f t="shared" si="3"/>
        <v>1.869565217</v>
      </c>
      <c r="U446" s="1">
        <f t="shared" si="4"/>
        <v>1</v>
      </c>
      <c r="V446" s="3">
        <f t="shared" si="5"/>
        <v>3</v>
      </c>
      <c r="W446" s="3">
        <f t="shared" si="6"/>
        <v>2</v>
      </c>
      <c r="X446" s="3" t="str">
        <f>IFERROR(__xludf.DUMMYFUNCTION("split(B446,"" "")"),"O.")</f>
        <v>O.</v>
      </c>
      <c r="Y446" s="3" t="str">
        <f>IFERROR(__xludf.DUMMYFUNCTION("""COMPUTED_VALUE"""),"Zaccheaus")</f>
        <v>Zaccheaus</v>
      </c>
      <c r="AA446" s="8">
        <v>8.0</v>
      </c>
      <c r="AB446" s="3">
        <f t="shared" si="7"/>
        <v>0</v>
      </c>
      <c r="AC446" s="3">
        <f t="shared" si="8"/>
        <v>0</v>
      </c>
      <c r="AD446" s="3">
        <f t="shared" si="9"/>
        <v>2.608695652</v>
      </c>
      <c r="AE446" s="3">
        <f t="shared" si="10"/>
        <v>-3</v>
      </c>
      <c r="AF446" s="3">
        <f t="shared" si="11"/>
        <v>-2</v>
      </c>
      <c r="AG446" s="3">
        <f t="shared" si="12"/>
        <v>-0.4074074074</v>
      </c>
    </row>
    <row r="447">
      <c r="A447" s="1" t="s">
        <v>12</v>
      </c>
      <c r="B447" s="1" t="s">
        <v>408</v>
      </c>
      <c r="C447" s="1" t="s">
        <v>19</v>
      </c>
      <c r="D447" s="1" t="s">
        <v>114</v>
      </c>
      <c r="E447" s="1" t="s">
        <v>88</v>
      </c>
      <c r="F447" s="1" t="s">
        <v>695</v>
      </c>
      <c r="G447" s="1">
        <v>2.5</v>
      </c>
      <c r="H447" s="1" t="s">
        <v>60</v>
      </c>
      <c r="I447" s="1">
        <v>-122.0</v>
      </c>
      <c r="J447" s="1">
        <v>-0.201402764054054</v>
      </c>
      <c r="K447" s="1" t="s">
        <v>61</v>
      </c>
      <c r="L447" s="1" t="s">
        <v>61</v>
      </c>
      <c r="M447" s="1" t="s">
        <v>62</v>
      </c>
      <c r="N447" s="1">
        <v>-108.0</v>
      </c>
      <c r="O447" s="1">
        <v>0.132615301488461</v>
      </c>
      <c r="P447" s="1" t="s">
        <v>61</v>
      </c>
      <c r="Q447" s="1" t="s">
        <v>61</v>
      </c>
      <c r="R447" s="1">
        <f t="shared" si="1"/>
        <v>0.1326153015</v>
      </c>
      <c r="S447" s="1">
        <f t="shared" si="2"/>
        <v>-108</v>
      </c>
      <c r="T447" s="1">
        <f t="shared" si="3"/>
        <v>1.925925926</v>
      </c>
      <c r="U447" s="1">
        <f t="shared" si="4"/>
        <v>0</v>
      </c>
      <c r="V447" s="3">
        <f t="shared" si="5"/>
        <v>3</v>
      </c>
      <c r="W447" s="3">
        <f t="shared" si="6"/>
        <v>2</v>
      </c>
      <c r="X447" s="3" t="str">
        <f>IFERROR(__xludf.DUMMYFUNCTION("split(B447,"" "")"),"A.")</f>
        <v>A.</v>
      </c>
      <c r="Y447" s="3" t="str">
        <f>IFERROR(__xludf.DUMMYFUNCTION("""COMPUTED_VALUE"""),"Ekeler")</f>
        <v>Ekeler</v>
      </c>
      <c r="AA447" s="8">
        <v>2.0</v>
      </c>
      <c r="AB447" s="3">
        <f t="shared" si="7"/>
        <v>0</v>
      </c>
      <c r="AC447" s="3">
        <f t="shared" si="8"/>
        <v>1</v>
      </c>
      <c r="AD447" s="3">
        <f t="shared" si="9"/>
        <v>2.777777778</v>
      </c>
      <c r="AE447" s="3">
        <f t="shared" si="10"/>
        <v>2.777777778</v>
      </c>
      <c r="AF447" s="3">
        <f t="shared" si="11"/>
        <v>1.851851852</v>
      </c>
      <c r="AG447" s="3">
        <f t="shared" si="12"/>
        <v>0.2</v>
      </c>
    </row>
    <row r="448">
      <c r="A448" s="1" t="s">
        <v>8</v>
      </c>
      <c r="B448" s="1" t="s">
        <v>408</v>
      </c>
      <c r="C448" s="1" t="s">
        <v>19</v>
      </c>
      <c r="D448" s="1" t="s">
        <v>114</v>
      </c>
      <c r="E448" s="1" t="s">
        <v>88</v>
      </c>
      <c r="F448" s="1" t="s">
        <v>695</v>
      </c>
      <c r="G448" s="1">
        <v>5.5</v>
      </c>
      <c r="H448" s="1" t="s">
        <v>60</v>
      </c>
      <c r="I448" s="1">
        <v>105.0</v>
      </c>
      <c r="J448" s="1">
        <v>-0.172840464521644</v>
      </c>
      <c r="K448" s="1" t="s">
        <v>61</v>
      </c>
      <c r="L448" s="1" t="s">
        <v>61</v>
      </c>
      <c r="M448" s="1" t="s">
        <v>62</v>
      </c>
      <c r="N448" s="1">
        <v>-135.0</v>
      </c>
      <c r="O448" s="1">
        <v>0.11055966993461</v>
      </c>
      <c r="P448" s="1" t="s">
        <v>61</v>
      </c>
      <c r="Q448" s="1" t="s">
        <v>61</v>
      </c>
      <c r="R448" s="1">
        <f t="shared" si="1"/>
        <v>0.1105596699</v>
      </c>
      <c r="S448" s="1">
        <f t="shared" si="2"/>
        <v>-135</v>
      </c>
      <c r="T448" s="1">
        <f t="shared" si="3"/>
        <v>1.740740741</v>
      </c>
      <c r="U448" s="1">
        <f t="shared" si="4"/>
        <v>0</v>
      </c>
      <c r="V448" s="3">
        <f t="shared" si="5"/>
        <v>3</v>
      </c>
      <c r="W448" s="3">
        <f t="shared" si="6"/>
        <v>3</v>
      </c>
      <c r="X448" s="3" t="str">
        <f>IFERROR(__xludf.DUMMYFUNCTION("split(B448,"" "")"),"A.")</f>
        <v>A.</v>
      </c>
      <c r="Y448" s="3" t="str">
        <f>IFERROR(__xludf.DUMMYFUNCTION("""COMPUTED_VALUE"""),"Ekeler")</f>
        <v>Ekeler</v>
      </c>
      <c r="AA448" s="8">
        <v>9.0</v>
      </c>
      <c r="AB448" s="3">
        <f t="shared" si="7"/>
        <v>1</v>
      </c>
      <c r="AC448" s="3">
        <f t="shared" si="8"/>
        <v>0</v>
      </c>
      <c r="AD448" s="3">
        <f t="shared" si="9"/>
        <v>2.222222222</v>
      </c>
      <c r="AE448" s="3">
        <f t="shared" si="10"/>
        <v>-3</v>
      </c>
      <c r="AF448" s="3">
        <f t="shared" si="11"/>
        <v>-3</v>
      </c>
      <c r="AG448" s="3">
        <f t="shared" si="12"/>
        <v>-0.6363636364</v>
      </c>
    </row>
    <row r="449">
      <c r="A449" s="1" t="s">
        <v>11</v>
      </c>
      <c r="B449" s="1" t="s">
        <v>264</v>
      </c>
      <c r="C449" s="1" t="s">
        <v>19</v>
      </c>
      <c r="D449" s="1" t="s">
        <v>114</v>
      </c>
      <c r="E449" s="1" t="s">
        <v>88</v>
      </c>
      <c r="F449" s="1" t="s">
        <v>695</v>
      </c>
      <c r="G449" s="1">
        <v>4.5</v>
      </c>
      <c r="H449" s="1" t="s">
        <v>60</v>
      </c>
      <c r="I449" s="1">
        <v>-118.0</v>
      </c>
      <c r="J449" s="1">
        <v>0.109976354690544</v>
      </c>
      <c r="K449" s="1" t="s">
        <v>61</v>
      </c>
      <c r="L449" s="1" t="s">
        <v>61</v>
      </c>
      <c r="M449" s="1" t="s">
        <v>62</v>
      </c>
      <c r="N449" s="1">
        <v>-108.0</v>
      </c>
      <c r="O449" s="1">
        <v>-0.170446773790104</v>
      </c>
      <c r="P449" s="1" t="s">
        <v>61</v>
      </c>
      <c r="Q449" s="1" t="s">
        <v>61</v>
      </c>
      <c r="R449" s="1">
        <f t="shared" si="1"/>
        <v>0.1099763547</v>
      </c>
      <c r="S449" s="1">
        <f t="shared" si="2"/>
        <v>-118</v>
      </c>
      <c r="T449" s="1">
        <f t="shared" si="3"/>
        <v>1.847457627</v>
      </c>
      <c r="U449" s="1">
        <f t="shared" si="4"/>
        <v>1</v>
      </c>
      <c r="V449" s="3">
        <f t="shared" si="5"/>
        <v>3</v>
      </c>
      <c r="W449" s="3">
        <f t="shared" si="6"/>
        <v>3</v>
      </c>
      <c r="X449" s="3" t="str">
        <f>IFERROR(__xludf.DUMMYFUNCTION("split(B449,"" "")"),"B.")</f>
        <v>B.</v>
      </c>
      <c r="Y449" s="3" t="str">
        <f>IFERROR(__xludf.DUMMYFUNCTION("""COMPUTED_VALUE"""),"Robinson")</f>
        <v>Robinson</v>
      </c>
      <c r="AA449" s="8">
        <v>11.0</v>
      </c>
      <c r="AB449" s="3">
        <f t="shared" si="7"/>
        <v>1</v>
      </c>
      <c r="AC449" s="3">
        <f t="shared" si="8"/>
        <v>1</v>
      </c>
      <c r="AD449" s="3">
        <f t="shared" si="9"/>
        <v>2.542372881</v>
      </c>
      <c r="AE449" s="3">
        <f t="shared" si="10"/>
        <v>2.542372881</v>
      </c>
      <c r="AF449" s="3">
        <f t="shared" si="11"/>
        <v>2.542372881</v>
      </c>
      <c r="AG449" s="3">
        <f t="shared" si="12"/>
        <v>1.444444444</v>
      </c>
    </row>
    <row r="450">
      <c r="A450" s="1" t="s">
        <v>12</v>
      </c>
      <c r="B450" s="1" t="s">
        <v>606</v>
      </c>
      <c r="C450" s="1" t="s">
        <v>18</v>
      </c>
      <c r="D450" s="1" t="s">
        <v>114</v>
      </c>
      <c r="E450" s="1" t="s">
        <v>88</v>
      </c>
      <c r="F450" s="1" t="s">
        <v>695</v>
      </c>
      <c r="G450" s="1">
        <v>1.5</v>
      </c>
      <c r="H450" s="1" t="s">
        <v>60</v>
      </c>
      <c r="I450" s="1">
        <v>117.0</v>
      </c>
      <c r="J450" s="1">
        <v>-0.130912269183271</v>
      </c>
      <c r="K450" s="1" t="s">
        <v>61</v>
      </c>
      <c r="L450" s="1" t="s">
        <v>61</v>
      </c>
      <c r="M450" s="1" t="s">
        <v>62</v>
      </c>
      <c r="N450" s="1">
        <v>-154.0</v>
      </c>
      <c r="O450" s="1">
        <v>0.0637814190580314</v>
      </c>
      <c r="P450" s="1" t="s">
        <v>61</v>
      </c>
      <c r="Q450" s="1" t="s">
        <v>61</v>
      </c>
      <c r="R450" s="1">
        <f t="shared" si="1"/>
        <v>0.06378141906</v>
      </c>
      <c r="S450" s="1">
        <f t="shared" si="2"/>
        <v>-154</v>
      </c>
      <c r="T450" s="1">
        <f t="shared" si="3"/>
        <v>1.649350649</v>
      </c>
      <c r="U450" s="1">
        <f t="shared" si="4"/>
        <v>0</v>
      </c>
      <c r="V450" s="3">
        <f t="shared" si="5"/>
        <v>2</v>
      </c>
      <c r="W450" s="3">
        <f t="shared" si="6"/>
        <v>3</v>
      </c>
      <c r="X450" s="3" t="str">
        <f>IFERROR(__xludf.DUMMYFUNCTION("split(B450,"" "")"),"O.")</f>
        <v>O.</v>
      </c>
      <c r="Y450" s="3" t="str">
        <f>IFERROR(__xludf.DUMMYFUNCTION("""COMPUTED_VALUE"""),"Zaccheaus")</f>
        <v>Zaccheaus</v>
      </c>
      <c r="AA450" s="8">
        <v>1.0</v>
      </c>
      <c r="AB450" s="3">
        <f t="shared" si="7"/>
        <v>0</v>
      </c>
      <c r="AC450" s="3">
        <f t="shared" si="8"/>
        <v>1</v>
      </c>
      <c r="AD450" s="3">
        <f t="shared" si="9"/>
        <v>1.298701299</v>
      </c>
      <c r="AE450" s="3">
        <f t="shared" si="10"/>
        <v>1.298701299</v>
      </c>
      <c r="AF450" s="3">
        <f t="shared" si="11"/>
        <v>1.948051948</v>
      </c>
      <c r="AG450" s="3">
        <f t="shared" si="12"/>
        <v>0.3333333333</v>
      </c>
    </row>
    <row r="451">
      <c r="A451" s="1" t="s">
        <v>8</v>
      </c>
      <c r="B451" s="1" t="s">
        <v>320</v>
      </c>
      <c r="C451" s="1" t="s">
        <v>21</v>
      </c>
      <c r="D451" s="1" t="s">
        <v>114</v>
      </c>
      <c r="E451" s="1" t="s">
        <v>88</v>
      </c>
      <c r="F451" s="1" t="s">
        <v>695</v>
      </c>
      <c r="G451" s="1">
        <v>7.5</v>
      </c>
      <c r="H451" s="1" t="s">
        <v>60</v>
      </c>
      <c r="I451" s="1">
        <v>-105.0</v>
      </c>
      <c r="J451" s="1">
        <v>-0.133086017891679</v>
      </c>
      <c r="K451" s="1" t="s">
        <v>61</v>
      </c>
      <c r="L451" s="1" t="s">
        <v>61</v>
      </c>
      <c r="M451" s="1" t="s">
        <v>62</v>
      </c>
      <c r="N451" s="1">
        <v>-129.0</v>
      </c>
      <c r="O451" s="1">
        <v>0.0575707093076616</v>
      </c>
      <c r="P451" s="1" t="s">
        <v>61</v>
      </c>
      <c r="Q451" s="1" t="s">
        <v>61</v>
      </c>
      <c r="R451" s="1">
        <f t="shared" si="1"/>
        <v>0.05757070931</v>
      </c>
      <c r="S451" s="1">
        <f t="shared" si="2"/>
        <v>-129</v>
      </c>
      <c r="T451" s="1">
        <f t="shared" si="3"/>
        <v>1.775193798</v>
      </c>
      <c r="U451" s="1">
        <f t="shared" si="4"/>
        <v>0</v>
      </c>
      <c r="V451" s="3">
        <f t="shared" si="5"/>
        <v>2</v>
      </c>
      <c r="W451" s="3">
        <f t="shared" si="6"/>
        <v>3</v>
      </c>
      <c r="X451" s="3" t="str">
        <f>IFERROR(__xludf.DUMMYFUNCTION("split(B451,"" "")"),"J.")</f>
        <v>J.</v>
      </c>
      <c r="Y451" s="3" t="str">
        <f>IFERROR(__xludf.DUMMYFUNCTION("""COMPUTED_VALUE"""),"Daniels")</f>
        <v>Daniels</v>
      </c>
      <c r="AA451" s="8">
        <v>7.0</v>
      </c>
      <c r="AB451" s="3">
        <f t="shared" si="7"/>
        <v>0</v>
      </c>
      <c r="AC451" s="3">
        <f t="shared" si="8"/>
        <v>1</v>
      </c>
      <c r="AD451" s="3">
        <f t="shared" si="9"/>
        <v>1.550387597</v>
      </c>
      <c r="AE451" s="3">
        <f t="shared" si="10"/>
        <v>1.550387597</v>
      </c>
      <c r="AF451" s="3">
        <f t="shared" si="11"/>
        <v>2.325581395</v>
      </c>
      <c r="AG451" s="3">
        <f t="shared" si="12"/>
        <v>0.06666666667</v>
      </c>
    </row>
    <row r="452">
      <c r="A452" s="1" t="s">
        <v>12</v>
      </c>
      <c r="B452" s="1" t="s">
        <v>488</v>
      </c>
      <c r="C452" s="1" t="s">
        <v>20</v>
      </c>
      <c r="D452" s="1" t="s">
        <v>114</v>
      </c>
      <c r="E452" s="1" t="s">
        <v>88</v>
      </c>
      <c r="F452" s="1" t="s">
        <v>695</v>
      </c>
      <c r="G452" s="1">
        <v>3.5</v>
      </c>
      <c r="H452" s="1" t="s">
        <v>60</v>
      </c>
      <c r="I452" s="1">
        <v>-108.0</v>
      </c>
      <c r="J452" s="1">
        <v>-0.123630769230769</v>
      </c>
      <c r="K452" s="1" t="s">
        <v>61</v>
      </c>
      <c r="L452" s="1" t="s">
        <v>61</v>
      </c>
      <c r="M452" s="1" t="s">
        <v>62</v>
      </c>
      <c r="N452" s="1">
        <v>-122.0</v>
      </c>
      <c r="O452" s="1">
        <v>0.0548504504504505</v>
      </c>
      <c r="P452" s="1" t="s">
        <v>61</v>
      </c>
      <c r="Q452" s="1" t="s">
        <v>61</v>
      </c>
      <c r="R452" s="1">
        <f t="shared" si="1"/>
        <v>0.05485045045</v>
      </c>
      <c r="S452" s="1">
        <f t="shared" si="2"/>
        <v>-122</v>
      </c>
      <c r="T452" s="1">
        <f t="shared" si="3"/>
        <v>1.819672131</v>
      </c>
      <c r="U452" s="1">
        <f t="shared" si="4"/>
        <v>0</v>
      </c>
      <c r="V452" s="3">
        <f t="shared" si="5"/>
        <v>2</v>
      </c>
      <c r="W452" s="3">
        <f t="shared" si="6"/>
        <v>3</v>
      </c>
      <c r="X452" s="3" t="str">
        <f>IFERROR(__xludf.DUMMYFUNCTION("split(B452,"" "")"),"Z.")</f>
        <v>Z.</v>
      </c>
      <c r="Y452" s="3" t="str">
        <f>IFERROR(__xludf.DUMMYFUNCTION("""COMPUTED_VALUE"""),"Ertz")</f>
        <v>Ertz</v>
      </c>
      <c r="AA452" s="8">
        <v>6.0</v>
      </c>
      <c r="AB452" s="3">
        <f t="shared" si="7"/>
        <v>1</v>
      </c>
      <c r="AC452" s="3">
        <f t="shared" si="8"/>
        <v>0</v>
      </c>
      <c r="AD452" s="3">
        <f t="shared" si="9"/>
        <v>1.639344262</v>
      </c>
      <c r="AE452" s="3">
        <f t="shared" si="10"/>
        <v>-2</v>
      </c>
      <c r="AF452" s="3">
        <f t="shared" si="11"/>
        <v>-3</v>
      </c>
      <c r="AG452" s="3">
        <f t="shared" si="12"/>
        <v>-0.7142857143</v>
      </c>
    </row>
    <row r="453">
      <c r="A453" s="1" t="s">
        <v>14</v>
      </c>
      <c r="B453" s="1" t="s">
        <v>320</v>
      </c>
      <c r="C453" s="1" t="s">
        <v>21</v>
      </c>
      <c r="D453" s="1" t="s">
        <v>114</v>
      </c>
      <c r="E453" s="1" t="s">
        <v>88</v>
      </c>
      <c r="F453" s="1" t="s">
        <v>695</v>
      </c>
      <c r="G453" s="1">
        <v>1.5</v>
      </c>
      <c r="H453" s="1" t="s">
        <v>60</v>
      </c>
      <c r="I453" s="1">
        <v>-107.0</v>
      </c>
      <c r="J453" s="1">
        <v>-0.11795652173913</v>
      </c>
      <c r="K453" s="1" t="s">
        <v>61</v>
      </c>
      <c r="L453" s="1" t="s">
        <v>61</v>
      </c>
      <c r="M453" s="1" t="s">
        <v>62</v>
      </c>
      <c r="N453" s="1">
        <v>-121.0</v>
      </c>
      <c r="O453" s="1">
        <v>0.053543438914027</v>
      </c>
      <c r="P453" s="1" t="s">
        <v>61</v>
      </c>
      <c r="Q453" s="1" t="s">
        <v>61</v>
      </c>
      <c r="R453" s="1">
        <f t="shared" si="1"/>
        <v>0.05354343891</v>
      </c>
      <c r="S453" s="1">
        <f t="shared" si="2"/>
        <v>-121</v>
      </c>
      <c r="T453" s="1">
        <f t="shared" si="3"/>
        <v>1.826446281</v>
      </c>
      <c r="U453" s="1">
        <f t="shared" si="4"/>
        <v>0</v>
      </c>
      <c r="V453" s="3">
        <f t="shared" si="5"/>
        <v>2</v>
      </c>
      <c r="W453" s="3">
        <f t="shared" si="6"/>
        <v>3</v>
      </c>
      <c r="X453" s="3" t="str">
        <f>IFERROR(__xludf.DUMMYFUNCTION("split(B453,"" "")"),"J.")</f>
        <v>J.</v>
      </c>
      <c r="Y453" s="3" t="str">
        <f>IFERROR(__xludf.DUMMYFUNCTION("""COMPUTED_VALUE"""),"Daniels")</f>
        <v>Daniels</v>
      </c>
      <c r="AA453" s="8">
        <v>2.0</v>
      </c>
      <c r="AB453" s="3">
        <f t="shared" si="7"/>
        <v>1</v>
      </c>
      <c r="AC453" s="3">
        <f t="shared" si="8"/>
        <v>0</v>
      </c>
      <c r="AD453" s="3">
        <f t="shared" si="9"/>
        <v>1.652892562</v>
      </c>
      <c r="AE453" s="3">
        <f t="shared" si="10"/>
        <v>-2</v>
      </c>
      <c r="AF453" s="3">
        <f t="shared" si="11"/>
        <v>-3</v>
      </c>
      <c r="AG453" s="3">
        <f t="shared" si="12"/>
        <v>-0.3333333333</v>
      </c>
    </row>
    <row r="454">
      <c r="A454" s="1" t="s">
        <v>11</v>
      </c>
      <c r="B454" s="1" t="s">
        <v>561</v>
      </c>
      <c r="C454" s="1" t="s">
        <v>18</v>
      </c>
      <c r="D454" s="1" t="s">
        <v>114</v>
      </c>
      <c r="E454" s="1" t="s">
        <v>88</v>
      </c>
      <c r="F454" s="1" t="s">
        <v>695</v>
      </c>
      <c r="G454" s="1">
        <v>37.5</v>
      </c>
      <c r="H454" s="1" t="s">
        <v>60</v>
      </c>
      <c r="I454" s="1">
        <v>-113.0</v>
      </c>
      <c r="J454" s="1">
        <v>-0.0988918835358215</v>
      </c>
      <c r="K454" s="1" t="s">
        <v>61</v>
      </c>
      <c r="L454" s="1" t="s">
        <v>61</v>
      </c>
      <c r="M454" s="1" t="s">
        <v>62</v>
      </c>
      <c r="N454" s="1">
        <v>-115.0</v>
      </c>
      <c r="O454" s="1">
        <v>0.0335152310959976</v>
      </c>
      <c r="P454" s="1" t="s">
        <v>61</v>
      </c>
      <c r="Q454" s="1" t="s">
        <v>61</v>
      </c>
      <c r="R454" s="1">
        <f t="shared" si="1"/>
        <v>0.0335152311</v>
      </c>
      <c r="S454" s="1">
        <f t="shared" si="2"/>
        <v>-115</v>
      </c>
      <c r="T454" s="1">
        <f t="shared" si="3"/>
        <v>1.869565217</v>
      </c>
      <c r="U454" s="1">
        <f t="shared" si="4"/>
        <v>0</v>
      </c>
      <c r="V454" s="3">
        <f t="shared" si="5"/>
        <v>1</v>
      </c>
      <c r="W454" s="3">
        <f t="shared" si="6"/>
        <v>2</v>
      </c>
      <c r="X454" s="3" t="str">
        <f>IFERROR(__xludf.DUMMYFUNCTION("split(B454,"" "")"),"N.")</f>
        <v>N.</v>
      </c>
      <c r="Y454" s="3" t="str">
        <f>IFERROR(__xludf.DUMMYFUNCTION("""COMPUTED_VALUE"""),"Brown")</f>
        <v>Brown</v>
      </c>
      <c r="AA454" s="8">
        <v>22.0</v>
      </c>
      <c r="AB454" s="3">
        <f t="shared" si="7"/>
        <v>0</v>
      </c>
      <c r="AC454" s="3">
        <f t="shared" si="8"/>
        <v>1</v>
      </c>
      <c r="AD454" s="3">
        <f t="shared" si="9"/>
        <v>0.8695652174</v>
      </c>
      <c r="AE454" s="3">
        <f t="shared" si="10"/>
        <v>0.8695652174</v>
      </c>
      <c r="AF454" s="3">
        <f t="shared" si="11"/>
        <v>1.739130435</v>
      </c>
      <c r="AG454" s="3">
        <f t="shared" si="12"/>
        <v>0.4133333333</v>
      </c>
    </row>
    <row r="455">
      <c r="A455" s="1" t="s">
        <v>10</v>
      </c>
      <c r="B455" s="1" t="s">
        <v>408</v>
      </c>
      <c r="C455" s="1" t="s">
        <v>19</v>
      </c>
      <c r="D455" s="1" t="s">
        <v>114</v>
      </c>
      <c r="E455" s="1" t="s">
        <v>88</v>
      </c>
      <c r="F455" s="1" t="s">
        <v>695</v>
      </c>
      <c r="G455" s="1">
        <v>22.5</v>
      </c>
      <c r="H455" s="1" t="s">
        <v>60</v>
      </c>
      <c r="I455" s="1">
        <v>-112.0</v>
      </c>
      <c r="J455" s="1">
        <v>-0.0957414141458486</v>
      </c>
      <c r="K455" s="1" t="s">
        <v>61</v>
      </c>
      <c r="L455" s="1" t="s">
        <v>61</v>
      </c>
      <c r="M455" s="1" t="s">
        <v>62</v>
      </c>
      <c r="N455" s="1">
        <v>-115.0</v>
      </c>
      <c r="O455" s="1">
        <v>0.0325477059011996</v>
      </c>
      <c r="P455" s="1" t="s">
        <v>61</v>
      </c>
      <c r="Q455" s="1" t="s">
        <v>61</v>
      </c>
      <c r="R455" s="1">
        <f t="shared" si="1"/>
        <v>0.0325477059</v>
      </c>
      <c r="S455" s="1">
        <f t="shared" si="2"/>
        <v>-115</v>
      </c>
      <c r="T455" s="1">
        <f t="shared" si="3"/>
        <v>1.869565217</v>
      </c>
      <c r="U455" s="1">
        <f t="shared" si="4"/>
        <v>0</v>
      </c>
      <c r="V455" s="3">
        <f t="shared" si="5"/>
        <v>1</v>
      </c>
      <c r="W455" s="3">
        <f t="shared" si="6"/>
        <v>2</v>
      </c>
      <c r="X455" s="3" t="str">
        <f>IFERROR(__xludf.DUMMYFUNCTION("split(B455,"" "")"),"A.")</f>
        <v>A.</v>
      </c>
      <c r="Y455" s="3" t="str">
        <f>IFERROR(__xludf.DUMMYFUNCTION("""COMPUTED_VALUE"""),"Ekeler")</f>
        <v>Ekeler</v>
      </c>
      <c r="AA455" s="8">
        <v>22.0</v>
      </c>
      <c r="AB455" s="3">
        <f t="shared" si="7"/>
        <v>0</v>
      </c>
      <c r="AC455" s="3">
        <f t="shared" si="8"/>
        <v>1</v>
      </c>
      <c r="AD455" s="3">
        <f t="shared" si="9"/>
        <v>0.8695652174</v>
      </c>
      <c r="AE455" s="3">
        <f t="shared" si="10"/>
        <v>0.8695652174</v>
      </c>
      <c r="AF455" s="3">
        <f t="shared" si="11"/>
        <v>1.739130435</v>
      </c>
      <c r="AG455" s="3">
        <f t="shared" si="12"/>
        <v>0.02222222222</v>
      </c>
    </row>
    <row r="456">
      <c r="A456" s="1" t="s">
        <v>11</v>
      </c>
      <c r="B456" s="1" t="s">
        <v>408</v>
      </c>
      <c r="C456" s="1" t="s">
        <v>19</v>
      </c>
      <c r="D456" s="1" t="s">
        <v>114</v>
      </c>
      <c r="E456" s="1" t="s">
        <v>88</v>
      </c>
      <c r="F456" s="1" t="s">
        <v>695</v>
      </c>
      <c r="G456" s="1">
        <v>21.5</v>
      </c>
      <c r="H456" s="1" t="s">
        <v>60</v>
      </c>
      <c r="I456" s="1">
        <v>-116.0</v>
      </c>
      <c r="J456" s="1">
        <v>-0.0942491230186899</v>
      </c>
      <c r="K456" s="1" t="s">
        <v>61</v>
      </c>
      <c r="L456" s="1" t="s">
        <v>61</v>
      </c>
      <c r="M456" s="1" t="s">
        <v>62</v>
      </c>
      <c r="N456" s="1">
        <v>-112.0</v>
      </c>
      <c r="O456" s="1">
        <v>0.0289119049088747</v>
      </c>
      <c r="P456" s="1" t="s">
        <v>61</v>
      </c>
      <c r="Q456" s="1" t="s">
        <v>61</v>
      </c>
      <c r="R456" s="1">
        <f t="shared" si="1"/>
        <v>0.02891190491</v>
      </c>
      <c r="S456" s="1">
        <f t="shared" si="2"/>
        <v>-112</v>
      </c>
      <c r="T456" s="1">
        <f t="shared" si="3"/>
        <v>1.892857143</v>
      </c>
      <c r="U456" s="1">
        <f t="shared" si="4"/>
        <v>0</v>
      </c>
      <c r="V456" s="3">
        <f t="shared" si="5"/>
        <v>1</v>
      </c>
      <c r="W456" s="3">
        <f t="shared" si="6"/>
        <v>2</v>
      </c>
      <c r="X456" s="3" t="str">
        <f>IFERROR(__xludf.DUMMYFUNCTION("split(B456,"" "")"),"A.")</f>
        <v>A.</v>
      </c>
      <c r="Y456" s="3" t="str">
        <f>IFERROR(__xludf.DUMMYFUNCTION("""COMPUTED_VALUE"""),"Ekeler")</f>
        <v>Ekeler</v>
      </c>
      <c r="AA456" s="8">
        <v>2.0</v>
      </c>
      <c r="AB456" s="3">
        <f t="shared" si="7"/>
        <v>0</v>
      </c>
      <c r="AC456" s="3">
        <f t="shared" si="8"/>
        <v>1</v>
      </c>
      <c r="AD456" s="3">
        <f t="shared" si="9"/>
        <v>0.8928571429</v>
      </c>
      <c r="AE456" s="3">
        <f t="shared" si="10"/>
        <v>0.8928571429</v>
      </c>
      <c r="AF456" s="3">
        <f t="shared" si="11"/>
        <v>1.785714286</v>
      </c>
      <c r="AG456" s="3">
        <f t="shared" si="12"/>
        <v>0.9069767442</v>
      </c>
    </row>
    <row r="457">
      <c r="A457" s="1" t="s">
        <v>16</v>
      </c>
      <c r="B457" s="1" t="s">
        <v>320</v>
      </c>
      <c r="C457" s="1" t="s">
        <v>21</v>
      </c>
      <c r="D457" s="1" t="s">
        <v>114</v>
      </c>
      <c r="E457" s="1" t="s">
        <v>88</v>
      </c>
      <c r="F457" s="1" t="s">
        <v>695</v>
      </c>
      <c r="G457" s="1">
        <v>29.5</v>
      </c>
      <c r="H457" s="1" t="s">
        <v>60</v>
      </c>
      <c r="I457" s="1">
        <v>113.0</v>
      </c>
      <c r="J457" s="1">
        <v>-0.0795823626356808</v>
      </c>
      <c r="K457" s="1" t="s">
        <v>61</v>
      </c>
      <c r="L457" s="1" t="s">
        <v>61</v>
      </c>
      <c r="M457" s="1" t="s">
        <v>62</v>
      </c>
      <c r="N457" s="1">
        <v>-143.0</v>
      </c>
      <c r="O457" s="1">
        <v>0.0216212966065842</v>
      </c>
      <c r="P457" s="1" t="s">
        <v>61</v>
      </c>
      <c r="Q457" s="1" t="s">
        <v>61</v>
      </c>
      <c r="R457" s="1">
        <f t="shared" si="1"/>
        <v>0.02162129661</v>
      </c>
      <c r="S457" s="1">
        <f t="shared" si="2"/>
        <v>-143</v>
      </c>
      <c r="T457" s="1">
        <f t="shared" si="3"/>
        <v>1.699300699</v>
      </c>
      <c r="U457" s="1">
        <f t="shared" si="4"/>
        <v>0</v>
      </c>
      <c r="V457" s="3">
        <f t="shared" si="5"/>
        <v>1</v>
      </c>
      <c r="W457" s="3">
        <f t="shared" si="6"/>
        <v>3</v>
      </c>
      <c r="X457" s="3" t="str">
        <f>IFERROR(__xludf.DUMMYFUNCTION("split(B457,"" "")"),"J.")</f>
        <v>J.</v>
      </c>
      <c r="Y457" s="3" t="str">
        <f>IFERROR(__xludf.DUMMYFUNCTION("""COMPUTED_VALUE"""),"Daniels")</f>
        <v>Daniels</v>
      </c>
      <c r="AA457" s="8">
        <v>38.0</v>
      </c>
      <c r="AB457" s="3">
        <f t="shared" si="7"/>
        <v>1</v>
      </c>
      <c r="AC457" s="3">
        <f t="shared" si="8"/>
        <v>0</v>
      </c>
      <c r="AD457" s="3">
        <f t="shared" si="9"/>
        <v>0.6993006993</v>
      </c>
      <c r="AE457" s="3">
        <f t="shared" si="10"/>
        <v>-1</v>
      </c>
      <c r="AF457" s="3">
        <f t="shared" si="11"/>
        <v>-3</v>
      </c>
      <c r="AG457" s="3">
        <f t="shared" si="12"/>
        <v>-0.2881355932</v>
      </c>
    </row>
    <row r="458">
      <c r="A458" s="1" t="s">
        <v>9</v>
      </c>
      <c r="B458" s="1" t="s">
        <v>264</v>
      </c>
      <c r="C458" s="1" t="s">
        <v>19</v>
      </c>
      <c r="D458" s="1" t="s">
        <v>114</v>
      </c>
      <c r="E458" s="1" t="s">
        <v>88</v>
      </c>
      <c r="F458" s="1" t="s">
        <v>695</v>
      </c>
      <c r="G458" s="1">
        <v>83.5</v>
      </c>
      <c r="H458" s="1" t="s">
        <v>60</v>
      </c>
      <c r="I458" s="1">
        <v>-114.0</v>
      </c>
      <c r="J458" s="1">
        <v>-0.0878460573527912</v>
      </c>
      <c r="K458" s="1" t="s">
        <v>61</v>
      </c>
      <c r="L458" s="1" t="s">
        <v>61</v>
      </c>
      <c r="M458" s="1" t="s">
        <v>62</v>
      </c>
      <c r="N458" s="1">
        <v>-115.0</v>
      </c>
      <c r="O458" s="1">
        <v>0.0202572312303344</v>
      </c>
      <c r="P458" s="1" t="s">
        <v>61</v>
      </c>
      <c r="Q458" s="1" t="s">
        <v>61</v>
      </c>
      <c r="R458" s="1">
        <f t="shared" si="1"/>
        <v>0.02025723123</v>
      </c>
      <c r="S458" s="1">
        <f t="shared" si="2"/>
        <v>-115</v>
      </c>
      <c r="T458" s="1">
        <f t="shared" si="3"/>
        <v>1.869565217</v>
      </c>
      <c r="U458" s="1">
        <f t="shared" si="4"/>
        <v>0</v>
      </c>
      <c r="V458" s="3">
        <f t="shared" si="5"/>
        <v>1</v>
      </c>
      <c r="W458" s="3">
        <f t="shared" si="6"/>
        <v>2</v>
      </c>
      <c r="X458" s="3" t="str">
        <f>IFERROR(__xludf.DUMMYFUNCTION("split(B458,"" "")"),"B.")</f>
        <v>B.</v>
      </c>
      <c r="Y458" s="3" t="str">
        <f>IFERROR(__xludf.DUMMYFUNCTION("""COMPUTED_VALUE"""),"Robinson")</f>
        <v>Robinson</v>
      </c>
      <c r="AA458" s="8">
        <v>24.0</v>
      </c>
      <c r="AB458" s="3">
        <f t="shared" si="7"/>
        <v>0</v>
      </c>
      <c r="AC458" s="3">
        <f t="shared" si="8"/>
        <v>1</v>
      </c>
      <c r="AD458" s="3">
        <f t="shared" si="9"/>
        <v>0.8695652174</v>
      </c>
      <c r="AE458" s="3">
        <f t="shared" si="10"/>
        <v>0.8695652174</v>
      </c>
      <c r="AF458" s="3">
        <f t="shared" si="11"/>
        <v>1.739130435</v>
      </c>
      <c r="AG458" s="3">
        <f t="shared" si="12"/>
        <v>0.7125748503</v>
      </c>
    </row>
    <row r="459">
      <c r="A459" s="1" t="s">
        <v>15</v>
      </c>
      <c r="B459" s="1" t="s">
        <v>320</v>
      </c>
      <c r="C459" s="1" t="s">
        <v>21</v>
      </c>
      <c r="D459" s="1" t="s">
        <v>114</v>
      </c>
      <c r="E459" s="1" t="s">
        <v>88</v>
      </c>
      <c r="F459" s="1" t="s">
        <v>695</v>
      </c>
      <c r="G459" s="1">
        <v>19.5</v>
      </c>
      <c r="H459" s="1" t="s">
        <v>60</v>
      </c>
      <c r="I459" s="1">
        <v>-103.0</v>
      </c>
      <c r="J459" s="1">
        <v>-0.0690370235960592</v>
      </c>
      <c r="K459" s="1" t="s">
        <v>61</v>
      </c>
      <c r="L459" s="1" t="s">
        <v>61</v>
      </c>
      <c r="M459" s="1" t="s">
        <v>62</v>
      </c>
      <c r="N459" s="1">
        <v>-122.0</v>
      </c>
      <c r="O459" s="1">
        <v>0.0121038435306307</v>
      </c>
      <c r="P459" s="1" t="s">
        <v>61</v>
      </c>
      <c r="Q459" s="1" t="s">
        <v>61</v>
      </c>
      <c r="R459" s="1">
        <f t="shared" si="1"/>
        <v>0.01210384353</v>
      </c>
      <c r="S459" s="1">
        <f t="shared" si="2"/>
        <v>-122</v>
      </c>
      <c r="T459" s="1">
        <f t="shared" si="3"/>
        <v>1.819672131</v>
      </c>
      <c r="U459" s="1">
        <f t="shared" si="4"/>
        <v>0</v>
      </c>
      <c r="V459" s="3">
        <f t="shared" si="5"/>
        <v>1</v>
      </c>
      <c r="W459" s="3">
        <f t="shared" si="6"/>
        <v>3</v>
      </c>
      <c r="X459" s="3" t="str">
        <f>IFERROR(__xludf.DUMMYFUNCTION("split(B459,"" "")"),"J.")</f>
        <v>J.</v>
      </c>
      <c r="Y459" s="3" t="str">
        <f>IFERROR(__xludf.DUMMYFUNCTION("""COMPUTED_VALUE"""),"Daniels")</f>
        <v>Daniels</v>
      </c>
      <c r="AA459" s="8">
        <v>25.0</v>
      </c>
      <c r="AB459" s="3">
        <f t="shared" si="7"/>
        <v>1</v>
      </c>
      <c r="AC459" s="3">
        <f t="shared" si="8"/>
        <v>0</v>
      </c>
      <c r="AD459" s="3">
        <f t="shared" si="9"/>
        <v>0.8196721311</v>
      </c>
      <c r="AE459" s="3">
        <f t="shared" si="10"/>
        <v>-1</v>
      </c>
      <c r="AF459" s="3">
        <f t="shared" si="11"/>
        <v>-3</v>
      </c>
      <c r="AG459" s="3">
        <f t="shared" si="12"/>
        <v>-0.2820512821</v>
      </c>
    </row>
    <row r="460">
      <c r="A460" s="1" t="s">
        <v>10</v>
      </c>
      <c r="B460" s="1" t="s">
        <v>264</v>
      </c>
      <c r="C460" s="1" t="s">
        <v>19</v>
      </c>
      <c r="D460" s="1" t="s">
        <v>114</v>
      </c>
      <c r="E460" s="1" t="s">
        <v>88</v>
      </c>
      <c r="F460" s="1" t="s">
        <v>695</v>
      </c>
      <c r="G460" s="1">
        <v>74.5</v>
      </c>
      <c r="H460" s="1" t="s">
        <v>60</v>
      </c>
      <c r="I460" s="1">
        <v>-111.0</v>
      </c>
      <c r="J460" s="1">
        <v>-0.0690698819663991</v>
      </c>
      <c r="K460" s="1" t="s">
        <v>61</v>
      </c>
      <c r="L460" s="1" t="s">
        <v>61</v>
      </c>
      <c r="M460" s="1" t="s">
        <v>62</v>
      </c>
      <c r="N460" s="1">
        <v>-114.0</v>
      </c>
      <c r="O460" s="1">
        <v>0.0102802050531398</v>
      </c>
      <c r="P460" s="1" t="s">
        <v>61</v>
      </c>
      <c r="Q460" s="1" t="s">
        <v>61</v>
      </c>
      <c r="R460" s="1">
        <f t="shared" si="1"/>
        <v>0.01028020505</v>
      </c>
      <c r="S460" s="1">
        <f t="shared" si="2"/>
        <v>-114</v>
      </c>
      <c r="T460" s="1">
        <f t="shared" si="3"/>
        <v>1.877192982</v>
      </c>
      <c r="U460" s="1">
        <f t="shared" si="4"/>
        <v>0</v>
      </c>
      <c r="V460" s="3">
        <f t="shared" si="5"/>
        <v>1</v>
      </c>
      <c r="W460" s="3">
        <f t="shared" si="6"/>
        <v>2</v>
      </c>
      <c r="X460" s="3" t="str">
        <f>IFERROR(__xludf.DUMMYFUNCTION("split(B460,"" "")"),"B.")</f>
        <v>B.</v>
      </c>
      <c r="Y460" s="3" t="str">
        <f>IFERROR(__xludf.DUMMYFUNCTION("""COMPUTED_VALUE"""),"Robinson")</f>
        <v>Robinson</v>
      </c>
      <c r="AA460" s="8">
        <v>13.0</v>
      </c>
      <c r="AB460" s="3">
        <f t="shared" si="7"/>
        <v>0</v>
      </c>
      <c r="AC460" s="3">
        <f t="shared" si="8"/>
        <v>1</v>
      </c>
      <c r="AD460" s="3">
        <f t="shared" si="9"/>
        <v>0.8771929825</v>
      </c>
      <c r="AE460" s="3">
        <f t="shared" si="10"/>
        <v>0.8771929825</v>
      </c>
      <c r="AF460" s="3">
        <f t="shared" si="11"/>
        <v>1.754385965</v>
      </c>
      <c r="AG460" s="3">
        <f t="shared" si="12"/>
        <v>0.8255033557</v>
      </c>
    </row>
    <row r="461">
      <c r="AA461" s="8"/>
    </row>
    <row r="462">
      <c r="AA462" s="8"/>
    </row>
    <row r="463">
      <c r="AA463" s="8"/>
    </row>
    <row r="464">
      <c r="AA464" s="8"/>
    </row>
    <row r="465">
      <c r="AA465" s="8"/>
    </row>
    <row r="466">
      <c r="AA466" s="8"/>
    </row>
    <row r="467">
      <c r="AA467" s="8"/>
    </row>
    <row r="468">
      <c r="AA468" s="8"/>
    </row>
    <row r="469">
      <c r="AA469" s="8"/>
    </row>
    <row r="470">
      <c r="AA470" s="8"/>
    </row>
    <row r="471">
      <c r="AA471" s="8"/>
    </row>
    <row r="472">
      <c r="AA472" s="8"/>
    </row>
    <row r="473">
      <c r="AA473" s="8"/>
    </row>
    <row r="474">
      <c r="AA474" s="8"/>
    </row>
    <row r="475">
      <c r="AA475" s="8"/>
    </row>
    <row r="476">
      <c r="AA476" s="8"/>
    </row>
  </sheetData>
  <conditionalFormatting sqref="AK19:AK30">
    <cfRule type="colorScale" priority="1">
      <colorScale>
        <cfvo type="min"/>
        <cfvo type="max"/>
        <color rgb="FFD9EAD3"/>
        <color rgb="FF57BB8A"/>
      </colorScale>
    </cfRule>
  </conditionalFormatting>
  <conditionalFormatting sqref="AN19:AN30">
    <cfRule type="colorScale" priority="2">
      <colorScale>
        <cfvo type="min"/>
        <cfvo type="percentile" val="50"/>
        <cfvo type="max"/>
        <color rgb="FFDD7E6B"/>
        <color rgb="FFFFFFFF"/>
        <color rgb="FF57BB8A"/>
      </colorScale>
    </cfRule>
  </conditionalFormatting>
  <conditionalFormatting sqref="O1:O996">
    <cfRule type="cellIs" dxfId="0" priority="3" operator="greaterThan">
      <formula>0</formula>
    </cfRule>
  </conditionalFormatting>
  <conditionalFormatting sqref="J1:J996">
    <cfRule type="cellIs" dxfId="0" priority="4" operator="greaterThan">
      <formula>0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>
        <f> iferror(VLOOKUP(Y2, 'Stat data'!C$2:Z9806,MATCH(A2,'Stat data'!C$1:Z$1,0), False), 0)</f>
        <v>0</v>
      </c>
    </row>
    <row r="5">
      <c r="A5" s="1" t="s">
        <v>209</v>
      </c>
      <c r="B5" s="3">
        <f>COUNTIFs(#REF!, "=1", #REF!, "=0")</f>
        <v>0</v>
      </c>
      <c r="C5" s="3">
        <f>countif(#REF!, "=0")</f>
        <v>0</v>
      </c>
      <c r="D5" s="3" t="str">
        <f t="shared" ref="D5:D6" si="1">B5/C5</f>
        <v>#DIV/0!</v>
      </c>
    </row>
    <row r="6">
      <c r="A6" s="1" t="s">
        <v>206</v>
      </c>
      <c r="B6" s="3">
        <f>COUNTIFs(#REF!, "=1", #REF!, "=1")</f>
        <v>0</v>
      </c>
      <c r="C6" s="3">
        <f>countif(#REF!, "=1")</f>
        <v>0</v>
      </c>
      <c r="D6" s="3" t="str">
        <f t="shared" si="1"/>
        <v>#DIV/0!</v>
      </c>
    </row>
    <row r="7">
      <c r="E7" s="3" t="str">
        <f>C9</f>
        <v>#N/A</v>
      </c>
    </row>
    <row r="9">
      <c r="A9" s="1" t="s">
        <v>216</v>
      </c>
      <c r="B9" s="3" t="str">
        <f>COUNTIFS(#REF!, "=1",#REF!, "=1")/COUNTIF(#REF!, "=1")</f>
        <v>#DIV/0!</v>
      </c>
      <c r="C9" s="3" t="str">
        <f>SUMIF(#REF!, "=1", #REF!)</f>
        <v>#N/A</v>
      </c>
      <c r="D9" s="3" t="str">
        <f>AVERAGEIF(#REF!, "=1",#REF!)</f>
        <v>#N/A</v>
      </c>
      <c r="E9" s="7" t="str">
        <f t="shared" ref="E9:E10" si="2">if(D9&gt;2, (D9-1)/100, (-100/(D9-1)))</f>
        <v>#N/A</v>
      </c>
    </row>
    <row r="10">
      <c r="A10" s="1" t="s">
        <v>219</v>
      </c>
      <c r="B10" s="3" t="str">
        <f>COUNTIFS(#REF!, "=1",#REF!, "=2")/COUNTIF(#REF!, "=2")</f>
        <v>#DIV/0!</v>
      </c>
      <c r="C10" s="3" t="str">
        <f>SUMIF(#REF!, "=2", #REF!)</f>
        <v>#N/A</v>
      </c>
      <c r="D10" s="3" t="str">
        <f>AVERAGEIF(#REF!, "=2",#REF!)</f>
        <v>#N/A</v>
      </c>
      <c r="E10" s="7" t="str">
        <f t="shared" si="2"/>
        <v>#N/A</v>
      </c>
    </row>
    <row r="11">
      <c r="A11" s="1" t="s">
        <v>222</v>
      </c>
      <c r="B11" s="3" t="str">
        <f>COUNTIFS(#REF!, "=1",#REF!, "=3")/COUNTIF(#REF!, "=3")</f>
        <v>#DIV/0!</v>
      </c>
      <c r="C11" s="3" t="str">
        <f>SUMIF(#REF!, "=3", #REF!)</f>
        <v>#N/A</v>
      </c>
      <c r="D11" s="3" t="str">
        <f>AVERAGEIF(#REF!, "=3",#REF!)</f>
        <v>#N/A</v>
      </c>
      <c r="E11" s="7" t="str">
        <f>if(D11&gt;2, (D11-1)*100, (-100/(D11-1)))</f>
        <v>#N/A</v>
      </c>
    </row>
    <row r="12">
      <c r="B12" s="1" t="s">
        <v>223</v>
      </c>
      <c r="C12" s="1" t="s">
        <v>224</v>
      </c>
      <c r="D12" s="1" t="s">
        <v>225</v>
      </c>
      <c r="E12" s="1" t="s">
        <v>226</v>
      </c>
      <c r="F12" s="1" t="s">
        <v>227</v>
      </c>
      <c r="G12" s="1" t="s">
        <v>228</v>
      </c>
      <c r="H12" s="1" t="s">
        <v>229</v>
      </c>
      <c r="I12" s="1" t="s">
        <v>230</v>
      </c>
    </row>
    <row r="13">
      <c r="A13" s="1" t="s">
        <v>8</v>
      </c>
      <c r="B13" s="3">
        <f t="shared" ref="B13:B15" si="3">COUNTIFs(#REF!, "=" &amp; A13, #REF!, "=1")</f>
        <v>0</v>
      </c>
      <c r="C13" s="3">
        <f t="shared" ref="C13:C15" si="4">countif(#REF!, "=" &amp; A13)</f>
        <v>0</v>
      </c>
      <c r="D13" s="3" t="str">
        <f t="shared" ref="D13:D15" si="5">B13/C13</f>
        <v>#DIV/0!</v>
      </c>
      <c r="E13" s="3" t="str">
        <f t="shared" ref="E13:E15" si="6">SUMIFS(#REF!, #REF!,"=" &amp; A13,#REF!, "=1")</f>
        <v>#N/A</v>
      </c>
      <c r="F13" s="3" t="str">
        <f t="shared" ref="F13:F15" si="7">SUMIFS(#REF!, #REF!,"=" &amp; A13,#REF!, "=0")</f>
        <v>#N/A</v>
      </c>
      <c r="G13" s="3" t="str">
        <f t="shared" ref="G13:G15" si="8">E13+F13</f>
        <v>#N/A</v>
      </c>
      <c r="H13" s="4">
        <f t="shared" ref="H13:H15" si="9">IFERROR( countifs(#REF!, "="&amp;A13, #REF!, "=1", #REF!, "=1")/countifs(#REF!, "="&amp;A13, #REF!, "=1"), 0)</f>
        <v>0</v>
      </c>
      <c r="I13" s="4">
        <f t="shared" ref="I13:I15" si="10">IFERROR( countifs(#REF!, "="&amp;A13, #REF!, "=0", #REF!, "=1")/countifs(#REF!, "="&amp;A13, #REF!, "=0"), 0)</f>
        <v>0</v>
      </c>
    </row>
    <row r="14">
      <c r="A14" s="1" t="s">
        <v>9</v>
      </c>
      <c r="B14" s="3">
        <f t="shared" si="3"/>
        <v>0</v>
      </c>
      <c r="C14" s="3">
        <f t="shared" si="4"/>
        <v>0</v>
      </c>
      <c r="D14" s="3" t="str">
        <f t="shared" si="5"/>
        <v>#DIV/0!</v>
      </c>
      <c r="E14" s="3" t="str">
        <f t="shared" si="6"/>
        <v>#N/A</v>
      </c>
      <c r="F14" s="3" t="str">
        <f t="shared" si="7"/>
        <v>#N/A</v>
      </c>
      <c r="G14" s="3" t="str">
        <f t="shared" si="8"/>
        <v>#N/A</v>
      </c>
      <c r="H14" s="4">
        <f t="shared" si="9"/>
        <v>0</v>
      </c>
      <c r="I14" s="4">
        <f t="shared" si="10"/>
        <v>0</v>
      </c>
    </row>
    <row r="15">
      <c r="A15" s="1" t="s">
        <v>10</v>
      </c>
      <c r="B15" s="3">
        <f t="shared" si="3"/>
        <v>0</v>
      </c>
      <c r="C15" s="3">
        <f t="shared" si="4"/>
        <v>0</v>
      </c>
      <c r="D15" s="3" t="str">
        <f t="shared" si="5"/>
        <v>#DIV/0!</v>
      </c>
      <c r="E15" s="3" t="str">
        <f t="shared" si="6"/>
        <v>#N/A</v>
      </c>
      <c r="F15" s="3" t="str">
        <f t="shared" si="7"/>
        <v>#N/A</v>
      </c>
      <c r="G15" s="3" t="str">
        <f t="shared" si="8"/>
        <v>#N/A</v>
      </c>
      <c r="H15" s="4">
        <f t="shared" si="9"/>
        <v>0</v>
      </c>
      <c r="I15" s="4">
        <f t="shared" si="10"/>
        <v>0</v>
      </c>
    </row>
    <row r="16">
      <c r="H16" s="4"/>
      <c r="I16" s="4"/>
    </row>
    <row r="17">
      <c r="A17" s="1" t="s">
        <v>11</v>
      </c>
      <c r="B17" s="3">
        <f t="shared" ref="B17:B18" si="11">COUNTIFs(#REF!, "=" &amp; A17, #REF!, "=1")</f>
        <v>0</v>
      </c>
      <c r="C17" s="3">
        <f t="shared" ref="C17:C18" si="12">countif(#REF!, "=" &amp; A17)</f>
        <v>0</v>
      </c>
      <c r="D17" s="3" t="str">
        <f t="shared" ref="D17:D18" si="13">B17/C17</f>
        <v>#DIV/0!</v>
      </c>
      <c r="E17" s="3" t="str">
        <f t="shared" ref="E17:E18" si="14">SUMIFS(#REF!, #REF!,"=" &amp; A17,#REF!, "=1")</f>
        <v>#N/A</v>
      </c>
      <c r="F17" s="3" t="str">
        <f t="shared" ref="F17:F18" si="15">SUMIFS(#REF!, #REF!,"=" &amp; A17,#REF!, "=0")</f>
        <v>#N/A</v>
      </c>
      <c r="G17" s="3" t="str">
        <f t="shared" ref="G17:G18" si="16">E17+F17</f>
        <v>#N/A</v>
      </c>
      <c r="H17" s="4">
        <f t="shared" ref="H17:H18" si="17">IFERROR( countifs(#REF!, "="&amp;A17, #REF!, "=1", #REF!, "=1")/countifs(#REF!, "="&amp;A17, #REF!, "=1"), 0)</f>
        <v>0</v>
      </c>
      <c r="I17" s="4">
        <f t="shared" ref="I17:I18" si="18">IFERROR( countifs(#REF!, "="&amp;A17, #REF!, "=0", #REF!, "=1")/countifs(#REF!, "="&amp;A17, #REF!, "=0"), 0)</f>
        <v>0</v>
      </c>
    </row>
    <row r="18">
      <c r="A18" s="1" t="s">
        <v>12</v>
      </c>
      <c r="B18" s="3">
        <f t="shared" si="11"/>
        <v>0</v>
      </c>
      <c r="C18" s="3">
        <f t="shared" si="12"/>
        <v>0</v>
      </c>
      <c r="D18" s="3" t="str">
        <f t="shared" si="13"/>
        <v>#DIV/0!</v>
      </c>
      <c r="E18" s="3" t="str">
        <f t="shared" si="14"/>
        <v>#N/A</v>
      </c>
      <c r="F18" s="3" t="str">
        <f t="shared" si="15"/>
        <v>#N/A</v>
      </c>
      <c r="G18" s="3" t="str">
        <f t="shared" si="16"/>
        <v>#N/A</v>
      </c>
      <c r="H18" s="4">
        <f t="shared" si="17"/>
        <v>0</v>
      </c>
      <c r="I18" s="4">
        <f t="shared" si="18"/>
        <v>0</v>
      </c>
    </row>
    <row r="19">
      <c r="H19" s="4"/>
      <c r="I19" s="4"/>
    </row>
    <row r="20">
      <c r="A20" s="1" t="s">
        <v>13</v>
      </c>
      <c r="B20" s="3">
        <f t="shared" ref="B20:B24" si="19">COUNTIFs(#REF!, "=" &amp; A20, #REF!, "=1")</f>
        <v>0</v>
      </c>
      <c r="C20" s="3">
        <f t="shared" ref="C20:C24" si="20">countif(#REF!, "=" &amp; A20)</f>
        <v>0</v>
      </c>
      <c r="D20" s="3" t="str">
        <f t="shared" ref="D20:D24" si="21">B20/C20</f>
        <v>#DIV/0!</v>
      </c>
      <c r="E20" s="3" t="str">
        <f t="shared" ref="E20:E24" si="22">SUMIFS(#REF!, #REF!,"=" &amp; A20,#REF!, "=1")</f>
        <v>#N/A</v>
      </c>
      <c r="F20" s="3" t="str">
        <f t="shared" ref="F20:F24" si="23">SUMIFS(#REF!, #REF!,"=" &amp; A20,#REF!, "=0")</f>
        <v>#N/A</v>
      </c>
      <c r="G20" s="3" t="str">
        <f t="shared" ref="G20:G24" si="24">E20+F20</f>
        <v>#N/A</v>
      </c>
      <c r="H20" s="4">
        <f t="shared" ref="H20:H24" si="25">IFERROR( countifs(#REF!, "="&amp;A20, #REF!, "=1", #REF!, "=1")/countifs(#REF!, "="&amp;A20, #REF!, "=1"), 0)</f>
        <v>0</v>
      </c>
      <c r="I20" s="4">
        <f t="shared" ref="I20:I24" si="26">IFERROR( countifs(#REF!, "="&amp;A20, #REF!, "=0", #REF!, "=1")/countifs(#REF!, "="&amp;A20, #REF!, "=0"), 0)</f>
        <v>0</v>
      </c>
    </row>
    <row r="21">
      <c r="A21" s="1" t="s">
        <v>14</v>
      </c>
      <c r="B21" s="3">
        <f t="shared" si="19"/>
        <v>0</v>
      </c>
      <c r="C21" s="3">
        <f t="shared" si="20"/>
        <v>0</v>
      </c>
      <c r="D21" s="3" t="str">
        <f t="shared" si="21"/>
        <v>#DIV/0!</v>
      </c>
      <c r="E21" s="3" t="str">
        <f t="shared" si="22"/>
        <v>#N/A</v>
      </c>
      <c r="F21" s="3" t="str">
        <f t="shared" si="23"/>
        <v>#N/A</v>
      </c>
      <c r="G21" s="3" t="str">
        <f t="shared" si="24"/>
        <v>#N/A</v>
      </c>
      <c r="H21" s="4">
        <f t="shared" si="25"/>
        <v>0</v>
      </c>
      <c r="I21" s="4">
        <f t="shared" si="26"/>
        <v>0</v>
      </c>
    </row>
    <row r="22">
      <c r="A22" s="1" t="s">
        <v>15</v>
      </c>
      <c r="B22" s="3">
        <f t="shared" si="19"/>
        <v>0</v>
      </c>
      <c r="C22" s="3">
        <f t="shared" si="20"/>
        <v>0</v>
      </c>
      <c r="D22" s="3" t="str">
        <f t="shared" si="21"/>
        <v>#DIV/0!</v>
      </c>
      <c r="E22" s="3" t="str">
        <f t="shared" si="22"/>
        <v>#N/A</v>
      </c>
      <c r="F22" s="3" t="str">
        <f t="shared" si="23"/>
        <v>#N/A</v>
      </c>
      <c r="G22" s="3" t="str">
        <f t="shared" si="24"/>
        <v>#N/A</v>
      </c>
      <c r="H22" s="4">
        <f t="shared" si="25"/>
        <v>0</v>
      </c>
      <c r="I22" s="4">
        <f t="shared" si="26"/>
        <v>0</v>
      </c>
    </row>
    <row r="23">
      <c r="A23" s="1" t="s">
        <v>16</v>
      </c>
      <c r="B23" s="3">
        <f t="shared" si="19"/>
        <v>0</v>
      </c>
      <c r="C23" s="3">
        <f t="shared" si="20"/>
        <v>0</v>
      </c>
      <c r="D23" s="3" t="str">
        <f t="shared" si="21"/>
        <v>#DIV/0!</v>
      </c>
      <c r="E23" s="3" t="str">
        <f t="shared" si="22"/>
        <v>#N/A</v>
      </c>
      <c r="F23" s="3" t="str">
        <f t="shared" si="23"/>
        <v>#N/A</v>
      </c>
      <c r="G23" s="3" t="str">
        <f t="shared" si="24"/>
        <v>#N/A</v>
      </c>
      <c r="H23" s="4">
        <f t="shared" si="25"/>
        <v>0</v>
      </c>
      <c r="I23" s="4">
        <f t="shared" si="26"/>
        <v>0</v>
      </c>
    </row>
    <row r="24">
      <c r="A24" s="1" t="s">
        <v>17</v>
      </c>
      <c r="B24" s="3">
        <f t="shared" si="19"/>
        <v>0</v>
      </c>
      <c r="C24" s="3">
        <f t="shared" si="20"/>
        <v>0</v>
      </c>
      <c r="D24" s="3" t="str">
        <f t="shared" si="21"/>
        <v>#DIV/0!</v>
      </c>
      <c r="E24" s="3" t="str">
        <f t="shared" si="22"/>
        <v>#N/A</v>
      </c>
      <c r="F24" s="3" t="str">
        <f t="shared" si="23"/>
        <v>#N/A</v>
      </c>
      <c r="G24" s="3" t="str">
        <f t="shared" si="24"/>
        <v>#N/A</v>
      </c>
      <c r="H24" s="4">
        <f t="shared" si="25"/>
        <v>0</v>
      </c>
      <c r="I24" s="4">
        <f t="shared" si="26"/>
        <v>0</v>
      </c>
    </row>
  </sheetData>
  <conditionalFormatting sqref="D13:D24">
    <cfRule type="colorScale" priority="1">
      <colorScale>
        <cfvo type="min"/>
        <cfvo type="max"/>
        <color rgb="FFD9EAD3"/>
        <color rgb="FF57BB8A"/>
      </colorScale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704</v>
      </c>
      <c r="B1" s="1"/>
      <c r="C1" s="1"/>
      <c r="D1" s="1" t="s">
        <v>705</v>
      </c>
      <c r="E1" s="1" t="s">
        <v>15</v>
      </c>
      <c r="F1" s="1" t="s">
        <v>16</v>
      </c>
      <c r="G1" s="1" t="s">
        <v>13</v>
      </c>
      <c r="H1" s="1" t="s">
        <v>14</v>
      </c>
      <c r="I1" s="1" t="s">
        <v>17</v>
      </c>
      <c r="J1" s="1" t="s">
        <v>706</v>
      </c>
      <c r="K1" s="1" t="s">
        <v>707</v>
      </c>
      <c r="L1" s="1" t="s">
        <v>708</v>
      </c>
      <c r="M1" s="1" t="s">
        <v>709</v>
      </c>
      <c r="N1" s="1" t="s">
        <v>8</v>
      </c>
      <c r="O1" s="1" t="s">
        <v>10</v>
      </c>
      <c r="P1" s="1" t="s">
        <v>710</v>
      </c>
      <c r="Q1" s="1" t="s">
        <v>708</v>
      </c>
      <c r="R1" s="1" t="s">
        <v>711</v>
      </c>
      <c r="S1" s="1" t="s">
        <v>12</v>
      </c>
      <c r="T1" s="1" t="s">
        <v>11</v>
      </c>
      <c r="U1" s="1" t="s">
        <v>710</v>
      </c>
      <c r="V1" s="1" t="s">
        <v>708</v>
      </c>
      <c r="W1" s="1" t="s">
        <v>712</v>
      </c>
      <c r="X1" s="1" t="s">
        <v>713</v>
      </c>
      <c r="Y1" s="1" t="s">
        <v>9</v>
      </c>
    </row>
    <row r="2">
      <c r="A2" s="1" t="s">
        <v>714</v>
      </c>
      <c r="B2" s="1" t="s">
        <v>715</v>
      </c>
      <c r="C2" s="1" t="s">
        <v>149</v>
      </c>
      <c r="D2" s="1" t="s">
        <v>146</v>
      </c>
      <c r="E2" s="1">
        <v>22.0</v>
      </c>
      <c r="F2" s="1">
        <v>34.0</v>
      </c>
      <c r="G2" s="1">
        <v>330.0</v>
      </c>
      <c r="H2" s="1">
        <v>2.0</v>
      </c>
      <c r="I2" s="1">
        <v>0.0</v>
      </c>
      <c r="J2" s="1">
        <v>3.0</v>
      </c>
      <c r="K2" s="1">
        <v>16.0</v>
      </c>
      <c r="L2" s="1">
        <v>69.0</v>
      </c>
      <c r="M2" s="1">
        <v>116.1</v>
      </c>
      <c r="N2" s="1">
        <v>2.0</v>
      </c>
      <c r="O2" s="1">
        <v>-1.0</v>
      </c>
      <c r="P2" s="1">
        <v>0.0</v>
      </c>
      <c r="Q2" s="1">
        <v>1.0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3">
        <f t="shared" ref="Y2:Y125" si="1">T2+O2</f>
        <v>-1</v>
      </c>
    </row>
    <row r="3">
      <c r="A3" s="1" t="s">
        <v>716</v>
      </c>
      <c r="B3" s="1" t="s">
        <v>717</v>
      </c>
      <c r="C3" s="1" t="s">
        <v>718</v>
      </c>
      <c r="D3" s="1" t="s">
        <v>146</v>
      </c>
      <c r="E3" s="1">
        <v>1.0</v>
      </c>
      <c r="F3" s="1">
        <v>1.0</v>
      </c>
      <c r="G3" s="1">
        <v>14.0</v>
      </c>
      <c r="H3" s="1">
        <v>0.0</v>
      </c>
      <c r="I3" s="1">
        <v>0.0</v>
      </c>
      <c r="J3" s="1">
        <v>0.0</v>
      </c>
      <c r="K3" s="1">
        <v>0.0</v>
      </c>
      <c r="L3" s="1">
        <v>14.0</v>
      </c>
      <c r="M3" s="1">
        <v>118.7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3">
        <f t="shared" si="1"/>
        <v>0</v>
      </c>
    </row>
    <row r="4">
      <c r="A4" s="1" t="s">
        <v>719</v>
      </c>
      <c r="B4" s="1" t="s">
        <v>720</v>
      </c>
      <c r="C4" s="1" t="s">
        <v>261</v>
      </c>
      <c r="D4" s="1" t="s">
        <v>146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N4" s="1">
        <v>22.0</v>
      </c>
      <c r="O4" s="1">
        <v>106.0</v>
      </c>
      <c r="P4" s="1">
        <v>1.0</v>
      </c>
      <c r="Q4" s="1">
        <v>41.0</v>
      </c>
      <c r="R4" s="1">
        <v>4.0</v>
      </c>
      <c r="S4" s="1">
        <v>3.0</v>
      </c>
      <c r="T4" s="1">
        <v>23.0</v>
      </c>
      <c r="U4" s="1">
        <v>0.0</v>
      </c>
      <c r="V4" s="1">
        <v>14.0</v>
      </c>
      <c r="W4" s="1">
        <v>1.0</v>
      </c>
      <c r="X4" s="1">
        <v>1.0</v>
      </c>
      <c r="Y4" s="3">
        <f t="shared" si="1"/>
        <v>129</v>
      </c>
    </row>
    <row r="5">
      <c r="A5" s="1" t="s">
        <v>721</v>
      </c>
      <c r="B5" s="1" t="s">
        <v>722</v>
      </c>
      <c r="C5" s="1" t="s">
        <v>723</v>
      </c>
      <c r="D5" s="1" t="s">
        <v>146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N5" s="1">
        <v>3.0</v>
      </c>
      <c r="O5" s="1">
        <v>19.0</v>
      </c>
      <c r="P5" s="1">
        <v>0.0</v>
      </c>
      <c r="Q5" s="1">
        <v>15.0</v>
      </c>
      <c r="R5" s="1">
        <v>1.0</v>
      </c>
      <c r="S5" s="1">
        <v>1.0</v>
      </c>
      <c r="T5" s="1">
        <v>6.0</v>
      </c>
      <c r="U5" s="1">
        <v>0.0</v>
      </c>
      <c r="V5" s="1">
        <v>6.0</v>
      </c>
      <c r="W5" s="1">
        <v>0.0</v>
      </c>
      <c r="X5" s="1">
        <v>0.0</v>
      </c>
      <c r="Y5" s="3">
        <f t="shared" si="1"/>
        <v>25</v>
      </c>
    </row>
    <row r="6">
      <c r="A6" s="1" t="s">
        <v>724</v>
      </c>
      <c r="B6" s="1" t="s">
        <v>725</v>
      </c>
      <c r="C6" s="1" t="s">
        <v>176</v>
      </c>
      <c r="D6" s="1" t="s">
        <v>146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9.0</v>
      </c>
      <c r="S6" s="1">
        <v>8.0</v>
      </c>
      <c r="T6" s="1">
        <v>162.0</v>
      </c>
      <c r="U6" s="1">
        <v>1.0</v>
      </c>
      <c r="V6" s="1">
        <v>69.0</v>
      </c>
      <c r="W6" s="1">
        <v>0.0</v>
      </c>
      <c r="X6" s="1">
        <v>0.0</v>
      </c>
      <c r="Y6" s="3">
        <f t="shared" si="1"/>
        <v>162</v>
      </c>
    </row>
    <row r="7">
      <c r="A7" s="1" t="s">
        <v>726</v>
      </c>
      <c r="B7" s="1" t="s">
        <v>727</v>
      </c>
      <c r="C7" s="1" t="s">
        <v>728</v>
      </c>
      <c r="D7" s="1" t="s">
        <v>146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9.0</v>
      </c>
      <c r="S7" s="1">
        <v>7.0</v>
      </c>
      <c r="T7" s="1">
        <v>114.0</v>
      </c>
      <c r="U7" s="1">
        <v>0.0</v>
      </c>
      <c r="V7" s="1">
        <v>34.0</v>
      </c>
      <c r="W7" s="1">
        <v>0.0</v>
      </c>
      <c r="X7" s="1">
        <v>0.0</v>
      </c>
      <c r="Y7" s="3">
        <f t="shared" si="1"/>
        <v>114</v>
      </c>
    </row>
    <row r="8">
      <c r="A8" s="1" t="s">
        <v>729</v>
      </c>
      <c r="B8" s="1" t="s">
        <v>730</v>
      </c>
      <c r="C8" s="1" t="s">
        <v>380</v>
      </c>
      <c r="D8" s="1" t="s">
        <v>146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5.0</v>
      </c>
      <c r="S8" s="1">
        <v>2.0</v>
      </c>
      <c r="T8" s="1">
        <v>27.0</v>
      </c>
      <c r="U8" s="1">
        <v>0.0</v>
      </c>
      <c r="V8" s="1">
        <v>20.0</v>
      </c>
      <c r="W8" s="1">
        <v>0.0</v>
      </c>
      <c r="X8" s="1">
        <v>0.0</v>
      </c>
      <c r="Y8" s="3">
        <f t="shared" si="1"/>
        <v>27</v>
      </c>
    </row>
    <row r="9">
      <c r="A9" s="1" t="s">
        <v>731</v>
      </c>
      <c r="B9" s="1" t="s">
        <v>732</v>
      </c>
      <c r="C9" s="1" t="s">
        <v>186</v>
      </c>
      <c r="D9" s="1" t="s">
        <v>146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1.0</v>
      </c>
      <c r="S9" s="1">
        <v>1.0</v>
      </c>
      <c r="T9" s="1">
        <v>7.0</v>
      </c>
      <c r="U9" s="1">
        <v>0.0</v>
      </c>
      <c r="V9" s="1">
        <v>7.0</v>
      </c>
      <c r="W9" s="1">
        <v>0.0</v>
      </c>
      <c r="X9" s="1">
        <v>0.0</v>
      </c>
      <c r="Y9" s="3">
        <f t="shared" si="1"/>
        <v>7</v>
      </c>
    </row>
    <row r="10">
      <c r="A10" s="1" t="s">
        <v>733</v>
      </c>
      <c r="B10" s="1" t="s">
        <v>734</v>
      </c>
      <c r="C10" s="1" t="s">
        <v>735</v>
      </c>
      <c r="D10" s="1" t="s">
        <v>146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2.0</v>
      </c>
      <c r="S10" s="1">
        <v>1.0</v>
      </c>
      <c r="T10" s="1">
        <v>5.0</v>
      </c>
      <c r="U10" s="1">
        <v>1.0</v>
      </c>
      <c r="V10" s="1">
        <v>5.0</v>
      </c>
      <c r="W10" s="1">
        <v>0.0</v>
      </c>
      <c r="X10" s="1">
        <v>0.0</v>
      </c>
      <c r="Y10" s="3">
        <f t="shared" si="1"/>
        <v>5</v>
      </c>
    </row>
    <row r="11">
      <c r="A11" s="1" t="s">
        <v>736</v>
      </c>
      <c r="B11" s="1" t="s">
        <v>737</v>
      </c>
      <c r="C11" s="1" t="s">
        <v>738</v>
      </c>
      <c r="D11" s="1" t="s">
        <v>146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1.0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3">
        <f t="shared" si="1"/>
        <v>0</v>
      </c>
    </row>
    <row r="12">
      <c r="A12" s="1" t="s">
        <v>739</v>
      </c>
      <c r="B12" s="1" t="s">
        <v>740</v>
      </c>
      <c r="C12" s="1" t="s">
        <v>128</v>
      </c>
      <c r="D12" s="1" t="s">
        <v>99</v>
      </c>
      <c r="E12" s="1">
        <v>32.0</v>
      </c>
      <c r="F12" s="1">
        <v>47.0</v>
      </c>
      <c r="G12" s="1">
        <v>340.0</v>
      </c>
      <c r="H12" s="1">
        <v>2.0</v>
      </c>
      <c r="I12" s="1">
        <v>0.0</v>
      </c>
      <c r="J12" s="1">
        <v>3.0</v>
      </c>
      <c r="K12" s="1">
        <v>20.0</v>
      </c>
      <c r="L12" s="1">
        <v>40.0</v>
      </c>
      <c r="M12" s="1">
        <v>103.1</v>
      </c>
      <c r="N12" s="1">
        <v>6.0</v>
      </c>
      <c r="O12" s="1">
        <v>33.0</v>
      </c>
      <c r="P12" s="1">
        <v>0.0</v>
      </c>
      <c r="Q12" s="1">
        <v>10.0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3">
        <f t="shared" si="1"/>
        <v>33</v>
      </c>
    </row>
    <row r="13">
      <c r="A13" s="1" t="s">
        <v>741</v>
      </c>
      <c r="B13" s="1" t="s">
        <v>742</v>
      </c>
      <c r="C13" s="1" t="s">
        <v>352</v>
      </c>
      <c r="D13" s="1" t="s">
        <v>99</v>
      </c>
      <c r="E13" s="1">
        <v>0.0</v>
      </c>
      <c r="F13" s="1">
        <v>1.0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39.6</v>
      </c>
      <c r="N13" s="1">
        <v>1.0</v>
      </c>
      <c r="O13" s="1">
        <v>13.0</v>
      </c>
      <c r="P13" s="1">
        <v>0.0</v>
      </c>
      <c r="Q13" s="1">
        <v>13.0</v>
      </c>
      <c r="R13" s="1">
        <v>7.0</v>
      </c>
      <c r="S13" s="1">
        <v>7.0</v>
      </c>
      <c r="T13" s="1">
        <v>106.0</v>
      </c>
      <c r="U13" s="1">
        <v>1.0</v>
      </c>
      <c r="V13" s="1">
        <v>37.0</v>
      </c>
      <c r="W13" s="1">
        <v>0.0</v>
      </c>
      <c r="X13" s="1">
        <v>0.0</v>
      </c>
      <c r="Y13" s="3">
        <f t="shared" si="1"/>
        <v>119</v>
      </c>
    </row>
    <row r="14">
      <c r="A14" s="1" t="s">
        <v>743</v>
      </c>
      <c r="B14" s="1" t="s">
        <v>744</v>
      </c>
      <c r="C14" s="1" t="s">
        <v>102</v>
      </c>
      <c r="D14" s="1" t="s">
        <v>99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N14" s="1">
        <v>13.0</v>
      </c>
      <c r="O14" s="1">
        <v>30.0</v>
      </c>
      <c r="P14" s="1">
        <v>0.0</v>
      </c>
      <c r="Q14" s="1">
        <v>8.0</v>
      </c>
      <c r="R14" s="1">
        <v>4.0</v>
      </c>
      <c r="S14" s="1">
        <v>3.0</v>
      </c>
      <c r="T14" s="1">
        <v>35.0</v>
      </c>
      <c r="U14" s="1">
        <v>0.0</v>
      </c>
      <c r="V14" s="1">
        <v>30.0</v>
      </c>
      <c r="W14" s="1">
        <v>0.0</v>
      </c>
      <c r="X14" s="1">
        <v>0.0</v>
      </c>
      <c r="Y14" s="3">
        <f t="shared" si="1"/>
        <v>65</v>
      </c>
    </row>
    <row r="15">
      <c r="A15" s="1" t="s">
        <v>745</v>
      </c>
      <c r="B15" s="1" t="s">
        <v>746</v>
      </c>
      <c r="C15" s="1" t="s">
        <v>194</v>
      </c>
      <c r="D15" s="1" t="s">
        <v>99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N15" s="1">
        <v>2.0</v>
      </c>
      <c r="O15" s="1">
        <v>2.0</v>
      </c>
      <c r="P15" s="1">
        <v>1.0</v>
      </c>
      <c r="Q15" s="1">
        <v>1.0</v>
      </c>
      <c r="R15" s="1">
        <v>1.0</v>
      </c>
      <c r="S15" s="1">
        <v>1.0</v>
      </c>
      <c r="T15" s="1">
        <v>10.0</v>
      </c>
      <c r="U15" s="1">
        <v>0.0</v>
      </c>
      <c r="V15" s="1">
        <v>10.0</v>
      </c>
      <c r="W15" s="1">
        <v>0.0</v>
      </c>
      <c r="X15" s="1">
        <v>0.0</v>
      </c>
      <c r="Y15" s="3">
        <f t="shared" si="1"/>
        <v>12</v>
      </c>
    </row>
    <row r="16">
      <c r="A16" s="1" t="s">
        <v>747</v>
      </c>
      <c r="B16" s="1" t="s">
        <v>748</v>
      </c>
      <c r="C16" s="1" t="s">
        <v>269</v>
      </c>
      <c r="D16" s="1" t="s">
        <v>99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15.0</v>
      </c>
      <c r="S16" s="1">
        <v>9.0</v>
      </c>
      <c r="T16" s="1">
        <v>86.0</v>
      </c>
      <c r="U16" s="1">
        <v>1.0</v>
      </c>
      <c r="V16" s="1">
        <v>40.0</v>
      </c>
      <c r="W16" s="1">
        <v>1.0</v>
      </c>
      <c r="X16" s="1">
        <v>0.0</v>
      </c>
      <c r="Y16" s="3">
        <f t="shared" si="1"/>
        <v>86</v>
      </c>
    </row>
    <row r="17">
      <c r="A17" s="1" t="s">
        <v>749</v>
      </c>
      <c r="B17" s="1" t="s">
        <v>750</v>
      </c>
      <c r="C17" s="1" t="s">
        <v>232</v>
      </c>
      <c r="D17" s="1" t="s">
        <v>99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10.0</v>
      </c>
      <c r="S17" s="1">
        <v>7.0</v>
      </c>
      <c r="T17" s="1">
        <v>64.0</v>
      </c>
      <c r="U17" s="1">
        <v>0.0</v>
      </c>
      <c r="V17" s="1">
        <v>20.0</v>
      </c>
      <c r="W17" s="1">
        <v>0.0</v>
      </c>
      <c r="X17" s="1">
        <v>0.0</v>
      </c>
      <c r="Y17" s="3">
        <f t="shared" si="1"/>
        <v>64</v>
      </c>
    </row>
    <row r="18">
      <c r="A18" s="1" t="s">
        <v>751</v>
      </c>
      <c r="B18" s="1" t="s">
        <v>752</v>
      </c>
      <c r="C18" s="1" t="s">
        <v>192</v>
      </c>
      <c r="D18" s="1" t="s">
        <v>99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10.0</v>
      </c>
      <c r="S18" s="1">
        <v>5.0</v>
      </c>
      <c r="T18" s="1">
        <v>39.0</v>
      </c>
      <c r="U18" s="1">
        <v>0.0</v>
      </c>
      <c r="V18" s="1">
        <v>14.0</v>
      </c>
      <c r="W18" s="1">
        <v>0.0</v>
      </c>
      <c r="X18" s="1">
        <v>0.0</v>
      </c>
      <c r="Y18" s="3">
        <f t="shared" si="1"/>
        <v>39</v>
      </c>
    </row>
    <row r="19">
      <c r="Y19" s="3">
        <f t="shared" si="1"/>
        <v>0</v>
      </c>
    </row>
    <row r="20">
      <c r="Y20" s="3">
        <f t="shared" si="1"/>
        <v>0</v>
      </c>
    </row>
    <row r="21">
      <c r="Y21" s="3">
        <f t="shared" si="1"/>
        <v>0</v>
      </c>
    </row>
    <row r="22">
      <c r="Y22" s="3">
        <f t="shared" si="1"/>
        <v>0</v>
      </c>
    </row>
    <row r="23">
      <c r="Y23" s="3">
        <f t="shared" si="1"/>
        <v>0</v>
      </c>
    </row>
    <row r="24">
      <c r="Y24" s="3">
        <f t="shared" si="1"/>
        <v>0</v>
      </c>
    </row>
    <row r="25">
      <c r="Y25" s="3">
        <f t="shared" si="1"/>
        <v>0</v>
      </c>
    </row>
    <row r="26">
      <c r="Y26" s="3">
        <f t="shared" si="1"/>
        <v>0</v>
      </c>
    </row>
    <row r="27">
      <c r="Y27" s="3">
        <f t="shared" si="1"/>
        <v>0</v>
      </c>
    </row>
    <row r="28">
      <c r="Y28" s="3">
        <f t="shared" si="1"/>
        <v>0</v>
      </c>
    </row>
    <row r="29">
      <c r="Y29" s="3">
        <f t="shared" si="1"/>
        <v>0</v>
      </c>
    </row>
    <row r="30">
      <c r="Y30" s="3">
        <f t="shared" si="1"/>
        <v>0</v>
      </c>
    </row>
    <row r="31">
      <c r="Y31" s="3">
        <f t="shared" si="1"/>
        <v>0</v>
      </c>
    </row>
    <row r="32">
      <c r="Y32" s="3">
        <f t="shared" si="1"/>
        <v>0</v>
      </c>
    </row>
    <row r="33">
      <c r="Y33" s="3">
        <f t="shared" si="1"/>
        <v>0</v>
      </c>
    </row>
    <row r="34">
      <c r="Y34" s="3">
        <f t="shared" si="1"/>
        <v>0</v>
      </c>
    </row>
    <row r="35">
      <c r="Y35" s="3">
        <f t="shared" si="1"/>
        <v>0</v>
      </c>
    </row>
    <row r="36">
      <c r="Y36" s="3">
        <f t="shared" si="1"/>
        <v>0</v>
      </c>
    </row>
    <row r="37">
      <c r="Y37" s="3">
        <f t="shared" si="1"/>
        <v>0</v>
      </c>
    </row>
    <row r="38">
      <c r="Y38" s="3">
        <f t="shared" si="1"/>
        <v>0</v>
      </c>
    </row>
    <row r="39">
      <c r="Y39" s="3">
        <f t="shared" si="1"/>
        <v>0</v>
      </c>
    </row>
    <row r="40">
      <c r="Y40" s="3">
        <f t="shared" si="1"/>
        <v>0</v>
      </c>
    </row>
    <row r="41">
      <c r="Y41" s="3">
        <f t="shared" si="1"/>
        <v>0</v>
      </c>
    </row>
    <row r="42">
      <c r="Y42" s="3">
        <f t="shared" si="1"/>
        <v>0</v>
      </c>
    </row>
    <row r="43">
      <c r="Y43" s="3">
        <f t="shared" si="1"/>
        <v>0</v>
      </c>
    </row>
    <row r="44">
      <c r="Y44" s="3">
        <f t="shared" si="1"/>
        <v>0</v>
      </c>
    </row>
    <row r="45">
      <c r="Y45" s="3">
        <f t="shared" si="1"/>
        <v>0</v>
      </c>
    </row>
    <row r="46">
      <c r="Y46" s="3">
        <f t="shared" si="1"/>
        <v>0</v>
      </c>
    </row>
    <row r="47">
      <c r="Y47" s="3">
        <f t="shared" si="1"/>
        <v>0</v>
      </c>
    </row>
    <row r="48">
      <c r="Y48" s="3">
        <f t="shared" si="1"/>
        <v>0</v>
      </c>
    </row>
    <row r="49">
      <c r="Y49" s="3">
        <f t="shared" si="1"/>
        <v>0</v>
      </c>
    </row>
    <row r="50">
      <c r="Y50" s="3">
        <f t="shared" si="1"/>
        <v>0</v>
      </c>
    </row>
    <row r="51">
      <c r="Y51" s="3">
        <f t="shared" si="1"/>
        <v>0</v>
      </c>
    </row>
    <row r="52">
      <c r="Y52" s="3">
        <f t="shared" si="1"/>
        <v>0</v>
      </c>
    </row>
    <row r="53">
      <c r="Y53" s="3">
        <f t="shared" si="1"/>
        <v>0</v>
      </c>
    </row>
    <row r="54">
      <c r="Y54" s="3">
        <f t="shared" si="1"/>
        <v>0</v>
      </c>
    </row>
    <row r="55">
      <c r="Y55" s="3">
        <f t="shared" si="1"/>
        <v>0</v>
      </c>
    </row>
    <row r="56">
      <c r="Y56" s="3">
        <f t="shared" si="1"/>
        <v>0</v>
      </c>
    </row>
    <row r="57">
      <c r="Y57" s="3">
        <f t="shared" si="1"/>
        <v>0</v>
      </c>
    </row>
    <row r="58">
      <c r="Y58" s="3">
        <f t="shared" si="1"/>
        <v>0</v>
      </c>
    </row>
    <row r="59">
      <c r="Y59" s="3">
        <f t="shared" si="1"/>
        <v>0</v>
      </c>
    </row>
    <row r="60">
      <c r="Y60" s="3">
        <f t="shared" si="1"/>
        <v>0</v>
      </c>
    </row>
    <row r="61">
      <c r="Y61" s="3">
        <f t="shared" si="1"/>
        <v>0</v>
      </c>
    </row>
    <row r="62">
      <c r="Y62" s="3">
        <f t="shared" si="1"/>
        <v>0</v>
      </c>
    </row>
    <row r="63">
      <c r="Y63" s="3">
        <f t="shared" si="1"/>
        <v>0</v>
      </c>
    </row>
    <row r="64">
      <c r="Y64" s="3">
        <f t="shared" si="1"/>
        <v>0</v>
      </c>
    </row>
    <row r="65">
      <c r="Y65" s="3">
        <f t="shared" si="1"/>
        <v>0</v>
      </c>
    </row>
    <row r="66">
      <c r="Y66" s="3">
        <f t="shared" si="1"/>
        <v>0</v>
      </c>
    </row>
    <row r="67">
      <c r="Y67" s="3">
        <f t="shared" si="1"/>
        <v>0</v>
      </c>
    </row>
    <row r="68">
      <c r="Y68" s="3">
        <f t="shared" si="1"/>
        <v>0</v>
      </c>
    </row>
    <row r="69">
      <c r="Y69" s="3">
        <f t="shared" si="1"/>
        <v>0</v>
      </c>
    </row>
    <row r="70">
      <c r="Y70" s="3">
        <f t="shared" si="1"/>
        <v>0</v>
      </c>
    </row>
    <row r="71">
      <c r="Y71" s="3">
        <f t="shared" si="1"/>
        <v>0</v>
      </c>
    </row>
    <row r="72">
      <c r="Y72" s="3">
        <f t="shared" si="1"/>
        <v>0</v>
      </c>
    </row>
    <row r="73">
      <c r="Y73" s="3">
        <f t="shared" si="1"/>
        <v>0</v>
      </c>
    </row>
    <row r="74">
      <c r="Y74" s="3">
        <f t="shared" si="1"/>
        <v>0</v>
      </c>
    </row>
    <row r="75">
      <c r="Y75" s="3">
        <f t="shared" si="1"/>
        <v>0</v>
      </c>
    </row>
    <row r="76">
      <c r="Y76" s="3">
        <f t="shared" si="1"/>
        <v>0</v>
      </c>
    </row>
    <row r="77">
      <c r="Y77" s="3">
        <f t="shared" si="1"/>
        <v>0</v>
      </c>
    </row>
    <row r="78">
      <c r="Y78" s="3">
        <f t="shared" si="1"/>
        <v>0</v>
      </c>
    </row>
    <row r="79">
      <c r="Y79" s="3">
        <f t="shared" si="1"/>
        <v>0</v>
      </c>
    </row>
    <row r="80">
      <c r="Y80" s="3">
        <f t="shared" si="1"/>
        <v>0</v>
      </c>
    </row>
    <row r="81">
      <c r="Y81" s="3">
        <f t="shared" si="1"/>
        <v>0</v>
      </c>
    </row>
    <row r="82">
      <c r="Y82" s="3">
        <f t="shared" si="1"/>
        <v>0</v>
      </c>
    </row>
    <row r="83">
      <c r="Y83" s="3">
        <f t="shared" si="1"/>
        <v>0</v>
      </c>
    </row>
    <row r="84">
      <c r="Y84" s="3">
        <f t="shared" si="1"/>
        <v>0</v>
      </c>
    </row>
    <row r="85">
      <c r="Y85" s="3">
        <f t="shared" si="1"/>
        <v>0</v>
      </c>
    </row>
    <row r="86">
      <c r="Y86" s="3">
        <f t="shared" si="1"/>
        <v>0</v>
      </c>
    </row>
    <row r="87">
      <c r="Y87" s="3">
        <f t="shared" si="1"/>
        <v>0</v>
      </c>
    </row>
    <row r="88">
      <c r="Y88" s="3">
        <f t="shared" si="1"/>
        <v>0</v>
      </c>
    </row>
    <row r="89">
      <c r="Y89" s="3">
        <f t="shared" si="1"/>
        <v>0</v>
      </c>
    </row>
    <row r="90">
      <c r="Y90" s="3">
        <f t="shared" si="1"/>
        <v>0</v>
      </c>
    </row>
    <row r="91">
      <c r="Y91" s="3">
        <f t="shared" si="1"/>
        <v>0</v>
      </c>
    </row>
    <row r="92">
      <c r="Y92" s="3">
        <f t="shared" si="1"/>
        <v>0</v>
      </c>
    </row>
    <row r="93">
      <c r="Y93" s="3">
        <f t="shared" si="1"/>
        <v>0</v>
      </c>
    </row>
    <row r="94">
      <c r="Y94" s="3">
        <f t="shared" si="1"/>
        <v>0</v>
      </c>
    </row>
    <row r="95">
      <c r="Y95" s="3">
        <f t="shared" si="1"/>
        <v>0</v>
      </c>
    </row>
    <row r="96">
      <c r="Y96" s="3">
        <f t="shared" si="1"/>
        <v>0</v>
      </c>
    </row>
    <row r="97">
      <c r="Y97" s="3">
        <f t="shared" si="1"/>
        <v>0</v>
      </c>
    </row>
    <row r="98">
      <c r="Y98" s="3">
        <f t="shared" si="1"/>
        <v>0</v>
      </c>
    </row>
    <row r="99">
      <c r="Y99" s="3">
        <f t="shared" si="1"/>
        <v>0</v>
      </c>
    </row>
    <row r="100">
      <c r="Y100" s="3">
        <f t="shared" si="1"/>
        <v>0</v>
      </c>
    </row>
    <row r="101">
      <c r="Y101" s="3">
        <f t="shared" si="1"/>
        <v>0</v>
      </c>
    </row>
    <row r="102">
      <c r="Y102" s="3">
        <f t="shared" si="1"/>
        <v>0</v>
      </c>
    </row>
    <row r="103">
      <c r="Y103" s="3">
        <f t="shared" si="1"/>
        <v>0</v>
      </c>
    </row>
    <row r="104">
      <c r="Y104" s="3">
        <f t="shared" si="1"/>
        <v>0</v>
      </c>
    </row>
    <row r="105">
      <c r="Y105" s="3">
        <f t="shared" si="1"/>
        <v>0</v>
      </c>
    </row>
    <row r="106">
      <c r="Y106" s="3">
        <f t="shared" si="1"/>
        <v>0</v>
      </c>
    </row>
    <row r="107">
      <c r="Y107" s="3">
        <f t="shared" si="1"/>
        <v>0</v>
      </c>
    </row>
    <row r="108">
      <c r="Y108" s="3">
        <f t="shared" si="1"/>
        <v>0</v>
      </c>
    </row>
    <row r="109">
      <c r="Y109" s="3">
        <f t="shared" si="1"/>
        <v>0</v>
      </c>
    </row>
    <row r="110">
      <c r="Y110" s="3">
        <f t="shared" si="1"/>
        <v>0</v>
      </c>
    </row>
    <row r="111">
      <c r="Y111" s="3">
        <f t="shared" si="1"/>
        <v>0</v>
      </c>
    </row>
    <row r="112">
      <c r="Y112" s="3">
        <f t="shared" si="1"/>
        <v>0</v>
      </c>
    </row>
    <row r="113">
      <c r="Y113" s="3">
        <f t="shared" si="1"/>
        <v>0</v>
      </c>
    </row>
    <row r="114">
      <c r="Y114" s="3">
        <f t="shared" si="1"/>
        <v>0</v>
      </c>
    </row>
    <row r="115">
      <c r="Y115" s="3">
        <f t="shared" si="1"/>
        <v>0</v>
      </c>
    </row>
    <row r="116">
      <c r="Y116" s="3">
        <f t="shared" si="1"/>
        <v>0</v>
      </c>
    </row>
    <row r="117">
      <c r="Y117" s="3">
        <f t="shared" si="1"/>
        <v>0</v>
      </c>
    </row>
    <row r="118">
      <c r="Y118" s="3">
        <f t="shared" si="1"/>
        <v>0</v>
      </c>
    </row>
    <row r="119">
      <c r="Y119" s="3">
        <f t="shared" si="1"/>
        <v>0</v>
      </c>
    </row>
    <row r="120">
      <c r="Y120" s="3">
        <f t="shared" si="1"/>
        <v>0</v>
      </c>
    </row>
    <row r="121">
      <c r="Y121" s="3">
        <f t="shared" si="1"/>
        <v>0</v>
      </c>
    </row>
    <row r="122">
      <c r="Y122" s="3">
        <f t="shared" si="1"/>
        <v>0</v>
      </c>
    </row>
    <row r="123">
      <c r="Y123" s="3">
        <f t="shared" si="1"/>
        <v>0</v>
      </c>
    </row>
    <row r="124">
      <c r="Y124" s="3">
        <f t="shared" si="1"/>
        <v>0</v>
      </c>
    </row>
    <row r="125">
      <c r="Y125" s="3">
        <f t="shared" si="1"/>
        <v>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714</v>
      </c>
      <c r="B1" s="1" t="str">
        <f>IFERROR(__xludf.DUMMYFUNCTION("SPLIT(A1, "" "")"),"Sam")</f>
        <v>Sam</v>
      </c>
      <c r="C1" s="1" t="str">
        <f>IFERROR(__xludf.DUMMYFUNCTION("""COMPUTED_VALUE"""),"Darnold")</f>
        <v>Darnold</v>
      </c>
      <c r="D1" s="1" t="s">
        <v>146</v>
      </c>
      <c r="E1" s="1">
        <v>22.0</v>
      </c>
      <c r="F1" s="1">
        <v>34.0</v>
      </c>
      <c r="G1" s="1">
        <v>330.0</v>
      </c>
      <c r="H1" s="1">
        <v>2.0</v>
      </c>
      <c r="I1" s="1">
        <v>0.0</v>
      </c>
      <c r="J1" s="1">
        <v>3.0</v>
      </c>
      <c r="K1" s="1">
        <v>16.0</v>
      </c>
      <c r="L1" s="1">
        <v>69.0</v>
      </c>
      <c r="M1" s="1">
        <v>116.1</v>
      </c>
      <c r="N1" s="1">
        <v>2.0</v>
      </c>
      <c r="O1" s="1">
        <v>-1.0</v>
      </c>
      <c r="P1" s="1">
        <v>0.0</v>
      </c>
      <c r="Q1" s="1">
        <v>1.0</v>
      </c>
      <c r="R1" s="1">
        <v>0.0</v>
      </c>
      <c r="S1" s="1">
        <v>0.0</v>
      </c>
      <c r="T1" s="1">
        <v>0.0</v>
      </c>
      <c r="U1" s="1">
        <v>0.0</v>
      </c>
      <c r="V1" s="1">
        <v>0.0</v>
      </c>
      <c r="W1" s="1">
        <v>0.0</v>
      </c>
      <c r="X1" s="1">
        <v>0.0</v>
      </c>
    </row>
    <row r="2">
      <c r="A2" s="1" t="s">
        <v>716</v>
      </c>
      <c r="B2" s="1" t="str">
        <f>IFERROR(__xludf.DUMMYFUNCTION("SPLIT(A2, "" "")"),"Nick")</f>
        <v>Nick</v>
      </c>
      <c r="C2" s="1" t="str">
        <f>IFERROR(__xludf.DUMMYFUNCTION("""COMPUTED_VALUE"""),"Mullens")</f>
        <v>Mullens</v>
      </c>
      <c r="D2" s="1" t="s">
        <v>146</v>
      </c>
      <c r="E2" s="1">
        <v>1.0</v>
      </c>
      <c r="F2" s="1">
        <v>1.0</v>
      </c>
      <c r="G2" s="1">
        <v>14.0</v>
      </c>
      <c r="H2" s="1">
        <v>0.0</v>
      </c>
      <c r="I2" s="1">
        <v>0.0</v>
      </c>
      <c r="J2" s="1">
        <v>0.0</v>
      </c>
      <c r="K2" s="1">
        <v>0.0</v>
      </c>
      <c r="L2" s="1">
        <v>14.0</v>
      </c>
      <c r="M2" s="1">
        <v>118.7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</row>
    <row r="3">
      <c r="A3" s="1" t="s">
        <v>719</v>
      </c>
      <c r="B3" s="1" t="str">
        <f>IFERROR(__xludf.DUMMYFUNCTION("SPLIT(A3, "" "")"),"Aaron")</f>
        <v>Aaron</v>
      </c>
      <c r="C3" s="1" t="str">
        <f>IFERROR(__xludf.DUMMYFUNCTION("""COMPUTED_VALUE"""),"Jones")</f>
        <v>Jones</v>
      </c>
      <c r="D3" s="1" t="s">
        <v>146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N3" s="1">
        <v>22.0</v>
      </c>
      <c r="O3" s="1">
        <v>106.0</v>
      </c>
      <c r="P3" s="1">
        <v>1.0</v>
      </c>
      <c r="Q3" s="1">
        <v>41.0</v>
      </c>
      <c r="R3" s="1">
        <v>4.0</v>
      </c>
      <c r="S3" s="1">
        <v>3.0</v>
      </c>
      <c r="T3" s="1">
        <v>23.0</v>
      </c>
      <c r="U3" s="1">
        <v>0.0</v>
      </c>
      <c r="V3" s="1">
        <v>14.0</v>
      </c>
      <c r="W3" s="1">
        <v>1.0</v>
      </c>
      <c r="X3" s="1">
        <v>1.0</v>
      </c>
    </row>
    <row r="4">
      <c r="A4" s="1" t="s">
        <v>721</v>
      </c>
      <c r="B4" s="1" t="str">
        <f>IFERROR(__xludf.DUMMYFUNCTION("SPLIT(A4, "" "")"),"Cam")</f>
        <v>Cam</v>
      </c>
      <c r="C4" s="1" t="str">
        <f>IFERROR(__xludf.DUMMYFUNCTION("""COMPUTED_VALUE"""),"Akers")</f>
        <v>Akers</v>
      </c>
      <c r="D4" s="1" t="s">
        <v>146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N4" s="1">
        <v>3.0</v>
      </c>
      <c r="O4" s="1">
        <v>19.0</v>
      </c>
      <c r="P4" s="1">
        <v>0.0</v>
      </c>
      <c r="Q4" s="1">
        <v>15.0</v>
      </c>
      <c r="R4" s="1">
        <v>1.0</v>
      </c>
      <c r="S4" s="1">
        <v>1.0</v>
      </c>
      <c r="T4" s="1">
        <v>6.0</v>
      </c>
      <c r="U4" s="1">
        <v>0.0</v>
      </c>
      <c r="V4" s="1">
        <v>6.0</v>
      </c>
      <c r="W4" s="1">
        <v>0.0</v>
      </c>
      <c r="X4" s="1">
        <v>0.0</v>
      </c>
    </row>
    <row r="5">
      <c r="A5" s="1" t="s">
        <v>724</v>
      </c>
      <c r="B5" s="1" t="str">
        <f>IFERROR(__xludf.DUMMYFUNCTION("SPLIT(A5, "" "")"),"Jordan")</f>
        <v>Jordan</v>
      </c>
      <c r="C5" s="1" t="str">
        <f>IFERROR(__xludf.DUMMYFUNCTION("""COMPUTED_VALUE"""),"Addison")</f>
        <v>Addison</v>
      </c>
      <c r="D5" s="1" t="s">
        <v>146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9.0</v>
      </c>
      <c r="S5" s="1">
        <v>8.0</v>
      </c>
      <c r="T5" s="1">
        <v>162.0</v>
      </c>
      <c r="U5" s="1">
        <v>1.0</v>
      </c>
      <c r="V5" s="1">
        <v>69.0</v>
      </c>
      <c r="W5" s="1">
        <v>0.0</v>
      </c>
      <c r="X5" s="1">
        <v>0.0</v>
      </c>
    </row>
    <row r="6">
      <c r="A6" s="1" t="s">
        <v>726</v>
      </c>
      <c r="B6" s="1" t="str">
        <f>IFERROR(__xludf.DUMMYFUNCTION("SPLIT(A6, "" "")"),"T.J.")</f>
        <v>T.J.</v>
      </c>
      <c r="C6" s="1" t="str">
        <f>IFERROR(__xludf.DUMMYFUNCTION("""COMPUTED_VALUE"""),"Hockenson")</f>
        <v>Hockenson</v>
      </c>
      <c r="D6" s="1" t="s">
        <v>146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9.0</v>
      </c>
      <c r="S6" s="1">
        <v>7.0</v>
      </c>
      <c r="T6" s="1">
        <v>114.0</v>
      </c>
      <c r="U6" s="1">
        <v>0.0</v>
      </c>
      <c r="V6" s="1">
        <v>34.0</v>
      </c>
      <c r="W6" s="1">
        <v>0.0</v>
      </c>
      <c r="X6" s="1">
        <v>0.0</v>
      </c>
    </row>
    <row r="7">
      <c r="A7" s="1" t="s">
        <v>729</v>
      </c>
      <c r="B7" s="1" t="str">
        <f>IFERROR(__xludf.DUMMYFUNCTION("SPLIT(A7, "" "")"),"Justin")</f>
        <v>Justin</v>
      </c>
      <c r="C7" s="1" t="str">
        <f>IFERROR(__xludf.DUMMYFUNCTION("""COMPUTED_VALUE"""),"Jefferson")</f>
        <v>Jefferson</v>
      </c>
      <c r="D7" s="1" t="s">
        <v>146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5.0</v>
      </c>
      <c r="S7" s="1">
        <v>2.0</v>
      </c>
      <c r="T7" s="1">
        <v>27.0</v>
      </c>
      <c r="U7" s="1">
        <v>0.0</v>
      </c>
      <c r="V7" s="1">
        <v>20.0</v>
      </c>
      <c r="W7" s="1">
        <v>0.0</v>
      </c>
      <c r="X7" s="1">
        <v>0.0</v>
      </c>
    </row>
    <row r="8">
      <c r="A8" s="1" t="s">
        <v>731</v>
      </c>
      <c r="B8" s="1" t="str">
        <f>IFERROR(__xludf.DUMMYFUNCTION("SPLIT(A8, "" "")"),"Johnny")</f>
        <v>Johnny</v>
      </c>
      <c r="C8" s="1" t="str">
        <f>IFERROR(__xludf.DUMMYFUNCTION("""COMPUTED_VALUE"""),"Mundt")</f>
        <v>Mundt</v>
      </c>
      <c r="D8" s="1" t="s">
        <v>146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1.0</v>
      </c>
      <c r="S8" s="1">
        <v>1.0</v>
      </c>
      <c r="T8" s="1">
        <v>7.0</v>
      </c>
      <c r="U8" s="1">
        <v>0.0</v>
      </c>
      <c r="V8" s="1">
        <v>7.0</v>
      </c>
      <c r="W8" s="1">
        <v>0.0</v>
      </c>
      <c r="X8" s="1">
        <v>0.0</v>
      </c>
    </row>
    <row r="9">
      <c r="A9" s="1" t="s">
        <v>733</v>
      </c>
      <c r="B9" s="1" t="str">
        <f>IFERROR(__xludf.DUMMYFUNCTION("SPLIT(A9, "" "")"),"Jalen")</f>
        <v>Jalen</v>
      </c>
      <c r="C9" s="1" t="str">
        <f>IFERROR(__xludf.DUMMYFUNCTION("""COMPUTED_VALUE"""),"Nailor")</f>
        <v>Nailor</v>
      </c>
      <c r="D9" s="1" t="s">
        <v>146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2.0</v>
      </c>
      <c r="S9" s="1">
        <v>1.0</v>
      </c>
      <c r="T9" s="1">
        <v>5.0</v>
      </c>
      <c r="U9" s="1">
        <v>1.0</v>
      </c>
      <c r="V9" s="1">
        <v>5.0</v>
      </c>
      <c r="W9" s="1">
        <v>0.0</v>
      </c>
      <c r="X9" s="1">
        <v>0.0</v>
      </c>
    </row>
    <row r="10">
      <c r="A10" s="1" t="s">
        <v>736</v>
      </c>
      <c r="B10" s="1" t="str">
        <f>IFERROR(__xludf.DUMMYFUNCTION("SPLIT(A10, "" "")"),"C.J.")</f>
        <v>C.J.</v>
      </c>
      <c r="C10" s="1" t="str">
        <f>IFERROR(__xludf.DUMMYFUNCTION("""COMPUTED_VALUE"""),"Ham")</f>
        <v>Ham</v>
      </c>
      <c r="D10" s="1" t="s">
        <v>146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1.0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</row>
    <row r="11">
      <c r="A11" s="1" t="s">
        <v>739</v>
      </c>
      <c r="B11" s="1" t="str">
        <f>IFERROR(__xludf.DUMMYFUNCTION("SPLIT(A11, "" "")"),"Caleb")</f>
        <v>Caleb</v>
      </c>
      <c r="C11" s="1" t="str">
        <f>IFERROR(__xludf.DUMMYFUNCTION("""COMPUTED_VALUE"""),"Williams")</f>
        <v>Williams</v>
      </c>
      <c r="D11" s="1" t="s">
        <v>99</v>
      </c>
      <c r="E11" s="1">
        <v>32.0</v>
      </c>
      <c r="F11" s="1">
        <v>47.0</v>
      </c>
      <c r="G11" s="1">
        <v>340.0</v>
      </c>
      <c r="H11" s="1">
        <v>2.0</v>
      </c>
      <c r="I11" s="1">
        <v>0.0</v>
      </c>
      <c r="J11" s="1">
        <v>3.0</v>
      </c>
      <c r="K11" s="1">
        <v>20.0</v>
      </c>
      <c r="L11" s="1">
        <v>40.0</v>
      </c>
      <c r="M11" s="1">
        <v>103.1</v>
      </c>
      <c r="N11" s="1">
        <v>6.0</v>
      </c>
      <c r="O11" s="1">
        <v>33.0</v>
      </c>
      <c r="P11" s="1">
        <v>0.0</v>
      </c>
      <c r="Q11" s="1">
        <v>10.0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</row>
    <row r="12">
      <c r="A12" s="1" t="s">
        <v>741</v>
      </c>
      <c r="B12" s="1" t="str">
        <f>IFERROR(__xludf.DUMMYFUNCTION("SPLIT(A12, "" "")"),"D.J.")</f>
        <v>D.J.</v>
      </c>
      <c r="C12" s="1" t="str">
        <f>IFERROR(__xludf.DUMMYFUNCTION("""COMPUTED_VALUE"""),"Moore")</f>
        <v>Moore</v>
      </c>
      <c r="D12" s="1" t="s">
        <v>99</v>
      </c>
      <c r="E12" s="1">
        <v>0.0</v>
      </c>
      <c r="F12" s="1">
        <v>1.0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39.6</v>
      </c>
      <c r="N12" s="1">
        <v>1.0</v>
      </c>
      <c r="O12" s="1">
        <v>13.0</v>
      </c>
      <c r="P12" s="1">
        <v>0.0</v>
      </c>
      <c r="Q12" s="1">
        <v>13.0</v>
      </c>
      <c r="R12" s="1">
        <v>7.0</v>
      </c>
      <c r="S12" s="1">
        <v>7.0</v>
      </c>
      <c r="T12" s="1">
        <v>106.0</v>
      </c>
      <c r="U12" s="1">
        <v>1.0</v>
      </c>
      <c r="V12" s="1">
        <v>37.0</v>
      </c>
      <c r="W12" s="1">
        <v>0.0</v>
      </c>
      <c r="X12" s="1">
        <v>0.0</v>
      </c>
    </row>
    <row r="13">
      <c r="A13" s="1" t="s">
        <v>743</v>
      </c>
      <c r="B13" s="1" t="str">
        <f>IFERROR(__xludf.DUMMYFUNCTION("SPLIT(A13, "" "")"),"D'Andre")</f>
        <v>D'Andre</v>
      </c>
      <c r="C13" s="1" t="str">
        <f>IFERROR(__xludf.DUMMYFUNCTION("""COMPUTED_VALUE"""),"Swift")</f>
        <v>Swift</v>
      </c>
      <c r="D13" s="1" t="s">
        <v>99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N13" s="1">
        <v>13.0</v>
      </c>
      <c r="O13" s="1">
        <v>30.0</v>
      </c>
      <c r="P13" s="1">
        <v>0.0</v>
      </c>
      <c r="Q13" s="1">
        <v>8.0</v>
      </c>
      <c r="R13" s="1">
        <v>4.0</v>
      </c>
      <c r="S13" s="1">
        <v>3.0</v>
      </c>
      <c r="T13" s="1">
        <v>35.0</v>
      </c>
      <c r="U13" s="1">
        <v>0.0</v>
      </c>
      <c r="V13" s="1">
        <v>30.0</v>
      </c>
      <c r="W13" s="1">
        <v>0.0</v>
      </c>
      <c r="X13" s="1">
        <v>0.0</v>
      </c>
    </row>
    <row r="14">
      <c r="A14" s="1" t="s">
        <v>745</v>
      </c>
      <c r="B14" s="1" t="str">
        <f>IFERROR(__xludf.DUMMYFUNCTION("SPLIT(A14, "" "")"),"Roschon")</f>
        <v>Roschon</v>
      </c>
      <c r="C14" s="1" t="str">
        <f>IFERROR(__xludf.DUMMYFUNCTION("""COMPUTED_VALUE"""),"Johnson")</f>
        <v>Johnson</v>
      </c>
      <c r="D14" s="1" t="s">
        <v>99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N14" s="1">
        <v>2.0</v>
      </c>
      <c r="O14" s="1">
        <v>2.0</v>
      </c>
      <c r="P14" s="1">
        <v>1.0</v>
      </c>
      <c r="Q14" s="1">
        <v>1.0</v>
      </c>
      <c r="R14" s="1">
        <v>1.0</v>
      </c>
      <c r="S14" s="1">
        <v>1.0</v>
      </c>
      <c r="T14" s="1">
        <v>10.0</v>
      </c>
      <c r="U14" s="1">
        <v>0.0</v>
      </c>
      <c r="V14" s="1">
        <v>10.0</v>
      </c>
      <c r="W14" s="1">
        <v>0.0</v>
      </c>
      <c r="X14" s="1">
        <v>0.0</v>
      </c>
    </row>
    <row r="15">
      <c r="A15" s="1" t="s">
        <v>747</v>
      </c>
      <c r="B15" s="1" t="str">
        <f>IFERROR(__xludf.DUMMYFUNCTION("SPLIT(A15, "" "")"),"Keenan")</f>
        <v>Keenan</v>
      </c>
      <c r="C15" s="1" t="str">
        <f>IFERROR(__xludf.DUMMYFUNCTION("""COMPUTED_VALUE"""),"Allen")</f>
        <v>Allen</v>
      </c>
      <c r="D15" s="1" t="s">
        <v>99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15.0</v>
      </c>
      <c r="S15" s="1">
        <v>9.0</v>
      </c>
      <c r="T15" s="1">
        <v>86.0</v>
      </c>
      <c r="U15" s="1">
        <v>1.0</v>
      </c>
      <c r="V15" s="1">
        <v>40.0</v>
      </c>
      <c r="W15" s="1">
        <v>1.0</v>
      </c>
      <c r="X15" s="1">
        <v>0.0</v>
      </c>
    </row>
    <row r="16">
      <c r="A16" s="1" t="s">
        <v>749</v>
      </c>
      <c r="B16" s="1" t="str">
        <f>IFERROR(__xludf.DUMMYFUNCTION("SPLIT(A16, "" "")"),"Cole")</f>
        <v>Cole</v>
      </c>
      <c r="C16" s="1" t="str">
        <f>IFERROR(__xludf.DUMMYFUNCTION("""COMPUTED_VALUE"""),"Kmet")</f>
        <v>Kmet</v>
      </c>
      <c r="D16" s="1" t="s">
        <v>99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10.0</v>
      </c>
      <c r="S16" s="1">
        <v>7.0</v>
      </c>
      <c r="T16" s="1">
        <v>64.0</v>
      </c>
      <c r="U16" s="1">
        <v>0.0</v>
      </c>
      <c r="V16" s="1">
        <v>20.0</v>
      </c>
      <c r="W16" s="1">
        <v>0.0</v>
      </c>
      <c r="X16" s="1">
        <v>0.0</v>
      </c>
    </row>
    <row r="17">
      <c r="A17" s="1" t="s">
        <v>751</v>
      </c>
      <c r="B17" s="1" t="str">
        <f>IFERROR(__xludf.DUMMYFUNCTION("SPLIT(A17, "" "")"),"Rome")</f>
        <v>Rome</v>
      </c>
      <c r="C17" s="1" t="str">
        <f>IFERROR(__xludf.DUMMYFUNCTION("""COMPUTED_VALUE"""),"Odunze")</f>
        <v>Odunze</v>
      </c>
      <c r="D17" s="1" t="s">
        <v>99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10.0</v>
      </c>
      <c r="S17" s="1">
        <v>5.0</v>
      </c>
      <c r="T17" s="1">
        <v>39.0</v>
      </c>
      <c r="U17" s="1">
        <v>0.0</v>
      </c>
      <c r="V17" s="1">
        <v>14.0</v>
      </c>
      <c r="W17" s="1">
        <v>0.0</v>
      </c>
      <c r="X17" s="1">
        <v>0.0</v>
      </c>
    </row>
  </sheetData>
  <drawing r:id="rId1"/>
</worksheet>
</file>